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Data Base\Zobaliazh\وصول مطالبات\جلسات\"/>
    </mc:Choice>
  </mc:AlternateContent>
  <xr:revisionPtr revIDLastSave="0" documentId="8_{A779910B-DBAE-4DE1-A662-1F9CDA2B35BF}" xr6:coauthVersionLast="47" xr6:coauthVersionMax="47" xr10:uidLastSave="{00000000-0000-0000-0000-000000000000}"/>
  <bookViews>
    <workbookView xWindow="-9460" yWindow="-21710" windowWidth="38620" windowHeight="21100" tabRatio="697" activeTab="4" xr2:uid="{8898965B-9BEC-4387-9085-C465B148D3BF}"/>
  </bookViews>
  <sheets>
    <sheet name="Receipt" sheetId="17" r:id="rId1"/>
    <sheet name="Delivery" sheetId="18" r:id="rId2"/>
    <sheet name="کد" sheetId="10" r:id="rId3"/>
    <sheet name="تجمیع" sheetId="16" r:id="rId4"/>
    <sheet name="گزارش فردی" sheetId="6" r:id="rId5"/>
    <sheet name="گزارش جمعی" sheetId="11" r:id="rId6"/>
    <sheet name="نمودار" sheetId="9" r:id="rId7"/>
    <sheet name="Pivot" sheetId="20" r:id="rId8"/>
    <sheet name="Filter" sheetId="19" r:id="rId9"/>
    <sheet name="صورت حساب مشتری" sheetId="21" r:id="rId10"/>
  </sheets>
  <functionGroups builtInGroupCount="19"/>
  <definedNames>
    <definedName name="_192.168.2.100_Sepidar_Sepidar01_Anbar_Delivery" localSheetId="1" hidden="1">Delivery!$A$1:$D$1232</definedName>
    <definedName name="_192.168.2.100_Sepidar_Sepidar01_Anbar_Receipt" localSheetId="0" hidden="1">'Receipt'!$A$1:$D$1427</definedName>
    <definedName name="_xlnm._FilterDatabase" localSheetId="3" hidden="1">تجمیع!$A$2:$AF$2659</definedName>
    <definedName name="_xlnm._FilterDatabase" localSheetId="2" hidden="1">کد!$B$1:$C$1</definedName>
    <definedName name="_xlnm._FilterDatabase" localSheetId="5" hidden="1">'گزارش جمعی'!$B$4:$B$4</definedName>
    <definedName name="ExternalData_1" localSheetId="3" hidden="1">تجمیع!$C$2:$H$2659</definedName>
    <definedName name="_xlnm.Print_Area" localSheetId="9">Table16[#All]</definedName>
    <definedName name="_xlnm.Print_Area" localSheetId="5">CollReport[#All]</definedName>
    <definedName name="_xlnm.Print_Area" localSheetId="4">'گزارش فردی'!$E$1:$J$23</definedName>
    <definedName name="_xlnm.Print_Titles" localSheetId="9">'صورت حساب مشتری'!$1:$2</definedName>
    <definedName name="_xlnm.Print_Titles" localSheetId="5">'گزارش جمعی'!$2:$3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6" i="16" l="1"/>
  <c r="H2660" i="16" l="1"/>
  <c r="A3" i="16"/>
  <c r="A4" i="16"/>
  <c r="A5" i="16"/>
  <c r="B8" i="16" s="1"/>
  <c r="A6" i="16"/>
  <c r="A7" i="16"/>
  <c r="B16" i="16" s="1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B3" i="16"/>
  <c r="B4" i="16"/>
  <c r="B6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J409" i="16"/>
  <c r="J410" i="16"/>
  <c r="J411" i="16"/>
  <c r="J412" i="16"/>
  <c r="J413" i="16"/>
  <c r="J414" i="16"/>
  <c r="J415" i="16"/>
  <c r="J416" i="16"/>
  <c r="J417" i="16"/>
  <c r="J418" i="16"/>
  <c r="J419" i="16"/>
  <c r="J420" i="16"/>
  <c r="J421" i="16"/>
  <c r="J422" i="16"/>
  <c r="J423" i="16"/>
  <c r="J424" i="16"/>
  <c r="J425" i="16"/>
  <c r="J426" i="16"/>
  <c r="J427" i="16"/>
  <c r="J428" i="16"/>
  <c r="J429" i="16"/>
  <c r="J430" i="16"/>
  <c r="J431" i="16"/>
  <c r="J432" i="16"/>
  <c r="J433" i="16"/>
  <c r="J434" i="16"/>
  <c r="J435" i="16"/>
  <c r="J436" i="16"/>
  <c r="J437" i="16"/>
  <c r="J438" i="16"/>
  <c r="J439" i="16"/>
  <c r="J440" i="16"/>
  <c r="J441" i="16"/>
  <c r="J442" i="16"/>
  <c r="J443" i="16"/>
  <c r="J444" i="16"/>
  <c r="J445" i="16"/>
  <c r="J446" i="16"/>
  <c r="J447" i="16"/>
  <c r="J448" i="16"/>
  <c r="J449" i="16"/>
  <c r="J450" i="16"/>
  <c r="J451" i="16"/>
  <c r="J452" i="16"/>
  <c r="J453" i="16"/>
  <c r="J454" i="16"/>
  <c r="J455" i="16"/>
  <c r="J456" i="16"/>
  <c r="J457" i="16"/>
  <c r="J458" i="16"/>
  <c r="J459" i="16"/>
  <c r="J460" i="16"/>
  <c r="J461" i="16"/>
  <c r="J462" i="16"/>
  <c r="J463" i="16"/>
  <c r="J464" i="16"/>
  <c r="J465" i="16"/>
  <c r="J466" i="16"/>
  <c r="J467" i="16"/>
  <c r="J468" i="16"/>
  <c r="J469" i="16"/>
  <c r="J470" i="16"/>
  <c r="J471" i="16"/>
  <c r="J472" i="16"/>
  <c r="J473" i="16"/>
  <c r="J474" i="16"/>
  <c r="J475" i="16"/>
  <c r="J476" i="16"/>
  <c r="J477" i="16"/>
  <c r="J478" i="16"/>
  <c r="J479" i="16"/>
  <c r="J480" i="16"/>
  <c r="J481" i="16"/>
  <c r="J482" i="16"/>
  <c r="J483" i="16"/>
  <c r="J484" i="16"/>
  <c r="J485" i="16"/>
  <c r="J486" i="16"/>
  <c r="J487" i="16"/>
  <c r="J488" i="16"/>
  <c r="J489" i="16"/>
  <c r="J490" i="16"/>
  <c r="J491" i="16"/>
  <c r="J492" i="16"/>
  <c r="J493" i="16"/>
  <c r="J494" i="16"/>
  <c r="J495" i="16"/>
  <c r="J496" i="16"/>
  <c r="J497" i="16"/>
  <c r="J498" i="16"/>
  <c r="J499" i="16"/>
  <c r="J500" i="16"/>
  <c r="J501" i="16"/>
  <c r="J50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4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L23" i="16"/>
  <c r="L87" i="16"/>
  <c r="L151" i="16"/>
  <c r="L215" i="16"/>
  <c r="L279" i="16"/>
  <c r="L343" i="16"/>
  <c r="L407" i="16"/>
  <c r="L471" i="16"/>
  <c r="L40" i="16"/>
  <c r="L104" i="16"/>
  <c r="L168" i="16"/>
  <c r="L232" i="16"/>
  <c r="L296" i="16"/>
  <c r="L360" i="16"/>
  <c r="L424" i="16"/>
  <c r="L27" i="16"/>
  <c r="L113" i="16"/>
  <c r="L197" i="16"/>
  <c r="L283" i="16"/>
  <c r="L369" i="16"/>
  <c r="L84" i="16"/>
  <c r="L170" i="16"/>
  <c r="L254" i="16"/>
  <c r="L340" i="16"/>
  <c r="L426" i="16"/>
  <c r="L504" i="16"/>
  <c r="L568" i="16"/>
  <c r="L632" i="16"/>
  <c r="L696" i="16"/>
  <c r="L760" i="16"/>
  <c r="L824" i="16"/>
  <c r="L888" i="16"/>
  <c r="L952" i="16"/>
  <c r="L107" i="16"/>
  <c r="L220" i="16"/>
  <c r="L333" i="16"/>
  <c r="L437" i="16"/>
  <c r="L522" i="16"/>
  <c r="L595" i="16"/>
  <c r="L26" i="16"/>
  <c r="L140" i="16"/>
  <c r="L253" i="16"/>
  <c r="L366" i="16"/>
  <c r="L466" i="16"/>
  <c r="L543" i="16"/>
  <c r="L85" i="16"/>
  <c r="L198" i="16"/>
  <c r="L100" i="16"/>
  <c r="L275" i="16"/>
  <c r="L420" i="16"/>
  <c r="L533" i="16"/>
  <c r="L621" i="16"/>
  <c r="L699" i="16"/>
  <c r="L772" i="16"/>
  <c r="L845" i="16"/>
  <c r="L918" i="16"/>
  <c r="L987" i="16"/>
  <c r="L1051" i="16"/>
  <c r="L1115" i="16"/>
  <c r="L1179" i="16"/>
  <c r="L1243" i="16"/>
  <c r="L1307" i="16"/>
  <c r="L1371" i="16"/>
  <c r="L1435" i="16"/>
  <c r="L1499" i="16"/>
  <c r="L1563" i="16"/>
  <c r="L1627" i="16"/>
  <c r="L1691" i="16"/>
  <c r="L1755" i="16"/>
  <c r="L1819" i="16"/>
  <c r="L1883" i="16"/>
  <c r="L1947" i="16"/>
  <c r="L2011" i="16"/>
  <c r="L2075" i="16"/>
  <c r="L2139" i="16"/>
  <c r="L2203" i="16"/>
  <c r="L31" i="16"/>
  <c r="L95" i="16"/>
  <c r="L159" i="16"/>
  <c r="L223" i="16"/>
  <c r="L287" i="16"/>
  <c r="L351" i="16"/>
  <c r="L415" i="16"/>
  <c r="L479" i="16"/>
  <c r="L48" i="16"/>
  <c r="L112" i="16"/>
  <c r="L176" i="16"/>
  <c r="L240" i="16"/>
  <c r="L304" i="16"/>
  <c r="L368" i="16"/>
  <c r="L432" i="16"/>
  <c r="L37" i="16"/>
  <c r="L123" i="16"/>
  <c r="L209" i="16"/>
  <c r="L293" i="16"/>
  <c r="L10" i="16"/>
  <c r="L94" i="16"/>
  <c r="L180" i="16"/>
  <c r="L266" i="16"/>
  <c r="L350" i="16"/>
  <c r="L436" i="16"/>
  <c r="L512" i="16"/>
  <c r="L576" i="16"/>
  <c r="L640" i="16"/>
  <c r="L704" i="16"/>
  <c r="L768" i="16"/>
  <c r="L832" i="16"/>
  <c r="L896" i="16"/>
  <c r="L6" i="16"/>
  <c r="L121" i="16"/>
  <c r="L235" i="16"/>
  <c r="L348" i="16"/>
  <c r="L450" i="16"/>
  <c r="L531" i="16"/>
  <c r="L604" i="16"/>
  <c r="L41" i="16"/>
  <c r="L154" i="16"/>
  <c r="L268" i="16"/>
  <c r="L380" i="16"/>
  <c r="L476" i="16"/>
  <c r="L553" i="16"/>
  <c r="L99" i="16"/>
  <c r="L213" i="16"/>
  <c r="L122" i="16"/>
  <c r="L294" i="16"/>
  <c r="L435" i="16"/>
  <c r="L546" i="16"/>
  <c r="L633" i="16"/>
  <c r="L708" i="16"/>
  <c r="L781" i="16"/>
  <c r="L854" i="16"/>
  <c r="L927" i="16"/>
  <c r="L995" i="16"/>
  <c r="L1059" i="16"/>
  <c r="L1123" i="16"/>
  <c r="L1187" i="16"/>
  <c r="L1251" i="16"/>
  <c r="L1315" i="16"/>
  <c r="L1379" i="16"/>
  <c r="L1443" i="16"/>
  <c r="L1507" i="16"/>
  <c r="L1571" i="16"/>
  <c r="L1635" i="16"/>
  <c r="L1699" i="16"/>
  <c r="L1763" i="16"/>
  <c r="L1827" i="16"/>
  <c r="L1891" i="16"/>
  <c r="L1955" i="16"/>
  <c r="L2019" i="16"/>
  <c r="L2083" i="16"/>
  <c r="L2147" i="16"/>
  <c r="L2211" i="16"/>
  <c r="L130" i="16"/>
  <c r="L300" i="16"/>
  <c r="L441" i="16"/>
  <c r="L548" i="16"/>
  <c r="L635" i="16"/>
  <c r="L710" i="16"/>
  <c r="L783" i="16"/>
  <c r="L857" i="16"/>
  <c r="L930" i="16"/>
  <c r="L997" i="16"/>
  <c r="L1061" i="16"/>
  <c r="L1125" i="16"/>
  <c r="L1189" i="16"/>
  <c r="L1253" i="16"/>
  <c r="L1317" i="16"/>
  <c r="L1381" i="16"/>
  <c r="L1445" i="16"/>
  <c r="L1509" i="16"/>
  <c r="L1573" i="16"/>
  <c r="L1637" i="16"/>
  <c r="L1701" i="16"/>
  <c r="L1765" i="16"/>
  <c r="L1829" i="16"/>
  <c r="L108" i="16"/>
  <c r="L284" i="16"/>
  <c r="L427" i="16"/>
  <c r="L538" i="16"/>
  <c r="L626" i="16"/>
  <c r="L702" i="16"/>
  <c r="L775" i="16"/>
  <c r="L849" i="16"/>
  <c r="L922" i="16"/>
  <c r="L990" i="16"/>
  <c r="L1054" i="16"/>
  <c r="L1118" i="16"/>
  <c r="L1182" i="16"/>
  <c r="L1246" i="16"/>
  <c r="L1310" i="16"/>
  <c r="L1374" i="16"/>
  <c r="L1438" i="16"/>
  <c r="L1502" i="16"/>
  <c r="L1566" i="16"/>
  <c r="L1630" i="16"/>
  <c r="L1694" i="16"/>
  <c r="L1758" i="16"/>
  <c r="L1822" i="16"/>
  <c r="L1886" i="16"/>
  <c r="L1950" i="16"/>
  <c r="L2014" i="16"/>
  <c r="L2078" i="16"/>
  <c r="L2142" i="16"/>
  <c r="L47" i="16"/>
  <c r="L111" i="16"/>
  <c r="L175" i="16"/>
  <c r="L239" i="16"/>
  <c r="L303" i="16"/>
  <c r="L367" i="16"/>
  <c r="L431" i="16"/>
  <c r="L495" i="16"/>
  <c r="L64" i="16"/>
  <c r="L128" i="16"/>
  <c r="L192" i="16"/>
  <c r="L256" i="16"/>
  <c r="L320" i="16"/>
  <c r="L384" i="16"/>
  <c r="L448" i="16"/>
  <c r="L59" i="16"/>
  <c r="L145" i="16"/>
  <c r="L229" i="16"/>
  <c r="L315" i="16"/>
  <c r="L30" i="16"/>
  <c r="L116" i="16"/>
  <c r="L202" i="16"/>
  <c r="L286" i="16"/>
  <c r="L372" i="16"/>
  <c r="L458" i="16"/>
  <c r="L528" i="16"/>
  <c r="L592" i="16"/>
  <c r="L656" i="16"/>
  <c r="L720" i="16"/>
  <c r="L784" i="16"/>
  <c r="L848" i="16"/>
  <c r="L912" i="16"/>
  <c r="L35" i="16"/>
  <c r="L149" i="16"/>
  <c r="L262" i="16"/>
  <c r="L377" i="16"/>
  <c r="L473" i="16"/>
  <c r="L549" i="16"/>
  <c r="L622" i="16"/>
  <c r="L68" i="16"/>
  <c r="L182" i="16"/>
  <c r="L297" i="16"/>
  <c r="L405" i="16"/>
  <c r="L498" i="16"/>
  <c r="L13" i="16"/>
  <c r="L129" i="16"/>
  <c r="L242" i="16"/>
  <c r="L166" i="16"/>
  <c r="L332" i="16"/>
  <c r="L469" i="16"/>
  <c r="L570" i="16"/>
  <c r="L653" i="16"/>
  <c r="L726" i="16"/>
  <c r="L799" i="16"/>
  <c r="L873" i="16"/>
  <c r="L946" i="16"/>
  <c r="L1011" i="16"/>
  <c r="L1075" i="16"/>
  <c r="L1139" i="16"/>
  <c r="L1203" i="16"/>
  <c r="L1267" i="16"/>
  <c r="L1331" i="16"/>
  <c r="L1395" i="16"/>
  <c r="L1459" i="16"/>
  <c r="L1523" i="16"/>
  <c r="L1587" i="16"/>
  <c r="L1651" i="16"/>
  <c r="L1715" i="16"/>
  <c r="L1779" i="16"/>
  <c r="L1843" i="16"/>
  <c r="L1907" i="16"/>
  <c r="L1971" i="16"/>
  <c r="L2035" i="16"/>
  <c r="L2099" i="16"/>
  <c r="L2163" i="16"/>
  <c r="L2227" i="16"/>
  <c r="L173" i="16"/>
  <c r="L338" i="16"/>
  <c r="L472" i="16"/>
  <c r="L572" i="16"/>
  <c r="L655" i="16"/>
  <c r="L729" i="16"/>
  <c r="L802" i="16"/>
  <c r="L875" i="16"/>
  <c r="L948" i="16"/>
  <c r="L1013" i="16"/>
  <c r="L1077" i="16"/>
  <c r="L1141" i="16"/>
  <c r="L1205" i="16"/>
  <c r="L1269" i="16"/>
  <c r="L1333" i="16"/>
  <c r="L1397" i="16"/>
  <c r="L1461" i="16"/>
  <c r="L1525" i="16"/>
  <c r="L1589" i="16"/>
  <c r="L1653" i="16"/>
  <c r="L1717" i="16"/>
  <c r="L1781" i="16"/>
  <c r="L1845" i="16"/>
  <c r="L153" i="16"/>
  <c r="L322" i="16"/>
  <c r="L459" i="16"/>
  <c r="L563" i="16"/>
  <c r="L646" i="16"/>
  <c r="L721" i="16"/>
  <c r="L794" i="16"/>
  <c r="L867" i="16"/>
  <c r="L940" i="16"/>
  <c r="L1006" i="16"/>
  <c r="L1070" i="16"/>
  <c r="L1134" i="16"/>
  <c r="L1198" i="16"/>
  <c r="L1262" i="16"/>
  <c r="L1326" i="16"/>
  <c r="L1390" i="16"/>
  <c r="L1454" i="16"/>
  <c r="L1518" i="16"/>
  <c r="L1582" i="16"/>
  <c r="L1646" i="16"/>
  <c r="L1710" i="16"/>
  <c r="L1774" i="16"/>
  <c r="L1838" i="16"/>
  <c r="L1902" i="16"/>
  <c r="L1966" i="16"/>
  <c r="L55" i="16"/>
  <c r="L119" i="16"/>
  <c r="L183" i="16"/>
  <c r="L247" i="16"/>
  <c r="L311" i="16"/>
  <c r="L375" i="16"/>
  <c r="L439" i="16"/>
  <c r="L8" i="16"/>
  <c r="L72" i="16"/>
  <c r="L136" i="16"/>
  <c r="L200" i="16"/>
  <c r="L264" i="16"/>
  <c r="L328" i="16"/>
  <c r="L392" i="16"/>
  <c r="L456" i="16"/>
  <c r="L69" i="16"/>
  <c r="L155" i="16"/>
  <c r="L241" i="16"/>
  <c r="L325" i="16"/>
  <c r="L42" i="16"/>
  <c r="L126" i="16"/>
  <c r="L212" i="16"/>
  <c r="L298" i="16"/>
  <c r="L382" i="16"/>
  <c r="L468" i="16"/>
  <c r="L536" i="16"/>
  <c r="L600" i="16"/>
  <c r="L664" i="16"/>
  <c r="L728" i="16"/>
  <c r="L792" i="16"/>
  <c r="L856" i="16"/>
  <c r="L920" i="16"/>
  <c r="L50" i="16"/>
  <c r="L163" i="16"/>
  <c r="L277" i="16"/>
  <c r="L388" i="16"/>
  <c r="L483" i="16"/>
  <c r="L558" i="16"/>
  <c r="L631" i="16"/>
  <c r="L83" i="16"/>
  <c r="L196" i="16"/>
  <c r="L310" i="16"/>
  <c r="L418" i="16"/>
  <c r="L507" i="16"/>
  <c r="L28" i="16"/>
  <c r="L39" i="16"/>
  <c r="L167" i="16"/>
  <c r="L295" i="16"/>
  <c r="L423" i="16"/>
  <c r="L56" i="16"/>
  <c r="L184" i="16"/>
  <c r="L312" i="16"/>
  <c r="L440" i="16"/>
  <c r="L133" i="16"/>
  <c r="L305" i="16"/>
  <c r="L106" i="16"/>
  <c r="L276" i="16"/>
  <c r="L446" i="16"/>
  <c r="L584" i="16"/>
  <c r="L712" i="16"/>
  <c r="L840" i="16"/>
  <c r="L21" i="16"/>
  <c r="L249" i="16"/>
  <c r="L461" i="16"/>
  <c r="L613" i="16"/>
  <c r="L169" i="16"/>
  <c r="L393" i="16"/>
  <c r="L562" i="16"/>
  <c r="L185" i="16"/>
  <c r="L214" i="16"/>
  <c r="L452" i="16"/>
  <c r="L601" i="16"/>
  <c r="L735" i="16"/>
  <c r="L836" i="16"/>
  <c r="L963" i="16"/>
  <c r="L1067" i="16"/>
  <c r="L1163" i="16"/>
  <c r="L1275" i="16"/>
  <c r="L1363" i="16"/>
  <c r="L1475" i="16"/>
  <c r="L1579" i="16"/>
  <c r="L1675" i="16"/>
  <c r="L1787" i="16"/>
  <c r="L1875" i="16"/>
  <c r="L1987" i="16"/>
  <c r="L2091" i="16"/>
  <c r="L2187" i="16"/>
  <c r="L150" i="16"/>
  <c r="L374" i="16"/>
  <c r="L524" i="16"/>
  <c r="L645" i="16"/>
  <c r="L747" i="16"/>
  <c r="L838" i="16"/>
  <c r="L939" i="16"/>
  <c r="L1029" i="16"/>
  <c r="L1109" i="16"/>
  <c r="L1197" i="16"/>
  <c r="L1285" i="16"/>
  <c r="L1365" i="16"/>
  <c r="L1453" i="16"/>
  <c r="L1541" i="16"/>
  <c r="L1621" i="16"/>
  <c r="L1709" i="16"/>
  <c r="L1797" i="16"/>
  <c r="L61" i="16"/>
  <c r="L301" i="16"/>
  <c r="L489" i="16"/>
  <c r="L605" i="16"/>
  <c r="L711" i="16"/>
  <c r="L812" i="16"/>
  <c r="L903" i="16"/>
  <c r="L998" i="16"/>
  <c r="L1086" i="16"/>
  <c r="L1166" i="16"/>
  <c r="L1254" i="16"/>
  <c r="L1342" i="16"/>
  <c r="L1422" i="16"/>
  <c r="L1510" i="16"/>
  <c r="L1598" i="16"/>
  <c r="L1678" i="16"/>
  <c r="L1766" i="16"/>
  <c r="L1854" i="16"/>
  <c r="L1934" i="16"/>
  <c r="L2022" i="16"/>
  <c r="L2094" i="16"/>
  <c r="L2166" i="16"/>
  <c r="L179" i="16"/>
  <c r="L342" i="16"/>
  <c r="L475" i="16"/>
  <c r="L574" i="16"/>
  <c r="L658" i="16"/>
  <c r="L731" i="16"/>
  <c r="L804" i="16"/>
  <c r="L877" i="16"/>
  <c r="L950" i="16"/>
  <c r="L1015" i="16"/>
  <c r="L1079" i="16"/>
  <c r="L1143" i="16"/>
  <c r="L1207" i="16"/>
  <c r="L1271" i="16"/>
  <c r="L1335" i="16"/>
  <c r="L1399" i="16"/>
  <c r="L1463" i="16"/>
  <c r="L1527" i="16"/>
  <c r="L1591" i="16"/>
  <c r="L1655" i="16"/>
  <c r="L1719" i="16"/>
  <c r="L1783" i="16"/>
  <c r="L1847" i="16"/>
  <c r="L1911" i="16"/>
  <c r="L1975" i="16"/>
  <c r="L2039" i="16"/>
  <c r="L2103" i="16"/>
  <c r="L2167" i="16"/>
  <c r="L73" i="16"/>
  <c r="L398" i="16"/>
  <c r="L609" i="16"/>
  <c r="L761" i="16"/>
  <c r="L907" i="16"/>
  <c r="L1041" i="16"/>
  <c r="L1169" i="16"/>
  <c r="L1297" i="16"/>
  <c r="L1425" i="16"/>
  <c r="L1553" i="16"/>
  <c r="L1681" i="16"/>
  <c r="L1809" i="16"/>
  <c r="L1921" i="16"/>
  <c r="L2024" i="16"/>
  <c r="L2125" i="16"/>
  <c r="L2218" i="16"/>
  <c r="L2284" i="16"/>
  <c r="L2348" i="16"/>
  <c r="L63" i="16"/>
  <c r="L191" i="16"/>
  <c r="L319" i="16"/>
  <c r="L447" i="16"/>
  <c r="L80" i="16"/>
  <c r="L208" i="16"/>
  <c r="L336" i="16"/>
  <c r="L464" i="16"/>
  <c r="L165" i="16"/>
  <c r="L337" i="16"/>
  <c r="L138" i="16"/>
  <c r="L308" i="16"/>
  <c r="L477" i="16"/>
  <c r="L608" i="16"/>
  <c r="L736" i="16"/>
  <c r="L864" i="16"/>
  <c r="L65" i="16"/>
  <c r="L291" i="16"/>
  <c r="L493" i="16"/>
  <c r="L641" i="16"/>
  <c r="L211" i="16"/>
  <c r="L429" i="16"/>
  <c r="L43" i="16"/>
  <c r="L227" i="16"/>
  <c r="L236" i="16"/>
  <c r="L482" i="16"/>
  <c r="L611" i="16"/>
  <c r="L745" i="16"/>
  <c r="L863" i="16"/>
  <c r="L971" i="16"/>
  <c r="L1083" i="16"/>
  <c r="L1171" i="16"/>
  <c r="L1283" i="16"/>
  <c r="L1387" i="16"/>
  <c r="L1483" i="16"/>
  <c r="L1595" i="16"/>
  <c r="L1683" i="16"/>
  <c r="L1795" i="16"/>
  <c r="L1899" i="16"/>
  <c r="L1995" i="16"/>
  <c r="L2107" i="16"/>
  <c r="L2195" i="16"/>
  <c r="L195" i="16"/>
  <c r="L390" i="16"/>
  <c r="L537" i="16"/>
  <c r="L665" i="16"/>
  <c r="L756" i="16"/>
  <c r="L847" i="16"/>
  <c r="L957" i="16"/>
  <c r="L1037" i="16"/>
  <c r="L1117" i="16"/>
  <c r="L1213" i="16"/>
  <c r="L1293" i="16"/>
  <c r="L1373" i="16"/>
  <c r="L1469" i="16"/>
  <c r="L1549" i="16"/>
  <c r="L1629" i="16"/>
  <c r="L1725" i="16"/>
  <c r="L1805" i="16"/>
  <c r="L86" i="16"/>
  <c r="L341" i="16"/>
  <c r="L501" i="16"/>
  <c r="L615" i="16"/>
  <c r="L730" i="16"/>
  <c r="L821" i="16"/>
  <c r="L913" i="16"/>
  <c r="L1014" i="16"/>
  <c r="L1094" i="16"/>
  <c r="L1174" i="16"/>
  <c r="L1270" i="16"/>
  <c r="L1350" i="16"/>
  <c r="L1430" i="16"/>
  <c r="L1526" i="16"/>
  <c r="L1606" i="16"/>
  <c r="L1686" i="16"/>
  <c r="L1782" i="16"/>
  <c r="L1862" i="16"/>
  <c r="L1942" i="16"/>
  <c r="L2030" i="16"/>
  <c r="L2102" i="16"/>
  <c r="L19" i="16"/>
  <c r="L203" i="16"/>
  <c r="L361" i="16"/>
  <c r="L490" i="16"/>
  <c r="L585" i="16"/>
  <c r="L667" i="16"/>
  <c r="L740" i="16"/>
  <c r="L813" i="16"/>
  <c r="L886" i="16"/>
  <c r="L959" i="16"/>
  <c r="L1023" i="16"/>
  <c r="L1087" i="16"/>
  <c r="L1151" i="16"/>
  <c r="L1215" i="16"/>
  <c r="L1279" i="16"/>
  <c r="L1343" i="16"/>
  <c r="L1407" i="16"/>
  <c r="L1471" i="16"/>
  <c r="L1535" i="16"/>
  <c r="L1599" i="16"/>
  <c r="L1663" i="16"/>
  <c r="L1727" i="16"/>
  <c r="L1791" i="16"/>
  <c r="L1855" i="16"/>
  <c r="L1919" i="16"/>
  <c r="L1983" i="16"/>
  <c r="L2047" i="16"/>
  <c r="L2111" i="16"/>
  <c r="L2175" i="16"/>
  <c r="L117" i="16"/>
  <c r="L103" i="16"/>
  <c r="L231" i="16"/>
  <c r="L359" i="16"/>
  <c r="L487" i="16"/>
  <c r="L120" i="16"/>
  <c r="L248" i="16"/>
  <c r="L376" i="16"/>
  <c r="L49" i="16"/>
  <c r="L219" i="16"/>
  <c r="L20" i="16"/>
  <c r="L190" i="16"/>
  <c r="L362" i="16"/>
  <c r="L520" i="16"/>
  <c r="L648" i="16"/>
  <c r="L776" i="16"/>
  <c r="L904" i="16"/>
  <c r="L134" i="16"/>
  <c r="L363" i="16"/>
  <c r="L540" i="16"/>
  <c r="L54" i="16"/>
  <c r="L282" i="16"/>
  <c r="L488" i="16"/>
  <c r="L114" i="16"/>
  <c r="L53" i="16"/>
  <c r="L353" i="16"/>
  <c r="L521" i="16"/>
  <c r="L671" i="16"/>
  <c r="L790" i="16"/>
  <c r="L900" i="16"/>
  <c r="L1019" i="16"/>
  <c r="L1107" i="16"/>
  <c r="L1219" i="16"/>
  <c r="L1323" i="16"/>
  <c r="L1419" i="16"/>
  <c r="L1531" i="16"/>
  <c r="L1619" i="16"/>
  <c r="L1731" i="16"/>
  <c r="L1835" i="16"/>
  <c r="L1931" i="16"/>
  <c r="L2043" i="16"/>
  <c r="L2131" i="16"/>
  <c r="L36" i="16"/>
  <c r="L260" i="16"/>
  <c r="L457" i="16"/>
  <c r="L593" i="16"/>
  <c r="L692" i="16"/>
  <c r="L793" i="16"/>
  <c r="L893" i="16"/>
  <c r="L981" i="16"/>
  <c r="L1069" i="16"/>
  <c r="L1157" i="16"/>
  <c r="L1237" i="16"/>
  <c r="L1325" i="16"/>
  <c r="L1413" i="16"/>
  <c r="L1493" i="16"/>
  <c r="L1581" i="16"/>
  <c r="L1669" i="16"/>
  <c r="L1749" i="16"/>
  <c r="L1837" i="16"/>
  <c r="L201" i="16"/>
  <c r="L395" i="16"/>
  <c r="L550" i="16"/>
  <c r="L666" i="16"/>
  <c r="L757" i="16"/>
  <c r="L858" i="16"/>
  <c r="L958" i="16"/>
  <c r="L1038" i="16"/>
  <c r="L1126" i="16"/>
  <c r="L1214" i="16"/>
  <c r="L1294" i="16"/>
  <c r="L1382" i="16"/>
  <c r="L1470" i="16"/>
  <c r="L1550" i="16"/>
  <c r="L1638" i="16"/>
  <c r="L1726" i="16"/>
  <c r="L1806" i="16"/>
  <c r="L1894" i="16"/>
  <c r="L1982" i="16"/>
  <c r="L2054" i="16"/>
  <c r="L2126" i="16"/>
  <c r="L89" i="16"/>
  <c r="L267" i="16"/>
  <c r="L411" i="16"/>
  <c r="L527" i="16"/>
  <c r="L617" i="16"/>
  <c r="L694" i="16"/>
  <c r="L767" i="16"/>
  <c r="L841" i="16"/>
  <c r="L914" i="16"/>
  <c r="L983" i="16"/>
  <c r="L1047" i="16"/>
  <c r="L1111" i="16"/>
  <c r="L1175" i="16"/>
  <c r="L1239" i="16"/>
  <c r="L1303" i="16"/>
  <c r="L1367" i="16"/>
  <c r="L1431" i="16"/>
  <c r="L1495" i="16"/>
  <c r="L1559" i="16"/>
  <c r="L1623" i="16"/>
  <c r="L1687" i="16"/>
  <c r="L1751" i="16"/>
  <c r="L1815" i="16"/>
  <c r="L1879" i="16"/>
  <c r="L1943" i="16"/>
  <c r="L2007" i="16"/>
  <c r="L2071" i="16"/>
  <c r="L2135" i="16"/>
  <c r="L2199" i="16"/>
  <c r="L252" i="16"/>
  <c r="L518" i="16"/>
  <c r="L687" i="16"/>
  <c r="L834" i="16"/>
  <c r="L977" i="16"/>
  <c r="L1105" i="16"/>
  <c r="L1233" i="16"/>
  <c r="L1361" i="16"/>
  <c r="L1489" i="16"/>
  <c r="L1617" i="16"/>
  <c r="L1745" i="16"/>
  <c r="L1869" i="16"/>
  <c r="L1972" i="16"/>
  <c r="L2074" i="16"/>
  <c r="L2176" i="16"/>
  <c r="L2252" i="16"/>
  <c r="L2316" i="16"/>
  <c r="L2380" i="16"/>
  <c r="L135" i="16"/>
  <c r="L335" i="16"/>
  <c r="L32" i="16"/>
  <c r="L272" i="16"/>
  <c r="L5" i="16"/>
  <c r="L261" i="16"/>
  <c r="L158" i="16"/>
  <c r="L414" i="16"/>
  <c r="L672" i="16"/>
  <c r="L872" i="16"/>
  <c r="L193" i="16"/>
  <c r="L513" i="16"/>
  <c r="L125" i="16"/>
  <c r="L516" i="16"/>
  <c r="L9" i="16"/>
  <c r="L387" i="16"/>
  <c r="L662" i="16"/>
  <c r="L827" i="16"/>
  <c r="L1027" i="16"/>
  <c r="L1195" i="16"/>
  <c r="L1347" i="16"/>
  <c r="L1515" i="16"/>
  <c r="L1667" i="16"/>
  <c r="L1851" i="16"/>
  <c r="L2003" i="16"/>
  <c r="L2171" i="16"/>
  <c r="L243" i="16"/>
  <c r="L511" i="16"/>
  <c r="L701" i="16"/>
  <c r="L866" i="16"/>
  <c r="L1005" i="16"/>
  <c r="L1149" i="16"/>
  <c r="L1277" i="16"/>
  <c r="L1421" i="16"/>
  <c r="L1557" i="16"/>
  <c r="L1685" i="16"/>
  <c r="L1821" i="16"/>
  <c r="L265" i="16"/>
  <c r="L573" i="16"/>
  <c r="L739" i="16"/>
  <c r="L885" i="16"/>
  <c r="L1030" i="16"/>
  <c r="L1158" i="16"/>
  <c r="L1302" i="16"/>
  <c r="L1446" i="16"/>
  <c r="L1574" i="16"/>
  <c r="L1718" i="16"/>
  <c r="L1846" i="16"/>
  <c r="L1990" i="16"/>
  <c r="L2110" i="16"/>
  <c r="L132" i="16"/>
  <c r="L396" i="16"/>
  <c r="L564" i="16"/>
  <c r="L703" i="16"/>
  <c r="L822" i="16"/>
  <c r="L932" i="16"/>
  <c r="L1039" i="16"/>
  <c r="L1135" i="16"/>
  <c r="L1247" i="16"/>
  <c r="L1351" i="16"/>
  <c r="L1447" i="16"/>
  <c r="L1551" i="16"/>
  <c r="L1647" i="16"/>
  <c r="L1759" i="16"/>
  <c r="L1863" i="16"/>
  <c r="L1959" i="16"/>
  <c r="L2063" i="16"/>
  <c r="L2159" i="16"/>
  <c r="L290" i="16"/>
  <c r="L588" i="16"/>
  <c r="L797" i="16"/>
  <c r="L993" i="16"/>
  <c r="L1153" i="16"/>
  <c r="L1329" i="16"/>
  <c r="L1505" i="16"/>
  <c r="L1665" i="16"/>
  <c r="L1841" i="16"/>
  <c r="L1985" i="16"/>
  <c r="L2113" i="16"/>
  <c r="L2236" i="16"/>
  <c r="L2324" i="16"/>
  <c r="L2404" i="16"/>
  <c r="L2468" i="16"/>
  <c r="L2532" i="16"/>
  <c r="L2596" i="16"/>
  <c r="L34" i="16"/>
  <c r="L373" i="16"/>
  <c r="L591" i="16"/>
  <c r="L746" i="16"/>
  <c r="L892" i="16"/>
  <c r="L1028" i="16"/>
  <c r="L1156" i="16"/>
  <c r="L1284" i="16"/>
  <c r="L1412" i="16"/>
  <c r="L1540" i="16"/>
  <c r="L1668" i="16"/>
  <c r="L1796" i="16"/>
  <c r="L143" i="16"/>
  <c r="L383" i="16"/>
  <c r="L88" i="16"/>
  <c r="L280" i="16"/>
  <c r="L17" i="16"/>
  <c r="L273" i="16"/>
  <c r="L222" i="16"/>
  <c r="L486" i="16"/>
  <c r="L680" i="16"/>
  <c r="L880" i="16"/>
  <c r="L205" i="16"/>
  <c r="L567" i="16"/>
  <c r="L226" i="16"/>
  <c r="L525" i="16"/>
  <c r="L33" i="16"/>
  <c r="L403" i="16"/>
  <c r="L681" i="16"/>
  <c r="L882" i="16"/>
  <c r="L1035" i="16"/>
  <c r="L1211" i="16"/>
  <c r="L1355" i="16"/>
  <c r="L1539" i="16"/>
  <c r="L1707" i="16"/>
  <c r="L1859" i="16"/>
  <c r="L2027" i="16"/>
  <c r="L2179" i="16"/>
  <c r="L281" i="16"/>
  <c r="L561" i="16"/>
  <c r="L719" i="16"/>
  <c r="L884" i="16"/>
  <c r="L1021" i="16"/>
  <c r="L1165" i="16"/>
  <c r="L1301" i="16"/>
  <c r="L1429" i="16"/>
  <c r="L1565" i="16"/>
  <c r="L1693" i="16"/>
  <c r="L1853" i="16"/>
  <c r="L358" i="16"/>
  <c r="L583" i="16"/>
  <c r="L748" i="16"/>
  <c r="L894" i="16"/>
  <c r="L1046" i="16"/>
  <c r="L1190" i="16"/>
  <c r="L1318" i="16"/>
  <c r="L1462" i="16"/>
  <c r="L1590" i="16"/>
  <c r="L1734" i="16"/>
  <c r="L1870" i="16"/>
  <c r="L1998" i="16"/>
  <c r="L2118" i="16"/>
  <c r="L157" i="16"/>
  <c r="L428" i="16"/>
  <c r="L596" i="16"/>
  <c r="L713" i="16"/>
  <c r="L831" i="16"/>
  <c r="L941" i="16"/>
  <c r="L1055" i="16"/>
  <c r="L1159" i="16"/>
  <c r="L1255" i="16"/>
  <c r="L1359" i="16"/>
  <c r="L1455" i="16"/>
  <c r="L1567" i="16"/>
  <c r="L1671" i="16"/>
  <c r="L1767" i="16"/>
  <c r="L1871" i="16"/>
  <c r="L1967" i="16"/>
  <c r="L2079" i="16"/>
  <c r="L2183" i="16"/>
  <c r="L329" i="16"/>
  <c r="L629" i="16"/>
  <c r="L815" i="16"/>
  <c r="L1009" i="16"/>
  <c r="L1185" i="16"/>
  <c r="L1345" i="16"/>
  <c r="L1521" i="16"/>
  <c r="L1697" i="16"/>
  <c r="L1857" i="16"/>
  <c r="L1997" i="16"/>
  <c r="L2138" i="16"/>
  <c r="L2244" i="16"/>
  <c r="L2332" i="16"/>
  <c r="L2412" i="16"/>
  <c r="L2476" i="16"/>
  <c r="L2540" i="16"/>
  <c r="L2604" i="16"/>
  <c r="L78" i="16"/>
  <c r="L406" i="16"/>
  <c r="L612" i="16"/>
  <c r="L764" i="16"/>
  <c r="L910" i="16"/>
  <c r="L1044" i="16"/>
  <c r="L1172" i="16"/>
  <c r="L1300" i="16"/>
  <c r="L1428" i="16"/>
  <c r="L1556" i="16"/>
  <c r="L1684" i="16"/>
  <c r="L1812" i="16"/>
  <c r="L71" i="16"/>
  <c r="L263" i="16"/>
  <c r="L463" i="16"/>
  <c r="L160" i="16"/>
  <c r="L400" i="16"/>
  <c r="L177" i="16"/>
  <c r="L62" i="16"/>
  <c r="L330" i="16"/>
  <c r="L560" i="16"/>
  <c r="L800" i="16"/>
  <c r="L77" i="16"/>
  <c r="L412" i="16"/>
  <c r="L12" i="16"/>
  <c r="L354" i="16"/>
  <c r="L141" i="16"/>
  <c r="L258" i="16"/>
  <c r="L580" i="16"/>
  <c r="L763" i="16"/>
  <c r="L955" i="16"/>
  <c r="L1131" i="16"/>
  <c r="L1291" i="16"/>
  <c r="L1451" i="16"/>
  <c r="L1611" i="16"/>
  <c r="L1771" i="16"/>
  <c r="L1939" i="16"/>
  <c r="L2115" i="16"/>
  <c r="L82" i="16"/>
  <c r="L422" i="16"/>
  <c r="L625" i="16"/>
  <c r="L811" i="16"/>
  <c r="L965" i="16"/>
  <c r="L1093" i="16"/>
  <c r="L1229" i="16"/>
  <c r="L1357" i="16"/>
  <c r="L1501" i="16"/>
  <c r="L1645" i="16"/>
  <c r="L1773" i="16"/>
  <c r="L174" i="16"/>
  <c r="L474" i="16"/>
  <c r="L675" i="16"/>
  <c r="L830" i="16"/>
  <c r="L974" i="16"/>
  <c r="L1110" i="16"/>
  <c r="L1238" i="16"/>
  <c r="L1398" i="16"/>
  <c r="L1534" i="16"/>
  <c r="L1662" i="16"/>
  <c r="L1798" i="16"/>
  <c r="L1926" i="16"/>
  <c r="L2062" i="16"/>
  <c r="L44" i="16"/>
  <c r="L302" i="16"/>
  <c r="L515" i="16"/>
  <c r="L647" i="16"/>
  <c r="L777" i="16"/>
  <c r="L895" i="16"/>
  <c r="L999" i="16"/>
  <c r="L1103" i="16"/>
  <c r="L1199" i="16"/>
  <c r="L1311" i="16"/>
  <c r="L1415" i="16"/>
  <c r="L1511" i="16"/>
  <c r="L1615" i="16"/>
  <c r="L1711" i="16"/>
  <c r="L1823" i="16"/>
  <c r="L1927" i="16"/>
  <c r="L2023" i="16"/>
  <c r="L2127" i="16"/>
  <c r="L25" i="16"/>
  <c r="L492" i="16"/>
  <c r="L724" i="16"/>
  <c r="L925" i="16"/>
  <c r="L1089" i="16"/>
  <c r="L1265" i="16"/>
  <c r="L1441" i="16"/>
  <c r="L1601" i="16"/>
  <c r="L1777" i="16"/>
  <c r="L1933" i="16"/>
  <c r="L2061" i="16"/>
  <c r="L2197" i="16"/>
  <c r="L2292" i="16"/>
  <c r="L2372" i="16"/>
  <c r="L2444" i="16"/>
  <c r="L2508" i="16"/>
  <c r="L2572" i="16"/>
  <c r="L2636" i="16"/>
  <c r="L259" i="16"/>
  <c r="L523" i="16"/>
  <c r="L691" i="16"/>
  <c r="L837" i="16"/>
  <c r="L980" i="16"/>
  <c r="L1108" i="16"/>
  <c r="L1236" i="16"/>
  <c r="L1364" i="16"/>
  <c r="L1492" i="16"/>
  <c r="L1620" i="16"/>
  <c r="L1748" i="16"/>
  <c r="L1873" i="16"/>
  <c r="L1976" i="16"/>
  <c r="L2077" i="16"/>
  <c r="L2178" i="16"/>
  <c r="L2254" i="16"/>
  <c r="L2318" i="16"/>
  <c r="L2382" i="16"/>
  <c r="L2446" i="16"/>
  <c r="L2510" i="16"/>
  <c r="L2574" i="16"/>
  <c r="L2638" i="16"/>
  <c r="L269" i="16"/>
  <c r="L529" i="16"/>
  <c r="L695" i="16"/>
  <c r="L842" i="16"/>
  <c r="L984" i="16"/>
  <c r="L1112" i="16"/>
  <c r="L1240" i="16"/>
  <c r="L46" i="16"/>
  <c r="L385" i="16"/>
  <c r="L598" i="16"/>
  <c r="L751" i="16"/>
  <c r="L898" i="16"/>
  <c r="L1033" i="16"/>
  <c r="L1161" i="16"/>
  <c r="L204" i="16"/>
  <c r="L491" i="16"/>
  <c r="L668" i="16"/>
  <c r="L814" i="16"/>
  <c r="L960" i="16"/>
  <c r="L127" i="16"/>
  <c r="L455" i="16"/>
  <c r="L288" i="16"/>
  <c r="L187" i="16"/>
  <c r="L244" i="16"/>
  <c r="L624" i="16"/>
  <c r="L944" i="16"/>
  <c r="L577" i="16"/>
  <c r="L442" i="16"/>
  <c r="L146" i="16"/>
  <c r="L643" i="16"/>
  <c r="L937" i="16"/>
  <c r="L1227" i="16"/>
  <c r="L1467" i="16"/>
  <c r="L1739" i="16"/>
  <c r="L1979" i="16"/>
  <c r="L60" i="16"/>
  <c r="L582" i="16"/>
  <c r="L820" i="16"/>
  <c r="L1053" i="16"/>
  <c r="L1261" i="16"/>
  <c r="L1485" i="16"/>
  <c r="L1733" i="16"/>
  <c r="L221" i="16"/>
  <c r="L636" i="16"/>
  <c r="L876" i="16"/>
  <c r="L1102" i="16"/>
  <c r="L1334" i="16"/>
  <c r="L1542" i="16"/>
  <c r="L1750" i="16"/>
  <c r="L1974" i="16"/>
  <c r="L2158" i="16"/>
  <c r="L444" i="16"/>
  <c r="L676" i="16"/>
  <c r="L859" i="16"/>
  <c r="L1031" i="16"/>
  <c r="L1191" i="16"/>
  <c r="L1375" i="16"/>
  <c r="L1519" i="16"/>
  <c r="L1695" i="16"/>
  <c r="L1839" i="16"/>
  <c r="L2015" i="16"/>
  <c r="L2191" i="16"/>
  <c r="L542" i="16"/>
  <c r="L870" i="16"/>
  <c r="L1137" i="16"/>
  <c r="L1409" i="16"/>
  <c r="L1713" i="16"/>
  <c r="L1946" i="16"/>
  <c r="L2164" i="16"/>
  <c r="L2308" i="16"/>
  <c r="L2436" i="16"/>
  <c r="L2548" i="16"/>
  <c r="L2644" i="16"/>
  <c r="L470" i="16"/>
  <c r="L727" i="16"/>
  <c r="L964" i="16"/>
  <c r="L1188" i="16"/>
  <c r="L1380" i="16"/>
  <c r="L1588" i="16"/>
  <c r="L1780" i="16"/>
  <c r="L1937" i="16"/>
  <c r="L2052" i="16"/>
  <c r="L2168" i="16"/>
  <c r="L2262" i="16"/>
  <c r="L2334" i="16"/>
  <c r="L2406" i="16"/>
  <c r="L2478" i="16"/>
  <c r="L2550" i="16"/>
  <c r="L2622" i="16"/>
  <c r="L228" i="16"/>
  <c r="L554" i="16"/>
  <c r="L732" i="16"/>
  <c r="L897" i="16"/>
  <c r="L1048" i="16"/>
  <c r="L1192" i="16"/>
  <c r="L1336" i="16"/>
  <c r="L346" i="16"/>
  <c r="L619" i="16"/>
  <c r="L788" i="16"/>
  <c r="L953" i="16"/>
  <c r="L1097" i="16"/>
  <c r="L67" i="16"/>
  <c r="L430" i="16"/>
  <c r="L649" i="16"/>
  <c r="L833" i="16"/>
  <c r="L992" i="16"/>
  <c r="L1120" i="16"/>
  <c r="L1248" i="16"/>
  <c r="L1376" i="16"/>
  <c r="L1504" i="16"/>
  <c r="L1632" i="16"/>
  <c r="L1760" i="16"/>
  <c r="L1881" i="16"/>
  <c r="L278" i="16"/>
  <c r="L798" i="16"/>
  <c r="L1162" i="16"/>
  <c r="L1416" i="16"/>
  <c r="L1618" i="16"/>
  <c r="L1820" i="16"/>
  <c r="L1986" i="16"/>
  <c r="L2122" i="16"/>
  <c r="L2240" i="16"/>
  <c r="L2325" i="16"/>
  <c r="L2410" i="16"/>
  <c r="L2496" i="16"/>
  <c r="L2581" i="16"/>
  <c r="L75" i="16"/>
  <c r="L716" i="16"/>
  <c r="L1084" i="16"/>
  <c r="L1369" i="16"/>
  <c r="L1576" i="16"/>
  <c r="L1778" i="16"/>
  <c r="L1956" i="16"/>
  <c r="L2093" i="16"/>
  <c r="L2220" i="16"/>
  <c r="L2306" i="16"/>
  <c r="L2392" i="16"/>
  <c r="L2477" i="16"/>
  <c r="L2562" i="16"/>
  <c r="L2648" i="16"/>
  <c r="L620" i="16"/>
  <c r="L1004" i="16"/>
  <c r="L1314" i="16"/>
  <c r="L1528" i="16"/>
  <c r="L1730" i="16"/>
  <c r="L1917" i="16"/>
  <c r="L199" i="16"/>
  <c r="L16" i="16"/>
  <c r="L344" i="16"/>
  <c r="L251" i="16"/>
  <c r="L318" i="16"/>
  <c r="L688" i="16"/>
  <c r="L92" i="16"/>
  <c r="L586" i="16"/>
  <c r="L453" i="16"/>
  <c r="L189" i="16"/>
  <c r="L690" i="16"/>
  <c r="L979" i="16"/>
  <c r="L1235" i="16"/>
  <c r="L1491" i="16"/>
  <c r="L1747" i="16"/>
  <c r="L2051" i="16"/>
  <c r="L105" i="16"/>
  <c r="L603" i="16"/>
  <c r="L829" i="16"/>
  <c r="L1085" i="16"/>
  <c r="L1309" i="16"/>
  <c r="L1517" i="16"/>
  <c r="L1741" i="16"/>
  <c r="L245" i="16"/>
  <c r="L657" i="16"/>
  <c r="L931" i="16"/>
  <c r="L1142" i="16"/>
  <c r="L1358" i="16"/>
  <c r="L1558" i="16"/>
  <c r="L1790" i="16"/>
  <c r="L2006" i="16"/>
  <c r="L66" i="16"/>
  <c r="L460" i="16"/>
  <c r="L685" i="16"/>
  <c r="L868" i="16"/>
  <c r="L1063" i="16"/>
  <c r="L1223" i="16"/>
  <c r="L1383" i="16"/>
  <c r="L1543" i="16"/>
  <c r="L1703" i="16"/>
  <c r="L1887" i="16"/>
  <c r="L2031" i="16"/>
  <c r="L2207" i="16"/>
  <c r="L566" i="16"/>
  <c r="L889" i="16"/>
  <c r="L1201" i="16"/>
  <c r="L1457" i="16"/>
  <c r="L1729" i="16"/>
  <c r="L1960" i="16"/>
  <c r="L2186" i="16"/>
  <c r="L2340" i="16"/>
  <c r="L2452" i="16"/>
  <c r="L2556" i="16"/>
  <c r="L2652" i="16"/>
  <c r="L499" i="16"/>
  <c r="L782" i="16"/>
  <c r="L996" i="16"/>
  <c r="L1204" i="16"/>
  <c r="L1396" i="16"/>
  <c r="L1604" i="16"/>
  <c r="L1828" i="16"/>
  <c r="L1949" i="16"/>
  <c r="L207" i="16"/>
  <c r="L24" i="16"/>
  <c r="L352" i="16"/>
  <c r="L347" i="16"/>
  <c r="L394" i="16"/>
  <c r="L744" i="16"/>
  <c r="L178" i="16"/>
  <c r="L650" i="16"/>
  <c r="L534" i="16"/>
  <c r="L314" i="16"/>
  <c r="L717" i="16"/>
  <c r="L1003" i="16"/>
  <c r="L1259" i="16"/>
  <c r="L1547" i="16"/>
  <c r="L1803" i="16"/>
  <c r="L2059" i="16"/>
  <c r="L218" i="16"/>
  <c r="L614" i="16"/>
  <c r="L902" i="16"/>
  <c r="L1101" i="16"/>
  <c r="L1341" i="16"/>
  <c r="L1533" i="16"/>
  <c r="L1757" i="16"/>
  <c r="L378" i="16"/>
  <c r="L684" i="16"/>
  <c r="L949" i="16"/>
  <c r="L1150" i="16"/>
  <c r="L1366" i="16"/>
  <c r="L1614" i="16"/>
  <c r="L1814" i="16"/>
  <c r="L2038" i="16"/>
  <c r="L109" i="16"/>
  <c r="L502" i="16"/>
  <c r="L722" i="16"/>
  <c r="L905" i="16"/>
  <c r="L1071" i="16"/>
  <c r="L1231" i="16"/>
  <c r="L1391" i="16"/>
  <c r="L1575" i="16"/>
  <c r="L1735" i="16"/>
  <c r="L1895" i="16"/>
  <c r="L2055" i="16"/>
  <c r="L2215" i="16"/>
  <c r="L651" i="16"/>
  <c r="L943" i="16"/>
  <c r="L1217" i="16"/>
  <c r="L1473" i="16"/>
  <c r="L1761" i="16"/>
  <c r="L2010" i="16"/>
  <c r="L2208" i="16"/>
  <c r="L2356" i="16"/>
  <c r="L2460" i="16"/>
  <c r="L2564" i="16"/>
  <c r="L124" i="16"/>
  <c r="L547" i="16"/>
  <c r="L801" i="16"/>
  <c r="L1012" i="16"/>
  <c r="L1220" i="16"/>
  <c r="L1444" i="16"/>
  <c r="L1636" i="16"/>
  <c r="L1844" i="16"/>
  <c r="L1962" i="16"/>
  <c r="L2090" i="16"/>
  <c r="L2200" i="16"/>
  <c r="L2278" i="16"/>
  <c r="L2350" i="16"/>
  <c r="L2422" i="16"/>
  <c r="L2494" i="16"/>
  <c r="L2566" i="16"/>
  <c r="L2646" i="16"/>
  <c r="L345" i="16"/>
  <c r="L597" i="16"/>
  <c r="L769" i="16"/>
  <c r="L933" i="16"/>
  <c r="L1080" i="16"/>
  <c r="L1224" i="16"/>
  <c r="L93" i="16"/>
  <c r="L449" i="16"/>
  <c r="L660" i="16"/>
  <c r="L825" i="16"/>
  <c r="L985" i="16"/>
  <c r="L1129" i="16"/>
  <c r="L161" i="16"/>
  <c r="L517" i="16"/>
  <c r="L705" i="16"/>
  <c r="L869" i="16"/>
  <c r="L1024" i="16"/>
  <c r="L1152" i="16"/>
  <c r="L1280" i="16"/>
  <c r="L1408" i="16"/>
  <c r="L1536" i="16"/>
  <c r="L1664" i="16"/>
  <c r="L1792" i="16"/>
  <c r="L1906" i="16"/>
  <c r="L467" i="16"/>
  <c r="L899" i="16"/>
  <c r="L1241" i="16"/>
  <c r="L1465" i="16"/>
  <c r="L1672" i="16"/>
  <c r="L1872" i="16"/>
  <c r="L2020" i="16"/>
  <c r="L2157" i="16"/>
  <c r="L2261" i="16"/>
  <c r="L2346" i="16"/>
  <c r="L2432" i="16"/>
  <c r="L2517" i="16"/>
  <c r="L2602" i="16"/>
  <c r="L313" i="16"/>
  <c r="L810" i="16"/>
  <c r="L1170" i="16"/>
  <c r="L1418" i="16"/>
  <c r="L1625" i="16"/>
  <c r="L1832" i="16"/>
  <c r="L1992" i="16"/>
  <c r="L2128" i="16"/>
  <c r="L2242" i="16"/>
  <c r="L2328" i="16"/>
  <c r="L2413" i="16"/>
  <c r="L2498" i="16"/>
  <c r="L2584" i="16"/>
  <c r="L97" i="16"/>
  <c r="L718" i="16"/>
  <c r="L1090" i="16"/>
  <c r="L1370" i="16"/>
  <c r="L1577" i="16"/>
  <c r="L1784" i="16"/>
  <c r="L1957" i="16"/>
  <c r="L2096" i="16"/>
  <c r="L2222" i="16"/>
  <c r="L2307" i="16"/>
  <c r="L2393" i="16"/>
  <c r="L2479" i="16"/>
  <c r="L2563" i="16"/>
  <c r="L2649" i="16"/>
  <c r="L679" i="16"/>
  <c r="L1052" i="16"/>
  <c r="L1352" i="16"/>
  <c r="L1554" i="16"/>
  <c r="L1756" i="16"/>
  <c r="L1941" i="16"/>
  <c r="L2081" i="16"/>
  <c r="L2209" i="16"/>
  <c r="L2298" i="16"/>
  <c r="L2384" i="16"/>
  <c r="L2469" i="16"/>
  <c r="L2554" i="16"/>
  <c r="L2640" i="16"/>
  <c r="L589" i="16"/>
  <c r="L986" i="16"/>
  <c r="L1298" i="16"/>
  <c r="L1513" i="16"/>
  <c r="L1720" i="16"/>
  <c r="L1909" i="16"/>
  <c r="L2053" i="16"/>
  <c r="L2185" i="16"/>
  <c r="L2281" i="16"/>
  <c r="L2367" i="16"/>
  <c r="L2451" i="16"/>
  <c r="L2537" i="16"/>
  <c r="L2623" i="16"/>
  <c r="L881" i="16"/>
  <c r="L255" i="16"/>
  <c r="L96" i="16"/>
  <c r="L408" i="16"/>
  <c r="L357" i="16"/>
  <c r="L404" i="16"/>
  <c r="L752" i="16"/>
  <c r="L306" i="16"/>
  <c r="L98" i="16"/>
  <c r="L57" i="16"/>
  <c r="L371" i="16"/>
  <c r="L754" i="16"/>
  <c r="L1043" i="16"/>
  <c r="L1299" i="16"/>
  <c r="L1555" i="16"/>
  <c r="L1811" i="16"/>
  <c r="L2067" i="16"/>
  <c r="L317" i="16"/>
  <c r="L674" i="16"/>
  <c r="L911" i="16"/>
  <c r="L1133" i="16"/>
  <c r="L1349" i="16"/>
  <c r="L1597" i="16"/>
  <c r="L1789" i="16"/>
  <c r="L410" i="16"/>
  <c r="L693" i="16"/>
  <c r="L966" i="16"/>
  <c r="L1206" i="16"/>
  <c r="L1406" i="16"/>
  <c r="L1622" i="16"/>
  <c r="L1830" i="16"/>
  <c r="L2046" i="16"/>
  <c r="L225" i="16"/>
  <c r="L539" i="16"/>
  <c r="L749" i="16"/>
  <c r="L923" i="16"/>
  <c r="L1095" i="16"/>
  <c r="L1263" i="16"/>
  <c r="L1423" i="16"/>
  <c r="L1583" i="16"/>
  <c r="L1743" i="16"/>
  <c r="L1903" i="16"/>
  <c r="L2087" i="16"/>
  <c r="L162" i="16"/>
  <c r="L669" i="16"/>
  <c r="L961" i="16"/>
  <c r="L1249" i="16"/>
  <c r="L1537" i="16"/>
  <c r="L1793" i="16"/>
  <c r="L2036" i="16"/>
  <c r="L2228" i="16"/>
  <c r="L2364" i="16"/>
  <c r="L2484" i="16"/>
  <c r="L2580" i="16"/>
  <c r="L172" i="16"/>
  <c r="L571" i="16"/>
  <c r="L819" i="16"/>
  <c r="L1060" i="16"/>
  <c r="L1252" i="16"/>
  <c r="L1460" i="16"/>
  <c r="L1652" i="16"/>
  <c r="L1860" i="16"/>
  <c r="L1988" i="16"/>
  <c r="L2104" i="16"/>
  <c r="L2210" i="16"/>
  <c r="L2286" i="16"/>
  <c r="L2358" i="16"/>
  <c r="L2430" i="16"/>
  <c r="L2502" i="16"/>
  <c r="L2582" i="16"/>
  <c r="L2654" i="16"/>
  <c r="L381" i="16"/>
  <c r="L618" i="16"/>
  <c r="L787" i="16"/>
  <c r="L951" i="16"/>
  <c r="L1096" i="16"/>
  <c r="L1256" i="16"/>
  <c r="L139" i="16"/>
  <c r="L480" i="16"/>
  <c r="L678" i="16"/>
  <c r="L843" i="16"/>
  <c r="L1001" i="16"/>
  <c r="L1145" i="16"/>
  <c r="L250" i="16"/>
  <c r="L541" i="16"/>
  <c r="L723" i="16"/>
  <c r="L887" i="16"/>
  <c r="L1040" i="16"/>
  <c r="L1168" i="16"/>
  <c r="L1296" i="16"/>
  <c r="L1424" i="16"/>
  <c r="L1552" i="16"/>
  <c r="L1680" i="16"/>
  <c r="L1808" i="16"/>
  <c r="L1920" i="16"/>
  <c r="L535" i="16"/>
  <c r="L945" i="16"/>
  <c r="L1273" i="16"/>
  <c r="L1490" i="16"/>
  <c r="L1692" i="16"/>
  <c r="L1890" i="16"/>
  <c r="L2037" i="16"/>
  <c r="L2173" i="16"/>
  <c r="L2272" i="16"/>
  <c r="L2357" i="16"/>
  <c r="L2442" i="16"/>
  <c r="L2528" i="16"/>
  <c r="L2613" i="16"/>
  <c r="L402" i="16"/>
  <c r="L862" i="16"/>
  <c r="L1212" i="16"/>
  <c r="L1448" i="16"/>
  <c r="L1650" i="16"/>
  <c r="L1852" i="16"/>
  <c r="L2008" i="16"/>
  <c r="L2145" i="16"/>
  <c r="L2253" i="16"/>
  <c r="L2338" i="16"/>
  <c r="L2424" i="16"/>
  <c r="L2509" i="16"/>
  <c r="L2594" i="16"/>
  <c r="L210" i="16"/>
  <c r="L771" i="16"/>
  <c r="L1132" i="16"/>
  <c r="L1400" i="16"/>
  <c r="L79" i="16"/>
  <c r="L399" i="16"/>
  <c r="L224" i="16"/>
  <c r="L101" i="16"/>
  <c r="L234" i="16"/>
  <c r="L616" i="16"/>
  <c r="L936" i="16"/>
  <c r="L503" i="16"/>
  <c r="L339" i="16"/>
  <c r="L76" i="16"/>
  <c r="L590" i="16"/>
  <c r="L909" i="16"/>
  <c r="L1155" i="16"/>
  <c r="L1427" i="16"/>
  <c r="L1723" i="16"/>
  <c r="L1963" i="16"/>
  <c r="L14" i="16"/>
  <c r="L500" i="16"/>
  <c r="L774" i="16"/>
  <c r="L1045" i="16"/>
  <c r="L1245" i="16"/>
  <c r="L1477" i="16"/>
  <c r="L1677" i="16"/>
  <c r="L131" i="16"/>
  <c r="L594" i="16"/>
  <c r="L839" i="16"/>
  <c r="L1078" i="16"/>
  <c r="L1286" i="16"/>
  <c r="L1494" i="16"/>
  <c r="L1742" i="16"/>
  <c r="L1958" i="16"/>
  <c r="L2150" i="16"/>
  <c r="L379" i="16"/>
  <c r="L637" i="16"/>
  <c r="L850" i="16"/>
  <c r="L1007" i="16"/>
  <c r="L1183" i="16"/>
  <c r="L1327" i="16"/>
  <c r="L1503" i="16"/>
  <c r="L1679" i="16"/>
  <c r="L1831" i="16"/>
  <c r="L1999" i="16"/>
  <c r="L2151" i="16"/>
  <c r="L465" i="16"/>
  <c r="L852" i="16"/>
  <c r="L1121" i="16"/>
  <c r="L1393" i="16"/>
  <c r="L1649" i="16"/>
  <c r="L1908" i="16"/>
  <c r="L2152" i="16"/>
  <c r="L2300" i="16"/>
  <c r="L2428" i="16"/>
  <c r="L2524" i="16"/>
  <c r="L2628" i="16"/>
  <c r="L438" i="16"/>
  <c r="L709" i="16"/>
  <c r="L947" i="16"/>
  <c r="L1140" i="16"/>
  <c r="L1348" i="16"/>
  <c r="L1572" i="16"/>
  <c r="L1764" i="16"/>
  <c r="L1924" i="16"/>
  <c r="L2040" i="16"/>
  <c r="L2154" i="16"/>
  <c r="L2246" i="16"/>
  <c r="L2326" i="16"/>
  <c r="L2398" i="16"/>
  <c r="L2470" i="16"/>
  <c r="L2542" i="16"/>
  <c r="L2614" i="16"/>
  <c r="L181" i="16"/>
  <c r="L505" i="16"/>
  <c r="L714" i="16"/>
  <c r="L878" i="16"/>
  <c r="L1032" i="16"/>
  <c r="L1176" i="16"/>
  <c r="L1320" i="16"/>
  <c r="L309" i="16"/>
  <c r="L578" i="16"/>
  <c r="L770" i="16"/>
  <c r="L934" i="16"/>
  <c r="L1081" i="16"/>
  <c r="L22" i="16"/>
  <c r="L397" i="16"/>
  <c r="L628" i="16"/>
  <c r="L796" i="16"/>
  <c r="L976" i="16"/>
  <c r="L1104" i="16"/>
  <c r="L1232" i="16"/>
  <c r="L1360" i="16"/>
  <c r="L1488" i="16"/>
  <c r="L1616" i="16"/>
  <c r="L1744" i="16"/>
  <c r="L1868" i="16"/>
  <c r="L164" i="16"/>
  <c r="L753" i="16"/>
  <c r="L1116" i="16"/>
  <c r="L1386" i="16"/>
  <c r="L1593" i="16"/>
  <c r="L1800" i="16"/>
  <c r="L1969" i="16"/>
  <c r="L2106" i="16"/>
  <c r="L2229" i="16"/>
  <c r="L2314" i="16"/>
  <c r="L2400" i="16"/>
  <c r="L2485" i="16"/>
  <c r="L2570" i="16"/>
  <c r="L2656" i="16"/>
  <c r="L663" i="16"/>
  <c r="L1042" i="16"/>
  <c r="L1340" i="16"/>
  <c r="L1546" i="16"/>
  <c r="L1753" i="16"/>
  <c r="L1938" i="16"/>
  <c r="L2076" i="16"/>
  <c r="L2205" i="16"/>
  <c r="L2296" i="16"/>
  <c r="L2381" i="16"/>
  <c r="L2466" i="16"/>
  <c r="L2552" i="16"/>
  <c r="L2637" i="16"/>
  <c r="L559" i="16"/>
  <c r="L962" i="16"/>
  <c r="L1282" i="16"/>
  <c r="L1498" i="16"/>
  <c r="L1705" i="16"/>
  <c r="L1900" i="16"/>
  <c r="L2044" i="16"/>
  <c r="L2180" i="16"/>
  <c r="L2275" i="16"/>
  <c r="L2361" i="16"/>
  <c r="L2447" i="16"/>
  <c r="L2531" i="16"/>
  <c r="L2617" i="16"/>
  <c r="L508" i="16"/>
  <c r="L919" i="16"/>
  <c r="L1257" i="16"/>
  <c r="L1480" i="16"/>
  <c r="L1682" i="16"/>
  <c r="L1880" i="16"/>
  <c r="L2029" i="16"/>
  <c r="L2165" i="16"/>
  <c r="L2266" i="16"/>
  <c r="L2352" i="16"/>
  <c r="L2437" i="16"/>
  <c r="L2522" i="16"/>
  <c r="L2608" i="16"/>
  <c r="L370" i="16"/>
  <c r="L844" i="16"/>
  <c r="L1196" i="16"/>
  <c r="L271" i="16"/>
  <c r="L91" i="16"/>
  <c r="L816" i="16"/>
  <c r="L70" i="16"/>
  <c r="L891" i="16"/>
  <c r="L1643" i="16"/>
  <c r="L356" i="16"/>
  <c r="L989" i="16"/>
  <c r="L1613" i="16"/>
  <c r="L766" i="16"/>
  <c r="L1278" i="16"/>
  <c r="L1910" i="16"/>
  <c r="L551" i="16"/>
  <c r="L991" i="16"/>
  <c r="L1479" i="16"/>
  <c r="L1935" i="16"/>
  <c r="L433" i="16"/>
  <c r="L1313" i="16"/>
  <c r="L2049" i="16"/>
  <c r="L2420" i="16"/>
  <c r="L299" i="16"/>
  <c r="L1076" i="16"/>
  <c r="L1524" i="16"/>
  <c r="L2013" i="16"/>
  <c r="L2230" i="16"/>
  <c r="L2374" i="16"/>
  <c r="L2526" i="16"/>
  <c r="L90" i="16"/>
  <c r="L659" i="16"/>
  <c r="L1000" i="16"/>
  <c r="L1288" i="16"/>
  <c r="L530" i="16"/>
  <c r="L879" i="16"/>
  <c r="L1193" i="16"/>
  <c r="L587" i="16"/>
  <c r="L924" i="16"/>
  <c r="L1200" i="16"/>
  <c r="L1456" i="16"/>
  <c r="L1712" i="16"/>
  <c r="L1945" i="16"/>
  <c r="L1034" i="16"/>
  <c r="L1544" i="16"/>
  <c r="L1930" i="16"/>
  <c r="L2202" i="16"/>
  <c r="L2378" i="16"/>
  <c r="L2549" i="16"/>
  <c r="L556" i="16"/>
  <c r="L1276" i="16"/>
  <c r="L1704" i="16"/>
  <c r="L2042" i="16"/>
  <c r="L2274" i="16"/>
  <c r="L2445" i="16"/>
  <c r="L2616" i="16"/>
  <c r="L865" i="16"/>
  <c r="L1449" i="16"/>
  <c r="L1804" i="16"/>
  <c r="L2028" i="16"/>
  <c r="L2206" i="16"/>
  <c r="L2329" i="16"/>
  <c r="L2435" i="16"/>
  <c r="L2553" i="16"/>
  <c r="L233" i="16"/>
  <c r="L871" i="16"/>
  <c r="L1321" i="16"/>
  <c r="L1608" i="16"/>
  <c r="L1861" i="16"/>
  <c r="L2064" i="16"/>
  <c r="L2234" i="16"/>
  <c r="L2341" i="16"/>
  <c r="L2458" i="16"/>
  <c r="L2576" i="16"/>
  <c r="L274" i="16"/>
  <c r="L938" i="16"/>
  <c r="L1356" i="16"/>
  <c r="L1592" i="16"/>
  <c r="L1818" i="16"/>
  <c r="L2002" i="16"/>
  <c r="L2156" i="16"/>
  <c r="L2271" i="16"/>
  <c r="L2377" i="16"/>
  <c r="L2473" i="16"/>
  <c r="L2569" i="16"/>
  <c r="L142" i="16"/>
  <c r="L1384" i="16"/>
  <c r="L1914" i="16"/>
  <c r="L2257" i="16"/>
  <c r="L2482" i="16"/>
  <c r="L481" i="16"/>
  <c r="L1402" i="16"/>
  <c r="L1928" i="16"/>
  <c r="L2263" i="16"/>
  <c r="L2491" i="16"/>
  <c r="L661" i="16"/>
  <c r="L1481" i="16"/>
  <c r="L1981" i="16"/>
  <c r="L2295" i="16"/>
  <c r="L2523" i="16"/>
  <c r="L682" i="16"/>
  <c r="L1482" i="16"/>
  <c r="L1989" i="16"/>
  <c r="L2299" i="16"/>
  <c r="L2525" i="16"/>
  <c r="L734" i="16"/>
  <c r="L1512" i="16"/>
  <c r="L2005" i="16"/>
  <c r="L2311" i="16"/>
  <c r="L2536" i="16"/>
  <c r="L1274" i="16"/>
  <c r="L2363" i="16"/>
  <c r="L1506" i="16"/>
  <c r="L2459" i="16"/>
  <c r="L1708" i="16"/>
  <c r="L2545" i="16"/>
  <c r="L1904" i="16"/>
  <c r="L2631" i="16"/>
  <c r="L2084" i="16"/>
  <c r="L883" i="16"/>
  <c r="L2333" i="16"/>
  <c r="L545" i="16"/>
  <c r="L1948" i="16"/>
  <c r="L1432" i="16"/>
  <c r="L2503" i="16"/>
  <c r="L2624" i="16"/>
  <c r="L316" i="16"/>
  <c r="L2112" i="16"/>
  <c r="L2489" i="16"/>
  <c r="L1426" i="16"/>
  <c r="L327" i="16"/>
  <c r="L52" i="16"/>
  <c r="L928" i="16"/>
  <c r="L156" i="16"/>
  <c r="L1091" i="16"/>
  <c r="L1659" i="16"/>
  <c r="L409" i="16"/>
  <c r="L1173" i="16"/>
  <c r="L1661" i="16"/>
  <c r="L785" i="16"/>
  <c r="L1414" i="16"/>
  <c r="L1918" i="16"/>
  <c r="L606" i="16"/>
  <c r="L1119" i="16"/>
  <c r="L1487" i="16"/>
  <c r="L1951" i="16"/>
  <c r="L706" i="16"/>
  <c r="L1377" i="16"/>
  <c r="L2088" i="16"/>
  <c r="L2492" i="16"/>
  <c r="L334" i="16"/>
  <c r="L1092" i="16"/>
  <c r="L1700" i="16"/>
  <c r="L2026" i="16"/>
  <c r="L2238" i="16"/>
  <c r="L2390" i="16"/>
  <c r="L2534" i="16"/>
  <c r="L137" i="16"/>
  <c r="L677" i="16"/>
  <c r="L1016" i="16"/>
  <c r="L1304" i="16"/>
  <c r="L555" i="16"/>
  <c r="L916" i="16"/>
  <c r="L1209" i="16"/>
  <c r="L607" i="16"/>
  <c r="L942" i="16"/>
  <c r="L1216" i="16"/>
  <c r="L1472" i="16"/>
  <c r="L1728" i="16"/>
  <c r="L51" i="16"/>
  <c r="L1074" i="16"/>
  <c r="L1564" i="16"/>
  <c r="L1953" i="16"/>
  <c r="L2216" i="16"/>
  <c r="L2389" i="16"/>
  <c r="L2560" i="16"/>
  <c r="L610" i="16"/>
  <c r="L1308" i="16"/>
  <c r="L1724" i="16"/>
  <c r="L2058" i="16"/>
  <c r="L2285" i="16"/>
  <c r="L2456" i="16"/>
  <c r="L2626" i="16"/>
  <c r="L917" i="16"/>
  <c r="L1474" i="16"/>
  <c r="L1833" i="16"/>
  <c r="L2060" i="16"/>
  <c r="L2233" i="16"/>
  <c r="L2339" i="16"/>
  <c r="L2457" i="16"/>
  <c r="L2575" i="16"/>
  <c r="L331" i="16"/>
  <c r="L970" i="16"/>
  <c r="L1372" i="16"/>
  <c r="L1628" i="16"/>
  <c r="L1901" i="16"/>
  <c r="L2097" i="16"/>
  <c r="L2245" i="16"/>
  <c r="L2362" i="16"/>
  <c r="L2480" i="16"/>
  <c r="L2586" i="16"/>
  <c r="L454" i="16"/>
  <c r="L1026" i="16"/>
  <c r="L1385" i="16"/>
  <c r="L1612" i="16"/>
  <c r="L1848" i="16"/>
  <c r="L2018" i="16"/>
  <c r="L2172" i="16"/>
  <c r="L2291" i="16"/>
  <c r="L2387" i="16"/>
  <c r="L2483" i="16"/>
  <c r="L2579" i="16"/>
  <c r="L434" i="16"/>
  <c r="L1452" i="16"/>
  <c r="L1965" i="16"/>
  <c r="L2283" i="16"/>
  <c r="L2513" i="16"/>
  <c r="L642" i="16"/>
  <c r="L1466" i="16"/>
  <c r="L1980" i="16"/>
  <c r="L2290" i="16"/>
  <c r="L2519" i="16"/>
  <c r="L789" i="16"/>
  <c r="L1545" i="16"/>
  <c r="L2032" i="16"/>
  <c r="L2322" i="16"/>
  <c r="L2551" i="16"/>
  <c r="L807" i="16"/>
  <c r="L1560" i="16"/>
  <c r="L2033" i="16"/>
  <c r="L2327" i="16"/>
  <c r="L2555" i="16"/>
  <c r="L853" i="16"/>
  <c r="L1580" i="16"/>
  <c r="L2050" i="16"/>
  <c r="L2337" i="16"/>
  <c r="L2567" i="16"/>
  <c r="L1458" i="16"/>
  <c r="L2443" i="16"/>
  <c r="L1698" i="16"/>
  <c r="L2535" i="16"/>
  <c r="L1892" i="16"/>
  <c r="L2619" i="16"/>
  <c r="L2041" i="16"/>
  <c r="L579" i="16"/>
  <c r="L2196" i="16"/>
  <c r="L1570" i="16"/>
  <c r="L2529" i="16"/>
  <c r="L1388" i="16"/>
  <c r="L2258" i="16"/>
  <c r="L2375" i="16"/>
  <c r="L2642" i="16"/>
  <c r="L451" i="16"/>
  <c r="L1468" i="16"/>
  <c r="L2255" i="16"/>
  <c r="L569" i="16"/>
  <c r="L1961" i="16"/>
  <c r="L391" i="16"/>
  <c r="L74" i="16"/>
  <c r="L321" i="16"/>
  <c r="L171" i="16"/>
  <c r="L1099" i="16"/>
  <c r="L1867" i="16"/>
  <c r="L485" i="16"/>
  <c r="L1181" i="16"/>
  <c r="L1813" i="16"/>
  <c r="L803" i="16"/>
  <c r="L1478" i="16"/>
  <c r="L2070" i="16"/>
  <c r="L627" i="16"/>
  <c r="L1127" i="16"/>
  <c r="L1607" i="16"/>
  <c r="L1991" i="16"/>
  <c r="L742" i="16"/>
  <c r="L1569" i="16"/>
  <c r="L2100" i="16"/>
  <c r="L2500" i="16"/>
  <c r="L634" i="16"/>
  <c r="L1124" i="16"/>
  <c r="L1716" i="16"/>
  <c r="L2065" i="16"/>
  <c r="L2270" i="16"/>
  <c r="L2414" i="16"/>
  <c r="L2558" i="16"/>
  <c r="L307" i="16"/>
  <c r="L750" i="16"/>
  <c r="L1064" i="16"/>
  <c r="L3" i="16"/>
  <c r="L639" i="16"/>
  <c r="L969" i="16"/>
  <c r="L115" i="16"/>
  <c r="L686" i="16"/>
  <c r="L1008" i="16"/>
  <c r="L1264" i="16"/>
  <c r="L1520" i="16"/>
  <c r="L1776" i="16"/>
  <c r="L386" i="16"/>
  <c r="L1202" i="16"/>
  <c r="L1642" i="16"/>
  <c r="L2004" i="16"/>
  <c r="L2250" i="16"/>
  <c r="L2421" i="16"/>
  <c r="L2592" i="16"/>
  <c r="L762" i="16"/>
  <c r="L1394" i="16"/>
  <c r="L1802" i="16"/>
  <c r="L2109" i="16"/>
  <c r="L2317" i="16"/>
  <c r="L2488" i="16"/>
  <c r="L2658" i="16"/>
  <c r="L1050" i="16"/>
  <c r="L1548" i="16"/>
  <c r="L1858" i="16"/>
  <c r="L2080" i="16"/>
  <c r="L2243" i="16"/>
  <c r="L2351" i="16"/>
  <c r="L2467" i="16"/>
  <c r="L2585" i="16"/>
  <c r="L421" i="16"/>
  <c r="L1010" i="16"/>
  <c r="L1401" i="16"/>
  <c r="L1657" i="16"/>
  <c r="L1922" i="16"/>
  <c r="L2114" i="16"/>
  <c r="L2256" i="16"/>
  <c r="L2373" i="16"/>
  <c r="L2490" i="16"/>
  <c r="L2597" i="16"/>
  <c r="L532" i="16"/>
  <c r="L1068" i="16"/>
  <c r="L1410" i="16"/>
  <c r="L1641" i="16"/>
  <c r="L1866" i="16"/>
  <c r="L2034" i="16"/>
  <c r="L2201" i="16"/>
  <c r="L2303" i="16"/>
  <c r="L2399" i="16"/>
  <c r="L2495" i="16"/>
  <c r="L2591" i="16"/>
  <c r="L602" i="16"/>
  <c r="L1516" i="16"/>
  <c r="L2016" i="16"/>
  <c r="L2312" i="16"/>
  <c r="L2539" i="16"/>
  <c r="L780" i="16"/>
  <c r="L1532" i="16"/>
  <c r="L2021" i="16"/>
  <c r="L2321" i="16"/>
  <c r="L2546" i="16"/>
  <c r="L926" i="16"/>
  <c r="L1610" i="16"/>
  <c r="L2073" i="16"/>
  <c r="L2353" i="16"/>
  <c r="L2578" i="16"/>
  <c r="L935" i="16"/>
  <c r="L1624" i="16"/>
  <c r="L2082" i="16"/>
  <c r="L2354" i="16"/>
  <c r="L2583" i="16"/>
  <c r="L978" i="16"/>
  <c r="L1644" i="16"/>
  <c r="L2098" i="16"/>
  <c r="L2365" i="16"/>
  <c r="L2593" i="16"/>
  <c r="L1640" i="16"/>
  <c r="L2514" i="16"/>
  <c r="L1865" i="16"/>
  <c r="L2615" i="16"/>
  <c r="L2017" i="16"/>
  <c r="L355" i="16"/>
  <c r="L2153" i="16"/>
  <c r="L954" i="16"/>
  <c r="L2279" i="16"/>
  <c r="L1996" i="16"/>
  <c r="L58" i="16"/>
  <c r="L1842" i="16"/>
  <c r="L2449" i="16"/>
  <c r="L1594" i="16"/>
  <c r="L908" i="16"/>
  <c r="L1602" i="16"/>
  <c r="L2371" i="16"/>
  <c r="L1098" i="16"/>
  <c r="L2132" i="16"/>
  <c r="L144" i="16"/>
  <c r="L148" i="16"/>
  <c r="L401" i="16"/>
  <c r="L497" i="16"/>
  <c r="L1147" i="16"/>
  <c r="L1915" i="16"/>
  <c r="L683" i="16"/>
  <c r="L1221" i="16"/>
  <c r="L18" i="16"/>
  <c r="L982" i="16"/>
  <c r="L1486" i="16"/>
  <c r="L2086" i="16"/>
  <c r="L758" i="16"/>
  <c r="L1167" i="16"/>
  <c r="L1631" i="16"/>
  <c r="L2095" i="16"/>
  <c r="L779" i="16"/>
  <c r="L1585" i="16"/>
  <c r="L2260" i="16"/>
  <c r="L2516" i="16"/>
  <c r="L654" i="16"/>
  <c r="L1268" i="16"/>
  <c r="L1732" i="16"/>
  <c r="L2116" i="16"/>
  <c r="L2294" i="16"/>
  <c r="L2438" i="16"/>
  <c r="L2590" i="16"/>
  <c r="L413" i="16"/>
  <c r="L805" i="16"/>
  <c r="L1128" i="16"/>
  <c r="L186" i="16"/>
  <c r="L697" i="16"/>
  <c r="L1017" i="16"/>
  <c r="L289" i="16"/>
  <c r="L741" i="16"/>
  <c r="L1056" i="16"/>
  <c r="L1312" i="16"/>
  <c r="L1568" i="16"/>
  <c r="L1824" i="16"/>
  <c r="L599" i="16"/>
  <c r="L1305" i="16"/>
  <c r="L1721" i="16"/>
  <c r="L2056" i="16"/>
  <c r="L2282" i="16"/>
  <c r="L2453" i="16"/>
  <c r="L1876" i="16"/>
  <c r="L2161" i="16"/>
  <c r="L2349" i="16"/>
  <c r="L2520" i="16"/>
  <c r="L1178" i="16"/>
  <c r="L1877" i="16"/>
  <c r="L2595" i="16"/>
  <c r="L1706" i="16"/>
  <c r="L152" i="16"/>
  <c r="L496" i="16"/>
  <c r="L425" i="16"/>
  <c r="L509" i="16"/>
  <c r="L1339" i="16"/>
  <c r="L1923" i="16"/>
  <c r="L738" i="16"/>
  <c r="L1389" i="16"/>
  <c r="L38" i="16"/>
  <c r="L1022" i="16"/>
  <c r="L1654" i="16"/>
  <c r="L2134" i="16"/>
  <c r="L786" i="16"/>
  <c r="L1287" i="16"/>
  <c r="L1639" i="16"/>
  <c r="L2119" i="16"/>
  <c r="L1025" i="16"/>
  <c r="L1633" i="16"/>
  <c r="L2268" i="16"/>
  <c r="L2588" i="16"/>
  <c r="L673" i="16"/>
  <c r="L1316" i="16"/>
  <c r="L1885" i="16"/>
  <c r="L2129" i="16"/>
  <c r="L2302" i="16"/>
  <c r="L2454" i="16"/>
  <c r="L2598" i="16"/>
  <c r="L445" i="16"/>
  <c r="L823" i="16"/>
  <c r="L1144" i="16"/>
  <c r="L230" i="16"/>
  <c r="L715" i="16"/>
  <c r="L1049" i="16"/>
  <c r="L326" i="16"/>
  <c r="L759" i="16"/>
  <c r="L1072" i="16"/>
  <c r="L1328" i="16"/>
  <c r="L1584" i="16"/>
  <c r="L1840" i="16"/>
  <c r="L652" i="16"/>
  <c r="L1337" i="16"/>
  <c r="L1746" i="16"/>
  <c r="L2072" i="16"/>
  <c r="L2293" i="16"/>
  <c r="L2464" i="16"/>
  <c r="L2634" i="16"/>
  <c r="L956" i="16"/>
  <c r="L1497" i="16"/>
  <c r="L1897" i="16"/>
  <c r="L2177" i="16"/>
  <c r="L2360" i="16"/>
  <c r="L2530" i="16"/>
  <c r="L419" i="16"/>
  <c r="L1218" i="16"/>
  <c r="L1626" i="16"/>
  <c r="L1940" i="16"/>
  <c r="L2130" i="16"/>
  <c r="L2265" i="16"/>
  <c r="L2383" i="16"/>
  <c r="L2499" i="16"/>
  <c r="L2607" i="16"/>
  <c r="L623" i="16"/>
  <c r="L1138" i="16"/>
  <c r="L1450" i="16"/>
  <c r="L1736" i="16"/>
  <c r="L1978" i="16"/>
  <c r="L2148" i="16"/>
  <c r="L2288" i="16"/>
  <c r="L2405" i="16"/>
  <c r="L2512" i="16"/>
  <c r="L2629" i="16"/>
  <c r="L698" i="16"/>
  <c r="L1154" i="16"/>
  <c r="L1464" i="16"/>
  <c r="L1690" i="16"/>
  <c r="L1929" i="16"/>
  <c r="L2085" i="16"/>
  <c r="L2226" i="16"/>
  <c r="L2323" i="16"/>
  <c r="L2419" i="16"/>
  <c r="L2515" i="16"/>
  <c r="L2611" i="16"/>
  <c r="L994" i="16"/>
  <c r="L1658" i="16"/>
  <c r="L2101" i="16"/>
  <c r="L2369" i="16"/>
  <c r="L2599" i="16"/>
  <c r="L1020" i="16"/>
  <c r="L1673" i="16"/>
  <c r="L2117" i="16"/>
  <c r="L2376" i="16"/>
  <c r="L2603" i="16"/>
  <c r="L1148" i="16"/>
  <c r="L1752" i="16"/>
  <c r="L2169" i="16"/>
  <c r="L2408" i="16"/>
  <c r="L2635" i="16"/>
  <c r="L1164" i="16"/>
  <c r="L1762" i="16"/>
  <c r="L2170" i="16"/>
  <c r="L2411" i="16"/>
  <c r="L2641" i="16"/>
  <c r="L1210" i="16"/>
  <c r="L1786" i="16"/>
  <c r="L2184" i="16"/>
  <c r="L2423" i="16"/>
  <c r="L2651" i="16"/>
  <c r="L1970" i="16"/>
  <c r="L188" i="16"/>
  <c r="L2133" i="16"/>
  <c r="L755" i="16"/>
  <c r="L2247" i="16"/>
  <c r="L1122" i="16"/>
  <c r="L2331" i="16"/>
  <c r="L1433" i="16"/>
  <c r="L2429" i="16"/>
  <c r="L2487" i="16"/>
  <c r="L1768" i="16"/>
  <c r="L2417" i="16"/>
  <c r="L1018" i="16"/>
  <c r="L1925" i="16"/>
  <c r="L1772" i="16"/>
  <c r="L1411" i="16"/>
  <c r="L967" i="16"/>
  <c r="L2141" i="16"/>
  <c r="L915" i="16"/>
  <c r="L700" i="16"/>
  <c r="L670" i="16"/>
  <c r="L1500" i="16"/>
  <c r="L1114" i="16"/>
  <c r="L737" i="16"/>
  <c r="L1036" i="16"/>
  <c r="L1100" i="16"/>
  <c r="L1228" i="16"/>
  <c r="L238" i="16"/>
  <c r="L1332" i="16"/>
  <c r="L988" i="16"/>
  <c r="L2415" i="16"/>
  <c r="L2426" i="16"/>
  <c r="L1226" i="16"/>
  <c r="L2237" i="16"/>
  <c r="L2251" i="16"/>
  <c r="L1660" i="16"/>
  <c r="L7" i="16"/>
  <c r="L110" i="16"/>
  <c r="L1603" i="16"/>
  <c r="L1437" i="16"/>
  <c r="L1670" i="16"/>
  <c r="L975" i="16"/>
  <c r="L206" i="16"/>
  <c r="L2276" i="16"/>
  <c r="L929" i="16"/>
  <c r="L2189" i="16"/>
  <c r="L2606" i="16"/>
  <c r="L968" i="16"/>
  <c r="L806" i="16"/>
  <c r="L778" i="16"/>
  <c r="L1440" i="16"/>
  <c r="L846" i="16"/>
  <c r="L2089" i="16"/>
  <c r="L2538" i="16"/>
  <c r="L1596" i="16"/>
  <c r="L2370" i="16"/>
  <c r="L817" i="16"/>
  <c r="L1993" i="16"/>
  <c r="L2403" i="16"/>
  <c r="L102" i="16"/>
  <c r="L1529" i="16"/>
  <c r="L2181" i="16"/>
  <c r="L2416" i="16"/>
  <c r="L2650" i="16"/>
  <c r="L1234" i="16"/>
  <c r="L1740" i="16"/>
  <c r="L2105" i="16"/>
  <c r="L2335" i="16"/>
  <c r="L2527" i="16"/>
  <c r="L1106" i="16"/>
  <c r="L2149" i="16"/>
  <c r="L2625" i="16"/>
  <c r="L1738" i="16"/>
  <c r="L2407" i="16"/>
  <c r="L1258" i="16"/>
  <c r="L2204" i="16"/>
  <c r="L4" i="16"/>
  <c r="L1826" i="16"/>
  <c r="L2440" i="16"/>
  <c r="L1292" i="16"/>
  <c r="L2224" i="16"/>
  <c r="L11" i="16"/>
  <c r="L707" i="16"/>
  <c r="L1082" i="16"/>
  <c r="L1368" i="16"/>
  <c r="L1634" i="16"/>
  <c r="L1186" i="16"/>
  <c r="L2600" i="16"/>
  <c r="L2571" i="16"/>
  <c r="L1295" i="16"/>
  <c r="L2221" i="16"/>
  <c r="L2645" i="16"/>
  <c r="L29" i="16"/>
  <c r="L1816" i="16"/>
  <c r="L1066" i="16"/>
  <c r="L2123" i="16"/>
  <c r="L2630" i="16"/>
  <c r="L2402" i="16"/>
  <c r="L1266" i="16"/>
  <c r="L2433" i="16"/>
  <c r="L1354" i="16"/>
  <c r="L216" i="16"/>
  <c r="L324" i="16"/>
  <c r="L2155" i="16"/>
  <c r="L443" i="16"/>
  <c r="L1878" i="16"/>
  <c r="L1319" i="16"/>
  <c r="L1057" i="16"/>
  <c r="L2396" i="16"/>
  <c r="L1476" i="16"/>
  <c r="L2310" i="16"/>
  <c r="L45" i="16"/>
  <c r="L1208" i="16"/>
  <c r="L1065" i="16"/>
  <c r="L906" i="16"/>
  <c r="L1648" i="16"/>
  <c r="L1362" i="16"/>
  <c r="L2188" i="16"/>
  <c r="L194" i="16"/>
  <c r="L1916" i="16"/>
  <c r="L2434" i="16"/>
  <c r="L1346" i="16"/>
  <c r="L2146" i="16"/>
  <c r="L2425" i="16"/>
  <c r="L773" i="16"/>
  <c r="L1785" i="16"/>
  <c r="L2223" i="16"/>
  <c r="L2448" i="16"/>
  <c r="L147" i="16"/>
  <c r="L1330" i="16"/>
  <c r="L1794" i="16"/>
  <c r="L2137" i="16"/>
  <c r="L2355" i="16"/>
  <c r="L2559" i="16"/>
  <c r="L1306" i="16"/>
  <c r="L2225" i="16"/>
  <c r="L237" i="16"/>
  <c r="L1874" i="16"/>
  <c r="L2461" i="16"/>
  <c r="L1404" i="16"/>
  <c r="L2267" i="16"/>
  <c r="L519" i="16"/>
  <c r="L1944" i="16"/>
  <c r="L2497" i="16"/>
  <c r="L1442" i="16"/>
  <c r="L2280" i="16"/>
  <c r="L972" i="16"/>
  <c r="L1322" i="16"/>
  <c r="L1530" i="16"/>
  <c r="L1737" i="16"/>
  <c r="L1954" i="16"/>
  <c r="L2066" i="16"/>
  <c r="L1496" i="16"/>
  <c r="L2174" i="16"/>
  <c r="L2395" i="16"/>
  <c r="L2000" i="16"/>
  <c r="L2248" i="16"/>
  <c r="L1194" i="16"/>
  <c r="L689" i="16"/>
  <c r="L2160" i="16"/>
  <c r="L2439" i="16"/>
  <c r="L2212" i="16"/>
  <c r="L1850" i="16"/>
  <c r="L2231" i="16"/>
  <c r="L2504" i="16"/>
  <c r="L818" i="16"/>
  <c r="L1062" i="16"/>
  <c r="L1799" i="16"/>
  <c r="L1912" i="16"/>
  <c r="L417" i="16"/>
  <c r="L1770" i="16"/>
  <c r="L2192" i="16"/>
  <c r="L2287" i="16"/>
  <c r="L1994" i="16"/>
  <c r="L791" i="16"/>
  <c r="L2249" i="16"/>
  <c r="L1788" i="16"/>
  <c r="L2198" i="16"/>
  <c r="L2465" i="16"/>
  <c r="L1905" i="16"/>
  <c r="L2305" i="16"/>
  <c r="L2587" i="16"/>
  <c r="L1403" i="16"/>
  <c r="L795" i="16"/>
  <c r="L855" i="16"/>
  <c r="L860" i="16"/>
  <c r="L1344" i="16"/>
  <c r="L1849" i="16"/>
  <c r="L1244" i="16"/>
  <c r="L494" i="16"/>
  <c r="L2627" i="16"/>
  <c r="L2565" i="16"/>
  <c r="L1984" i="16"/>
  <c r="L2463" i="16"/>
  <c r="L2455" i="16"/>
  <c r="L2235" i="16"/>
  <c r="L2493" i="16"/>
  <c r="L2269" i="16"/>
  <c r="L2507" i="16"/>
  <c r="L2472" i="16"/>
  <c r="L2561" i="16"/>
  <c r="L808" i="16"/>
  <c r="L1405" i="16"/>
  <c r="L2143" i="16"/>
  <c r="L2518" i="16"/>
  <c r="L1392" i="16"/>
  <c r="L2264" i="16"/>
  <c r="L2045" i="16"/>
  <c r="L2069" i="16"/>
  <c r="L2568" i="16"/>
  <c r="L2120" i="16"/>
  <c r="L2144" i="16"/>
  <c r="L828" i="16"/>
  <c r="L15" i="16"/>
  <c r="L2388" i="16"/>
  <c r="L1600" i="16"/>
  <c r="L2009" i="16"/>
  <c r="L1769" i="16"/>
  <c r="L2653" i="16"/>
  <c r="L2471" i="16"/>
  <c r="L1561" i="16"/>
  <c r="L416" i="16"/>
  <c r="L557" i="16"/>
  <c r="L2219" i="16"/>
  <c r="L514" i="16"/>
  <c r="L246" i="16"/>
  <c r="L1439" i="16"/>
  <c r="L1073" i="16"/>
  <c r="L2612" i="16"/>
  <c r="L1508" i="16"/>
  <c r="L2342" i="16"/>
  <c r="L478" i="16"/>
  <c r="L1272" i="16"/>
  <c r="L1113" i="16"/>
  <c r="L1088" i="16"/>
  <c r="L1696" i="16"/>
  <c r="L1436" i="16"/>
  <c r="L2304" i="16"/>
  <c r="L484" i="16"/>
  <c r="L1973" i="16"/>
  <c r="L2541" i="16"/>
  <c r="L1420" i="16"/>
  <c r="L2162" i="16"/>
  <c r="L2511" i="16"/>
  <c r="L826" i="16"/>
  <c r="L1810" i="16"/>
  <c r="L2277" i="16"/>
  <c r="L2501" i="16"/>
  <c r="L644" i="16"/>
  <c r="L1434" i="16"/>
  <c r="L1889" i="16"/>
  <c r="L2214" i="16"/>
  <c r="L2409" i="16"/>
  <c r="L2601" i="16"/>
  <c r="L1586" i="16"/>
  <c r="L2343" i="16"/>
  <c r="L901" i="16"/>
  <c r="L2068" i="16"/>
  <c r="L2577" i="16"/>
  <c r="L1688" i="16"/>
  <c r="L2379" i="16"/>
  <c r="L1058" i="16"/>
  <c r="L2124" i="16"/>
  <c r="L2610" i="16"/>
  <c r="L1714" i="16"/>
  <c r="L1836" i="16"/>
  <c r="L2136" i="16"/>
  <c r="L2359" i="16"/>
  <c r="L2647" i="16"/>
  <c r="L1146" i="16"/>
  <c r="L1817" i="16"/>
  <c r="L118" i="16"/>
  <c r="L2092" i="16"/>
  <c r="L2315" i="16"/>
  <c r="L2108" i="16"/>
  <c r="L544" i="16"/>
  <c r="L323" i="16"/>
  <c r="L1825" i="16"/>
  <c r="L2462" i="16"/>
  <c r="L364" i="16"/>
  <c r="L2368" i="16"/>
  <c r="L2605" i="16"/>
  <c r="L2543" i="16"/>
  <c r="L2320" i="16"/>
  <c r="L1538" i="16"/>
  <c r="L2441" i="16"/>
  <c r="L2427" i="16"/>
  <c r="L257" i="16"/>
  <c r="L2241" i="16"/>
  <c r="L2481" i="16"/>
  <c r="L2391" i="16"/>
  <c r="L2344" i="16"/>
  <c r="L552" i="16"/>
  <c r="L1222" i="16"/>
  <c r="L1882" i="16"/>
  <c r="L2486" i="16"/>
  <c r="L462" i="16"/>
  <c r="L2474" i="16"/>
  <c r="L2232" i="16"/>
  <c r="L1754" i="16"/>
  <c r="L1289" i="16"/>
  <c r="L2330" i="16"/>
  <c r="L1562" i="16"/>
  <c r="L2655" i="16"/>
  <c r="L1324" i="16"/>
  <c r="L510" i="16"/>
  <c r="L1417" i="16"/>
  <c r="L1964" i="16"/>
  <c r="L2386" i="16"/>
  <c r="L2657" i="16"/>
  <c r="L1896" i="16"/>
  <c r="L565" i="16"/>
  <c r="L1522" i="16"/>
  <c r="L2639" i="16"/>
  <c r="L1666" i="16"/>
  <c r="L2057" i="16"/>
  <c r="L2609" i="16"/>
  <c r="L2589" i="16"/>
  <c r="L2182" i="16"/>
  <c r="L1702" i="16"/>
  <c r="L1160" i="16"/>
  <c r="L2140" i="16"/>
  <c r="L725" i="16"/>
  <c r="L2121" i="16"/>
  <c r="L2190" i="16"/>
  <c r="L1888" i="16"/>
  <c r="L1801" i="16"/>
  <c r="L81" i="16"/>
  <c r="L809" i="16"/>
  <c r="L765" i="16"/>
  <c r="L526" i="16"/>
  <c r="L285" i="16"/>
  <c r="L1775" i="16"/>
  <c r="L1281" i="16"/>
  <c r="L2620" i="16"/>
  <c r="L1898" i="16"/>
  <c r="L2366" i="16"/>
  <c r="L575" i="16"/>
  <c r="L270" i="16"/>
  <c r="L1177" i="16"/>
  <c r="L1136" i="16"/>
  <c r="L1856" i="16"/>
  <c r="L1514" i="16"/>
  <c r="L2336" i="16"/>
  <c r="L1002" i="16"/>
  <c r="L2025" i="16"/>
  <c r="L2573" i="16"/>
  <c r="L1656" i="16"/>
  <c r="L2193" i="16"/>
  <c r="L2521" i="16"/>
  <c r="L1180" i="16"/>
  <c r="L1834" i="16"/>
  <c r="L2309" i="16"/>
  <c r="L2533" i="16"/>
  <c r="L743" i="16"/>
  <c r="L1484" i="16"/>
  <c r="L1952" i="16"/>
  <c r="L2239" i="16"/>
  <c r="L2431" i="16"/>
  <c r="L2633" i="16"/>
  <c r="L1722" i="16"/>
  <c r="L2397" i="16"/>
  <c r="L2632" i="16"/>
  <c r="L1260" i="16"/>
  <c r="L2450" i="16"/>
  <c r="L2401" i="16"/>
  <c r="L2217" i="16"/>
  <c r="L921" i="16"/>
  <c r="L217" i="16"/>
  <c r="L638" i="16"/>
  <c r="L1184" i="16"/>
  <c r="L1893" i="16"/>
  <c r="L1130" i="16"/>
  <c r="L1676" i="16"/>
  <c r="L1225" i="16"/>
  <c r="L2544" i="16"/>
  <c r="L1968" i="16"/>
  <c r="L2643" i="16"/>
  <c r="L1242" i="16"/>
  <c r="L1884" i="16"/>
  <c r="L1353" i="16"/>
  <c r="L389" i="16"/>
  <c r="L2213" i="16"/>
  <c r="L2475" i="16"/>
  <c r="L1290" i="16"/>
  <c r="L973" i="16"/>
  <c r="L1807" i="16"/>
  <c r="L2001" i="16"/>
  <c r="L506" i="16"/>
  <c r="L1932" i="16"/>
  <c r="L2297" i="16"/>
  <c r="L2012" i="16"/>
  <c r="L890" i="16"/>
  <c r="L2259" i="16"/>
  <c r="L1864" i="16"/>
  <c r="L1936" i="16"/>
  <c r="L581" i="16"/>
  <c r="L2289" i="16"/>
  <c r="L2557" i="16"/>
  <c r="L2301" i="16"/>
  <c r="L874" i="16"/>
  <c r="L1913" i="16"/>
  <c r="L1977" i="16"/>
  <c r="L2618" i="16"/>
  <c r="L2505" i="16"/>
  <c r="L2347" i="16"/>
  <c r="L2385" i="16"/>
  <c r="L349" i="16"/>
  <c r="L2418" i="16"/>
  <c r="L365" i="16"/>
  <c r="L851" i="16"/>
  <c r="L1250" i="16"/>
  <c r="L2194" i="16"/>
  <c r="L2547" i="16"/>
  <c r="L292" i="16"/>
  <c r="L630" i="16"/>
  <c r="L2048" i="16"/>
  <c r="L1230" i="16"/>
  <c r="L733" i="16"/>
  <c r="L2506" i="16"/>
  <c r="L2319" i="16"/>
  <c r="L2394" i="16"/>
  <c r="L2313" i="16"/>
  <c r="L1609" i="16"/>
  <c r="L1689" i="16"/>
  <c r="L2621" i="16"/>
  <c r="L2273" i="16"/>
  <c r="L1605" i="16"/>
  <c r="L861" i="16"/>
  <c r="L1674" i="16"/>
  <c r="L1578" i="16"/>
  <c r="L2345" i="16"/>
  <c r="L1338" i="16"/>
  <c r="L1378" i="16"/>
  <c r="L835" i="16"/>
  <c r="B7" i="16" l="1"/>
  <c r="B5" i="16"/>
  <c r="B137" i="16"/>
  <c r="B65" i="16"/>
  <c r="B81" i="16"/>
  <c r="B73" i="16"/>
  <c r="B121" i="16"/>
  <c r="B57" i="16"/>
  <c r="B113" i="16"/>
  <c r="B49" i="16"/>
  <c r="B105" i="16"/>
  <c r="B40" i="16"/>
  <c r="B97" i="16"/>
  <c r="B32" i="16"/>
  <c r="B89" i="16"/>
  <c r="B24" i="16"/>
  <c r="B145" i="16"/>
  <c r="B129" i="16"/>
  <c r="B9" i="16"/>
  <c r="B144" i="16"/>
  <c r="B136" i="16"/>
  <c r="B128" i="16"/>
  <c r="B120" i="16"/>
  <c r="B112" i="16"/>
  <c r="B104" i="16"/>
  <c r="B96" i="16"/>
  <c r="B88" i="16"/>
  <c r="B80" i="16"/>
  <c r="B72" i="16"/>
  <c r="B64" i="16"/>
  <c r="B56" i="16"/>
  <c r="B48" i="16"/>
  <c r="B39" i="16"/>
  <c r="B31" i="16"/>
  <c r="B23" i="16"/>
  <c r="B15" i="16"/>
  <c r="B151" i="16"/>
  <c r="B143" i="16"/>
  <c r="B135" i="16"/>
  <c r="B127" i="16"/>
  <c r="B119" i="16"/>
  <c r="B111" i="16"/>
  <c r="B103" i="16"/>
  <c r="B95" i="16"/>
  <c r="B87" i="16"/>
  <c r="B79" i="16"/>
  <c r="B71" i="16"/>
  <c r="B63" i="16"/>
  <c r="B55" i="16"/>
  <c r="B47" i="16"/>
  <c r="B38" i="16"/>
  <c r="B30" i="16"/>
  <c r="B22" i="16"/>
  <c r="B14" i="16"/>
  <c r="B150" i="16"/>
  <c r="B142" i="16"/>
  <c r="B134" i="16"/>
  <c r="B126" i="16"/>
  <c r="B118" i="16"/>
  <c r="B110" i="16"/>
  <c r="B102" i="16"/>
  <c r="B94" i="16"/>
  <c r="B86" i="16"/>
  <c r="B78" i="16"/>
  <c r="B70" i="16"/>
  <c r="B62" i="16"/>
  <c r="B54" i="16"/>
  <c r="B46" i="16"/>
  <c r="B37" i="16"/>
  <c r="B29" i="16"/>
  <c r="B21" i="16"/>
  <c r="B13" i="16"/>
  <c r="B149" i="16"/>
  <c r="B141" i="16"/>
  <c r="B133" i="16"/>
  <c r="B125" i="16"/>
  <c r="B117" i="16"/>
  <c r="B109" i="16"/>
  <c r="B101" i="16"/>
  <c r="B93" i="16"/>
  <c r="B85" i="16"/>
  <c r="B77" i="16"/>
  <c r="B69" i="16"/>
  <c r="B61" i="16"/>
  <c r="B53" i="16"/>
  <c r="B45" i="16"/>
  <c r="B36" i="16"/>
  <c r="B28" i="16"/>
  <c r="B20" i="16"/>
  <c r="B12" i="16"/>
  <c r="B148" i="16"/>
  <c r="B140" i="16"/>
  <c r="B132" i="16"/>
  <c r="B124" i="16"/>
  <c r="B116" i="16"/>
  <c r="B108" i="16"/>
  <c r="B100" i="16"/>
  <c r="B92" i="16"/>
  <c r="B84" i="16"/>
  <c r="B76" i="16"/>
  <c r="B68" i="16"/>
  <c r="B60" i="16"/>
  <c r="B52" i="16"/>
  <c r="B43" i="16"/>
  <c r="B35" i="16"/>
  <c r="B27" i="16"/>
  <c r="B19" i="16"/>
  <c r="B11" i="16"/>
  <c r="B147" i="16"/>
  <c r="B139" i="16"/>
  <c r="B131" i="16"/>
  <c r="B123" i="16"/>
  <c r="B115" i="16"/>
  <c r="B107" i="16"/>
  <c r="B99" i="16"/>
  <c r="B91" i="16"/>
  <c r="B83" i="16"/>
  <c r="B75" i="16"/>
  <c r="B67" i="16"/>
  <c r="B59" i="16"/>
  <c r="B51" i="16"/>
  <c r="B42" i="16"/>
  <c r="B34" i="16"/>
  <c r="B26" i="16"/>
  <c r="B18" i="16"/>
  <c r="B10" i="16"/>
  <c r="B146" i="16"/>
  <c r="B138" i="16"/>
  <c r="B130" i="16"/>
  <c r="B122" i="16"/>
  <c r="B114" i="16"/>
  <c r="B106" i="16"/>
  <c r="B98" i="16"/>
  <c r="B90" i="16"/>
  <c r="B82" i="16"/>
  <c r="B74" i="16"/>
  <c r="B66" i="16"/>
  <c r="B58" i="16"/>
  <c r="B50" i="16"/>
  <c r="B41" i="16"/>
  <c r="B33" i="16"/>
  <c r="B25" i="16"/>
  <c r="B17" i="16"/>
  <c r="B44" i="16"/>
  <c r="B2318" i="16"/>
  <c r="B2382" i="16"/>
  <c r="B2107" i="16"/>
  <c r="B2622" i="16"/>
  <c r="B1916" i="16"/>
  <c r="B2574" i="16"/>
  <c r="B1399" i="16"/>
  <c r="B2510" i="16"/>
  <c r="B2446" i="16"/>
  <c r="B2237" i="16"/>
  <c r="B2654" i="16"/>
  <c r="B1486" i="16"/>
  <c r="B2647" i="16"/>
  <c r="B2615" i="16"/>
  <c r="B2566" i="16"/>
  <c r="B2502" i="16"/>
  <c r="B2438" i="16"/>
  <c r="B2374" i="16"/>
  <c r="B2310" i="16"/>
  <c r="B2221" i="16"/>
  <c r="B2084" i="16"/>
  <c r="B1879" i="16"/>
  <c r="B1185" i="16"/>
  <c r="B2646" i="16"/>
  <c r="B2614" i="16"/>
  <c r="B2558" i="16"/>
  <c r="B2494" i="16"/>
  <c r="B2430" i="16"/>
  <c r="B2366" i="16"/>
  <c r="B2302" i="16"/>
  <c r="B2205" i="16"/>
  <c r="B2061" i="16"/>
  <c r="B1837" i="16"/>
  <c r="B2639" i="16"/>
  <c r="B2607" i="16"/>
  <c r="B2550" i="16"/>
  <c r="B2486" i="16"/>
  <c r="B2422" i="16"/>
  <c r="B2358" i="16"/>
  <c r="B2294" i="16"/>
  <c r="B2189" i="16"/>
  <c r="B2043" i="16"/>
  <c r="B1795" i="16"/>
  <c r="B2638" i="16"/>
  <c r="B2606" i="16"/>
  <c r="B2542" i="16"/>
  <c r="B2478" i="16"/>
  <c r="B2414" i="16"/>
  <c r="B2350" i="16"/>
  <c r="B2286" i="16"/>
  <c r="B2173" i="16"/>
  <c r="B2020" i="16"/>
  <c r="B1741" i="16"/>
  <c r="B2631" i="16"/>
  <c r="B2598" i="16"/>
  <c r="B2534" i="16"/>
  <c r="B2470" i="16"/>
  <c r="B2406" i="16"/>
  <c r="B2342" i="16"/>
  <c r="B2277" i="16"/>
  <c r="B2157" i="16"/>
  <c r="B1997" i="16"/>
  <c r="B1655" i="16"/>
  <c r="B2630" i="16"/>
  <c r="B2590" i="16"/>
  <c r="B2526" i="16"/>
  <c r="B2462" i="16"/>
  <c r="B2398" i="16"/>
  <c r="B2334" i="16"/>
  <c r="B2267" i="16"/>
  <c r="B2141" i="16"/>
  <c r="B1979" i="16"/>
  <c r="B1572" i="16"/>
  <c r="B2655" i="16"/>
  <c r="B2623" i="16"/>
  <c r="B2582" i="16"/>
  <c r="B2518" i="16"/>
  <c r="B2454" i="16"/>
  <c r="B2390" i="16"/>
  <c r="B2326" i="16"/>
  <c r="B2253" i="16"/>
  <c r="B2125" i="16"/>
  <c r="B1948" i="16"/>
  <c r="B2599" i="16"/>
  <c r="B2583" i="16"/>
  <c r="B2559" i="16"/>
  <c r="B159" i="16"/>
  <c r="B2591" i="16"/>
  <c r="B2575" i="16"/>
  <c r="B2567" i="16"/>
  <c r="B2551" i="16"/>
  <c r="B2543" i="16"/>
  <c r="B2535" i="16"/>
  <c r="B2527" i="16"/>
  <c r="B2519" i="16"/>
  <c r="B2511" i="16"/>
  <c r="B2503" i="16"/>
  <c r="B2495" i="16"/>
  <c r="B2487" i="16"/>
  <c r="B2479" i="16"/>
  <c r="B2471" i="16"/>
  <c r="B2463" i="16"/>
  <c r="B2455" i="16"/>
  <c r="B2447" i="16"/>
  <c r="B2439" i="16"/>
  <c r="B2431" i="16"/>
  <c r="B2423" i="16"/>
  <c r="B2415" i="16"/>
  <c r="B2407" i="16"/>
  <c r="B2399" i="16"/>
  <c r="B2391" i="16"/>
  <c r="B2383" i="16"/>
  <c r="B2375" i="16"/>
  <c r="B2367" i="16"/>
  <c r="B2359" i="16"/>
  <c r="B2351" i="16"/>
  <c r="B2343" i="16"/>
  <c r="B2335" i="16"/>
  <c r="B2327" i="16"/>
  <c r="B2319" i="16"/>
  <c r="B2311" i="16"/>
  <c r="B2303" i="16"/>
  <c r="B2295" i="16"/>
  <c r="B2287" i="16"/>
  <c r="B2278" i="16"/>
  <c r="B2268" i="16"/>
  <c r="B2257" i="16"/>
  <c r="B2241" i="16"/>
  <c r="B2225" i="16"/>
  <c r="B2209" i="16"/>
  <c r="B2193" i="16"/>
  <c r="B2177" i="16"/>
  <c r="B2161" i="16"/>
  <c r="B2145" i="16"/>
  <c r="B2129" i="16"/>
  <c r="B2108" i="16"/>
  <c r="B2085" i="16"/>
  <c r="B2067" i="16"/>
  <c r="B2044" i="16"/>
  <c r="B2021" i="16"/>
  <c r="B2003" i="16"/>
  <c r="B1980" i="16"/>
  <c r="B1949" i="16"/>
  <c r="B1917" i="16"/>
  <c r="B1880" i="16"/>
  <c r="B1838" i="16"/>
  <c r="B1796" i="16"/>
  <c r="B1742" i="16"/>
  <c r="B1660" i="16"/>
  <c r="B1574" i="16"/>
  <c r="B1487" i="16"/>
  <c r="B1404" i="16"/>
  <c r="B1193" i="16"/>
  <c r="B153" i="16"/>
  <c r="B161" i="16"/>
  <c r="B169" i="16"/>
  <c r="B177" i="16"/>
  <c r="B185" i="16"/>
  <c r="B193" i="16"/>
  <c r="B201" i="16"/>
  <c r="B209" i="16"/>
  <c r="B217" i="16"/>
  <c r="B225" i="16"/>
  <c r="B233" i="16"/>
  <c r="B241" i="16"/>
  <c r="B249" i="16"/>
  <c r="B257" i="16"/>
  <c r="B265" i="16"/>
  <c r="B280" i="16"/>
  <c r="B352" i="16"/>
  <c r="B416" i="16"/>
  <c r="B480" i="16"/>
  <c r="B544" i="16"/>
  <c r="B608" i="16"/>
  <c r="B672" i="16"/>
  <c r="B736" i="16"/>
  <c r="B777" i="16"/>
  <c r="B809" i="16"/>
  <c r="B840" i="16"/>
  <c r="B861" i="16"/>
  <c r="B881" i="16"/>
  <c r="B904" i="16"/>
  <c r="B925" i="16"/>
  <c r="B944" i="16"/>
  <c r="B953" i="16"/>
  <c r="B961" i="16"/>
  <c r="B969" i="16"/>
  <c r="B977" i="16"/>
  <c r="B154" i="16"/>
  <c r="B162" i="16"/>
  <c r="B170" i="16"/>
  <c r="B178" i="16"/>
  <c r="B186" i="16"/>
  <c r="B194" i="16"/>
  <c r="B202" i="16"/>
  <c r="B210" i="16"/>
  <c r="B218" i="16"/>
  <c r="B226" i="16"/>
  <c r="B234" i="16"/>
  <c r="B242" i="16"/>
  <c r="B250" i="16"/>
  <c r="B258" i="16"/>
  <c r="B266" i="16"/>
  <c r="B288" i="16"/>
  <c r="B360" i="16"/>
  <c r="B424" i="16"/>
  <c r="B488" i="16"/>
  <c r="B552" i="16"/>
  <c r="B616" i="16"/>
  <c r="B680" i="16"/>
  <c r="B744" i="16"/>
  <c r="B784" i="16"/>
  <c r="B816" i="16"/>
  <c r="B841" i="16"/>
  <c r="B864" i="16"/>
  <c r="B885" i="16"/>
  <c r="B905" i="16"/>
  <c r="B928" i="16"/>
  <c r="B945" i="16"/>
  <c r="B954" i="16"/>
  <c r="B962" i="16"/>
  <c r="B970" i="16"/>
  <c r="B978" i="16"/>
  <c r="B986" i="16"/>
  <c r="B994" i="16"/>
  <c r="B1002" i="16"/>
  <c r="B1010" i="16"/>
  <c r="B1018" i="16"/>
  <c r="B1026" i="16"/>
  <c r="B1034" i="16"/>
  <c r="B1042" i="16"/>
  <c r="B1050" i="16"/>
  <c r="B1058" i="16"/>
  <c r="B1066" i="16"/>
  <c r="B1074" i="16"/>
  <c r="B1082" i="16"/>
  <c r="B1090" i="16"/>
  <c r="B1098" i="16"/>
  <c r="B1106" i="16"/>
  <c r="B1114" i="16"/>
  <c r="B1122" i="16"/>
  <c r="B1130" i="16"/>
  <c r="B1138" i="16"/>
  <c r="B1146" i="16"/>
  <c r="B1154" i="16"/>
  <c r="B1162" i="16"/>
  <c r="B1170" i="16"/>
  <c r="B1178" i="16"/>
  <c r="B1186" i="16"/>
  <c r="B1194" i="16"/>
  <c r="B1202" i="16"/>
  <c r="B1210" i="16"/>
  <c r="B1218" i="16"/>
  <c r="B1226" i="16"/>
  <c r="B1234" i="16"/>
  <c r="B1242" i="16"/>
  <c r="B1250" i="16"/>
  <c r="B1258" i="16"/>
  <c r="B1266" i="16"/>
  <c r="B1274" i="16"/>
  <c r="B1282" i="16"/>
  <c r="B1290" i="16"/>
  <c r="B1298" i="16"/>
  <c r="B1306" i="16"/>
  <c r="B1314" i="16"/>
  <c r="B1322" i="16"/>
  <c r="B1330" i="16"/>
  <c r="B1338" i="16"/>
  <c r="B1346" i="16"/>
  <c r="B1354" i="16"/>
  <c r="B155" i="16"/>
  <c r="B163" i="16"/>
  <c r="B171" i="16"/>
  <c r="B179" i="16"/>
  <c r="B187" i="16"/>
  <c r="B195" i="16"/>
  <c r="B203" i="16"/>
  <c r="B211" i="16"/>
  <c r="B219" i="16"/>
  <c r="B227" i="16"/>
  <c r="B235" i="16"/>
  <c r="B243" i="16"/>
  <c r="B251" i="16"/>
  <c r="B259" i="16"/>
  <c r="B267" i="16"/>
  <c r="B304" i="16"/>
  <c r="B368" i="16"/>
  <c r="B432" i="16"/>
  <c r="B496" i="16"/>
  <c r="B560" i="16"/>
  <c r="B624" i="16"/>
  <c r="B688" i="16"/>
  <c r="B752" i="16"/>
  <c r="B785" i="16"/>
  <c r="B817" i="16"/>
  <c r="B845" i="16"/>
  <c r="B865" i="16"/>
  <c r="B888" i="16"/>
  <c r="B909" i="16"/>
  <c r="B929" i="16"/>
  <c r="B946" i="16"/>
  <c r="B955" i="16"/>
  <c r="B963" i="16"/>
  <c r="B971" i="16"/>
  <c r="B979" i="16"/>
  <c r="B987" i="16"/>
  <c r="B995" i="16"/>
  <c r="B1003" i="16"/>
  <c r="B1011" i="16"/>
  <c r="B1019" i="16"/>
  <c r="B1027" i="16"/>
  <c r="B1035" i="16"/>
  <c r="B1043" i="16"/>
  <c r="B1051" i="16"/>
  <c r="B1059" i="16"/>
  <c r="B1067" i="16"/>
  <c r="B1075" i="16"/>
  <c r="B1083" i="16"/>
  <c r="B1091" i="16"/>
  <c r="B1099" i="16"/>
  <c r="B1107" i="16"/>
  <c r="B1115" i="16"/>
  <c r="B1123" i="16"/>
  <c r="B1131" i="16"/>
  <c r="B1139" i="16"/>
  <c r="B1147" i="16"/>
  <c r="B1155" i="16"/>
  <c r="B1163" i="16"/>
  <c r="B1171" i="16"/>
  <c r="B1179" i="16"/>
  <c r="B1187" i="16"/>
  <c r="B1195" i="16"/>
  <c r="B1203" i="16"/>
  <c r="B1211" i="16"/>
  <c r="B1219" i="16"/>
  <c r="B1227" i="16"/>
  <c r="B1235" i="16"/>
  <c r="B1243" i="16"/>
  <c r="B1251" i="16"/>
  <c r="B1259" i="16"/>
  <c r="B1267" i="16"/>
  <c r="B1275" i="16"/>
  <c r="B1283" i="16"/>
  <c r="B1291" i="16"/>
  <c r="B1299" i="16"/>
  <c r="B1307" i="16"/>
  <c r="B1315" i="16"/>
  <c r="B1323" i="16"/>
  <c r="B1331" i="16"/>
  <c r="B1339" i="16"/>
  <c r="B1347" i="16"/>
  <c r="B1355" i="16"/>
  <c r="B156" i="16"/>
  <c r="B164" i="16"/>
  <c r="B172" i="16"/>
  <c r="B180" i="16"/>
  <c r="B188" i="16"/>
  <c r="B196" i="16"/>
  <c r="B204" i="16"/>
  <c r="B212" i="16"/>
  <c r="B220" i="16"/>
  <c r="B228" i="16"/>
  <c r="B236" i="16"/>
  <c r="B244" i="16"/>
  <c r="B252" i="16"/>
  <c r="B260" i="16"/>
  <c r="B268" i="16"/>
  <c r="B312" i="16"/>
  <c r="B376" i="16"/>
  <c r="B440" i="16"/>
  <c r="B504" i="16"/>
  <c r="B568" i="16"/>
  <c r="B632" i="16"/>
  <c r="B696" i="16"/>
  <c r="B760" i="16"/>
  <c r="B792" i="16"/>
  <c r="B824" i="16"/>
  <c r="B848" i="16"/>
  <c r="B869" i="16"/>
  <c r="B889" i="16"/>
  <c r="B912" i="16"/>
  <c r="B933" i="16"/>
  <c r="B947" i="16"/>
  <c r="B956" i="16"/>
  <c r="B964" i="16"/>
  <c r="B972" i="16"/>
  <c r="B980" i="16"/>
  <c r="B988" i="16"/>
  <c r="B996" i="16"/>
  <c r="B1004" i="16"/>
  <c r="B1012" i="16"/>
  <c r="B1020" i="16"/>
  <c r="B1028" i="16"/>
  <c r="B1036" i="16"/>
  <c r="B1044" i="16"/>
  <c r="B1052" i="16"/>
  <c r="B1060" i="16"/>
  <c r="B1068" i="16"/>
  <c r="B1076" i="16"/>
  <c r="B1084" i="16"/>
  <c r="B1092" i="16"/>
  <c r="B1100" i="16"/>
  <c r="B1108" i="16"/>
  <c r="B1116" i="16"/>
  <c r="B1124" i="16"/>
  <c r="B1132" i="16"/>
  <c r="B1140" i="16"/>
  <c r="B1148" i="16"/>
  <c r="B1156" i="16"/>
  <c r="B1164" i="16"/>
  <c r="B1172" i="16"/>
  <c r="B1180" i="16"/>
  <c r="B1188" i="16"/>
  <c r="B1196" i="16"/>
  <c r="B1204" i="16"/>
  <c r="B1212" i="16"/>
  <c r="B1220" i="16"/>
  <c r="B1228" i="16"/>
  <c r="B1236" i="16"/>
  <c r="B1244" i="16"/>
  <c r="B1252" i="16"/>
  <c r="B1260" i="16"/>
  <c r="B1268" i="16"/>
  <c r="B1276" i="16"/>
  <c r="B1284" i="16"/>
  <c r="B1292" i="16"/>
  <c r="B1300" i="16"/>
  <c r="B1308" i="16"/>
  <c r="B1316" i="16"/>
  <c r="B1324" i="16"/>
  <c r="B1332" i="16"/>
  <c r="B1340" i="16"/>
  <c r="B1348" i="16"/>
  <c r="B1356" i="16"/>
  <c r="B1364" i="16"/>
  <c r="B157" i="16"/>
  <c r="B165" i="16"/>
  <c r="B173" i="16"/>
  <c r="B181" i="16"/>
  <c r="B189" i="16"/>
  <c r="B197" i="16"/>
  <c r="B205" i="16"/>
  <c r="B213" i="16"/>
  <c r="B221" i="16"/>
  <c r="B229" i="16"/>
  <c r="B237" i="16"/>
  <c r="B245" i="16"/>
  <c r="B253" i="16"/>
  <c r="B261" i="16"/>
  <c r="B269" i="16"/>
  <c r="B320" i="16"/>
  <c r="B384" i="16"/>
  <c r="B448" i="16"/>
  <c r="B512" i="16"/>
  <c r="B576" i="16"/>
  <c r="B640" i="16"/>
  <c r="B704" i="16"/>
  <c r="B761" i="16"/>
  <c r="B793" i="16"/>
  <c r="B825" i="16"/>
  <c r="B849" i="16"/>
  <c r="B872" i="16"/>
  <c r="B893" i="16"/>
  <c r="B913" i="16"/>
  <c r="B936" i="16"/>
  <c r="B948" i="16"/>
  <c r="B957" i="16"/>
  <c r="B965" i="16"/>
  <c r="B973" i="16"/>
  <c r="B981" i="16"/>
  <c r="B989" i="16"/>
  <c r="B997" i="16"/>
  <c r="B1005" i="16"/>
  <c r="B1013" i="16"/>
  <c r="B1021" i="16"/>
  <c r="B1029" i="16"/>
  <c r="B1037" i="16"/>
  <c r="B1045" i="16"/>
  <c r="B1053" i="16"/>
  <c r="B1061" i="16"/>
  <c r="B1069" i="16"/>
  <c r="B1077" i="16"/>
  <c r="B1085" i="16"/>
  <c r="B1093" i="16"/>
  <c r="B1101" i="16"/>
  <c r="B1109" i="16"/>
  <c r="B1117" i="16"/>
  <c r="B1125" i="16"/>
  <c r="B1133" i="16"/>
  <c r="B1141" i="16"/>
  <c r="B1149" i="16"/>
  <c r="B1157" i="16"/>
  <c r="B1165" i="16"/>
  <c r="B1173" i="16"/>
  <c r="B1181" i="16"/>
  <c r="B1189" i="16"/>
  <c r="B1197" i="16"/>
  <c r="B1205" i="16"/>
  <c r="B1213" i="16"/>
  <c r="B1221" i="16"/>
  <c r="B1229" i="16"/>
  <c r="B1237" i="16"/>
  <c r="B1245" i="16"/>
  <c r="B1253" i="16"/>
  <c r="B1261" i="16"/>
  <c r="B1269" i="16"/>
  <c r="B1277" i="16"/>
  <c r="B1285" i="16"/>
  <c r="B1293" i="16"/>
  <c r="B1301" i="16"/>
  <c r="B1309" i="16"/>
  <c r="B158" i="16"/>
  <c r="B166" i="16"/>
  <c r="B174" i="16"/>
  <c r="B182" i="16"/>
  <c r="B190" i="16"/>
  <c r="B198" i="16"/>
  <c r="B206" i="16"/>
  <c r="B214" i="16"/>
  <c r="B222" i="16"/>
  <c r="B230" i="16"/>
  <c r="B238" i="16"/>
  <c r="B246" i="16"/>
  <c r="B254" i="16"/>
  <c r="B262" i="16"/>
  <c r="B270" i="16"/>
  <c r="B328" i="16"/>
  <c r="B392" i="16"/>
  <c r="B456" i="16"/>
  <c r="B520" i="16"/>
  <c r="B584" i="16"/>
  <c r="B648" i="16"/>
  <c r="B712" i="16"/>
  <c r="B768" i="16"/>
  <c r="B800" i="16"/>
  <c r="B832" i="16"/>
  <c r="B853" i="16"/>
  <c r="B873" i="16"/>
  <c r="B896" i="16"/>
  <c r="B917" i="16"/>
  <c r="B937" i="16"/>
  <c r="B949" i="16"/>
  <c r="B958" i="16"/>
  <c r="B966" i="16"/>
  <c r="B974" i="16"/>
  <c r="B982" i="16"/>
  <c r="B990" i="16"/>
  <c r="B998" i="16"/>
  <c r="B1006" i="16"/>
  <c r="B1014" i="16"/>
  <c r="B1022" i="16"/>
  <c r="B1030" i="16"/>
  <c r="B1038" i="16"/>
  <c r="B1046" i="16"/>
  <c r="B1054" i="16"/>
  <c r="B1062" i="16"/>
  <c r="B1070" i="16"/>
  <c r="B1078" i="16"/>
  <c r="B1086" i="16"/>
  <c r="B1094" i="16"/>
  <c r="B1102" i="16"/>
  <c r="B1110" i="16"/>
  <c r="B1118" i="16"/>
  <c r="B1126" i="16"/>
  <c r="B1134" i="16"/>
  <c r="B1142" i="16"/>
  <c r="B1150" i="16"/>
  <c r="B1158" i="16"/>
  <c r="B1166" i="16"/>
  <c r="B1174" i="16"/>
  <c r="B1182" i="16"/>
  <c r="B1190" i="16"/>
  <c r="B1198" i="16"/>
  <c r="B1206" i="16"/>
  <c r="B1214" i="16"/>
  <c r="B1222" i="16"/>
  <c r="B1230" i="16"/>
  <c r="B1238" i="16"/>
  <c r="B1246" i="16"/>
  <c r="B1254" i="16"/>
  <c r="B1262" i="16"/>
  <c r="B1270" i="16"/>
  <c r="B1278" i="16"/>
  <c r="B1286" i="16"/>
  <c r="B1294" i="16"/>
  <c r="B1302" i="16"/>
  <c r="B1310" i="16"/>
  <c r="B1318" i="16"/>
  <c r="B1326" i="16"/>
  <c r="B1334" i="16"/>
  <c r="B1342" i="16"/>
  <c r="B1350" i="16"/>
  <c r="B1358" i="16"/>
  <c r="B1366" i="16"/>
  <c r="B1374" i="16"/>
  <c r="B1382" i="16"/>
  <c r="B152" i="16"/>
  <c r="B160" i="16"/>
  <c r="B168" i="16"/>
  <c r="B176" i="16"/>
  <c r="B184" i="16"/>
  <c r="B192" i="16"/>
  <c r="B200" i="16"/>
  <c r="B208" i="16"/>
  <c r="B216" i="16"/>
  <c r="B224" i="16"/>
  <c r="B232" i="16"/>
  <c r="B240" i="16"/>
  <c r="B248" i="16"/>
  <c r="B256" i="16"/>
  <c r="B264" i="16"/>
  <c r="B272" i="16"/>
  <c r="B344" i="16"/>
  <c r="B408" i="16"/>
  <c r="B472" i="16"/>
  <c r="B536" i="16"/>
  <c r="B600" i="16"/>
  <c r="B664" i="16"/>
  <c r="B728" i="16"/>
  <c r="B776" i="16"/>
  <c r="B808" i="16"/>
  <c r="B837" i="16"/>
  <c r="B857" i="16"/>
  <c r="B880" i="16"/>
  <c r="B901" i="16"/>
  <c r="B921" i="16"/>
  <c r="B941" i="16"/>
  <c r="B952" i="16"/>
  <c r="B960" i="16"/>
  <c r="B968" i="16"/>
  <c r="B976" i="16"/>
  <c r="B984" i="16"/>
  <c r="B992" i="16"/>
  <c r="B1000" i="16"/>
  <c r="B1008" i="16"/>
  <c r="B1016" i="16"/>
  <c r="B1024" i="16"/>
  <c r="B1032" i="16"/>
  <c r="B1040" i="16"/>
  <c r="B1048" i="16"/>
  <c r="B1056" i="16"/>
  <c r="B1064" i="16"/>
  <c r="B1072" i="16"/>
  <c r="B1080" i="16"/>
  <c r="B1088" i="16"/>
  <c r="B1096" i="16"/>
  <c r="B1104" i="16"/>
  <c r="B1112" i="16"/>
  <c r="B1120" i="16"/>
  <c r="B1128" i="16"/>
  <c r="B1136" i="16"/>
  <c r="B1144" i="16"/>
  <c r="B1152" i="16"/>
  <c r="B1160" i="16"/>
  <c r="B1168" i="16"/>
  <c r="B1176" i="16"/>
  <c r="B1184" i="16"/>
  <c r="B1192" i="16"/>
  <c r="B1200" i="16"/>
  <c r="B1208" i="16"/>
  <c r="B1216" i="16"/>
  <c r="B1224" i="16"/>
  <c r="B1232" i="16"/>
  <c r="B1240" i="16"/>
  <c r="B1248" i="16"/>
  <c r="B1256" i="16"/>
  <c r="B1264" i="16"/>
  <c r="B1272" i="16"/>
  <c r="B1280" i="16"/>
  <c r="B1288" i="16"/>
  <c r="B1296" i="16"/>
  <c r="B1304" i="16"/>
  <c r="B1312" i="16"/>
  <c r="B1320" i="16"/>
  <c r="B1328" i="16"/>
  <c r="B1336" i="16"/>
  <c r="B1344" i="16"/>
  <c r="B1352" i="16"/>
  <c r="B1360" i="16"/>
  <c r="B1368" i="16"/>
  <c r="B167" i="16"/>
  <c r="B231" i="16"/>
  <c r="B464" i="16"/>
  <c r="B856" i="16"/>
  <c r="B975" i="16"/>
  <c r="B1009" i="16"/>
  <c r="B1041" i="16"/>
  <c r="B1073" i="16"/>
  <c r="B1105" i="16"/>
  <c r="B1137" i="16"/>
  <c r="B1169" i="16"/>
  <c r="B1201" i="16"/>
  <c r="B1233" i="16"/>
  <c r="B1265" i="16"/>
  <c r="B1297" i="16"/>
  <c r="B1325" i="16"/>
  <c r="B1345" i="16"/>
  <c r="B1363" i="16"/>
  <c r="B1375" i="16"/>
  <c r="B1384" i="16"/>
  <c r="B1392" i="16"/>
  <c r="B1400" i="16"/>
  <c r="B1408" i="16"/>
  <c r="B1416" i="16"/>
  <c r="B1424" i="16"/>
  <c r="B1432" i="16"/>
  <c r="B1440" i="16"/>
  <c r="B1448" i="16"/>
  <c r="B1456" i="16"/>
  <c r="B1464" i="16"/>
  <c r="B1472" i="16"/>
  <c r="B1480" i="16"/>
  <c r="B1488" i="16"/>
  <c r="B1496" i="16"/>
  <c r="B1504" i="16"/>
  <c r="B1512" i="16"/>
  <c r="B1520" i="16"/>
  <c r="B1528" i="16"/>
  <c r="B1536" i="16"/>
  <c r="B1544" i="16"/>
  <c r="B1552" i="16"/>
  <c r="B1560" i="16"/>
  <c r="B1568" i="16"/>
  <c r="B1576" i="16"/>
  <c r="B1584" i="16"/>
  <c r="B1592" i="16"/>
  <c r="B1600" i="16"/>
  <c r="B1608" i="16"/>
  <c r="B1616" i="16"/>
  <c r="B1624" i="16"/>
  <c r="B1632" i="16"/>
  <c r="B1640" i="16"/>
  <c r="B1648" i="16"/>
  <c r="B1656" i="16"/>
  <c r="B1664" i="16"/>
  <c r="B1672" i="16"/>
  <c r="B1680" i="16"/>
  <c r="B1688" i="16"/>
  <c r="B1696" i="16"/>
  <c r="B1704" i="16"/>
  <c r="B1712" i="16"/>
  <c r="B1720" i="16"/>
  <c r="B1728" i="16"/>
  <c r="B1736" i="16"/>
  <c r="B1744" i="16"/>
  <c r="B1752" i="16"/>
  <c r="B1760" i="16"/>
  <c r="B1768" i="16"/>
  <c r="B1776" i="16"/>
  <c r="B1784" i="16"/>
  <c r="B1792" i="16"/>
  <c r="B175" i="16"/>
  <c r="B239" i="16"/>
  <c r="B528" i="16"/>
  <c r="B877" i="16"/>
  <c r="B983" i="16"/>
  <c r="B1015" i="16"/>
  <c r="B1047" i="16"/>
  <c r="B1079" i="16"/>
  <c r="B1111" i="16"/>
  <c r="B1143" i="16"/>
  <c r="B1175" i="16"/>
  <c r="B1207" i="16"/>
  <c r="B1239" i="16"/>
  <c r="B1271" i="16"/>
  <c r="B1303" i="16"/>
  <c r="B1327" i="16"/>
  <c r="B1349" i="16"/>
  <c r="B1365" i="16"/>
  <c r="B1376" i="16"/>
  <c r="B1385" i="16"/>
  <c r="B1393" i="16"/>
  <c r="B1401" i="16"/>
  <c r="B1409" i="16"/>
  <c r="B1417" i="16"/>
  <c r="B1425" i="16"/>
  <c r="B1433" i="16"/>
  <c r="B1441" i="16"/>
  <c r="B1449" i="16"/>
  <c r="B1457" i="16"/>
  <c r="B1465" i="16"/>
  <c r="B1473" i="16"/>
  <c r="B1481" i="16"/>
  <c r="B1489" i="16"/>
  <c r="B1497" i="16"/>
  <c r="B1505" i="16"/>
  <c r="B1513" i="16"/>
  <c r="B1521" i="16"/>
  <c r="B1529" i="16"/>
  <c r="B1537" i="16"/>
  <c r="B1545" i="16"/>
  <c r="B1553" i="16"/>
  <c r="B1561" i="16"/>
  <c r="B1569" i="16"/>
  <c r="B1577" i="16"/>
  <c r="B1585" i="16"/>
  <c r="B1593" i="16"/>
  <c r="B1601" i="16"/>
  <c r="B1609" i="16"/>
  <c r="B1617" i="16"/>
  <c r="B1625" i="16"/>
  <c r="B1633" i="16"/>
  <c r="B1641" i="16"/>
  <c r="B1649" i="16"/>
  <c r="B1657" i="16"/>
  <c r="B1665" i="16"/>
  <c r="B1673" i="16"/>
  <c r="B1681" i="16"/>
  <c r="B1689" i="16"/>
  <c r="B1697" i="16"/>
  <c r="B1705" i="16"/>
  <c r="B1713" i="16"/>
  <c r="B1721" i="16"/>
  <c r="B1729" i="16"/>
  <c r="B1737" i="16"/>
  <c r="B1745" i="16"/>
  <c r="B1753" i="16"/>
  <c r="B1761" i="16"/>
  <c r="B1769" i="16"/>
  <c r="B1777" i="16"/>
  <c r="B1785" i="16"/>
  <c r="B1793" i="16"/>
  <c r="B1801" i="16"/>
  <c r="B1809" i="16"/>
  <c r="B1817" i="16"/>
  <c r="B1825" i="16"/>
  <c r="B1833" i="16"/>
  <c r="B1841" i="16"/>
  <c r="B1849" i="16"/>
  <c r="B1857" i="16"/>
  <c r="B1865" i="16"/>
  <c r="B1873" i="16"/>
  <c r="B1881" i="16"/>
  <c r="B1889" i="16"/>
  <c r="B1897" i="16"/>
  <c r="B1905" i="16"/>
  <c r="B183" i="16"/>
  <c r="B247" i="16"/>
  <c r="B592" i="16"/>
  <c r="B897" i="16"/>
  <c r="B985" i="16"/>
  <c r="B1017" i="16"/>
  <c r="B1049" i="16"/>
  <c r="B1081" i="16"/>
  <c r="B1113" i="16"/>
  <c r="B1145" i="16"/>
  <c r="B1177" i="16"/>
  <c r="B1209" i="16"/>
  <c r="B1241" i="16"/>
  <c r="B1273" i="16"/>
  <c r="B1305" i="16"/>
  <c r="B1329" i="16"/>
  <c r="B1351" i="16"/>
  <c r="B1367" i="16"/>
  <c r="B1377" i="16"/>
  <c r="B1386" i="16"/>
  <c r="B1394" i="16"/>
  <c r="B1402" i="16"/>
  <c r="B1410" i="16"/>
  <c r="B1418" i="16"/>
  <c r="B1426" i="16"/>
  <c r="B1434" i="16"/>
  <c r="B1442" i="16"/>
  <c r="B1450" i="16"/>
  <c r="B1458" i="16"/>
  <c r="B1466" i="16"/>
  <c r="B1474" i="16"/>
  <c r="B1482" i="16"/>
  <c r="B1490" i="16"/>
  <c r="B1498" i="16"/>
  <c r="B1506" i="16"/>
  <c r="B1514" i="16"/>
  <c r="B1522" i="16"/>
  <c r="B1530" i="16"/>
  <c r="B1538" i="16"/>
  <c r="B1546" i="16"/>
  <c r="B1554" i="16"/>
  <c r="B1562" i="16"/>
  <c r="B1570" i="16"/>
  <c r="B1578" i="16"/>
  <c r="B1586" i="16"/>
  <c r="B1594" i="16"/>
  <c r="B1602" i="16"/>
  <c r="B1610" i="16"/>
  <c r="B1618" i="16"/>
  <c r="B1626" i="16"/>
  <c r="B1634" i="16"/>
  <c r="B1642" i="16"/>
  <c r="B1650" i="16"/>
  <c r="B1658" i="16"/>
  <c r="B1666" i="16"/>
  <c r="B1674" i="16"/>
  <c r="B1682" i="16"/>
  <c r="B1690" i="16"/>
  <c r="B1698" i="16"/>
  <c r="B1706" i="16"/>
  <c r="B1714" i="16"/>
  <c r="B1722" i="16"/>
  <c r="B1730" i="16"/>
  <c r="B1738" i="16"/>
  <c r="B1746" i="16"/>
  <c r="B1754" i="16"/>
  <c r="B1762" i="16"/>
  <c r="B1770" i="16"/>
  <c r="B1778" i="16"/>
  <c r="B1786" i="16"/>
  <c r="B1794" i="16"/>
  <c r="B1802" i="16"/>
  <c r="B1810" i="16"/>
  <c r="B1818" i="16"/>
  <c r="B1826" i="16"/>
  <c r="B1834" i="16"/>
  <c r="B1842" i="16"/>
  <c r="B1850" i="16"/>
  <c r="B1858" i="16"/>
  <c r="B1866" i="16"/>
  <c r="B1874" i="16"/>
  <c r="B1882" i="16"/>
  <c r="B191" i="16"/>
  <c r="B255" i="16"/>
  <c r="B656" i="16"/>
  <c r="B920" i="16"/>
  <c r="B991" i="16"/>
  <c r="B1023" i="16"/>
  <c r="B1055" i="16"/>
  <c r="B1087" i="16"/>
  <c r="B1119" i="16"/>
  <c r="B1151" i="16"/>
  <c r="B1183" i="16"/>
  <c r="B1215" i="16"/>
  <c r="B1247" i="16"/>
  <c r="B1279" i="16"/>
  <c r="B1311" i="16"/>
  <c r="B1333" i="16"/>
  <c r="B1353" i="16"/>
  <c r="B1369" i="16"/>
  <c r="B1378" i="16"/>
  <c r="B1387" i="16"/>
  <c r="B1395" i="16"/>
  <c r="B1403" i="16"/>
  <c r="B1411" i="16"/>
  <c r="B1419" i="16"/>
  <c r="B1427" i="16"/>
  <c r="B1435" i="16"/>
  <c r="B1443" i="16"/>
  <c r="B1451" i="16"/>
  <c r="B1459" i="16"/>
  <c r="B1467" i="16"/>
  <c r="B1475" i="16"/>
  <c r="B1483" i="16"/>
  <c r="B1491" i="16"/>
  <c r="B1499" i="16"/>
  <c r="B1507" i="16"/>
  <c r="B1515" i="16"/>
  <c r="B1523" i="16"/>
  <c r="B1531" i="16"/>
  <c r="B1539" i="16"/>
  <c r="B1547" i="16"/>
  <c r="B1555" i="16"/>
  <c r="B1563" i="16"/>
  <c r="B1571" i="16"/>
  <c r="B1579" i="16"/>
  <c r="B1587" i="16"/>
  <c r="B1595" i="16"/>
  <c r="B1603" i="16"/>
  <c r="B1611" i="16"/>
  <c r="B1619" i="16"/>
  <c r="B1627" i="16"/>
  <c r="B1635" i="16"/>
  <c r="B1643" i="16"/>
  <c r="B1651" i="16"/>
  <c r="B1659" i="16"/>
  <c r="B1667" i="16"/>
  <c r="B1675" i="16"/>
  <c r="B1683" i="16"/>
  <c r="B1691" i="16"/>
  <c r="B1699" i="16"/>
  <c r="B1707" i="16"/>
  <c r="B1715" i="16"/>
  <c r="B1723" i="16"/>
  <c r="B1731" i="16"/>
  <c r="B1739" i="16"/>
  <c r="B1747" i="16"/>
  <c r="B207" i="16"/>
  <c r="B271" i="16"/>
  <c r="B769" i="16"/>
  <c r="B951" i="16"/>
  <c r="B999" i="16"/>
  <c r="B1031" i="16"/>
  <c r="B1063" i="16"/>
  <c r="B1095" i="16"/>
  <c r="B1127" i="16"/>
  <c r="B1159" i="16"/>
  <c r="B1191" i="16"/>
  <c r="B1223" i="16"/>
  <c r="B1255" i="16"/>
  <c r="B1287" i="16"/>
  <c r="B1317" i="16"/>
  <c r="B1337" i="16"/>
  <c r="B1359" i="16"/>
  <c r="B1371" i="16"/>
  <c r="B1380" i="16"/>
  <c r="B1389" i="16"/>
  <c r="B1397" i="16"/>
  <c r="B1405" i="16"/>
  <c r="B1413" i="16"/>
  <c r="B1421" i="16"/>
  <c r="B1429" i="16"/>
  <c r="B1437" i="16"/>
  <c r="B1445" i="16"/>
  <c r="B1453" i="16"/>
  <c r="B1461" i="16"/>
  <c r="B1469" i="16"/>
  <c r="B1477" i="16"/>
  <c r="B1485" i="16"/>
  <c r="B1493" i="16"/>
  <c r="B1501" i="16"/>
  <c r="B1509" i="16"/>
  <c r="B1517" i="16"/>
  <c r="B1525" i="16"/>
  <c r="B1533" i="16"/>
  <c r="B1541" i="16"/>
  <c r="B1549" i="16"/>
  <c r="B1557" i="16"/>
  <c r="B1565" i="16"/>
  <c r="B1573" i="16"/>
  <c r="B1581" i="16"/>
  <c r="B1589" i="16"/>
  <c r="B1597" i="16"/>
  <c r="B1605" i="16"/>
  <c r="B1613" i="16"/>
  <c r="B1621" i="16"/>
  <c r="B1629" i="16"/>
  <c r="B1637" i="16"/>
  <c r="B1645" i="16"/>
  <c r="B1653" i="16"/>
  <c r="B1661" i="16"/>
  <c r="B1669" i="16"/>
  <c r="B1677" i="16"/>
  <c r="B1685" i="16"/>
  <c r="B1693" i="16"/>
  <c r="B1701" i="16"/>
  <c r="B1709" i="16"/>
  <c r="B1717" i="16"/>
  <c r="B1725" i="16"/>
  <c r="B1733" i="16"/>
  <c r="B199" i="16"/>
  <c r="B833" i="16"/>
  <c r="B1033" i="16"/>
  <c r="B1121" i="16"/>
  <c r="B1199" i="16"/>
  <c r="B1289" i="16"/>
  <c r="B1357" i="16"/>
  <c r="B1383" i="16"/>
  <c r="B1406" i="16"/>
  <c r="B1428" i="16"/>
  <c r="B1447" i="16"/>
  <c r="B1470" i="16"/>
  <c r="B1492" i="16"/>
  <c r="B1511" i="16"/>
  <c r="B1534" i="16"/>
  <c r="B1556" i="16"/>
  <c r="B1575" i="16"/>
  <c r="B1598" i="16"/>
  <c r="B1620" i="16"/>
  <c r="B1639" i="16"/>
  <c r="B1662" i="16"/>
  <c r="B1684" i="16"/>
  <c r="B1703" i="16"/>
  <c r="B1726" i="16"/>
  <c r="B1743" i="16"/>
  <c r="B1758" i="16"/>
  <c r="B1772" i="16"/>
  <c r="B1783" i="16"/>
  <c r="B1797" i="16"/>
  <c r="B1807" i="16"/>
  <c r="B1819" i="16"/>
  <c r="B1829" i="16"/>
  <c r="B1839" i="16"/>
  <c r="B1851" i="16"/>
  <c r="B1861" i="16"/>
  <c r="B1871" i="16"/>
  <c r="B1883" i="16"/>
  <c r="B1892" i="16"/>
  <c r="B1901" i="16"/>
  <c r="B1910" i="16"/>
  <c r="B1918" i="16"/>
  <c r="B1926" i="16"/>
  <c r="B1934" i="16"/>
  <c r="B1942" i="16"/>
  <c r="B1950" i="16"/>
  <c r="B1958" i="16"/>
  <c r="B1966" i="16"/>
  <c r="B1974" i="16"/>
  <c r="B1982" i="16"/>
  <c r="B1990" i="16"/>
  <c r="B1998" i="16"/>
  <c r="B2006" i="16"/>
  <c r="B2014" i="16"/>
  <c r="B2022" i="16"/>
  <c r="B2030" i="16"/>
  <c r="B2038" i="16"/>
  <c r="B2046" i="16"/>
  <c r="B2054" i="16"/>
  <c r="B2062" i="16"/>
  <c r="B2070" i="16"/>
  <c r="B2078" i="16"/>
  <c r="B2086" i="16"/>
  <c r="B2094" i="16"/>
  <c r="B2102" i="16"/>
  <c r="B2110" i="16"/>
  <c r="B2118" i="16"/>
  <c r="B2126" i="16"/>
  <c r="B2134" i="16"/>
  <c r="B2142" i="16"/>
  <c r="B2150" i="16"/>
  <c r="B2158" i="16"/>
  <c r="B2166" i="16"/>
  <c r="B2174" i="16"/>
  <c r="B2182" i="16"/>
  <c r="B2190" i="16"/>
  <c r="B2198" i="16"/>
  <c r="B2206" i="16"/>
  <c r="B2214" i="16"/>
  <c r="B2222" i="16"/>
  <c r="B2230" i="16"/>
  <c r="B2238" i="16"/>
  <c r="B2246" i="16"/>
  <c r="B2254" i="16"/>
  <c r="B2262" i="16"/>
  <c r="B2270" i="16"/>
  <c r="B215" i="16"/>
  <c r="B940" i="16"/>
  <c r="B1039" i="16"/>
  <c r="B1129" i="16"/>
  <c r="B1217" i="16"/>
  <c r="B1295" i="16"/>
  <c r="B1361" i="16"/>
  <c r="B1388" i="16"/>
  <c r="B1407" i="16"/>
  <c r="B1430" i="16"/>
  <c r="B1452" i="16"/>
  <c r="B1471" i="16"/>
  <c r="B1494" i="16"/>
  <c r="B1516" i="16"/>
  <c r="B1535" i="16"/>
  <c r="B1558" i="16"/>
  <c r="B1580" i="16"/>
  <c r="B1599" i="16"/>
  <c r="B1622" i="16"/>
  <c r="B1644" i="16"/>
  <c r="B1663" i="16"/>
  <c r="B1686" i="16"/>
  <c r="B1708" i="16"/>
  <c r="B1727" i="16"/>
  <c r="B1748" i="16"/>
  <c r="B1759" i="16"/>
  <c r="B1773" i="16"/>
  <c r="B1787" i="16"/>
  <c r="B1798" i="16"/>
  <c r="B1808" i="16"/>
  <c r="B1820" i="16"/>
  <c r="B1830" i="16"/>
  <c r="B1840" i="16"/>
  <c r="B1852" i="16"/>
  <c r="B1862" i="16"/>
  <c r="B1872" i="16"/>
  <c r="B1884" i="16"/>
  <c r="B1893" i="16"/>
  <c r="B1902" i="16"/>
  <c r="B1911" i="16"/>
  <c r="B1919" i="16"/>
  <c r="B1927" i="16"/>
  <c r="B1935" i="16"/>
  <c r="B1943" i="16"/>
  <c r="B1951" i="16"/>
  <c r="B1959" i="16"/>
  <c r="B1967" i="16"/>
  <c r="B1975" i="16"/>
  <c r="B1983" i="16"/>
  <c r="B1991" i="16"/>
  <c r="B1999" i="16"/>
  <c r="B2007" i="16"/>
  <c r="B2015" i="16"/>
  <c r="B2023" i="16"/>
  <c r="B2031" i="16"/>
  <c r="B2039" i="16"/>
  <c r="B2047" i="16"/>
  <c r="B2055" i="16"/>
  <c r="B2063" i="16"/>
  <c r="B2071" i="16"/>
  <c r="B2079" i="16"/>
  <c r="B2087" i="16"/>
  <c r="B2095" i="16"/>
  <c r="B2103" i="16"/>
  <c r="B2111" i="16"/>
  <c r="B2119" i="16"/>
  <c r="B2127" i="16"/>
  <c r="B2135" i="16"/>
  <c r="B2143" i="16"/>
  <c r="B2151" i="16"/>
  <c r="B2159" i="16"/>
  <c r="B2167" i="16"/>
  <c r="B2175" i="16"/>
  <c r="B2183" i="16"/>
  <c r="B2191" i="16"/>
  <c r="B2199" i="16"/>
  <c r="B2207" i="16"/>
  <c r="B2215" i="16"/>
  <c r="B2223" i="16"/>
  <c r="B2231" i="16"/>
  <c r="B2239" i="16"/>
  <c r="B2247" i="16"/>
  <c r="B2255" i="16"/>
  <c r="B2263" i="16"/>
  <c r="B2271" i="16"/>
  <c r="B2279" i="16"/>
  <c r="B223" i="16"/>
  <c r="B959" i="16"/>
  <c r="B1057" i="16"/>
  <c r="B1135" i="16"/>
  <c r="B1225" i="16"/>
  <c r="B1313" i="16"/>
  <c r="B1362" i="16"/>
  <c r="B1390" i="16"/>
  <c r="B1412" i="16"/>
  <c r="B1431" i="16"/>
  <c r="B1454" i="16"/>
  <c r="B1476" i="16"/>
  <c r="B1495" i="16"/>
  <c r="B1518" i="16"/>
  <c r="B1540" i="16"/>
  <c r="B1559" i="16"/>
  <c r="B1582" i="16"/>
  <c r="B1604" i="16"/>
  <c r="B1623" i="16"/>
  <c r="B1646" i="16"/>
  <c r="B1668" i="16"/>
  <c r="B1687" i="16"/>
  <c r="B1710" i="16"/>
  <c r="B1732" i="16"/>
  <c r="B1749" i="16"/>
  <c r="B1763" i="16"/>
  <c r="B1774" i="16"/>
  <c r="B1788" i="16"/>
  <c r="B1799" i="16"/>
  <c r="B1811" i="16"/>
  <c r="B1821" i="16"/>
  <c r="B1831" i="16"/>
  <c r="B1843" i="16"/>
  <c r="B1853" i="16"/>
  <c r="B1863" i="16"/>
  <c r="B1875" i="16"/>
  <c r="B1885" i="16"/>
  <c r="B1894" i="16"/>
  <c r="B1903" i="16"/>
  <c r="B1912" i="16"/>
  <c r="B1920" i="16"/>
  <c r="B1928" i="16"/>
  <c r="B1936" i="16"/>
  <c r="B1944" i="16"/>
  <c r="B1952" i="16"/>
  <c r="B1960" i="16"/>
  <c r="B1968" i="16"/>
  <c r="B1976" i="16"/>
  <c r="B1984" i="16"/>
  <c r="B1992" i="16"/>
  <c r="B2000" i="16"/>
  <c r="B2008" i="16"/>
  <c r="B2016" i="16"/>
  <c r="B2024" i="16"/>
  <c r="B2032" i="16"/>
  <c r="B2040" i="16"/>
  <c r="B2048" i="16"/>
  <c r="B2056" i="16"/>
  <c r="B2064" i="16"/>
  <c r="B2072" i="16"/>
  <c r="B2080" i="16"/>
  <c r="B2088" i="16"/>
  <c r="B2096" i="16"/>
  <c r="B2104" i="16"/>
  <c r="B2112" i="16"/>
  <c r="B2120" i="16"/>
  <c r="B2128" i="16"/>
  <c r="B2136" i="16"/>
  <c r="B2144" i="16"/>
  <c r="B2152" i="16"/>
  <c r="B2160" i="16"/>
  <c r="B2168" i="16"/>
  <c r="B2176" i="16"/>
  <c r="B2184" i="16"/>
  <c r="B2192" i="16"/>
  <c r="B2200" i="16"/>
  <c r="B2208" i="16"/>
  <c r="B2216" i="16"/>
  <c r="B2224" i="16"/>
  <c r="B2232" i="16"/>
  <c r="B2240" i="16"/>
  <c r="B2248" i="16"/>
  <c r="B2256" i="16"/>
  <c r="B263" i="16"/>
  <c r="B967" i="16"/>
  <c r="B1065" i="16"/>
  <c r="B1153" i="16"/>
  <c r="B1231" i="16"/>
  <c r="B1319" i="16"/>
  <c r="B1370" i="16"/>
  <c r="B1391" i="16"/>
  <c r="B1414" i="16"/>
  <c r="B1436" i="16"/>
  <c r="B1455" i="16"/>
  <c r="B1478" i="16"/>
  <c r="B1500" i="16"/>
  <c r="B1519" i="16"/>
  <c r="B1542" i="16"/>
  <c r="B1564" i="16"/>
  <c r="B1583" i="16"/>
  <c r="B1606" i="16"/>
  <c r="B1628" i="16"/>
  <c r="B1647" i="16"/>
  <c r="B1670" i="16"/>
  <c r="B1692" i="16"/>
  <c r="B1711" i="16"/>
  <c r="B1734" i="16"/>
  <c r="B1750" i="16"/>
  <c r="B1764" i="16"/>
  <c r="B1775" i="16"/>
  <c r="B1789" i="16"/>
  <c r="B1800" i="16"/>
  <c r="B1812" i="16"/>
  <c r="B1822" i="16"/>
  <c r="B1832" i="16"/>
  <c r="B1844" i="16"/>
  <c r="B1854" i="16"/>
  <c r="B1864" i="16"/>
  <c r="B1876" i="16"/>
  <c r="B1886" i="16"/>
  <c r="B1895" i="16"/>
  <c r="B1904" i="16"/>
  <c r="B1913" i="16"/>
  <c r="B1921" i="16"/>
  <c r="B1929" i="16"/>
  <c r="B1937" i="16"/>
  <c r="B1945" i="16"/>
  <c r="B1953" i="16"/>
  <c r="B1961" i="16"/>
  <c r="B1969" i="16"/>
  <c r="B1977" i="16"/>
  <c r="B1985" i="16"/>
  <c r="B1993" i="16"/>
  <c r="B2001" i="16"/>
  <c r="B2009" i="16"/>
  <c r="B2017" i="16"/>
  <c r="B2025" i="16"/>
  <c r="B2033" i="16"/>
  <c r="B2041" i="16"/>
  <c r="B2049" i="16"/>
  <c r="B2057" i="16"/>
  <c r="B2065" i="16"/>
  <c r="B2073" i="16"/>
  <c r="B2081" i="16"/>
  <c r="B2089" i="16"/>
  <c r="B2097" i="16"/>
  <c r="B2105" i="16"/>
  <c r="B2113" i="16"/>
  <c r="B2121" i="16"/>
  <c r="B336" i="16"/>
  <c r="B993" i="16"/>
  <c r="B1071" i="16"/>
  <c r="B1161" i="16"/>
  <c r="B1249" i="16"/>
  <c r="B1321" i="16"/>
  <c r="B1372" i="16"/>
  <c r="B1396" i="16"/>
  <c r="B1415" i="16"/>
  <c r="B1438" i="16"/>
  <c r="B1460" i="16"/>
  <c r="B1479" i="16"/>
  <c r="B1502" i="16"/>
  <c r="B1524" i="16"/>
  <c r="B1543" i="16"/>
  <c r="B1566" i="16"/>
  <c r="B1588" i="16"/>
  <c r="B1607" i="16"/>
  <c r="B1630" i="16"/>
  <c r="B1652" i="16"/>
  <c r="B1671" i="16"/>
  <c r="B1694" i="16"/>
  <c r="B1716" i="16"/>
  <c r="B1735" i="16"/>
  <c r="B1751" i="16"/>
  <c r="B1765" i="16"/>
  <c r="B1779" i="16"/>
  <c r="B1790" i="16"/>
  <c r="B1803" i="16"/>
  <c r="B1813" i="16"/>
  <c r="B1823" i="16"/>
  <c r="B1835" i="16"/>
  <c r="B1845" i="16"/>
  <c r="B1855" i="16"/>
  <c r="B1867" i="16"/>
  <c r="B1877" i="16"/>
  <c r="B1887" i="16"/>
  <c r="B1896" i="16"/>
  <c r="B1906" i="16"/>
  <c r="B1914" i="16"/>
  <c r="B1922" i="16"/>
  <c r="B1930" i="16"/>
  <c r="B1938" i="16"/>
  <c r="B1946" i="16"/>
  <c r="B1954" i="16"/>
  <c r="B1962" i="16"/>
  <c r="B1970" i="16"/>
  <c r="B1978" i="16"/>
  <c r="B1986" i="16"/>
  <c r="B1994" i="16"/>
  <c r="B2002" i="16"/>
  <c r="B2010" i="16"/>
  <c r="B2018" i="16"/>
  <c r="B2026" i="16"/>
  <c r="B2034" i="16"/>
  <c r="B2042" i="16"/>
  <c r="B2050" i="16"/>
  <c r="B2058" i="16"/>
  <c r="B2066" i="16"/>
  <c r="B2074" i="16"/>
  <c r="B2082" i="16"/>
  <c r="B2090" i="16"/>
  <c r="B2098" i="16"/>
  <c r="B2106" i="16"/>
  <c r="B2114" i="16"/>
  <c r="B2122" i="16"/>
  <c r="B2130" i="16"/>
  <c r="B2138" i="16"/>
  <c r="B2146" i="16"/>
  <c r="B2154" i="16"/>
  <c r="B2162" i="16"/>
  <c r="B2170" i="16"/>
  <c r="B2178" i="16"/>
  <c r="B2186" i="16"/>
  <c r="B2194" i="16"/>
  <c r="B2202" i="16"/>
  <c r="B2210" i="16"/>
  <c r="B2218" i="16"/>
  <c r="B2226" i="16"/>
  <c r="B2234" i="16"/>
  <c r="B2242" i="16"/>
  <c r="B2250" i="16"/>
  <c r="B2258" i="16"/>
  <c r="B400" i="16"/>
  <c r="B1001" i="16"/>
  <c r="B1089" i="16"/>
  <c r="B1167" i="16"/>
  <c r="B1257" i="16"/>
  <c r="B1335" i="16"/>
  <c r="B1373" i="16"/>
  <c r="B1398" i="16"/>
  <c r="B1420" i="16"/>
  <c r="B1439" i="16"/>
  <c r="B1462" i="16"/>
  <c r="B1484" i="16"/>
  <c r="B1503" i="16"/>
  <c r="B1526" i="16"/>
  <c r="B1548" i="16"/>
  <c r="B1567" i="16"/>
  <c r="B1590" i="16"/>
  <c r="B1612" i="16"/>
  <c r="B1631" i="16"/>
  <c r="B1654" i="16"/>
  <c r="B1676" i="16"/>
  <c r="B1695" i="16"/>
  <c r="B1718" i="16"/>
  <c r="B1740" i="16"/>
  <c r="B1755" i="16"/>
  <c r="B1766" i="16"/>
  <c r="B1780" i="16"/>
  <c r="B1791" i="16"/>
  <c r="B1804" i="16"/>
  <c r="B1814" i="16"/>
  <c r="B1824" i="16"/>
  <c r="B1836" i="16"/>
  <c r="B1846" i="16"/>
  <c r="B1856" i="16"/>
  <c r="B1868" i="16"/>
  <c r="B1878" i="16"/>
  <c r="B1888" i="16"/>
  <c r="B1898" i="16"/>
  <c r="B1907" i="16"/>
  <c r="B1915" i="16"/>
  <c r="B1923" i="16"/>
  <c r="B1931" i="16"/>
  <c r="B1939" i="16"/>
  <c r="B1947" i="16"/>
  <c r="B1955" i="16"/>
  <c r="B1963" i="16"/>
  <c r="B1971" i="16"/>
  <c r="B2653" i="16"/>
  <c r="B2645" i="16"/>
  <c r="B2637" i="16"/>
  <c r="B2629" i="16"/>
  <c r="B2621" i="16"/>
  <c r="B2613" i="16"/>
  <c r="B2605" i="16"/>
  <c r="B2597" i="16"/>
  <c r="B2589" i="16"/>
  <c r="B2581" i="16"/>
  <c r="B2573" i="16"/>
  <c r="B2565" i="16"/>
  <c r="B2557" i="16"/>
  <c r="B2549" i="16"/>
  <c r="B2541" i="16"/>
  <c r="B2533" i="16"/>
  <c r="B2525" i="16"/>
  <c r="B2517" i="16"/>
  <c r="B2509" i="16"/>
  <c r="B2501" i="16"/>
  <c r="B2493" i="16"/>
  <c r="B2485" i="16"/>
  <c r="B2477" i="16"/>
  <c r="B2469" i="16"/>
  <c r="B2461" i="16"/>
  <c r="B2453" i="16"/>
  <c r="B2445" i="16"/>
  <c r="B2437" i="16"/>
  <c r="B2429" i="16"/>
  <c r="B2421" i="16"/>
  <c r="B2413" i="16"/>
  <c r="B2405" i="16"/>
  <c r="B2397" i="16"/>
  <c r="B2389" i="16"/>
  <c r="B2381" i="16"/>
  <c r="B2373" i="16"/>
  <c r="B2365" i="16"/>
  <c r="B2357" i="16"/>
  <c r="B2349" i="16"/>
  <c r="B2341" i="16"/>
  <c r="B2333" i="16"/>
  <c r="B2325" i="16"/>
  <c r="B2317" i="16"/>
  <c r="B2309" i="16"/>
  <c r="B2301" i="16"/>
  <c r="B2293" i="16"/>
  <c r="B2285" i="16"/>
  <c r="B2276" i="16"/>
  <c r="B2266" i="16"/>
  <c r="B2252" i="16"/>
  <c r="B2236" i="16"/>
  <c r="B2220" i="16"/>
  <c r="B2204" i="16"/>
  <c r="B2188" i="16"/>
  <c r="B2172" i="16"/>
  <c r="B2156" i="16"/>
  <c r="B2140" i="16"/>
  <c r="B2124" i="16"/>
  <c r="B2101" i="16"/>
  <c r="B2083" i="16"/>
  <c r="B2060" i="16"/>
  <c r="B2037" i="16"/>
  <c r="B2019" i="16"/>
  <c r="B1996" i="16"/>
  <c r="B1973" i="16"/>
  <c r="B1941" i="16"/>
  <c r="B1909" i="16"/>
  <c r="B1870" i="16"/>
  <c r="B1828" i="16"/>
  <c r="B1782" i="16"/>
  <c r="B1724" i="16"/>
  <c r="B1638" i="16"/>
  <c r="B1551" i="16"/>
  <c r="B1468" i="16"/>
  <c r="B1381" i="16"/>
  <c r="B1103" i="16"/>
  <c r="B2652" i="16"/>
  <c r="B2644" i="16"/>
  <c r="B2636" i="16"/>
  <c r="B2628" i="16"/>
  <c r="B2620" i="16"/>
  <c r="B2612" i="16"/>
  <c r="B2604" i="16"/>
  <c r="B2596" i="16"/>
  <c r="B2588" i="16"/>
  <c r="B2580" i="16"/>
  <c r="B2572" i="16"/>
  <c r="B2564" i="16"/>
  <c r="B2556" i="16"/>
  <c r="B2548" i="16"/>
  <c r="B2540" i="16"/>
  <c r="B2532" i="16"/>
  <c r="B2524" i="16"/>
  <c r="B2516" i="16"/>
  <c r="B2508" i="16"/>
  <c r="B2500" i="16"/>
  <c r="B2492" i="16"/>
  <c r="B2484" i="16"/>
  <c r="B2476" i="16"/>
  <c r="B2468" i="16"/>
  <c r="B2460" i="16"/>
  <c r="B2452" i="16"/>
  <c r="B2444" i="16"/>
  <c r="B2436" i="16"/>
  <c r="B2428" i="16"/>
  <c r="B2420" i="16"/>
  <c r="B2412" i="16"/>
  <c r="B2404" i="16"/>
  <c r="B2396" i="16"/>
  <c r="B2388" i="16"/>
  <c r="B2380" i="16"/>
  <c r="B2372" i="16"/>
  <c r="B2364" i="16"/>
  <c r="B2356" i="16"/>
  <c r="B2348" i="16"/>
  <c r="B2340" i="16"/>
  <c r="B2332" i="16"/>
  <c r="B2324" i="16"/>
  <c r="B2316" i="16"/>
  <c r="B2308" i="16"/>
  <c r="B2300" i="16"/>
  <c r="B2292" i="16"/>
  <c r="B2284" i="16"/>
  <c r="B2275" i="16"/>
  <c r="B2265" i="16"/>
  <c r="B2251" i="16"/>
  <c r="B2235" i="16"/>
  <c r="B2219" i="16"/>
  <c r="B2203" i="16"/>
  <c r="B2187" i="16"/>
  <c r="B2171" i="16"/>
  <c r="B2155" i="16"/>
  <c r="B2139" i="16"/>
  <c r="B2123" i="16"/>
  <c r="B2100" i="16"/>
  <c r="B2077" i="16"/>
  <c r="B2059" i="16"/>
  <c r="B2036" i="16"/>
  <c r="B2013" i="16"/>
  <c r="B1995" i="16"/>
  <c r="B1972" i="16"/>
  <c r="B1940" i="16"/>
  <c r="B1908" i="16"/>
  <c r="B1869" i="16"/>
  <c r="B1827" i="16"/>
  <c r="B1781" i="16"/>
  <c r="B1719" i="16"/>
  <c r="B1636" i="16"/>
  <c r="B1550" i="16"/>
  <c r="B1463" i="16"/>
  <c r="B1379" i="16"/>
  <c r="B1097" i="16"/>
  <c r="B2659" i="16"/>
  <c r="B2651" i="16"/>
  <c r="B2643" i="16"/>
  <c r="B2635" i="16"/>
  <c r="B2627" i="16"/>
  <c r="B2619" i="16"/>
  <c r="B2611" i="16"/>
  <c r="B2603" i="16"/>
  <c r="B2595" i="16"/>
  <c r="B2587" i="16"/>
  <c r="B2579" i="16"/>
  <c r="B2571" i="16"/>
  <c r="B2563" i="16"/>
  <c r="B2555" i="16"/>
  <c r="B2547" i="16"/>
  <c r="B2539" i="16"/>
  <c r="B2531" i="16"/>
  <c r="B2523" i="16"/>
  <c r="B2515" i="16"/>
  <c r="B2507" i="16"/>
  <c r="B2499" i="16"/>
  <c r="B2491" i="16"/>
  <c r="B2483" i="16"/>
  <c r="B2475" i="16"/>
  <c r="B2467" i="16"/>
  <c r="B2459" i="16"/>
  <c r="B2451" i="16"/>
  <c r="B2443" i="16"/>
  <c r="B2435" i="16"/>
  <c r="B2427" i="16"/>
  <c r="B2419" i="16"/>
  <c r="B2411" i="16"/>
  <c r="B2403" i="16"/>
  <c r="B2395" i="16"/>
  <c r="B2387" i="16"/>
  <c r="B2379" i="16"/>
  <c r="B2371" i="16"/>
  <c r="B2363" i="16"/>
  <c r="B2355" i="16"/>
  <c r="B2347" i="16"/>
  <c r="B2339" i="16"/>
  <c r="B2331" i="16"/>
  <c r="B2323" i="16"/>
  <c r="B2315" i="16"/>
  <c r="B2307" i="16"/>
  <c r="B2299" i="16"/>
  <c r="B2291" i="16"/>
  <c r="B2283" i="16"/>
  <c r="B2274" i="16"/>
  <c r="B2264" i="16"/>
  <c r="B2249" i="16"/>
  <c r="B2233" i="16"/>
  <c r="B2217" i="16"/>
  <c r="B2201" i="16"/>
  <c r="B2185" i="16"/>
  <c r="B2169" i="16"/>
  <c r="B2153" i="16"/>
  <c r="B2137" i="16"/>
  <c r="B2117" i="16"/>
  <c r="B2099" i="16"/>
  <c r="B2076" i="16"/>
  <c r="B2053" i="16"/>
  <c r="B2035" i="16"/>
  <c r="B2012" i="16"/>
  <c r="B1989" i="16"/>
  <c r="B1965" i="16"/>
  <c r="B1933" i="16"/>
  <c r="B1900" i="16"/>
  <c r="B1860" i="16"/>
  <c r="B1816" i="16"/>
  <c r="B1771" i="16"/>
  <c r="B1702" i="16"/>
  <c r="B1615" i="16"/>
  <c r="B1532" i="16"/>
  <c r="B1446" i="16"/>
  <c r="B1343" i="16"/>
  <c r="B1025" i="16"/>
  <c r="B2658" i="16"/>
  <c r="B2650" i="16"/>
  <c r="B2642" i="16"/>
  <c r="B2634" i="16"/>
  <c r="B2626" i="16"/>
  <c r="B2618" i="16"/>
  <c r="B2610" i="16"/>
  <c r="B2602" i="16"/>
  <c r="B2594" i="16"/>
  <c r="B2586" i="16"/>
  <c r="B2578" i="16"/>
  <c r="B2570" i="16"/>
  <c r="B2562" i="16"/>
  <c r="B2554" i="16"/>
  <c r="B2546" i="16"/>
  <c r="B2538" i="16"/>
  <c r="B2530" i="16"/>
  <c r="B2522" i="16"/>
  <c r="B2514" i="16"/>
  <c r="B2506" i="16"/>
  <c r="B2498" i="16"/>
  <c r="B2490" i="16"/>
  <c r="B2482" i="16"/>
  <c r="B2474" i="16"/>
  <c r="B2466" i="16"/>
  <c r="B2458" i="16"/>
  <c r="B2450" i="16"/>
  <c r="B2442" i="16"/>
  <c r="B2434" i="16"/>
  <c r="B2426" i="16"/>
  <c r="B2418" i="16"/>
  <c r="B2410" i="16"/>
  <c r="B2402" i="16"/>
  <c r="B2394" i="16"/>
  <c r="B2386" i="16"/>
  <c r="B2378" i="16"/>
  <c r="B2370" i="16"/>
  <c r="B2362" i="16"/>
  <c r="B2354" i="16"/>
  <c r="B2346" i="16"/>
  <c r="B2338" i="16"/>
  <c r="B2330" i="16"/>
  <c r="B2322" i="16"/>
  <c r="B2314" i="16"/>
  <c r="B2306" i="16"/>
  <c r="B2298" i="16"/>
  <c r="B2290" i="16"/>
  <c r="B2282" i="16"/>
  <c r="B2273" i="16"/>
  <c r="B2261" i="16"/>
  <c r="B2245" i="16"/>
  <c r="B2229" i="16"/>
  <c r="B2213" i="16"/>
  <c r="B2197" i="16"/>
  <c r="B2181" i="16"/>
  <c r="B2165" i="16"/>
  <c r="B2149" i="16"/>
  <c r="B2133" i="16"/>
  <c r="B2116" i="16"/>
  <c r="B2093" i="16"/>
  <c r="B2075" i="16"/>
  <c r="B2052" i="16"/>
  <c r="B2029" i="16"/>
  <c r="B2011" i="16"/>
  <c r="B1988" i="16"/>
  <c r="B1964" i="16"/>
  <c r="B1932" i="16"/>
  <c r="B1899" i="16"/>
  <c r="B1859" i="16"/>
  <c r="B1815" i="16"/>
  <c r="B1767" i="16"/>
  <c r="B1700" i="16"/>
  <c r="B1614" i="16"/>
  <c r="B1527" i="16"/>
  <c r="B1444" i="16"/>
  <c r="B1341" i="16"/>
  <c r="B1007" i="16"/>
  <c r="B2657" i="16"/>
  <c r="B2649" i="16"/>
  <c r="B2641" i="16"/>
  <c r="B2633" i="16"/>
  <c r="B2625" i="16"/>
  <c r="B2617" i="16"/>
  <c r="B2609" i="16"/>
  <c r="B2601" i="16"/>
  <c r="B2593" i="16"/>
  <c r="B2585" i="16"/>
  <c r="B2577" i="16"/>
  <c r="B2569" i="16"/>
  <c r="B2561" i="16"/>
  <c r="B2553" i="16"/>
  <c r="B2545" i="16"/>
  <c r="B2537" i="16"/>
  <c r="B2529" i="16"/>
  <c r="B2521" i="16"/>
  <c r="B2513" i="16"/>
  <c r="B2505" i="16"/>
  <c r="B2497" i="16"/>
  <c r="B2489" i="16"/>
  <c r="B2481" i="16"/>
  <c r="B2473" i="16"/>
  <c r="B2465" i="16"/>
  <c r="B2457" i="16"/>
  <c r="B2449" i="16"/>
  <c r="B2441" i="16"/>
  <c r="B2433" i="16"/>
  <c r="B2425" i="16"/>
  <c r="B2417" i="16"/>
  <c r="B2409" i="16"/>
  <c r="B2401" i="16"/>
  <c r="B2393" i="16"/>
  <c r="B2385" i="16"/>
  <c r="B2377" i="16"/>
  <c r="B2369" i="16"/>
  <c r="B2361" i="16"/>
  <c r="B2353" i="16"/>
  <c r="B2345" i="16"/>
  <c r="B2337" i="16"/>
  <c r="B2329" i="16"/>
  <c r="B2321" i="16"/>
  <c r="B2313" i="16"/>
  <c r="B2305" i="16"/>
  <c r="B2297" i="16"/>
  <c r="B2289" i="16"/>
  <c r="B2281" i="16"/>
  <c r="B2272" i="16"/>
  <c r="B2260" i="16"/>
  <c r="B2244" i="16"/>
  <c r="B2228" i="16"/>
  <c r="B2212" i="16"/>
  <c r="B2196" i="16"/>
  <c r="B2180" i="16"/>
  <c r="B2164" i="16"/>
  <c r="B2148" i="16"/>
  <c r="B2132" i="16"/>
  <c r="B2115" i="16"/>
  <c r="B2092" i="16"/>
  <c r="B2069" i="16"/>
  <c r="B2051" i="16"/>
  <c r="B2028" i="16"/>
  <c r="B2005" i="16"/>
  <c r="B1987" i="16"/>
  <c r="B1957" i="16"/>
  <c r="B1925" i="16"/>
  <c r="B1891" i="16"/>
  <c r="B1848" i="16"/>
  <c r="B1806" i="16"/>
  <c r="B1757" i="16"/>
  <c r="B1679" i="16"/>
  <c r="B1596" i="16"/>
  <c r="B1510" i="16"/>
  <c r="B1423" i="16"/>
  <c r="B1281" i="16"/>
  <c r="B801" i="16"/>
  <c r="B2656" i="16"/>
  <c r="B2648" i="16"/>
  <c r="B2640" i="16"/>
  <c r="B2632" i="16"/>
  <c r="B2624" i="16"/>
  <c r="B2616" i="16"/>
  <c r="B2608" i="16"/>
  <c r="B2600" i="16"/>
  <c r="B2592" i="16"/>
  <c r="B2584" i="16"/>
  <c r="B2576" i="16"/>
  <c r="B2568" i="16"/>
  <c r="B2560" i="16"/>
  <c r="B2552" i="16"/>
  <c r="B2544" i="16"/>
  <c r="B2536" i="16"/>
  <c r="B2528" i="16"/>
  <c r="B2520" i="16"/>
  <c r="B2512" i="16"/>
  <c r="B2504" i="16"/>
  <c r="B2496" i="16"/>
  <c r="B2488" i="16"/>
  <c r="B2480" i="16"/>
  <c r="B2472" i="16"/>
  <c r="B2464" i="16"/>
  <c r="B2456" i="16"/>
  <c r="B2448" i="16"/>
  <c r="B2440" i="16"/>
  <c r="B2432" i="16"/>
  <c r="B2424" i="16"/>
  <c r="B2416" i="16"/>
  <c r="B2408" i="16"/>
  <c r="B2400" i="16"/>
  <c r="B2392" i="16"/>
  <c r="B2384" i="16"/>
  <c r="B2376" i="16"/>
  <c r="B2368" i="16"/>
  <c r="B2360" i="16"/>
  <c r="B2352" i="16"/>
  <c r="B2344" i="16"/>
  <c r="B2336" i="16"/>
  <c r="B2328" i="16"/>
  <c r="B2320" i="16"/>
  <c r="B2312" i="16"/>
  <c r="B2304" i="16"/>
  <c r="B2296" i="16"/>
  <c r="B2288" i="16"/>
  <c r="B2280" i="16"/>
  <c r="B2269" i="16"/>
  <c r="B2259" i="16"/>
  <c r="B2243" i="16"/>
  <c r="B2227" i="16"/>
  <c r="B2211" i="16"/>
  <c r="B2195" i="16"/>
  <c r="B2179" i="16"/>
  <c r="B2163" i="16"/>
  <c r="B2147" i="16"/>
  <c r="B2131" i="16"/>
  <c r="B2109" i="16"/>
  <c r="B2091" i="16"/>
  <c r="B2068" i="16"/>
  <c r="B2045" i="16"/>
  <c r="B2027" i="16"/>
  <c r="B2004" i="16"/>
  <c r="B1981" i="16"/>
  <c r="B1956" i="16"/>
  <c r="B1924" i="16"/>
  <c r="B1890" i="16"/>
  <c r="B1847" i="16"/>
  <c r="B1805" i="16"/>
  <c r="B1756" i="16"/>
  <c r="B1678" i="16"/>
  <c r="B1591" i="16"/>
  <c r="B1508" i="16"/>
  <c r="B1422" i="16"/>
  <c r="B1263" i="16"/>
  <c r="B720" i="16"/>
  <c r="B273" i="16"/>
  <c r="B281" i="16"/>
  <c r="B289" i="16"/>
  <c r="B297" i="16"/>
  <c r="B305" i="16"/>
  <c r="B313" i="16"/>
  <c r="B321" i="16"/>
  <c r="B329" i="16"/>
  <c r="B337" i="16"/>
  <c r="B345" i="16"/>
  <c r="B353" i="16"/>
  <c r="B361" i="16"/>
  <c r="B369" i="16"/>
  <c r="B377" i="16"/>
  <c r="B385" i="16"/>
  <c r="B393" i="16"/>
  <c r="B401" i="16"/>
  <c r="B409" i="16"/>
  <c r="B417" i="16"/>
  <c r="B425" i="16"/>
  <c r="B433" i="16"/>
  <c r="B441" i="16"/>
  <c r="B449" i="16"/>
  <c r="B457" i="16"/>
  <c r="B465" i="16"/>
  <c r="B473" i="16"/>
  <c r="B481" i="16"/>
  <c r="B489" i="16"/>
  <c r="B497" i="16"/>
  <c r="B505" i="16"/>
  <c r="B513" i="16"/>
  <c r="B521" i="16"/>
  <c r="B529" i="16"/>
  <c r="B537" i="16"/>
  <c r="B545" i="16"/>
  <c r="B553" i="16"/>
  <c r="B561" i="16"/>
  <c r="B569" i="16"/>
  <c r="B577" i="16"/>
  <c r="B585" i="16"/>
  <c r="B593" i="16"/>
  <c r="B601" i="16"/>
  <c r="B609" i="16"/>
  <c r="B617" i="16"/>
  <c r="B625" i="16"/>
  <c r="B633" i="16"/>
  <c r="B641" i="16"/>
  <c r="B649" i="16"/>
  <c r="B657" i="16"/>
  <c r="B665" i="16"/>
  <c r="B673" i="16"/>
  <c r="B681" i="16"/>
  <c r="B689" i="16"/>
  <c r="B697" i="16"/>
  <c r="B705" i="16"/>
  <c r="B713" i="16"/>
  <c r="B721" i="16"/>
  <c r="B729" i="16"/>
  <c r="B737" i="16"/>
  <c r="B745" i="16"/>
  <c r="B753" i="16"/>
  <c r="B274" i="16"/>
  <c r="B282" i="16"/>
  <c r="B290" i="16"/>
  <c r="B298" i="16"/>
  <c r="B306" i="16"/>
  <c r="B314" i="16"/>
  <c r="B322" i="16"/>
  <c r="B330" i="16"/>
  <c r="B338" i="16"/>
  <c r="B346" i="16"/>
  <c r="B354" i="16"/>
  <c r="B362" i="16"/>
  <c r="B370" i="16"/>
  <c r="B378" i="16"/>
  <c r="B386" i="16"/>
  <c r="B394" i="16"/>
  <c r="B402" i="16"/>
  <c r="B410" i="16"/>
  <c r="B418" i="16"/>
  <c r="B426" i="16"/>
  <c r="B434" i="16"/>
  <c r="B442" i="16"/>
  <c r="B450" i="16"/>
  <c r="B458" i="16"/>
  <c r="B466" i="16"/>
  <c r="B474" i="16"/>
  <c r="B482" i="16"/>
  <c r="B490" i="16"/>
  <c r="B498" i="16"/>
  <c r="B506" i="16"/>
  <c r="B514" i="16"/>
  <c r="B522" i="16"/>
  <c r="B530" i="16"/>
  <c r="B538" i="16"/>
  <c r="B546" i="16"/>
  <c r="B554" i="16"/>
  <c r="B562" i="16"/>
  <c r="B570" i="16"/>
  <c r="B578" i="16"/>
  <c r="B586" i="16"/>
  <c r="B594" i="16"/>
  <c r="B602" i="16"/>
  <c r="B610" i="16"/>
  <c r="B618" i="16"/>
  <c r="B626" i="16"/>
  <c r="B634" i="16"/>
  <c r="B642" i="16"/>
  <c r="B650" i="16"/>
  <c r="B658" i="16"/>
  <c r="B666" i="16"/>
  <c r="B674" i="16"/>
  <c r="B682" i="16"/>
  <c r="B690" i="16"/>
  <c r="B698" i="16"/>
  <c r="B706" i="16"/>
  <c r="B714" i="16"/>
  <c r="B722" i="16"/>
  <c r="B730" i="16"/>
  <c r="B738" i="16"/>
  <c r="B746" i="16"/>
  <c r="B754" i="16"/>
  <c r="B762" i="16"/>
  <c r="B770" i="16"/>
  <c r="B778" i="16"/>
  <c r="B786" i="16"/>
  <c r="B794" i="16"/>
  <c r="B802" i="16"/>
  <c r="B810" i="16"/>
  <c r="B818" i="16"/>
  <c r="B826" i="16"/>
  <c r="B834" i="16"/>
  <c r="B842" i="16"/>
  <c r="B850" i="16"/>
  <c r="B858" i="16"/>
  <c r="B866" i="16"/>
  <c r="B874" i="16"/>
  <c r="B882" i="16"/>
  <c r="B890" i="16"/>
  <c r="B898" i="16"/>
  <c r="B906" i="16"/>
  <c r="B914" i="16"/>
  <c r="B922" i="16"/>
  <c r="B930" i="16"/>
  <c r="B938" i="16"/>
  <c r="B275" i="16"/>
  <c r="B283" i="16"/>
  <c r="B291" i="16"/>
  <c r="B299" i="16"/>
  <c r="B307" i="16"/>
  <c r="B315" i="16"/>
  <c r="B323" i="16"/>
  <c r="B331" i="16"/>
  <c r="B339" i="16"/>
  <c r="B347" i="16"/>
  <c r="B355" i="16"/>
  <c r="B363" i="16"/>
  <c r="B371" i="16"/>
  <c r="B379" i="16"/>
  <c r="B387" i="16"/>
  <c r="B395" i="16"/>
  <c r="B403" i="16"/>
  <c r="B411" i="16"/>
  <c r="B419" i="16"/>
  <c r="B427" i="16"/>
  <c r="B435" i="16"/>
  <c r="B443" i="16"/>
  <c r="B451" i="16"/>
  <c r="B459" i="16"/>
  <c r="B467" i="16"/>
  <c r="B475" i="16"/>
  <c r="B483" i="16"/>
  <c r="B491" i="16"/>
  <c r="B499" i="16"/>
  <c r="B507" i="16"/>
  <c r="B515" i="16"/>
  <c r="B523" i="16"/>
  <c r="B531" i="16"/>
  <c r="B539" i="16"/>
  <c r="B547" i="16"/>
  <c r="B555" i="16"/>
  <c r="B563" i="16"/>
  <c r="B571" i="16"/>
  <c r="B579" i="16"/>
  <c r="B587" i="16"/>
  <c r="B595" i="16"/>
  <c r="B603" i="16"/>
  <c r="B611" i="16"/>
  <c r="B619" i="16"/>
  <c r="B627" i="16"/>
  <c r="B635" i="16"/>
  <c r="B643" i="16"/>
  <c r="B651" i="16"/>
  <c r="B659" i="16"/>
  <c r="B667" i="16"/>
  <c r="B675" i="16"/>
  <c r="B683" i="16"/>
  <c r="B691" i="16"/>
  <c r="B699" i="16"/>
  <c r="B707" i="16"/>
  <c r="B715" i="16"/>
  <c r="B723" i="16"/>
  <c r="B731" i="16"/>
  <c r="B739" i="16"/>
  <c r="B747" i="16"/>
  <c r="B755" i="16"/>
  <c r="B763" i="16"/>
  <c r="B771" i="16"/>
  <c r="B779" i="16"/>
  <c r="B787" i="16"/>
  <c r="B795" i="16"/>
  <c r="B803" i="16"/>
  <c r="B811" i="16"/>
  <c r="B819" i="16"/>
  <c r="B827" i="16"/>
  <c r="B835" i="16"/>
  <c r="B843" i="16"/>
  <c r="B851" i="16"/>
  <c r="B859" i="16"/>
  <c r="B867" i="16"/>
  <c r="B875" i="16"/>
  <c r="B883" i="16"/>
  <c r="B891" i="16"/>
  <c r="B899" i="16"/>
  <c r="B907" i="16"/>
  <c r="B915" i="16"/>
  <c r="B923" i="16"/>
  <c r="B931" i="16"/>
  <c r="B939" i="16"/>
  <c r="B276" i="16"/>
  <c r="B284" i="16"/>
  <c r="B292" i="16"/>
  <c r="B300" i="16"/>
  <c r="B308" i="16"/>
  <c r="B316" i="16"/>
  <c r="B324" i="16"/>
  <c r="B332" i="16"/>
  <c r="B340" i="16"/>
  <c r="B348" i="16"/>
  <c r="B356" i="16"/>
  <c r="B364" i="16"/>
  <c r="B372" i="16"/>
  <c r="B380" i="16"/>
  <c r="B388" i="16"/>
  <c r="B396" i="16"/>
  <c r="B404" i="16"/>
  <c r="B412" i="16"/>
  <c r="B420" i="16"/>
  <c r="B428" i="16"/>
  <c r="B436" i="16"/>
  <c r="B444" i="16"/>
  <c r="B452" i="16"/>
  <c r="B460" i="16"/>
  <c r="B468" i="16"/>
  <c r="B476" i="16"/>
  <c r="B484" i="16"/>
  <c r="B492" i="16"/>
  <c r="B500" i="16"/>
  <c r="B508" i="16"/>
  <c r="B516" i="16"/>
  <c r="B524" i="16"/>
  <c r="B532" i="16"/>
  <c r="B540" i="16"/>
  <c r="B548" i="16"/>
  <c r="B556" i="16"/>
  <c r="B564" i="16"/>
  <c r="B572" i="16"/>
  <c r="B580" i="16"/>
  <c r="B588" i="16"/>
  <c r="B596" i="16"/>
  <c r="B604" i="16"/>
  <c r="B612" i="16"/>
  <c r="B620" i="16"/>
  <c r="B628" i="16"/>
  <c r="B636" i="16"/>
  <c r="B644" i="16"/>
  <c r="B652" i="16"/>
  <c r="B660" i="16"/>
  <c r="B668" i="16"/>
  <c r="B676" i="16"/>
  <c r="B684" i="16"/>
  <c r="B692" i="16"/>
  <c r="B700" i="16"/>
  <c r="B708" i="16"/>
  <c r="B716" i="16"/>
  <c r="B724" i="16"/>
  <c r="B732" i="16"/>
  <c r="B740" i="16"/>
  <c r="B748" i="16"/>
  <c r="B756" i="16"/>
  <c r="B764" i="16"/>
  <c r="B772" i="16"/>
  <c r="B780" i="16"/>
  <c r="B788" i="16"/>
  <c r="B796" i="16"/>
  <c r="B804" i="16"/>
  <c r="B812" i="16"/>
  <c r="B820" i="16"/>
  <c r="B828" i="16"/>
  <c r="B836" i="16"/>
  <c r="B844" i="16"/>
  <c r="B852" i="16"/>
  <c r="B860" i="16"/>
  <c r="B868" i="16"/>
  <c r="B876" i="16"/>
  <c r="B884" i="16"/>
  <c r="B892" i="16"/>
  <c r="B900" i="16"/>
  <c r="B908" i="16"/>
  <c r="B916" i="16"/>
  <c r="B924" i="16"/>
  <c r="B932" i="16"/>
  <c r="B277" i="16"/>
  <c r="B285" i="16"/>
  <c r="B293" i="16"/>
  <c r="B301" i="16"/>
  <c r="B309" i="16"/>
  <c r="B317" i="16"/>
  <c r="B325" i="16"/>
  <c r="B333" i="16"/>
  <c r="B341" i="16"/>
  <c r="B349" i="16"/>
  <c r="B357" i="16"/>
  <c r="B365" i="16"/>
  <c r="B373" i="16"/>
  <c r="B381" i="16"/>
  <c r="B389" i="16"/>
  <c r="B397" i="16"/>
  <c r="B405" i="16"/>
  <c r="B413" i="16"/>
  <c r="B421" i="16"/>
  <c r="B429" i="16"/>
  <c r="B437" i="16"/>
  <c r="B445" i="16"/>
  <c r="B453" i="16"/>
  <c r="B461" i="16"/>
  <c r="B469" i="16"/>
  <c r="B477" i="16"/>
  <c r="B485" i="16"/>
  <c r="B493" i="16"/>
  <c r="B501" i="16"/>
  <c r="B509" i="16"/>
  <c r="B517" i="16"/>
  <c r="B525" i="16"/>
  <c r="B533" i="16"/>
  <c r="B541" i="16"/>
  <c r="B549" i="16"/>
  <c r="B557" i="16"/>
  <c r="B565" i="16"/>
  <c r="B573" i="16"/>
  <c r="B581" i="16"/>
  <c r="B589" i="16"/>
  <c r="B597" i="16"/>
  <c r="B605" i="16"/>
  <c r="B613" i="16"/>
  <c r="B621" i="16"/>
  <c r="B629" i="16"/>
  <c r="B637" i="16"/>
  <c r="B645" i="16"/>
  <c r="B653" i="16"/>
  <c r="B661" i="16"/>
  <c r="B669" i="16"/>
  <c r="B677" i="16"/>
  <c r="B685" i="16"/>
  <c r="B693" i="16"/>
  <c r="B701" i="16"/>
  <c r="B709" i="16"/>
  <c r="B717" i="16"/>
  <c r="B725" i="16"/>
  <c r="B733" i="16"/>
  <c r="B741" i="16"/>
  <c r="B749" i="16"/>
  <c r="B757" i="16"/>
  <c r="B765" i="16"/>
  <c r="B773" i="16"/>
  <c r="B781" i="16"/>
  <c r="B789" i="16"/>
  <c r="B797" i="16"/>
  <c r="B805" i="16"/>
  <c r="B813" i="16"/>
  <c r="B821" i="16"/>
  <c r="B829" i="16"/>
  <c r="B278" i="16"/>
  <c r="B286" i="16"/>
  <c r="B294" i="16"/>
  <c r="B302" i="16"/>
  <c r="B310" i="16"/>
  <c r="B318" i="16"/>
  <c r="B326" i="16"/>
  <c r="B334" i="16"/>
  <c r="B342" i="16"/>
  <c r="B350" i="16"/>
  <c r="B358" i="16"/>
  <c r="B366" i="16"/>
  <c r="B374" i="16"/>
  <c r="B382" i="16"/>
  <c r="B390" i="16"/>
  <c r="B398" i="16"/>
  <c r="B406" i="16"/>
  <c r="B414" i="16"/>
  <c r="B422" i="16"/>
  <c r="B430" i="16"/>
  <c r="B438" i="16"/>
  <c r="B446" i="16"/>
  <c r="B454" i="16"/>
  <c r="B462" i="16"/>
  <c r="B470" i="16"/>
  <c r="B478" i="16"/>
  <c r="B486" i="16"/>
  <c r="B494" i="16"/>
  <c r="B502" i="16"/>
  <c r="B510" i="16"/>
  <c r="B518" i="16"/>
  <c r="B526" i="16"/>
  <c r="B534" i="16"/>
  <c r="B542" i="16"/>
  <c r="B550" i="16"/>
  <c r="B558" i="16"/>
  <c r="B566" i="16"/>
  <c r="B574" i="16"/>
  <c r="B582" i="16"/>
  <c r="B590" i="16"/>
  <c r="B598" i="16"/>
  <c r="B606" i="16"/>
  <c r="B614" i="16"/>
  <c r="B622" i="16"/>
  <c r="B630" i="16"/>
  <c r="B638" i="16"/>
  <c r="B646" i="16"/>
  <c r="B654" i="16"/>
  <c r="B662" i="16"/>
  <c r="B670" i="16"/>
  <c r="B678" i="16"/>
  <c r="B686" i="16"/>
  <c r="B694" i="16"/>
  <c r="B702" i="16"/>
  <c r="B710" i="16"/>
  <c r="B718" i="16"/>
  <c r="B726" i="16"/>
  <c r="B734" i="16"/>
  <c r="B742" i="16"/>
  <c r="B750" i="16"/>
  <c r="B758" i="16"/>
  <c r="B766" i="16"/>
  <c r="B774" i="16"/>
  <c r="B782" i="16"/>
  <c r="B790" i="16"/>
  <c r="B798" i="16"/>
  <c r="B806" i="16"/>
  <c r="B814" i="16"/>
  <c r="B822" i="16"/>
  <c r="B830" i="16"/>
  <c r="B838" i="16"/>
  <c r="B846" i="16"/>
  <c r="B854" i="16"/>
  <c r="B862" i="16"/>
  <c r="B870" i="16"/>
  <c r="B878" i="16"/>
  <c r="B886" i="16"/>
  <c r="B894" i="16"/>
  <c r="B902" i="16"/>
  <c r="B910" i="16"/>
  <c r="B918" i="16"/>
  <c r="B926" i="16"/>
  <c r="B934" i="16"/>
  <c r="B942" i="16"/>
  <c r="B950" i="16"/>
  <c r="B279" i="16"/>
  <c r="B287" i="16"/>
  <c r="B295" i="16"/>
  <c r="B303" i="16"/>
  <c r="B311" i="16"/>
  <c r="B319" i="16"/>
  <c r="B327" i="16"/>
  <c r="B335" i="16"/>
  <c r="B343" i="16"/>
  <c r="B351" i="16"/>
  <c r="B359" i="16"/>
  <c r="B367" i="16"/>
  <c r="B375" i="16"/>
  <c r="B383" i="16"/>
  <c r="B391" i="16"/>
  <c r="B399" i="16"/>
  <c r="B407" i="16"/>
  <c r="B415" i="16"/>
  <c r="B423" i="16"/>
  <c r="B431" i="16"/>
  <c r="B439" i="16"/>
  <c r="B447" i="16"/>
  <c r="B455" i="16"/>
  <c r="B463" i="16"/>
  <c r="B471" i="16"/>
  <c r="B479" i="16"/>
  <c r="B487" i="16"/>
  <c r="B495" i="16"/>
  <c r="B503" i="16"/>
  <c r="B511" i="16"/>
  <c r="B519" i="16"/>
  <c r="B527" i="16"/>
  <c r="B535" i="16"/>
  <c r="B543" i="16"/>
  <c r="B551" i="16"/>
  <c r="B559" i="16"/>
  <c r="B567" i="16"/>
  <c r="B575" i="16"/>
  <c r="B583" i="16"/>
  <c r="B591" i="16"/>
  <c r="B599" i="16"/>
  <c r="B607" i="16"/>
  <c r="B615" i="16"/>
  <c r="B623" i="16"/>
  <c r="B631" i="16"/>
  <c r="B639" i="16"/>
  <c r="B647" i="16"/>
  <c r="B655" i="16"/>
  <c r="B663" i="16"/>
  <c r="B671" i="16"/>
  <c r="B679" i="16"/>
  <c r="B687" i="16"/>
  <c r="B695" i="16"/>
  <c r="B703" i="16"/>
  <c r="B711" i="16"/>
  <c r="B719" i="16"/>
  <c r="B727" i="16"/>
  <c r="B735" i="16"/>
  <c r="B743" i="16"/>
  <c r="B751" i="16"/>
  <c r="B759" i="16"/>
  <c r="B767" i="16"/>
  <c r="B775" i="16"/>
  <c r="B783" i="16"/>
  <c r="B791" i="16"/>
  <c r="B799" i="16"/>
  <c r="B807" i="16"/>
  <c r="B815" i="16"/>
  <c r="B823" i="16"/>
  <c r="B831" i="16"/>
  <c r="B839" i="16"/>
  <c r="B847" i="16"/>
  <c r="B855" i="16"/>
  <c r="B863" i="16"/>
  <c r="B871" i="16"/>
  <c r="B879" i="16"/>
  <c r="B887" i="16"/>
  <c r="B895" i="16"/>
  <c r="B903" i="16"/>
  <c r="B911" i="16"/>
  <c r="B919" i="16"/>
  <c r="B927" i="16"/>
  <c r="B935" i="16"/>
  <c r="B943" i="16"/>
  <c r="B296" i="16"/>
  <c r="O1772" i="16"/>
  <c r="O689" i="16"/>
  <c r="O451" i="16"/>
  <c r="O2642" i="16"/>
  <c r="O2503" i="16"/>
  <c r="O2174" i="16"/>
  <c r="O2048" i="16"/>
  <c r="O2571" i="16"/>
  <c r="O1925" i="16"/>
  <c r="N1925" i="16" s="1"/>
  <c r="I1925" i="16" s="1"/>
  <c r="O2418" i="16"/>
  <c r="O1594" i="16"/>
  <c r="O2375" i="16"/>
  <c r="O1432" i="16"/>
  <c r="O2301" i="16"/>
  <c r="O1290" i="16"/>
  <c r="O2217" i="16"/>
  <c r="O1018" i="16"/>
  <c r="O2647" i="16"/>
  <c r="O2449" i="16"/>
  <c r="O2258" i="16"/>
  <c r="O1948" i="16"/>
  <c r="O1496" i="16"/>
  <c r="O835" i="16"/>
  <c r="O2600" i="16"/>
  <c r="O2417" i="16"/>
  <c r="O2182" i="16"/>
  <c r="O1842" i="16"/>
  <c r="O1388" i="16"/>
  <c r="O545" i="16"/>
  <c r="O2561" i="16"/>
  <c r="O2344" i="16"/>
  <c r="O2108" i="16"/>
  <c r="O1768" i="16"/>
  <c r="O1194" i="16"/>
  <c r="O58" i="16"/>
  <c r="O2529" i="16"/>
  <c r="O2333" i="16"/>
  <c r="N2333" i="16" s="1"/>
  <c r="I2333" i="16" s="1"/>
  <c r="O2066" i="16"/>
  <c r="O1660" i="16"/>
  <c r="O1186" i="16"/>
  <c r="O2487" i="16"/>
  <c r="O2273" i="16"/>
  <c r="O1996" i="16"/>
  <c r="O1570" i="16"/>
  <c r="O883" i="16"/>
  <c r="O2657" i="16"/>
  <c r="O2587" i="16"/>
  <c r="O2504" i="16"/>
  <c r="O2429" i="16"/>
  <c r="N2429" i="16" s="1"/>
  <c r="I2429" i="16" s="1"/>
  <c r="O2359" i="16"/>
  <c r="O2279" i="16"/>
  <c r="O2196" i="16"/>
  <c r="O2084" i="16"/>
  <c r="O1954" i="16"/>
  <c r="O1801" i="16"/>
  <c r="O1634" i="16"/>
  <c r="O1433" i="16"/>
  <c r="O1228" i="16"/>
  <c r="O954" i="16"/>
  <c r="O579" i="16"/>
  <c r="O2631" i="16"/>
  <c r="O2557" i="16"/>
  <c r="N2557" i="16" s="1"/>
  <c r="I2557" i="16" s="1"/>
  <c r="O2475" i="16"/>
  <c r="O2401" i="16"/>
  <c r="O2331" i="16"/>
  <c r="O2248" i="16"/>
  <c r="O2153" i="16"/>
  <c r="O2041" i="16"/>
  <c r="O1904" i="16"/>
  <c r="O1737" i="16"/>
  <c r="O1561" i="16"/>
  <c r="O1368" i="16"/>
  <c r="O1122" i="16"/>
  <c r="O828" i="16"/>
  <c r="O355" i="16"/>
  <c r="O2619" i="16"/>
  <c r="O2545" i="16"/>
  <c r="O2472" i="16"/>
  <c r="O2391" i="16"/>
  <c r="O2315" i="16"/>
  <c r="O2247" i="16"/>
  <c r="O2136" i="16"/>
  <c r="O2017" i="16"/>
  <c r="O1892" i="16"/>
  <c r="O1708" i="16"/>
  <c r="O1530" i="16"/>
  <c r="O1354" i="16"/>
  <c r="O1082" i="16"/>
  <c r="O755" i="16"/>
  <c r="O349" i="16"/>
  <c r="N349" i="16" s="1"/>
  <c r="I349" i="16" s="1"/>
  <c r="O2615" i="16"/>
  <c r="O2535" i="16"/>
  <c r="O2459" i="16"/>
  <c r="O2386" i="16"/>
  <c r="O2305" i="16"/>
  <c r="O2231" i="16"/>
  <c r="O2133" i="16"/>
  <c r="N2133" i="16" s="1"/>
  <c r="I2133" i="16" s="1"/>
  <c r="O2000" i="16"/>
  <c r="O1865" i="16"/>
  <c r="O1698" i="16"/>
  <c r="O1506" i="16"/>
  <c r="O1322" i="16"/>
  <c r="O1066" i="16"/>
  <c r="O707" i="16"/>
  <c r="O188" i="16"/>
  <c r="O2589" i="16"/>
  <c r="N2589" i="16" s="1"/>
  <c r="I2589" i="16" s="1"/>
  <c r="O2514" i="16"/>
  <c r="O2443" i="16"/>
  <c r="O2363" i="16"/>
  <c r="O2289" i="16"/>
  <c r="O2213" i="16"/>
  <c r="N2213" i="16" s="1"/>
  <c r="I2213" i="16" s="1"/>
  <c r="O2092" i="16"/>
  <c r="O1970" i="16"/>
  <c r="O1836" i="16"/>
  <c r="O1640" i="16"/>
  <c r="O1458" i="16"/>
  <c r="O1274" i="16"/>
  <c r="O972" i="16"/>
  <c r="O630" i="16"/>
  <c r="O11" i="16"/>
  <c r="O2651" i="16"/>
  <c r="O2621" i="16"/>
  <c r="N2621" i="16" s="1"/>
  <c r="I2621" i="16" s="1"/>
  <c r="O2593" i="16"/>
  <c r="O2567" i="16"/>
  <c r="O2536" i="16"/>
  <c r="O2507" i="16"/>
  <c r="O2481" i="16"/>
  <c r="O2450" i="16"/>
  <c r="O2423" i="16"/>
  <c r="O2395" i="16"/>
  <c r="O2365" i="16"/>
  <c r="N2365" i="16" s="1"/>
  <c r="I2365" i="16" s="1"/>
  <c r="O2337" i="16"/>
  <c r="O2311" i="16"/>
  <c r="O2280" i="16"/>
  <c r="O2251" i="16"/>
  <c r="O2224" i="16"/>
  <c r="O2184" i="16"/>
  <c r="O2144" i="16"/>
  <c r="O2098" i="16"/>
  <c r="O2050" i="16"/>
  <c r="O2005" i="16"/>
  <c r="N2005" i="16" s="1"/>
  <c r="I2005" i="16" s="1"/>
  <c r="O1964" i="16"/>
  <c r="O1905" i="16"/>
  <c r="O1850" i="16"/>
  <c r="O1786" i="16"/>
  <c r="O1714" i="16"/>
  <c r="O1644" i="16"/>
  <c r="O1580" i="16"/>
  <c r="O1512" i="16"/>
  <c r="O1442" i="16"/>
  <c r="O1378" i="16"/>
  <c r="O1292" i="16"/>
  <c r="O1210" i="16"/>
  <c r="O1100" i="16"/>
  <c r="O978" i="16"/>
  <c r="O853" i="16"/>
  <c r="N853" i="16" s="1"/>
  <c r="I853" i="16" s="1"/>
  <c r="O734" i="16"/>
  <c r="O581" i="16"/>
  <c r="N581" i="16" s="1"/>
  <c r="I581" i="16" s="1"/>
  <c r="O389" i="16"/>
  <c r="N389" i="16" s="1"/>
  <c r="I389" i="16" s="1"/>
  <c r="O118" i="16"/>
  <c r="O2641" i="16"/>
  <c r="O2610" i="16"/>
  <c r="O2583" i="16"/>
  <c r="O2555" i="16"/>
  <c r="O2525" i="16"/>
  <c r="N2525" i="16" s="1"/>
  <c r="I2525" i="16" s="1"/>
  <c r="O2497" i="16"/>
  <c r="O2471" i="16"/>
  <c r="O2440" i="16"/>
  <c r="O2411" i="16"/>
  <c r="O2385" i="16"/>
  <c r="O2354" i="16"/>
  <c r="O2327" i="16"/>
  <c r="O2299" i="16"/>
  <c r="O2269" i="16"/>
  <c r="N2269" i="16" s="1"/>
  <c r="I2269" i="16" s="1"/>
  <c r="O2241" i="16"/>
  <c r="O2212" i="16"/>
  <c r="O2170" i="16"/>
  <c r="O2124" i="16"/>
  <c r="O2082" i="16"/>
  <c r="O2033" i="16"/>
  <c r="O1989" i="16"/>
  <c r="N1989" i="16" s="1"/>
  <c r="I1989" i="16" s="1"/>
  <c r="O1944" i="16"/>
  <c r="O1888" i="16"/>
  <c r="O1826" i="16"/>
  <c r="O1762" i="16"/>
  <c r="O1689" i="16"/>
  <c r="O1624" i="16"/>
  <c r="O1560" i="16"/>
  <c r="O1482" i="16"/>
  <c r="O1417" i="16"/>
  <c r="O1353" i="16"/>
  <c r="O1260" i="16"/>
  <c r="O1164" i="16"/>
  <c r="O1058" i="16"/>
  <c r="O935" i="16"/>
  <c r="O807" i="16"/>
  <c r="O682" i="16"/>
  <c r="O519" i="16"/>
  <c r="O292" i="16"/>
  <c r="O4" i="16"/>
  <c r="O2635" i="16"/>
  <c r="O2609" i="16"/>
  <c r="O2578" i="16"/>
  <c r="O2551" i="16"/>
  <c r="O2523" i="16"/>
  <c r="O2493" i="16"/>
  <c r="N2493" i="16" s="1"/>
  <c r="I2493" i="16" s="1"/>
  <c r="O2465" i="16"/>
  <c r="O2439" i="16"/>
  <c r="O2408" i="16"/>
  <c r="O2379" i="16"/>
  <c r="O2353" i="16"/>
  <c r="O2322" i="16"/>
  <c r="O2295" i="16"/>
  <c r="O2267" i="16"/>
  <c r="O2237" i="16"/>
  <c r="N2237" i="16" s="1"/>
  <c r="I2237" i="16" s="1"/>
  <c r="O2204" i="16"/>
  <c r="O2169" i="16"/>
  <c r="O2120" i="16"/>
  <c r="O2073" i="16"/>
  <c r="O2032" i="16"/>
  <c r="O1981" i="16"/>
  <c r="N1981" i="16" s="1"/>
  <c r="I1981" i="16" s="1"/>
  <c r="O1936" i="16"/>
  <c r="O1884" i="16"/>
  <c r="O1817" i="16"/>
  <c r="O1752" i="16"/>
  <c r="O1688" i="16"/>
  <c r="O1610" i="16"/>
  <c r="O1545" i="16"/>
  <c r="O1481" i="16"/>
  <c r="O1404" i="16"/>
  <c r="O1338" i="16"/>
  <c r="O1258" i="16"/>
  <c r="O1148" i="16"/>
  <c r="O1036" i="16"/>
  <c r="O926" i="16"/>
  <c r="O789" i="16"/>
  <c r="N789" i="16" s="1"/>
  <c r="I789" i="16" s="1"/>
  <c r="O661" i="16"/>
  <c r="N661" i="16" s="1"/>
  <c r="I661" i="16" s="1"/>
  <c r="O510" i="16"/>
  <c r="O257" i="16"/>
  <c r="O2632" i="16"/>
  <c r="O2603" i="16"/>
  <c r="O2577" i="16"/>
  <c r="O2546" i="16"/>
  <c r="O2519" i="16"/>
  <c r="O2491" i="16"/>
  <c r="O2461" i="16"/>
  <c r="N2461" i="16" s="1"/>
  <c r="I2461" i="16" s="1"/>
  <c r="O2433" i="16"/>
  <c r="O2407" i="16"/>
  <c r="O2376" i="16"/>
  <c r="O2347" i="16"/>
  <c r="O2321" i="16"/>
  <c r="O2290" i="16"/>
  <c r="O2263" i="16"/>
  <c r="O2235" i="16"/>
  <c r="O2198" i="16"/>
  <c r="O2160" i="16"/>
  <c r="O2117" i="16"/>
  <c r="N2117" i="16" s="1"/>
  <c r="I2117" i="16" s="1"/>
  <c r="O2068" i="16"/>
  <c r="O2021" i="16"/>
  <c r="N2021" i="16" s="1"/>
  <c r="I2021" i="16" s="1"/>
  <c r="O1980" i="16"/>
  <c r="O1928" i="16"/>
  <c r="O1874" i="16"/>
  <c r="O1816" i="16"/>
  <c r="O1738" i="16"/>
  <c r="O1673" i="16"/>
  <c r="O1609" i="16"/>
  <c r="O1532" i="16"/>
  <c r="O1466" i="16"/>
  <c r="O1402" i="16"/>
  <c r="O1324" i="16"/>
  <c r="O1242" i="16"/>
  <c r="O1146" i="16"/>
  <c r="O1020" i="16"/>
  <c r="O901" i="16"/>
  <c r="O780" i="16"/>
  <c r="O642" i="16"/>
  <c r="O481" i="16"/>
  <c r="O237" i="16"/>
  <c r="N237" i="16" s="1"/>
  <c r="I237" i="16" s="1"/>
  <c r="O2653" i="16"/>
  <c r="N2653" i="16" s="1"/>
  <c r="I2653" i="16" s="1"/>
  <c r="O2625" i="16"/>
  <c r="O2599" i="16"/>
  <c r="O2568" i="16"/>
  <c r="O2539" i="16"/>
  <c r="O2513" i="16"/>
  <c r="O2482" i="16"/>
  <c r="O2455" i="16"/>
  <c r="O2427" i="16"/>
  <c r="O2397" i="16"/>
  <c r="N2397" i="16" s="1"/>
  <c r="I2397" i="16" s="1"/>
  <c r="O2369" i="16"/>
  <c r="O2343" i="16"/>
  <c r="O2312" i="16"/>
  <c r="O2283" i="16"/>
  <c r="O2257" i="16"/>
  <c r="O2225" i="16"/>
  <c r="O2190" i="16"/>
  <c r="O2149" i="16"/>
  <c r="N2149" i="16" s="1"/>
  <c r="I2149" i="16" s="1"/>
  <c r="O2101" i="16"/>
  <c r="N2101" i="16" s="1"/>
  <c r="I2101" i="16" s="1"/>
  <c r="O2057" i="16"/>
  <c r="O2016" i="16"/>
  <c r="O1965" i="16"/>
  <c r="N1965" i="16" s="1"/>
  <c r="I1965" i="16" s="1"/>
  <c r="O1914" i="16"/>
  <c r="O1864" i="16"/>
  <c r="O1788" i="16"/>
  <c r="O1722" i="16"/>
  <c r="O1658" i="16"/>
  <c r="O1586" i="16"/>
  <c r="O1516" i="16"/>
  <c r="O1452" i="16"/>
  <c r="O1384" i="16"/>
  <c r="O1306" i="16"/>
  <c r="O1226" i="16"/>
  <c r="O1106" i="16"/>
  <c r="O994" i="16"/>
  <c r="O881" i="16"/>
  <c r="O737" i="16"/>
  <c r="O602" i="16"/>
  <c r="O434" i="16"/>
  <c r="O142" i="16"/>
  <c r="O2655" i="16"/>
  <c r="O2643" i="16"/>
  <c r="O2633" i="16"/>
  <c r="O2623" i="16"/>
  <c r="O2611" i="16"/>
  <c r="O2601" i="16"/>
  <c r="O2591" i="16"/>
  <c r="O2579" i="16"/>
  <c r="O2569" i="16"/>
  <c r="O2559" i="16"/>
  <c r="O2547" i="16"/>
  <c r="O2537" i="16"/>
  <c r="O2527" i="16"/>
  <c r="O2515" i="16"/>
  <c r="O2505" i="16"/>
  <c r="O2495" i="16"/>
  <c r="O2483" i="16"/>
  <c r="O2473" i="16"/>
  <c r="O2463" i="16"/>
  <c r="O2451" i="16"/>
  <c r="O2441" i="16"/>
  <c r="O2431" i="16"/>
  <c r="O2419" i="16"/>
  <c r="O2409" i="16"/>
  <c r="O2399" i="16"/>
  <c r="O2387" i="16"/>
  <c r="O2377" i="16"/>
  <c r="O2367" i="16"/>
  <c r="O2355" i="16"/>
  <c r="O2345" i="16"/>
  <c r="O2335" i="16"/>
  <c r="O2323" i="16"/>
  <c r="O2313" i="16"/>
  <c r="O2303" i="16"/>
  <c r="O2291" i="16"/>
  <c r="O2281" i="16"/>
  <c r="O2271" i="16"/>
  <c r="O2259" i="16"/>
  <c r="O2249" i="16"/>
  <c r="O2239" i="16"/>
  <c r="O2226" i="16"/>
  <c r="O2214" i="16"/>
  <c r="O2201" i="16"/>
  <c r="O2185" i="16"/>
  <c r="O2172" i="16"/>
  <c r="O2156" i="16"/>
  <c r="O2137" i="16"/>
  <c r="O2121" i="16"/>
  <c r="O2105" i="16"/>
  <c r="O2085" i="16"/>
  <c r="N2085" i="16" s="1"/>
  <c r="I2085" i="16" s="1"/>
  <c r="O2069" i="16"/>
  <c r="N2069" i="16" s="1"/>
  <c r="I2069" i="16" s="1"/>
  <c r="O2053" i="16"/>
  <c r="N2053" i="16" s="1"/>
  <c r="I2053" i="16" s="1"/>
  <c r="O2034" i="16"/>
  <c r="O2018" i="16"/>
  <c r="O2002" i="16"/>
  <c r="O1984" i="16"/>
  <c r="O1968" i="16"/>
  <c r="O1952" i="16"/>
  <c r="O1929" i="16"/>
  <c r="O1909" i="16"/>
  <c r="N1909" i="16" s="1"/>
  <c r="I1909" i="16" s="1"/>
  <c r="O1889" i="16"/>
  <c r="O1866" i="16"/>
  <c r="O1848" i="16"/>
  <c r="O1818" i="16"/>
  <c r="O1794" i="16"/>
  <c r="O1769" i="16"/>
  <c r="O1740" i="16"/>
  <c r="O1720" i="16"/>
  <c r="O1690" i="16"/>
  <c r="O1666" i="16"/>
  <c r="O1641" i="16"/>
  <c r="O1612" i="16"/>
  <c r="O1592" i="16"/>
  <c r="O1562" i="16"/>
  <c r="O1538" i="16"/>
  <c r="O1513" i="16"/>
  <c r="O1484" i="16"/>
  <c r="O1464" i="16"/>
  <c r="O1434" i="16"/>
  <c r="O1410" i="16"/>
  <c r="O1385" i="16"/>
  <c r="O1356" i="16"/>
  <c r="O1330" i="16"/>
  <c r="O1298" i="16"/>
  <c r="O1266" i="16"/>
  <c r="O1234" i="16"/>
  <c r="O1196" i="16"/>
  <c r="O1154" i="16"/>
  <c r="O1114" i="16"/>
  <c r="O1068" i="16"/>
  <c r="O1026" i="16"/>
  <c r="O986" i="16"/>
  <c r="O938" i="16"/>
  <c r="O890" i="16"/>
  <c r="O844" i="16"/>
  <c r="O791" i="16"/>
  <c r="O743" i="16"/>
  <c r="O698" i="16"/>
  <c r="O644" i="16"/>
  <c r="O589" i="16"/>
  <c r="N589" i="16" s="1"/>
  <c r="I589" i="16" s="1"/>
  <c r="O532" i="16"/>
  <c r="O454" i="16"/>
  <c r="O370" i="16"/>
  <c r="O274" i="16"/>
  <c r="O147" i="16"/>
  <c r="O29" i="16"/>
  <c r="N29" i="16" s="1"/>
  <c r="I29" i="16" s="1"/>
  <c r="O2650" i="16"/>
  <c r="O2640" i="16"/>
  <c r="O2629" i="16"/>
  <c r="N2629" i="16" s="1"/>
  <c r="I2629" i="16" s="1"/>
  <c r="O2618" i="16"/>
  <c r="O2608" i="16"/>
  <c r="O2597" i="16"/>
  <c r="N2597" i="16" s="1"/>
  <c r="I2597" i="16" s="1"/>
  <c r="O2586" i="16"/>
  <c r="O2576" i="16"/>
  <c r="O2565" i="16"/>
  <c r="N2565" i="16" s="1"/>
  <c r="I2565" i="16" s="1"/>
  <c r="O2554" i="16"/>
  <c r="O2544" i="16"/>
  <c r="O2533" i="16"/>
  <c r="N2533" i="16" s="1"/>
  <c r="I2533" i="16" s="1"/>
  <c r="O2522" i="16"/>
  <c r="O2512" i="16"/>
  <c r="O2501" i="16"/>
  <c r="N2501" i="16" s="1"/>
  <c r="I2501" i="16" s="1"/>
  <c r="O2490" i="16"/>
  <c r="O2480" i="16"/>
  <c r="O2469" i="16"/>
  <c r="N2469" i="16" s="1"/>
  <c r="I2469" i="16" s="1"/>
  <c r="O2458" i="16"/>
  <c r="O2448" i="16"/>
  <c r="O2437" i="16"/>
  <c r="N2437" i="16" s="1"/>
  <c r="I2437" i="16" s="1"/>
  <c r="O2426" i="16"/>
  <c r="O2416" i="16"/>
  <c r="O2405" i="16"/>
  <c r="N2405" i="16" s="1"/>
  <c r="I2405" i="16" s="1"/>
  <c r="O2394" i="16"/>
  <c r="O2384" i="16"/>
  <c r="O2373" i="16"/>
  <c r="N2373" i="16" s="1"/>
  <c r="I2373" i="16" s="1"/>
  <c r="O2362" i="16"/>
  <c r="O2352" i="16"/>
  <c r="O2341" i="16"/>
  <c r="N2341" i="16" s="1"/>
  <c r="I2341" i="16" s="1"/>
  <c r="O2330" i="16"/>
  <c r="O2320" i="16"/>
  <c r="O2309" i="16"/>
  <c r="N2309" i="16" s="1"/>
  <c r="I2309" i="16" s="1"/>
  <c r="O2298" i="16"/>
  <c r="O2288" i="16"/>
  <c r="O2277" i="16"/>
  <c r="N2277" i="16" s="1"/>
  <c r="I2277" i="16" s="1"/>
  <c r="O2266" i="16"/>
  <c r="O2256" i="16"/>
  <c r="O2245" i="16"/>
  <c r="N2245" i="16" s="1"/>
  <c r="I2245" i="16" s="1"/>
  <c r="O2234" i="16"/>
  <c r="O2223" i="16"/>
  <c r="O2209" i="16"/>
  <c r="O2194" i="16"/>
  <c r="O2181" i="16"/>
  <c r="N2181" i="16" s="1"/>
  <c r="I2181" i="16" s="1"/>
  <c r="O2165" i="16"/>
  <c r="N2165" i="16" s="1"/>
  <c r="I2165" i="16" s="1"/>
  <c r="O2148" i="16"/>
  <c r="O2132" i="16"/>
  <c r="O2114" i="16"/>
  <c r="O2097" i="16"/>
  <c r="O2081" i="16"/>
  <c r="O2064" i="16"/>
  <c r="O2045" i="16"/>
  <c r="N2045" i="16" s="1"/>
  <c r="I2045" i="16" s="1"/>
  <c r="O2029" i="16"/>
  <c r="N2029" i="16" s="1"/>
  <c r="I2029" i="16" s="1"/>
  <c r="O2012" i="16"/>
  <c r="O1994" i="16"/>
  <c r="O1978" i="16"/>
  <c r="O1961" i="16"/>
  <c r="O1941" i="16"/>
  <c r="N1941" i="16" s="1"/>
  <c r="I1941" i="16" s="1"/>
  <c r="O1922" i="16"/>
  <c r="O1901" i="16"/>
  <c r="N1901" i="16" s="1"/>
  <c r="I1901" i="16" s="1"/>
  <c r="O1880" i="16"/>
  <c r="O1861" i="16"/>
  <c r="N1861" i="16" s="1"/>
  <c r="I1861" i="16" s="1"/>
  <c r="O1834" i="16"/>
  <c r="O1810" i="16"/>
  <c r="O1785" i="16"/>
  <c r="O1756" i="16"/>
  <c r="O1736" i="16"/>
  <c r="O1706" i="16"/>
  <c r="O1682" i="16"/>
  <c r="O1657" i="16"/>
  <c r="O1628" i="16"/>
  <c r="O1608" i="16"/>
  <c r="O1578" i="16"/>
  <c r="O1554" i="16"/>
  <c r="O1529" i="16"/>
  <c r="O1500" i="16"/>
  <c r="O1480" i="16"/>
  <c r="O1450" i="16"/>
  <c r="O1426" i="16"/>
  <c r="O1401" i="16"/>
  <c r="O1372" i="16"/>
  <c r="O1352" i="16"/>
  <c r="O1321" i="16"/>
  <c r="O1289" i="16"/>
  <c r="O1257" i="16"/>
  <c r="O1225" i="16"/>
  <c r="O1180" i="16"/>
  <c r="O1138" i="16"/>
  <c r="O1098" i="16"/>
  <c r="O1052" i="16"/>
  <c r="O1010" i="16"/>
  <c r="O970" i="16"/>
  <c r="O919" i="16"/>
  <c r="O871" i="16"/>
  <c r="O826" i="16"/>
  <c r="O773" i="16"/>
  <c r="N773" i="16" s="1"/>
  <c r="I773" i="16" s="1"/>
  <c r="O725" i="16"/>
  <c r="N725" i="16" s="1"/>
  <c r="I725" i="16" s="1"/>
  <c r="O679" i="16"/>
  <c r="O623" i="16"/>
  <c r="O569" i="16"/>
  <c r="O508" i="16"/>
  <c r="O421" i="16"/>
  <c r="N421" i="16" s="1"/>
  <c r="I421" i="16" s="1"/>
  <c r="O331" i="16"/>
  <c r="O233" i="16"/>
  <c r="O102" i="16"/>
  <c r="O2649" i="16"/>
  <c r="O2639" i="16"/>
  <c r="O2627" i="16"/>
  <c r="O2617" i="16"/>
  <c r="O2607" i="16"/>
  <c r="O2595" i="16"/>
  <c r="O2585" i="16"/>
  <c r="O2575" i="16"/>
  <c r="O2563" i="16"/>
  <c r="O2553" i="16"/>
  <c r="O2543" i="16"/>
  <c r="O2531" i="16"/>
  <c r="O2521" i="16"/>
  <c r="O2511" i="16"/>
  <c r="O2499" i="16"/>
  <c r="O2489" i="16"/>
  <c r="O2479" i="16"/>
  <c r="O2467" i="16"/>
  <c r="O2457" i="16"/>
  <c r="O2447" i="16"/>
  <c r="O2435" i="16"/>
  <c r="O2425" i="16"/>
  <c r="O2415" i="16"/>
  <c r="O2403" i="16"/>
  <c r="O2393" i="16"/>
  <c r="O2383" i="16"/>
  <c r="O2371" i="16"/>
  <c r="O2361" i="16"/>
  <c r="O2351" i="16"/>
  <c r="O2339" i="16"/>
  <c r="O2329" i="16"/>
  <c r="O2319" i="16"/>
  <c r="O2307" i="16"/>
  <c r="O2297" i="16"/>
  <c r="O2287" i="16"/>
  <c r="O2275" i="16"/>
  <c r="O2265" i="16"/>
  <c r="O2255" i="16"/>
  <c r="O2243" i="16"/>
  <c r="O2233" i="16"/>
  <c r="O2222" i="16"/>
  <c r="O2206" i="16"/>
  <c r="O2193" i="16"/>
  <c r="O2180" i="16"/>
  <c r="O2162" i="16"/>
  <c r="O2146" i="16"/>
  <c r="O2130" i="16"/>
  <c r="O2112" i="16"/>
  <c r="O2096" i="16"/>
  <c r="O2080" i="16"/>
  <c r="O2060" i="16"/>
  <c r="O2044" i="16"/>
  <c r="O2028" i="16"/>
  <c r="O2009" i="16"/>
  <c r="O1993" i="16"/>
  <c r="O1977" i="16"/>
  <c r="O1957" i="16"/>
  <c r="N1957" i="16" s="1"/>
  <c r="I1957" i="16" s="1"/>
  <c r="O1940" i="16"/>
  <c r="O1917" i="16"/>
  <c r="N1917" i="16" s="1"/>
  <c r="I1917" i="16" s="1"/>
  <c r="O1900" i="16"/>
  <c r="O1877" i="16"/>
  <c r="N1877" i="16" s="1"/>
  <c r="I1877" i="16" s="1"/>
  <c r="O1858" i="16"/>
  <c r="O1833" i="16"/>
  <c r="O1804" i="16"/>
  <c r="O1784" i="16"/>
  <c r="O1754" i="16"/>
  <c r="O1730" i="16"/>
  <c r="O1705" i="16"/>
  <c r="O1676" i="16"/>
  <c r="O1656" i="16"/>
  <c r="O1626" i="16"/>
  <c r="O1602" i="16"/>
  <c r="O1577" i="16"/>
  <c r="O1548" i="16"/>
  <c r="O1528" i="16"/>
  <c r="O1498" i="16"/>
  <c r="O1474" i="16"/>
  <c r="O1449" i="16"/>
  <c r="O1420" i="16"/>
  <c r="O1400" i="16"/>
  <c r="O1370" i="16"/>
  <c r="O1346" i="16"/>
  <c r="O1314" i="16"/>
  <c r="O1282" i="16"/>
  <c r="O1250" i="16"/>
  <c r="O1218" i="16"/>
  <c r="O1178" i="16"/>
  <c r="O1132" i="16"/>
  <c r="O1090" i="16"/>
  <c r="O1050" i="16"/>
  <c r="O1004" i="16"/>
  <c r="O962" i="16"/>
  <c r="O917" i="16"/>
  <c r="N917" i="16" s="1"/>
  <c r="I917" i="16" s="1"/>
  <c r="O865" i="16"/>
  <c r="O817" i="16"/>
  <c r="O771" i="16"/>
  <c r="O718" i="16"/>
  <c r="O670" i="16"/>
  <c r="O620" i="16"/>
  <c r="O559" i="16"/>
  <c r="O494" i="16"/>
  <c r="O419" i="16"/>
  <c r="O316" i="16"/>
  <c r="O210" i="16"/>
  <c r="O97" i="16"/>
  <c r="O2658" i="16"/>
  <c r="O2648" i="16"/>
  <c r="O2637" i="16"/>
  <c r="N2637" i="16" s="1"/>
  <c r="I2637" i="16" s="1"/>
  <c r="O2626" i="16"/>
  <c r="O2616" i="16"/>
  <c r="O2605" i="16"/>
  <c r="N2605" i="16" s="1"/>
  <c r="I2605" i="16" s="1"/>
  <c r="O2594" i="16"/>
  <c r="O2584" i="16"/>
  <c r="O2573" i="16"/>
  <c r="O2562" i="16"/>
  <c r="O2552" i="16"/>
  <c r="O2541" i="16"/>
  <c r="N2541" i="16" s="1"/>
  <c r="I2541" i="16" s="1"/>
  <c r="O2530" i="16"/>
  <c r="O2520" i="16"/>
  <c r="O2509" i="16"/>
  <c r="N2509" i="16" s="1"/>
  <c r="I2509" i="16" s="1"/>
  <c r="O2498" i="16"/>
  <c r="O2488" i="16"/>
  <c r="O2477" i="16"/>
  <c r="N2477" i="16" s="1"/>
  <c r="I2477" i="16" s="1"/>
  <c r="O2466" i="16"/>
  <c r="O2456" i="16"/>
  <c r="O2445" i="16"/>
  <c r="N2445" i="16" s="1"/>
  <c r="I2445" i="16" s="1"/>
  <c r="O2434" i="16"/>
  <c r="O2424" i="16"/>
  <c r="O2413" i="16"/>
  <c r="N2413" i="16" s="1"/>
  <c r="I2413" i="16" s="1"/>
  <c r="O2402" i="16"/>
  <c r="O2392" i="16"/>
  <c r="O2381" i="16"/>
  <c r="N2381" i="16" s="1"/>
  <c r="I2381" i="16" s="1"/>
  <c r="O2370" i="16"/>
  <c r="O2360" i="16"/>
  <c r="O2349" i="16"/>
  <c r="N2349" i="16" s="1"/>
  <c r="I2349" i="16" s="1"/>
  <c r="O2338" i="16"/>
  <c r="O2328" i="16"/>
  <c r="O2317" i="16"/>
  <c r="O2306" i="16"/>
  <c r="O2296" i="16"/>
  <c r="O2285" i="16"/>
  <c r="N2285" i="16" s="1"/>
  <c r="I2285" i="16" s="1"/>
  <c r="O2274" i="16"/>
  <c r="O2264" i="16"/>
  <c r="O2253" i="16"/>
  <c r="N2253" i="16" s="1"/>
  <c r="I2253" i="16" s="1"/>
  <c r="O2242" i="16"/>
  <c r="O2232" i="16"/>
  <c r="O2220" i="16"/>
  <c r="O2205" i="16"/>
  <c r="N2205" i="16" s="1"/>
  <c r="I2205" i="16" s="1"/>
  <c r="O2192" i="16"/>
  <c r="O2177" i="16"/>
  <c r="O2161" i="16"/>
  <c r="O2145" i="16"/>
  <c r="O2128" i="16"/>
  <c r="O2109" i="16"/>
  <c r="N2109" i="16" s="1"/>
  <c r="I2109" i="16" s="1"/>
  <c r="O2093" i="16"/>
  <c r="N2093" i="16" s="1"/>
  <c r="I2093" i="16" s="1"/>
  <c r="O2076" i="16"/>
  <c r="O2058" i="16"/>
  <c r="O2042" i="16"/>
  <c r="O2025" i="16"/>
  <c r="O2008" i="16"/>
  <c r="O1992" i="16"/>
  <c r="O1973" i="16"/>
  <c r="N1973" i="16" s="1"/>
  <c r="I1973" i="16" s="1"/>
  <c r="O1956" i="16"/>
  <c r="O1938" i="16"/>
  <c r="O1916" i="16"/>
  <c r="O1897" i="16"/>
  <c r="O1876" i="16"/>
  <c r="O1852" i="16"/>
  <c r="O1832" i="16"/>
  <c r="O1802" i="16"/>
  <c r="O1778" i="16"/>
  <c r="O1753" i="16"/>
  <c r="O1724" i="16"/>
  <c r="O1704" i="16"/>
  <c r="O1674" i="16"/>
  <c r="O1650" i="16"/>
  <c r="O1625" i="16"/>
  <c r="O1596" i="16"/>
  <c r="O1576" i="16"/>
  <c r="O1546" i="16"/>
  <c r="O1522" i="16"/>
  <c r="O1497" i="16"/>
  <c r="O1468" i="16"/>
  <c r="O1448" i="16"/>
  <c r="O1418" i="16"/>
  <c r="O1394" i="16"/>
  <c r="O1369" i="16"/>
  <c r="O1340" i="16"/>
  <c r="O1308" i="16"/>
  <c r="O1276" i="16"/>
  <c r="O1244" i="16"/>
  <c r="O1212" i="16"/>
  <c r="O1170" i="16"/>
  <c r="O1130" i="16"/>
  <c r="O1084" i="16"/>
  <c r="O1042" i="16"/>
  <c r="O1002" i="16"/>
  <c r="O956" i="16"/>
  <c r="O908" i="16"/>
  <c r="O862" i="16"/>
  <c r="O810" i="16"/>
  <c r="O762" i="16"/>
  <c r="O716" i="16"/>
  <c r="O663" i="16"/>
  <c r="O610" i="16"/>
  <c r="O556" i="16"/>
  <c r="O484" i="16"/>
  <c r="O402" i="16"/>
  <c r="O313" i="16"/>
  <c r="O194" i="16"/>
  <c r="O75" i="16"/>
  <c r="O2656" i="16"/>
  <c r="O2645" i="16"/>
  <c r="N2645" i="16" s="1"/>
  <c r="I2645" i="16" s="1"/>
  <c r="O2634" i="16"/>
  <c r="O2624" i="16"/>
  <c r="O2613" i="16"/>
  <c r="N2613" i="16" s="1"/>
  <c r="I2613" i="16" s="1"/>
  <c r="O2602" i="16"/>
  <c r="O2592" i="16"/>
  <c r="O2581" i="16"/>
  <c r="N2581" i="16" s="1"/>
  <c r="I2581" i="16" s="1"/>
  <c r="O2570" i="16"/>
  <c r="O2560" i="16"/>
  <c r="O2549" i="16"/>
  <c r="N2549" i="16" s="1"/>
  <c r="I2549" i="16" s="1"/>
  <c r="O2538" i="16"/>
  <c r="O2528" i="16"/>
  <c r="O2517" i="16"/>
  <c r="N2517" i="16" s="1"/>
  <c r="I2517" i="16" s="1"/>
  <c r="O2506" i="16"/>
  <c r="O2496" i="16"/>
  <c r="O2485" i="16"/>
  <c r="N2485" i="16" s="1"/>
  <c r="I2485" i="16" s="1"/>
  <c r="O2474" i="16"/>
  <c r="O2464" i="16"/>
  <c r="O2453" i="16"/>
  <c r="N2453" i="16" s="1"/>
  <c r="I2453" i="16" s="1"/>
  <c r="O2442" i="16"/>
  <c r="O2432" i="16"/>
  <c r="O2421" i="16"/>
  <c r="N2421" i="16" s="1"/>
  <c r="I2421" i="16" s="1"/>
  <c r="O2410" i="16"/>
  <c r="O2400" i="16"/>
  <c r="O2389" i="16"/>
  <c r="N2389" i="16" s="1"/>
  <c r="I2389" i="16" s="1"/>
  <c r="O2378" i="16"/>
  <c r="O2368" i="16"/>
  <c r="O2357" i="16"/>
  <c r="N2357" i="16" s="1"/>
  <c r="I2357" i="16" s="1"/>
  <c r="O2346" i="16"/>
  <c r="O2336" i="16"/>
  <c r="O2325" i="16"/>
  <c r="N2325" i="16" s="1"/>
  <c r="I2325" i="16" s="1"/>
  <c r="O2314" i="16"/>
  <c r="O2304" i="16"/>
  <c r="O2293" i="16"/>
  <c r="N2293" i="16" s="1"/>
  <c r="I2293" i="16" s="1"/>
  <c r="O2282" i="16"/>
  <c r="O2272" i="16"/>
  <c r="O2261" i="16"/>
  <c r="N2261" i="16" s="1"/>
  <c r="I2261" i="16" s="1"/>
  <c r="O2250" i="16"/>
  <c r="O2240" i="16"/>
  <c r="O2229" i="16"/>
  <c r="N2229" i="16" s="1"/>
  <c r="I2229" i="16" s="1"/>
  <c r="O2216" i="16"/>
  <c r="O2202" i="16"/>
  <c r="O2188" i="16"/>
  <c r="O2173" i="16"/>
  <c r="N2173" i="16" s="1"/>
  <c r="I2173" i="16" s="1"/>
  <c r="O2157" i="16"/>
  <c r="N2157" i="16" s="1"/>
  <c r="I2157" i="16" s="1"/>
  <c r="O2140" i="16"/>
  <c r="O2122" i="16"/>
  <c r="O2106" i="16"/>
  <c r="O2089" i="16"/>
  <c r="O2072" i="16"/>
  <c r="O2056" i="16"/>
  <c r="O2037" i="16"/>
  <c r="N2037" i="16" s="1"/>
  <c r="I2037" i="16" s="1"/>
  <c r="O2020" i="16"/>
  <c r="O2004" i="16"/>
  <c r="O1986" i="16"/>
  <c r="O1969" i="16"/>
  <c r="O1953" i="16"/>
  <c r="O1930" i="16"/>
  <c r="O1913" i="16"/>
  <c r="O1890" i="16"/>
  <c r="O1872" i="16"/>
  <c r="O1849" i="16"/>
  <c r="O1820" i="16"/>
  <c r="O1800" i="16"/>
  <c r="O1770" i="16"/>
  <c r="O1746" i="16"/>
  <c r="O1721" i="16"/>
  <c r="O1692" i="16"/>
  <c r="O1672" i="16"/>
  <c r="O1642" i="16"/>
  <c r="O1618" i="16"/>
  <c r="O1593" i="16"/>
  <c r="O1564" i="16"/>
  <c r="O1544" i="16"/>
  <c r="O1514" i="16"/>
  <c r="O1490" i="16"/>
  <c r="O1465" i="16"/>
  <c r="O1436" i="16"/>
  <c r="O1416" i="16"/>
  <c r="O1386" i="16"/>
  <c r="O1362" i="16"/>
  <c r="O1337" i="16"/>
  <c r="O1305" i="16"/>
  <c r="O1273" i="16"/>
  <c r="O1241" i="16"/>
  <c r="O1202" i="16"/>
  <c r="O1162" i="16"/>
  <c r="O1116" i="16"/>
  <c r="O1074" i="16"/>
  <c r="O1034" i="16"/>
  <c r="O988" i="16"/>
  <c r="O945" i="16"/>
  <c r="O899" i="16"/>
  <c r="O846" i="16"/>
  <c r="O798" i="16"/>
  <c r="O753" i="16"/>
  <c r="O700" i="16"/>
  <c r="O652" i="16"/>
  <c r="O599" i="16"/>
  <c r="O535" i="16"/>
  <c r="O467" i="16"/>
  <c r="O386" i="16"/>
  <c r="O278" i="16"/>
  <c r="O164" i="16"/>
  <c r="O51" i="16"/>
  <c r="O1945" i="16"/>
  <c r="O1932" i="16"/>
  <c r="O1920" i="16"/>
  <c r="O1906" i="16"/>
  <c r="O1893" i="16"/>
  <c r="N1893" i="16" s="1"/>
  <c r="I1893" i="16" s="1"/>
  <c r="O1881" i="16"/>
  <c r="O1868" i="16"/>
  <c r="O1856" i="16"/>
  <c r="O1840" i="16"/>
  <c r="O1824" i="16"/>
  <c r="O1808" i="16"/>
  <c r="O1792" i="16"/>
  <c r="O1776" i="16"/>
  <c r="O1760" i="16"/>
  <c r="O1744" i="16"/>
  <c r="O1728" i="16"/>
  <c r="O1712" i="16"/>
  <c r="O1696" i="16"/>
  <c r="O1680" i="16"/>
  <c r="O1664" i="16"/>
  <c r="O1648" i="16"/>
  <c r="O1632" i="16"/>
  <c r="O1616" i="16"/>
  <c r="O1600" i="16"/>
  <c r="O1584" i="16"/>
  <c r="O1568" i="16"/>
  <c r="O1552" i="16"/>
  <c r="O1536" i="16"/>
  <c r="O1520" i="16"/>
  <c r="O1504" i="16"/>
  <c r="O1488" i="16"/>
  <c r="O1472" i="16"/>
  <c r="O1456" i="16"/>
  <c r="O1440" i="16"/>
  <c r="O1424" i="16"/>
  <c r="O1408" i="16"/>
  <c r="O1392" i="16"/>
  <c r="O1376" i="16"/>
  <c r="O1360" i="16"/>
  <c r="O1344" i="16"/>
  <c r="O1328" i="16"/>
  <c r="O1312" i="16"/>
  <c r="O1296" i="16"/>
  <c r="O1280" i="16"/>
  <c r="O1264" i="16"/>
  <c r="O1248" i="16"/>
  <c r="O1232" i="16"/>
  <c r="O1216" i="16"/>
  <c r="O1200" i="16"/>
  <c r="O1184" i="16"/>
  <c r="O1168" i="16"/>
  <c r="O1152" i="16"/>
  <c r="O1136" i="16"/>
  <c r="O1120" i="16"/>
  <c r="O1104" i="16"/>
  <c r="O1088" i="16"/>
  <c r="O1072" i="16"/>
  <c r="O1056" i="16"/>
  <c r="O1040" i="16"/>
  <c r="O1024" i="16"/>
  <c r="O1008" i="16"/>
  <c r="O992" i="16"/>
  <c r="O976" i="16"/>
  <c r="O960" i="16"/>
  <c r="O942" i="16"/>
  <c r="O924" i="16"/>
  <c r="O906" i="16"/>
  <c r="O887" i="16"/>
  <c r="O869" i="16"/>
  <c r="N869" i="16" s="1"/>
  <c r="I869" i="16" s="1"/>
  <c r="O851" i="16"/>
  <c r="O833" i="16"/>
  <c r="O814" i="16"/>
  <c r="O796" i="16"/>
  <c r="O778" i="16"/>
  <c r="O759" i="16"/>
  <c r="O741" i="16"/>
  <c r="N741" i="16" s="1"/>
  <c r="I741" i="16" s="1"/>
  <c r="O723" i="16"/>
  <c r="O705" i="16"/>
  <c r="O686" i="16"/>
  <c r="O668" i="16"/>
  <c r="O649" i="16"/>
  <c r="O628" i="16"/>
  <c r="O607" i="16"/>
  <c r="O587" i="16"/>
  <c r="O565" i="16"/>
  <c r="N565" i="16" s="1"/>
  <c r="I565" i="16" s="1"/>
  <c r="O541" i="16"/>
  <c r="N541" i="16" s="1"/>
  <c r="I541" i="16" s="1"/>
  <c r="O517" i="16"/>
  <c r="N517" i="16" s="1"/>
  <c r="I517" i="16" s="1"/>
  <c r="O491" i="16"/>
  <c r="O462" i="16"/>
  <c r="O430" i="16"/>
  <c r="O397" i="16"/>
  <c r="N397" i="16" s="1"/>
  <c r="I397" i="16" s="1"/>
  <c r="O364" i="16"/>
  <c r="O326" i="16"/>
  <c r="O289" i="16"/>
  <c r="O250" i="16"/>
  <c r="O204" i="16"/>
  <c r="O161" i="16"/>
  <c r="O115" i="16"/>
  <c r="O67" i="16"/>
  <c r="O22" i="16"/>
  <c r="O1209" i="16"/>
  <c r="O1193" i="16"/>
  <c r="O1177" i="16"/>
  <c r="O1161" i="16"/>
  <c r="O1145" i="16"/>
  <c r="O1129" i="16"/>
  <c r="O1113" i="16"/>
  <c r="O1097" i="16"/>
  <c r="O1081" i="16"/>
  <c r="O1065" i="16"/>
  <c r="O1049" i="16"/>
  <c r="O1033" i="16"/>
  <c r="O1017" i="16"/>
  <c r="O1001" i="16"/>
  <c r="O985" i="16"/>
  <c r="O969" i="16"/>
  <c r="O953" i="16"/>
  <c r="O934" i="16"/>
  <c r="O916" i="16"/>
  <c r="O898" i="16"/>
  <c r="O879" i="16"/>
  <c r="O861" i="16"/>
  <c r="N861" i="16" s="1"/>
  <c r="I861" i="16" s="1"/>
  <c r="O843" i="16"/>
  <c r="O825" i="16"/>
  <c r="O806" i="16"/>
  <c r="O788" i="16"/>
  <c r="O770" i="16"/>
  <c r="O751" i="16"/>
  <c r="O733" i="16"/>
  <c r="N733" i="16" s="1"/>
  <c r="I733" i="16" s="1"/>
  <c r="O715" i="16"/>
  <c r="O697" i="16"/>
  <c r="O678" i="16"/>
  <c r="O660" i="16"/>
  <c r="O639" i="16"/>
  <c r="O619" i="16"/>
  <c r="O598" i="16"/>
  <c r="O578" i="16"/>
  <c r="O555" i="16"/>
  <c r="O530" i="16"/>
  <c r="O506" i="16"/>
  <c r="O480" i="16"/>
  <c r="O449" i="16"/>
  <c r="O417" i="16"/>
  <c r="O385" i="16"/>
  <c r="O346" i="16"/>
  <c r="O309" i="16"/>
  <c r="N309" i="16" s="1"/>
  <c r="I309" i="16" s="1"/>
  <c r="O270" i="16"/>
  <c r="O230" i="16"/>
  <c r="O186" i="16"/>
  <c r="O139" i="16"/>
  <c r="O93" i="16"/>
  <c r="N93" i="16" s="1"/>
  <c r="I93" i="16" s="1"/>
  <c r="O46" i="16"/>
  <c r="O3" i="16"/>
  <c r="O1336" i="16"/>
  <c r="O1320" i="16"/>
  <c r="O1304" i="16"/>
  <c r="O1288" i="16"/>
  <c r="O1272" i="16"/>
  <c r="O1256" i="16"/>
  <c r="O1240" i="16"/>
  <c r="O1224" i="16"/>
  <c r="O1208" i="16"/>
  <c r="O1192" i="16"/>
  <c r="O1176" i="16"/>
  <c r="O1160" i="16"/>
  <c r="O1144" i="16"/>
  <c r="O1128" i="16"/>
  <c r="O1112" i="16"/>
  <c r="O1096" i="16"/>
  <c r="O1080" i="16"/>
  <c r="O1064" i="16"/>
  <c r="O1048" i="16"/>
  <c r="O1032" i="16"/>
  <c r="O1016" i="16"/>
  <c r="O1000" i="16"/>
  <c r="O984" i="16"/>
  <c r="O968" i="16"/>
  <c r="O951" i="16"/>
  <c r="O933" i="16"/>
  <c r="N933" i="16" s="1"/>
  <c r="I933" i="16" s="1"/>
  <c r="O915" i="16"/>
  <c r="O897" i="16"/>
  <c r="O878" i="16"/>
  <c r="O860" i="16"/>
  <c r="O842" i="16"/>
  <c r="O823" i="16"/>
  <c r="O805" i="16"/>
  <c r="N805" i="16" s="1"/>
  <c r="I805" i="16" s="1"/>
  <c r="O787" i="16"/>
  <c r="O769" i="16"/>
  <c r="O750" i="16"/>
  <c r="O732" i="16"/>
  <c r="O714" i="16"/>
  <c r="O695" i="16"/>
  <c r="O677" i="16"/>
  <c r="N677" i="16" s="1"/>
  <c r="I677" i="16" s="1"/>
  <c r="O659" i="16"/>
  <c r="O638" i="16"/>
  <c r="O618" i="16"/>
  <c r="O597" i="16"/>
  <c r="N597" i="16" s="1"/>
  <c r="I597" i="16" s="1"/>
  <c r="O575" i="16"/>
  <c r="O554" i="16"/>
  <c r="O529" i="16"/>
  <c r="O505" i="16"/>
  <c r="O478" i="16"/>
  <c r="O445" i="16"/>
  <c r="N445" i="16" s="1"/>
  <c r="I445" i="16" s="1"/>
  <c r="O413" i="16"/>
  <c r="N413" i="16" s="1"/>
  <c r="I413" i="16" s="1"/>
  <c r="O381" i="16"/>
  <c r="N381" i="16" s="1"/>
  <c r="I381" i="16" s="1"/>
  <c r="O345" i="16"/>
  <c r="O307" i="16"/>
  <c r="O269" i="16"/>
  <c r="N269" i="16" s="1"/>
  <c r="I269" i="16" s="1"/>
  <c r="O228" i="16"/>
  <c r="O181" i="16"/>
  <c r="N181" i="16" s="1"/>
  <c r="I181" i="16" s="1"/>
  <c r="O137" i="16"/>
  <c r="O90" i="16"/>
  <c r="O45" i="16"/>
  <c r="N45" i="16" s="1"/>
  <c r="I45" i="16" s="1"/>
  <c r="O2654" i="16"/>
  <c r="O2646" i="16"/>
  <c r="O2638" i="16"/>
  <c r="O2630" i="16"/>
  <c r="O2622" i="16"/>
  <c r="O2614" i="16"/>
  <c r="O2606" i="16"/>
  <c r="O2598" i="16"/>
  <c r="O2590" i="16"/>
  <c r="O2582" i="16"/>
  <c r="O2574" i="16"/>
  <c r="O2566" i="16"/>
  <c r="O2558" i="16"/>
  <c r="O2550" i="16"/>
  <c r="O2542" i="16"/>
  <c r="O2534" i="16"/>
  <c r="O2526" i="16"/>
  <c r="O2518" i="16"/>
  <c r="O2510" i="16"/>
  <c r="O2502" i="16"/>
  <c r="O2494" i="16"/>
  <c r="O2486" i="16"/>
  <c r="O2478" i="16"/>
  <c r="O2470" i="16"/>
  <c r="O2462" i="16"/>
  <c r="O2454" i="16"/>
  <c r="O2446" i="16"/>
  <c r="O2438" i="16"/>
  <c r="O2430" i="16"/>
  <c r="O2422" i="16"/>
  <c r="O2414" i="16"/>
  <c r="O2406" i="16"/>
  <c r="O2398" i="16"/>
  <c r="O2390" i="16"/>
  <c r="O2382" i="16"/>
  <c r="O2374" i="16"/>
  <c r="O2366" i="16"/>
  <c r="O2358" i="16"/>
  <c r="O2350" i="16"/>
  <c r="O2342" i="16"/>
  <c r="O2334" i="16"/>
  <c r="O2326" i="16"/>
  <c r="O2318" i="16"/>
  <c r="O2310" i="16"/>
  <c r="O2302" i="16"/>
  <c r="O2294" i="16"/>
  <c r="O2286" i="16"/>
  <c r="O2278" i="16"/>
  <c r="O2270" i="16"/>
  <c r="O2262" i="16"/>
  <c r="O2254" i="16"/>
  <c r="O2246" i="16"/>
  <c r="O2238" i="16"/>
  <c r="O2230" i="16"/>
  <c r="O2221" i="16"/>
  <c r="N2221" i="16" s="1"/>
  <c r="I2221" i="16" s="1"/>
  <c r="O2210" i="16"/>
  <c r="O2200" i="16"/>
  <c r="O2189" i="16"/>
  <c r="O2178" i="16"/>
  <c r="O2168" i="16"/>
  <c r="O2154" i="16"/>
  <c r="O2141" i="16"/>
  <c r="N2141" i="16" s="1"/>
  <c r="I2141" i="16" s="1"/>
  <c r="O2129" i="16"/>
  <c r="O2116" i="16"/>
  <c r="O2104" i="16"/>
  <c r="O2090" i="16"/>
  <c r="O2077" i="16"/>
  <c r="N2077" i="16" s="1"/>
  <c r="I2077" i="16" s="1"/>
  <c r="O2065" i="16"/>
  <c r="O2052" i="16"/>
  <c r="O2040" i="16"/>
  <c r="O2026" i="16"/>
  <c r="O2013" i="16"/>
  <c r="N2013" i="16" s="1"/>
  <c r="I2013" i="16" s="1"/>
  <c r="O2001" i="16"/>
  <c r="O1988" i="16"/>
  <c r="O1976" i="16"/>
  <c r="O1962" i="16"/>
  <c r="O1949" i="16"/>
  <c r="N1949" i="16" s="1"/>
  <c r="I1949" i="16" s="1"/>
  <c r="O1937" i="16"/>
  <c r="O1924" i="16"/>
  <c r="O1912" i="16"/>
  <c r="O1898" i="16"/>
  <c r="O1885" i="16"/>
  <c r="N1885" i="16" s="1"/>
  <c r="I1885" i="16" s="1"/>
  <c r="O1873" i="16"/>
  <c r="O1860" i="16"/>
  <c r="O1844" i="16"/>
  <c r="O1828" i="16"/>
  <c r="O1812" i="16"/>
  <c r="O1796" i="16"/>
  <c r="O1780" i="16"/>
  <c r="O1764" i="16"/>
  <c r="O1748" i="16"/>
  <c r="O1732" i="16"/>
  <c r="O1716" i="16"/>
  <c r="O1700" i="16"/>
  <c r="O1684" i="16"/>
  <c r="O1668" i="16"/>
  <c r="O1652" i="16"/>
  <c r="O1636" i="16"/>
  <c r="O1620" i="16"/>
  <c r="O1604" i="16"/>
  <c r="O1588" i="16"/>
  <c r="O1572" i="16"/>
  <c r="O1556" i="16"/>
  <c r="O1540" i="16"/>
  <c r="O1524" i="16"/>
  <c r="O1508" i="16"/>
  <c r="O1492" i="16"/>
  <c r="O1476" i="16"/>
  <c r="O1460" i="16"/>
  <c r="O1444" i="16"/>
  <c r="O1428" i="16"/>
  <c r="O1412" i="16"/>
  <c r="O1396" i="16"/>
  <c r="O1380" i="16"/>
  <c r="O1364" i="16"/>
  <c r="O1348" i="16"/>
  <c r="O1332" i="16"/>
  <c r="O1316" i="16"/>
  <c r="O1300" i="16"/>
  <c r="O1284" i="16"/>
  <c r="O1268" i="16"/>
  <c r="O1252" i="16"/>
  <c r="O1236" i="16"/>
  <c r="O1220" i="16"/>
  <c r="O1204" i="16"/>
  <c r="O1188" i="16"/>
  <c r="O1172" i="16"/>
  <c r="O1156" i="16"/>
  <c r="O1140" i="16"/>
  <c r="O1124" i="16"/>
  <c r="O1108" i="16"/>
  <c r="O1092" i="16"/>
  <c r="O1076" i="16"/>
  <c r="O1060" i="16"/>
  <c r="O1044" i="16"/>
  <c r="O1028" i="16"/>
  <c r="O1012" i="16"/>
  <c r="O996" i="16"/>
  <c r="O980" i="16"/>
  <c r="O964" i="16"/>
  <c r="O947" i="16"/>
  <c r="O929" i="16"/>
  <c r="O910" i="16"/>
  <c r="O892" i="16"/>
  <c r="O874" i="16"/>
  <c r="O855" i="16"/>
  <c r="O837" i="16"/>
  <c r="N837" i="16" s="1"/>
  <c r="I837" i="16" s="1"/>
  <c r="O819" i="16"/>
  <c r="O801" i="16"/>
  <c r="O782" i="16"/>
  <c r="O764" i="16"/>
  <c r="O746" i="16"/>
  <c r="O727" i="16"/>
  <c r="O709" i="16"/>
  <c r="O691" i="16"/>
  <c r="O673" i="16"/>
  <c r="O654" i="16"/>
  <c r="O634" i="16"/>
  <c r="O612" i="16"/>
  <c r="O591" i="16"/>
  <c r="O571" i="16"/>
  <c r="O547" i="16"/>
  <c r="O523" i="16"/>
  <c r="O499" i="16"/>
  <c r="O470" i="16"/>
  <c r="O438" i="16"/>
  <c r="O406" i="16"/>
  <c r="O373" i="16"/>
  <c r="N373" i="16" s="1"/>
  <c r="I373" i="16" s="1"/>
  <c r="O334" i="16"/>
  <c r="O299" i="16"/>
  <c r="O259" i="16"/>
  <c r="O217" i="16"/>
  <c r="O172" i="16"/>
  <c r="O124" i="16"/>
  <c r="O78" i="16"/>
  <c r="O34" i="16"/>
  <c r="O2652" i="16"/>
  <c r="O2644" i="16"/>
  <c r="O2636" i="16"/>
  <c r="O2628" i="16"/>
  <c r="O2620" i="16"/>
  <c r="O2612" i="16"/>
  <c r="O2604" i="16"/>
  <c r="O2596" i="16"/>
  <c r="O2588" i="16"/>
  <c r="O2580" i="16"/>
  <c r="O2572" i="16"/>
  <c r="O2564" i="16"/>
  <c r="O2556" i="16"/>
  <c r="O2548" i="16"/>
  <c r="O2540" i="16"/>
  <c r="O2532" i="16"/>
  <c r="O2524" i="16"/>
  <c r="O2516" i="16"/>
  <c r="O2508" i="16"/>
  <c r="O2500" i="16"/>
  <c r="O2492" i="16"/>
  <c r="O2484" i="16"/>
  <c r="O2476" i="16"/>
  <c r="O2468" i="16"/>
  <c r="O2460" i="16"/>
  <c r="O2452" i="16"/>
  <c r="O2444" i="16"/>
  <c r="O2436" i="16"/>
  <c r="O2428" i="16"/>
  <c r="O2420" i="16"/>
  <c r="O2412" i="16"/>
  <c r="O2404" i="16"/>
  <c r="O2396" i="16"/>
  <c r="O2388" i="16"/>
  <c r="O2380" i="16"/>
  <c r="O2372" i="16"/>
  <c r="O2364" i="16"/>
  <c r="O2356" i="16"/>
  <c r="O2348" i="16"/>
  <c r="O2340" i="16"/>
  <c r="O2332" i="16"/>
  <c r="O2324" i="16"/>
  <c r="O2316" i="16"/>
  <c r="O2308" i="16"/>
  <c r="O2300" i="16"/>
  <c r="O2292" i="16"/>
  <c r="O2284" i="16"/>
  <c r="O2276" i="16"/>
  <c r="O2268" i="16"/>
  <c r="O2260" i="16"/>
  <c r="O2252" i="16"/>
  <c r="O2244" i="16"/>
  <c r="O2236" i="16"/>
  <c r="O2228" i="16"/>
  <c r="O2218" i="16"/>
  <c r="O2208" i="16"/>
  <c r="O2197" i="16"/>
  <c r="N2197" i="16" s="1"/>
  <c r="I2197" i="16" s="1"/>
  <c r="O2186" i="16"/>
  <c r="O2176" i="16"/>
  <c r="O2164" i="16"/>
  <c r="O2152" i="16"/>
  <c r="O2138" i="16"/>
  <c r="O2125" i="16"/>
  <c r="N2125" i="16" s="1"/>
  <c r="I2125" i="16" s="1"/>
  <c r="O2113" i="16"/>
  <c r="O2100" i="16"/>
  <c r="O2088" i="16"/>
  <c r="O2074" i="16"/>
  <c r="O2061" i="16"/>
  <c r="N2061" i="16" s="1"/>
  <c r="I2061" i="16" s="1"/>
  <c r="O2049" i="16"/>
  <c r="O2036" i="16"/>
  <c r="O2024" i="16"/>
  <c r="O2010" i="16"/>
  <c r="O1997" i="16"/>
  <c r="N1997" i="16" s="1"/>
  <c r="I1997" i="16" s="1"/>
  <c r="O1985" i="16"/>
  <c r="O1972" i="16"/>
  <c r="O1960" i="16"/>
  <c r="O1946" i="16"/>
  <c r="O1933" i="16"/>
  <c r="N1933" i="16" s="1"/>
  <c r="I1933" i="16" s="1"/>
  <c r="O1921" i="16"/>
  <c r="O1908" i="16"/>
  <c r="O1896" i="16"/>
  <c r="O1882" i="16"/>
  <c r="O1869" i="16"/>
  <c r="N1869" i="16" s="1"/>
  <c r="I1869" i="16" s="1"/>
  <c r="O1857" i="16"/>
  <c r="O1841" i="16"/>
  <c r="O1825" i="16"/>
  <c r="O1809" i="16"/>
  <c r="O1793" i="16"/>
  <c r="O1777" i="16"/>
  <c r="O1761" i="16"/>
  <c r="O1745" i="16"/>
  <c r="O1729" i="16"/>
  <c r="O1713" i="16"/>
  <c r="O1697" i="16"/>
  <c r="O1681" i="16"/>
  <c r="O1665" i="16"/>
  <c r="O1649" i="16"/>
  <c r="O1633" i="16"/>
  <c r="O1617" i="16"/>
  <c r="O1601" i="16"/>
  <c r="O1585" i="16"/>
  <c r="O1569" i="16"/>
  <c r="O1553" i="16"/>
  <c r="O1537" i="16"/>
  <c r="O1521" i="16"/>
  <c r="O1505" i="16"/>
  <c r="O1489" i="16"/>
  <c r="O1473" i="16"/>
  <c r="O1457" i="16"/>
  <c r="O1441" i="16"/>
  <c r="O1425" i="16"/>
  <c r="O1409" i="16"/>
  <c r="O1393" i="16"/>
  <c r="O1377" i="16"/>
  <c r="O1361" i="16"/>
  <c r="O1345" i="16"/>
  <c r="O1329" i="16"/>
  <c r="O1313" i="16"/>
  <c r="O1297" i="16"/>
  <c r="O1281" i="16"/>
  <c r="O1265" i="16"/>
  <c r="O1249" i="16"/>
  <c r="O1233" i="16"/>
  <c r="O1217" i="16"/>
  <c r="O1201" i="16"/>
  <c r="O1185" i="16"/>
  <c r="O1169" i="16"/>
  <c r="O1153" i="16"/>
  <c r="O1137" i="16"/>
  <c r="O1121" i="16"/>
  <c r="O1105" i="16"/>
  <c r="O1089" i="16"/>
  <c r="O1073" i="16"/>
  <c r="O1057" i="16"/>
  <c r="O1041" i="16"/>
  <c r="O1025" i="16"/>
  <c r="O1009" i="16"/>
  <c r="O993" i="16"/>
  <c r="O977" i="16"/>
  <c r="O961" i="16"/>
  <c r="O943" i="16"/>
  <c r="O925" i="16"/>
  <c r="N925" i="16" s="1"/>
  <c r="I925" i="16" s="1"/>
  <c r="O907" i="16"/>
  <c r="O889" i="16"/>
  <c r="O870" i="16"/>
  <c r="O852" i="16"/>
  <c r="O834" i="16"/>
  <c r="O815" i="16"/>
  <c r="O797" i="16"/>
  <c r="N797" i="16" s="1"/>
  <c r="I797" i="16" s="1"/>
  <c r="O779" i="16"/>
  <c r="O761" i="16"/>
  <c r="O742" i="16"/>
  <c r="O724" i="16"/>
  <c r="O706" i="16"/>
  <c r="O687" i="16"/>
  <c r="O669" i="16"/>
  <c r="N669" i="16" s="1"/>
  <c r="I669" i="16" s="1"/>
  <c r="O651" i="16"/>
  <c r="O629" i="16"/>
  <c r="N629" i="16" s="1"/>
  <c r="I629" i="16" s="1"/>
  <c r="O609" i="16"/>
  <c r="O588" i="16"/>
  <c r="O566" i="16"/>
  <c r="O542" i="16"/>
  <c r="O518" i="16"/>
  <c r="O492" i="16"/>
  <c r="O465" i="16"/>
  <c r="O433" i="16"/>
  <c r="O398" i="16"/>
  <c r="O365" i="16"/>
  <c r="N365" i="16" s="1"/>
  <c r="I365" i="16" s="1"/>
  <c r="O329" i="16"/>
  <c r="O290" i="16"/>
  <c r="O252" i="16"/>
  <c r="O206" i="16"/>
  <c r="O162" i="16"/>
  <c r="O117" i="16"/>
  <c r="N117" i="16" s="1"/>
  <c r="I117" i="16" s="1"/>
  <c r="O73" i="16"/>
  <c r="O25" i="16"/>
  <c r="O2215" i="16"/>
  <c r="O2207" i="16"/>
  <c r="O2199" i="16"/>
  <c r="O2191" i="16"/>
  <c r="O2183" i="16"/>
  <c r="O2175" i="16"/>
  <c r="O2167" i="16"/>
  <c r="O2159" i="16"/>
  <c r="O2151" i="16"/>
  <c r="O2143" i="16"/>
  <c r="O2135" i="16"/>
  <c r="O2127" i="16"/>
  <c r="O2119" i="16"/>
  <c r="O2111" i="16"/>
  <c r="O2103" i="16"/>
  <c r="O2095" i="16"/>
  <c r="O2087" i="16"/>
  <c r="O2079" i="16"/>
  <c r="O2071" i="16"/>
  <c r="O2063" i="16"/>
  <c r="O2055" i="16"/>
  <c r="O2047" i="16"/>
  <c r="O2039" i="16"/>
  <c r="O2031" i="16"/>
  <c r="O2023" i="16"/>
  <c r="O2015" i="16"/>
  <c r="O2007" i="16"/>
  <c r="O1999" i="16"/>
  <c r="O1991" i="16"/>
  <c r="O1983" i="16"/>
  <c r="O1975" i="16"/>
  <c r="O1967" i="16"/>
  <c r="O1959" i="16"/>
  <c r="O1951" i="16"/>
  <c r="O1943" i="16"/>
  <c r="O1935" i="16"/>
  <c r="O1927" i="16"/>
  <c r="O1919" i="16"/>
  <c r="O1911" i="16"/>
  <c r="O1903" i="16"/>
  <c r="O1895" i="16"/>
  <c r="O1887" i="16"/>
  <c r="O1879" i="16"/>
  <c r="O1871" i="16"/>
  <c r="O1863" i="16"/>
  <c r="O1855" i="16"/>
  <c r="O1847" i="16"/>
  <c r="O1839" i="16"/>
  <c r="O1831" i="16"/>
  <c r="O1823" i="16"/>
  <c r="O1815" i="16"/>
  <c r="O1807" i="16"/>
  <c r="O1799" i="16"/>
  <c r="O1791" i="16"/>
  <c r="O1783" i="16"/>
  <c r="O1775" i="16"/>
  <c r="O1767" i="16"/>
  <c r="O1759" i="16"/>
  <c r="O1751" i="16"/>
  <c r="O1743" i="16"/>
  <c r="O1735" i="16"/>
  <c r="O1727" i="16"/>
  <c r="O1719" i="16"/>
  <c r="O1711" i="16"/>
  <c r="O1703" i="16"/>
  <c r="O1695" i="16"/>
  <c r="O1687" i="16"/>
  <c r="O1679" i="16"/>
  <c r="O1671" i="16"/>
  <c r="O1663" i="16"/>
  <c r="O1655" i="16"/>
  <c r="O1647" i="16"/>
  <c r="O1639" i="16"/>
  <c r="O1631" i="16"/>
  <c r="O1623" i="16"/>
  <c r="O1615" i="16"/>
  <c r="O1607" i="16"/>
  <c r="O1599" i="16"/>
  <c r="O1591" i="16"/>
  <c r="O1583" i="16"/>
  <c r="O1575" i="16"/>
  <c r="O1567" i="16"/>
  <c r="O1559" i="16"/>
  <c r="O1551" i="16"/>
  <c r="O1543" i="16"/>
  <c r="O1535" i="16"/>
  <c r="O1527" i="16"/>
  <c r="O1519" i="16"/>
  <c r="O1511" i="16"/>
  <c r="O1503" i="16"/>
  <c r="O1495" i="16"/>
  <c r="O1487" i="16"/>
  <c r="O1479" i="16"/>
  <c r="O1471" i="16"/>
  <c r="O1463" i="16"/>
  <c r="O1455" i="16"/>
  <c r="O1447" i="16"/>
  <c r="O1439" i="16"/>
  <c r="O1431" i="16"/>
  <c r="O1423" i="16"/>
  <c r="O1415" i="16"/>
  <c r="O1407" i="16"/>
  <c r="O1399" i="16"/>
  <c r="O1391" i="16"/>
  <c r="O1383" i="16"/>
  <c r="O1375" i="16"/>
  <c r="O1367" i="16"/>
  <c r="O1359" i="16"/>
  <c r="O1351" i="16"/>
  <c r="O1343" i="16"/>
  <c r="O1335" i="16"/>
  <c r="O1327" i="16"/>
  <c r="O1319" i="16"/>
  <c r="O1311" i="16"/>
  <c r="O1303" i="16"/>
  <c r="O1295" i="16"/>
  <c r="O1287" i="16"/>
  <c r="O1279" i="16"/>
  <c r="O1271" i="16"/>
  <c r="O1263" i="16"/>
  <c r="O1255" i="16"/>
  <c r="O1247" i="16"/>
  <c r="O1239" i="16"/>
  <c r="O1231" i="16"/>
  <c r="O1223" i="16"/>
  <c r="O1215" i="16"/>
  <c r="O1207" i="16"/>
  <c r="O1199" i="16"/>
  <c r="O1191" i="16"/>
  <c r="O1183" i="16"/>
  <c r="O1175" i="16"/>
  <c r="O1167" i="16"/>
  <c r="O1159" i="16"/>
  <c r="O1151" i="16"/>
  <c r="O1143" i="16"/>
  <c r="O1135" i="16"/>
  <c r="O1127" i="16"/>
  <c r="O1119" i="16"/>
  <c r="O1111" i="16"/>
  <c r="O1103" i="16"/>
  <c r="O1095" i="16"/>
  <c r="O1087" i="16"/>
  <c r="O1079" i="16"/>
  <c r="O1071" i="16"/>
  <c r="O1063" i="16"/>
  <c r="O1055" i="16"/>
  <c r="O1047" i="16"/>
  <c r="O1039" i="16"/>
  <c r="O1031" i="16"/>
  <c r="O1023" i="16"/>
  <c r="O1015" i="16"/>
  <c r="O1007" i="16"/>
  <c r="O999" i="16"/>
  <c r="O991" i="16"/>
  <c r="O983" i="16"/>
  <c r="O975" i="16"/>
  <c r="O967" i="16"/>
  <c r="O959" i="16"/>
  <c r="O950" i="16"/>
  <c r="O941" i="16"/>
  <c r="N941" i="16" s="1"/>
  <c r="I941" i="16" s="1"/>
  <c r="O932" i="16"/>
  <c r="O923" i="16"/>
  <c r="O914" i="16"/>
  <c r="O905" i="16"/>
  <c r="O895" i="16"/>
  <c r="O886" i="16"/>
  <c r="O877" i="16"/>
  <c r="N877" i="16" s="1"/>
  <c r="I877" i="16" s="1"/>
  <c r="O868" i="16"/>
  <c r="O859" i="16"/>
  <c r="O850" i="16"/>
  <c r="O841" i="16"/>
  <c r="O831" i="16"/>
  <c r="O822" i="16"/>
  <c r="O813" i="16"/>
  <c r="N813" i="16" s="1"/>
  <c r="I813" i="16" s="1"/>
  <c r="O804" i="16"/>
  <c r="O795" i="16"/>
  <c r="O786" i="16"/>
  <c r="O777" i="16"/>
  <c r="O767" i="16"/>
  <c r="O758" i="16"/>
  <c r="O749" i="16"/>
  <c r="N749" i="16" s="1"/>
  <c r="I749" i="16" s="1"/>
  <c r="O740" i="16"/>
  <c r="O731" i="16"/>
  <c r="O722" i="16"/>
  <c r="O713" i="16"/>
  <c r="O703" i="16"/>
  <c r="O694" i="16"/>
  <c r="O685" i="16"/>
  <c r="N685" i="16" s="1"/>
  <c r="I685" i="16" s="1"/>
  <c r="O676" i="16"/>
  <c r="O667" i="16"/>
  <c r="O658" i="16"/>
  <c r="O647" i="16"/>
  <c r="O637" i="16"/>
  <c r="N637" i="16" s="1"/>
  <c r="I637" i="16" s="1"/>
  <c r="O627" i="16"/>
  <c r="O617" i="16"/>
  <c r="O606" i="16"/>
  <c r="O596" i="16"/>
  <c r="O585" i="16"/>
  <c r="O574" i="16"/>
  <c r="O564" i="16"/>
  <c r="O551" i="16"/>
  <c r="O539" i="16"/>
  <c r="O527" i="16"/>
  <c r="O515" i="16"/>
  <c r="O502" i="16"/>
  <c r="O490" i="16"/>
  <c r="O475" i="16"/>
  <c r="O460" i="16"/>
  <c r="O444" i="16"/>
  <c r="O428" i="16"/>
  <c r="O411" i="16"/>
  <c r="O396" i="16"/>
  <c r="O379" i="16"/>
  <c r="O361" i="16"/>
  <c r="O342" i="16"/>
  <c r="O323" i="16"/>
  <c r="O302" i="16"/>
  <c r="O285" i="16"/>
  <c r="N285" i="16" s="1"/>
  <c r="I285" i="16" s="1"/>
  <c r="O267" i="16"/>
  <c r="O246" i="16"/>
  <c r="O225" i="16"/>
  <c r="O203" i="16"/>
  <c r="O179" i="16"/>
  <c r="O157" i="16"/>
  <c r="N157" i="16" s="1"/>
  <c r="I157" i="16" s="1"/>
  <c r="O132" i="16"/>
  <c r="O109" i="16"/>
  <c r="N109" i="16" s="1"/>
  <c r="I109" i="16" s="1"/>
  <c r="O89" i="16"/>
  <c r="O66" i="16"/>
  <c r="O44" i="16"/>
  <c r="O19" i="16"/>
  <c r="O2166" i="16"/>
  <c r="O2158" i="16"/>
  <c r="O2150" i="16"/>
  <c r="O2142" i="16"/>
  <c r="O2134" i="16"/>
  <c r="O2126" i="16"/>
  <c r="O2118" i="16"/>
  <c r="O2110" i="16"/>
  <c r="O2102" i="16"/>
  <c r="O2094" i="16"/>
  <c r="O2086" i="16"/>
  <c r="O2078" i="16"/>
  <c r="O2070" i="16"/>
  <c r="O2062" i="16"/>
  <c r="O2054" i="16"/>
  <c r="O2046" i="16"/>
  <c r="O2038" i="16"/>
  <c r="O2030" i="16"/>
  <c r="O2022" i="16"/>
  <c r="O2014" i="16"/>
  <c r="O2006" i="16"/>
  <c r="O1998" i="16"/>
  <c r="O1990" i="16"/>
  <c r="O1982" i="16"/>
  <c r="O1974" i="16"/>
  <c r="O1966" i="16"/>
  <c r="O1958" i="16"/>
  <c r="O1950" i="16"/>
  <c r="O1942" i="16"/>
  <c r="O1934" i="16"/>
  <c r="O1926" i="16"/>
  <c r="O1918" i="16"/>
  <c r="O1910" i="16"/>
  <c r="O1902" i="16"/>
  <c r="O1894" i="16"/>
  <c r="O1886" i="16"/>
  <c r="O1878" i="16"/>
  <c r="O1870" i="16"/>
  <c r="O1862" i="16"/>
  <c r="O1854" i="16"/>
  <c r="O1846" i="16"/>
  <c r="O1838" i="16"/>
  <c r="O1830" i="16"/>
  <c r="O1822" i="16"/>
  <c r="O1814" i="16"/>
  <c r="O1806" i="16"/>
  <c r="O1798" i="16"/>
  <c r="O1790" i="16"/>
  <c r="O1782" i="16"/>
  <c r="O1774" i="16"/>
  <c r="O1766" i="16"/>
  <c r="O1758" i="16"/>
  <c r="O1750" i="16"/>
  <c r="O1742" i="16"/>
  <c r="O1734" i="16"/>
  <c r="O1726" i="16"/>
  <c r="O1718" i="16"/>
  <c r="O1710" i="16"/>
  <c r="O1702" i="16"/>
  <c r="O1694" i="16"/>
  <c r="O1686" i="16"/>
  <c r="O1678" i="16"/>
  <c r="O1670" i="16"/>
  <c r="O1662" i="16"/>
  <c r="O1654" i="16"/>
  <c r="O1646" i="16"/>
  <c r="O1638" i="16"/>
  <c r="O1630" i="16"/>
  <c r="O1622" i="16"/>
  <c r="O1614" i="16"/>
  <c r="O1606" i="16"/>
  <c r="O1598" i="16"/>
  <c r="O1590" i="16"/>
  <c r="O1582" i="16"/>
  <c r="O1574" i="16"/>
  <c r="O1566" i="16"/>
  <c r="O1558" i="16"/>
  <c r="O1550" i="16"/>
  <c r="O1542" i="16"/>
  <c r="O1534" i="16"/>
  <c r="O1526" i="16"/>
  <c r="O1518" i="16"/>
  <c r="O1510" i="16"/>
  <c r="O1502" i="16"/>
  <c r="O1494" i="16"/>
  <c r="O1486" i="16"/>
  <c r="O1478" i="16"/>
  <c r="O1470" i="16"/>
  <c r="O1462" i="16"/>
  <c r="O1454" i="16"/>
  <c r="O1446" i="16"/>
  <c r="O1438" i="16"/>
  <c r="O1430" i="16"/>
  <c r="O1422" i="16"/>
  <c r="O1414" i="16"/>
  <c r="O1406" i="16"/>
  <c r="O1398" i="16"/>
  <c r="O1390" i="16"/>
  <c r="O1382" i="16"/>
  <c r="O1374" i="16"/>
  <c r="O1366" i="16"/>
  <c r="O1358" i="16"/>
  <c r="O1350" i="16"/>
  <c r="O1342" i="16"/>
  <c r="O1334" i="16"/>
  <c r="O1326" i="16"/>
  <c r="O1318" i="16"/>
  <c r="O1310" i="16"/>
  <c r="O1302" i="16"/>
  <c r="O1294" i="16"/>
  <c r="O1286" i="16"/>
  <c r="O1278" i="16"/>
  <c r="O1270" i="16"/>
  <c r="O1262" i="16"/>
  <c r="O1254" i="16"/>
  <c r="O1246" i="16"/>
  <c r="O1238" i="16"/>
  <c r="O1230" i="16"/>
  <c r="O1222" i="16"/>
  <c r="O1214" i="16"/>
  <c r="O1206" i="16"/>
  <c r="O1198" i="16"/>
  <c r="O1190" i="16"/>
  <c r="O1182" i="16"/>
  <c r="O1174" i="16"/>
  <c r="O1166" i="16"/>
  <c r="O1158" i="16"/>
  <c r="O1150" i="16"/>
  <c r="O1142" i="16"/>
  <c r="O1134" i="16"/>
  <c r="O1126" i="16"/>
  <c r="O1118" i="16"/>
  <c r="O1110" i="16"/>
  <c r="O1102" i="16"/>
  <c r="O1094" i="16"/>
  <c r="O1086" i="16"/>
  <c r="O1078" i="16"/>
  <c r="O1070" i="16"/>
  <c r="O1062" i="16"/>
  <c r="O1054" i="16"/>
  <c r="O1046" i="16"/>
  <c r="O1038" i="16"/>
  <c r="O1030" i="16"/>
  <c r="O1022" i="16"/>
  <c r="O1014" i="16"/>
  <c r="O1006" i="16"/>
  <c r="O998" i="16"/>
  <c r="O990" i="16"/>
  <c r="O982" i="16"/>
  <c r="O974" i="16"/>
  <c r="O966" i="16"/>
  <c r="O958" i="16"/>
  <c r="O949" i="16"/>
  <c r="N949" i="16" s="1"/>
  <c r="I949" i="16" s="1"/>
  <c r="O940" i="16"/>
  <c r="O931" i="16"/>
  <c r="O922" i="16"/>
  <c r="O913" i="16"/>
  <c r="O903" i="16"/>
  <c r="O894" i="16"/>
  <c r="O885" i="16"/>
  <c r="N885" i="16" s="1"/>
  <c r="I885" i="16" s="1"/>
  <c r="O876" i="16"/>
  <c r="O867" i="16"/>
  <c r="O858" i="16"/>
  <c r="O849" i="16"/>
  <c r="O839" i="16"/>
  <c r="O830" i="16"/>
  <c r="O821" i="16"/>
  <c r="N821" i="16" s="1"/>
  <c r="I821" i="16" s="1"/>
  <c r="O812" i="16"/>
  <c r="O803" i="16"/>
  <c r="O794" i="16"/>
  <c r="O785" i="16"/>
  <c r="O775" i="16"/>
  <c r="O766" i="16"/>
  <c r="O757" i="16"/>
  <c r="N757" i="16" s="1"/>
  <c r="I757" i="16" s="1"/>
  <c r="O748" i="16"/>
  <c r="O739" i="16"/>
  <c r="O730" i="16"/>
  <c r="O721" i="16"/>
  <c r="O711" i="16"/>
  <c r="O702" i="16"/>
  <c r="O693" i="16"/>
  <c r="N693" i="16" s="1"/>
  <c r="I693" i="16" s="1"/>
  <c r="O684" i="16"/>
  <c r="O675" i="16"/>
  <c r="O666" i="16"/>
  <c r="O657" i="16"/>
  <c r="O646" i="16"/>
  <c r="O636" i="16"/>
  <c r="O626" i="16"/>
  <c r="O615" i="16"/>
  <c r="O605" i="16"/>
  <c r="N605" i="16" s="1"/>
  <c r="I605" i="16" s="1"/>
  <c r="O594" i="16"/>
  <c r="O583" i="16"/>
  <c r="O573" i="16"/>
  <c r="N573" i="16" s="1"/>
  <c r="I573" i="16" s="1"/>
  <c r="O563" i="16"/>
  <c r="O550" i="16"/>
  <c r="O538" i="16"/>
  <c r="O526" i="16"/>
  <c r="O514" i="16"/>
  <c r="O501" i="16"/>
  <c r="N501" i="16" s="1"/>
  <c r="I501" i="16" s="1"/>
  <c r="O489" i="16"/>
  <c r="O474" i="16"/>
  <c r="O459" i="16"/>
  <c r="O443" i="16"/>
  <c r="O427" i="16"/>
  <c r="O410" i="16"/>
  <c r="O395" i="16"/>
  <c r="O378" i="16"/>
  <c r="O358" i="16"/>
  <c r="O341" i="16"/>
  <c r="N341" i="16" s="1"/>
  <c r="I341" i="16" s="1"/>
  <c r="O322" i="16"/>
  <c r="O301" i="16"/>
  <c r="N301" i="16" s="1"/>
  <c r="I301" i="16" s="1"/>
  <c r="O284" i="16"/>
  <c r="O265" i="16"/>
  <c r="O245" i="16"/>
  <c r="N245" i="16" s="1"/>
  <c r="I245" i="16" s="1"/>
  <c r="O221" i="16"/>
  <c r="N221" i="16" s="1"/>
  <c r="I221" i="16" s="1"/>
  <c r="O201" i="16"/>
  <c r="O174" i="16"/>
  <c r="O153" i="16"/>
  <c r="O131" i="16"/>
  <c r="O108" i="16"/>
  <c r="O86" i="16"/>
  <c r="O61" i="16"/>
  <c r="N61" i="16" s="1"/>
  <c r="I61" i="16" s="1"/>
  <c r="O38" i="16"/>
  <c r="O18" i="16"/>
  <c r="O1853" i="16"/>
  <c r="O1845" i="16"/>
  <c r="N1845" i="16" s="1"/>
  <c r="I1845" i="16" s="1"/>
  <c r="O1837" i="16"/>
  <c r="N1837" i="16" s="1"/>
  <c r="I1837" i="16" s="1"/>
  <c r="O1829" i="16"/>
  <c r="N1829" i="16" s="1"/>
  <c r="I1829" i="16" s="1"/>
  <c r="O1821" i="16"/>
  <c r="N1821" i="16" s="1"/>
  <c r="I1821" i="16" s="1"/>
  <c r="O1813" i="16"/>
  <c r="N1813" i="16" s="1"/>
  <c r="I1813" i="16" s="1"/>
  <c r="O1805" i="16"/>
  <c r="N1805" i="16" s="1"/>
  <c r="I1805" i="16" s="1"/>
  <c r="O1797" i="16"/>
  <c r="N1797" i="16" s="1"/>
  <c r="I1797" i="16" s="1"/>
  <c r="O1789" i="16"/>
  <c r="N1789" i="16" s="1"/>
  <c r="I1789" i="16" s="1"/>
  <c r="O1781" i="16"/>
  <c r="N1781" i="16" s="1"/>
  <c r="I1781" i="16" s="1"/>
  <c r="O1773" i="16"/>
  <c r="N1773" i="16" s="1"/>
  <c r="I1773" i="16" s="1"/>
  <c r="O1765" i="16"/>
  <c r="N1765" i="16" s="1"/>
  <c r="I1765" i="16" s="1"/>
  <c r="O1757" i="16"/>
  <c r="N1757" i="16" s="1"/>
  <c r="I1757" i="16" s="1"/>
  <c r="O1749" i="16"/>
  <c r="N1749" i="16" s="1"/>
  <c r="I1749" i="16" s="1"/>
  <c r="O1741" i="16"/>
  <c r="N1741" i="16" s="1"/>
  <c r="I1741" i="16" s="1"/>
  <c r="O1733" i="16"/>
  <c r="N1733" i="16" s="1"/>
  <c r="I1733" i="16" s="1"/>
  <c r="O1725" i="16"/>
  <c r="N1725" i="16" s="1"/>
  <c r="I1725" i="16" s="1"/>
  <c r="O1717" i="16"/>
  <c r="N1717" i="16" s="1"/>
  <c r="I1717" i="16" s="1"/>
  <c r="O1709" i="16"/>
  <c r="N1709" i="16" s="1"/>
  <c r="I1709" i="16" s="1"/>
  <c r="O1701" i="16"/>
  <c r="N1701" i="16" s="1"/>
  <c r="I1701" i="16" s="1"/>
  <c r="O1693" i="16"/>
  <c r="N1693" i="16" s="1"/>
  <c r="I1693" i="16" s="1"/>
  <c r="O1685" i="16"/>
  <c r="N1685" i="16" s="1"/>
  <c r="I1685" i="16" s="1"/>
  <c r="O1677" i="16"/>
  <c r="N1677" i="16" s="1"/>
  <c r="I1677" i="16" s="1"/>
  <c r="O1669" i="16"/>
  <c r="N1669" i="16" s="1"/>
  <c r="I1669" i="16" s="1"/>
  <c r="O1661" i="16"/>
  <c r="N1661" i="16" s="1"/>
  <c r="I1661" i="16" s="1"/>
  <c r="O1653" i="16"/>
  <c r="N1653" i="16" s="1"/>
  <c r="I1653" i="16" s="1"/>
  <c r="O1645" i="16"/>
  <c r="N1645" i="16" s="1"/>
  <c r="I1645" i="16" s="1"/>
  <c r="O1637" i="16"/>
  <c r="N1637" i="16" s="1"/>
  <c r="I1637" i="16" s="1"/>
  <c r="O1629" i="16"/>
  <c r="N1629" i="16" s="1"/>
  <c r="I1629" i="16" s="1"/>
  <c r="O1621" i="16"/>
  <c r="N1621" i="16" s="1"/>
  <c r="I1621" i="16" s="1"/>
  <c r="O1613" i="16"/>
  <c r="N1613" i="16" s="1"/>
  <c r="I1613" i="16" s="1"/>
  <c r="O1605" i="16"/>
  <c r="N1605" i="16" s="1"/>
  <c r="I1605" i="16" s="1"/>
  <c r="O1597" i="16"/>
  <c r="N1597" i="16" s="1"/>
  <c r="I1597" i="16" s="1"/>
  <c r="O1589" i="16"/>
  <c r="N1589" i="16" s="1"/>
  <c r="I1589" i="16" s="1"/>
  <c r="O1581" i="16"/>
  <c r="N1581" i="16" s="1"/>
  <c r="I1581" i="16" s="1"/>
  <c r="O1573" i="16"/>
  <c r="N1573" i="16" s="1"/>
  <c r="I1573" i="16" s="1"/>
  <c r="O1565" i="16"/>
  <c r="N1565" i="16" s="1"/>
  <c r="I1565" i="16" s="1"/>
  <c r="O1557" i="16"/>
  <c r="N1557" i="16" s="1"/>
  <c r="I1557" i="16" s="1"/>
  <c r="O1549" i="16"/>
  <c r="N1549" i="16" s="1"/>
  <c r="I1549" i="16" s="1"/>
  <c r="O1541" i="16"/>
  <c r="N1541" i="16" s="1"/>
  <c r="I1541" i="16" s="1"/>
  <c r="O1533" i="16"/>
  <c r="N1533" i="16" s="1"/>
  <c r="I1533" i="16" s="1"/>
  <c r="O1525" i="16"/>
  <c r="N1525" i="16" s="1"/>
  <c r="I1525" i="16" s="1"/>
  <c r="O1517" i="16"/>
  <c r="N1517" i="16" s="1"/>
  <c r="I1517" i="16" s="1"/>
  <c r="O1509" i="16"/>
  <c r="N1509" i="16" s="1"/>
  <c r="I1509" i="16" s="1"/>
  <c r="O1501" i="16"/>
  <c r="N1501" i="16" s="1"/>
  <c r="I1501" i="16" s="1"/>
  <c r="O1493" i="16"/>
  <c r="N1493" i="16" s="1"/>
  <c r="I1493" i="16" s="1"/>
  <c r="O1485" i="16"/>
  <c r="N1485" i="16" s="1"/>
  <c r="I1485" i="16" s="1"/>
  <c r="O1477" i="16"/>
  <c r="O1469" i="16"/>
  <c r="N1469" i="16" s="1"/>
  <c r="I1469" i="16" s="1"/>
  <c r="O1461" i="16"/>
  <c r="N1461" i="16" s="1"/>
  <c r="I1461" i="16" s="1"/>
  <c r="O1453" i="16"/>
  <c r="N1453" i="16" s="1"/>
  <c r="I1453" i="16" s="1"/>
  <c r="O1445" i="16"/>
  <c r="N1445" i="16" s="1"/>
  <c r="I1445" i="16" s="1"/>
  <c r="O1437" i="16"/>
  <c r="N1437" i="16" s="1"/>
  <c r="I1437" i="16" s="1"/>
  <c r="O1429" i="16"/>
  <c r="N1429" i="16" s="1"/>
  <c r="I1429" i="16" s="1"/>
  <c r="O1421" i="16"/>
  <c r="N1421" i="16" s="1"/>
  <c r="I1421" i="16" s="1"/>
  <c r="O1413" i="16"/>
  <c r="N1413" i="16" s="1"/>
  <c r="I1413" i="16" s="1"/>
  <c r="O1405" i="16"/>
  <c r="N1405" i="16" s="1"/>
  <c r="I1405" i="16" s="1"/>
  <c r="O1397" i="16"/>
  <c r="N1397" i="16" s="1"/>
  <c r="I1397" i="16" s="1"/>
  <c r="O1389" i="16"/>
  <c r="N1389" i="16" s="1"/>
  <c r="I1389" i="16" s="1"/>
  <c r="O1381" i="16"/>
  <c r="N1381" i="16" s="1"/>
  <c r="I1381" i="16" s="1"/>
  <c r="O1373" i="16"/>
  <c r="N1373" i="16" s="1"/>
  <c r="I1373" i="16" s="1"/>
  <c r="O1365" i="16"/>
  <c r="N1365" i="16" s="1"/>
  <c r="I1365" i="16" s="1"/>
  <c r="O1357" i="16"/>
  <c r="N1357" i="16" s="1"/>
  <c r="I1357" i="16" s="1"/>
  <c r="O1349" i="16"/>
  <c r="N1349" i="16" s="1"/>
  <c r="I1349" i="16" s="1"/>
  <c r="O1341" i="16"/>
  <c r="O1333" i="16"/>
  <c r="N1333" i="16" s="1"/>
  <c r="I1333" i="16" s="1"/>
  <c r="O1325" i="16"/>
  <c r="N1325" i="16" s="1"/>
  <c r="I1325" i="16" s="1"/>
  <c r="O1317" i="16"/>
  <c r="N1317" i="16" s="1"/>
  <c r="I1317" i="16" s="1"/>
  <c r="O1309" i="16"/>
  <c r="N1309" i="16" s="1"/>
  <c r="I1309" i="16" s="1"/>
  <c r="O1301" i="16"/>
  <c r="N1301" i="16" s="1"/>
  <c r="I1301" i="16" s="1"/>
  <c r="O1293" i="16"/>
  <c r="N1293" i="16" s="1"/>
  <c r="I1293" i="16" s="1"/>
  <c r="O1285" i="16"/>
  <c r="N1285" i="16" s="1"/>
  <c r="I1285" i="16" s="1"/>
  <c r="O1277" i="16"/>
  <c r="N1277" i="16" s="1"/>
  <c r="I1277" i="16" s="1"/>
  <c r="O1269" i="16"/>
  <c r="N1269" i="16" s="1"/>
  <c r="I1269" i="16" s="1"/>
  <c r="O1261" i="16"/>
  <c r="N1261" i="16" s="1"/>
  <c r="I1261" i="16" s="1"/>
  <c r="O1253" i="16"/>
  <c r="N1253" i="16" s="1"/>
  <c r="I1253" i="16" s="1"/>
  <c r="O1245" i="16"/>
  <c r="N1245" i="16" s="1"/>
  <c r="I1245" i="16" s="1"/>
  <c r="O1237" i="16"/>
  <c r="N1237" i="16" s="1"/>
  <c r="I1237" i="16" s="1"/>
  <c r="O1229" i="16"/>
  <c r="N1229" i="16" s="1"/>
  <c r="I1229" i="16" s="1"/>
  <c r="O1221" i="16"/>
  <c r="N1221" i="16" s="1"/>
  <c r="I1221" i="16" s="1"/>
  <c r="O1213" i="16"/>
  <c r="N1213" i="16" s="1"/>
  <c r="I1213" i="16" s="1"/>
  <c r="O1205" i="16"/>
  <c r="N1205" i="16" s="1"/>
  <c r="I1205" i="16" s="1"/>
  <c r="O1197" i="16"/>
  <c r="N1197" i="16" s="1"/>
  <c r="I1197" i="16" s="1"/>
  <c r="O1189" i="16"/>
  <c r="N1189" i="16" s="1"/>
  <c r="I1189" i="16" s="1"/>
  <c r="O1181" i="16"/>
  <c r="N1181" i="16" s="1"/>
  <c r="I1181" i="16" s="1"/>
  <c r="O1173" i="16"/>
  <c r="N1173" i="16" s="1"/>
  <c r="I1173" i="16" s="1"/>
  <c r="O1165" i="16"/>
  <c r="N1165" i="16" s="1"/>
  <c r="I1165" i="16" s="1"/>
  <c r="O1157" i="16"/>
  <c r="N1157" i="16" s="1"/>
  <c r="I1157" i="16" s="1"/>
  <c r="O1149" i="16"/>
  <c r="N1149" i="16" s="1"/>
  <c r="I1149" i="16" s="1"/>
  <c r="O1141" i="16"/>
  <c r="N1141" i="16" s="1"/>
  <c r="I1141" i="16" s="1"/>
  <c r="O1133" i="16"/>
  <c r="N1133" i="16" s="1"/>
  <c r="I1133" i="16" s="1"/>
  <c r="O1125" i="16"/>
  <c r="N1125" i="16" s="1"/>
  <c r="I1125" i="16" s="1"/>
  <c r="O1117" i="16"/>
  <c r="N1117" i="16" s="1"/>
  <c r="I1117" i="16" s="1"/>
  <c r="O1109" i="16"/>
  <c r="N1109" i="16" s="1"/>
  <c r="I1109" i="16" s="1"/>
  <c r="O1101" i="16"/>
  <c r="N1101" i="16" s="1"/>
  <c r="I1101" i="16" s="1"/>
  <c r="O1093" i="16"/>
  <c r="N1093" i="16" s="1"/>
  <c r="I1093" i="16" s="1"/>
  <c r="O1085" i="16"/>
  <c r="N1085" i="16" s="1"/>
  <c r="I1085" i="16" s="1"/>
  <c r="O1077" i="16"/>
  <c r="N1077" i="16" s="1"/>
  <c r="I1077" i="16" s="1"/>
  <c r="O1069" i="16"/>
  <c r="N1069" i="16" s="1"/>
  <c r="I1069" i="16" s="1"/>
  <c r="O1061" i="16"/>
  <c r="N1061" i="16" s="1"/>
  <c r="I1061" i="16" s="1"/>
  <c r="O1053" i="16"/>
  <c r="N1053" i="16" s="1"/>
  <c r="I1053" i="16" s="1"/>
  <c r="O1045" i="16"/>
  <c r="N1045" i="16" s="1"/>
  <c r="I1045" i="16" s="1"/>
  <c r="O1037" i="16"/>
  <c r="N1037" i="16" s="1"/>
  <c r="I1037" i="16" s="1"/>
  <c r="O1029" i="16"/>
  <c r="N1029" i="16" s="1"/>
  <c r="I1029" i="16" s="1"/>
  <c r="O1021" i="16"/>
  <c r="N1021" i="16" s="1"/>
  <c r="I1021" i="16" s="1"/>
  <c r="O1013" i="16"/>
  <c r="N1013" i="16" s="1"/>
  <c r="I1013" i="16" s="1"/>
  <c r="O1005" i="16"/>
  <c r="N1005" i="16" s="1"/>
  <c r="I1005" i="16" s="1"/>
  <c r="O997" i="16"/>
  <c r="N997" i="16" s="1"/>
  <c r="I997" i="16" s="1"/>
  <c r="O989" i="16"/>
  <c r="N989" i="16" s="1"/>
  <c r="I989" i="16" s="1"/>
  <c r="O981" i="16"/>
  <c r="N981" i="16" s="1"/>
  <c r="I981" i="16" s="1"/>
  <c r="O973" i="16"/>
  <c r="N973" i="16" s="1"/>
  <c r="I973" i="16" s="1"/>
  <c r="O965" i="16"/>
  <c r="N965" i="16" s="1"/>
  <c r="I965" i="16" s="1"/>
  <c r="O957" i="16"/>
  <c r="N957" i="16" s="1"/>
  <c r="I957" i="16" s="1"/>
  <c r="O948" i="16"/>
  <c r="O939" i="16"/>
  <c r="O930" i="16"/>
  <c r="O921" i="16"/>
  <c r="O911" i="16"/>
  <c r="O902" i="16"/>
  <c r="O893" i="16"/>
  <c r="N893" i="16" s="1"/>
  <c r="I893" i="16" s="1"/>
  <c r="O884" i="16"/>
  <c r="O875" i="16"/>
  <c r="O866" i="16"/>
  <c r="O857" i="16"/>
  <c r="O847" i="16"/>
  <c r="O838" i="16"/>
  <c r="O829" i="16"/>
  <c r="N829" i="16" s="1"/>
  <c r="I829" i="16" s="1"/>
  <c r="O820" i="16"/>
  <c r="O811" i="16"/>
  <c r="O802" i="16"/>
  <c r="O793" i="16"/>
  <c r="O783" i="16"/>
  <c r="O774" i="16"/>
  <c r="O765" i="16"/>
  <c r="N765" i="16" s="1"/>
  <c r="I765" i="16" s="1"/>
  <c r="O756" i="16"/>
  <c r="O747" i="16"/>
  <c r="O738" i="16"/>
  <c r="O729" i="16"/>
  <c r="O719" i="16"/>
  <c r="O710" i="16"/>
  <c r="O701" i="16"/>
  <c r="N701" i="16" s="1"/>
  <c r="I701" i="16" s="1"/>
  <c r="O692" i="16"/>
  <c r="O683" i="16"/>
  <c r="O674" i="16"/>
  <c r="O665" i="16"/>
  <c r="O655" i="16"/>
  <c r="O645" i="16"/>
  <c r="N645" i="16" s="1"/>
  <c r="I645" i="16" s="1"/>
  <c r="O635" i="16"/>
  <c r="O625" i="16"/>
  <c r="O614" i="16"/>
  <c r="O603" i="16"/>
  <c r="O593" i="16"/>
  <c r="O582" i="16"/>
  <c r="O572" i="16"/>
  <c r="O561" i="16"/>
  <c r="O548" i="16"/>
  <c r="O537" i="16"/>
  <c r="O524" i="16"/>
  <c r="O511" i="16"/>
  <c r="O500" i="16"/>
  <c r="O485" i="16"/>
  <c r="N485" i="16" s="1"/>
  <c r="I485" i="16" s="1"/>
  <c r="O472" i="16"/>
  <c r="O457" i="16"/>
  <c r="O441" i="16"/>
  <c r="O422" i="16"/>
  <c r="O409" i="16"/>
  <c r="O390" i="16"/>
  <c r="O374" i="16"/>
  <c r="O356" i="16"/>
  <c r="O338" i="16"/>
  <c r="O317" i="16"/>
  <c r="N317" i="16" s="1"/>
  <c r="I317" i="16" s="1"/>
  <c r="O300" i="16"/>
  <c r="O281" i="16"/>
  <c r="O260" i="16"/>
  <c r="O243" i="16"/>
  <c r="O218" i="16"/>
  <c r="O195" i="16"/>
  <c r="O173" i="16"/>
  <c r="N173" i="16" s="1"/>
  <c r="I173" i="16" s="1"/>
  <c r="O150" i="16"/>
  <c r="O130" i="16"/>
  <c r="O105" i="16"/>
  <c r="O82" i="16"/>
  <c r="O60" i="16"/>
  <c r="O36" i="16"/>
  <c r="O14" i="16"/>
  <c r="O2227" i="16"/>
  <c r="O2219" i="16"/>
  <c r="O2211" i="16"/>
  <c r="O2203" i="16"/>
  <c r="O2195" i="16"/>
  <c r="O2187" i="16"/>
  <c r="O2179" i="16"/>
  <c r="O2171" i="16"/>
  <c r="O2163" i="16"/>
  <c r="O2155" i="16"/>
  <c r="O2147" i="16"/>
  <c r="O2139" i="16"/>
  <c r="O2131" i="16"/>
  <c r="O2123" i="16"/>
  <c r="O2115" i="16"/>
  <c r="O2107" i="16"/>
  <c r="O2099" i="16"/>
  <c r="O2091" i="16"/>
  <c r="O2083" i="16"/>
  <c r="O2075" i="16"/>
  <c r="O2067" i="16"/>
  <c r="O2059" i="16"/>
  <c r="O2051" i="16"/>
  <c r="O2043" i="16"/>
  <c r="O2035" i="16"/>
  <c r="O2027" i="16"/>
  <c r="O2019" i="16"/>
  <c r="O2011" i="16"/>
  <c r="O2003" i="16"/>
  <c r="O1995" i="16"/>
  <c r="O1987" i="16"/>
  <c r="O1979" i="16"/>
  <c r="O1971" i="16"/>
  <c r="O1963" i="16"/>
  <c r="O1955" i="16"/>
  <c r="O1947" i="16"/>
  <c r="O1939" i="16"/>
  <c r="O1931" i="16"/>
  <c r="O1923" i="16"/>
  <c r="O1915" i="16"/>
  <c r="O1907" i="16"/>
  <c r="O1899" i="16"/>
  <c r="O1891" i="16"/>
  <c r="O1883" i="16"/>
  <c r="O1875" i="16"/>
  <c r="O1867" i="16"/>
  <c r="O1859" i="16"/>
  <c r="O1851" i="16"/>
  <c r="O1843" i="16"/>
  <c r="O1835" i="16"/>
  <c r="O1827" i="16"/>
  <c r="O1819" i="16"/>
  <c r="O1811" i="16"/>
  <c r="O1803" i="16"/>
  <c r="O1795" i="16"/>
  <c r="O1787" i="16"/>
  <c r="O1779" i="16"/>
  <c r="O1771" i="16"/>
  <c r="O1763" i="16"/>
  <c r="O1755" i="16"/>
  <c r="O1747" i="16"/>
  <c r="O1739" i="16"/>
  <c r="O1731" i="16"/>
  <c r="O1723" i="16"/>
  <c r="O1715" i="16"/>
  <c r="O1707" i="16"/>
  <c r="O1699" i="16"/>
  <c r="O1691" i="16"/>
  <c r="O1683" i="16"/>
  <c r="O1675" i="16"/>
  <c r="O1667" i="16"/>
  <c r="O1659" i="16"/>
  <c r="O1651" i="16"/>
  <c r="O1643" i="16"/>
  <c r="O1635" i="16"/>
  <c r="O1627" i="16"/>
  <c r="O1619" i="16"/>
  <c r="O1611" i="16"/>
  <c r="O1603" i="16"/>
  <c r="O1595" i="16"/>
  <c r="O1587" i="16"/>
  <c r="O1579" i="16"/>
  <c r="O1571" i="16"/>
  <c r="O1563" i="16"/>
  <c r="O1555" i="16"/>
  <c r="O1547" i="16"/>
  <c r="O1539" i="16"/>
  <c r="O1531" i="16"/>
  <c r="O1523" i="16"/>
  <c r="O1515" i="16"/>
  <c r="O1507" i="16"/>
  <c r="O1499" i="16"/>
  <c r="O1491" i="16"/>
  <c r="O1483" i="16"/>
  <c r="O1475" i="16"/>
  <c r="O1467" i="16"/>
  <c r="O1459" i="16"/>
  <c r="O1451" i="16"/>
  <c r="O1443" i="16"/>
  <c r="O1435" i="16"/>
  <c r="O1427" i="16"/>
  <c r="O1419" i="16"/>
  <c r="O1411" i="16"/>
  <c r="O1403" i="16"/>
  <c r="O1395" i="16"/>
  <c r="O1387" i="16"/>
  <c r="O1379" i="16"/>
  <c r="O1371" i="16"/>
  <c r="O1363" i="16"/>
  <c r="O1355" i="16"/>
  <c r="O1347" i="16"/>
  <c r="O1339" i="16"/>
  <c r="O1331" i="16"/>
  <c r="O1323" i="16"/>
  <c r="O1315" i="16"/>
  <c r="O1307" i="16"/>
  <c r="O1299" i="16"/>
  <c r="O1291" i="16"/>
  <c r="O1283" i="16"/>
  <c r="O1275" i="16"/>
  <c r="O1267" i="16"/>
  <c r="O1259" i="16"/>
  <c r="O1251" i="16"/>
  <c r="O1243" i="16"/>
  <c r="O1235" i="16"/>
  <c r="O1227" i="16"/>
  <c r="O1219" i="16"/>
  <c r="O1211" i="16"/>
  <c r="O1203" i="16"/>
  <c r="O1195" i="16"/>
  <c r="O1187" i="16"/>
  <c r="O1179" i="16"/>
  <c r="O1171" i="16"/>
  <c r="O1163" i="16"/>
  <c r="O1155" i="16"/>
  <c r="O1147" i="16"/>
  <c r="O1139" i="16"/>
  <c r="O1131" i="16"/>
  <c r="O1123" i="16"/>
  <c r="O1115" i="16"/>
  <c r="O1107" i="16"/>
  <c r="O1099" i="16"/>
  <c r="O1091" i="16"/>
  <c r="O1083" i="16"/>
  <c r="O1075" i="16"/>
  <c r="O1067" i="16"/>
  <c r="O1059" i="16"/>
  <c r="O1051" i="16"/>
  <c r="O1043" i="16"/>
  <c r="O1035" i="16"/>
  <c r="O1027" i="16"/>
  <c r="O1019" i="16"/>
  <c r="O1011" i="16"/>
  <c r="O1003" i="16"/>
  <c r="O995" i="16"/>
  <c r="O987" i="16"/>
  <c r="O979" i="16"/>
  <c r="O971" i="16"/>
  <c r="O963" i="16"/>
  <c r="O955" i="16"/>
  <c r="O946" i="16"/>
  <c r="O937" i="16"/>
  <c r="O927" i="16"/>
  <c r="O918" i="16"/>
  <c r="O909" i="16"/>
  <c r="N909" i="16" s="1"/>
  <c r="I909" i="16" s="1"/>
  <c r="O900" i="16"/>
  <c r="O891" i="16"/>
  <c r="O882" i="16"/>
  <c r="O873" i="16"/>
  <c r="O863" i="16"/>
  <c r="O854" i="16"/>
  <c r="O845" i="16"/>
  <c r="N845" i="16" s="1"/>
  <c r="I845" i="16" s="1"/>
  <c r="O836" i="16"/>
  <c r="O827" i="16"/>
  <c r="O818" i="16"/>
  <c r="O809" i="16"/>
  <c r="O799" i="16"/>
  <c r="O790" i="16"/>
  <c r="O781" i="16"/>
  <c r="N781" i="16" s="1"/>
  <c r="I781" i="16" s="1"/>
  <c r="O772" i="16"/>
  <c r="O763" i="16"/>
  <c r="O754" i="16"/>
  <c r="O745" i="16"/>
  <c r="O735" i="16"/>
  <c r="O726" i="16"/>
  <c r="O717" i="16"/>
  <c r="N717" i="16" s="1"/>
  <c r="I717" i="16" s="1"/>
  <c r="O708" i="16"/>
  <c r="O699" i="16"/>
  <c r="O690" i="16"/>
  <c r="O681" i="16"/>
  <c r="O671" i="16"/>
  <c r="O662" i="16"/>
  <c r="O653" i="16"/>
  <c r="N653" i="16" s="1"/>
  <c r="I653" i="16" s="1"/>
  <c r="O643" i="16"/>
  <c r="O633" i="16"/>
  <c r="O621" i="16"/>
  <c r="N621" i="16" s="1"/>
  <c r="I621" i="16" s="1"/>
  <c r="O611" i="16"/>
  <c r="O601" i="16"/>
  <c r="O590" i="16"/>
  <c r="O580" i="16"/>
  <c r="O570" i="16"/>
  <c r="O557" i="16"/>
  <c r="N557" i="16" s="1"/>
  <c r="I557" i="16" s="1"/>
  <c r="O546" i="16"/>
  <c r="O533" i="16"/>
  <c r="N533" i="16" s="1"/>
  <c r="I533" i="16" s="1"/>
  <c r="O521" i="16"/>
  <c r="O509" i="16"/>
  <c r="N509" i="16" s="1"/>
  <c r="I509" i="16" s="1"/>
  <c r="O497" i="16"/>
  <c r="O482" i="16"/>
  <c r="O469" i="16"/>
  <c r="N469" i="16" s="1"/>
  <c r="I469" i="16" s="1"/>
  <c r="O452" i="16"/>
  <c r="O435" i="16"/>
  <c r="O420" i="16"/>
  <c r="O403" i="16"/>
  <c r="O387" i="16"/>
  <c r="O371" i="16"/>
  <c r="O353" i="16"/>
  <c r="O332" i="16"/>
  <c r="O314" i="16"/>
  <c r="O294" i="16"/>
  <c r="O275" i="16"/>
  <c r="O258" i="16"/>
  <c r="O236" i="16"/>
  <c r="O214" i="16"/>
  <c r="O189" i="16"/>
  <c r="N189" i="16" s="1"/>
  <c r="I189" i="16" s="1"/>
  <c r="O166" i="16"/>
  <c r="O146" i="16"/>
  <c r="O122" i="16"/>
  <c r="O100" i="16"/>
  <c r="O76" i="16"/>
  <c r="O53" i="16"/>
  <c r="N53" i="16" s="1"/>
  <c r="I53" i="16" s="1"/>
  <c r="O33" i="16"/>
  <c r="O9" i="16"/>
  <c r="O242" i="16"/>
  <c r="O227" i="16"/>
  <c r="O213" i="16"/>
  <c r="N213" i="16" s="1"/>
  <c r="I213" i="16" s="1"/>
  <c r="O198" i="16"/>
  <c r="O185" i="16"/>
  <c r="O171" i="16"/>
  <c r="O156" i="16"/>
  <c r="O141" i="16"/>
  <c r="N141" i="16" s="1"/>
  <c r="I141" i="16" s="1"/>
  <c r="O129" i="16"/>
  <c r="O114" i="16"/>
  <c r="O99" i="16"/>
  <c r="O85" i="16"/>
  <c r="N85" i="16" s="1"/>
  <c r="I85" i="16" s="1"/>
  <c r="O70" i="16"/>
  <c r="O57" i="16"/>
  <c r="O43" i="16"/>
  <c r="O28" i="16"/>
  <c r="O13" i="16"/>
  <c r="N13" i="16" s="1"/>
  <c r="I13" i="16" s="1"/>
  <c r="O562" i="16"/>
  <c r="O553" i="16"/>
  <c r="O543" i="16"/>
  <c r="O534" i="16"/>
  <c r="O525" i="16"/>
  <c r="N525" i="16" s="1"/>
  <c r="I525" i="16" s="1"/>
  <c r="O516" i="16"/>
  <c r="O507" i="16"/>
  <c r="O498" i="16"/>
  <c r="O488" i="16"/>
  <c r="O476" i="16"/>
  <c r="O466" i="16"/>
  <c r="O453" i="16"/>
  <c r="N453" i="16" s="1"/>
  <c r="I453" i="16" s="1"/>
  <c r="O442" i="16"/>
  <c r="O429" i="16"/>
  <c r="N429" i="16" s="1"/>
  <c r="I429" i="16" s="1"/>
  <c r="O418" i="16"/>
  <c r="O405" i="16"/>
  <c r="N405" i="16" s="1"/>
  <c r="I405" i="16" s="1"/>
  <c r="O393" i="16"/>
  <c r="O380" i="16"/>
  <c r="O366" i="16"/>
  <c r="O354" i="16"/>
  <c r="O339" i="16"/>
  <c r="O324" i="16"/>
  <c r="O310" i="16"/>
  <c r="O297" i="16"/>
  <c r="O282" i="16"/>
  <c r="O268" i="16"/>
  <c r="O253" i="16"/>
  <c r="N253" i="16" s="1"/>
  <c r="I253" i="16" s="1"/>
  <c r="O238" i="16"/>
  <c r="O226" i="16"/>
  <c r="O211" i="16"/>
  <c r="O196" i="16"/>
  <c r="O182" i="16"/>
  <c r="O169" i="16"/>
  <c r="O154" i="16"/>
  <c r="O140" i="16"/>
  <c r="O125" i="16"/>
  <c r="N125" i="16" s="1"/>
  <c r="I125" i="16" s="1"/>
  <c r="O110" i="16"/>
  <c r="O98" i="16"/>
  <c r="O83" i="16"/>
  <c r="O68" i="16"/>
  <c r="O54" i="16"/>
  <c r="O41" i="16"/>
  <c r="O26" i="16"/>
  <c r="O12" i="16"/>
  <c r="O650" i="16"/>
  <c r="O641" i="16"/>
  <c r="O631" i="16"/>
  <c r="O622" i="16"/>
  <c r="O613" i="16"/>
  <c r="N613" i="16" s="1"/>
  <c r="I613" i="16" s="1"/>
  <c r="O604" i="16"/>
  <c r="O595" i="16"/>
  <c r="O586" i="16"/>
  <c r="O577" i="16"/>
  <c r="O567" i="16"/>
  <c r="O558" i="16"/>
  <c r="O549" i="16"/>
  <c r="N549" i="16" s="1"/>
  <c r="I549" i="16" s="1"/>
  <c r="O540" i="16"/>
  <c r="O531" i="16"/>
  <c r="O522" i="16"/>
  <c r="O513" i="16"/>
  <c r="O503" i="16"/>
  <c r="O493" i="16"/>
  <c r="N493" i="16" s="1"/>
  <c r="I493" i="16" s="1"/>
  <c r="O483" i="16"/>
  <c r="O473" i="16"/>
  <c r="O461" i="16"/>
  <c r="N461" i="16" s="1"/>
  <c r="I461" i="16" s="1"/>
  <c r="O450" i="16"/>
  <c r="O437" i="16"/>
  <c r="N437" i="16" s="1"/>
  <c r="I437" i="16" s="1"/>
  <c r="O425" i="16"/>
  <c r="O412" i="16"/>
  <c r="O401" i="16"/>
  <c r="O388" i="16"/>
  <c r="O377" i="16"/>
  <c r="O363" i="16"/>
  <c r="O348" i="16"/>
  <c r="O333" i="16"/>
  <c r="N333" i="16" s="1"/>
  <c r="I333" i="16" s="1"/>
  <c r="O321" i="16"/>
  <c r="O306" i="16"/>
  <c r="O291" i="16"/>
  <c r="O277" i="16"/>
  <c r="N277" i="16" s="1"/>
  <c r="I277" i="16" s="1"/>
  <c r="O262" i="16"/>
  <c r="O249" i="16"/>
  <c r="O235" i="16"/>
  <c r="O220" i="16"/>
  <c r="O205" i="16"/>
  <c r="N205" i="16" s="1"/>
  <c r="I205" i="16" s="1"/>
  <c r="O193" i="16"/>
  <c r="O178" i="16"/>
  <c r="O163" i="16"/>
  <c r="O149" i="16"/>
  <c r="N149" i="16" s="1"/>
  <c r="I149" i="16" s="1"/>
  <c r="O134" i="16"/>
  <c r="O121" i="16"/>
  <c r="O107" i="16"/>
  <c r="O92" i="16"/>
  <c r="O77" i="16"/>
  <c r="N77" i="16" s="1"/>
  <c r="I77" i="16" s="1"/>
  <c r="O65" i="16"/>
  <c r="O50" i="16"/>
  <c r="O35" i="16"/>
  <c r="O21" i="16"/>
  <c r="N21" i="16" s="1"/>
  <c r="I21" i="16" s="1"/>
  <c r="O6" i="16"/>
  <c r="O952" i="16"/>
  <c r="O944" i="16"/>
  <c r="O936" i="16"/>
  <c r="O928" i="16"/>
  <c r="O920" i="16"/>
  <c r="O912" i="16"/>
  <c r="O904" i="16"/>
  <c r="O896" i="16"/>
  <c r="O888" i="16"/>
  <c r="O880" i="16"/>
  <c r="O872" i="16"/>
  <c r="O864" i="16"/>
  <c r="O856" i="16"/>
  <c r="O848" i="16"/>
  <c r="O840" i="16"/>
  <c r="O832" i="16"/>
  <c r="O824" i="16"/>
  <c r="O816" i="16"/>
  <c r="O808" i="16"/>
  <c r="O800" i="16"/>
  <c r="O792" i="16"/>
  <c r="O784" i="16"/>
  <c r="O776" i="16"/>
  <c r="O768" i="16"/>
  <c r="O760" i="16"/>
  <c r="O752" i="16"/>
  <c r="O744" i="16"/>
  <c r="O736" i="16"/>
  <c r="O728" i="16"/>
  <c r="O720" i="16"/>
  <c r="O712" i="16"/>
  <c r="O704" i="16"/>
  <c r="O696" i="16"/>
  <c r="O688" i="16"/>
  <c r="O680" i="16"/>
  <c r="O672" i="16"/>
  <c r="O664" i="16"/>
  <c r="O656" i="16"/>
  <c r="O648" i="16"/>
  <c r="O640" i="16"/>
  <c r="O632" i="16"/>
  <c r="O624" i="16"/>
  <c r="O616" i="16"/>
  <c r="O608" i="16"/>
  <c r="O600" i="16"/>
  <c r="O592" i="16"/>
  <c r="O584" i="16"/>
  <c r="O576" i="16"/>
  <c r="O568" i="16"/>
  <c r="O560" i="16"/>
  <c r="O552" i="16"/>
  <c r="O544" i="16"/>
  <c r="O536" i="16"/>
  <c r="O528" i="16"/>
  <c r="O520" i="16"/>
  <c r="O512" i="16"/>
  <c r="O504" i="16"/>
  <c r="O496" i="16"/>
  <c r="O486" i="16"/>
  <c r="O477" i="16"/>
  <c r="N477" i="16" s="1"/>
  <c r="I477" i="16" s="1"/>
  <c r="O468" i="16"/>
  <c r="O458" i="16"/>
  <c r="O446" i="16"/>
  <c r="O436" i="16"/>
  <c r="O426" i="16"/>
  <c r="O414" i="16"/>
  <c r="O404" i="16"/>
  <c r="O394" i="16"/>
  <c r="O382" i="16"/>
  <c r="O372" i="16"/>
  <c r="O362" i="16"/>
  <c r="O350" i="16"/>
  <c r="O340" i="16"/>
  <c r="O330" i="16"/>
  <c r="O318" i="16"/>
  <c r="O308" i="16"/>
  <c r="O298" i="16"/>
  <c r="O286" i="16"/>
  <c r="O276" i="16"/>
  <c r="O266" i="16"/>
  <c r="O254" i="16"/>
  <c r="O244" i="16"/>
  <c r="O234" i="16"/>
  <c r="O222" i="16"/>
  <c r="O212" i="16"/>
  <c r="O202" i="16"/>
  <c r="O190" i="16"/>
  <c r="O180" i="16"/>
  <c r="O170" i="16"/>
  <c r="O158" i="16"/>
  <c r="O148" i="16"/>
  <c r="O138" i="16"/>
  <c r="O126" i="16"/>
  <c r="O116" i="16"/>
  <c r="O106" i="16"/>
  <c r="O94" i="16"/>
  <c r="O84" i="16"/>
  <c r="O74" i="16"/>
  <c r="O62" i="16"/>
  <c r="O52" i="16"/>
  <c r="O42" i="16"/>
  <c r="O30" i="16"/>
  <c r="O20" i="16"/>
  <c r="O10" i="16"/>
  <c r="O369" i="16"/>
  <c r="O357" i="16"/>
  <c r="N357" i="16" s="1"/>
  <c r="I357" i="16" s="1"/>
  <c r="O347" i="16"/>
  <c r="O337" i="16"/>
  <c r="O325" i="16"/>
  <c r="N325" i="16" s="1"/>
  <c r="I325" i="16" s="1"/>
  <c r="O315" i="16"/>
  <c r="O305" i="16"/>
  <c r="O293" i="16"/>
  <c r="N293" i="16" s="1"/>
  <c r="I293" i="16" s="1"/>
  <c r="O283" i="16"/>
  <c r="O273" i="16"/>
  <c r="O261" i="16"/>
  <c r="N261" i="16" s="1"/>
  <c r="I261" i="16" s="1"/>
  <c r="O251" i="16"/>
  <c r="O241" i="16"/>
  <c r="O229" i="16"/>
  <c r="N229" i="16" s="1"/>
  <c r="I229" i="16" s="1"/>
  <c r="O219" i="16"/>
  <c r="O209" i="16"/>
  <c r="O197" i="16"/>
  <c r="N197" i="16" s="1"/>
  <c r="I197" i="16" s="1"/>
  <c r="O187" i="16"/>
  <c r="O177" i="16"/>
  <c r="O165" i="16"/>
  <c r="N165" i="16" s="1"/>
  <c r="I165" i="16" s="1"/>
  <c r="O155" i="16"/>
  <c r="O145" i="16"/>
  <c r="O133" i="16"/>
  <c r="N133" i="16" s="1"/>
  <c r="I133" i="16" s="1"/>
  <c r="O123" i="16"/>
  <c r="O113" i="16"/>
  <c r="O101" i="16"/>
  <c r="N101" i="16" s="1"/>
  <c r="I101" i="16" s="1"/>
  <c r="O91" i="16"/>
  <c r="O81" i="16"/>
  <c r="O69" i="16"/>
  <c r="N69" i="16" s="1"/>
  <c r="I69" i="16" s="1"/>
  <c r="O59" i="16"/>
  <c r="O49" i="16"/>
  <c r="O37" i="16"/>
  <c r="N37" i="16" s="1"/>
  <c r="I37" i="16" s="1"/>
  <c r="O27" i="16"/>
  <c r="O17" i="16"/>
  <c r="O5" i="16"/>
  <c r="N5" i="16" s="1"/>
  <c r="I5" i="16" s="1"/>
  <c r="O464" i="16"/>
  <c r="O456" i="16"/>
  <c r="O448" i="16"/>
  <c r="O440" i="16"/>
  <c r="O432" i="16"/>
  <c r="O424" i="16"/>
  <c r="O416" i="16"/>
  <c r="O408" i="16"/>
  <c r="O400" i="16"/>
  <c r="O392" i="16"/>
  <c r="O384" i="16"/>
  <c r="O376" i="16"/>
  <c r="O368" i="16"/>
  <c r="O360" i="16"/>
  <c r="O352" i="16"/>
  <c r="O344" i="16"/>
  <c r="O336" i="16"/>
  <c r="O328" i="16"/>
  <c r="O320" i="16"/>
  <c r="O312" i="16"/>
  <c r="O304" i="16"/>
  <c r="O296" i="16"/>
  <c r="O288" i="16"/>
  <c r="O280" i="16"/>
  <c r="O272" i="16"/>
  <c r="O264" i="16"/>
  <c r="O256" i="16"/>
  <c r="O248" i="16"/>
  <c r="O240" i="16"/>
  <c r="O232" i="16"/>
  <c r="O224" i="16"/>
  <c r="O216" i="16"/>
  <c r="O208" i="16"/>
  <c r="O200" i="16"/>
  <c r="O192" i="16"/>
  <c r="O184" i="16"/>
  <c r="O176" i="16"/>
  <c r="O168" i="16"/>
  <c r="O160" i="16"/>
  <c r="O152" i="16"/>
  <c r="O144" i="16"/>
  <c r="O136" i="16"/>
  <c r="O128" i="16"/>
  <c r="O120" i="16"/>
  <c r="O112" i="16"/>
  <c r="O104" i="16"/>
  <c r="O96" i="16"/>
  <c r="O88" i="16"/>
  <c r="O80" i="16"/>
  <c r="O72" i="16"/>
  <c r="O64" i="16"/>
  <c r="O56" i="16"/>
  <c r="O48" i="16"/>
  <c r="O40" i="16"/>
  <c r="O32" i="16"/>
  <c r="O24" i="16"/>
  <c r="O16" i="16"/>
  <c r="O8" i="16"/>
  <c r="O495" i="16"/>
  <c r="O487" i="16"/>
  <c r="O479" i="16"/>
  <c r="O471" i="16"/>
  <c r="O463" i="16"/>
  <c r="O455" i="16"/>
  <c r="O447" i="16"/>
  <c r="O439" i="16"/>
  <c r="O431" i="16"/>
  <c r="O423" i="16"/>
  <c r="O415" i="16"/>
  <c r="O407" i="16"/>
  <c r="O399" i="16"/>
  <c r="O391" i="16"/>
  <c r="O383" i="16"/>
  <c r="O375" i="16"/>
  <c r="O367" i="16"/>
  <c r="O359" i="16"/>
  <c r="O351" i="16"/>
  <c r="O343" i="16"/>
  <c r="O335" i="16"/>
  <c r="O327" i="16"/>
  <c r="O319" i="16"/>
  <c r="O311" i="16"/>
  <c r="O303" i="16"/>
  <c r="O295" i="16"/>
  <c r="O287" i="16"/>
  <c r="O279" i="16"/>
  <c r="O271" i="16"/>
  <c r="O263" i="16"/>
  <c r="O255" i="16"/>
  <c r="O247" i="16"/>
  <c r="O239" i="16"/>
  <c r="O231" i="16"/>
  <c r="O223" i="16"/>
  <c r="O215" i="16"/>
  <c r="O207" i="16"/>
  <c r="O199" i="16"/>
  <c r="O191" i="16"/>
  <c r="O183" i="16"/>
  <c r="O175" i="16"/>
  <c r="O167" i="16"/>
  <c r="O159" i="16"/>
  <c r="O151" i="16"/>
  <c r="O143" i="16"/>
  <c r="O135" i="16"/>
  <c r="O127" i="16"/>
  <c r="O119" i="16"/>
  <c r="O111" i="16"/>
  <c r="O103" i="16"/>
  <c r="O95" i="16"/>
  <c r="O87" i="16"/>
  <c r="O79" i="16"/>
  <c r="O71" i="16"/>
  <c r="O63" i="16"/>
  <c r="O55" i="16"/>
  <c r="O47" i="16"/>
  <c r="O39" i="16"/>
  <c r="O31" i="16"/>
  <c r="O23" i="16"/>
  <c r="O15" i="16"/>
  <c r="O7" i="16"/>
  <c r="N15" i="16" l="1"/>
  <c r="I15" i="16" s="1"/>
  <c r="Q15" i="16"/>
  <c r="S15" i="16" s="1"/>
  <c r="R15" i="16"/>
  <c r="P15" i="16" s="1"/>
  <c r="N79" i="16"/>
  <c r="I79" i="16" s="1"/>
  <c r="Q79" i="16"/>
  <c r="S79" i="16" s="1"/>
  <c r="R79" i="16"/>
  <c r="P79" i="16" s="1"/>
  <c r="N143" i="16"/>
  <c r="I143" i="16" s="1"/>
  <c r="Q143" i="16"/>
  <c r="S143" i="16" s="1"/>
  <c r="R143" i="16"/>
  <c r="P143" i="16" s="1"/>
  <c r="N207" i="16"/>
  <c r="I207" i="16" s="1"/>
  <c r="N271" i="16"/>
  <c r="I271" i="16" s="1"/>
  <c r="N335" i="16"/>
  <c r="I335" i="16" s="1"/>
  <c r="Q335" i="16"/>
  <c r="S335" i="16" s="1"/>
  <c r="R335" i="16"/>
  <c r="P335" i="16" s="1"/>
  <c r="N399" i="16"/>
  <c r="I399" i="16" s="1"/>
  <c r="N463" i="16"/>
  <c r="I463" i="16" s="1"/>
  <c r="Q463" i="16"/>
  <c r="S463" i="16" s="1"/>
  <c r="R463" i="16"/>
  <c r="P463" i="16" s="1"/>
  <c r="N32" i="16"/>
  <c r="I32" i="16" s="1"/>
  <c r="N96" i="16"/>
  <c r="I96" i="16" s="1"/>
  <c r="N160" i="16"/>
  <c r="I160" i="16" s="1"/>
  <c r="Q160" i="16"/>
  <c r="S160" i="16" s="1"/>
  <c r="R160" i="16"/>
  <c r="P160" i="16" s="1"/>
  <c r="N224" i="16"/>
  <c r="I224" i="16" s="1"/>
  <c r="Q224" i="16"/>
  <c r="S224" i="16" s="1"/>
  <c r="R224" i="16"/>
  <c r="P224" i="16" s="1"/>
  <c r="N288" i="16"/>
  <c r="I288" i="16" s="1"/>
  <c r="Q288" i="16"/>
  <c r="S288" i="16" s="1"/>
  <c r="R288" i="16"/>
  <c r="P288" i="16" s="1"/>
  <c r="N352" i="16"/>
  <c r="I352" i="16" s="1"/>
  <c r="N416" i="16"/>
  <c r="I416" i="16" s="1"/>
  <c r="N17" i="16"/>
  <c r="I17" i="16" s="1"/>
  <c r="Q17" i="16"/>
  <c r="S17" i="16" s="1"/>
  <c r="R17" i="16"/>
  <c r="P17" i="16" s="1"/>
  <c r="Q101" i="16"/>
  <c r="S101" i="16" s="1"/>
  <c r="R101" i="16"/>
  <c r="P101" i="16" s="1"/>
  <c r="N187" i="16"/>
  <c r="I187" i="16" s="1"/>
  <c r="N273" i="16"/>
  <c r="I273" i="16" s="1"/>
  <c r="Q357" i="16"/>
  <c r="S357" i="16" s="1"/>
  <c r="R357" i="16"/>
  <c r="P357" i="16" s="1"/>
  <c r="N74" i="16"/>
  <c r="I74" i="16" s="1"/>
  <c r="N158" i="16"/>
  <c r="I158" i="16" s="1"/>
  <c r="N244" i="16"/>
  <c r="I244" i="16" s="1"/>
  <c r="N330" i="16"/>
  <c r="I330" i="16" s="1"/>
  <c r="Q330" i="16"/>
  <c r="S330" i="16" s="1"/>
  <c r="R330" i="16"/>
  <c r="P330" i="16" s="1"/>
  <c r="N414" i="16"/>
  <c r="I414" i="16" s="1"/>
  <c r="N496" i="16"/>
  <c r="I496" i="16" s="1"/>
  <c r="N560" i="16"/>
  <c r="I560" i="16" s="1"/>
  <c r="N624" i="16"/>
  <c r="I624" i="16" s="1"/>
  <c r="Q624" i="16"/>
  <c r="S624" i="16" s="1"/>
  <c r="R624" i="16"/>
  <c r="P624" i="16" s="1"/>
  <c r="N688" i="16"/>
  <c r="I688" i="16" s="1"/>
  <c r="N752" i="16"/>
  <c r="I752" i="16" s="1"/>
  <c r="N816" i="16"/>
  <c r="I816" i="16" s="1"/>
  <c r="Q816" i="16"/>
  <c r="S816" i="16" s="1"/>
  <c r="R816" i="16"/>
  <c r="P816" i="16" s="1"/>
  <c r="N880" i="16"/>
  <c r="I880" i="16" s="1"/>
  <c r="Q880" i="16"/>
  <c r="S880" i="16" s="1"/>
  <c r="R880" i="16"/>
  <c r="P880" i="16" s="1"/>
  <c r="N944" i="16"/>
  <c r="I944" i="16" s="1"/>
  <c r="Q944" i="16"/>
  <c r="S944" i="16" s="1"/>
  <c r="R944" i="16"/>
  <c r="P944" i="16" s="1"/>
  <c r="N92" i="16"/>
  <c r="I92" i="16" s="1"/>
  <c r="Q205" i="16"/>
  <c r="S205" i="16" s="1"/>
  <c r="R205" i="16"/>
  <c r="P205" i="16" s="1"/>
  <c r="N321" i="16"/>
  <c r="I321" i="16" s="1"/>
  <c r="N425" i="16"/>
  <c r="I425" i="16" s="1"/>
  <c r="N513" i="16"/>
  <c r="I513" i="16" s="1"/>
  <c r="N586" i="16"/>
  <c r="I586" i="16" s="1"/>
  <c r="Q586" i="16"/>
  <c r="S586" i="16" s="1"/>
  <c r="R586" i="16"/>
  <c r="P586" i="16" s="1"/>
  <c r="N12" i="16"/>
  <c r="I12" i="16" s="1"/>
  <c r="Q125" i="16"/>
  <c r="S125" i="16" s="1"/>
  <c r="R125" i="16"/>
  <c r="P125" i="16" s="1"/>
  <c r="N238" i="16"/>
  <c r="I238" i="16" s="1"/>
  <c r="N354" i="16"/>
  <c r="I354" i="16" s="1"/>
  <c r="Q453" i="16"/>
  <c r="S453" i="16" s="1"/>
  <c r="R453" i="16"/>
  <c r="P453" i="16" s="1"/>
  <c r="N534" i="16"/>
  <c r="I534" i="16" s="1"/>
  <c r="Q534" i="16"/>
  <c r="S534" i="16" s="1"/>
  <c r="R534" i="16"/>
  <c r="P534" i="16" s="1"/>
  <c r="N70" i="16"/>
  <c r="I70" i="16" s="1"/>
  <c r="N185" i="16"/>
  <c r="I185" i="16" s="1"/>
  <c r="N76" i="16"/>
  <c r="I76" i="16" s="1"/>
  <c r="N258" i="16"/>
  <c r="I258" i="16" s="1"/>
  <c r="N403" i="16"/>
  <c r="I403" i="16" s="1"/>
  <c r="Q403" i="16"/>
  <c r="S403" i="16" s="1"/>
  <c r="R403" i="16"/>
  <c r="P403" i="16" s="1"/>
  <c r="N521" i="16"/>
  <c r="I521" i="16" s="1"/>
  <c r="N611" i="16"/>
  <c r="I611" i="16" s="1"/>
  <c r="Q611" i="16"/>
  <c r="S611" i="16" s="1"/>
  <c r="R611" i="16"/>
  <c r="P611" i="16" s="1"/>
  <c r="N690" i="16"/>
  <c r="I690" i="16" s="1"/>
  <c r="N763" i="16"/>
  <c r="I763" i="16" s="1"/>
  <c r="Q763" i="16"/>
  <c r="S763" i="16" s="1"/>
  <c r="R763" i="16"/>
  <c r="P763" i="16" s="1"/>
  <c r="N836" i="16"/>
  <c r="I836" i="16" s="1"/>
  <c r="Q836" i="16"/>
  <c r="S836" i="16" s="1"/>
  <c r="R836" i="16"/>
  <c r="P836" i="16" s="1"/>
  <c r="Q909" i="16"/>
  <c r="S909" i="16" s="1"/>
  <c r="R909" i="16"/>
  <c r="P909" i="16" s="1"/>
  <c r="N979" i="16"/>
  <c r="I979" i="16" s="1"/>
  <c r="Q979" i="16"/>
  <c r="S979" i="16" s="1"/>
  <c r="R979" i="16"/>
  <c r="P979" i="16" s="1"/>
  <c r="N1043" i="16"/>
  <c r="I1043" i="16" s="1"/>
  <c r="Q1043" i="16"/>
  <c r="S1043" i="16" s="1"/>
  <c r="R1043" i="16"/>
  <c r="P1043" i="16" s="1"/>
  <c r="N1107" i="16"/>
  <c r="I1107" i="16" s="1"/>
  <c r="Q1107" i="16"/>
  <c r="S1107" i="16" s="1"/>
  <c r="R1107" i="16"/>
  <c r="P1107" i="16" s="1"/>
  <c r="N1171" i="16"/>
  <c r="I1171" i="16" s="1"/>
  <c r="Q1171" i="16"/>
  <c r="S1171" i="16" s="1"/>
  <c r="R1171" i="16"/>
  <c r="P1171" i="16" s="1"/>
  <c r="N1235" i="16"/>
  <c r="I1235" i="16" s="1"/>
  <c r="Q1235" i="16"/>
  <c r="S1235" i="16" s="1"/>
  <c r="R1235" i="16"/>
  <c r="P1235" i="16" s="1"/>
  <c r="N1299" i="16"/>
  <c r="I1299" i="16" s="1"/>
  <c r="Q1299" i="16"/>
  <c r="S1299" i="16" s="1"/>
  <c r="R1299" i="16"/>
  <c r="P1299" i="16" s="1"/>
  <c r="N1363" i="16"/>
  <c r="I1363" i="16" s="1"/>
  <c r="N1427" i="16"/>
  <c r="I1427" i="16" s="1"/>
  <c r="N1491" i="16"/>
  <c r="I1491" i="16" s="1"/>
  <c r="N1555" i="16"/>
  <c r="I1555" i="16" s="1"/>
  <c r="N1619" i="16"/>
  <c r="I1619" i="16" s="1"/>
  <c r="Q1619" i="16"/>
  <c r="S1619" i="16" s="1"/>
  <c r="R1619" i="16"/>
  <c r="P1619" i="16" s="1"/>
  <c r="N1683" i="16"/>
  <c r="I1683" i="16" s="1"/>
  <c r="Q1683" i="16"/>
  <c r="S1683" i="16" s="1"/>
  <c r="R1683" i="16"/>
  <c r="P1683" i="16" s="1"/>
  <c r="N1747" i="16"/>
  <c r="I1747" i="16" s="1"/>
  <c r="Q1747" i="16"/>
  <c r="S1747" i="16" s="1"/>
  <c r="R1747" i="16"/>
  <c r="P1747" i="16" s="1"/>
  <c r="N1811" i="16"/>
  <c r="I1811" i="16" s="1"/>
  <c r="Q1811" i="16"/>
  <c r="S1811" i="16" s="1"/>
  <c r="R1811" i="16"/>
  <c r="P1811" i="16" s="1"/>
  <c r="N1875" i="16"/>
  <c r="I1875" i="16" s="1"/>
  <c r="Q1875" i="16"/>
  <c r="S1875" i="16" s="1"/>
  <c r="R1875" i="16"/>
  <c r="P1875" i="16" s="1"/>
  <c r="N1939" i="16"/>
  <c r="I1939" i="16" s="1"/>
  <c r="N2003" i="16"/>
  <c r="I2003" i="16" s="1"/>
  <c r="Q2003" i="16"/>
  <c r="S2003" i="16" s="1"/>
  <c r="R2003" i="16"/>
  <c r="P2003" i="16" s="1"/>
  <c r="N2067" i="16"/>
  <c r="I2067" i="16" s="1"/>
  <c r="N2131" i="16"/>
  <c r="I2131" i="16" s="1"/>
  <c r="N2195" i="16"/>
  <c r="I2195" i="16" s="1"/>
  <c r="N82" i="16"/>
  <c r="I82" i="16" s="1"/>
  <c r="N260" i="16"/>
  <c r="I260" i="16" s="1"/>
  <c r="N409" i="16"/>
  <c r="I409" i="16" s="1"/>
  <c r="Q409" i="16"/>
  <c r="S409" i="16" s="1"/>
  <c r="R409" i="16"/>
  <c r="P409" i="16" s="1"/>
  <c r="N524" i="16"/>
  <c r="I524" i="16" s="1"/>
  <c r="Q524" i="16"/>
  <c r="S524" i="16" s="1"/>
  <c r="R524" i="16"/>
  <c r="P524" i="16" s="1"/>
  <c r="N614" i="16"/>
  <c r="I614" i="16" s="1"/>
  <c r="N692" i="16"/>
  <c r="I692" i="16" s="1"/>
  <c r="Q692" i="16"/>
  <c r="S692" i="16" s="1"/>
  <c r="R692" i="16"/>
  <c r="P692" i="16" s="1"/>
  <c r="N838" i="16"/>
  <c r="I838" i="16" s="1"/>
  <c r="N911" i="16"/>
  <c r="I911" i="16" s="1"/>
  <c r="Q911" i="16"/>
  <c r="S911" i="16" s="1"/>
  <c r="R911" i="16"/>
  <c r="P911" i="16" s="1"/>
  <c r="Q981" i="16"/>
  <c r="S981" i="16" s="1"/>
  <c r="R981" i="16"/>
  <c r="P981" i="16" s="1"/>
  <c r="Q1109" i="16"/>
  <c r="S1109" i="16" s="1"/>
  <c r="R1109" i="16"/>
  <c r="P1109" i="16" s="1"/>
  <c r="Q1173" i="16"/>
  <c r="S1173" i="16" s="1"/>
  <c r="R1173" i="16"/>
  <c r="P1173" i="16" s="1"/>
  <c r="Q1237" i="16"/>
  <c r="S1237" i="16" s="1"/>
  <c r="R1237" i="16"/>
  <c r="P1237" i="16" s="1"/>
  <c r="Q1301" i="16"/>
  <c r="S1301" i="16" s="1"/>
  <c r="R1301" i="16"/>
  <c r="P1301" i="16" s="1"/>
  <c r="Q1557" i="16"/>
  <c r="S1557" i="16" s="1"/>
  <c r="R1557" i="16"/>
  <c r="P1557" i="16" s="1"/>
  <c r="Q1621" i="16"/>
  <c r="S1621" i="16" s="1"/>
  <c r="R1621" i="16"/>
  <c r="P1621" i="16" s="1"/>
  <c r="Q1685" i="16"/>
  <c r="S1685" i="16" s="1"/>
  <c r="R1685" i="16"/>
  <c r="P1685" i="16" s="1"/>
  <c r="Q1749" i="16"/>
  <c r="S1749" i="16" s="1"/>
  <c r="R1749" i="16"/>
  <c r="P1749" i="16" s="1"/>
  <c r="Q1813" i="16"/>
  <c r="S1813" i="16" s="1"/>
  <c r="R1813" i="16"/>
  <c r="P1813" i="16" s="1"/>
  <c r="Q61" i="16"/>
  <c r="S61" i="16" s="1"/>
  <c r="R61" i="16"/>
  <c r="P61" i="16" s="1"/>
  <c r="N395" i="16"/>
  <c r="I395" i="16" s="1"/>
  <c r="N514" i="16"/>
  <c r="I514" i="16" s="1"/>
  <c r="Q514" i="16"/>
  <c r="S514" i="16" s="1"/>
  <c r="R514" i="16"/>
  <c r="P514" i="16" s="1"/>
  <c r="N684" i="16"/>
  <c r="I684" i="16" s="1"/>
  <c r="Q757" i="16"/>
  <c r="S757" i="16" s="1"/>
  <c r="R757" i="16"/>
  <c r="P757" i="16" s="1"/>
  <c r="N830" i="16"/>
  <c r="I830" i="16" s="1"/>
  <c r="Q830" i="16"/>
  <c r="S830" i="16" s="1"/>
  <c r="R830" i="16"/>
  <c r="P830" i="16" s="1"/>
  <c r="N903" i="16"/>
  <c r="I903" i="16" s="1"/>
  <c r="R903" i="16"/>
  <c r="P903" i="16" s="1"/>
  <c r="Q903" i="16"/>
  <c r="S903" i="16" s="1"/>
  <c r="N974" i="16"/>
  <c r="I974" i="16" s="1"/>
  <c r="Q974" i="16"/>
  <c r="S974" i="16" s="1"/>
  <c r="R974" i="16"/>
  <c r="P974" i="16" s="1"/>
  <c r="N1038" i="16"/>
  <c r="I1038" i="16" s="1"/>
  <c r="N1102" i="16"/>
  <c r="I1102" i="16" s="1"/>
  <c r="N1166" i="16"/>
  <c r="I1166" i="16" s="1"/>
  <c r="N1230" i="16"/>
  <c r="I1230" i="16" s="1"/>
  <c r="Q1230" i="16"/>
  <c r="S1230" i="16" s="1"/>
  <c r="R1230" i="16"/>
  <c r="P1230" i="16" s="1"/>
  <c r="N1294" i="16"/>
  <c r="I1294" i="16" s="1"/>
  <c r="Q1294" i="16"/>
  <c r="S1294" i="16" s="1"/>
  <c r="R1294" i="16"/>
  <c r="P1294" i="16" s="1"/>
  <c r="N1358" i="16"/>
  <c r="I1358" i="16" s="1"/>
  <c r="Q1358" i="16"/>
  <c r="S1358" i="16" s="1"/>
  <c r="R1358" i="16"/>
  <c r="P1358" i="16" s="1"/>
  <c r="N1422" i="16"/>
  <c r="I1422" i="16" s="1"/>
  <c r="Q1422" i="16"/>
  <c r="S1422" i="16" s="1"/>
  <c r="R1422" i="16"/>
  <c r="P1422" i="16" s="1"/>
  <c r="N1486" i="16"/>
  <c r="I1486" i="16" s="1"/>
  <c r="Q1486" i="16"/>
  <c r="S1486" i="16" s="1"/>
  <c r="R1486" i="16"/>
  <c r="P1486" i="16" s="1"/>
  <c r="N1550" i="16"/>
  <c r="I1550" i="16" s="1"/>
  <c r="N1614" i="16"/>
  <c r="I1614" i="16" s="1"/>
  <c r="Q1614" i="16"/>
  <c r="S1614" i="16" s="1"/>
  <c r="R1614" i="16"/>
  <c r="P1614" i="16" s="1"/>
  <c r="N1678" i="16"/>
  <c r="I1678" i="16" s="1"/>
  <c r="N1742" i="16"/>
  <c r="I1742" i="16" s="1"/>
  <c r="N1806" i="16"/>
  <c r="I1806" i="16" s="1"/>
  <c r="N1870" i="16"/>
  <c r="I1870" i="16" s="1"/>
  <c r="N1934" i="16"/>
  <c r="I1934" i="16" s="1"/>
  <c r="Q1934" i="16"/>
  <c r="S1934" i="16" s="1"/>
  <c r="R1934" i="16"/>
  <c r="P1934" i="16" s="1"/>
  <c r="N1998" i="16"/>
  <c r="I1998" i="16" s="1"/>
  <c r="N2062" i="16"/>
  <c r="I2062" i="16" s="1"/>
  <c r="Q2062" i="16"/>
  <c r="S2062" i="16" s="1"/>
  <c r="R2062" i="16"/>
  <c r="P2062" i="16" s="1"/>
  <c r="N2126" i="16"/>
  <c r="I2126" i="16" s="1"/>
  <c r="Q2126" i="16"/>
  <c r="S2126" i="16" s="1"/>
  <c r="R2126" i="16"/>
  <c r="P2126" i="16" s="1"/>
  <c r="N66" i="16"/>
  <c r="I66" i="16" s="1"/>
  <c r="N246" i="16"/>
  <c r="I246" i="16" s="1"/>
  <c r="N396" i="16"/>
  <c r="I396" i="16" s="1"/>
  <c r="Q396" i="16"/>
  <c r="S396" i="16" s="1"/>
  <c r="R396" i="16"/>
  <c r="P396" i="16" s="1"/>
  <c r="N515" i="16"/>
  <c r="I515" i="16" s="1"/>
  <c r="N606" i="16"/>
  <c r="I606" i="16" s="1"/>
  <c r="Q606" i="16"/>
  <c r="S606" i="16" s="1"/>
  <c r="R606" i="16"/>
  <c r="P606" i="16" s="1"/>
  <c r="Q685" i="16"/>
  <c r="S685" i="16" s="1"/>
  <c r="R685" i="16"/>
  <c r="P685" i="16" s="1"/>
  <c r="N758" i="16"/>
  <c r="I758" i="16" s="1"/>
  <c r="N831" i="16"/>
  <c r="I831" i="16" s="1"/>
  <c r="N905" i="16"/>
  <c r="I905" i="16" s="1"/>
  <c r="Q905" i="16"/>
  <c r="S905" i="16" s="1"/>
  <c r="R905" i="16"/>
  <c r="P905" i="16" s="1"/>
  <c r="N975" i="16"/>
  <c r="I975" i="16" s="1"/>
  <c r="Q975" i="16"/>
  <c r="S975" i="16" s="1"/>
  <c r="R975" i="16"/>
  <c r="P975" i="16" s="1"/>
  <c r="N1039" i="16"/>
  <c r="I1039" i="16" s="1"/>
  <c r="Q1039" i="16"/>
  <c r="S1039" i="16" s="1"/>
  <c r="R1039" i="16"/>
  <c r="P1039" i="16" s="1"/>
  <c r="N1103" i="16"/>
  <c r="I1103" i="16" s="1"/>
  <c r="Q1103" i="16"/>
  <c r="S1103" i="16" s="1"/>
  <c r="R1103" i="16"/>
  <c r="P1103" i="16" s="1"/>
  <c r="N1167" i="16"/>
  <c r="I1167" i="16" s="1"/>
  <c r="N1231" i="16"/>
  <c r="I1231" i="16" s="1"/>
  <c r="N1295" i="16"/>
  <c r="I1295" i="16" s="1"/>
  <c r="N1359" i="16"/>
  <c r="I1359" i="16" s="1"/>
  <c r="N1423" i="16"/>
  <c r="I1423" i="16" s="1"/>
  <c r="N1487" i="16"/>
  <c r="I1487" i="16" s="1"/>
  <c r="N1551" i="16"/>
  <c r="I1551" i="16" s="1"/>
  <c r="Q1551" i="16"/>
  <c r="S1551" i="16" s="1"/>
  <c r="R1551" i="16"/>
  <c r="P1551" i="16" s="1"/>
  <c r="N1615" i="16"/>
  <c r="I1615" i="16" s="1"/>
  <c r="N1679" i="16"/>
  <c r="I1679" i="16" s="1"/>
  <c r="Q1679" i="16"/>
  <c r="S1679" i="16" s="1"/>
  <c r="R1679" i="16"/>
  <c r="P1679" i="16" s="1"/>
  <c r="N1743" i="16"/>
  <c r="I1743" i="16" s="1"/>
  <c r="Q1743" i="16"/>
  <c r="S1743" i="16" s="1"/>
  <c r="R1743" i="16"/>
  <c r="P1743" i="16" s="1"/>
  <c r="N1807" i="16"/>
  <c r="I1807" i="16" s="1"/>
  <c r="Q1807" i="16"/>
  <c r="S1807" i="16" s="1"/>
  <c r="R1807" i="16"/>
  <c r="P1807" i="16" s="1"/>
  <c r="N1871" i="16"/>
  <c r="I1871" i="16" s="1"/>
  <c r="Q1871" i="16"/>
  <c r="S1871" i="16" s="1"/>
  <c r="R1871" i="16"/>
  <c r="P1871" i="16" s="1"/>
  <c r="N1935" i="16"/>
  <c r="I1935" i="16" s="1"/>
  <c r="N1999" i="16"/>
  <c r="I1999" i="16" s="1"/>
  <c r="Q1999" i="16"/>
  <c r="S1999" i="16" s="1"/>
  <c r="R1999" i="16"/>
  <c r="P1999" i="16" s="1"/>
  <c r="N2063" i="16"/>
  <c r="I2063" i="16" s="1"/>
  <c r="N2127" i="16"/>
  <c r="I2127" i="16" s="1"/>
  <c r="Q2127" i="16"/>
  <c r="S2127" i="16" s="1"/>
  <c r="R2127" i="16"/>
  <c r="P2127" i="16" s="1"/>
  <c r="N2191" i="16"/>
  <c r="I2191" i="16" s="1"/>
  <c r="N206" i="16"/>
  <c r="I206" i="16" s="1"/>
  <c r="R206" i="16"/>
  <c r="P206" i="16" s="1"/>
  <c r="Q206" i="16"/>
  <c r="S206" i="16" s="1"/>
  <c r="N492" i="16"/>
  <c r="I492" i="16" s="1"/>
  <c r="Q669" i="16"/>
  <c r="S669" i="16" s="1"/>
  <c r="R669" i="16"/>
  <c r="P669" i="16" s="1"/>
  <c r="N815" i="16"/>
  <c r="I815" i="16" s="1"/>
  <c r="R815" i="16"/>
  <c r="P815" i="16" s="1"/>
  <c r="Q815" i="16"/>
  <c r="S815" i="16" s="1"/>
  <c r="N961" i="16"/>
  <c r="I961" i="16" s="1"/>
  <c r="N1089" i="16"/>
  <c r="I1089" i="16" s="1"/>
  <c r="Q1089" i="16"/>
  <c r="S1089" i="16" s="1"/>
  <c r="R1089" i="16"/>
  <c r="P1089" i="16" s="1"/>
  <c r="N1217" i="16"/>
  <c r="I1217" i="16" s="1"/>
  <c r="Q1217" i="16"/>
  <c r="S1217" i="16" s="1"/>
  <c r="R1217" i="16"/>
  <c r="P1217" i="16" s="1"/>
  <c r="N1345" i="16"/>
  <c r="I1345" i="16" s="1"/>
  <c r="Q1345" i="16"/>
  <c r="S1345" i="16" s="1"/>
  <c r="R1345" i="16"/>
  <c r="P1345" i="16" s="1"/>
  <c r="N1473" i="16"/>
  <c r="I1473" i="16" s="1"/>
  <c r="N1601" i="16"/>
  <c r="I1601" i="16" s="1"/>
  <c r="Q1601" i="16"/>
  <c r="S1601" i="16" s="1"/>
  <c r="R1601" i="16"/>
  <c r="P1601" i="16" s="1"/>
  <c r="N1729" i="16"/>
  <c r="I1729" i="16" s="1"/>
  <c r="N1857" i="16"/>
  <c r="I1857" i="16" s="1"/>
  <c r="Q1857" i="16"/>
  <c r="S1857" i="16" s="1"/>
  <c r="R1857" i="16"/>
  <c r="P1857" i="16" s="1"/>
  <c r="N1960" i="16"/>
  <c r="I1960" i="16" s="1"/>
  <c r="Q1960" i="16"/>
  <c r="S1960" i="16" s="1"/>
  <c r="R1960" i="16"/>
  <c r="P1960" i="16" s="1"/>
  <c r="Q2061" i="16"/>
  <c r="S2061" i="16" s="1"/>
  <c r="R2061" i="16"/>
  <c r="P2061" i="16" s="1"/>
  <c r="N2164" i="16"/>
  <c r="I2164" i="16" s="1"/>
  <c r="Q2164" i="16"/>
  <c r="S2164" i="16" s="1"/>
  <c r="R2164" i="16"/>
  <c r="P2164" i="16" s="1"/>
  <c r="N2244" i="16"/>
  <c r="I2244" i="16" s="1"/>
  <c r="N2308" i="16"/>
  <c r="I2308" i="16" s="1"/>
  <c r="Q2308" i="16"/>
  <c r="S2308" i="16" s="1"/>
  <c r="R2308" i="16"/>
  <c r="P2308" i="16" s="1"/>
  <c r="N2372" i="16"/>
  <c r="I2372" i="16" s="1"/>
  <c r="N2436" i="16"/>
  <c r="I2436" i="16" s="1"/>
  <c r="N2500" i="16"/>
  <c r="I2500" i="16" s="1"/>
  <c r="N2564" i="16"/>
  <c r="I2564" i="16" s="1"/>
  <c r="Q2564" i="16"/>
  <c r="S2564" i="16" s="1"/>
  <c r="R2564" i="16"/>
  <c r="P2564" i="16" s="1"/>
  <c r="N2628" i="16"/>
  <c r="I2628" i="16" s="1"/>
  <c r="N217" i="16"/>
  <c r="I217" i="16" s="1"/>
  <c r="N499" i="16"/>
  <c r="I499" i="16" s="1"/>
  <c r="Q499" i="16"/>
  <c r="S499" i="16" s="1"/>
  <c r="R499" i="16"/>
  <c r="P499" i="16" s="1"/>
  <c r="N673" i="16"/>
  <c r="I673" i="16" s="1"/>
  <c r="Q673" i="16"/>
  <c r="S673" i="16" s="1"/>
  <c r="R673" i="16"/>
  <c r="P673" i="16" s="1"/>
  <c r="N819" i="16"/>
  <c r="I819" i="16" s="1"/>
  <c r="N964" i="16"/>
  <c r="I964" i="16" s="1"/>
  <c r="Q964" i="16"/>
  <c r="S964" i="16" s="1"/>
  <c r="R964" i="16"/>
  <c r="P964" i="16" s="1"/>
  <c r="N1092" i="16"/>
  <c r="I1092" i="16" s="1"/>
  <c r="N1220" i="16"/>
  <c r="I1220" i="16" s="1"/>
  <c r="Q1220" i="16"/>
  <c r="S1220" i="16" s="1"/>
  <c r="R1220" i="16"/>
  <c r="P1220" i="16" s="1"/>
  <c r="N1348" i="16"/>
  <c r="I1348" i="16" s="1"/>
  <c r="N1476" i="16"/>
  <c r="I1476" i="16" s="1"/>
  <c r="Q1476" i="16"/>
  <c r="S1476" i="16" s="1"/>
  <c r="R1476" i="16"/>
  <c r="P1476" i="16" s="1"/>
  <c r="N1604" i="16"/>
  <c r="I1604" i="16" s="1"/>
  <c r="N1732" i="16"/>
  <c r="I1732" i="16" s="1"/>
  <c r="N1860" i="16"/>
  <c r="I1860" i="16" s="1"/>
  <c r="Q1860" i="16"/>
  <c r="S1860" i="16" s="1"/>
  <c r="R1860" i="16"/>
  <c r="P1860" i="16" s="1"/>
  <c r="N1962" i="16"/>
  <c r="I1962" i="16" s="1"/>
  <c r="R1962" i="16"/>
  <c r="P1962" i="16" s="1"/>
  <c r="Q1962" i="16"/>
  <c r="S1962" i="16" s="1"/>
  <c r="N2065" i="16"/>
  <c r="I2065" i="16" s="1"/>
  <c r="N2168" i="16"/>
  <c r="I2168" i="16" s="1"/>
  <c r="Q2168" i="16"/>
  <c r="S2168" i="16" s="1"/>
  <c r="R2168" i="16"/>
  <c r="P2168" i="16" s="1"/>
  <c r="N2246" i="16"/>
  <c r="I2246" i="16" s="1"/>
  <c r="N2310" i="16"/>
  <c r="I2310" i="16" s="1"/>
  <c r="Q2310" i="16"/>
  <c r="S2310" i="16" s="1"/>
  <c r="R2310" i="16"/>
  <c r="P2310" i="16" s="1"/>
  <c r="N2374" i="16"/>
  <c r="I2374" i="16" s="1"/>
  <c r="N2438" i="16"/>
  <c r="I2438" i="16" s="1"/>
  <c r="Q2438" i="16"/>
  <c r="S2438" i="16" s="1"/>
  <c r="R2438" i="16"/>
  <c r="P2438" i="16" s="1"/>
  <c r="N2502" i="16"/>
  <c r="I2502" i="16" s="1"/>
  <c r="N2566" i="16"/>
  <c r="I2566" i="16" s="1"/>
  <c r="N2630" i="16"/>
  <c r="I2630" i="16" s="1"/>
  <c r="N228" i="16"/>
  <c r="I228" i="16" s="1"/>
  <c r="N505" i="16"/>
  <c r="I505" i="16" s="1"/>
  <c r="Q505" i="16"/>
  <c r="S505" i="16" s="1"/>
  <c r="R505" i="16"/>
  <c r="P505" i="16" s="1"/>
  <c r="Q677" i="16"/>
  <c r="S677" i="16" s="1"/>
  <c r="R677" i="16"/>
  <c r="P677" i="16" s="1"/>
  <c r="N823" i="16"/>
  <c r="I823" i="16" s="1"/>
  <c r="N968" i="16"/>
  <c r="I968" i="16" s="1"/>
  <c r="Q968" i="16"/>
  <c r="S968" i="16" s="1"/>
  <c r="R968" i="16"/>
  <c r="P968" i="16" s="1"/>
  <c r="N1096" i="16"/>
  <c r="I1096" i="16" s="1"/>
  <c r="N1224" i="16"/>
  <c r="I1224" i="16" s="1"/>
  <c r="Q1224" i="16"/>
  <c r="S1224" i="16" s="1"/>
  <c r="R1224" i="16"/>
  <c r="P1224" i="16" s="1"/>
  <c r="N3" i="16"/>
  <c r="I3" i="16" s="1"/>
  <c r="Q3" i="16"/>
  <c r="S3" i="16" s="1"/>
  <c r="R3" i="16"/>
  <c r="P3" i="16" s="1"/>
  <c r="AA7" i="16"/>
  <c r="AA15" i="16"/>
  <c r="AA23" i="16"/>
  <c r="AA31" i="16"/>
  <c r="AA39" i="16"/>
  <c r="AA47" i="16"/>
  <c r="AA55" i="16"/>
  <c r="AA63" i="16"/>
  <c r="AA71" i="16"/>
  <c r="AA79" i="16"/>
  <c r="AA87" i="16"/>
  <c r="AA95" i="16"/>
  <c r="AA103" i="16"/>
  <c r="AA111" i="16"/>
  <c r="AA119" i="16"/>
  <c r="AA127" i="16"/>
  <c r="AA135" i="16"/>
  <c r="AA143" i="16"/>
  <c r="AA151" i="16"/>
  <c r="AA159" i="16"/>
  <c r="AA167" i="16"/>
  <c r="AA175" i="16"/>
  <c r="AA183" i="16"/>
  <c r="AA8" i="16"/>
  <c r="AA16" i="16"/>
  <c r="AA24" i="16"/>
  <c r="AA32" i="16"/>
  <c r="AA40" i="16"/>
  <c r="AA48" i="16"/>
  <c r="AA56" i="16"/>
  <c r="AA64" i="16"/>
  <c r="AA72" i="16"/>
  <c r="AA80" i="16"/>
  <c r="AA88" i="16"/>
  <c r="AA96" i="16"/>
  <c r="AA104" i="16"/>
  <c r="AA112" i="16"/>
  <c r="AA120" i="16"/>
  <c r="AA128" i="16"/>
  <c r="AA136" i="16"/>
  <c r="AA144" i="16"/>
  <c r="AA152" i="16"/>
  <c r="AA160" i="16"/>
  <c r="AA168" i="16"/>
  <c r="AA176" i="16"/>
  <c r="AA184" i="16"/>
  <c r="AA192" i="16"/>
  <c r="AA200" i="16"/>
  <c r="AA208" i="16"/>
  <c r="AA216" i="16"/>
  <c r="AA224" i="16"/>
  <c r="AA232" i="16"/>
  <c r="AA240" i="16"/>
  <c r="AA248" i="16"/>
  <c r="AA256" i="16"/>
  <c r="AA264" i="16"/>
  <c r="AA272" i="16"/>
  <c r="AA280" i="16"/>
  <c r="AA288" i="16"/>
  <c r="AA296" i="16"/>
  <c r="AA304" i="16"/>
  <c r="AA312" i="16"/>
  <c r="AA9" i="16"/>
  <c r="AA17" i="16"/>
  <c r="AA25" i="16"/>
  <c r="AA33" i="16"/>
  <c r="AA41" i="16"/>
  <c r="AA49" i="16"/>
  <c r="AA57" i="16"/>
  <c r="AA65" i="16"/>
  <c r="AA73" i="16"/>
  <c r="AA81" i="16"/>
  <c r="AA89" i="16"/>
  <c r="AA97" i="16"/>
  <c r="AA105" i="16"/>
  <c r="AA113" i="16"/>
  <c r="AA121" i="16"/>
  <c r="AA129" i="16"/>
  <c r="AA137" i="16"/>
  <c r="AA145" i="16"/>
  <c r="AA153" i="16"/>
  <c r="AA161" i="16"/>
  <c r="AA169" i="16"/>
  <c r="AA177" i="16"/>
  <c r="AA185" i="16"/>
  <c r="AA193" i="16"/>
  <c r="AA201" i="16"/>
  <c r="AA209" i="16"/>
  <c r="AA217" i="16"/>
  <c r="AA5" i="16"/>
  <c r="AA13" i="16"/>
  <c r="AA21" i="16"/>
  <c r="AA29" i="16"/>
  <c r="AA37" i="16"/>
  <c r="AA45" i="16"/>
  <c r="AA53" i="16"/>
  <c r="AA61" i="16"/>
  <c r="AA69" i="16"/>
  <c r="AA77" i="16"/>
  <c r="AA85" i="16"/>
  <c r="AA93" i="16"/>
  <c r="AA101" i="16"/>
  <c r="AA109" i="16"/>
  <c r="AA117" i="16"/>
  <c r="AA125" i="16"/>
  <c r="AA133" i="16"/>
  <c r="AA141" i="16"/>
  <c r="AA149" i="16"/>
  <c r="AA157" i="16"/>
  <c r="AA165" i="16"/>
  <c r="AA173" i="16"/>
  <c r="AA3" i="16"/>
  <c r="AB3" i="16" s="1"/>
  <c r="AC3" i="16" s="1"/>
  <c r="AA19" i="16"/>
  <c r="AA35" i="16"/>
  <c r="AA51" i="16"/>
  <c r="AA67" i="16"/>
  <c r="AA83" i="16"/>
  <c r="AA99" i="16"/>
  <c r="AA115" i="16"/>
  <c r="AA131" i="16"/>
  <c r="AA147" i="16"/>
  <c r="AA163" i="16"/>
  <c r="AA179" i="16"/>
  <c r="AA190" i="16"/>
  <c r="AA202" i="16"/>
  <c r="AA212" i="16"/>
  <c r="AA222" i="16"/>
  <c r="AA231" i="16"/>
  <c r="AA241" i="16"/>
  <c r="AA250" i="16"/>
  <c r="AA259" i="16"/>
  <c r="AA268" i="16"/>
  <c r="AA277" i="16"/>
  <c r="AA286" i="16"/>
  <c r="AA295" i="16"/>
  <c r="AA305" i="16"/>
  <c r="AA314" i="16"/>
  <c r="AA322" i="16"/>
  <c r="AA330" i="16"/>
  <c r="AA338" i="16"/>
  <c r="AA346" i="16"/>
  <c r="AA354" i="16"/>
  <c r="AA362" i="16"/>
  <c r="AA370" i="16"/>
  <c r="AA378" i="16"/>
  <c r="AA386" i="16"/>
  <c r="AA394" i="16"/>
  <c r="AA402" i="16"/>
  <c r="AA410" i="16"/>
  <c r="AA418" i="16"/>
  <c r="AA426" i="16"/>
  <c r="AA434" i="16"/>
  <c r="AA442" i="16"/>
  <c r="AA450" i="16"/>
  <c r="AA458" i="16"/>
  <c r="AA466" i="16"/>
  <c r="AA474" i="16"/>
  <c r="AA482" i="16"/>
  <c r="AA490" i="16"/>
  <c r="AA498" i="16"/>
  <c r="AA506" i="16"/>
  <c r="AA514" i="16"/>
  <c r="AA522" i="16"/>
  <c r="AA530" i="16"/>
  <c r="AA538" i="16"/>
  <c r="AA546" i="16"/>
  <c r="AA554" i="16"/>
  <c r="AA562" i="16"/>
  <c r="AA570" i="16"/>
  <c r="AA578" i="16"/>
  <c r="AA586" i="16"/>
  <c r="AA594" i="16"/>
  <c r="AA602" i="16"/>
  <c r="AA610" i="16"/>
  <c r="AA618" i="16"/>
  <c r="AA626" i="16"/>
  <c r="AA634" i="16"/>
  <c r="AA642" i="16"/>
  <c r="AA650" i="16"/>
  <c r="AA658" i="16"/>
  <c r="AA666" i="16"/>
  <c r="AA674" i="16"/>
  <c r="AA682" i="16"/>
  <c r="AA690" i="16"/>
  <c r="AA698" i="16"/>
  <c r="AA706" i="16"/>
  <c r="AA714" i="16"/>
  <c r="AA722" i="16"/>
  <c r="AA730" i="16"/>
  <c r="AA738" i="16"/>
  <c r="AA746" i="16"/>
  <c r="AA754" i="16"/>
  <c r="AA762" i="16"/>
  <c r="AA770" i="16"/>
  <c r="AA778" i="16"/>
  <c r="AA786" i="16"/>
  <c r="AA794" i="16"/>
  <c r="AA802" i="16"/>
  <c r="AA810" i="16"/>
  <c r="AA818" i="16"/>
  <c r="AA826" i="16"/>
  <c r="AA834" i="16"/>
  <c r="AA842" i="16"/>
  <c r="AA850" i="16"/>
  <c r="AA858" i="16"/>
  <c r="AA866" i="16"/>
  <c r="AA874" i="16"/>
  <c r="AA882" i="16"/>
  <c r="AA890" i="16"/>
  <c r="AA898" i="16"/>
  <c r="AA906" i="16"/>
  <c r="AA914" i="16"/>
  <c r="AA922" i="16"/>
  <c r="AA930" i="16"/>
  <c r="AA938" i="16"/>
  <c r="AA946" i="16"/>
  <c r="AA954" i="16"/>
  <c r="AA962" i="16"/>
  <c r="AA970" i="16"/>
  <c r="AA978" i="16"/>
  <c r="AA986" i="16"/>
  <c r="AA994" i="16"/>
  <c r="AA1002" i="16"/>
  <c r="AA1010" i="16"/>
  <c r="AA1018" i="16"/>
  <c r="AA1026" i="16"/>
  <c r="AA1034" i="16"/>
  <c r="AA1042" i="16"/>
  <c r="AA1050" i="16"/>
  <c r="AA1058" i="16"/>
  <c r="AA1066" i="16"/>
  <c r="AA1074" i="16"/>
  <c r="AA1082" i="16"/>
  <c r="AA1090" i="16"/>
  <c r="AA1098" i="16"/>
  <c r="AA1106" i="16"/>
  <c r="AA1114" i="16"/>
  <c r="AA1122" i="16"/>
  <c r="AA1130" i="16"/>
  <c r="AA1138" i="16"/>
  <c r="AA1146" i="16"/>
  <c r="AA1154" i="16"/>
  <c r="AA1162" i="16"/>
  <c r="AA1170" i="16"/>
  <c r="AA1178" i="16"/>
  <c r="AA1186" i="16"/>
  <c r="AA1194" i="16"/>
  <c r="AA1202" i="16"/>
  <c r="AA1210" i="16"/>
  <c r="AA1218" i="16"/>
  <c r="AA1226" i="16"/>
  <c r="AA1234" i="16"/>
  <c r="AA1242" i="16"/>
  <c r="AA1250" i="16"/>
  <c r="AA1258" i="16"/>
  <c r="AA1266" i="16"/>
  <c r="AA1274" i="16"/>
  <c r="AA1282" i="16"/>
  <c r="AA1290" i="16"/>
  <c r="AA1298" i="16"/>
  <c r="AA1306" i="16"/>
  <c r="AA1314" i="16"/>
  <c r="AA1322" i="16"/>
  <c r="AA1330" i="16"/>
  <c r="AA1338" i="16"/>
  <c r="AA1346" i="16"/>
  <c r="AA1354" i="16"/>
  <c r="AA1362" i="16"/>
  <c r="AA1370" i="16"/>
  <c r="AA1378" i="16"/>
  <c r="AA1386" i="16"/>
  <c r="AA1394" i="16"/>
  <c r="AA1402" i="16"/>
  <c r="AA1410" i="16"/>
  <c r="AA1418" i="16"/>
  <c r="AA1426" i="16"/>
  <c r="AA1434" i="16"/>
  <c r="AA1442" i="16"/>
  <c r="AA1450" i="16"/>
  <c r="AA1458" i="16"/>
  <c r="AA1466" i="16"/>
  <c r="AA1474" i="16"/>
  <c r="AA1482" i="16"/>
  <c r="AA1490" i="16"/>
  <c r="AA1498" i="16"/>
  <c r="AA1506" i="16"/>
  <c r="AA1514" i="16"/>
  <c r="AA1522" i="16"/>
  <c r="AA1530" i="16"/>
  <c r="AA1538" i="16"/>
  <c r="AA1546" i="16"/>
  <c r="AA1554" i="16"/>
  <c r="AA1562" i="16"/>
  <c r="AA1570" i="16"/>
  <c r="AA1578" i="16"/>
  <c r="AA1586" i="16"/>
  <c r="AA1594" i="16"/>
  <c r="AA1602" i="16"/>
  <c r="AA1610" i="16"/>
  <c r="AA1618" i="16"/>
  <c r="AA1626" i="16"/>
  <c r="AA1634" i="16"/>
  <c r="AA1642" i="16"/>
  <c r="AA1650" i="16"/>
  <c r="AA1658" i="16"/>
  <c r="AA1666" i="16"/>
  <c r="AA1674" i="16"/>
  <c r="AA1682" i="16"/>
  <c r="AA1690" i="16"/>
  <c r="AA1698" i="16"/>
  <c r="AA1706" i="16"/>
  <c r="AA1714" i="16"/>
  <c r="AA1722" i="16"/>
  <c r="AA1730" i="16"/>
  <c r="AA1738" i="16"/>
  <c r="AA1746" i="16"/>
  <c r="AA1754" i="16"/>
  <c r="AA1762" i="16"/>
  <c r="AA1770" i="16"/>
  <c r="AA1778" i="16"/>
  <c r="AA1786" i="16"/>
  <c r="AA1794" i="16"/>
  <c r="AA1802" i="16"/>
  <c r="AA1810" i="16"/>
  <c r="AA1818" i="16"/>
  <c r="AA1826" i="16"/>
  <c r="AA1834" i="16"/>
  <c r="AA1842" i="16"/>
  <c r="AA1850" i="16"/>
  <c r="AA1858" i="16"/>
  <c r="AA1866" i="16"/>
  <c r="AA1874" i="16"/>
  <c r="AA1882" i="16"/>
  <c r="AA1890" i="16"/>
  <c r="AA1898" i="16"/>
  <c r="AA1906" i="16"/>
  <c r="AA1914" i="16"/>
  <c r="AA1922" i="16"/>
  <c r="AA1930" i="16"/>
  <c r="AA1938" i="16"/>
  <c r="AA1946" i="16"/>
  <c r="AA1954" i="16"/>
  <c r="AA1962" i="16"/>
  <c r="AA1970" i="16"/>
  <c r="AA1978" i="16"/>
  <c r="AA1986" i="16"/>
  <c r="AA1994" i="16"/>
  <c r="AA2002" i="16"/>
  <c r="AA2010" i="16"/>
  <c r="AA2018" i="16"/>
  <c r="AA2026" i="16"/>
  <c r="AA2034" i="16"/>
  <c r="AA2042" i="16"/>
  <c r="AA2050" i="16"/>
  <c r="AA2058" i="16"/>
  <c r="AA2066" i="16"/>
  <c r="AA2074" i="16"/>
  <c r="AA2082" i="16"/>
  <c r="AA2090" i="16"/>
  <c r="AA2098" i="16"/>
  <c r="AA2106" i="16"/>
  <c r="AA2114" i="16"/>
  <c r="AA2122" i="16"/>
  <c r="AA2130" i="16"/>
  <c r="AA2138" i="16"/>
  <c r="AA2146" i="16"/>
  <c r="AA2154" i="16"/>
  <c r="AA2162" i="16"/>
  <c r="AA2170" i="16"/>
  <c r="AA2178" i="16"/>
  <c r="AA2186" i="16"/>
  <c r="AA2194" i="16"/>
  <c r="AA2202" i="16"/>
  <c r="AA2210" i="16"/>
  <c r="AA2218" i="16"/>
  <c r="AA2226" i="16"/>
  <c r="AA2234" i="16"/>
  <c r="AA2242" i="16"/>
  <c r="AA2250" i="16"/>
  <c r="AA2258" i="16"/>
  <c r="AA2266" i="16"/>
  <c r="AA2274" i="16"/>
  <c r="AA2282" i="16"/>
  <c r="AA2290" i="16"/>
  <c r="AA2298" i="16"/>
  <c r="AA2306" i="16"/>
  <c r="AA2314" i="16"/>
  <c r="AA2322" i="16"/>
  <c r="AA2330" i="16"/>
  <c r="AA2338" i="16"/>
  <c r="AA2346" i="16"/>
  <c r="AA2354" i="16"/>
  <c r="AA2362" i="16"/>
  <c r="AA2370" i="16"/>
  <c r="AA2378" i="16"/>
  <c r="AA2386" i="16"/>
  <c r="AA2394" i="16"/>
  <c r="AA2402" i="16"/>
  <c r="AA2410" i="16"/>
  <c r="AA2418" i="16"/>
  <c r="AA2426" i="16"/>
  <c r="AA2434" i="16"/>
  <c r="AA2442" i="16"/>
  <c r="AA2450" i="16"/>
  <c r="AA2458" i="16"/>
  <c r="AA2466" i="16"/>
  <c r="AA2474" i="16"/>
  <c r="AA2482" i="16"/>
  <c r="AA2490" i="16"/>
  <c r="AA2498" i="16"/>
  <c r="AA2506" i="16"/>
  <c r="AA2514" i="16"/>
  <c r="AA2522" i="16"/>
  <c r="AA2530" i="16"/>
  <c r="AA2538" i="16"/>
  <c r="AA2546" i="16"/>
  <c r="AA2554" i="16"/>
  <c r="AA2562" i="16"/>
  <c r="AA2570" i="16"/>
  <c r="AA2578" i="16"/>
  <c r="AA2586" i="16"/>
  <c r="AA2594" i="16"/>
  <c r="AA2602" i="16"/>
  <c r="AA2610" i="16"/>
  <c r="AA2618" i="16"/>
  <c r="AA2626" i="16"/>
  <c r="AA2634" i="16"/>
  <c r="AA2642" i="16"/>
  <c r="AA2650" i="16"/>
  <c r="AA2658" i="16"/>
  <c r="AA4" i="16"/>
  <c r="AA20" i="16"/>
  <c r="AA36" i="16"/>
  <c r="AA52" i="16"/>
  <c r="AA68" i="16"/>
  <c r="AA84" i="16"/>
  <c r="AA100" i="16"/>
  <c r="AA116" i="16"/>
  <c r="AA132" i="16"/>
  <c r="AA148" i="16"/>
  <c r="AA164" i="16"/>
  <c r="AA180" i="16"/>
  <c r="AA191" i="16"/>
  <c r="AA203" i="16"/>
  <c r="AA213" i="16"/>
  <c r="AA223" i="16"/>
  <c r="AA233" i="16"/>
  <c r="AA242" i="16"/>
  <c r="AA251" i="16"/>
  <c r="AA260" i="16"/>
  <c r="AA269" i="16"/>
  <c r="AA278" i="16"/>
  <c r="AA287" i="16"/>
  <c r="AA297" i="16"/>
  <c r="AA306" i="16"/>
  <c r="AA315" i="16"/>
  <c r="AA323" i="16"/>
  <c r="AA331" i="16"/>
  <c r="AA339" i="16"/>
  <c r="AA347" i="16"/>
  <c r="AA355" i="16"/>
  <c r="AA363" i="16"/>
  <c r="AA371" i="16"/>
  <c r="AA379" i="16"/>
  <c r="AA387" i="16"/>
  <c r="AA395" i="16"/>
  <c r="AA403" i="16"/>
  <c r="AA411" i="16"/>
  <c r="AA419" i="16"/>
  <c r="AA427" i="16"/>
  <c r="AA435" i="16"/>
  <c r="AA443" i="16"/>
  <c r="AA451" i="16"/>
  <c r="AA459" i="16"/>
  <c r="AA467" i="16"/>
  <c r="AA475" i="16"/>
  <c r="AA483" i="16"/>
  <c r="AA491" i="16"/>
  <c r="AA499" i="16"/>
  <c r="AA507" i="16"/>
  <c r="AA515" i="16"/>
  <c r="AA523" i="16"/>
  <c r="AA531" i="16"/>
  <c r="AA539" i="16"/>
  <c r="AA547" i="16"/>
  <c r="AA555" i="16"/>
  <c r="AA563" i="16"/>
  <c r="AA571" i="16"/>
  <c r="AA579" i="16"/>
  <c r="AA587" i="16"/>
  <c r="AA595" i="16"/>
  <c r="AA603" i="16"/>
  <c r="AA611" i="16"/>
  <c r="AA619" i="16"/>
  <c r="AA627" i="16"/>
  <c r="AA635" i="16"/>
  <c r="AA643" i="16"/>
  <c r="AA651" i="16"/>
  <c r="AA659" i="16"/>
  <c r="AA667" i="16"/>
  <c r="AA675" i="16"/>
  <c r="AA683" i="16"/>
  <c r="AA691" i="16"/>
  <c r="AA699" i="16"/>
  <c r="AA707" i="16"/>
  <c r="AA715" i="16"/>
  <c r="AA723" i="16"/>
  <c r="AA731" i="16"/>
  <c r="AA739" i="16"/>
  <c r="AA747" i="16"/>
  <c r="AA755" i="16"/>
  <c r="AA763" i="16"/>
  <c r="AA771" i="16"/>
  <c r="AA779" i="16"/>
  <c r="AA787" i="16"/>
  <c r="AA795" i="16"/>
  <c r="AA803" i="16"/>
  <c r="AA811" i="16"/>
  <c r="AA819" i="16"/>
  <c r="AA827" i="16"/>
  <c r="AA835" i="16"/>
  <c r="AA843" i="16"/>
  <c r="AA851" i="16"/>
  <c r="AA859" i="16"/>
  <c r="AA867" i="16"/>
  <c r="AA875" i="16"/>
  <c r="AA883" i="16"/>
  <c r="AA891" i="16"/>
  <c r="AA899" i="16"/>
  <c r="AA907" i="16"/>
  <c r="AA915" i="16"/>
  <c r="AA923" i="16"/>
  <c r="AA931" i="16"/>
  <c r="AA939" i="16"/>
  <c r="AA947" i="16"/>
  <c r="AA955" i="16"/>
  <c r="AA963" i="16"/>
  <c r="AA971" i="16"/>
  <c r="AA979" i="16"/>
  <c r="AA987" i="16"/>
  <c r="AA995" i="16"/>
  <c r="AA1003" i="16"/>
  <c r="AA1011" i="16"/>
  <c r="AA1019" i="16"/>
  <c r="AA1027" i="16"/>
  <c r="AA1035" i="16"/>
  <c r="AA1043" i="16"/>
  <c r="AA1051" i="16"/>
  <c r="AA1059" i="16"/>
  <c r="AA1067" i="16"/>
  <c r="AA1075" i="16"/>
  <c r="AA1083" i="16"/>
  <c r="AA1091" i="16"/>
  <c r="AA1099" i="16"/>
  <c r="AA1107" i="16"/>
  <c r="AA1115" i="16"/>
  <c r="AA1123" i="16"/>
  <c r="AA1131" i="16"/>
  <c r="AA1139" i="16"/>
  <c r="AA1147" i="16"/>
  <c r="AA1155" i="16"/>
  <c r="AA1163" i="16"/>
  <c r="AA1171" i="16"/>
  <c r="AA1179" i="16"/>
  <c r="AA1187" i="16"/>
  <c r="AA1195" i="16"/>
  <c r="AA1203" i="16"/>
  <c r="AA1211" i="16"/>
  <c r="AA1219" i="16"/>
  <c r="AA1227" i="16"/>
  <c r="AA1235" i="16"/>
  <c r="AA1243" i="16"/>
  <c r="AA1251" i="16"/>
  <c r="AA1259" i="16"/>
  <c r="AA1267" i="16"/>
  <c r="AA1275" i="16"/>
  <c r="AA1283" i="16"/>
  <c r="AA1291" i="16"/>
  <c r="AA1299" i="16"/>
  <c r="AA1307" i="16"/>
  <c r="AA1315" i="16"/>
  <c r="AA1323" i="16"/>
  <c r="AA1331" i="16"/>
  <c r="AA1339" i="16"/>
  <c r="AA1347" i="16"/>
  <c r="AA1355" i="16"/>
  <c r="AA1363" i="16"/>
  <c r="AA1371" i="16"/>
  <c r="AA1379" i="16"/>
  <c r="AA1387" i="16"/>
  <c r="AA1395" i="16"/>
  <c r="AA1403" i="16"/>
  <c r="AA1411" i="16"/>
  <c r="AA6" i="16"/>
  <c r="AA22" i="16"/>
  <c r="AA38" i="16"/>
  <c r="AA54" i="16"/>
  <c r="AA70" i="16"/>
  <c r="AA86" i="16"/>
  <c r="AA102" i="16"/>
  <c r="AA118" i="16"/>
  <c r="AA134" i="16"/>
  <c r="AA150" i="16"/>
  <c r="AA166" i="16"/>
  <c r="AA181" i="16"/>
  <c r="AA194" i="16"/>
  <c r="AA204" i="16"/>
  <c r="AA214" i="16"/>
  <c r="AA225" i="16"/>
  <c r="AA234" i="16"/>
  <c r="AA243" i="16"/>
  <c r="AA252" i="16"/>
  <c r="AA261" i="16"/>
  <c r="AA270" i="16"/>
  <c r="AA279" i="16"/>
  <c r="AA289" i="16"/>
  <c r="AA298" i="16"/>
  <c r="AA307" i="16"/>
  <c r="AA316" i="16"/>
  <c r="AA324" i="16"/>
  <c r="AA332" i="16"/>
  <c r="AA340" i="16"/>
  <c r="AA348" i="16"/>
  <c r="AA356" i="16"/>
  <c r="AA364" i="16"/>
  <c r="AA372" i="16"/>
  <c r="AA380" i="16"/>
  <c r="AA388" i="16"/>
  <c r="AA396" i="16"/>
  <c r="AA404" i="16"/>
  <c r="AA412" i="16"/>
  <c r="AA420" i="16"/>
  <c r="AA428" i="16"/>
  <c r="AA436" i="16"/>
  <c r="AA444" i="16"/>
  <c r="AA452" i="16"/>
  <c r="AA460" i="16"/>
  <c r="AA468" i="16"/>
  <c r="AA476" i="16"/>
  <c r="AA484" i="16"/>
  <c r="AA492" i="16"/>
  <c r="AA500" i="16"/>
  <c r="AA508" i="16"/>
  <c r="AA516" i="16"/>
  <c r="AA524" i="16"/>
  <c r="AA532" i="16"/>
  <c r="AA540" i="16"/>
  <c r="AA548" i="16"/>
  <c r="AA556" i="16"/>
  <c r="AA564" i="16"/>
  <c r="AA572" i="16"/>
  <c r="AA580" i="16"/>
  <c r="AA588" i="16"/>
  <c r="AA596" i="16"/>
  <c r="AA604" i="16"/>
  <c r="AA612" i="16"/>
  <c r="AA620" i="16"/>
  <c r="AA628" i="16"/>
  <c r="AA636" i="16"/>
  <c r="AA644" i="16"/>
  <c r="AA652" i="16"/>
  <c r="AA660" i="16"/>
  <c r="AA668" i="16"/>
  <c r="AA676" i="16"/>
  <c r="AA684" i="16"/>
  <c r="AA692" i="16"/>
  <c r="AA700" i="16"/>
  <c r="AA708" i="16"/>
  <c r="AA716" i="16"/>
  <c r="AA724" i="16"/>
  <c r="AA732" i="16"/>
  <c r="AA740" i="16"/>
  <c r="AA748" i="16"/>
  <c r="AA756" i="16"/>
  <c r="AA764" i="16"/>
  <c r="AA772" i="16"/>
  <c r="AA780" i="16"/>
  <c r="AA788" i="16"/>
  <c r="AA796" i="16"/>
  <c r="AA804" i="16"/>
  <c r="AA812" i="16"/>
  <c r="AA820" i="16"/>
  <c r="AA828" i="16"/>
  <c r="AA836" i="16"/>
  <c r="AA844" i="16"/>
  <c r="AA852" i="16"/>
  <c r="AA860" i="16"/>
  <c r="AA868" i="16"/>
  <c r="AA876" i="16"/>
  <c r="AA884" i="16"/>
  <c r="AA892" i="16"/>
  <c r="AA900" i="16"/>
  <c r="AA908" i="16"/>
  <c r="AA916" i="16"/>
  <c r="AA924" i="16"/>
  <c r="AA932" i="16"/>
  <c r="AA940" i="16"/>
  <c r="AA948" i="16"/>
  <c r="AA956" i="16"/>
  <c r="AA964" i="16"/>
  <c r="AA972" i="16"/>
  <c r="AA980" i="16"/>
  <c r="AA988" i="16"/>
  <c r="AA996" i="16"/>
  <c r="AA1004" i="16"/>
  <c r="AA1012" i="16"/>
  <c r="AA1020" i="16"/>
  <c r="AA1028" i="16"/>
  <c r="AA1036" i="16"/>
  <c r="AA1044" i="16"/>
  <c r="AA1052" i="16"/>
  <c r="AA1060" i="16"/>
  <c r="AA1068" i="16"/>
  <c r="AA1076" i="16"/>
  <c r="AA1084" i="16"/>
  <c r="AA1092" i="16"/>
  <c r="AA1100" i="16"/>
  <c r="AA1108" i="16"/>
  <c r="AA1116" i="16"/>
  <c r="AA1124" i="16"/>
  <c r="AA1132" i="16"/>
  <c r="AA1140" i="16"/>
  <c r="AA1148" i="16"/>
  <c r="AA1156" i="16"/>
  <c r="AA1164" i="16"/>
  <c r="AA1172" i="16"/>
  <c r="AA1180" i="16"/>
  <c r="AA1188" i="16"/>
  <c r="AA1196" i="16"/>
  <c r="AA1204" i="16"/>
  <c r="AA1212" i="16"/>
  <c r="AA1220" i="16"/>
  <c r="AA1228" i="16"/>
  <c r="AA1236" i="16"/>
  <c r="AA1244" i="16"/>
  <c r="AA1252" i="16"/>
  <c r="AA1260" i="16"/>
  <c r="AA1268" i="16"/>
  <c r="AA1276" i="16"/>
  <c r="AA1284" i="16"/>
  <c r="AA1292" i="16"/>
  <c r="AA1300" i="16"/>
  <c r="AA1308" i="16"/>
  <c r="AA1316" i="16"/>
  <c r="AA1324" i="16"/>
  <c r="AA1332" i="16"/>
  <c r="AA1340" i="16"/>
  <c r="AA1348" i="16"/>
  <c r="AA1356" i="16"/>
  <c r="AA1364" i="16"/>
  <c r="AA1372" i="16"/>
  <c r="AA1380" i="16"/>
  <c r="AA1388" i="16"/>
  <c r="AA1396" i="16"/>
  <c r="AA1404" i="16"/>
  <c r="AA1412" i="16"/>
  <c r="AA1420" i="16"/>
  <c r="AA1428" i="16"/>
  <c r="AA1436" i="16"/>
  <c r="AA1444" i="16"/>
  <c r="AA1452" i="16"/>
  <c r="AA1460" i="16"/>
  <c r="AA1468" i="16"/>
  <c r="AA1476" i="16"/>
  <c r="AA1484" i="16"/>
  <c r="AA1492" i="16"/>
  <c r="AA1500" i="16"/>
  <c r="AA1508" i="16"/>
  <c r="AA1516" i="16"/>
  <c r="AA1524" i="16"/>
  <c r="AA1532" i="16"/>
  <c r="AA1540" i="16"/>
  <c r="AA1548" i="16"/>
  <c r="AA1556" i="16"/>
  <c r="AA1564" i="16"/>
  <c r="AA1572" i="16"/>
  <c r="AA1580" i="16"/>
  <c r="AA1588" i="16"/>
  <c r="AA1596" i="16"/>
  <c r="AA1604" i="16"/>
  <c r="AA1612" i="16"/>
  <c r="AA1620" i="16"/>
  <c r="AA1628" i="16"/>
  <c r="AA1636" i="16"/>
  <c r="AA1644" i="16"/>
  <c r="AA1652" i="16"/>
  <c r="AA1660" i="16"/>
  <c r="AA1668" i="16"/>
  <c r="AA1676" i="16"/>
  <c r="AA1684" i="16"/>
  <c r="AA1692" i="16"/>
  <c r="AA1700" i="16"/>
  <c r="AA1708" i="16"/>
  <c r="AA1716" i="16"/>
  <c r="AA1724" i="16"/>
  <c r="AA1732" i="16"/>
  <c r="AA1740" i="16"/>
  <c r="AA1748" i="16"/>
  <c r="AA1756" i="16"/>
  <c r="AA1764" i="16"/>
  <c r="AA1772" i="16"/>
  <c r="AA1780" i="16"/>
  <c r="AA1788" i="16"/>
  <c r="AA1796" i="16"/>
  <c r="AA1804" i="16"/>
  <c r="AA1812" i="16"/>
  <c r="AA1820" i="16"/>
  <c r="AA1828" i="16"/>
  <c r="AA1836" i="16"/>
  <c r="AA1844" i="16"/>
  <c r="AA1852" i="16"/>
  <c r="AA1860" i="16"/>
  <c r="AA1868" i="16"/>
  <c r="AA1876" i="16"/>
  <c r="AA1884" i="16"/>
  <c r="AA1892" i="16"/>
  <c r="AA1900" i="16"/>
  <c r="AA1908" i="16"/>
  <c r="AA1916" i="16"/>
  <c r="AA1924" i="16"/>
  <c r="AA1932" i="16"/>
  <c r="AA1940" i="16"/>
  <c r="AA1948" i="16"/>
  <c r="AA1956" i="16"/>
  <c r="AA1964" i="16"/>
  <c r="AA1972" i="16"/>
  <c r="AA1980" i="16"/>
  <c r="AA1988" i="16"/>
  <c r="AA1996" i="16"/>
  <c r="AA2004" i="16"/>
  <c r="AA2012" i="16"/>
  <c r="AA2020" i="16"/>
  <c r="AA2028" i="16"/>
  <c r="AA2036" i="16"/>
  <c r="AA2044" i="16"/>
  <c r="AA2052" i="16"/>
  <c r="AA2060" i="16"/>
  <c r="AA2068" i="16"/>
  <c r="AA2076" i="16"/>
  <c r="AA2084" i="16"/>
  <c r="AA2092" i="16"/>
  <c r="AA2100" i="16"/>
  <c r="AA2108" i="16"/>
  <c r="AA2116" i="16"/>
  <c r="AA2124" i="16"/>
  <c r="AA2132" i="16"/>
  <c r="AA2140" i="16"/>
  <c r="AA2148" i="16"/>
  <c r="AA2156" i="16"/>
  <c r="AA2164" i="16"/>
  <c r="AA2172" i="16"/>
  <c r="AA2180" i="16"/>
  <c r="AA2188" i="16"/>
  <c r="AA2196" i="16"/>
  <c r="AA2204" i="16"/>
  <c r="AA2212" i="16"/>
  <c r="AA2220" i="16"/>
  <c r="AA2228" i="16"/>
  <c r="AA2236" i="16"/>
  <c r="AA2244" i="16"/>
  <c r="AA2252" i="16"/>
  <c r="AA2260" i="16"/>
  <c r="AA2268" i="16"/>
  <c r="AA2276" i="16"/>
  <c r="AA2284" i="16"/>
  <c r="AA2292" i="16"/>
  <c r="AA2300" i="16"/>
  <c r="AA2308" i="16"/>
  <c r="AA2316" i="16"/>
  <c r="AA2324" i="16"/>
  <c r="AA2332" i="16"/>
  <c r="AA2340" i="16"/>
  <c r="AA2348" i="16"/>
  <c r="AA2356" i="16"/>
  <c r="AA2364" i="16"/>
  <c r="AA2372" i="16"/>
  <c r="AA2380" i="16"/>
  <c r="AA2388" i="16"/>
  <c r="AA2396" i="16"/>
  <c r="AA2404" i="16"/>
  <c r="AA2412" i="16"/>
  <c r="AA2420" i="16"/>
  <c r="AA2428" i="16"/>
  <c r="AA2436" i="16"/>
  <c r="AA2444" i="16"/>
  <c r="AA2452" i="16"/>
  <c r="AA2460" i="16"/>
  <c r="AA2468" i="16"/>
  <c r="AA2476" i="16"/>
  <c r="AA2484" i="16"/>
  <c r="AA2492" i="16"/>
  <c r="AA2500" i="16"/>
  <c r="AA2508" i="16"/>
  <c r="AA2516" i="16"/>
  <c r="AA2524" i="16"/>
  <c r="AA2532" i="16"/>
  <c r="AA2540" i="16"/>
  <c r="AA10" i="16"/>
  <c r="AA26" i="16"/>
  <c r="AA42" i="16"/>
  <c r="AA58" i="16"/>
  <c r="AA74" i="16"/>
  <c r="AA90" i="16"/>
  <c r="AA106" i="16"/>
  <c r="AA122" i="16"/>
  <c r="AA138" i="16"/>
  <c r="AA154" i="16"/>
  <c r="AA170" i="16"/>
  <c r="AA182" i="16"/>
  <c r="AA195" i="16"/>
  <c r="AA205" i="16"/>
  <c r="AA215" i="16"/>
  <c r="AA226" i="16"/>
  <c r="AA235" i="16"/>
  <c r="AA244" i="16"/>
  <c r="AA253" i="16"/>
  <c r="AA262" i="16"/>
  <c r="AA271" i="16"/>
  <c r="AA281" i="16"/>
  <c r="AA290" i="16"/>
  <c r="AA299" i="16"/>
  <c r="AA308" i="16"/>
  <c r="AA317" i="16"/>
  <c r="AA325" i="16"/>
  <c r="AA333" i="16"/>
  <c r="AA341" i="16"/>
  <c r="AA349" i="16"/>
  <c r="AA357" i="16"/>
  <c r="AA365" i="16"/>
  <c r="AA373" i="16"/>
  <c r="AA381" i="16"/>
  <c r="AA389" i="16"/>
  <c r="AA397" i="16"/>
  <c r="AA405" i="16"/>
  <c r="AA413" i="16"/>
  <c r="AA421" i="16"/>
  <c r="AA429" i="16"/>
  <c r="AA437" i="16"/>
  <c r="AA445" i="16"/>
  <c r="AA453" i="16"/>
  <c r="AA461" i="16"/>
  <c r="AA469" i="16"/>
  <c r="AA477" i="16"/>
  <c r="AA485" i="16"/>
  <c r="AA493" i="16"/>
  <c r="AA501" i="16"/>
  <c r="AA509" i="16"/>
  <c r="AA517" i="16"/>
  <c r="AA525" i="16"/>
  <c r="AA533" i="16"/>
  <c r="AA541" i="16"/>
  <c r="AA549" i="16"/>
  <c r="AA557" i="16"/>
  <c r="AA565" i="16"/>
  <c r="AA573" i="16"/>
  <c r="AA581" i="16"/>
  <c r="AA589" i="16"/>
  <c r="AA597" i="16"/>
  <c r="AA605" i="16"/>
  <c r="AA613" i="16"/>
  <c r="AA621" i="16"/>
  <c r="AA629" i="16"/>
  <c r="AA637" i="16"/>
  <c r="AA645" i="16"/>
  <c r="AA653" i="16"/>
  <c r="AA661" i="16"/>
  <c r="AA669" i="16"/>
  <c r="AA677" i="16"/>
  <c r="AA685" i="16"/>
  <c r="AA693" i="16"/>
  <c r="AA701" i="16"/>
  <c r="AA709" i="16"/>
  <c r="AA717" i="16"/>
  <c r="AA725" i="16"/>
  <c r="AA733" i="16"/>
  <c r="AA741" i="16"/>
  <c r="AA749" i="16"/>
  <c r="AA757" i="16"/>
  <c r="AA765" i="16"/>
  <c r="AA773" i="16"/>
  <c r="AA781" i="16"/>
  <c r="AA789" i="16"/>
  <c r="AA797" i="16"/>
  <c r="AA805" i="16"/>
  <c r="AA813" i="16"/>
  <c r="AA821" i="16"/>
  <c r="AA829" i="16"/>
  <c r="AA837" i="16"/>
  <c r="AA845" i="16"/>
  <c r="AA853" i="16"/>
  <c r="AA861" i="16"/>
  <c r="AA869" i="16"/>
  <c r="AA877" i="16"/>
  <c r="AA885" i="16"/>
  <c r="AA893" i="16"/>
  <c r="AA901" i="16"/>
  <c r="AA909" i="16"/>
  <c r="AA917" i="16"/>
  <c r="AA925" i="16"/>
  <c r="AA933" i="16"/>
  <c r="AA941" i="16"/>
  <c r="AA949" i="16"/>
  <c r="AA957" i="16"/>
  <c r="AA965" i="16"/>
  <c r="AA973" i="16"/>
  <c r="AA981" i="16"/>
  <c r="AA989" i="16"/>
  <c r="AA997" i="16"/>
  <c r="AA1005" i="16"/>
  <c r="AA1013" i="16"/>
  <c r="AA1021" i="16"/>
  <c r="AA1029" i="16"/>
  <c r="AA1037" i="16"/>
  <c r="AA1045" i="16"/>
  <c r="AA1053" i="16"/>
  <c r="AA1061" i="16"/>
  <c r="AA1069" i="16"/>
  <c r="AA1077" i="16"/>
  <c r="AA1085" i="16"/>
  <c r="AA1093" i="16"/>
  <c r="AA1101" i="16"/>
  <c r="AA1109" i="16"/>
  <c r="AA1117" i="16"/>
  <c r="AA1125" i="16"/>
  <c r="AA1133" i="16"/>
  <c r="AA1141" i="16"/>
  <c r="AA1149" i="16"/>
  <c r="AA1157" i="16"/>
  <c r="AA1165" i="16"/>
  <c r="AA1173" i="16"/>
  <c r="AA1181" i="16"/>
  <c r="AA1189" i="16"/>
  <c r="AA1197" i="16"/>
  <c r="AA1205" i="16"/>
  <c r="AA1213" i="16"/>
  <c r="AA1221" i="16"/>
  <c r="AA1229" i="16"/>
  <c r="AA1237" i="16"/>
  <c r="AA1245" i="16"/>
  <c r="AA1253" i="16"/>
  <c r="AA1261" i="16"/>
  <c r="AA1269" i="16"/>
  <c r="AA1277" i="16"/>
  <c r="AA1285" i="16"/>
  <c r="AA1293" i="16"/>
  <c r="AA1301" i="16"/>
  <c r="AA1309" i="16"/>
  <c r="AA1317" i="16"/>
  <c r="AA1325" i="16"/>
  <c r="AA1333" i="16"/>
  <c r="AA1341" i="16"/>
  <c r="AA1349" i="16"/>
  <c r="AA1357" i="16"/>
  <c r="AA1365" i="16"/>
  <c r="AA1373" i="16"/>
  <c r="AA1381" i="16"/>
  <c r="AA1389" i="16"/>
  <c r="AA1397" i="16"/>
  <c r="AA1405" i="16"/>
  <c r="AA1413" i="16"/>
  <c r="AA1421" i="16"/>
  <c r="AA1429" i="16"/>
  <c r="AA1437" i="16"/>
  <c r="AA1445" i="16"/>
  <c r="AA1453" i="16"/>
  <c r="AA1461" i="16"/>
  <c r="AA1469" i="16"/>
  <c r="AA1477" i="16"/>
  <c r="AA1485" i="16"/>
  <c r="AA1493" i="16"/>
  <c r="AA1501" i="16"/>
  <c r="AA1509" i="16"/>
  <c r="AA1517" i="16"/>
  <c r="AA1525" i="16"/>
  <c r="AA1533" i="16"/>
  <c r="AA1541" i="16"/>
  <c r="AA1549" i="16"/>
  <c r="AA1557" i="16"/>
  <c r="AA1565" i="16"/>
  <c r="AA1573" i="16"/>
  <c r="AA1581" i="16"/>
  <c r="AA1589" i="16"/>
  <c r="AA1597" i="16"/>
  <c r="AA1605" i="16"/>
  <c r="AA1613" i="16"/>
  <c r="AA1621" i="16"/>
  <c r="AA1629" i="16"/>
  <c r="AA1637" i="16"/>
  <c r="AA1645" i="16"/>
  <c r="AA1653" i="16"/>
  <c r="AA1661" i="16"/>
  <c r="AA1669" i="16"/>
  <c r="AA1677" i="16"/>
  <c r="AA1685" i="16"/>
  <c r="AA1693" i="16"/>
  <c r="AA1701" i="16"/>
  <c r="AA1709" i="16"/>
  <c r="AA1717" i="16"/>
  <c r="AA1725" i="16"/>
  <c r="AA1733" i="16"/>
  <c r="AA1741" i="16"/>
  <c r="AA1749" i="16"/>
  <c r="AA1757" i="16"/>
  <c r="AA1765" i="16"/>
  <c r="AA1773" i="16"/>
  <c r="AA1781" i="16"/>
  <c r="AA1789" i="16"/>
  <c r="AA1797" i="16"/>
  <c r="AA1805" i="16"/>
  <c r="AA1813" i="16"/>
  <c r="AA1821" i="16"/>
  <c r="AA1829" i="16"/>
  <c r="AA1837" i="16"/>
  <c r="AA1845" i="16"/>
  <c r="AA1853" i="16"/>
  <c r="AA1861" i="16"/>
  <c r="AA1869" i="16"/>
  <c r="AA1877" i="16"/>
  <c r="AA1885" i="16"/>
  <c r="AA1893" i="16"/>
  <c r="AA1901" i="16"/>
  <c r="AA1909" i="16"/>
  <c r="AA1917" i="16"/>
  <c r="AA1925" i="16"/>
  <c r="AA1933" i="16"/>
  <c r="AA1941" i="16"/>
  <c r="AA1949" i="16"/>
  <c r="AA1957" i="16"/>
  <c r="AA1965" i="16"/>
  <c r="AA1973" i="16"/>
  <c r="AA1981" i="16"/>
  <c r="AA1989" i="16"/>
  <c r="AA1997" i="16"/>
  <c r="AA2005" i="16"/>
  <c r="AA2013" i="16"/>
  <c r="AA2021" i="16"/>
  <c r="AA2029" i="16"/>
  <c r="AA2037" i="16"/>
  <c r="AA2045" i="16"/>
  <c r="AA2053" i="16"/>
  <c r="AA2061" i="16"/>
  <c r="AA2069" i="16"/>
  <c r="AA2077" i="16"/>
  <c r="AA2085" i="16"/>
  <c r="AA2093" i="16"/>
  <c r="AA2101" i="16"/>
  <c r="AA2109" i="16"/>
  <c r="AA2117" i="16"/>
  <c r="AA2125" i="16"/>
  <c r="AA2133" i="16"/>
  <c r="AA2141" i="16"/>
  <c r="AA2149" i="16"/>
  <c r="AA2157" i="16"/>
  <c r="AA2165" i="16"/>
  <c r="AA2173" i="16"/>
  <c r="AA2181" i="16"/>
  <c r="AA2189" i="16"/>
  <c r="AA2197" i="16"/>
  <c r="AA2205" i="16"/>
  <c r="AA2213" i="16"/>
  <c r="AA2221" i="16"/>
  <c r="AA2229" i="16"/>
  <c r="AA2237" i="16"/>
  <c r="AA2245" i="16"/>
  <c r="AA2253" i="16"/>
  <c r="AA2261" i="16"/>
  <c r="AA2269" i="16"/>
  <c r="AA2277" i="16"/>
  <c r="AA2285" i="16"/>
  <c r="AA2293" i="16"/>
  <c r="AA2301" i="16"/>
  <c r="AA2309" i="16"/>
  <c r="AA2317" i="16"/>
  <c r="AA2325" i="16"/>
  <c r="AA2333" i="16"/>
  <c r="AA2341" i="16"/>
  <c r="AA2349" i="16"/>
  <c r="AA2357" i="16"/>
  <c r="AA2365" i="16"/>
  <c r="AA2373" i="16"/>
  <c r="AA2381" i="16"/>
  <c r="AA2389" i="16"/>
  <c r="AA2397" i="16"/>
  <c r="AA2405" i="16"/>
  <c r="AA2413" i="16"/>
  <c r="AA2421" i="16"/>
  <c r="AA2429" i="16"/>
  <c r="AA2437" i="16"/>
  <c r="AA2445" i="16"/>
  <c r="AA2453" i="16"/>
  <c r="AA2461" i="16"/>
  <c r="AA2469" i="16"/>
  <c r="AA2477" i="16"/>
  <c r="AA2485" i="16"/>
  <c r="AA2493" i="16"/>
  <c r="AA2501" i="16"/>
  <c r="AA2509" i="16"/>
  <c r="AA2517" i="16"/>
  <c r="AA2525" i="16"/>
  <c r="AA2533" i="16"/>
  <c r="AA2541" i="16"/>
  <c r="AA2549" i="16"/>
  <c r="AA2557" i="16"/>
  <c r="AA2565" i="16"/>
  <c r="AA2573" i="16"/>
  <c r="AA2581" i="16"/>
  <c r="AA2589" i="16"/>
  <c r="AA2597" i="16"/>
  <c r="AA2605" i="16"/>
  <c r="AA2613" i="16"/>
  <c r="AA2621" i="16"/>
  <c r="AA2629" i="16"/>
  <c r="AA2637" i="16"/>
  <c r="AA2645" i="16"/>
  <c r="AA2653" i="16"/>
  <c r="AA12" i="16"/>
  <c r="AA28" i="16"/>
  <c r="AA44" i="16"/>
  <c r="AA60" i="16"/>
  <c r="AA76" i="16"/>
  <c r="AA92" i="16"/>
  <c r="AA108" i="16"/>
  <c r="AA124" i="16"/>
  <c r="AA140" i="16"/>
  <c r="AA156" i="16"/>
  <c r="AA172" i="16"/>
  <c r="AA187" i="16"/>
  <c r="AA197" i="16"/>
  <c r="AA207" i="16"/>
  <c r="AA219" i="16"/>
  <c r="AA228" i="16"/>
  <c r="AA237" i="16"/>
  <c r="AA246" i="16"/>
  <c r="AA255" i="16"/>
  <c r="AA265" i="16"/>
  <c r="AA274" i="16"/>
  <c r="AA283" i="16"/>
  <c r="AA292" i="16"/>
  <c r="AA301" i="16"/>
  <c r="AA310" i="16"/>
  <c r="AA319" i="16"/>
  <c r="AA327" i="16"/>
  <c r="AA335" i="16"/>
  <c r="AA343" i="16"/>
  <c r="AA351" i="16"/>
  <c r="AA359" i="16"/>
  <c r="AA367" i="16"/>
  <c r="AA375" i="16"/>
  <c r="AA383" i="16"/>
  <c r="AA391" i="16"/>
  <c r="AA399" i="16"/>
  <c r="AA407" i="16"/>
  <c r="AA415" i="16"/>
  <c r="AA423" i="16"/>
  <c r="AA431" i="16"/>
  <c r="AA439" i="16"/>
  <c r="AA447" i="16"/>
  <c r="AA455" i="16"/>
  <c r="AA463" i="16"/>
  <c r="AA471" i="16"/>
  <c r="AA479" i="16"/>
  <c r="AA487" i="16"/>
  <c r="AA495" i="16"/>
  <c r="AA503" i="16"/>
  <c r="AA511" i="16"/>
  <c r="AA519" i="16"/>
  <c r="AA527" i="16"/>
  <c r="AA535" i="16"/>
  <c r="AA543" i="16"/>
  <c r="AA551" i="16"/>
  <c r="AA559" i="16"/>
  <c r="AA567" i="16"/>
  <c r="AA575" i="16"/>
  <c r="AA583" i="16"/>
  <c r="AA591" i="16"/>
  <c r="AA599" i="16"/>
  <c r="AA607" i="16"/>
  <c r="AA615" i="16"/>
  <c r="AA623" i="16"/>
  <c r="AA631" i="16"/>
  <c r="AA639" i="16"/>
  <c r="AA647" i="16"/>
  <c r="AA655" i="16"/>
  <c r="AA663" i="16"/>
  <c r="AA671" i="16"/>
  <c r="AA679" i="16"/>
  <c r="AA687" i="16"/>
  <c r="AA695" i="16"/>
  <c r="AA703" i="16"/>
  <c r="AA711" i="16"/>
  <c r="AA719" i="16"/>
  <c r="AA727" i="16"/>
  <c r="AA735" i="16"/>
  <c r="AA743" i="16"/>
  <c r="AA751" i="16"/>
  <c r="AA759" i="16"/>
  <c r="AA767" i="16"/>
  <c r="AA775" i="16"/>
  <c r="AA783" i="16"/>
  <c r="AA791" i="16"/>
  <c r="AA799" i="16"/>
  <c r="AA807" i="16"/>
  <c r="AA815" i="16"/>
  <c r="AA823" i="16"/>
  <c r="AA831" i="16"/>
  <c r="AA839" i="16"/>
  <c r="AA847" i="16"/>
  <c r="AA855" i="16"/>
  <c r="AA863" i="16"/>
  <c r="AA871" i="16"/>
  <c r="AA879" i="16"/>
  <c r="AA887" i="16"/>
  <c r="AA895" i="16"/>
  <c r="AA903" i="16"/>
  <c r="AA911" i="16"/>
  <c r="AA919" i="16"/>
  <c r="AA927" i="16"/>
  <c r="AA935" i="16"/>
  <c r="AA943" i="16"/>
  <c r="AA951" i="16"/>
  <c r="AA959" i="16"/>
  <c r="AA967" i="16"/>
  <c r="AA975" i="16"/>
  <c r="AA983" i="16"/>
  <c r="AA991" i="16"/>
  <c r="AA999" i="16"/>
  <c r="AA1007" i="16"/>
  <c r="AA1015" i="16"/>
  <c r="AA1023" i="16"/>
  <c r="AA1031" i="16"/>
  <c r="AA1039" i="16"/>
  <c r="AA1047" i="16"/>
  <c r="AA1055" i="16"/>
  <c r="AA1063" i="16"/>
  <c r="AA1071" i="16"/>
  <c r="AA1079" i="16"/>
  <c r="AA1087" i="16"/>
  <c r="AA1095" i="16"/>
  <c r="AA1103" i="16"/>
  <c r="AA1111" i="16"/>
  <c r="AA1119" i="16"/>
  <c r="AA1127" i="16"/>
  <c r="AA1135" i="16"/>
  <c r="AA1143" i="16"/>
  <c r="AA1151" i="16"/>
  <c r="AA1159" i="16"/>
  <c r="AA1167" i="16"/>
  <c r="AA1175" i="16"/>
  <c r="AA1183" i="16"/>
  <c r="AA1191" i="16"/>
  <c r="AA1199" i="16"/>
  <c r="AA1207" i="16"/>
  <c r="AA1215" i="16"/>
  <c r="AA1223" i="16"/>
  <c r="AA1231" i="16"/>
  <c r="AA1239" i="16"/>
  <c r="AA1247" i="16"/>
  <c r="AA1255" i="16"/>
  <c r="AA1263" i="16"/>
  <c r="AA1271" i="16"/>
  <c r="AA1279" i="16"/>
  <c r="AA1287" i="16"/>
  <c r="AA1295" i="16"/>
  <c r="AA1303" i="16"/>
  <c r="AA1311" i="16"/>
  <c r="AA1319" i="16"/>
  <c r="AA1327" i="16"/>
  <c r="AA1335" i="16"/>
  <c r="AA1343" i="16"/>
  <c r="AA1351" i="16"/>
  <c r="AA1359" i="16"/>
  <c r="AA1367" i="16"/>
  <c r="AA1375" i="16"/>
  <c r="AA1383" i="16"/>
  <c r="AA1391" i="16"/>
  <c r="AA1399" i="16"/>
  <c r="AA1407" i="16"/>
  <c r="AA1415" i="16"/>
  <c r="AA1423" i="16"/>
  <c r="AA1431" i="16"/>
  <c r="AA1439" i="16"/>
  <c r="AA1447" i="16"/>
  <c r="AA1455" i="16"/>
  <c r="AA1463" i="16"/>
  <c r="AA1471" i="16"/>
  <c r="AA1479" i="16"/>
  <c r="AA1487" i="16"/>
  <c r="AA1495" i="16"/>
  <c r="AA1503" i="16"/>
  <c r="AA1511" i="16"/>
  <c r="AA1519" i="16"/>
  <c r="AA1527" i="16"/>
  <c r="AA1535" i="16"/>
  <c r="AA1543" i="16"/>
  <c r="AA1551" i="16"/>
  <c r="AA1559" i="16"/>
  <c r="AA1567" i="16"/>
  <c r="AA1575" i="16"/>
  <c r="AA1583" i="16"/>
  <c r="AA1591" i="16"/>
  <c r="AA1599" i="16"/>
  <c r="AA1607" i="16"/>
  <c r="AA1615" i="16"/>
  <c r="AA1623" i="16"/>
  <c r="AA1631" i="16"/>
  <c r="AA1639" i="16"/>
  <c r="AA1647" i="16"/>
  <c r="AA1655" i="16"/>
  <c r="AA1663" i="16"/>
  <c r="AA1671" i="16"/>
  <c r="AA1679" i="16"/>
  <c r="AA1687" i="16"/>
  <c r="AA1695" i="16"/>
  <c r="AA1703" i="16"/>
  <c r="AA1711" i="16"/>
  <c r="AA1719" i="16"/>
  <c r="AA1727" i="16"/>
  <c r="AA1735" i="16"/>
  <c r="AA1743" i="16"/>
  <c r="AA1751" i="16"/>
  <c r="AA1759" i="16"/>
  <c r="AA1767" i="16"/>
  <c r="AA1775" i="16"/>
  <c r="AA1783" i="16"/>
  <c r="AA1791" i="16"/>
  <c r="AA1799" i="16"/>
  <c r="AA1807" i="16"/>
  <c r="AA1815" i="16"/>
  <c r="AA1823" i="16"/>
  <c r="AA1831" i="16"/>
  <c r="AA1839" i="16"/>
  <c r="AA1847" i="16"/>
  <c r="AA1855" i="16"/>
  <c r="AA1863" i="16"/>
  <c r="AA1871" i="16"/>
  <c r="AA1879" i="16"/>
  <c r="AA1887" i="16"/>
  <c r="AA1895" i="16"/>
  <c r="AA1903" i="16"/>
  <c r="AA1911" i="16"/>
  <c r="AA1919" i="16"/>
  <c r="AA1927" i="16"/>
  <c r="AA1935" i="16"/>
  <c r="AA1943" i="16"/>
  <c r="AA1951" i="16"/>
  <c r="AA1959" i="16"/>
  <c r="AA1967" i="16"/>
  <c r="AA1975" i="16"/>
  <c r="AA1983" i="16"/>
  <c r="AA1991" i="16"/>
  <c r="AA1999" i="16"/>
  <c r="AA2007" i="16"/>
  <c r="AA2015" i="16"/>
  <c r="AA2023" i="16"/>
  <c r="AA2031" i="16"/>
  <c r="AA2039" i="16"/>
  <c r="AA2047" i="16"/>
  <c r="AA2055" i="16"/>
  <c r="AA2063" i="16"/>
  <c r="AA2071" i="16"/>
  <c r="AA2079" i="16"/>
  <c r="AA2087" i="16"/>
  <c r="AA2095" i="16"/>
  <c r="AA2103" i="16"/>
  <c r="AA2111" i="16"/>
  <c r="AA2119" i="16"/>
  <c r="AA2127" i="16"/>
  <c r="AA2135" i="16"/>
  <c r="AA2143" i="16"/>
  <c r="AA2151" i="16"/>
  <c r="AA2159" i="16"/>
  <c r="AA2167" i="16"/>
  <c r="AA2175" i="16"/>
  <c r="AA2183" i="16"/>
  <c r="AA2191" i="16"/>
  <c r="AA2199" i="16"/>
  <c r="AA2207" i="16"/>
  <c r="AA2215" i="16"/>
  <c r="AA2223" i="16"/>
  <c r="AA2231" i="16"/>
  <c r="AA2239" i="16"/>
  <c r="AA2247" i="16"/>
  <c r="AA2255" i="16"/>
  <c r="AA2263" i="16"/>
  <c r="AA2271" i="16"/>
  <c r="AA2279" i="16"/>
  <c r="AA2287" i="16"/>
  <c r="AA2295" i="16"/>
  <c r="AA2303" i="16"/>
  <c r="AA2311" i="16"/>
  <c r="AA2319" i="16"/>
  <c r="AA2327" i="16"/>
  <c r="AA2335" i="16"/>
  <c r="AA2343" i="16"/>
  <c r="AA2351" i="16"/>
  <c r="AA2359" i="16"/>
  <c r="AA2367" i="16"/>
  <c r="AA2375" i="16"/>
  <c r="AA2383" i="16"/>
  <c r="AA2391" i="16"/>
  <c r="AA2399" i="16"/>
  <c r="AA2407" i="16"/>
  <c r="AA2415" i="16"/>
  <c r="AA2423" i="16"/>
  <c r="AA2431" i="16"/>
  <c r="AA2439" i="16"/>
  <c r="AA2447" i="16"/>
  <c r="AA2455" i="16"/>
  <c r="AA2463" i="16"/>
  <c r="AA2471" i="16"/>
  <c r="AA2479" i="16"/>
  <c r="AA2487" i="16"/>
  <c r="AA2495" i="16"/>
  <c r="AA2503" i="16"/>
  <c r="AA2511" i="16"/>
  <c r="AA2519" i="16"/>
  <c r="AA2527" i="16"/>
  <c r="AA2535" i="16"/>
  <c r="AA2543" i="16"/>
  <c r="AA2551" i="16"/>
  <c r="AA2559" i="16"/>
  <c r="AA2567" i="16"/>
  <c r="AA2575" i="16"/>
  <c r="AA2583" i="16"/>
  <c r="AA2591" i="16"/>
  <c r="AA2599" i="16"/>
  <c r="AA2607" i="16"/>
  <c r="AA2615" i="16"/>
  <c r="AA2623" i="16"/>
  <c r="AA2631" i="16"/>
  <c r="AA2639" i="16"/>
  <c r="AA2647" i="16"/>
  <c r="AA2655" i="16"/>
  <c r="AA14" i="16"/>
  <c r="AA30" i="16"/>
  <c r="AA46" i="16"/>
  <c r="AA62" i="16"/>
  <c r="AA78" i="16"/>
  <c r="AA94" i="16"/>
  <c r="AA110" i="16"/>
  <c r="AA126" i="16"/>
  <c r="AA142" i="16"/>
  <c r="AA158" i="16"/>
  <c r="AA174" i="16"/>
  <c r="AA188" i="16"/>
  <c r="AA198" i="16"/>
  <c r="AA210" i="16"/>
  <c r="AA220" i="16"/>
  <c r="AA229" i="16"/>
  <c r="AA238" i="16"/>
  <c r="AA247" i="16"/>
  <c r="AA257" i="16"/>
  <c r="AA266" i="16"/>
  <c r="AA275" i="16"/>
  <c r="AA284" i="16"/>
  <c r="AA293" i="16"/>
  <c r="AA302" i="16"/>
  <c r="AA311" i="16"/>
  <c r="AA320" i="16"/>
  <c r="AA328" i="16"/>
  <c r="AA336" i="16"/>
  <c r="AA344" i="16"/>
  <c r="AA352" i="16"/>
  <c r="AA360" i="16"/>
  <c r="AA368" i="16"/>
  <c r="AA376" i="16"/>
  <c r="AA384" i="16"/>
  <c r="AA392" i="16"/>
  <c r="AA400" i="16"/>
  <c r="AA408" i="16"/>
  <c r="AA416" i="16"/>
  <c r="AA424" i="16"/>
  <c r="AA432" i="16"/>
  <c r="AA440" i="16"/>
  <c r="AA448" i="16"/>
  <c r="AA456" i="16"/>
  <c r="AA464" i="16"/>
  <c r="AA472" i="16"/>
  <c r="AA480" i="16"/>
  <c r="AA488" i="16"/>
  <c r="AA496" i="16"/>
  <c r="AA504" i="16"/>
  <c r="AA512" i="16"/>
  <c r="AA520" i="16"/>
  <c r="AA528" i="16"/>
  <c r="AA536" i="16"/>
  <c r="AA544" i="16"/>
  <c r="AA552" i="16"/>
  <c r="AA560" i="16"/>
  <c r="AA568" i="16"/>
  <c r="AA576" i="16"/>
  <c r="AA584" i="16"/>
  <c r="AA592" i="16"/>
  <c r="AA600" i="16"/>
  <c r="AA608" i="16"/>
  <c r="AA616" i="16"/>
  <c r="AA624" i="16"/>
  <c r="AA632" i="16"/>
  <c r="AA640" i="16"/>
  <c r="AA648" i="16"/>
  <c r="AA656" i="16"/>
  <c r="AA664" i="16"/>
  <c r="AA672" i="16"/>
  <c r="AA680" i="16"/>
  <c r="AA688" i="16"/>
  <c r="AA696" i="16"/>
  <c r="AA704" i="16"/>
  <c r="AA712" i="16"/>
  <c r="AA720" i="16"/>
  <c r="AA728" i="16"/>
  <c r="AA736" i="16"/>
  <c r="AA744" i="16"/>
  <c r="AA752" i="16"/>
  <c r="AA760" i="16"/>
  <c r="AA768" i="16"/>
  <c r="AA776" i="16"/>
  <c r="AA784" i="16"/>
  <c r="AA792" i="16"/>
  <c r="AA800" i="16"/>
  <c r="AA808" i="16"/>
  <c r="AA816" i="16"/>
  <c r="AA824" i="16"/>
  <c r="AA832" i="16"/>
  <c r="AA840" i="16"/>
  <c r="AA848" i="16"/>
  <c r="AA856" i="16"/>
  <c r="AA864" i="16"/>
  <c r="AA872" i="16"/>
  <c r="AA880" i="16"/>
  <c r="AA888" i="16"/>
  <c r="AA896" i="16"/>
  <c r="AA904" i="16"/>
  <c r="AA912" i="16"/>
  <c r="AA920" i="16"/>
  <c r="AA928" i="16"/>
  <c r="AA936" i="16"/>
  <c r="AA944" i="16"/>
  <c r="AA952" i="16"/>
  <c r="AA960" i="16"/>
  <c r="AA968" i="16"/>
  <c r="AA976" i="16"/>
  <c r="AA984" i="16"/>
  <c r="AA992" i="16"/>
  <c r="AA1000" i="16"/>
  <c r="AA1008" i="16"/>
  <c r="AA1016" i="16"/>
  <c r="AA1024" i="16"/>
  <c r="AA1032" i="16"/>
  <c r="AA1040" i="16"/>
  <c r="AA1048" i="16"/>
  <c r="AA1056" i="16"/>
  <c r="AA1064" i="16"/>
  <c r="AA1072" i="16"/>
  <c r="AA1080" i="16"/>
  <c r="AA1088" i="16"/>
  <c r="AA1096" i="16"/>
  <c r="AA1104" i="16"/>
  <c r="AA1112" i="16"/>
  <c r="AA1120" i="16"/>
  <c r="AA1128" i="16"/>
  <c r="AA1136" i="16"/>
  <c r="AA1144" i="16"/>
  <c r="AA1152" i="16"/>
  <c r="AA1160" i="16"/>
  <c r="AA1168" i="16"/>
  <c r="AA1176" i="16"/>
  <c r="AA1184" i="16"/>
  <c r="AA1192" i="16"/>
  <c r="AA1200" i="16"/>
  <c r="AA1208" i="16"/>
  <c r="AA1216" i="16"/>
  <c r="AA1224" i="16"/>
  <c r="AA1232" i="16"/>
  <c r="AA1240" i="16"/>
  <c r="AA1248" i="16"/>
  <c r="AA1256" i="16"/>
  <c r="AA1264" i="16"/>
  <c r="AA1272" i="16"/>
  <c r="AA1280" i="16"/>
  <c r="AA1288" i="16"/>
  <c r="AA1296" i="16"/>
  <c r="AA1304" i="16"/>
  <c r="AA1312" i="16"/>
  <c r="AA1320" i="16"/>
  <c r="AA1328" i="16"/>
  <c r="AA1336" i="16"/>
  <c r="AA1344" i="16"/>
  <c r="AA1352" i="16"/>
  <c r="AA1360" i="16"/>
  <c r="AA1368" i="16"/>
  <c r="AA1376" i="16"/>
  <c r="AA1384" i="16"/>
  <c r="AA1392" i="16"/>
  <c r="AA1400" i="16"/>
  <c r="AA1408" i="16"/>
  <c r="AA1416" i="16"/>
  <c r="AA1424" i="16"/>
  <c r="AA1432" i="16"/>
  <c r="AA1440" i="16"/>
  <c r="AA1448" i="16"/>
  <c r="AA1456" i="16"/>
  <c r="AA1464" i="16"/>
  <c r="AA1472" i="16"/>
  <c r="AA1480" i="16"/>
  <c r="AA1488" i="16"/>
  <c r="AA1496" i="16"/>
  <c r="AA1504" i="16"/>
  <c r="AA1512" i="16"/>
  <c r="AA1520" i="16"/>
  <c r="AA1528" i="16"/>
  <c r="AA1536" i="16"/>
  <c r="AA1544" i="16"/>
  <c r="AA1552" i="16"/>
  <c r="AA1560" i="16"/>
  <c r="AA1568" i="16"/>
  <c r="AA1576" i="16"/>
  <c r="AA1584" i="16"/>
  <c r="AA1592" i="16"/>
  <c r="AA1600" i="16"/>
  <c r="AA1608" i="16"/>
  <c r="AA1616" i="16"/>
  <c r="AA1624" i="16"/>
  <c r="AA1632" i="16"/>
  <c r="AA1640" i="16"/>
  <c r="AA1648" i="16"/>
  <c r="AA1656" i="16"/>
  <c r="AA1664" i="16"/>
  <c r="AA1672" i="16"/>
  <c r="AA1680" i="16"/>
  <c r="AA1688" i="16"/>
  <c r="AA1696" i="16"/>
  <c r="AA1704" i="16"/>
  <c r="AA1712" i="16"/>
  <c r="AA1720" i="16"/>
  <c r="AA1728" i="16"/>
  <c r="AA1736" i="16"/>
  <c r="AA1744" i="16"/>
  <c r="AA1752" i="16"/>
  <c r="AA1760" i="16"/>
  <c r="AA1768" i="16"/>
  <c r="AA1776" i="16"/>
  <c r="AA1784" i="16"/>
  <c r="AA1792" i="16"/>
  <c r="AA1800" i="16"/>
  <c r="AA1808" i="16"/>
  <c r="AA1816" i="16"/>
  <c r="AA1824" i="16"/>
  <c r="AA1832" i="16"/>
  <c r="AA1840" i="16"/>
  <c r="AA1848" i="16"/>
  <c r="AA1856" i="16"/>
  <c r="AA1864" i="16"/>
  <c r="AA1872" i="16"/>
  <c r="AA1880" i="16"/>
  <c r="AA1888" i="16"/>
  <c r="AA1896" i="16"/>
  <c r="AA1904" i="16"/>
  <c r="AA1912" i="16"/>
  <c r="AA1920" i="16"/>
  <c r="AA1928" i="16"/>
  <c r="AA1936" i="16"/>
  <c r="AA1944" i="16"/>
  <c r="AA1952" i="16"/>
  <c r="AA1960" i="16"/>
  <c r="AA1968" i="16"/>
  <c r="AA1976" i="16"/>
  <c r="AA1984" i="16"/>
  <c r="AA1992" i="16"/>
  <c r="AA2000" i="16"/>
  <c r="AA2008" i="16"/>
  <c r="AA2016" i="16"/>
  <c r="AA2024" i="16"/>
  <c r="AA2032" i="16"/>
  <c r="AA2040" i="16"/>
  <c r="AA2048" i="16"/>
  <c r="AA2056" i="16"/>
  <c r="AA2064" i="16"/>
  <c r="AA2072" i="16"/>
  <c r="AA2080" i="16"/>
  <c r="AA2088" i="16"/>
  <c r="AA2096" i="16"/>
  <c r="AA2104" i="16"/>
  <c r="AA2112" i="16"/>
  <c r="AA2120" i="16"/>
  <c r="AA2128" i="16"/>
  <c r="AA2136" i="16"/>
  <c r="AA2144" i="16"/>
  <c r="AA2152" i="16"/>
  <c r="AA2160" i="16"/>
  <c r="AA2168" i="16"/>
  <c r="AA2176" i="16"/>
  <c r="AA2184" i="16"/>
  <c r="AA2192" i="16"/>
  <c r="AA2200" i="16"/>
  <c r="AA2208" i="16"/>
  <c r="AA2216" i="16"/>
  <c r="AA2224" i="16"/>
  <c r="AA2232" i="16"/>
  <c r="AA2240" i="16"/>
  <c r="AA2248" i="16"/>
  <c r="AA2256" i="16"/>
  <c r="AA2264" i="16"/>
  <c r="AA2272" i="16"/>
  <c r="AA2280" i="16"/>
  <c r="AA2288" i="16"/>
  <c r="AA2296" i="16"/>
  <c r="AA2304" i="16"/>
  <c r="AA2312" i="16"/>
  <c r="AA2320" i="16"/>
  <c r="AA2328" i="16"/>
  <c r="AA2336" i="16"/>
  <c r="AA2344" i="16"/>
  <c r="AA2352" i="16"/>
  <c r="AA2360" i="16"/>
  <c r="AA2368" i="16"/>
  <c r="AA2376" i="16"/>
  <c r="AA2384" i="16"/>
  <c r="AA2392" i="16"/>
  <c r="AA2400" i="16"/>
  <c r="AA2408" i="16"/>
  <c r="AA2416" i="16"/>
  <c r="AA2424" i="16"/>
  <c r="AA2432" i="16"/>
  <c r="AA2440" i="16"/>
  <c r="AA2448" i="16"/>
  <c r="AA2456" i="16"/>
  <c r="AA2464" i="16"/>
  <c r="AA2472" i="16"/>
  <c r="AA2480" i="16"/>
  <c r="AA2488" i="16"/>
  <c r="AA2496" i="16"/>
  <c r="AA2504" i="16"/>
  <c r="AA2512" i="16"/>
  <c r="AA2520" i="16"/>
  <c r="AA2528" i="16"/>
  <c r="AA2536" i="16"/>
  <c r="AA2544" i="16"/>
  <c r="AA2552" i="16"/>
  <c r="AA2560" i="16"/>
  <c r="AA2568" i="16"/>
  <c r="AA2576" i="16"/>
  <c r="AA2584" i="16"/>
  <c r="AA2592" i="16"/>
  <c r="AA2600" i="16"/>
  <c r="AA2608" i="16"/>
  <c r="AA2616" i="16"/>
  <c r="AA2624" i="16"/>
  <c r="AA2632" i="16"/>
  <c r="AA2640" i="16"/>
  <c r="AA2648" i="16"/>
  <c r="AA2656" i="16"/>
  <c r="AA18" i="16"/>
  <c r="AA34" i="16"/>
  <c r="AA50" i="16"/>
  <c r="AA66" i="16"/>
  <c r="AA82" i="16"/>
  <c r="AA98" i="16"/>
  <c r="AA114" i="16"/>
  <c r="AA130" i="16"/>
  <c r="AA146" i="16"/>
  <c r="AA162" i="16"/>
  <c r="AA178" i="16"/>
  <c r="AA189" i="16"/>
  <c r="AA199" i="16"/>
  <c r="AA211" i="16"/>
  <c r="AA221" i="16"/>
  <c r="AA230" i="16"/>
  <c r="AA239" i="16"/>
  <c r="AA249" i="16"/>
  <c r="AA258" i="16"/>
  <c r="AA267" i="16"/>
  <c r="AA276" i="16"/>
  <c r="AA285" i="16"/>
  <c r="AA294" i="16"/>
  <c r="AA303" i="16"/>
  <c r="AA313" i="16"/>
  <c r="AA321" i="16"/>
  <c r="AA329" i="16"/>
  <c r="AA337" i="16"/>
  <c r="AA345" i="16"/>
  <c r="AA353" i="16"/>
  <c r="AA361" i="16"/>
  <c r="AA369" i="16"/>
  <c r="AA377" i="16"/>
  <c r="AA385" i="16"/>
  <c r="AA393" i="16"/>
  <c r="AA401" i="16"/>
  <c r="AA409" i="16"/>
  <c r="AA417" i="16"/>
  <c r="AA425" i="16"/>
  <c r="AA433" i="16"/>
  <c r="AA441" i="16"/>
  <c r="AA449" i="16"/>
  <c r="AA457" i="16"/>
  <c r="AA465" i="16"/>
  <c r="AA473" i="16"/>
  <c r="AA481" i="16"/>
  <c r="AA489" i="16"/>
  <c r="AA497" i="16"/>
  <c r="AA505" i="16"/>
  <c r="AA513" i="16"/>
  <c r="AA521" i="16"/>
  <c r="AA529" i="16"/>
  <c r="AA537" i="16"/>
  <c r="AA545" i="16"/>
  <c r="AA553" i="16"/>
  <c r="AA561" i="16"/>
  <c r="AA569" i="16"/>
  <c r="AA577" i="16"/>
  <c r="AA585" i="16"/>
  <c r="AA593" i="16"/>
  <c r="AA601" i="16"/>
  <c r="AA609" i="16"/>
  <c r="AA617" i="16"/>
  <c r="AA625" i="16"/>
  <c r="AA633" i="16"/>
  <c r="AA641" i="16"/>
  <c r="AA649" i="16"/>
  <c r="AA657" i="16"/>
  <c r="AA665" i="16"/>
  <c r="AA673" i="16"/>
  <c r="AA681" i="16"/>
  <c r="AA689" i="16"/>
  <c r="AA697" i="16"/>
  <c r="AA705" i="16"/>
  <c r="AA713" i="16"/>
  <c r="AA721" i="16"/>
  <c r="AA729" i="16"/>
  <c r="AA737" i="16"/>
  <c r="AA745" i="16"/>
  <c r="AA753" i="16"/>
  <c r="AA761" i="16"/>
  <c r="AA769" i="16"/>
  <c r="AA777" i="16"/>
  <c r="AA785" i="16"/>
  <c r="AA793" i="16"/>
  <c r="AA801" i="16"/>
  <c r="AA809" i="16"/>
  <c r="AA817" i="16"/>
  <c r="AA825" i="16"/>
  <c r="AA833" i="16"/>
  <c r="AA841" i="16"/>
  <c r="AA849" i="16"/>
  <c r="AA857" i="16"/>
  <c r="AA865" i="16"/>
  <c r="AA873" i="16"/>
  <c r="AA881" i="16"/>
  <c r="AA889" i="16"/>
  <c r="AA897" i="16"/>
  <c r="AA905" i="16"/>
  <c r="AA913" i="16"/>
  <c r="AA921" i="16"/>
  <c r="AA929" i="16"/>
  <c r="AA937" i="16"/>
  <c r="AA945" i="16"/>
  <c r="AA953" i="16"/>
  <c r="AA961" i="16"/>
  <c r="AA969" i="16"/>
  <c r="AA977" i="16"/>
  <c r="AA985" i="16"/>
  <c r="AA993" i="16"/>
  <c r="AA1001" i="16"/>
  <c r="AA1009" i="16"/>
  <c r="AA1017" i="16"/>
  <c r="AA1025" i="16"/>
  <c r="AA1033" i="16"/>
  <c r="AA1041" i="16"/>
  <c r="AA1049" i="16"/>
  <c r="AA1057" i="16"/>
  <c r="AA1065" i="16"/>
  <c r="AA1073" i="16"/>
  <c r="AA1081" i="16"/>
  <c r="AA1089" i="16"/>
  <c r="AA1097" i="16"/>
  <c r="AA1105" i="16"/>
  <c r="AA1113" i="16"/>
  <c r="AA1121" i="16"/>
  <c r="AA1129" i="16"/>
  <c r="AA1137" i="16"/>
  <c r="AA1145" i="16"/>
  <c r="AA1153" i="16"/>
  <c r="AA1161" i="16"/>
  <c r="AA1169" i="16"/>
  <c r="AA1177" i="16"/>
  <c r="AA1185" i="16"/>
  <c r="AA1193" i="16"/>
  <c r="AA1201" i="16"/>
  <c r="AA1209" i="16"/>
  <c r="AA1217" i="16"/>
  <c r="AA1225" i="16"/>
  <c r="AA1233" i="16"/>
  <c r="AA1241" i="16"/>
  <c r="AA1249" i="16"/>
  <c r="AA1257" i="16"/>
  <c r="AA1265" i="16"/>
  <c r="AA1273" i="16"/>
  <c r="AA1281" i="16"/>
  <c r="AA1289" i="16"/>
  <c r="AA1297" i="16"/>
  <c r="AA1305" i="16"/>
  <c r="AA1313" i="16"/>
  <c r="AA1321" i="16"/>
  <c r="AA1329" i="16"/>
  <c r="AA1337" i="16"/>
  <c r="AA1345" i="16"/>
  <c r="AA1353" i="16"/>
  <c r="AA1361" i="16"/>
  <c r="AA1369" i="16"/>
  <c r="AA1377" i="16"/>
  <c r="AA1385" i="16"/>
  <c r="AA1393" i="16"/>
  <c r="AA1401" i="16"/>
  <c r="AA1409" i="16"/>
  <c r="AA1417" i="16"/>
  <c r="AA1425" i="16"/>
  <c r="AA1433" i="16"/>
  <c r="AA1441" i="16"/>
  <c r="AA1449" i="16"/>
  <c r="AA1457" i="16"/>
  <c r="AA1465" i="16"/>
  <c r="AA1473" i="16"/>
  <c r="AA1481" i="16"/>
  <c r="AA1489" i="16"/>
  <c r="AA1497" i="16"/>
  <c r="AA1505" i="16"/>
  <c r="AA1513" i="16"/>
  <c r="AA1521" i="16"/>
  <c r="AA1529" i="16"/>
  <c r="AA1537" i="16"/>
  <c r="AA1545" i="16"/>
  <c r="AA1553" i="16"/>
  <c r="AA1561" i="16"/>
  <c r="AA1569" i="16"/>
  <c r="AA1577" i="16"/>
  <c r="AA1585" i="16"/>
  <c r="AA1593" i="16"/>
  <c r="AA1601" i="16"/>
  <c r="AA1609" i="16"/>
  <c r="AA1617" i="16"/>
  <c r="AA1625" i="16"/>
  <c r="AA1633" i="16"/>
  <c r="AA1641" i="16"/>
  <c r="AA1649" i="16"/>
  <c r="AA1657" i="16"/>
  <c r="AA1665" i="16"/>
  <c r="AA1673" i="16"/>
  <c r="AA1681" i="16"/>
  <c r="AA1689" i="16"/>
  <c r="AA1697" i="16"/>
  <c r="AA1705" i="16"/>
  <c r="AA1713" i="16"/>
  <c r="AA1721" i="16"/>
  <c r="AA1729" i="16"/>
  <c r="AA1737" i="16"/>
  <c r="AA1745" i="16"/>
  <c r="AA1753" i="16"/>
  <c r="AA1761" i="16"/>
  <c r="AA1769" i="16"/>
  <c r="AA1777" i="16"/>
  <c r="AA1785" i="16"/>
  <c r="AA1793" i="16"/>
  <c r="AA1801" i="16"/>
  <c r="AA1809" i="16"/>
  <c r="AA1817" i="16"/>
  <c r="AA1825" i="16"/>
  <c r="AA1833" i="16"/>
  <c r="AA1841" i="16"/>
  <c r="AA1849" i="16"/>
  <c r="AA1857" i="16"/>
  <c r="AA1865" i="16"/>
  <c r="AA1873" i="16"/>
  <c r="AA1881" i="16"/>
  <c r="AA1889" i="16"/>
  <c r="AA1897" i="16"/>
  <c r="AA1905" i="16"/>
  <c r="AA1913" i="16"/>
  <c r="AA1921" i="16"/>
  <c r="AA1929" i="16"/>
  <c r="AA1937" i="16"/>
  <c r="AA1945" i="16"/>
  <c r="AA1953" i="16"/>
  <c r="AA1961" i="16"/>
  <c r="AA1969" i="16"/>
  <c r="AA1977" i="16"/>
  <c r="AA1985" i="16"/>
  <c r="AA1993" i="16"/>
  <c r="AA2001" i="16"/>
  <c r="AA2009" i="16"/>
  <c r="AA2017" i="16"/>
  <c r="AA2025" i="16"/>
  <c r="AA2033" i="16"/>
  <c r="AA2041" i="16"/>
  <c r="AA2049" i="16"/>
  <c r="AA2057" i="16"/>
  <c r="AA2065" i="16"/>
  <c r="AA2073" i="16"/>
  <c r="AA2081" i="16"/>
  <c r="AA2089" i="16"/>
  <c r="AA2097" i="16"/>
  <c r="AA2105" i="16"/>
  <c r="AA2113" i="16"/>
  <c r="AA2121" i="16"/>
  <c r="AA2129" i="16"/>
  <c r="AA2137" i="16"/>
  <c r="AA2145" i="16"/>
  <c r="AA2153" i="16"/>
  <c r="AA2161" i="16"/>
  <c r="AA2169" i="16"/>
  <c r="AA2177" i="16"/>
  <c r="AA2185" i="16"/>
  <c r="AA2193" i="16"/>
  <c r="AA2201" i="16"/>
  <c r="AA2209" i="16"/>
  <c r="AA2217" i="16"/>
  <c r="AA2225" i="16"/>
  <c r="AA2233" i="16"/>
  <c r="AA2241" i="16"/>
  <c r="AA2249" i="16"/>
  <c r="AA2257" i="16"/>
  <c r="AA2265" i="16"/>
  <c r="AA2273" i="16"/>
  <c r="AA2281" i="16"/>
  <c r="AA2289" i="16"/>
  <c r="AA2297" i="16"/>
  <c r="AA2305" i="16"/>
  <c r="AA2313" i="16"/>
  <c r="AA2321" i="16"/>
  <c r="AA2329" i="16"/>
  <c r="AA2337" i="16"/>
  <c r="AA2345" i="16"/>
  <c r="AA2353" i="16"/>
  <c r="AA2361" i="16"/>
  <c r="AA2369" i="16"/>
  <c r="AA2377" i="16"/>
  <c r="AA2385" i="16"/>
  <c r="AA2393" i="16"/>
  <c r="AA2401" i="16"/>
  <c r="AA2409" i="16"/>
  <c r="AA2417" i="16"/>
  <c r="AA2425" i="16"/>
  <c r="AA2433" i="16"/>
  <c r="AA2441" i="16"/>
  <c r="AA2449" i="16"/>
  <c r="AA2457" i="16"/>
  <c r="AA2465" i="16"/>
  <c r="AA2473" i="16"/>
  <c r="AA2481" i="16"/>
  <c r="AA2489" i="16"/>
  <c r="AA2497" i="16"/>
  <c r="AA2505" i="16"/>
  <c r="AA2513" i="16"/>
  <c r="AA2521" i="16"/>
  <c r="AA2529" i="16"/>
  <c r="AA2537" i="16"/>
  <c r="AA2545" i="16"/>
  <c r="AA2553" i="16"/>
  <c r="AA2561" i="16"/>
  <c r="AA2569" i="16"/>
  <c r="AA2577" i="16"/>
  <c r="AA2585" i="16"/>
  <c r="AA2593" i="16"/>
  <c r="AA2601" i="16"/>
  <c r="AA2609" i="16"/>
  <c r="AA2617" i="16"/>
  <c r="AA2625" i="16"/>
  <c r="AA2633" i="16"/>
  <c r="AA2641" i="16"/>
  <c r="AA2649" i="16"/>
  <c r="AA2657" i="16"/>
  <c r="AA75" i="16"/>
  <c r="AA196" i="16"/>
  <c r="AA273" i="16"/>
  <c r="AA342" i="16"/>
  <c r="AA406" i="16"/>
  <c r="AA470" i="16"/>
  <c r="AA534" i="16"/>
  <c r="AA598" i="16"/>
  <c r="AA662" i="16"/>
  <c r="AA726" i="16"/>
  <c r="AA790" i="16"/>
  <c r="AA854" i="16"/>
  <c r="AA918" i="16"/>
  <c r="AA982" i="16"/>
  <c r="AA1046" i="16"/>
  <c r="AA1110" i="16"/>
  <c r="AA1174" i="16"/>
  <c r="AA1238" i="16"/>
  <c r="AA1302" i="16"/>
  <c r="AA1366" i="16"/>
  <c r="AA1422" i="16"/>
  <c r="AA1454" i="16"/>
  <c r="AA1486" i="16"/>
  <c r="AA1518" i="16"/>
  <c r="AA1550" i="16"/>
  <c r="AA1582" i="16"/>
  <c r="AA1614" i="16"/>
  <c r="AA1646" i="16"/>
  <c r="AA1678" i="16"/>
  <c r="AA1710" i="16"/>
  <c r="AA1742" i="16"/>
  <c r="AA1774" i="16"/>
  <c r="AA1806" i="16"/>
  <c r="AA1838" i="16"/>
  <c r="AA1870" i="16"/>
  <c r="AA1902" i="16"/>
  <c r="AA1934" i="16"/>
  <c r="AA1966" i="16"/>
  <c r="AA1998" i="16"/>
  <c r="AA2030" i="16"/>
  <c r="AA2062" i="16"/>
  <c r="AA2094" i="16"/>
  <c r="AA2126" i="16"/>
  <c r="AA2158" i="16"/>
  <c r="AA2190" i="16"/>
  <c r="AA2222" i="16"/>
  <c r="AA2254" i="16"/>
  <c r="AA2286" i="16"/>
  <c r="AA2318" i="16"/>
  <c r="AA2350" i="16"/>
  <c r="AA2382" i="16"/>
  <c r="AA2414" i="16"/>
  <c r="AA2446" i="16"/>
  <c r="AA2478" i="16"/>
  <c r="AA2510" i="16"/>
  <c r="AA2542" i="16"/>
  <c r="AA2564" i="16"/>
  <c r="AA2587" i="16"/>
  <c r="AA2606" i="16"/>
  <c r="AA2628" i="16"/>
  <c r="AA2651" i="16"/>
  <c r="AA91" i="16"/>
  <c r="AA206" i="16"/>
  <c r="AA282" i="16"/>
  <c r="AA350" i="16"/>
  <c r="AA414" i="16"/>
  <c r="AA478" i="16"/>
  <c r="AA542" i="16"/>
  <c r="AA606" i="16"/>
  <c r="AA670" i="16"/>
  <c r="AA734" i="16"/>
  <c r="AA798" i="16"/>
  <c r="AA862" i="16"/>
  <c r="AA926" i="16"/>
  <c r="AA990" i="16"/>
  <c r="AA1054" i="16"/>
  <c r="AA1118" i="16"/>
  <c r="AA1182" i="16"/>
  <c r="AA1246" i="16"/>
  <c r="AA1310" i="16"/>
  <c r="AA1374" i="16"/>
  <c r="AA1427" i="16"/>
  <c r="AA1459" i="16"/>
  <c r="AA1491" i="16"/>
  <c r="AA1523" i="16"/>
  <c r="AA1555" i="16"/>
  <c r="AA1587" i="16"/>
  <c r="AA1619" i="16"/>
  <c r="AA1651" i="16"/>
  <c r="AA1683" i="16"/>
  <c r="AA1715" i="16"/>
  <c r="AA1747" i="16"/>
  <c r="AA1779" i="16"/>
  <c r="AA1811" i="16"/>
  <c r="AA1843" i="16"/>
  <c r="AA1875" i="16"/>
  <c r="AA1907" i="16"/>
  <c r="AA1939" i="16"/>
  <c r="AA1971" i="16"/>
  <c r="AA2003" i="16"/>
  <c r="AA2035" i="16"/>
  <c r="AA2067" i="16"/>
  <c r="AA2099" i="16"/>
  <c r="AA2131" i="16"/>
  <c r="AA2163" i="16"/>
  <c r="AA2195" i="16"/>
  <c r="AA2227" i="16"/>
  <c r="AA2259" i="16"/>
  <c r="AA2291" i="16"/>
  <c r="AA2323" i="16"/>
  <c r="AA2355" i="16"/>
  <c r="AA2387" i="16"/>
  <c r="AA2419" i="16"/>
  <c r="AA2451" i="16"/>
  <c r="AA2483" i="16"/>
  <c r="AA2515" i="16"/>
  <c r="AA2547" i="16"/>
  <c r="AA2566" i="16"/>
  <c r="AA2588" i="16"/>
  <c r="AA2611" i="16"/>
  <c r="AA2630" i="16"/>
  <c r="AA2652" i="16"/>
  <c r="AA107" i="16"/>
  <c r="AA218" i="16"/>
  <c r="AA291" i="16"/>
  <c r="AA358" i="16"/>
  <c r="AA422" i="16"/>
  <c r="AA486" i="16"/>
  <c r="AA550" i="16"/>
  <c r="AA614" i="16"/>
  <c r="AA678" i="16"/>
  <c r="AA742" i="16"/>
  <c r="AA806" i="16"/>
  <c r="AA870" i="16"/>
  <c r="AA934" i="16"/>
  <c r="AA998" i="16"/>
  <c r="AA1062" i="16"/>
  <c r="AA1126" i="16"/>
  <c r="AA1190" i="16"/>
  <c r="AA1254" i="16"/>
  <c r="AA1318" i="16"/>
  <c r="AA1382" i="16"/>
  <c r="AA1430" i="16"/>
  <c r="AA1462" i="16"/>
  <c r="AA1494" i="16"/>
  <c r="AA1526" i="16"/>
  <c r="AA1558" i="16"/>
  <c r="AA1590" i="16"/>
  <c r="AA1622" i="16"/>
  <c r="AA1654" i="16"/>
  <c r="AA1686" i="16"/>
  <c r="AA1718" i="16"/>
  <c r="AA1750" i="16"/>
  <c r="AA1782" i="16"/>
  <c r="AA1814" i="16"/>
  <c r="AA1846" i="16"/>
  <c r="AA1878" i="16"/>
  <c r="AA1910" i="16"/>
  <c r="AA1942" i="16"/>
  <c r="AA1974" i="16"/>
  <c r="AA2006" i="16"/>
  <c r="AA2038" i="16"/>
  <c r="AA2070" i="16"/>
  <c r="AA2102" i="16"/>
  <c r="AA2134" i="16"/>
  <c r="AA2166" i="16"/>
  <c r="AA2198" i="16"/>
  <c r="AA2230" i="16"/>
  <c r="AA2262" i="16"/>
  <c r="AA2294" i="16"/>
  <c r="AA2326" i="16"/>
  <c r="AA2358" i="16"/>
  <c r="AA2390" i="16"/>
  <c r="AA2422" i="16"/>
  <c r="AA2454" i="16"/>
  <c r="AA2486" i="16"/>
  <c r="AA2518" i="16"/>
  <c r="AA2548" i="16"/>
  <c r="AA2571" i="16"/>
  <c r="AA2590" i="16"/>
  <c r="AA2612" i="16"/>
  <c r="AA2635" i="16"/>
  <c r="AA2654" i="16"/>
  <c r="AA123" i="16"/>
  <c r="AA227" i="16"/>
  <c r="AA300" i="16"/>
  <c r="AA366" i="16"/>
  <c r="AA430" i="16"/>
  <c r="AA494" i="16"/>
  <c r="AA558" i="16"/>
  <c r="AA622" i="16"/>
  <c r="AA686" i="16"/>
  <c r="AA750" i="16"/>
  <c r="AA814" i="16"/>
  <c r="AA878" i="16"/>
  <c r="AA942" i="16"/>
  <c r="AA1006" i="16"/>
  <c r="AA1070" i="16"/>
  <c r="AA1134" i="16"/>
  <c r="AA1198" i="16"/>
  <c r="AA1262" i="16"/>
  <c r="AA1326" i="16"/>
  <c r="AA1390" i="16"/>
  <c r="AA1435" i="16"/>
  <c r="AA1467" i="16"/>
  <c r="AA1499" i="16"/>
  <c r="AA1531" i="16"/>
  <c r="AA1563" i="16"/>
  <c r="AA1595" i="16"/>
  <c r="AA1627" i="16"/>
  <c r="AA1659" i="16"/>
  <c r="AA1691" i="16"/>
  <c r="AA1723" i="16"/>
  <c r="AA1755" i="16"/>
  <c r="AA1787" i="16"/>
  <c r="AA1819" i="16"/>
  <c r="AA1851" i="16"/>
  <c r="AA1883" i="16"/>
  <c r="AA1915" i="16"/>
  <c r="AA1947" i="16"/>
  <c r="AA1979" i="16"/>
  <c r="AA2011" i="16"/>
  <c r="AA2043" i="16"/>
  <c r="AA2075" i="16"/>
  <c r="AA2107" i="16"/>
  <c r="AA2139" i="16"/>
  <c r="AA2171" i="16"/>
  <c r="AA2203" i="16"/>
  <c r="AA2235" i="16"/>
  <c r="AA2267" i="16"/>
  <c r="AA2299" i="16"/>
  <c r="AA2331" i="16"/>
  <c r="AA2363" i="16"/>
  <c r="AA2395" i="16"/>
  <c r="AA2427" i="16"/>
  <c r="AA2459" i="16"/>
  <c r="AA2491" i="16"/>
  <c r="AA2523" i="16"/>
  <c r="AA2550" i="16"/>
  <c r="AA2572" i="16"/>
  <c r="AA2595" i="16"/>
  <c r="AA2614" i="16"/>
  <c r="AA2636" i="16"/>
  <c r="AA11" i="16"/>
  <c r="AA139" i="16"/>
  <c r="AA236" i="16"/>
  <c r="AA309" i="16"/>
  <c r="AA374" i="16"/>
  <c r="AA438" i="16"/>
  <c r="AA502" i="16"/>
  <c r="AA566" i="16"/>
  <c r="AA630" i="16"/>
  <c r="AA694" i="16"/>
  <c r="AA758" i="16"/>
  <c r="AA822" i="16"/>
  <c r="AA886" i="16"/>
  <c r="AA950" i="16"/>
  <c r="AA1014" i="16"/>
  <c r="AA1078" i="16"/>
  <c r="AA1142" i="16"/>
  <c r="AA1206" i="16"/>
  <c r="AA1270" i="16"/>
  <c r="AA1334" i="16"/>
  <c r="AA1398" i="16"/>
  <c r="AA1438" i="16"/>
  <c r="AA1470" i="16"/>
  <c r="AA1502" i="16"/>
  <c r="AA1534" i="16"/>
  <c r="AA1566" i="16"/>
  <c r="AA1598" i="16"/>
  <c r="AA1630" i="16"/>
  <c r="AA1662" i="16"/>
  <c r="AA1694" i="16"/>
  <c r="AA1726" i="16"/>
  <c r="AA1758" i="16"/>
  <c r="AA1790" i="16"/>
  <c r="AA1822" i="16"/>
  <c r="AA1854" i="16"/>
  <c r="AA1886" i="16"/>
  <c r="AA1918" i="16"/>
  <c r="AA1950" i="16"/>
  <c r="AA1982" i="16"/>
  <c r="AA2014" i="16"/>
  <c r="AA2046" i="16"/>
  <c r="AA2078" i="16"/>
  <c r="AA2110" i="16"/>
  <c r="AA2142" i="16"/>
  <c r="AA2174" i="16"/>
  <c r="AA2206" i="16"/>
  <c r="AA2238" i="16"/>
  <c r="AA2270" i="16"/>
  <c r="AA2302" i="16"/>
  <c r="AA2334" i="16"/>
  <c r="AA2366" i="16"/>
  <c r="AA2398" i="16"/>
  <c r="AA2430" i="16"/>
  <c r="AA2462" i="16"/>
  <c r="AA2494" i="16"/>
  <c r="AA2526" i="16"/>
  <c r="AA2555" i="16"/>
  <c r="AA2574" i="16"/>
  <c r="AA2596" i="16"/>
  <c r="AA2619" i="16"/>
  <c r="AA2638" i="16"/>
  <c r="AA27" i="16"/>
  <c r="AA155" i="16"/>
  <c r="AA245" i="16"/>
  <c r="AA318" i="16"/>
  <c r="AA382" i="16"/>
  <c r="AA446" i="16"/>
  <c r="AA510" i="16"/>
  <c r="AA574" i="16"/>
  <c r="AA638" i="16"/>
  <c r="AA702" i="16"/>
  <c r="AA766" i="16"/>
  <c r="AA830" i="16"/>
  <c r="AA894" i="16"/>
  <c r="AA958" i="16"/>
  <c r="AA1022" i="16"/>
  <c r="AA1086" i="16"/>
  <c r="AA1150" i="16"/>
  <c r="AA1214" i="16"/>
  <c r="AA1278" i="16"/>
  <c r="AA1342" i="16"/>
  <c r="AA1406" i="16"/>
  <c r="AA1443" i="16"/>
  <c r="AA1475" i="16"/>
  <c r="AA1507" i="16"/>
  <c r="AA1539" i="16"/>
  <c r="AA1571" i="16"/>
  <c r="AA1603" i="16"/>
  <c r="AA1635" i="16"/>
  <c r="AA1667" i="16"/>
  <c r="AA1699" i="16"/>
  <c r="AA1731" i="16"/>
  <c r="AA1763" i="16"/>
  <c r="AA1795" i="16"/>
  <c r="AA1827" i="16"/>
  <c r="AA1859" i="16"/>
  <c r="AA1891" i="16"/>
  <c r="AA1923" i="16"/>
  <c r="AA1955" i="16"/>
  <c r="AA1987" i="16"/>
  <c r="AA2019" i="16"/>
  <c r="AA2051" i="16"/>
  <c r="AA2083" i="16"/>
  <c r="AA2115" i="16"/>
  <c r="AA2147" i="16"/>
  <c r="AA2179" i="16"/>
  <c r="AA2211" i="16"/>
  <c r="AA2243" i="16"/>
  <c r="AA2275" i="16"/>
  <c r="AA2307" i="16"/>
  <c r="AA2339" i="16"/>
  <c r="AA2371" i="16"/>
  <c r="AA2403" i="16"/>
  <c r="AA2435" i="16"/>
  <c r="AA2467" i="16"/>
  <c r="AA2499" i="16"/>
  <c r="AA2531" i="16"/>
  <c r="AA2556" i="16"/>
  <c r="AA2579" i="16"/>
  <c r="AA2598" i="16"/>
  <c r="AA2620" i="16"/>
  <c r="AA2643" i="16"/>
  <c r="AA43" i="16"/>
  <c r="AA171" i="16"/>
  <c r="AA254" i="16"/>
  <c r="AA326" i="16"/>
  <c r="AA390" i="16"/>
  <c r="AA454" i="16"/>
  <c r="AA518" i="16"/>
  <c r="AA582" i="16"/>
  <c r="AA646" i="16"/>
  <c r="AA710" i="16"/>
  <c r="AA774" i="16"/>
  <c r="AA838" i="16"/>
  <c r="AA902" i="16"/>
  <c r="AA966" i="16"/>
  <c r="AA1030" i="16"/>
  <c r="AA1094" i="16"/>
  <c r="AA1158" i="16"/>
  <c r="AA1222" i="16"/>
  <c r="AA1286" i="16"/>
  <c r="AA1350" i="16"/>
  <c r="AA1414" i="16"/>
  <c r="AA1446" i="16"/>
  <c r="AA1478" i="16"/>
  <c r="AA1510" i="16"/>
  <c r="AA1542" i="16"/>
  <c r="AA1574" i="16"/>
  <c r="AA1606" i="16"/>
  <c r="AA1638" i="16"/>
  <c r="AA1670" i="16"/>
  <c r="AA1702" i="16"/>
  <c r="AA1734" i="16"/>
  <c r="AA1766" i="16"/>
  <c r="AA1798" i="16"/>
  <c r="AA1830" i="16"/>
  <c r="AA1862" i="16"/>
  <c r="AA1894" i="16"/>
  <c r="AA1926" i="16"/>
  <c r="AA1958" i="16"/>
  <c r="AA1990" i="16"/>
  <c r="AA2022" i="16"/>
  <c r="AA2054" i="16"/>
  <c r="AA2086" i="16"/>
  <c r="AA2118" i="16"/>
  <c r="AA2150" i="16"/>
  <c r="AA2182" i="16"/>
  <c r="AA2214" i="16"/>
  <c r="AA2246" i="16"/>
  <c r="AA2278" i="16"/>
  <c r="AA2310" i="16"/>
  <c r="AA2342" i="16"/>
  <c r="AA2374" i="16"/>
  <c r="AA2406" i="16"/>
  <c r="AA2438" i="16"/>
  <c r="AA2470" i="16"/>
  <c r="AA2502" i="16"/>
  <c r="AA2534" i="16"/>
  <c r="AA2558" i="16"/>
  <c r="AA2580" i="16"/>
  <c r="AA2603" i="16"/>
  <c r="AA2622" i="16"/>
  <c r="AA2644" i="16"/>
  <c r="AA59" i="16"/>
  <c r="AA186" i="16"/>
  <c r="AA263" i="16"/>
  <c r="AA334" i="16"/>
  <c r="AA398" i="16"/>
  <c r="AA462" i="16"/>
  <c r="AA526" i="16"/>
  <c r="AA590" i="16"/>
  <c r="AA654" i="16"/>
  <c r="AA718" i="16"/>
  <c r="AA782" i="16"/>
  <c r="AA846" i="16"/>
  <c r="AA910" i="16"/>
  <c r="AA974" i="16"/>
  <c r="AA1038" i="16"/>
  <c r="AA1102" i="16"/>
  <c r="AA1166" i="16"/>
  <c r="AA1230" i="16"/>
  <c r="AA1294" i="16"/>
  <c r="AA1358" i="16"/>
  <c r="AA1419" i="16"/>
  <c r="AA1451" i="16"/>
  <c r="AA1483" i="16"/>
  <c r="AA1515" i="16"/>
  <c r="AA1547" i="16"/>
  <c r="AA1579" i="16"/>
  <c r="AA1611" i="16"/>
  <c r="AA1643" i="16"/>
  <c r="AA1675" i="16"/>
  <c r="AA1707" i="16"/>
  <c r="AA1739" i="16"/>
  <c r="AA1771" i="16"/>
  <c r="AA1803" i="16"/>
  <c r="AA1835" i="16"/>
  <c r="AA1867" i="16"/>
  <c r="AA1899" i="16"/>
  <c r="AA1931" i="16"/>
  <c r="AA1963" i="16"/>
  <c r="AA1995" i="16"/>
  <c r="AA2027" i="16"/>
  <c r="AA2059" i="16"/>
  <c r="AA2091" i="16"/>
  <c r="AA2123" i="16"/>
  <c r="AA2155" i="16"/>
  <c r="AA2187" i="16"/>
  <c r="AA2219" i="16"/>
  <c r="AA2251" i="16"/>
  <c r="AA2283" i="16"/>
  <c r="AA2315" i="16"/>
  <c r="AA2347" i="16"/>
  <c r="AA2379" i="16"/>
  <c r="AA2411" i="16"/>
  <c r="AA2443" i="16"/>
  <c r="AA2475" i="16"/>
  <c r="AA2507" i="16"/>
  <c r="AA2539" i="16"/>
  <c r="AA2563" i="16"/>
  <c r="AA2582" i="16"/>
  <c r="AA2604" i="16"/>
  <c r="AA2627" i="16"/>
  <c r="AA2646" i="16"/>
  <c r="N346" i="16"/>
  <c r="I346" i="16" s="1"/>
  <c r="N578" i="16"/>
  <c r="I578" i="16" s="1"/>
  <c r="N879" i="16"/>
  <c r="I879" i="16" s="1"/>
  <c r="N1017" i="16"/>
  <c r="I1017" i="16" s="1"/>
  <c r="Q1017" i="16"/>
  <c r="S1017" i="16" s="1"/>
  <c r="R1017" i="16"/>
  <c r="P1017" i="16" s="1"/>
  <c r="N1145" i="16"/>
  <c r="I1145" i="16" s="1"/>
  <c r="Q1145" i="16"/>
  <c r="S1145" i="16" s="1"/>
  <c r="R1145" i="16"/>
  <c r="P1145" i="16" s="1"/>
  <c r="N161" i="16"/>
  <c r="I161" i="16" s="1"/>
  <c r="N462" i="16"/>
  <c r="I462" i="16" s="1"/>
  <c r="R462" i="16"/>
  <c r="P462" i="16" s="1"/>
  <c r="Q462" i="16"/>
  <c r="S462" i="16" s="1"/>
  <c r="N649" i="16"/>
  <c r="I649" i="16" s="1"/>
  <c r="N796" i="16"/>
  <c r="I796" i="16" s="1"/>
  <c r="N942" i="16"/>
  <c r="I942" i="16" s="1"/>
  <c r="Q942" i="16"/>
  <c r="S942" i="16" s="1"/>
  <c r="R942" i="16"/>
  <c r="P942" i="16" s="1"/>
  <c r="N1072" i="16"/>
  <c r="I1072" i="16" s="1"/>
  <c r="Q1072" i="16"/>
  <c r="S1072" i="16" s="1"/>
  <c r="R1072" i="16"/>
  <c r="P1072" i="16" s="1"/>
  <c r="N1200" i="16"/>
  <c r="I1200" i="16" s="1"/>
  <c r="Q1200" i="16"/>
  <c r="S1200" i="16" s="1"/>
  <c r="R1200" i="16"/>
  <c r="P1200" i="16" s="1"/>
  <c r="N1328" i="16"/>
  <c r="I1328" i="16" s="1"/>
  <c r="N1456" i="16"/>
  <c r="I1456" i="16" s="1"/>
  <c r="N1584" i="16"/>
  <c r="I1584" i="16" s="1"/>
  <c r="Q1584" i="16"/>
  <c r="S1584" i="16" s="1"/>
  <c r="R1584" i="16"/>
  <c r="P1584" i="16" s="1"/>
  <c r="N1712" i="16"/>
  <c r="I1712" i="16" s="1"/>
  <c r="Q1712" i="16"/>
  <c r="S1712" i="16" s="1"/>
  <c r="R1712" i="16"/>
  <c r="P1712" i="16" s="1"/>
  <c r="N1840" i="16"/>
  <c r="I1840" i="16" s="1"/>
  <c r="N1945" i="16"/>
  <c r="I1945" i="16" s="1"/>
  <c r="Q1945" i="16"/>
  <c r="S1945" i="16" s="1"/>
  <c r="R1945" i="16"/>
  <c r="P1945" i="16" s="1"/>
  <c r="N652" i="16"/>
  <c r="I652" i="16" s="1"/>
  <c r="Q652" i="16"/>
  <c r="S652" i="16" s="1"/>
  <c r="R652" i="16"/>
  <c r="P652" i="16" s="1"/>
  <c r="N1034" i="16"/>
  <c r="I1034" i="16" s="1"/>
  <c r="N1337" i="16"/>
  <c r="I1337" i="16" s="1"/>
  <c r="Q1337" i="16"/>
  <c r="S1337" i="16" s="1"/>
  <c r="R1337" i="16"/>
  <c r="P1337" i="16" s="1"/>
  <c r="N1544" i="16"/>
  <c r="I1544" i="16" s="1"/>
  <c r="Q1544" i="16"/>
  <c r="S1544" i="16" s="1"/>
  <c r="R1544" i="16"/>
  <c r="P1544" i="16" s="1"/>
  <c r="N1746" i="16"/>
  <c r="I1746" i="16" s="1"/>
  <c r="N1930" i="16"/>
  <c r="I1930" i="16" s="1"/>
  <c r="N2072" i="16"/>
  <c r="I2072" i="16" s="1"/>
  <c r="N2202" i="16"/>
  <c r="I2202" i="16" s="1"/>
  <c r="N2378" i="16"/>
  <c r="I2378" i="16" s="1"/>
  <c r="N2464" i="16"/>
  <c r="I2464" i="16" s="1"/>
  <c r="Q2464" i="16"/>
  <c r="S2464" i="16" s="1"/>
  <c r="R2464" i="16"/>
  <c r="P2464" i="16" s="1"/>
  <c r="Q2549" i="16"/>
  <c r="S2549" i="16" s="1"/>
  <c r="R2549" i="16"/>
  <c r="P2549" i="16" s="1"/>
  <c r="N2634" i="16"/>
  <c r="I2634" i="16" s="1"/>
  <c r="N556" i="16"/>
  <c r="I556" i="16" s="1"/>
  <c r="N956" i="16"/>
  <c r="I956" i="16" s="1"/>
  <c r="Q956" i="16"/>
  <c r="S956" i="16" s="1"/>
  <c r="R956" i="16"/>
  <c r="P956" i="16" s="1"/>
  <c r="N1276" i="16"/>
  <c r="I1276" i="16" s="1"/>
  <c r="Q1276" i="16"/>
  <c r="S1276" i="16" s="1"/>
  <c r="R1276" i="16"/>
  <c r="P1276" i="16" s="1"/>
  <c r="N1497" i="16"/>
  <c r="I1497" i="16" s="1"/>
  <c r="N1704" i="16"/>
  <c r="I1704" i="16" s="1"/>
  <c r="Q1704" i="16"/>
  <c r="S1704" i="16" s="1"/>
  <c r="R1704" i="16"/>
  <c r="P1704" i="16" s="1"/>
  <c r="N1897" i="16"/>
  <c r="I1897" i="16" s="1"/>
  <c r="N2042" i="16"/>
  <c r="I2042" i="16" s="1"/>
  <c r="N2177" i="16"/>
  <c r="I2177" i="16" s="1"/>
  <c r="N2274" i="16"/>
  <c r="I2274" i="16" s="1"/>
  <c r="Q2274" i="16"/>
  <c r="S2274" i="16" s="1"/>
  <c r="R2274" i="16"/>
  <c r="P2274" i="16" s="1"/>
  <c r="N2360" i="16"/>
  <c r="I2360" i="16" s="1"/>
  <c r="Q2360" i="16"/>
  <c r="S2360" i="16" s="1"/>
  <c r="R2360" i="16"/>
  <c r="P2360" i="16" s="1"/>
  <c r="Q2445" i="16"/>
  <c r="S2445" i="16" s="1"/>
  <c r="R2445" i="16"/>
  <c r="P2445" i="16" s="1"/>
  <c r="N2530" i="16"/>
  <c r="I2530" i="16" s="1"/>
  <c r="Q2530" i="16"/>
  <c r="S2530" i="16" s="1"/>
  <c r="R2530" i="16"/>
  <c r="P2530" i="16" s="1"/>
  <c r="N2616" i="16"/>
  <c r="I2616" i="16" s="1"/>
  <c r="Q2616" i="16"/>
  <c r="S2616" i="16" s="1"/>
  <c r="R2616" i="16"/>
  <c r="P2616" i="16" s="1"/>
  <c r="N419" i="16"/>
  <c r="I419" i="16" s="1"/>
  <c r="Q419" i="16"/>
  <c r="S419" i="16" s="1"/>
  <c r="R419" i="16"/>
  <c r="P419" i="16" s="1"/>
  <c r="N865" i="16"/>
  <c r="I865" i="16" s="1"/>
  <c r="Q865" i="16"/>
  <c r="S865" i="16" s="1"/>
  <c r="R865" i="16"/>
  <c r="P865" i="16" s="1"/>
  <c r="N1218" i="16"/>
  <c r="I1218" i="16" s="1"/>
  <c r="Q1218" i="16"/>
  <c r="S1218" i="16" s="1"/>
  <c r="R1218" i="16"/>
  <c r="P1218" i="16" s="1"/>
  <c r="N1449" i="16"/>
  <c r="I1449" i="16" s="1"/>
  <c r="N1656" i="16"/>
  <c r="I1656" i="16" s="1"/>
  <c r="N1858" i="16"/>
  <c r="I1858" i="16" s="1"/>
  <c r="Q1858" i="16"/>
  <c r="S1858" i="16" s="1"/>
  <c r="R1858" i="16"/>
  <c r="P1858" i="16" s="1"/>
  <c r="Q2009" i="16"/>
  <c r="S2009" i="16" s="1"/>
  <c r="N2009" i="16"/>
  <c r="I2009" i="16" s="1"/>
  <c r="R2009" i="16"/>
  <c r="P2009" i="16" s="1"/>
  <c r="N2146" i="16"/>
  <c r="I2146" i="16" s="1"/>
  <c r="Q2146" i="16"/>
  <c r="S2146" i="16" s="1"/>
  <c r="R2146" i="16"/>
  <c r="P2146" i="16" s="1"/>
  <c r="N2255" i="16"/>
  <c r="I2255" i="16" s="1"/>
  <c r="Q2255" i="16"/>
  <c r="S2255" i="16" s="1"/>
  <c r="R2255" i="16"/>
  <c r="P2255" i="16" s="1"/>
  <c r="N2339" i="16"/>
  <c r="I2339" i="16" s="1"/>
  <c r="Q2339" i="16"/>
  <c r="S2339" i="16" s="1"/>
  <c r="R2339" i="16"/>
  <c r="P2339" i="16" s="1"/>
  <c r="N2425" i="16"/>
  <c r="I2425" i="16" s="1"/>
  <c r="Q2425" i="16"/>
  <c r="S2425" i="16" s="1"/>
  <c r="R2425" i="16"/>
  <c r="P2425" i="16" s="1"/>
  <c r="N2511" i="16"/>
  <c r="I2511" i="16" s="1"/>
  <c r="N2595" i="16"/>
  <c r="I2595" i="16" s="1"/>
  <c r="Q2595" i="16"/>
  <c r="S2595" i="16" s="1"/>
  <c r="R2595" i="16"/>
  <c r="P2595" i="16" s="1"/>
  <c r="N233" i="16"/>
  <c r="I233" i="16" s="1"/>
  <c r="N1138" i="16"/>
  <c r="I1138" i="16" s="1"/>
  <c r="N1401" i="16"/>
  <c r="I1401" i="16" s="1"/>
  <c r="N1608" i="16"/>
  <c r="I1608" i="16" s="1"/>
  <c r="N1810" i="16"/>
  <c r="I1810" i="16" s="1"/>
  <c r="N1978" i="16"/>
  <c r="I1978" i="16" s="1"/>
  <c r="N2114" i="16"/>
  <c r="I2114" i="16" s="1"/>
  <c r="Q2114" i="16"/>
  <c r="S2114" i="16" s="1"/>
  <c r="R2114" i="16"/>
  <c r="P2114" i="16" s="1"/>
  <c r="N2234" i="16"/>
  <c r="I2234" i="16" s="1"/>
  <c r="N2320" i="16"/>
  <c r="I2320" i="16" s="1"/>
  <c r="Q2320" i="16"/>
  <c r="S2320" i="16" s="1"/>
  <c r="R2320" i="16"/>
  <c r="P2320" i="16" s="1"/>
  <c r="Q2405" i="16"/>
  <c r="S2405" i="16" s="1"/>
  <c r="R2405" i="16"/>
  <c r="P2405" i="16" s="1"/>
  <c r="N2490" i="16"/>
  <c r="I2490" i="16" s="1"/>
  <c r="Q2490" i="16"/>
  <c r="S2490" i="16" s="1"/>
  <c r="R2490" i="16"/>
  <c r="P2490" i="16" s="1"/>
  <c r="N2576" i="16"/>
  <c r="I2576" i="16" s="1"/>
  <c r="R2576" i="16"/>
  <c r="P2576" i="16" s="1"/>
  <c r="Q2576" i="16"/>
  <c r="S2576" i="16" s="1"/>
  <c r="Q29" i="16"/>
  <c r="S29" i="16" s="1"/>
  <c r="R29" i="16"/>
  <c r="P29" i="16" s="1"/>
  <c r="N698" i="16"/>
  <c r="I698" i="16" s="1"/>
  <c r="Q698" i="16"/>
  <c r="S698" i="16" s="1"/>
  <c r="R698" i="16"/>
  <c r="P698" i="16" s="1"/>
  <c r="N1068" i="16"/>
  <c r="I1068" i="16" s="1"/>
  <c r="Q1068" i="16"/>
  <c r="S1068" i="16" s="1"/>
  <c r="R1068" i="16"/>
  <c r="P1068" i="16" s="1"/>
  <c r="N1356" i="16"/>
  <c r="I1356" i="16" s="1"/>
  <c r="Q1356" i="16"/>
  <c r="S1356" i="16" s="1"/>
  <c r="R1356" i="16"/>
  <c r="P1356" i="16" s="1"/>
  <c r="N1562" i="16"/>
  <c r="I1562" i="16" s="1"/>
  <c r="N1769" i="16"/>
  <c r="I1769" i="16" s="1"/>
  <c r="N1952" i="16"/>
  <c r="I1952" i="16" s="1"/>
  <c r="Q2085" i="16"/>
  <c r="S2085" i="16" s="1"/>
  <c r="R2085" i="16"/>
  <c r="P2085" i="16" s="1"/>
  <c r="N2214" i="16"/>
  <c r="I2214" i="16" s="1"/>
  <c r="N2303" i="16"/>
  <c r="I2303" i="16" s="1"/>
  <c r="N2387" i="16"/>
  <c r="I2387" i="16" s="1"/>
  <c r="Q2387" i="16"/>
  <c r="S2387" i="16" s="1"/>
  <c r="R2387" i="16"/>
  <c r="P2387" i="16" s="1"/>
  <c r="N2473" i="16"/>
  <c r="I2473" i="16" s="1"/>
  <c r="N2559" i="16"/>
  <c r="I2559" i="16" s="1"/>
  <c r="Q2559" i="16"/>
  <c r="S2559" i="16" s="1"/>
  <c r="R2559" i="16"/>
  <c r="P2559" i="16" s="1"/>
  <c r="N2643" i="16"/>
  <c r="I2643" i="16" s="1"/>
  <c r="N1106" i="16"/>
  <c r="I1106" i="16" s="1"/>
  <c r="N1722" i="16"/>
  <c r="I1722" i="16" s="1"/>
  <c r="Q1722" i="16"/>
  <c r="S1722" i="16" s="1"/>
  <c r="R1722" i="16"/>
  <c r="P1722" i="16" s="1"/>
  <c r="Q2397" i="16"/>
  <c r="S2397" i="16" s="1"/>
  <c r="R2397" i="16"/>
  <c r="P2397" i="16" s="1"/>
  <c r="N2625" i="16"/>
  <c r="I2625" i="16" s="1"/>
  <c r="Q2625" i="16"/>
  <c r="S2625" i="16" s="1"/>
  <c r="R2625" i="16"/>
  <c r="P2625" i="16" s="1"/>
  <c r="N1146" i="16"/>
  <c r="I1146" i="16" s="1"/>
  <c r="N1738" i="16"/>
  <c r="I1738" i="16" s="1"/>
  <c r="N2160" i="16"/>
  <c r="I2160" i="16" s="1"/>
  <c r="Q2160" i="16"/>
  <c r="S2160" i="16" s="1"/>
  <c r="R2160" i="16"/>
  <c r="P2160" i="16" s="1"/>
  <c r="N2407" i="16"/>
  <c r="I2407" i="16" s="1"/>
  <c r="R2407" i="16"/>
  <c r="P2407" i="16" s="1"/>
  <c r="Q2407" i="16"/>
  <c r="S2407" i="16" s="1"/>
  <c r="N2632" i="16"/>
  <c r="I2632" i="16" s="1"/>
  <c r="N1258" i="16"/>
  <c r="I1258" i="16" s="1"/>
  <c r="N1817" i="16"/>
  <c r="I1817" i="16" s="1"/>
  <c r="Q1817" i="16"/>
  <c r="S1817" i="16" s="1"/>
  <c r="R1817" i="16"/>
  <c r="P1817" i="16" s="1"/>
  <c r="N2204" i="16"/>
  <c r="I2204" i="16" s="1"/>
  <c r="N2439" i="16"/>
  <c r="I2439" i="16" s="1"/>
  <c r="Q2439" i="16"/>
  <c r="S2439" i="16" s="1"/>
  <c r="R2439" i="16"/>
  <c r="P2439" i="16" s="1"/>
  <c r="N4" i="16"/>
  <c r="I4" i="16" s="1"/>
  <c r="N1260" i="16"/>
  <c r="I1260" i="16" s="1"/>
  <c r="N1826" i="16"/>
  <c r="I1826" i="16" s="1"/>
  <c r="N2212" i="16"/>
  <c r="I2212" i="16" s="1"/>
  <c r="N2440" i="16"/>
  <c r="I2440" i="16" s="1"/>
  <c r="Q2440" i="16"/>
  <c r="S2440" i="16" s="1"/>
  <c r="R2440" i="16"/>
  <c r="P2440" i="16" s="1"/>
  <c r="N118" i="16"/>
  <c r="I118" i="16" s="1"/>
  <c r="N1292" i="16"/>
  <c r="I1292" i="16" s="1"/>
  <c r="Q1292" i="16"/>
  <c r="S1292" i="16" s="1"/>
  <c r="R1292" i="16"/>
  <c r="P1292" i="16" s="1"/>
  <c r="N1850" i="16"/>
  <c r="I1850" i="16" s="1"/>
  <c r="N2224" i="16"/>
  <c r="I2224" i="16" s="1"/>
  <c r="Q2224" i="16"/>
  <c r="S2224" i="16" s="1"/>
  <c r="R2224" i="16"/>
  <c r="P2224" i="16" s="1"/>
  <c r="N2450" i="16"/>
  <c r="I2450" i="16" s="1"/>
  <c r="N11" i="16"/>
  <c r="I11" i="16" s="1"/>
  <c r="Q11" i="16"/>
  <c r="S11" i="16" s="1"/>
  <c r="R11" i="16"/>
  <c r="P11" i="16" s="1"/>
  <c r="N2092" i="16"/>
  <c r="I2092" i="16" s="1"/>
  <c r="Q2092" i="16"/>
  <c r="S2092" i="16" s="1"/>
  <c r="R2092" i="16"/>
  <c r="P2092" i="16" s="1"/>
  <c r="N707" i="16"/>
  <c r="I707" i="16" s="1"/>
  <c r="N2231" i="16"/>
  <c r="I2231" i="16" s="1"/>
  <c r="Q2231" i="16"/>
  <c r="S2231" i="16" s="1"/>
  <c r="R2231" i="16"/>
  <c r="P2231" i="16" s="1"/>
  <c r="N1082" i="16"/>
  <c r="I1082" i="16" s="1"/>
  <c r="N2315" i="16"/>
  <c r="I2315" i="16" s="1"/>
  <c r="N1368" i="16"/>
  <c r="I1368" i="16" s="1"/>
  <c r="Q1368" i="16"/>
  <c r="S1368" i="16" s="1"/>
  <c r="R1368" i="16"/>
  <c r="P1368" i="16" s="1"/>
  <c r="N2401" i="16"/>
  <c r="I2401" i="16" s="1"/>
  <c r="Q2401" i="16"/>
  <c r="S2401" i="16" s="1"/>
  <c r="R2401" i="16"/>
  <c r="P2401" i="16" s="1"/>
  <c r="N1634" i="16"/>
  <c r="I1634" i="16" s="1"/>
  <c r="N2504" i="16"/>
  <c r="I2504" i="16" s="1"/>
  <c r="N1186" i="16"/>
  <c r="I1186" i="16" s="1"/>
  <c r="N2108" i="16"/>
  <c r="I2108" i="16" s="1"/>
  <c r="Q2108" i="16"/>
  <c r="S2108" i="16" s="1"/>
  <c r="R2108" i="16"/>
  <c r="P2108" i="16" s="1"/>
  <c r="N2600" i="16"/>
  <c r="I2600" i="16" s="1"/>
  <c r="Q2600" i="16"/>
  <c r="S2600" i="16" s="1"/>
  <c r="R2600" i="16"/>
  <c r="P2600" i="16" s="1"/>
  <c r="N2217" i="16"/>
  <c r="I2217" i="16" s="1"/>
  <c r="Q2217" i="16"/>
  <c r="S2217" i="16" s="1"/>
  <c r="R2217" i="16"/>
  <c r="P2217" i="16" s="1"/>
  <c r="N2571" i="16"/>
  <c r="I2571" i="16" s="1"/>
  <c r="Q2571" i="16"/>
  <c r="S2571" i="16" s="1"/>
  <c r="R2571" i="16"/>
  <c r="P2571" i="16" s="1"/>
  <c r="N23" i="16"/>
  <c r="I23" i="16" s="1"/>
  <c r="Q23" i="16"/>
  <c r="S23" i="16" s="1"/>
  <c r="R23" i="16"/>
  <c r="P23" i="16" s="1"/>
  <c r="N87" i="16"/>
  <c r="I87" i="16" s="1"/>
  <c r="N151" i="16"/>
  <c r="I151" i="16" s="1"/>
  <c r="R151" i="16"/>
  <c r="P151" i="16" s="1"/>
  <c r="Q151" i="16"/>
  <c r="S151" i="16" s="1"/>
  <c r="N215" i="16"/>
  <c r="I215" i="16" s="1"/>
  <c r="R215" i="16"/>
  <c r="P215" i="16" s="1"/>
  <c r="Q215" i="16"/>
  <c r="S215" i="16" s="1"/>
  <c r="N279" i="16"/>
  <c r="I279" i="16" s="1"/>
  <c r="N343" i="16"/>
  <c r="I343" i="16" s="1"/>
  <c r="R343" i="16"/>
  <c r="P343" i="16" s="1"/>
  <c r="Q343" i="16"/>
  <c r="S343" i="16" s="1"/>
  <c r="N407" i="16"/>
  <c r="I407" i="16" s="1"/>
  <c r="R407" i="16"/>
  <c r="P407" i="16" s="1"/>
  <c r="Q407" i="16"/>
  <c r="S407" i="16" s="1"/>
  <c r="N471" i="16"/>
  <c r="I471" i="16" s="1"/>
  <c r="N40" i="16"/>
  <c r="I40" i="16" s="1"/>
  <c r="N104" i="16"/>
  <c r="I104" i="16" s="1"/>
  <c r="N168" i="16"/>
  <c r="I168" i="16" s="1"/>
  <c r="N232" i="16"/>
  <c r="I232" i="16" s="1"/>
  <c r="N296" i="16"/>
  <c r="I296" i="16" s="1"/>
  <c r="Q296" i="16"/>
  <c r="S296" i="16" s="1"/>
  <c r="R296" i="16"/>
  <c r="P296" i="16" s="1"/>
  <c r="N360" i="16"/>
  <c r="I360" i="16" s="1"/>
  <c r="N424" i="16"/>
  <c r="I424" i="16" s="1"/>
  <c r="Q424" i="16"/>
  <c r="S424" i="16" s="1"/>
  <c r="R424" i="16"/>
  <c r="P424" i="16" s="1"/>
  <c r="N27" i="16"/>
  <c r="I27" i="16" s="1"/>
  <c r="Q27" i="16"/>
  <c r="S27" i="16" s="1"/>
  <c r="R27" i="16"/>
  <c r="P27" i="16" s="1"/>
  <c r="N113" i="16"/>
  <c r="I113" i="16" s="1"/>
  <c r="Q197" i="16"/>
  <c r="S197" i="16" s="1"/>
  <c r="R197" i="16"/>
  <c r="P197" i="16" s="1"/>
  <c r="N283" i="16"/>
  <c r="I283" i="16" s="1"/>
  <c r="N369" i="16"/>
  <c r="I369" i="16" s="1"/>
  <c r="N84" i="16"/>
  <c r="I84" i="16" s="1"/>
  <c r="N170" i="16"/>
  <c r="I170" i="16" s="1"/>
  <c r="N254" i="16"/>
  <c r="I254" i="16" s="1"/>
  <c r="N340" i="16"/>
  <c r="I340" i="16" s="1"/>
  <c r="N426" i="16"/>
  <c r="I426" i="16" s="1"/>
  <c r="Q426" i="16"/>
  <c r="S426" i="16" s="1"/>
  <c r="R426" i="16"/>
  <c r="P426" i="16" s="1"/>
  <c r="N504" i="16"/>
  <c r="I504" i="16" s="1"/>
  <c r="N568" i="16"/>
  <c r="I568" i="16" s="1"/>
  <c r="N632" i="16"/>
  <c r="I632" i="16" s="1"/>
  <c r="Q632" i="16"/>
  <c r="S632" i="16" s="1"/>
  <c r="R632" i="16"/>
  <c r="P632" i="16" s="1"/>
  <c r="N696" i="16"/>
  <c r="I696" i="16" s="1"/>
  <c r="Q696" i="16"/>
  <c r="S696" i="16" s="1"/>
  <c r="R696" i="16"/>
  <c r="P696" i="16" s="1"/>
  <c r="N760" i="16"/>
  <c r="I760" i="16" s="1"/>
  <c r="N824" i="16"/>
  <c r="I824" i="16" s="1"/>
  <c r="Q824" i="16"/>
  <c r="S824" i="16" s="1"/>
  <c r="R824" i="16"/>
  <c r="P824" i="16" s="1"/>
  <c r="N888" i="16"/>
  <c r="I888" i="16" s="1"/>
  <c r="Q888" i="16"/>
  <c r="S888" i="16" s="1"/>
  <c r="R888" i="16"/>
  <c r="P888" i="16" s="1"/>
  <c r="N952" i="16"/>
  <c r="I952" i="16" s="1"/>
  <c r="Q952" i="16"/>
  <c r="S952" i="16" s="1"/>
  <c r="R952" i="16"/>
  <c r="P952" i="16" s="1"/>
  <c r="N107" i="16"/>
  <c r="I107" i="16" s="1"/>
  <c r="Q107" i="16"/>
  <c r="S107" i="16" s="1"/>
  <c r="R107" i="16"/>
  <c r="P107" i="16" s="1"/>
  <c r="N220" i="16"/>
  <c r="I220" i="16" s="1"/>
  <c r="Q220" i="16"/>
  <c r="S220" i="16" s="1"/>
  <c r="R220" i="16"/>
  <c r="P220" i="16" s="1"/>
  <c r="Q333" i="16"/>
  <c r="S333" i="16" s="1"/>
  <c r="R333" i="16"/>
  <c r="P333" i="16" s="1"/>
  <c r="N522" i="16"/>
  <c r="I522" i="16" s="1"/>
  <c r="Q522" i="16"/>
  <c r="S522" i="16" s="1"/>
  <c r="R522" i="16"/>
  <c r="P522" i="16" s="1"/>
  <c r="N595" i="16"/>
  <c r="I595" i="16" s="1"/>
  <c r="N26" i="16"/>
  <c r="I26" i="16" s="1"/>
  <c r="N140" i="16"/>
  <c r="I140" i="16" s="1"/>
  <c r="Q253" i="16"/>
  <c r="S253" i="16" s="1"/>
  <c r="R253" i="16"/>
  <c r="P253" i="16" s="1"/>
  <c r="N366" i="16"/>
  <c r="I366" i="16" s="1"/>
  <c r="Q366" i="16"/>
  <c r="S366" i="16" s="1"/>
  <c r="R366" i="16"/>
  <c r="P366" i="16" s="1"/>
  <c r="N466" i="16"/>
  <c r="I466" i="16" s="1"/>
  <c r="Q466" i="16"/>
  <c r="S466" i="16" s="1"/>
  <c r="R466" i="16"/>
  <c r="P466" i="16" s="1"/>
  <c r="N543" i="16"/>
  <c r="I543" i="16" s="1"/>
  <c r="N198" i="16"/>
  <c r="I198" i="16" s="1"/>
  <c r="N100" i="16"/>
  <c r="I100" i="16" s="1"/>
  <c r="N275" i="16"/>
  <c r="I275" i="16" s="1"/>
  <c r="N420" i="16"/>
  <c r="I420" i="16" s="1"/>
  <c r="Q420" i="16"/>
  <c r="S420" i="16" s="1"/>
  <c r="R420" i="16"/>
  <c r="P420" i="16" s="1"/>
  <c r="N699" i="16"/>
  <c r="I699" i="16" s="1"/>
  <c r="N772" i="16"/>
  <c r="I772" i="16" s="1"/>
  <c r="Q772" i="16"/>
  <c r="S772" i="16" s="1"/>
  <c r="R772" i="16"/>
  <c r="P772" i="16" s="1"/>
  <c r="Q845" i="16"/>
  <c r="S845" i="16" s="1"/>
  <c r="R845" i="16"/>
  <c r="P845" i="16" s="1"/>
  <c r="N918" i="16"/>
  <c r="I918" i="16" s="1"/>
  <c r="N987" i="16"/>
  <c r="I987" i="16" s="1"/>
  <c r="Q987" i="16"/>
  <c r="S987" i="16" s="1"/>
  <c r="R987" i="16"/>
  <c r="P987" i="16" s="1"/>
  <c r="N1051" i="16"/>
  <c r="I1051" i="16" s="1"/>
  <c r="N1115" i="16"/>
  <c r="I1115" i="16" s="1"/>
  <c r="Q1115" i="16"/>
  <c r="S1115" i="16" s="1"/>
  <c r="R1115" i="16"/>
  <c r="P1115" i="16" s="1"/>
  <c r="N1179" i="16"/>
  <c r="I1179" i="16" s="1"/>
  <c r="Q1179" i="16"/>
  <c r="S1179" i="16" s="1"/>
  <c r="R1179" i="16"/>
  <c r="P1179" i="16" s="1"/>
  <c r="N1243" i="16"/>
  <c r="I1243" i="16" s="1"/>
  <c r="Q1243" i="16"/>
  <c r="S1243" i="16" s="1"/>
  <c r="R1243" i="16"/>
  <c r="P1243" i="16" s="1"/>
  <c r="N1307" i="16"/>
  <c r="I1307" i="16" s="1"/>
  <c r="Q1307" i="16"/>
  <c r="S1307" i="16" s="1"/>
  <c r="R1307" i="16"/>
  <c r="P1307" i="16" s="1"/>
  <c r="N1371" i="16"/>
  <c r="I1371" i="16" s="1"/>
  <c r="N1435" i="16"/>
  <c r="I1435" i="16" s="1"/>
  <c r="N1499" i="16"/>
  <c r="I1499" i="16" s="1"/>
  <c r="Q1499" i="16"/>
  <c r="S1499" i="16" s="1"/>
  <c r="R1499" i="16"/>
  <c r="P1499" i="16" s="1"/>
  <c r="N1563" i="16"/>
  <c r="I1563" i="16" s="1"/>
  <c r="Q1563" i="16"/>
  <c r="S1563" i="16" s="1"/>
  <c r="R1563" i="16"/>
  <c r="P1563" i="16" s="1"/>
  <c r="N1627" i="16"/>
  <c r="I1627" i="16" s="1"/>
  <c r="Q1627" i="16"/>
  <c r="S1627" i="16" s="1"/>
  <c r="R1627" i="16"/>
  <c r="P1627" i="16" s="1"/>
  <c r="N1691" i="16"/>
  <c r="I1691" i="16" s="1"/>
  <c r="N1755" i="16"/>
  <c r="I1755" i="16" s="1"/>
  <c r="Q1755" i="16"/>
  <c r="S1755" i="16" s="1"/>
  <c r="R1755" i="16"/>
  <c r="P1755" i="16" s="1"/>
  <c r="N1819" i="16"/>
  <c r="I1819" i="16" s="1"/>
  <c r="Q1819" i="16"/>
  <c r="S1819" i="16" s="1"/>
  <c r="R1819" i="16"/>
  <c r="P1819" i="16" s="1"/>
  <c r="N1883" i="16"/>
  <c r="I1883" i="16" s="1"/>
  <c r="N1947" i="16"/>
  <c r="I1947" i="16" s="1"/>
  <c r="Q1947" i="16"/>
  <c r="S1947" i="16" s="1"/>
  <c r="R1947" i="16"/>
  <c r="P1947" i="16" s="1"/>
  <c r="N2011" i="16"/>
  <c r="I2011" i="16" s="1"/>
  <c r="Q2011" i="16"/>
  <c r="S2011" i="16" s="1"/>
  <c r="R2011" i="16"/>
  <c r="P2011" i="16" s="1"/>
  <c r="N2075" i="16"/>
  <c r="I2075" i="16" s="1"/>
  <c r="Q2075" i="16"/>
  <c r="S2075" i="16" s="1"/>
  <c r="R2075" i="16"/>
  <c r="P2075" i="16" s="1"/>
  <c r="N2139" i="16"/>
  <c r="I2139" i="16" s="1"/>
  <c r="N2203" i="16"/>
  <c r="I2203" i="16" s="1"/>
  <c r="Q2203" i="16"/>
  <c r="S2203" i="16" s="1"/>
  <c r="R2203" i="16"/>
  <c r="P2203" i="16" s="1"/>
  <c r="N105" i="16"/>
  <c r="I105" i="16" s="1"/>
  <c r="Q105" i="16"/>
  <c r="S105" i="16" s="1"/>
  <c r="R105" i="16"/>
  <c r="P105" i="16" s="1"/>
  <c r="N281" i="16"/>
  <c r="I281" i="16" s="1"/>
  <c r="N422" i="16"/>
  <c r="I422" i="16" s="1"/>
  <c r="Q422" i="16"/>
  <c r="S422" i="16" s="1"/>
  <c r="R422" i="16"/>
  <c r="P422" i="16" s="1"/>
  <c r="N537" i="16"/>
  <c r="I537" i="16" s="1"/>
  <c r="Q537" i="16"/>
  <c r="S537" i="16" s="1"/>
  <c r="R537" i="16"/>
  <c r="P537" i="16" s="1"/>
  <c r="N625" i="16"/>
  <c r="I625" i="16" s="1"/>
  <c r="N774" i="16"/>
  <c r="I774" i="16" s="1"/>
  <c r="N847" i="16"/>
  <c r="I847" i="16" s="1"/>
  <c r="R847" i="16"/>
  <c r="P847" i="16" s="1"/>
  <c r="Q847" i="16"/>
  <c r="S847" i="16" s="1"/>
  <c r="N921" i="16"/>
  <c r="I921" i="16" s="1"/>
  <c r="Q921" i="16"/>
  <c r="S921" i="16" s="1"/>
  <c r="R921" i="16"/>
  <c r="P921" i="16" s="1"/>
  <c r="Q989" i="16"/>
  <c r="S989" i="16" s="1"/>
  <c r="R989" i="16"/>
  <c r="P989" i="16" s="1"/>
  <c r="Q1117" i="16"/>
  <c r="S1117" i="16" s="1"/>
  <c r="R1117" i="16"/>
  <c r="P1117" i="16" s="1"/>
  <c r="Q1181" i="16"/>
  <c r="S1181" i="16" s="1"/>
  <c r="R1181" i="16"/>
  <c r="P1181" i="16" s="1"/>
  <c r="Q1245" i="16"/>
  <c r="S1245" i="16" s="1"/>
  <c r="R1245" i="16"/>
  <c r="P1245" i="16" s="1"/>
  <c r="Q1501" i="16"/>
  <c r="S1501" i="16" s="1"/>
  <c r="R1501" i="16"/>
  <c r="P1501" i="16" s="1"/>
  <c r="Q1629" i="16"/>
  <c r="S1629" i="16" s="1"/>
  <c r="R1629" i="16"/>
  <c r="P1629" i="16" s="1"/>
  <c r="Q1757" i="16"/>
  <c r="S1757" i="16" s="1"/>
  <c r="R1757" i="16"/>
  <c r="P1757" i="16" s="1"/>
  <c r="Q1821" i="16"/>
  <c r="S1821" i="16" s="1"/>
  <c r="R1821" i="16"/>
  <c r="P1821" i="16" s="1"/>
  <c r="N86" i="16"/>
  <c r="I86" i="16" s="1"/>
  <c r="N265" i="16"/>
  <c r="I265" i="16" s="1"/>
  <c r="Q265" i="16"/>
  <c r="S265" i="16" s="1"/>
  <c r="R265" i="16"/>
  <c r="P265" i="16" s="1"/>
  <c r="N410" i="16"/>
  <c r="I410" i="16" s="1"/>
  <c r="N526" i="16"/>
  <c r="I526" i="16" s="1"/>
  <c r="R526" i="16"/>
  <c r="P526" i="16" s="1"/>
  <c r="Q526" i="16"/>
  <c r="S526" i="16" s="1"/>
  <c r="N615" i="16"/>
  <c r="I615" i="16" s="1"/>
  <c r="Q615" i="16"/>
  <c r="S615" i="16" s="1"/>
  <c r="R615" i="16"/>
  <c r="P615" i="16" s="1"/>
  <c r="N766" i="16"/>
  <c r="I766" i="16" s="1"/>
  <c r="Q766" i="16"/>
  <c r="S766" i="16" s="1"/>
  <c r="R766" i="16"/>
  <c r="P766" i="16" s="1"/>
  <c r="N839" i="16"/>
  <c r="I839" i="16" s="1"/>
  <c r="R839" i="16"/>
  <c r="P839" i="16" s="1"/>
  <c r="Q839" i="16"/>
  <c r="S839" i="16" s="1"/>
  <c r="N913" i="16"/>
  <c r="I913" i="16" s="1"/>
  <c r="Q913" i="16"/>
  <c r="S913" i="16" s="1"/>
  <c r="R913" i="16"/>
  <c r="P913" i="16" s="1"/>
  <c r="N982" i="16"/>
  <c r="I982" i="16" s="1"/>
  <c r="N1046" i="16"/>
  <c r="I1046" i="16" s="1"/>
  <c r="Q1046" i="16"/>
  <c r="S1046" i="16" s="1"/>
  <c r="R1046" i="16"/>
  <c r="P1046" i="16" s="1"/>
  <c r="N1110" i="16"/>
  <c r="I1110" i="16" s="1"/>
  <c r="Q1110" i="16"/>
  <c r="S1110" i="16" s="1"/>
  <c r="R1110" i="16"/>
  <c r="P1110" i="16" s="1"/>
  <c r="N1174" i="16"/>
  <c r="I1174" i="16" s="1"/>
  <c r="N1238" i="16"/>
  <c r="I1238" i="16" s="1"/>
  <c r="N1302" i="16"/>
  <c r="I1302" i="16" s="1"/>
  <c r="N1366" i="16"/>
  <c r="I1366" i="16" s="1"/>
  <c r="Q1366" i="16"/>
  <c r="S1366" i="16" s="1"/>
  <c r="R1366" i="16"/>
  <c r="P1366" i="16" s="1"/>
  <c r="N1430" i="16"/>
  <c r="I1430" i="16" s="1"/>
  <c r="N1494" i="16"/>
  <c r="I1494" i="16" s="1"/>
  <c r="Q1494" i="16"/>
  <c r="S1494" i="16" s="1"/>
  <c r="R1494" i="16"/>
  <c r="P1494" i="16" s="1"/>
  <c r="N1558" i="16"/>
  <c r="I1558" i="16" s="1"/>
  <c r="N1622" i="16"/>
  <c r="I1622" i="16" s="1"/>
  <c r="N1686" i="16"/>
  <c r="I1686" i="16" s="1"/>
  <c r="N1750" i="16"/>
  <c r="I1750" i="16" s="1"/>
  <c r="Q1750" i="16"/>
  <c r="S1750" i="16" s="1"/>
  <c r="R1750" i="16"/>
  <c r="P1750" i="16" s="1"/>
  <c r="N1814" i="16"/>
  <c r="I1814" i="16" s="1"/>
  <c r="N1878" i="16"/>
  <c r="I1878" i="16" s="1"/>
  <c r="N1942" i="16"/>
  <c r="I1942" i="16" s="1"/>
  <c r="N2006" i="16"/>
  <c r="I2006" i="16" s="1"/>
  <c r="N2070" i="16"/>
  <c r="I2070" i="16" s="1"/>
  <c r="N2134" i="16"/>
  <c r="I2134" i="16" s="1"/>
  <c r="R2134" i="16"/>
  <c r="P2134" i="16" s="1"/>
  <c r="Q2134" i="16"/>
  <c r="S2134" i="16" s="1"/>
  <c r="N89" i="16"/>
  <c r="I89" i="16" s="1"/>
  <c r="N267" i="16"/>
  <c r="I267" i="16" s="1"/>
  <c r="N411" i="16"/>
  <c r="I411" i="16" s="1"/>
  <c r="Q411" i="16"/>
  <c r="S411" i="16" s="1"/>
  <c r="R411" i="16"/>
  <c r="P411" i="16" s="1"/>
  <c r="N527" i="16"/>
  <c r="I527" i="16" s="1"/>
  <c r="N617" i="16"/>
  <c r="I617" i="16" s="1"/>
  <c r="N694" i="16"/>
  <c r="I694" i="16" s="1"/>
  <c r="Q694" i="16"/>
  <c r="S694" i="16" s="1"/>
  <c r="R694" i="16"/>
  <c r="P694" i="16" s="1"/>
  <c r="N767" i="16"/>
  <c r="I767" i="16" s="1"/>
  <c r="N841" i="16"/>
  <c r="I841" i="16" s="1"/>
  <c r="Q841" i="16"/>
  <c r="S841" i="16" s="1"/>
  <c r="R841" i="16"/>
  <c r="P841" i="16" s="1"/>
  <c r="N914" i="16"/>
  <c r="I914" i="16" s="1"/>
  <c r="N983" i="16"/>
  <c r="I983" i="16" s="1"/>
  <c r="N1047" i="16"/>
  <c r="I1047" i="16" s="1"/>
  <c r="N1111" i="16"/>
  <c r="I1111" i="16" s="1"/>
  <c r="Q1111" i="16"/>
  <c r="S1111" i="16" s="1"/>
  <c r="R1111" i="16"/>
  <c r="P1111" i="16" s="1"/>
  <c r="N1175" i="16"/>
  <c r="I1175" i="16" s="1"/>
  <c r="Q1175" i="16"/>
  <c r="S1175" i="16" s="1"/>
  <c r="R1175" i="16"/>
  <c r="P1175" i="16" s="1"/>
  <c r="N1239" i="16"/>
  <c r="I1239" i="16" s="1"/>
  <c r="Q1239" i="16"/>
  <c r="S1239" i="16" s="1"/>
  <c r="R1239" i="16"/>
  <c r="P1239" i="16" s="1"/>
  <c r="N1303" i="16"/>
  <c r="I1303" i="16" s="1"/>
  <c r="Q1303" i="16"/>
  <c r="S1303" i="16" s="1"/>
  <c r="R1303" i="16"/>
  <c r="P1303" i="16" s="1"/>
  <c r="N1367" i="16"/>
  <c r="I1367" i="16" s="1"/>
  <c r="Q1367" i="16"/>
  <c r="S1367" i="16" s="1"/>
  <c r="R1367" i="16"/>
  <c r="P1367" i="16" s="1"/>
  <c r="N1431" i="16"/>
  <c r="I1431" i="16" s="1"/>
  <c r="N1495" i="16"/>
  <c r="I1495" i="16" s="1"/>
  <c r="N1559" i="16"/>
  <c r="I1559" i="16" s="1"/>
  <c r="Q1559" i="16"/>
  <c r="S1559" i="16" s="1"/>
  <c r="R1559" i="16"/>
  <c r="P1559" i="16" s="1"/>
  <c r="N1623" i="16"/>
  <c r="I1623" i="16" s="1"/>
  <c r="Q1623" i="16"/>
  <c r="S1623" i="16" s="1"/>
  <c r="R1623" i="16"/>
  <c r="P1623" i="16" s="1"/>
  <c r="N1687" i="16"/>
  <c r="I1687" i="16" s="1"/>
  <c r="Q1687" i="16"/>
  <c r="S1687" i="16" s="1"/>
  <c r="R1687" i="16"/>
  <c r="P1687" i="16" s="1"/>
  <c r="N1751" i="16"/>
  <c r="I1751" i="16" s="1"/>
  <c r="Q1751" i="16"/>
  <c r="S1751" i="16" s="1"/>
  <c r="R1751" i="16"/>
  <c r="P1751" i="16" s="1"/>
  <c r="N1815" i="16"/>
  <c r="I1815" i="16" s="1"/>
  <c r="Q1815" i="16"/>
  <c r="S1815" i="16" s="1"/>
  <c r="R1815" i="16"/>
  <c r="P1815" i="16" s="1"/>
  <c r="N1879" i="16"/>
  <c r="I1879" i="16" s="1"/>
  <c r="Q1879" i="16"/>
  <c r="S1879" i="16" s="1"/>
  <c r="R1879" i="16"/>
  <c r="P1879" i="16" s="1"/>
  <c r="N1943" i="16"/>
  <c r="I1943" i="16" s="1"/>
  <c r="Q1943" i="16"/>
  <c r="S1943" i="16" s="1"/>
  <c r="R1943" i="16"/>
  <c r="P1943" i="16" s="1"/>
  <c r="N2007" i="16"/>
  <c r="I2007" i="16" s="1"/>
  <c r="Q2007" i="16"/>
  <c r="S2007" i="16" s="1"/>
  <c r="R2007" i="16"/>
  <c r="P2007" i="16" s="1"/>
  <c r="N2071" i="16"/>
  <c r="I2071" i="16" s="1"/>
  <c r="Q2071" i="16"/>
  <c r="S2071" i="16" s="1"/>
  <c r="R2071" i="16"/>
  <c r="P2071" i="16" s="1"/>
  <c r="N2135" i="16"/>
  <c r="I2135" i="16" s="1"/>
  <c r="N2199" i="16"/>
  <c r="I2199" i="16" s="1"/>
  <c r="Q2199" i="16"/>
  <c r="S2199" i="16" s="1"/>
  <c r="R2199" i="16"/>
  <c r="P2199" i="16" s="1"/>
  <c r="N252" i="16"/>
  <c r="I252" i="16" s="1"/>
  <c r="N518" i="16"/>
  <c r="I518" i="16" s="1"/>
  <c r="Q518" i="16"/>
  <c r="S518" i="16" s="1"/>
  <c r="R518" i="16"/>
  <c r="P518" i="16" s="1"/>
  <c r="N687" i="16"/>
  <c r="I687" i="16" s="1"/>
  <c r="Q687" i="16"/>
  <c r="S687" i="16" s="1"/>
  <c r="R687" i="16"/>
  <c r="P687" i="16" s="1"/>
  <c r="N834" i="16"/>
  <c r="I834" i="16" s="1"/>
  <c r="Q834" i="16"/>
  <c r="S834" i="16" s="1"/>
  <c r="R834" i="16"/>
  <c r="P834" i="16" s="1"/>
  <c r="N977" i="16"/>
  <c r="I977" i="16" s="1"/>
  <c r="Q977" i="16"/>
  <c r="S977" i="16" s="1"/>
  <c r="R977" i="16"/>
  <c r="P977" i="16" s="1"/>
  <c r="N1105" i="16"/>
  <c r="I1105" i="16" s="1"/>
  <c r="Q1105" i="16"/>
  <c r="S1105" i="16" s="1"/>
  <c r="R1105" i="16"/>
  <c r="P1105" i="16" s="1"/>
  <c r="N1233" i="16"/>
  <c r="I1233" i="16" s="1"/>
  <c r="Q1233" i="16"/>
  <c r="S1233" i="16" s="1"/>
  <c r="R1233" i="16"/>
  <c r="P1233" i="16" s="1"/>
  <c r="N1361" i="16"/>
  <c r="I1361" i="16" s="1"/>
  <c r="N1489" i="16"/>
  <c r="I1489" i="16" s="1"/>
  <c r="N1617" i="16"/>
  <c r="I1617" i="16" s="1"/>
  <c r="Q1617" i="16"/>
  <c r="S1617" i="16" s="1"/>
  <c r="R1617" i="16"/>
  <c r="P1617" i="16" s="1"/>
  <c r="N1745" i="16"/>
  <c r="I1745" i="16" s="1"/>
  <c r="Q1745" i="16"/>
  <c r="S1745" i="16" s="1"/>
  <c r="R1745" i="16"/>
  <c r="P1745" i="16" s="1"/>
  <c r="Q1869" i="16"/>
  <c r="S1869" i="16" s="1"/>
  <c r="R1869" i="16"/>
  <c r="P1869" i="16" s="1"/>
  <c r="N1972" i="16"/>
  <c r="I1972" i="16" s="1"/>
  <c r="N2074" i="16"/>
  <c r="I2074" i="16" s="1"/>
  <c r="N2176" i="16"/>
  <c r="I2176" i="16" s="1"/>
  <c r="Q2176" i="16"/>
  <c r="S2176" i="16" s="1"/>
  <c r="R2176" i="16"/>
  <c r="P2176" i="16" s="1"/>
  <c r="N2252" i="16"/>
  <c r="I2252" i="16" s="1"/>
  <c r="N2316" i="16"/>
  <c r="I2316" i="16" s="1"/>
  <c r="Q2316" i="16"/>
  <c r="S2316" i="16" s="1"/>
  <c r="R2316" i="16"/>
  <c r="P2316" i="16" s="1"/>
  <c r="N2380" i="16"/>
  <c r="I2380" i="16" s="1"/>
  <c r="Q2380" i="16"/>
  <c r="S2380" i="16" s="1"/>
  <c r="R2380" i="16"/>
  <c r="P2380" i="16" s="1"/>
  <c r="N2444" i="16"/>
  <c r="I2444" i="16" s="1"/>
  <c r="N2508" i="16"/>
  <c r="I2508" i="16" s="1"/>
  <c r="Q2508" i="16"/>
  <c r="S2508" i="16" s="1"/>
  <c r="R2508" i="16"/>
  <c r="P2508" i="16" s="1"/>
  <c r="N2572" i="16"/>
  <c r="I2572" i="16" s="1"/>
  <c r="Q2572" i="16"/>
  <c r="S2572" i="16" s="1"/>
  <c r="R2572" i="16"/>
  <c r="P2572" i="16" s="1"/>
  <c r="N2636" i="16"/>
  <c r="I2636" i="16" s="1"/>
  <c r="N259" i="16"/>
  <c r="I259" i="16" s="1"/>
  <c r="Q259" i="16"/>
  <c r="S259" i="16" s="1"/>
  <c r="R259" i="16"/>
  <c r="P259" i="16" s="1"/>
  <c r="N523" i="16"/>
  <c r="I523" i="16" s="1"/>
  <c r="Q523" i="16"/>
  <c r="S523" i="16" s="1"/>
  <c r="R523" i="16"/>
  <c r="P523" i="16" s="1"/>
  <c r="N691" i="16"/>
  <c r="I691" i="16" s="1"/>
  <c r="Q691" i="16"/>
  <c r="S691" i="16" s="1"/>
  <c r="R691" i="16"/>
  <c r="P691" i="16" s="1"/>
  <c r="Q837" i="16"/>
  <c r="S837" i="16" s="1"/>
  <c r="R837" i="16"/>
  <c r="P837" i="16" s="1"/>
  <c r="N980" i="16"/>
  <c r="I980" i="16" s="1"/>
  <c r="N1108" i="16"/>
  <c r="I1108" i="16" s="1"/>
  <c r="N1236" i="16"/>
  <c r="I1236" i="16" s="1"/>
  <c r="Q1236" i="16"/>
  <c r="S1236" i="16" s="1"/>
  <c r="R1236" i="16"/>
  <c r="P1236" i="16" s="1"/>
  <c r="N1364" i="16"/>
  <c r="I1364" i="16" s="1"/>
  <c r="Q1364" i="16"/>
  <c r="S1364" i="16" s="1"/>
  <c r="R1364" i="16"/>
  <c r="P1364" i="16" s="1"/>
  <c r="N1492" i="16"/>
  <c r="I1492" i="16" s="1"/>
  <c r="Q1492" i="16"/>
  <c r="S1492" i="16" s="1"/>
  <c r="R1492" i="16"/>
  <c r="P1492" i="16" s="1"/>
  <c r="N1620" i="16"/>
  <c r="I1620" i="16" s="1"/>
  <c r="N1748" i="16"/>
  <c r="I1748" i="16" s="1"/>
  <c r="N1873" i="16"/>
  <c r="I1873" i="16" s="1"/>
  <c r="Q1873" i="16"/>
  <c r="S1873" i="16" s="1"/>
  <c r="R1873" i="16"/>
  <c r="P1873" i="16" s="1"/>
  <c r="N1976" i="16"/>
  <c r="I1976" i="16" s="1"/>
  <c r="Q2077" i="16"/>
  <c r="S2077" i="16" s="1"/>
  <c r="R2077" i="16"/>
  <c r="P2077" i="16" s="1"/>
  <c r="N2178" i="16"/>
  <c r="I2178" i="16" s="1"/>
  <c r="Q2178" i="16"/>
  <c r="S2178" i="16" s="1"/>
  <c r="R2178" i="16"/>
  <c r="P2178" i="16" s="1"/>
  <c r="N2254" i="16"/>
  <c r="I2254" i="16" s="1"/>
  <c r="N2318" i="16"/>
  <c r="I2318" i="16" s="1"/>
  <c r="Q2318" i="16"/>
  <c r="S2318" i="16" s="1"/>
  <c r="R2318" i="16"/>
  <c r="P2318" i="16" s="1"/>
  <c r="N2382" i="16"/>
  <c r="I2382" i="16" s="1"/>
  <c r="N2446" i="16"/>
  <c r="I2446" i="16" s="1"/>
  <c r="N2510" i="16"/>
  <c r="I2510" i="16" s="1"/>
  <c r="Q2510" i="16"/>
  <c r="S2510" i="16" s="1"/>
  <c r="R2510" i="16"/>
  <c r="P2510" i="16" s="1"/>
  <c r="N2574" i="16"/>
  <c r="I2574" i="16" s="1"/>
  <c r="Q2574" i="16"/>
  <c r="S2574" i="16" s="1"/>
  <c r="R2574" i="16"/>
  <c r="P2574" i="16" s="1"/>
  <c r="N2638" i="16"/>
  <c r="I2638" i="16" s="1"/>
  <c r="Q2638" i="16"/>
  <c r="S2638" i="16" s="1"/>
  <c r="R2638" i="16"/>
  <c r="P2638" i="16" s="1"/>
  <c r="N529" i="16"/>
  <c r="I529" i="16" s="1"/>
  <c r="N695" i="16"/>
  <c r="I695" i="16" s="1"/>
  <c r="N842" i="16"/>
  <c r="I842" i="16" s="1"/>
  <c r="N984" i="16"/>
  <c r="I984" i="16" s="1"/>
  <c r="N1112" i="16"/>
  <c r="I1112" i="16" s="1"/>
  <c r="N1240" i="16"/>
  <c r="I1240" i="16" s="1"/>
  <c r="N46" i="16"/>
  <c r="I46" i="16" s="1"/>
  <c r="N385" i="16"/>
  <c r="I385" i="16" s="1"/>
  <c r="N598" i="16"/>
  <c r="I598" i="16" s="1"/>
  <c r="Q598" i="16"/>
  <c r="S598" i="16" s="1"/>
  <c r="R598" i="16"/>
  <c r="P598" i="16" s="1"/>
  <c r="N751" i="16"/>
  <c r="I751" i="16" s="1"/>
  <c r="R751" i="16"/>
  <c r="P751" i="16" s="1"/>
  <c r="Q751" i="16"/>
  <c r="S751" i="16" s="1"/>
  <c r="N898" i="16"/>
  <c r="I898" i="16" s="1"/>
  <c r="N1033" i="16"/>
  <c r="I1033" i="16" s="1"/>
  <c r="Q1033" i="16"/>
  <c r="S1033" i="16" s="1"/>
  <c r="R1033" i="16"/>
  <c r="P1033" i="16" s="1"/>
  <c r="N1161" i="16"/>
  <c r="I1161" i="16" s="1"/>
  <c r="N204" i="16"/>
  <c r="I204" i="16" s="1"/>
  <c r="N491" i="16"/>
  <c r="I491" i="16" s="1"/>
  <c r="Q491" i="16"/>
  <c r="S491" i="16" s="1"/>
  <c r="R491" i="16"/>
  <c r="P491" i="16" s="1"/>
  <c r="N668" i="16"/>
  <c r="I668" i="16" s="1"/>
  <c r="N814" i="16"/>
  <c r="I814" i="16" s="1"/>
  <c r="Q814" i="16"/>
  <c r="S814" i="16" s="1"/>
  <c r="R814" i="16"/>
  <c r="P814" i="16" s="1"/>
  <c r="N960" i="16"/>
  <c r="I960" i="16" s="1"/>
  <c r="Q960" i="16"/>
  <c r="S960" i="16" s="1"/>
  <c r="R960" i="16"/>
  <c r="P960" i="16" s="1"/>
  <c r="N1088" i="16"/>
  <c r="I1088" i="16" s="1"/>
  <c r="N1216" i="16"/>
  <c r="I1216" i="16" s="1"/>
  <c r="Q1216" i="16"/>
  <c r="S1216" i="16" s="1"/>
  <c r="R1216" i="16"/>
  <c r="P1216" i="16" s="1"/>
  <c r="N1344" i="16"/>
  <c r="I1344" i="16" s="1"/>
  <c r="N1472" i="16"/>
  <c r="I1472" i="16" s="1"/>
  <c r="Q1472" i="16"/>
  <c r="S1472" i="16" s="1"/>
  <c r="R1472" i="16"/>
  <c r="P1472" i="16" s="1"/>
  <c r="N1600" i="16"/>
  <c r="I1600" i="16" s="1"/>
  <c r="Q1600" i="16"/>
  <c r="S1600" i="16" s="1"/>
  <c r="R1600" i="16"/>
  <c r="P1600" i="16" s="1"/>
  <c r="N1728" i="16"/>
  <c r="I1728" i="16" s="1"/>
  <c r="N1856" i="16"/>
  <c r="I1856" i="16" s="1"/>
  <c r="Q1856" i="16"/>
  <c r="S1856" i="16" s="1"/>
  <c r="R1856" i="16"/>
  <c r="P1856" i="16" s="1"/>
  <c r="N51" i="16"/>
  <c r="I51" i="16" s="1"/>
  <c r="Q51" i="16"/>
  <c r="S51" i="16" s="1"/>
  <c r="R51" i="16"/>
  <c r="P51" i="16" s="1"/>
  <c r="N700" i="16"/>
  <c r="I700" i="16" s="1"/>
  <c r="Q700" i="16"/>
  <c r="S700" i="16" s="1"/>
  <c r="R700" i="16"/>
  <c r="P700" i="16" s="1"/>
  <c r="N1074" i="16"/>
  <c r="I1074" i="16" s="1"/>
  <c r="Q1074" i="16"/>
  <c r="S1074" i="16" s="1"/>
  <c r="R1074" i="16"/>
  <c r="P1074" i="16" s="1"/>
  <c r="N1362" i="16"/>
  <c r="I1362" i="16" s="1"/>
  <c r="Q1362" i="16"/>
  <c r="S1362" i="16" s="1"/>
  <c r="R1362" i="16"/>
  <c r="P1362" i="16" s="1"/>
  <c r="N1564" i="16"/>
  <c r="I1564" i="16" s="1"/>
  <c r="Q1564" i="16"/>
  <c r="S1564" i="16" s="1"/>
  <c r="R1564" i="16"/>
  <c r="P1564" i="16" s="1"/>
  <c r="N1770" i="16"/>
  <c r="I1770" i="16" s="1"/>
  <c r="Q1770" i="16"/>
  <c r="S1770" i="16" s="1"/>
  <c r="R1770" i="16"/>
  <c r="P1770" i="16" s="1"/>
  <c r="N1953" i="16"/>
  <c r="I1953" i="16" s="1"/>
  <c r="N2089" i="16"/>
  <c r="I2089" i="16" s="1"/>
  <c r="N2216" i="16"/>
  <c r="I2216" i="16" s="1"/>
  <c r="N2304" i="16"/>
  <c r="I2304" i="16" s="1"/>
  <c r="Q2304" i="16"/>
  <c r="S2304" i="16" s="1"/>
  <c r="R2304" i="16"/>
  <c r="P2304" i="16" s="1"/>
  <c r="Q2389" i="16"/>
  <c r="S2389" i="16" s="1"/>
  <c r="R2389" i="16"/>
  <c r="P2389" i="16" s="1"/>
  <c r="N2474" i="16"/>
  <c r="I2474" i="16" s="1"/>
  <c r="Q2474" i="16"/>
  <c r="S2474" i="16" s="1"/>
  <c r="R2474" i="16"/>
  <c r="P2474" i="16" s="1"/>
  <c r="N2560" i="16"/>
  <c r="I2560" i="16" s="1"/>
  <c r="Q2560" i="16"/>
  <c r="S2560" i="16" s="1"/>
  <c r="R2560" i="16"/>
  <c r="P2560" i="16" s="1"/>
  <c r="N610" i="16"/>
  <c r="I610" i="16" s="1"/>
  <c r="N1002" i="16"/>
  <c r="I1002" i="16" s="1"/>
  <c r="R1002" i="16"/>
  <c r="P1002" i="16" s="1"/>
  <c r="Q1002" i="16"/>
  <c r="S1002" i="16" s="1"/>
  <c r="N1308" i="16"/>
  <c r="I1308" i="16" s="1"/>
  <c r="N1522" i="16"/>
  <c r="I1522" i="16" s="1"/>
  <c r="N1724" i="16"/>
  <c r="I1724" i="16" s="1"/>
  <c r="Q1724" i="16"/>
  <c r="S1724" i="16" s="1"/>
  <c r="R1724" i="16"/>
  <c r="P1724" i="16" s="1"/>
  <c r="N1916" i="16"/>
  <c r="I1916" i="16" s="1"/>
  <c r="Q1916" i="16"/>
  <c r="S1916" i="16" s="1"/>
  <c r="R1916" i="16"/>
  <c r="P1916" i="16" s="1"/>
  <c r="N2058" i="16"/>
  <c r="I2058" i="16" s="1"/>
  <c r="N2192" i="16"/>
  <c r="I2192" i="16" s="1"/>
  <c r="Q2192" i="16"/>
  <c r="S2192" i="16" s="1"/>
  <c r="R2192" i="16"/>
  <c r="P2192" i="16" s="1"/>
  <c r="Q2285" i="16"/>
  <c r="S2285" i="16" s="1"/>
  <c r="R2285" i="16"/>
  <c r="P2285" i="16" s="1"/>
  <c r="N2370" i="16"/>
  <c r="I2370" i="16" s="1"/>
  <c r="Q2370" i="16"/>
  <c r="S2370" i="16" s="1"/>
  <c r="R2370" i="16"/>
  <c r="P2370" i="16" s="1"/>
  <c r="N2456" i="16"/>
  <c r="I2456" i="16" s="1"/>
  <c r="N2626" i="16"/>
  <c r="I2626" i="16" s="1"/>
  <c r="N494" i="16"/>
  <c r="I494" i="16" s="1"/>
  <c r="Q917" i="16"/>
  <c r="S917" i="16" s="1"/>
  <c r="R917" i="16"/>
  <c r="P917" i="16" s="1"/>
  <c r="N1250" i="16"/>
  <c r="I1250" i="16" s="1"/>
  <c r="N1474" i="16"/>
  <c r="I1474" i="16" s="1"/>
  <c r="Q1474" i="16"/>
  <c r="S1474" i="16" s="1"/>
  <c r="R1474" i="16"/>
  <c r="P1474" i="16" s="1"/>
  <c r="N1676" i="16"/>
  <c r="I1676" i="16" s="1"/>
  <c r="Q1877" i="16"/>
  <c r="S1877" i="16" s="1"/>
  <c r="R1877" i="16"/>
  <c r="P1877" i="16" s="1"/>
  <c r="N2028" i="16"/>
  <c r="I2028" i="16" s="1"/>
  <c r="N2162" i="16"/>
  <c r="I2162" i="16" s="1"/>
  <c r="Q2162" i="16"/>
  <c r="S2162" i="16" s="1"/>
  <c r="R2162" i="16"/>
  <c r="P2162" i="16" s="1"/>
  <c r="N2265" i="16"/>
  <c r="I2265" i="16" s="1"/>
  <c r="N2351" i="16"/>
  <c r="I2351" i="16" s="1"/>
  <c r="Q2351" i="16"/>
  <c r="S2351" i="16" s="1"/>
  <c r="R2351" i="16"/>
  <c r="P2351" i="16" s="1"/>
  <c r="N2435" i="16"/>
  <c r="I2435" i="16" s="1"/>
  <c r="Q2435" i="16"/>
  <c r="S2435" i="16" s="1"/>
  <c r="R2435" i="16"/>
  <c r="P2435" i="16" s="1"/>
  <c r="N2521" i="16"/>
  <c r="I2521" i="16" s="1"/>
  <c r="Q2521" i="16"/>
  <c r="S2521" i="16" s="1"/>
  <c r="R2521" i="16"/>
  <c r="P2521" i="16" s="1"/>
  <c r="N2607" i="16"/>
  <c r="I2607" i="16" s="1"/>
  <c r="Q2607" i="16"/>
  <c r="S2607" i="16" s="1"/>
  <c r="R2607" i="16"/>
  <c r="P2607" i="16" s="1"/>
  <c r="N331" i="16"/>
  <c r="I331" i="16" s="1"/>
  <c r="Q331" i="16"/>
  <c r="S331" i="16" s="1"/>
  <c r="R331" i="16"/>
  <c r="P331" i="16" s="1"/>
  <c r="N826" i="16"/>
  <c r="I826" i="16" s="1"/>
  <c r="Q826" i="16"/>
  <c r="S826" i="16" s="1"/>
  <c r="R826" i="16"/>
  <c r="P826" i="16" s="1"/>
  <c r="N1180" i="16"/>
  <c r="I1180" i="16" s="1"/>
  <c r="N1426" i="16"/>
  <c r="I1426" i="16" s="1"/>
  <c r="N1628" i="16"/>
  <c r="I1628" i="16" s="1"/>
  <c r="N1834" i="16"/>
  <c r="I1834" i="16" s="1"/>
  <c r="N1994" i="16"/>
  <c r="I1994" i="16" s="1"/>
  <c r="N2132" i="16"/>
  <c r="I2132" i="16" s="1"/>
  <c r="Q2132" i="16"/>
  <c r="S2132" i="16" s="1"/>
  <c r="R2132" i="16"/>
  <c r="P2132" i="16" s="1"/>
  <c r="Q2245" i="16"/>
  <c r="S2245" i="16" s="1"/>
  <c r="R2245" i="16"/>
  <c r="P2245" i="16" s="1"/>
  <c r="N2330" i="16"/>
  <c r="I2330" i="16" s="1"/>
  <c r="Q2330" i="16"/>
  <c r="S2330" i="16" s="1"/>
  <c r="R2330" i="16"/>
  <c r="P2330" i="16" s="1"/>
  <c r="N2416" i="16"/>
  <c r="I2416" i="16" s="1"/>
  <c r="Q2416" i="16"/>
  <c r="S2416" i="16" s="1"/>
  <c r="R2416" i="16"/>
  <c r="P2416" i="16" s="1"/>
  <c r="Q2501" i="16"/>
  <c r="S2501" i="16" s="1"/>
  <c r="R2501" i="16"/>
  <c r="P2501" i="16" s="1"/>
  <c r="N2586" i="16"/>
  <c r="I2586" i="16" s="1"/>
  <c r="R2586" i="16"/>
  <c r="P2586" i="16" s="1"/>
  <c r="Q2586" i="16"/>
  <c r="S2586" i="16" s="1"/>
  <c r="N147" i="16"/>
  <c r="I147" i="16" s="1"/>
  <c r="Q147" i="16"/>
  <c r="S147" i="16" s="1"/>
  <c r="R147" i="16"/>
  <c r="P147" i="16" s="1"/>
  <c r="N743" i="16"/>
  <c r="I743" i="16" s="1"/>
  <c r="R743" i="16"/>
  <c r="P743" i="16" s="1"/>
  <c r="Q743" i="16"/>
  <c r="S743" i="16" s="1"/>
  <c r="N1114" i="16"/>
  <c r="I1114" i="16" s="1"/>
  <c r="N1385" i="16"/>
  <c r="I1385" i="16" s="1"/>
  <c r="N1592" i="16"/>
  <c r="I1592" i="16" s="1"/>
  <c r="Q1592" i="16"/>
  <c r="S1592" i="16" s="1"/>
  <c r="R1592" i="16"/>
  <c r="P1592" i="16" s="1"/>
  <c r="N1794" i="16"/>
  <c r="I1794" i="16" s="1"/>
  <c r="N1968" i="16"/>
  <c r="I1968" i="16" s="1"/>
  <c r="N2105" i="16"/>
  <c r="I2105" i="16" s="1"/>
  <c r="Q2105" i="16"/>
  <c r="S2105" i="16" s="1"/>
  <c r="R2105" i="16"/>
  <c r="P2105" i="16" s="1"/>
  <c r="N2226" i="16"/>
  <c r="I2226" i="16" s="1"/>
  <c r="N2313" i="16"/>
  <c r="I2313" i="16" s="1"/>
  <c r="N2399" i="16"/>
  <c r="I2399" i="16" s="1"/>
  <c r="Q2399" i="16"/>
  <c r="S2399" i="16" s="1"/>
  <c r="R2399" i="16"/>
  <c r="P2399" i="16" s="1"/>
  <c r="N2483" i="16"/>
  <c r="I2483" i="16" s="1"/>
  <c r="Q2483" i="16"/>
  <c r="S2483" i="16" s="1"/>
  <c r="R2483" i="16"/>
  <c r="P2483" i="16" s="1"/>
  <c r="N2569" i="16"/>
  <c r="I2569" i="16" s="1"/>
  <c r="Q2569" i="16"/>
  <c r="S2569" i="16" s="1"/>
  <c r="R2569" i="16"/>
  <c r="P2569" i="16" s="1"/>
  <c r="N2655" i="16"/>
  <c r="I2655" i="16" s="1"/>
  <c r="N1226" i="16"/>
  <c r="I1226" i="16" s="1"/>
  <c r="R1226" i="16"/>
  <c r="P1226" i="16" s="1"/>
  <c r="Q1226" i="16"/>
  <c r="S1226" i="16" s="1"/>
  <c r="N1788" i="16"/>
  <c r="I1788" i="16" s="1"/>
  <c r="N2190" i="16"/>
  <c r="I2190" i="16" s="1"/>
  <c r="Q2190" i="16"/>
  <c r="S2190" i="16" s="1"/>
  <c r="R2190" i="16"/>
  <c r="P2190" i="16" s="1"/>
  <c r="N2427" i="16"/>
  <c r="I2427" i="16" s="1"/>
  <c r="Q2427" i="16"/>
  <c r="S2427" i="16" s="1"/>
  <c r="R2427" i="16"/>
  <c r="P2427" i="16" s="1"/>
  <c r="N1242" i="16"/>
  <c r="I1242" i="16" s="1"/>
  <c r="N1816" i="16"/>
  <c r="I1816" i="16" s="1"/>
  <c r="N2198" i="16"/>
  <c r="I2198" i="16" s="1"/>
  <c r="R2198" i="16"/>
  <c r="P2198" i="16" s="1"/>
  <c r="Q2198" i="16"/>
  <c r="S2198" i="16" s="1"/>
  <c r="N2433" i="16"/>
  <c r="I2433" i="16" s="1"/>
  <c r="Q2433" i="16"/>
  <c r="S2433" i="16" s="1"/>
  <c r="R2433" i="16"/>
  <c r="P2433" i="16" s="1"/>
  <c r="N257" i="16"/>
  <c r="I257" i="16" s="1"/>
  <c r="Q257" i="16"/>
  <c r="S257" i="16" s="1"/>
  <c r="R257" i="16"/>
  <c r="P257" i="16" s="1"/>
  <c r="N1338" i="16"/>
  <c r="I1338" i="16" s="1"/>
  <c r="N1884" i="16"/>
  <c r="I1884" i="16" s="1"/>
  <c r="Q2237" i="16"/>
  <c r="S2237" i="16" s="1"/>
  <c r="R2237" i="16"/>
  <c r="P2237" i="16" s="1"/>
  <c r="N2465" i="16"/>
  <c r="I2465" i="16" s="1"/>
  <c r="N292" i="16"/>
  <c r="I292" i="16" s="1"/>
  <c r="Q292" i="16"/>
  <c r="S292" i="16" s="1"/>
  <c r="R292" i="16"/>
  <c r="P292" i="16" s="1"/>
  <c r="N1353" i="16"/>
  <c r="I1353" i="16" s="1"/>
  <c r="Q1353" i="16"/>
  <c r="S1353" i="16" s="1"/>
  <c r="R1353" i="16"/>
  <c r="P1353" i="16" s="1"/>
  <c r="N1888" i="16"/>
  <c r="I1888" i="16" s="1"/>
  <c r="N2241" i="16"/>
  <c r="I2241" i="16" s="1"/>
  <c r="Q2241" i="16"/>
  <c r="S2241" i="16" s="1"/>
  <c r="R2241" i="16"/>
  <c r="P2241" i="16" s="1"/>
  <c r="N2471" i="16"/>
  <c r="I2471" i="16" s="1"/>
  <c r="N1378" i="16"/>
  <c r="I1378" i="16" s="1"/>
  <c r="Q1378" i="16"/>
  <c r="S1378" i="16" s="1"/>
  <c r="R1378" i="16"/>
  <c r="P1378" i="16" s="1"/>
  <c r="N1905" i="16"/>
  <c r="I1905" i="16" s="1"/>
  <c r="N2251" i="16"/>
  <c r="I2251" i="16" s="1"/>
  <c r="Q2251" i="16"/>
  <c r="S2251" i="16" s="1"/>
  <c r="R2251" i="16"/>
  <c r="P2251" i="16" s="1"/>
  <c r="N2481" i="16"/>
  <c r="I2481" i="16" s="1"/>
  <c r="Q2481" i="16"/>
  <c r="S2481" i="16" s="1"/>
  <c r="R2481" i="16"/>
  <c r="P2481" i="16" s="1"/>
  <c r="N630" i="16"/>
  <c r="I630" i="16" s="1"/>
  <c r="Q630" i="16"/>
  <c r="S630" i="16" s="1"/>
  <c r="R630" i="16"/>
  <c r="P630" i="16" s="1"/>
  <c r="Q2213" i="16"/>
  <c r="S2213" i="16" s="1"/>
  <c r="R2213" i="16"/>
  <c r="P2213" i="16" s="1"/>
  <c r="N1066" i="16"/>
  <c r="I1066" i="16" s="1"/>
  <c r="R1066" i="16"/>
  <c r="P1066" i="16" s="1"/>
  <c r="Q1066" i="16"/>
  <c r="S1066" i="16" s="1"/>
  <c r="N2305" i="16"/>
  <c r="I2305" i="16" s="1"/>
  <c r="N1354" i="16"/>
  <c r="I1354" i="16" s="1"/>
  <c r="R1354" i="16"/>
  <c r="P1354" i="16" s="1"/>
  <c r="Q1354" i="16"/>
  <c r="S1354" i="16" s="1"/>
  <c r="N2391" i="16"/>
  <c r="I2391" i="16" s="1"/>
  <c r="Q2391" i="16"/>
  <c r="S2391" i="16" s="1"/>
  <c r="R2391" i="16"/>
  <c r="P2391" i="16" s="1"/>
  <c r="N1561" i="16"/>
  <c r="I1561" i="16" s="1"/>
  <c r="Q1561" i="16"/>
  <c r="S1561" i="16" s="1"/>
  <c r="R1561" i="16"/>
  <c r="P1561" i="16" s="1"/>
  <c r="N2475" i="16"/>
  <c r="I2475" i="16" s="1"/>
  <c r="N1801" i="16"/>
  <c r="I1801" i="16" s="1"/>
  <c r="Q1801" i="16"/>
  <c r="S1801" i="16" s="1"/>
  <c r="R1801" i="16"/>
  <c r="P1801" i="16" s="1"/>
  <c r="N2587" i="16"/>
  <c r="I2587" i="16" s="1"/>
  <c r="N1660" i="16"/>
  <c r="I1660" i="16" s="1"/>
  <c r="Q1660" i="16"/>
  <c r="S1660" i="16" s="1"/>
  <c r="R1660" i="16"/>
  <c r="P1660" i="16" s="1"/>
  <c r="N2344" i="16"/>
  <c r="I2344" i="16" s="1"/>
  <c r="N835" i="16"/>
  <c r="I835" i="16" s="1"/>
  <c r="Q835" i="16"/>
  <c r="S835" i="16" s="1"/>
  <c r="R835" i="16"/>
  <c r="P835" i="16" s="1"/>
  <c r="N1290" i="16"/>
  <c r="I1290" i="16" s="1"/>
  <c r="R1290" i="16"/>
  <c r="P1290" i="16" s="1"/>
  <c r="Q1290" i="16"/>
  <c r="S1290" i="16" s="1"/>
  <c r="N2048" i="16"/>
  <c r="I2048" i="16" s="1"/>
  <c r="N31" i="16"/>
  <c r="I31" i="16" s="1"/>
  <c r="Q31" i="16"/>
  <c r="S31" i="16" s="1"/>
  <c r="R31" i="16"/>
  <c r="P31" i="16" s="1"/>
  <c r="N95" i="16"/>
  <c r="I95" i="16" s="1"/>
  <c r="N159" i="16"/>
  <c r="I159" i="16" s="1"/>
  <c r="N223" i="16"/>
  <c r="I223" i="16" s="1"/>
  <c r="N287" i="16"/>
  <c r="I287" i="16" s="1"/>
  <c r="N351" i="16"/>
  <c r="I351" i="16" s="1"/>
  <c r="Q351" i="16"/>
  <c r="S351" i="16" s="1"/>
  <c r="R351" i="16"/>
  <c r="P351" i="16" s="1"/>
  <c r="N415" i="16"/>
  <c r="I415" i="16" s="1"/>
  <c r="Q415" i="16"/>
  <c r="S415" i="16" s="1"/>
  <c r="R415" i="16"/>
  <c r="P415" i="16" s="1"/>
  <c r="N479" i="16"/>
  <c r="I479" i="16" s="1"/>
  <c r="Q479" i="16"/>
  <c r="S479" i="16" s="1"/>
  <c r="R479" i="16"/>
  <c r="P479" i="16" s="1"/>
  <c r="N48" i="16"/>
  <c r="I48" i="16" s="1"/>
  <c r="N112" i="16"/>
  <c r="I112" i="16" s="1"/>
  <c r="Q112" i="16"/>
  <c r="S112" i="16" s="1"/>
  <c r="R112" i="16"/>
  <c r="P112" i="16" s="1"/>
  <c r="N176" i="16"/>
  <c r="I176" i="16" s="1"/>
  <c r="N240" i="16"/>
  <c r="I240" i="16" s="1"/>
  <c r="N304" i="16"/>
  <c r="I304" i="16" s="1"/>
  <c r="N368" i="16"/>
  <c r="I368" i="16" s="1"/>
  <c r="Q368" i="16"/>
  <c r="S368" i="16" s="1"/>
  <c r="R368" i="16"/>
  <c r="P368" i="16" s="1"/>
  <c r="N432" i="16"/>
  <c r="I432" i="16" s="1"/>
  <c r="Q432" i="16"/>
  <c r="S432" i="16" s="1"/>
  <c r="R432" i="16"/>
  <c r="P432" i="16" s="1"/>
  <c r="Q37" i="16"/>
  <c r="S37" i="16" s="1"/>
  <c r="R37" i="16"/>
  <c r="P37" i="16" s="1"/>
  <c r="N123" i="16"/>
  <c r="I123" i="16" s="1"/>
  <c r="Q123" i="16"/>
  <c r="S123" i="16" s="1"/>
  <c r="R123" i="16"/>
  <c r="P123" i="16" s="1"/>
  <c r="N209" i="16"/>
  <c r="I209" i="16" s="1"/>
  <c r="N10" i="16"/>
  <c r="I10" i="16" s="1"/>
  <c r="N94" i="16"/>
  <c r="I94" i="16" s="1"/>
  <c r="N180" i="16"/>
  <c r="I180" i="16" s="1"/>
  <c r="Q180" i="16"/>
  <c r="S180" i="16" s="1"/>
  <c r="R180" i="16"/>
  <c r="P180" i="16" s="1"/>
  <c r="N266" i="16"/>
  <c r="I266" i="16" s="1"/>
  <c r="N350" i="16"/>
  <c r="I350" i="16" s="1"/>
  <c r="N436" i="16"/>
  <c r="I436" i="16" s="1"/>
  <c r="Q436" i="16"/>
  <c r="S436" i="16" s="1"/>
  <c r="R436" i="16"/>
  <c r="P436" i="16" s="1"/>
  <c r="N512" i="16"/>
  <c r="I512" i="16" s="1"/>
  <c r="N576" i="16"/>
  <c r="I576" i="16" s="1"/>
  <c r="N640" i="16"/>
  <c r="I640" i="16" s="1"/>
  <c r="Q640" i="16"/>
  <c r="S640" i="16" s="1"/>
  <c r="R640" i="16"/>
  <c r="P640" i="16" s="1"/>
  <c r="N704" i="16"/>
  <c r="I704" i="16" s="1"/>
  <c r="Q704" i="16"/>
  <c r="S704" i="16" s="1"/>
  <c r="R704" i="16"/>
  <c r="P704" i="16" s="1"/>
  <c r="N768" i="16"/>
  <c r="I768" i="16" s="1"/>
  <c r="Q768" i="16"/>
  <c r="S768" i="16" s="1"/>
  <c r="R768" i="16"/>
  <c r="P768" i="16" s="1"/>
  <c r="N832" i="16"/>
  <c r="I832" i="16" s="1"/>
  <c r="Q832" i="16"/>
  <c r="S832" i="16" s="1"/>
  <c r="R832" i="16"/>
  <c r="P832" i="16" s="1"/>
  <c r="N896" i="16"/>
  <c r="I896" i="16" s="1"/>
  <c r="N6" i="16"/>
  <c r="I6" i="16" s="1"/>
  <c r="N121" i="16"/>
  <c r="I121" i="16" s="1"/>
  <c r="R121" i="16"/>
  <c r="P121" i="16" s="1"/>
  <c r="Q121" i="16"/>
  <c r="S121" i="16" s="1"/>
  <c r="N235" i="16"/>
  <c r="I235" i="16" s="1"/>
  <c r="N348" i="16"/>
  <c r="I348" i="16" s="1"/>
  <c r="Q348" i="16"/>
  <c r="S348" i="16" s="1"/>
  <c r="R348" i="16"/>
  <c r="P348" i="16" s="1"/>
  <c r="N450" i="16"/>
  <c r="I450" i="16" s="1"/>
  <c r="N531" i="16"/>
  <c r="I531" i="16" s="1"/>
  <c r="N604" i="16"/>
  <c r="I604" i="16" s="1"/>
  <c r="Q604" i="16"/>
  <c r="S604" i="16" s="1"/>
  <c r="R604" i="16"/>
  <c r="P604" i="16" s="1"/>
  <c r="N41" i="16"/>
  <c r="I41" i="16" s="1"/>
  <c r="Q41" i="16"/>
  <c r="S41" i="16" s="1"/>
  <c r="R41" i="16"/>
  <c r="P41" i="16" s="1"/>
  <c r="N154" i="16"/>
  <c r="I154" i="16" s="1"/>
  <c r="N268" i="16"/>
  <c r="I268" i="16" s="1"/>
  <c r="Q268" i="16"/>
  <c r="S268" i="16" s="1"/>
  <c r="R268" i="16"/>
  <c r="P268" i="16" s="1"/>
  <c r="N380" i="16"/>
  <c r="I380" i="16" s="1"/>
  <c r="Q380" i="16"/>
  <c r="S380" i="16" s="1"/>
  <c r="R380" i="16"/>
  <c r="P380" i="16" s="1"/>
  <c r="N476" i="16"/>
  <c r="I476" i="16" s="1"/>
  <c r="Q476" i="16"/>
  <c r="S476" i="16" s="1"/>
  <c r="R476" i="16"/>
  <c r="P476" i="16" s="1"/>
  <c r="N553" i="16"/>
  <c r="I553" i="16" s="1"/>
  <c r="Q553" i="16"/>
  <c r="S553" i="16" s="1"/>
  <c r="R553" i="16"/>
  <c r="P553" i="16" s="1"/>
  <c r="N99" i="16"/>
  <c r="I99" i="16" s="1"/>
  <c r="Q213" i="16"/>
  <c r="S213" i="16" s="1"/>
  <c r="R213" i="16"/>
  <c r="P213" i="16" s="1"/>
  <c r="N122" i="16"/>
  <c r="I122" i="16" s="1"/>
  <c r="N294" i="16"/>
  <c r="I294" i="16" s="1"/>
  <c r="Q294" i="16"/>
  <c r="S294" i="16" s="1"/>
  <c r="R294" i="16"/>
  <c r="P294" i="16" s="1"/>
  <c r="N435" i="16"/>
  <c r="I435" i="16" s="1"/>
  <c r="N546" i="16"/>
  <c r="I546" i="16" s="1"/>
  <c r="Q546" i="16"/>
  <c r="S546" i="16" s="1"/>
  <c r="R546" i="16"/>
  <c r="P546" i="16" s="1"/>
  <c r="N633" i="16"/>
  <c r="I633" i="16" s="1"/>
  <c r="N708" i="16"/>
  <c r="I708" i="16" s="1"/>
  <c r="Q708" i="16"/>
  <c r="S708" i="16" s="1"/>
  <c r="R708" i="16"/>
  <c r="P708" i="16" s="1"/>
  <c r="Q781" i="16"/>
  <c r="S781" i="16" s="1"/>
  <c r="R781" i="16"/>
  <c r="P781" i="16" s="1"/>
  <c r="N854" i="16"/>
  <c r="I854" i="16" s="1"/>
  <c r="Q854" i="16"/>
  <c r="S854" i="16" s="1"/>
  <c r="R854" i="16"/>
  <c r="P854" i="16" s="1"/>
  <c r="N927" i="16"/>
  <c r="I927" i="16" s="1"/>
  <c r="Q927" i="16"/>
  <c r="S927" i="16" s="1"/>
  <c r="R927" i="16"/>
  <c r="P927" i="16" s="1"/>
  <c r="N995" i="16"/>
  <c r="I995" i="16" s="1"/>
  <c r="Q995" i="16"/>
  <c r="S995" i="16" s="1"/>
  <c r="R995" i="16"/>
  <c r="P995" i="16" s="1"/>
  <c r="N1059" i="16"/>
  <c r="I1059" i="16" s="1"/>
  <c r="Q1059" i="16"/>
  <c r="S1059" i="16" s="1"/>
  <c r="R1059" i="16"/>
  <c r="P1059" i="16" s="1"/>
  <c r="N1123" i="16"/>
  <c r="I1123" i="16" s="1"/>
  <c r="N1187" i="16"/>
  <c r="I1187" i="16" s="1"/>
  <c r="Q1187" i="16"/>
  <c r="S1187" i="16" s="1"/>
  <c r="R1187" i="16"/>
  <c r="P1187" i="16" s="1"/>
  <c r="N1251" i="16"/>
  <c r="I1251" i="16" s="1"/>
  <c r="Q1251" i="16"/>
  <c r="S1251" i="16" s="1"/>
  <c r="R1251" i="16"/>
  <c r="P1251" i="16" s="1"/>
  <c r="N1315" i="16"/>
  <c r="I1315" i="16" s="1"/>
  <c r="Q1315" i="16"/>
  <c r="S1315" i="16" s="1"/>
  <c r="R1315" i="16"/>
  <c r="P1315" i="16" s="1"/>
  <c r="N1379" i="16"/>
  <c r="I1379" i="16" s="1"/>
  <c r="Q1379" i="16"/>
  <c r="S1379" i="16" s="1"/>
  <c r="R1379" i="16"/>
  <c r="P1379" i="16" s="1"/>
  <c r="N1443" i="16"/>
  <c r="I1443" i="16" s="1"/>
  <c r="N1507" i="16"/>
  <c r="I1507" i="16" s="1"/>
  <c r="Q1507" i="16"/>
  <c r="S1507" i="16" s="1"/>
  <c r="R1507" i="16"/>
  <c r="P1507" i="16" s="1"/>
  <c r="N1571" i="16"/>
  <c r="I1571" i="16" s="1"/>
  <c r="N1635" i="16"/>
  <c r="I1635" i="16" s="1"/>
  <c r="Q1635" i="16"/>
  <c r="S1635" i="16" s="1"/>
  <c r="R1635" i="16"/>
  <c r="P1635" i="16" s="1"/>
  <c r="N1699" i="16"/>
  <c r="I1699" i="16" s="1"/>
  <c r="N1763" i="16"/>
  <c r="I1763" i="16" s="1"/>
  <c r="N1827" i="16"/>
  <c r="I1827" i="16" s="1"/>
  <c r="Q1827" i="16"/>
  <c r="S1827" i="16" s="1"/>
  <c r="R1827" i="16"/>
  <c r="P1827" i="16" s="1"/>
  <c r="N1891" i="16"/>
  <c r="I1891" i="16" s="1"/>
  <c r="Q1891" i="16"/>
  <c r="S1891" i="16" s="1"/>
  <c r="R1891" i="16"/>
  <c r="P1891" i="16" s="1"/>
  <c r="N1955" i="16"/>
  <c r="I1955" i="16" s="1"/>
  <c r="N2019" i="16"/>
  <c r="I2019" i="16" s="1"/>
  <c r="Q2019" i="16"/>
  <c r="S2019" i="16" s="1"/>
  <c r="R2019" i="16"/>
  <c r="P2019" i="16" s="1"/>
  <c r="N2083" i="16"/>
  <c r="I2083" i="16" s="1"/>
  <c r="Q2083" i="16"/>
  <c r="S2083" i="16" s="1"/>
  <c r="R2083" i="16"/>
  <c r="P2083" i="16" s="1"/>
  <c r="N2147" i="16"/>
  <c r="I2147" i="16" s="1"/>
  <c r="N2211" i="16"/>
  <c r="I2211" i="16" s="1"/>
  <c r="Q2211" i="16"/>
  <c r="S2211" i="16" s="1"/>
  <c r="R2211" i="16"/>
  <c r="P2211" i="16" s="1"/>
  <c r="N130" i="16"/>
  <c r="I130" i="16" s="1"/>
  <c r="N300" i="16"/>
  <c r="I300" i="16" s="1"/>
  <c r="Q300" i="16"/>
  <c r="S300" i="16" s="1"/>
  <c r="R300" i="16"/>
  <c r="P300" i="16" s="1"/>
  <c r="N441" i="16"/>
  <c r="I441" i="16" s="1"/>
  <c r="N548" i="16"/>
  <c r="I548" i="16" s="1"/>
  <c r="Q548" i="16"/>
  <c r="S548" i="16" s="1"/>
  <c r="R548" i="16"/>
  <c r="P548" i="16" s="1"/>
  <c r="N635" i="16"/>
  <c r="I635" i="16" s="1"/>
  <c r="N710" i="16"/>
  <c r="I710" i="16" s="1"/>
  <c r="Q710" i="16"/>
  <c r="S710" i="16" s="1"/>
  <c r="R710" i="16"/>
  <c r="P710" i="16" s="1"/>
  <c r="N783" i="16"/>
  <c r="I783" i="16" s="1"/>
  <c r="R783" i="16"/>
  <c r="P783" i="16" s="1"/>
  <c r="Q783" i="16"/>
  <c r="S783" i="16" s="1"/>
  <c r="N857" i="16"/>
  <c r="I857" i="16" s="1"/>
  <c r="N930" i="16"/>
  <c r="I930" i="16" s="1"/>
  <c r="Q930" i="16"/>
  <c r="S930" i="16" s="1"/>
  <c r="R930" i="16"/>
  <c r="P930" i="16" s="1"/>
  <c r="Q1253" i="16"/>
  <c r="S1253" i="16" s="1"/>
  <c r="R1253" i="16"/>
  <c r="P1253" i="16" s="1"/>
  <c r="Q1317" i="16"/>
  <c r="S1317" i="16" s="1"/>
  <c r="R1317" i="16"/>
  <c r="P1317" i="16" s="1"/>
  <c r="Q1509" i="16"/>
  <c r="S1509" i="16" s="1"/>
  <c r="R1509" i="16"/>
  <c r="P1509" i="16" s="1"/>
  <c r="Q1637" i="16"/>
  <c r="S1637" i="16" s="1"/>
  <c r="R1637" i="16"/>
  <c r="P1637" i="16" s="1"/>
  <c r="Q1829" i="16"/>
  <c r="S1829" i="16" s="1"/>
  <c r="R1829" i="16"/>
  <c r="P1829" i="16" s="1"/>
  <c r="N108" i="16"/>
  <c r="I108" i="16" s="1"/>
  <c r="N284" i="16"/>
  <c r="I284" i="16" s="1"/>
  <c r="Q284" i="16"/>
  <c r="S284" i="16" s="1"/>
  <c r="R284" i="16"/>
  <c r="P284" i="16" s="1"/>
  <c r="N427" i="16"/>
  <c r="I427" i="16" s="1"/>
  <c r="N538" i="16"/>
  <c r="I538" i="16" s="1"/>
  <c r="Q538" i="16"/>
  <c r="S538" i="16" s="1"/>
  <c r="R538" i="16"/>
  <c r="P538" i="16" s="1"/>
  <c r="N626" i="16"/>
  <c r="I626" i="16" s="1"/>
  <c r="Q626" i="16"/>
  <c r="S626" i="16" s="1"/>
  <c r="R626" i="16"/>
  <c r="P626" i="16" s="1"/>
  <c r="N702" i="16"/>
  <c r="I702" i="16" s="1"/>
  <c r="Q702" i="16"/>
  <c r="S702" i="16" s="1"/>
  <c r="R702" i="16"/>
  <c r="P702" i="16" s="1"/>
  <c r="N775" i="16"/>
  <c r="I775" i="16" s="1"/>
  <c r="R775" i="16"/>
  <c r="P775" i="16" s="1"/>
  <c r="Q775" i="16"/>
  <c r="S775" i="16" s="1"/>
  <c r="N849" i="16"/>
  <c r="I849" i="16" s="1"/>
  <c r="Q849" i="16"/>
  <c r="S849" i="16" s="1"/>
  <c r="R849" i="16"/>
  <c r="P849" i="16" s="1"/>
  <c r="N922" i="16"/>
  <c r="I922" i="16" s="1"/>
  <c r="N990" i="16"/>
  <c r="I990" i="16" s="1"/>
  <c r="N1054" i="16"/>
  <c r="I1054" i="16" s="1"/>
  <c r="Q1054" i="16"/>
  <c r="S1054" i="16" s="1"/>
  <c r="R1054" i="16"/>
  <c r="P1054" i="16" s="1"/>
  <c r="N1118" i="16"/>
  <c r="I1118" i="16" s="1"/>
  <c r="N1182" i="16"/>
  <c r="I1182" i="16" s="1"/>
  <c r="N1246" i="16"/>
  <c r="I1246" i="16" s="1"/>
  <c r="Q1246" i="16"/>
  <c r="S1246" i="16" s="1"/>
  <c r="R1246" i="16"/>
  <c r="P1246" i="16" s="1"/>
  <c r="N1310" i="16"/>
  <c r="I1310" i="16" s="1"/>
  <c r="N1374" i="16"/>
  <c r="I1374" i="16" s="1"/>
  <c r="Q1374" i="16"/>
  <c r="S1374" i="16" s="1"/>
  <c r="R1374" i="16"/>
  <c r="P1374" i="16" s="1"/>
  <c r="N1438" i="16"/>
  <c r="I1438" i="16" s="1"/>
  <c r="Q1438" i="16"/>
  <c r="S1438" i="16" s="1"/>
  <c r="R1438" i="16"/>
  <c r="P1438" i="16" s="1"/>
  <c r="N1502" i="16"/>
  <c r="I1502" i="16" s="1"/>
  <c r="Q1502" i="16"/>
  <c r="S1502" i="16" s="1"/>
  <c r="R1502" i="16"/>
  <c r="P1502" i="16" s="1"/>
  <c r="N1566" i="16"/>
  <c r="I1566" i="16" s="1"/>
  <c r="Q1566" i="16"/>
  <c r="S1566" i="16" s="1"/>
  <c r="R1566" i="16"/>
  <c r="P1566" i="16" s="1"/>
  <c r="N1630" i="16"/>
  <c r="I1630" i="16" s="1"/>
  <c r="N1694" i="16"/>
  <c r="I1694" i="16" s="1"/>
  <c r="Q1694" i="16"/>
  <c r="S1694" i="16" s="1"/>
  <c r="R1694" i="16"/>
  <c r="P1694" i="16" s="1"/>
  <c r="N1758" i="16"/>
  <c r="I1758" i="16" s="1"/>
  <c r="N1822" i="16"/>
  <c r="I1822" i="16" s="1"/>
  <c r="N1886" i="16"/>
  <c r="I1886" i="16" s="1"/>
  <c r="N1950" i="16"/>
  <c r="I1950" i="16" s="1"/>
  <c r="N2014" i="16"/>
  <c r="I2014" i="16" s="1"/>
  <c r="Q2014" i="16"/>
  <c r="S2014" i="16" s="1"/>
  <c r="R2014" i="16"/>
  <c r="P2014" i="16" s="1"/>
  <c r="N2078" i="16"/>
  <c r="I2078" i="16" s="1"/>
  <c r="N2142" i="16"/>
  <c r="I2142" i="16" s="1"/>
  <c r="Q2142" i="16"/>
  <c r="S2142" i="16" s="1"/>
  <c r="R2142" i="16"/>
  <c r="P2142" i="16" s="1"/>
  <c r="Q109" i="16"/>
  <c r="S109" i="16" s="1"/>
  <c r="R109" i="16"/>
  <c r="P109" i="16" s="1"/>
  <c r="N428" i="16"/>
  <c r="I428" i="16" s="1"/>
  <c r="Q428" i="16"/>
  <c r="S428" i="16" s="1"/>
  <c r="R428" i="16"/>
  <c r="P428" i="16" s="1"/>
  <c r="N539" i="16"/>
  <c r="I539" i="16" s="1"/>
  <c r="N627" i="16"/>
  <c r="I627" i="16" s="1"/>
  <c r="N703" i="16"/>
  <c r="I703" i="16" s="1"/>
  <c r="N777" i="16"/>
  <c r="I777" i="16" s="1"/>
  <c r="Q777" i="16"/>
  <c r="S777" i="16" s="1"/>
  <c r="R777" i="16"/>
  <c r="P777" i="16" s="1"/>
  <c r="N850" i="16"/>
  <c r="I850" i="16" s="1"/>
  <c r="Q850" i="16"/>
  <c r="S850" i="16" s="1"/>
  <c r="R850" i="16"/>
  <c r="P850" i="16" s="1"/>
  <c r="N923" i="16"/>
  <c r="I923" i="16" s="1"/>
  <c r="Q923" i="16"/>
  <c r="S923" i="16" s="1"/>
  <c r="R923" i="16"/>
  <c r="P923" i="16" s="1"/>
  <c r="N991" i="16"/>
  <c r="I991" i="16" s="1"/>
  <c r="Q991" i="16"/>
  <c r="S991" i="16" s="1"/>
  <c r="R991" i="16"/>
  <c r="P991" i="16" s="1"/>
  <c r="N1055" i="16"/>
  <c r="I1055" i="16" s="1"/>
  <c r="N1119" i="16"/>
  <c r="I1119" i="16" s="1"/>
  <c r="Q1119" i="16"/>
  <c r="S1119" i="16" s="1"/>
  <c r="R1119" i="16"/>
  <c r="P1119" i="16" s="1"/>
  <c r="N1183" i="16"/>
  <c r="I1183" i="16" s="1"/>
  <c r="Q1183" i="16"/>
  <c r="S1183" i="16" s="1"/>
  <c r="R1183" i="16"/>
  <c r="P1183" i="16" s="1"/>
  <c r="N1247" i="16"/>
  <c r="I1247" i="16" s="1"/>
  <c r="Q1247" i="16"/>
  <c r="S1247" i="16" s="1"/>
  <c r="R1247" i="16"/>
  <c r="P1247" i="16" s="1"/>
  <c r="N1311" i="16"/>
  <c r="I1311" i="16" s="1"/>
  <c r="Q1311" i="16"/>
  <c r="S1311" i="16" s="1"/>
  <c r="R1311" i="16"/>
  <c r="P1311" i="16" s="1"/>
  <c r="N1375" i="16"/>
  <c r="I1375" i="16" s="1"/>
  <c r="N1439" i="16"/>
  <c r="I1439" i="16" s="1"/>
  <c r="N1503" i="16"/>
  <c r="I1503" i="16" s="1"/>
  <c r="Q1503" i="16"/>
  <c r="S1503" i="16" s="1"/>
  <c r="R1503" i="16"/>
  <c r="P1503" i="16" s="1"/>
  <c r="N1567" i="16"/>
  <c r="I1567" i="16" s="1"/>
  <c r="N1631" i="16"/>
  <c r="I1631" i="16" s="1"/>
  <c r="Q1631" i="16"/>
  <c r="S1631" i="16" s="1"/>
  <c r="R1631" i="16"/>
  <c r="P1631" i="16" s="1"/>
  <c r="N1695" i="16"/>
  <c r="I1695" i="16" s="1"/>
  <c r="N1759" i="16"/>
  <c r="I1759" i="16" s="1"/>
  <c r="Q1759" i="16"/>
  <c r="S1759" i="16" s="1"/>
  <c r="R1759" i="16"/>
  <c r="P1759" i="16" s="1"/>
  <c r="N1823" i="16"/>
  <c r="I1823" i="16" s="1"/>
  <c r="Q1823" i="16"/>
  <c r="S1823" i="16" s="1"/>
  <c r="R1823" i="16"/>
  <c r="P1823" i="16" s="1"/>
  <c r="N1887" i="16"/>
  <c r="I1887" i="16" s="1"/>
  <c r="Q1887" i="16"/>
  <c r="S1887" i="16" s="1"/>
  <c r="R1887" i="16"/>
  <c r="P1887" i="16" s="1"/>
  <c r="N1951" i="16"/>
  <c r="I1951" i="16" s="1"/>
  <c r="Q1951" i="16"/>
  <c r="S1951" i="16" s="1"/>
  <c r="R1951" i="16"/>
  <c r="P1951" i="16" s="1"/>
  <c r="N2015" i="16"/>
  <c r="I2015" i="16" s="1"/>
  <c r="Q2015" i="16"/>
  <c r="S2015" i="16" s="1"/>
  <c r="R2015" i="16"/>
  <c r="P2015" i="16" s="1"/>
  <c r="N2079" i="16"/>
  <c r="I2079" i="16" s="1"/>
  <c r="Q2079" i="16"/>
  <c r="S2079" i="16" s="1"/>
  <c r="R2079" i="16"/>
  <c r="P2079" i="16" s="1"/>
  <c r="N2143" i="16"/>
  <c r="I2143" i="16" s="1"/>
  <c r="Q2143" i="16"/>
  <c r="S2143" i="16" s="1"/>
  <c r="R2143" i="16"/>
  <c r="P2143" i="16" s="1"/>
  <c r="N2207" i="16"/>
  <c r="I2207" i="16" s="1"/>
  <c r="Q2207" i="16"/>
  <c r="S2207" i="16" s="1"/>
  <c r="R2207" i="16"/>
  <c r="P2207" i="16" s="1"/>
  <c r="N290" i="16"/>
  <c r="I290" i="16" s="1"/>
  <c r="Q290" i="16"/>
  <c r="S290" i="16" s="1"/>
  <c r="R290" i="16"/>
  <c r="P290" i="16" s="1"/>
  <c r="N542" i="16"/>
  <c r="I542" i="16" s="1"/>
  <c r="Q542" i="16"/>
  <c r="S542" i="16" s="1"/>
  <c r="R542" i="16"/>
  <c r="P542" i="16" s="1"/>
  <c r="N706" i="16"/>
  <c r="I706" i="16" s="1"/>
  <c r="Q706" i="16"/>
  <c r="S706" i="16" s="1"/>
  <c r="R706" i="16"/>
  <c r="P706" i="16" s="1"/>
  <c r="N852" i="16"/>
  <c r="I852" i="16" s="1"/>
  <c r="Q852" i="16"/>
  <c r="S852" i="16" s="1"/>
  <c r="R852" i="16"/>
  <c r="P852" i="16" s="1"/>
  <c r="N993" i="16"/>
  <c r="I993" i="16" s="1"/>
  <c r="Q993" i="16"/>
  <c r="S993" i="16" s="1"/>
  <c r="R993" i="16"/>
  <c r="P993" i="16" s="1"/>
  <c r="N1121" i="16"/>
  <c r="I1121" i="16" s="1"/>
  <c r="N1249" i="16"/>
  <c r="I1249" i="16" s="1"/>
  <c r="Q1249" i="16"/>
  <c r="S1249" i="16" s="1"/>
  <c r="R1249" i="16"/>
  <c r="P1249" i="16" s="1"/>
  <c r="N1377" i="16"/>
  <c r="I1377" i="16" s="1"/>
  <c r="N1505" i="16"/>
  <c r="I1505" i="16" s="1"/>
  <c r="Q1505" i="16"/>
  <c r="S1505" i="16" s="1"/>
  <c r="R1505" i="16"/>
  <c r="P1505" i="16" s="1"/>
  <c r="N1633" i="16"/>
  <c r="I1633" i="16" s="1"/>
  <c r="Q1633" i="16"/>
  <c r="S1633" i="16" s="1"/>
  <c r="R1633" i="16"/>
  <c r="P1633" i="16" s="1"/>
  <c r="N1761" i="16"/>
  <c r="I1761" i="16" s="1"/>
  <c r="N1882" i="16"/>
  <c r="I1882" i="16" s="1"/>
  <c r="N1985" i="16"/>
  <c r="I1985" i="16" s="1"/>
  <c r="Q1985" i="16"/>
  <c r="S1985" i="16" s="1"/>
  <c r="R1985" i="16"/>
  <c r="P1985" i="16" s="1"/>
  <c r="N2088" i="16"/>
  <c r="I2088" i="16" s="1"/>
  <c r="Q2088" i="16"/>
  <c r="S2088" i="16" s="1"/>
  <c r="R2088" i="16"/>
  <c r="P2088" i="16" s="1"/>
  <c r="N2186" i="16"/>
  <c r="I2186" i="16" s="1"/>
  <c r="Q2186" i="16"/>
  <c r="S2186" i="16" s="1"/>
  <c r="R2186" i="16"/>
  <c r="P2186" i="16" s="1"/>
  <c r="N2260" i="16"/>
  <c r="I2260" i="16" s="1"/>
  <c r="Q2260" i="16"/>
  <c r="S2260" i="16" s="1"/>
  <c r="R2260" i="16"/>
  <c r="P2260" i="16" s="1"/>
  <c r="N2324" i="16"/>
  <c r="I2324" i="16" s="1"/>
  <c r="Q2324" i="16"/>
  <c r="S2324" i="16" s="1"/>
  <c r="R2324" i="16"/>
  <c r="P2324" i="16" s="1"/>
  <c r="N2388" i="16"/>
  <c r="I2388" i="16" s="1"/>
  <c r="N2452" i="16"/>
  <c r="I2452" i="16" s="1"/>
  <c r="N2516" i="16"/>
  <c r="I2516" i="16" s="1"/>
  <c r="Q2516" i="16"/>
  <c r="S2516" i="16" s="1"/>
  <c r="R2516" i="16"/>
  <c r="P2516" i="16" s="1"/>
  <c r="N2580" i="16"/>
  <c r="I2580" i="16" s="1"/>
  <c r="Q2580" i="16"/>
  <c r="S2580" i="16" s="1"/>
  <c r="R2580" i="16"/>
  <c r="P2580" i="16" s="1"/>
  <c r="N2644" i="16"/>
  <c r="I2644" i="16" s="1"/>
  <c r="Q2644" i="16"/>
  <c r="S2644" i="16" s="1"/>
  <c r="R2644" i="16"/>
  <c r="P2644" i="16" s="1"/>
  <c r="N299" i="16"/>
  <c r="I299" i="16" s="1"/>
  <c r="N547" i="16"/>
  <c r="I547" i="16" s="1"/>
  <c r="Q547" i="16"/>
  <c r="S547" i="16" s="1"/>
  <c r="R547" i="16"/>
  <c r="P547" i="16" s="1"/>
  <c r="N709" i="16"/>
  <c r="I709" i="16" s="1"/>
  <c r="N855" i="16"/>
  <c r="I855" i="16" s="1"/>
  <c r="N996" i="16"/>
  <c r="I996" i="16" s="1"/>
  <c r="N1124" i="16"/>
  <c r="I1124" i="16" s="1"/>
  <c r="Q1124" i="16"/>
  <c r="S1124" i="16" s="1"/>
  <c r="R1124" i="16"/>
  <c r="P1124" i="16" s="1"/>
  <c r="N1252" i="16"/>
  <c r="I1252" i="16" s="1"/>
  <c r="N1380" i="16"/>
  <c r="I1380" i="16" s="1"/>
  <c r="Q1380" i="16"/>
  <c r="S1380" i="16" s="1"/>
  <c r="R1380" i="16"/>
  <c r="P1380" i="16" s="1"/>
  <c r="N1508" i="16"/>
  <c r="I1508" i="16" s="1"/>
  <c r="N1636" i="16"/>
  <c r="I1636" i="16" s="1"/>
  <c r="N1764" i="16"/>
  <c r="I1764" i="16" s="1"/>
  <c r="Q1764" i="16"/>
  <c r="S1764" i="16" s="1"/>
  <c r="R1764" i="16"/>
  <c r="P1764" i="16" s="1"/>
  <c r="Q1885" i="16"/>
  <c r="S1885" i="16" s="1"/>
  <c r="R1885" i="16"/>
  <c r="P1885" i="16" s="1"/>
  <c r="N1988" i="16"/>
  <c r="I1988" i="16" s="1"/>
  <c r="N2090" i="16"/>
  <c r="I2090" i="16" s="1"/>
  <c r="Q2090" i="16"/>
  <c r="S2090" i="16" s="1"/>
  <c r="R2090" i="16"/>
  <c r="P2090" i="16" s="1"/>
  <c r="N2189" i="16"/>
  <c r="I2189" i="16" s="1"/>
  <c r="N2262" i="16"/>
  <c r="I2262" i="16" s="1"/>
  <c r="Q2262" i="16"/>
  <c r="S2262" i="16" s="1"/>
  <c r="R2262" i="16"/>
  <c r="P2262" i="16" s="1"/>
  <c r="N2326" i="16"/>
  <c r="I2326" i="16" s="1"/>
  <c r="R2326" i="16"/>
  <c r="P2326" i="16" s="1"/>
  <c r="Q2326" i="16"/>
  <c r="S2326" i="16" s="1"/>
  <c r="N2390" i="16"/>
  <c r="I2390" i="16" s="1"/>
  <c r="N2454" i="16"/>
  <c r="I2454" i="16" s="1"/>
  <c r="N2518" i="16"/>
  <c r="I2518" i="16" s="1"/>
  <c r="N2582" i="16"/>
  <c r="I2582" i="16" s="1"/>
  <c r="Q2582" i="16"/>
  <c r="S2582" i="16" s="1"/>
  <c r="R2582" i="16"/>
  <c r="P2582" i="16" s="1"/>
  <c r="N2646" i="16"/>
  <c r="I2646" i="16" s="1"/>
  <c r="Q2646" i="16"/>
  <c r="S2646" i="16" s="1"/>
  <c r="R2646" i="16"/>
  <c r="P2646" i="16" s="1"/>
  <c r="N307" i="16"/>
  <c r="I307" i="16" s="1"/>
  <c r="Q307" i="16"/>
  <c r="S307" i="16" s="1"/>
  <c r="R307" i="16"/>
  <c r="P307" i="16" s="1"/>
  <c r="N554" i="16"/>
  <c r="I554" i="16" s="1"/>
  <c r="N714" i="16"/>
  <c r="I714" i="16" s="1"/>
  <c r="Q714" i="16"/>
  <c r="S714" i="16" s="1"/>
  <c r="R714" i="16"/>
  <c r="P714" i="16" s="1"/>
  <c r="N860" i="16"/>
  <c r="I860" i="16" s="1"/>
  <c r="Q860" i="16"/>
  <c r="S860" i="16" s="1"/>
  <c r="R860" i="16"/>
  <c r="P860" i="16" s="1"/>
  <c r="N1000" i="16"/>
  <c r="I1000" i="16" s="1"/>
  <c r="Q1000" i="16"/>
  <c r="S1000" i="16" s="1"/>
  <c r="R1000" i="16"/>
  <c r="P1000" i="16" s="1"/>
  <c r="N1128" i="16"/>
  <c r="I1128" i="16" s="1"/>
  <c r="N1256" i="16"/>
  <c r="I1256" i="16" s="1"/>
  <c r="N417" i="16"/>
  <c r="I417" i="16" s="1"/>
  <c r="Q417" i="16"/>
  <c r="S417" i="16" s="1"/>
  <c r="R417" i="16"/>
  <c r="P417" i="16" s="1"/>
  <c r="N619" i="16"/>
  <c r="I619" i="16" s="1"/>
  <c r="N770" i="16"/>
  <c r="I770" i="16" s="1"/>
  <c r="Q770" i="16"/>
  <c r="S770" i="16" s="1"/>
  <c r="R770" i="16"/>
  <c r="P770" i="16" s="1"/>
  <c r="N916" i="16"/>
  <c r="I916" i="16" s="1"/>
  <c r="N1049" i="16"/>
  <c r="I1049" i="16" s="1"/>
  <c r="N1177" i="16"/>
  <c r="I1177" i="16" s="1"/>
  <c r="Q1177" i="16"/>
  <c r="S1177" i="16" s="1"/>
  <c r="R1177" i="16"/>
  <c r="P1177" i="16" s="1"/>
  <c r="N250" i="16"/>
  <c r="I250" i="16" s="1"/>
  <c r="N686" i="16"/>
  <c r="I686" i="16" s="1"/>
  <c r="N833" i="16"/>
  <c r="I833" i="16" s="1"/>
  <c r="N976" i="16"/>
  <c r="I976" i="16" s="1"/>
  <c r="N1104" i="16"/>
  <c r="I1104" i="16" s="1"/>
  <c r="N1232" i="16"/>
  <c r="I1232" i="16" s="1"/>
  <c r="Q1232" i="16"/>
  <c r="S1232" i="16" s="1"/>
  <c r="R1232" i="16"/>
  <c r="P1232" i="16" s="1"/>
  <c r="N1360" i="16"/>
  <c r="I1360" i="16" s="1"/>
  <c r="Q1360" i="16"/>
  <c r="S1360" i="16" s="1"/>
  <c r="R1360" i="16"/>
  <c r="P1360" i="16" s="1"/>
  <c r="N1488" i="16"/>
  <c r="I1488" i="16" s="1"/>
  <c r="Q1488" i="16"/>
  <c r="S1488" i="16" s="1"/>
  <c r="R1488" i="16"/>
  <c r="P1488" i="16" s="1"/>
  <c r="N1616" i="16"/>
  <c r="I1616" i="16" s="1"/>
  <c r="Q1616" i="16"/>
  <c r="S1616" i="16" s="1"/>
  <c r="R1616" i="16"/>
  <c r="P1616" i="16" s="1"/>
  <c r="N1744" i="16"/>
  <c r="I1744" i="16" s="1"/>
  <c r="N1868" i="16"/>
  <c r="I1868" i="16" s="1"/>
  <c r="N164" i="16"/>
  <c r="I164" i="16" s="1"/>
  <c r="Q164" i="16"/>
  <c r="S164" i="16" s="1"/>
  <c r="R164" i="16"/>
  <c r="P164" i="16" s="1"/>
  <c r="N753" i="16"/>
  <c r="I753" i="16" s="1"/>
  <c r="Q753" i="16"/>
  <c r="S753" i="16" s="1"/>
  <c r="R753" i="16"/>
  <c r="P753" i="16" s="1"/>
  <c r="N1116" i="16"/>
  <c r="I1116" i="16" s="1"/>
  <c r="N1386" i="16"/>
  <c r="I1386" i="16" s="1"/>
  <c r="R1386" i="16"/>
  <c r="P1386" i="16" s="1"/>
  <c r="Q1386" i="16"/>
  <c r="S1386" i="16" s="1"/>
  <c r="N1593" i="16"/>
  <c r="I1593" i="16" s="1"/>
  <c r="N1800" i="16"/>
  <c r="I1800" i="16" s="1"/>
  <c r="N1969" i="16"/>
  <c r="I1969" i="16" s="1"/>
  <c r="Q1969" i="16"/>
  <c r="S1969" i="16" s="1"/>
  <c r="R1969" i="16"/>
  <c r="P1969" i="16" s="1"/>
  <c r="N2106" i="16"/>
  <c r="I2106" i="16" s="1"/>
  <c r="Q2106" i="16"/>
  <c r="S2106" i="16" s="1"/>
  <c r="R2106" i="16"/>
  <c r="P2106" i="16" s="1"/>
  <c r="Q2229" i="16"/>
  <c r="S2229" i="16" s="1"/>
  <c r="R2229" i="16"/>
  <c r="P2229" i="16" s="1"/>
  <c r="N2314" i="16"/>
  <c r="I2314" i="16" s="1"/>
  <c r="Q2314" i="16"/>
  <c r="S2314" i="16" s="1"/>
  <c r="R2314" i="16"/>
  <c r="P2314" i="16" s="1"/>
  <c r="N2400" i="16"/>
  <c r="I2400" i="16" s="1"/>
  <c r="Q2485" i="16"/>
  <c r="S2485" i="16" s="1"/>
  <c r="R2485" i="16"/>
  <c r="P2485" i="16" s="1"/>
  <c r="N2570" i="16"/>
  <c r="I2570" i="16" s="1"/>
  <c r="N2656" i="16"/>
  <c r="I2656" i="16" s="1"/>
  <c r="Q2656" i="16"/>
  <c r="S2656" i="16" s="1"/>
  <c r="R2656" i="16"/>
  <c r="P2656" i="16" s="1"/>
  <c r="N663" i="16"/>
  <c r="I663" i="16" s="1"/>
  <c r="Q663" i="16"/>
  <c r="S663" i="16" s="1"/>
  <c r="R663" i="16"/>
  <c r="P663" i="16" s="1"/>
  <c r="N1042" i="16"/>
  <c r="I1042" i="16" s="1"/>
  <c r="Q1042" i="16"/>
  <c r="S1042" i="16" s="1"/>
  <c r="R1042" i="16"/>
  <c r="P1042" i="16" s="1"/>
  <c r="N1340" i="16"/>
  <c r="I1340" i="16" s="1"/>
  <c r="N1546" i="16"/>
  <c r="I1546" i="16" s="1"/>
  <c r="Q1546" i="16"/>
  <c r="S1546" i="16" s="1"/>
  <c r="R1546" i="16"/>
  <c r="P1546" i="16" s="1"/>
  <c r="N1753" i="16"/>
  <c r="I1753" i="16" s="1"/>
  <c r="Q1753" i="16"/>
  <c r="S1753" i="16" s="1"/>
  <c r="R1753" i="16"/>
  <c r="P1753" i="16" s="1"/>
  <c r="N1938" i="16"/>
  <c r="I1938" i="16" s="1"/>
  <c r="N2076" i="16"/>
  <c r="I2076" i="16" s="1"/>
  <c r="Q2205" i="16"/>
  <c r="S2205" i="16" s="1"/>
  <c r="R2205" i="16"/>
  <c r="P2205" i="16" s="1"/>
  <c r="N2296" i="16"/>
  <c r="I2296" i="16" s="1"/>
  <c r="Q2296" i="16"/>
  <c r="S2296" i="16" s="1"/>
  <c r="R2296" i="16"/>
  <c r="P2296" i="16" s="1"/>
  <c r="Q2381" i="16"/>
  <c r="S2381" i="16" s="1"/>
  <c r="R2381" i="16"/>
  <c r="P2381" i="16" s="1"/>
  <c r="N2466" i="16"/>
  <c r="I2466" i="16" s="1"/>
  <c r="Q2466" i="16"/>
  <c r="S2466" i="16" s="1"/>
  <c r="R2466" i="16"/>
  <c r="P2466" i="16" s="1"/>
  <c r="N2552" i="16"/>
  <c r="I2552" i="16" s="1"/>
  <c r="Q2552" i="16"/>
  <c r="S2552" i="16" s="1"/>
  <c r="R2552" i="16"/>
  <c r="P2552" i="16" s="1"/>
  <c r="Q2637" i="16"/>
  <c r="S2637" i="16" s="1"/>
  <c r="R2637" i="16"/>
  <c r="P2637" i="16" s="1"/>
  <c r="N559" i="16"/>
  <c r="I559" i="16" s="1"/>
  <c r="N962" i="16"/>
  <c r="I962" i="16" s="1"/>
  <c r="Q962" i="16"/>
  <c r="S962" i="16" s="1"/>
  <c r="R962" i="16"/>
  <c r="P962" i="16" s="1"/>
  <c r="N1282" i="16"/>
  <c r="I1282" i="16" s="1"/>
  <c r="Q1282" i="16"/>
  <c r="S1282" i="16" s="1"/>
  <c r="R1282" i="16"/>
  <c r="P1282" i="16" s="1"/>
  <c r="N1498" i="16"/>
  <c r="I1498" i="16" s="1"/>
  <c r="Q1498" i="16"/>
  <c r="S1498" i="16" s="1"/>
  <c r="R1498" i="16"/>
  <c r="P1498" i="16" s="1"/>
  <c r="N1705" i="16"/>
  <c r="I1705" i="16" s="1"/>
  <c r="N1900" i="16"/>
  <c r="I1900" i="16" s="1"/>
  <c r="Q1900" i="16"/>
  <c r="S1900" i="16" s="1"/>
  <c r="R1900" i="16"/>
  <c r="P1900" i="16" s="1"/>
  <c r="N2044" i="16"/>
  <c r="I2044" i="16" s="1"/>
  <c r="N2180" i="16"/>
  <c r="I2180" i="16" s="1"/>
  <c r="Q2180" i="16"/>
  <c r="S2180" i="16" s="1"/>
  <c r="R2180" i="16"/>
  <c r="P2180" i="16" s="1"/>
  <c r="N2275" i="16"/>
  <c r="I2275" i="16" s="1"/>
  <c r="N2361" i="16"/>
  <c r="I2361" i="16" s="1"/>
  <c r="N2447" i="16"/>
  <c r="I2447" i="16" s="1"/>
  <c r="R2447" i="16"/>
  <c r="P2447" i="16" s="1"/>
  <c r="Q2447" i="16"/>
  <c r="S2447" i="16" s="1"/>
  <c r="Q2531" i="16"/>
  <c r="S2531" i="16" s="1"/>
  <c r="N2531" i="16"/>
  <c r="I2531" i="16" s="1"/>
  <c r="R2531" i="16"/>
  <c r="P2531" i="16" s="1"/>
  <c r="N2617" i="16"/>
  <c r="I2617" i="16" s="1"/>
  <c r="R2617" i="16"/>
  <c r="P2617" i="16" s="1"/>
  <c r="Q2617" i="16"/>
  <c r="S2617" i="16" s="1"/>
  <c r="N871" i="16"/>
  <c r="I871" i="16" s="1"/>
  <c r="N1225" i="16"/>
  <c r="I1225" i="16" s="1"/>
  <c r="N1450" i="16"/>
  <c r="I1450" i="16" s="1"/>
  <c r="R1450" i="16"/>
  <c r="P1450" i="16" s="1"/>
  <c r="Q1450" i="16"/>
  <c r="S1450" i="16" s="1"/>
  <c r="N1657" i="16"/>
  <c r="I1657" i="16" s="1"/>
  <c r="Q1657" i="16"/>
  <c r="S1657" i="16" s="1"/>
  <c r="R1657" i="16"/>
  <c r="P1657" i="16" s="1"/>
  <c r="N2012" i="16"/>
  <c r="I2012" i="16" s="1"/>
  <c r="Q2012" i="16"/>
  <c r="S2012" i="16" s="1"/>
  <c r="R2012" i="16"/>
  <c r="P2012" i="16" s="1"/>
  <c r="N2148" i="16"/>
  <c r="I2148" i="16" s="1"/>
  <c r="Q2148" i="16"/>
  <c r="S2148" i="16" s="1"/>
  <c r="R2148" i="16"/>
  <c r="P2148" i="16" s="1"/>
  <c r="N2256" i="16"/>
  <c r="I2256" i="16" s="1"/>
  <c r="Q2256" i="16"/>
  <c r="S2256" i="16" s="1"/>
  <c r="R2256" i="16"/>
  <c r="P2256" i="16" s="1"/>
  <c r="Q2341" i="16"/>
  <c r="S2341" i="16" s="1"/>
  <c r="R2341" i="16"/>
  <c r="P2341" i="16" s="1"/>
  <c r="N2426" i="16"/>
  <c r="I2426" i="16" s="1"/>
  <c r="Q2426" i="16"/>
  <c r="S2426" i="16" s="1"/>
  <c r="R2426" i="16"/>
  <c r="P2426" i="16" s="1"/>
  <c r="N2512" i="16"/>
  <c r="I2512" i="16" s="1"/>
  <c r="Q2512" i="16"/>
  <c r="S2512" i="16" s="1"/>
  <c r="R2512" i="16"/>
  <c r="P2512" i="16" s="1"/>
  <c r="Q2597" i="16"/>
  <c r="S2597" i="16" s="1"/>
  <c r="R2597" i="16"/>
  <c r="P2597" i="16" s="1"/>
  <c r="N274" i="16"/>
  <c r="I274" i="16" s="1"/>
  <c r="Q274" i="16"/>
  <c r="S274" i="16" s="1"/>
  <c r="R274" i="16"/>
  <c r="P274" i="16" s="1"/>
  <c r="N791" i="16"/>
  <c r="I791" i="16" s="1"/>
  <c r="Q791" i="16"/>
  <c r="S791" i="16" s="1"/>
  <c r="R791" i="16"/>
  <c r="P791" i="16" s="1"/>
  <c r="N1154" i="16"/>
  <c r="I1154" i="16" s="1"/>
  <c r="N1410" i="16"/>
  <c r="I1410" i="16" s="1"/>
  <c r="Q1410" i="16"/>
  <c r="S1410" i="16" s="1"/>
  <c r="R1410" i="16"/>
  <c r="P1410" i="16" s="1"/>
  <c r="N1612" i="16"/>
  <c r="I1612" i="16" s="1"/>
  <c r="Q1612" i="16"/>
  <c r="S1612" i="16" s="1"/>
  <c r="R1612" i="16"/>
  <c r="P1612" i="16" s="1"/>
  <c r="N1818" i="16"/>
  <c r="I1818" i="16" s="1"/>
  <c r="N1984" i="16"/>
  <c r="I1984" i="16" s="1"/>
  <c r="N2121" i="16"/>
  <c r="I2121" i="16" s="1"/>
  <c r="N2239" i="16"/>
  <c r="I2239" i="16" s="1"/>
  <c r="R2239" i="16"/>
  <c r="P2239" i="16" s="1"/>
  <c r="Q2239" i="16"/>
  <c r="S2239" i="16" s="1"/>
  <c r="N2323" i="16"/>
  <c r="I2323" i="16" s="1"/>
  <c r="N2409" i="16"/>
  <c r="I2409" i="16" s="1"/>
  <c r="Q2409" i="16"/>
  <c r="S2409" i="16" s="1"/>
  <c r="R2409" i="16"/>
  <c r="P2409" i="16" s="1"/>
  <c r="N2495" i="16"/>
  <c r="I2495" i="16" s="1"/>
  <c r="Q2495" i="16"/>
  <c r="S2495" i="16" s="1"/>
  <c r="R2495" i="16"/>
  <c r="P2495" i="16" s="1"/>
  <c r="N2579" i="16"/>
  <c r="I2579" i="16" s="1"/>
  <c r="N142" i="16"/>
  <c r="I142" i="16" s="1"/>
  <c r="N1306" i="16"/>
  <c r="I1306" i="16" s="1"/>
  <c r="N1864" i="16"/>
  <c r="I1864" i="16" s="1"/>
  <c r="Q1864" i="16"/>
  <c r="S1864" i="16" s="1"/>
  <c r="R1864" i="16"/>
  <c r="P1864" i="16" s="1"/>
  <c r="N2225" i="16"/>
  <c r="I2225" i="16" s="1"/>
  <c r="Q2225" i="16"/>
  <c r="S2225" i="16" s="1"/>
  <c r="R2225" i="16"/>
  <c r="P2225" i="16" s="1"/>
  <c r="N2455" i="16"/>
  <c r="I2455" i="16" s="1"/>
  <c r="Q2455" i="16"/>
  <c r="S2455" i="16" s="1"/>
  <c r="R2455" i="16"/>
  <c r="P2455" i="16" s="1"/>
  <c r="Q237" i="16"/>
  <c r="S237" i="16" s="1"/>
  <c r="R237" i="16"/>
  <c r="P237" i="16" s="1"/>
  <c r="N1324" i="16"/>
  <c r="I1324" i="16" s="1"/>
  <c r="N1874" i="16"/>
  <c r="I1874" i="16" s="1"/>
  <c r="N2235" i="16"/>
  <c r="I2235" i="16" s="1"/>
  <c r="Q2235" i="16"/>
  <c r="S2235" i="16" s="1"/>
  <c r="R2235" i="16"/>
  <c r="P2235" i="16" s="1"/>
  <c r="Q2461" i="16"/>
  <c r="S2461" i="16" s="1"/>
  <c r="R2461" i="16"/>
  <c r="P2461" i="16" s="1"/>
  <c r="N510" i="16"/>
  <c r="I510" i="16" s="1"/>
  <c r="N1404" i="16"/>
  <c r="I1404" i="16" s="1"/>
  <c r="Q1404" i="16"/>
  <c r="S1404" i="16" s="1"/>
  <c r="R1404" i="16"/>
  <c r="P1404" i="16" s="1"/>
  <c r="N1936" i="16"/>
  <c r="I1936" i="16" s="1"/>
  <c r="Q1936" i="16"/>
  <c r="S1936" i="16" s="1"/>
  <c r="R1936" i="16"/>
  <c r="P1936" i="16" s="1"/>
  <c r="N2267" i="16"/>
  <c r="I2267" i="16" s="1"/>
  <c r="Q2493" i="16"/>
  <c r="S2493" i="16" s="1"/>
  <c r="R2493" i="16"/>
  <c r="P2493" i="16" s="1"/>
  <c r="N519" i="16"/>
  <c r="I519" i="16" s="1"/>
  <c r="N1417" i="16"/>
  <c r="I1417" i="16" s="1"/>
  <c r="N1944" i="16"/>
  <c r="I1944" i="16" s="1"/>
  <c r="Q2269" i="16"/>
  <c r="S2269" i="16" s="1"/>
  <c r="R2269" i="16"/>
  <c r="P2269" i="16" s="1"/>
  <c r="N2497" i="16"/>
  <c r="I2497" i="16" s="1"/>
  <c r="Q2497" i="16"/>
  <c r="S2497" i="16" s="1"/>
  <c r="R2497" i="16"/>
  <c r="P2497" i="16" s="1"/>
  <c r="N1442" i="16"/>
  <c r="I1442" i="16" s="1"/>
  <c r="N1964" i="16"/>
  <c r="I1964" i="16" s="1"/>
  <c r="Q1964" i="16"/>
  <c r="S1964" i="16" s="1"/>
  <c r="R1964" i="16"/>
  <c r="P1964" i="16" s="1"/>
  <c r="N2280" i="16"/>
  <c r="I2280" i="16" s="1"/>
  <c r="Q2280" i="16"/>
  <c r="S2280" i="16" s="1"/>
  <c r="R2280" i="16"/>
  <c r="P2280" i="16" s="1"/>
  <c r="N2507" i="16"/>
  <c r="I2507" i="16" s="1"/>
  <c r="Q2507" i="16"/>
  <c r="S2507" i="16" s="1"/>
  <c r="R2507" i="16"/>
  <c r="P2507" i="16" s="1"/>
  <c r="N972" i="16"/>
  <c r="I972" i="16" s="1"/>
  <c r="Q972" i="16"/>
  <c r="S972" i="16" s="1"/>
  <c r="R972" i="16"/>
  <c r="P972" i="16" s="1"/>
  <c r="N2289" i="16"/>
  <c r="I2289" i="16" s="1"/>
  <c r="N1322" i="16"/>
  <c r="I1322" i="16" s="1"/>
  <c r="N2386" i="16"/>
  <c r="I2386" i="16" s="1"/>
  <c r="N1530" i="16"/>
  <c r="I1530" i="16" s="1"/>
  <c r="Q1530" i="16"/>
  <c r="S1530" i="16" s="1"/>
  <c r="R1530" i="16"/>
  <c r="P1530" i="16" s="1"/>
  <c r="N2472" i="16"/>
  <c r="I2472" i="16" s="1"/>
  <c r="Q2472" i="16"/>
  <c r="S2472" i="16" s="1"/>
  <c r="R2472" i="16"/>
  <c r="P2472" i="16" s="1"/>
  <c r="N1737" i="16"/>
  <c r="I1737" i="16" s="1"/>
  <c r="Q1737" i="16"/>
  <c r="S1737" i="16" s="1"/>
  <c r="R1737" i="16"/>
  <c r="P1737" i="16" s="1"/>
  <c r="Q2557" i="16"/>
  <c r="S2557" i="16" s="1"/>
  <c r="R2557" i="16"/>
  <c r="P2557" i="16" s="1"/>
  <c r="N1954" i="16"/>
  <c r="I1954" i="16" s="1"/>
  <c r="Q1954" i="16"/>
  <c r="S1954" i="16" s="1"/>
  <c r="R1954" i="16"/>
  <c r="P1954" i="16" s="1"/>
  <c r="N2657" i="16"/>
  <c r="I2657" i="16" s="1"/>
  <c r="Q2657" i="16"/>
  <c r="S2657" i="16" s="1"/>
  <c r="R2657" i="16"/>
  <c r="P2657" i="16" s="1"/>
  <c r="N2066" i="16"/>
  <c r="I2066" i="16" s="1"/>
  <c r="R2066" i="16"/>
  <c r="P2066" i="16" s="1"/>
  <c r="Q2066" i="16"/>
  <c r="S2066" i="16" s="1"/>
  <c r="N2561" i="16"/>
  <c r="I2561" i="16" s="1"/>
  <c r="Q2561" i="16"/>
  <c r="S2561" i="16" s="1"/>
  <c r="R2561" i="16"/>
  <c r="P2561" i="16" s="1"/>
  <c r="N1496" i="16"/>
  <c r="I1496" i="16" s="1"/>
  <c r="Q1496" i="16"/>
  <c r="S1496" i="16" s="1"/>
  <c r="R1496" i="16"/>
  <c r="P1496" i="16" s="1"/>
  <c r="N2301" i="16"/>
  <c r="I2301" i="16" s="1"/>
  <c r="N2174" i="16"/>
  <c r="I2174" i="16" s="1"/>
  <c r="Q2174" i="16"/>
  <c r="S2174" i="16" s="1"/>
  <c r="R2174" i="16"/>
  <c r="P2174" i="16" s="1"/>
  <c r="N39" i="16"/>
  <c r="I39" i="16" s="1"/>
  <c r="Q39" i="16"/>
  <c r="S39" i="16" s="1"/>
  <c r="R39" i="16"/>
  <c r="P39" i="16" s="1"/>
  <c r="N103" i="16"/>
  <c r="I103" i="16" s="1"/>
  <c r="Q103" i="16"/>
  <c r="S103" i="16" s="1"/>
  <c r="R103" i="16"/>
  <c r="P103" i="16" s="1"/>
  <c r="N167" i="16"/>
  <c r="I167" i="16" s="1"/>
  <c r="Q167" i="16"/>
  <c r="S167" i="16" s="1"/>
  <c r="R167" i="16"/>
  <c r="P167" i="16" s="1"/>
  <c r="N231" i="16"/>
  <c r="I231" i="16" s="1"/>
  <c r="Q231" i="16"/>
  <c r="S231" i="16" s="1"/>
  <c r="R231" i="16"/>
  <c r="P231" i="16" s="1"/>
  <c r="N295" i="16"/>
  <c r="I295" i="16" s="1"/>
  <c r="N359" i="16"/>
  <c r="I359" i="16" s="1"/>
  <c r="Q359" i="16"/>
  <c r="S359" i="16" s="1"/>
  <c r="R359" i="16"/>
  <c r="P359" i="16" s="1"/>
  <c r="N423" i="16"/>
  <c r="I423" i="16" s="1"/>
  <c r="N487" i="16"/>
  <c r="I487" i="16" s="1"/>
  <c r="Q487" i="16"/>
  <c r="S487" i="16" s="1"/>
  <c r="R487" i="16"/>
  <c r="P487" i="16" s="1"/>
  <c r="N56" i="16"/>
  <c r="I56" i="16" s="1"/>
  <c r="N120" i="16"/>
  <c r="I120" i="16" s="1"/>
  <c r="N184" i="16"/>
  <c r="I184" i="16" s="1"/>
  <c r="Q184" i="16"/>
  <c r="S184" i="16" s="1"/>
  <c r="R184" i="16"/>
  <c r="P184" i="16" s="1"/>
  <c r="N248" i="16"/>
  <c r="I248" i="16" s="1"/>
  <c r="N312" i="16"/>
  <c r="I312" i="16" s="1"/>
  <c r="Q312" i="16"/>
  <c r="S312" i="16" s="1"/>
  <c r="R312" i="16"/>
  <c r="P312" i="16" s="1"/>
  <c r="N376" i="16"/>
  <c r="I376" i="16" s="1"/>
  <c r="N440" i="16"/>
  <c r="I440" i="16" s="1"/>
  <c r="Q440" i="16"/>
  <c r="S440" i="16" s="1"/>
  <c r="R440" i="16"/>
  <c r="P440" i="16" s="1"/>
  <c r="N49" i="16"/>
  <c r="I49" i="16" s="1"/>
  <c r="Q49" i="16"/>
  <c r="S49" i="16" s="1"/>
  <c r="R49" i="16"/>
  <c r="P49" i="16" s="1"/>
  <c r="Q133" i="16"/>
  <c r="S133" i="16" s="1"/>
  <c r="R133" i="16"/>
  <c r="P133" i="16" s="1"/>
  <c r="N219" i="16"/>
  <c r="I219" i="16" s="1"/>
  <c r="N305" i="16"/>
  <c r="I305" i="16" s="1"/>
  <c r="Q305" i="16"/>
  <c r="S305" i="16" s="1"/>
  <c r="R305" i="16"/>
  <c r="P305" i="16" s="1"/>
  <c r="N20" i="16"/>
  <c r="I20" i="16" s="1"/>
  <c r="N106" i="16"/>
  <c r="I106" i="16" s="1"/>
  <c r="N190" i="16"/>
  <c r="I190" i="16" s="1"/>
  <c r="N276" i="16"/>
  <c r="I276" i="16" s="1"/>
  <c r="Q276" i="16"/>
  <c r="S276" i="16" s="1"/>
  <c r="R276" i="16"/>
  <c r="P276" i="16" s="1"/>
  <c r="N362" i="16"/>
  <c r="I362" i="16" s="1"/>
  <c r="Q362" i="16"/>
  <c r="S362" i="16" s="1"/>
  <c r="R362" i="16"/>
  <c r="P362" i="16" s="1"/>
  <c r="N446" i="16"/>
  <c r="I446" i="16" s="1"/>
  <c r="N520" i="16"/>
  <c r="I520" i="16" s="1"/>
  <c r="Q520" i="16"/>
  <c r="S520" i="16" s="1"/>
  <c r="R520" i="16"/>
  <c r="P520" i="16" s="1"/>
  <c r="N584" i="16"/>
  <c r="I584" i="16" s="1"/>
  <c r="R584" i="16"/>
  <c r="P584" i="16" s="1"/>
  <c r="Q584" i="16"/>
  <c r="S584" i="16" s="1"/>
  <c r="N648" i="16"/>
  <c r="I648" i="16" s="1"/>
  <c r="Q648" i="16"/>
  <c r="S648" i="16" s="1"/>
  <c r="R648" i="16"/>
  <c r="P648" i="16" s="1"/>
  <c r="N712" i="16"/>
  <c r="I712" i="16" s="1"/>
  <c r="Q712" i="16"/>
  <c r="S712" i="16" s="1"/>
  <c r="R712" i="16"/>
  <c r="P712" i="16" s="1"/>
  <c r="N776" i="16"/>
  <c r="I776" i="16" s="1"/>
  <c r="N840" i="16"/>
  <c r="I840" i="16" s="1"/>
  <c r="N904" i="16"/>
  <c r="I904" i="16" s="1"/>
  <c r="Q21" i="16"/>
  <c r="S21" i="16" s="1"/>
  <c r="R21" i="16"/>
  <c r="P21" i="16" s="1"/>
  <c r="N134" i="16"/>
  <c r="I134" i="16" s="1"/>
  <c r="N249" i="16"/>
  <c r="I249" i="16" s="1"/>
  <c r="Q249" i="16"/>
  <c r="S249" i="16" s="1"/>
  <c r="R249" i="16"/>
  <c r="P249" i="16" s="1"/>
  <c r="N363" i="16"/>
  <c r="I363" i="16" s="1"/>
  <c r="Q461" i="16"/>
  <c r="S461" i="16" s="1"/>
  <c r="R461" i="16"/>
  <c r="P461" i="16" s="1"/>
  <c r="N540" i="16"/>
  <c r="I540" i="16" s="1"/>
  <c r="Q540" i="16"/>
  <c r="S540" i="16" s="1"/>
  <c r="R540" i="16"/>
  <c r="P540" i="16" s="1"/>
  <c r="Q613" i="16"/>
  <c r="S613" i="16" s="1"/>
  <c r="R613" i="16"/>
  <c r="P613" i="16" s="1"/>
  <c r="N54" i="16"/>
  <c r="I54" i="16" s="1"/>
  <c r="N169" i="16"/>
  <c r="I169" i="16" s="1"/>
  <c r="Q169" i="16"/>
  <c r="S169" i="16" s="1"/>
  <c r="R169" i="16"/>
  <c r="P169" i="16" s="1"/>
  <c r="N282" i="16"/>
  <c r="I282" i="16" s="1"/>
  <c r="Q282" i="16"/>
  <c r="S282" i="16" s="1"/>
  <c r="R282" i="16"/>
  <c r="P282" i="16" s="1"/>
  <c r="N393" i="16"/>
  <c r="I393" i="16" s="1"/>
  <c r="N488" i="16"/>
  <c r="I488" i="16" s="1"/>
  <c r="N562" i="16"/>
  <c r="I562" i="16" s="1"/>
  <c r="N114" i="16"/>
  <c r="I114" i="16" s="1"/>
  <c r="Q114" i="16"/>
  <c r="S114" i="16" s="1"/>
  <c r="R114" i="16"/>
  <c r="P114" i="16" s="1"/>
  <c r="N227" i="16"/>
  <c r="I227" i="16" s="1"/>
  <c r="N146" i="16"/>
  <c r="I146" i="16" s="1"/>
  <c r="N314" i="16"/>
  <c r="I314" i="16" s="1"/>
  <c r="Q314" i="16"/>
  <c r="S314" i="16" s="1"/>
  <c r="R314" i="16"/>
  <c r="P314" i="16" s="1"/>
  <c r="N452" i="16"/>
  <c r="I452" i="16" s="1"/>
  <c r="Q557" i="16"/>
  <c r="S557" i="16" s="1"/>
  <c r="R557" i="16"/>
  <c r="P557" i="16" s="1"/>
  <c r="N643" i="16"/>
  <c r="I643" i="16" s="1"/>
  <c r="N790" i="16"/>
  <c r="I790" i="16" s="1"/>
  <c r="N863" i="16"/>
  <c r="I863" i="16" s="1"/>
  <c r="N937" i="16"/>
  <c r="I937" i="16" s="1"/>
  <c r="N1003" i="16"/>
  <c r="I1003" i="16" s="1"/>
  <c r="N1067" i="16"/>
  <c r="I1067" i="16" s="1"/>
  <c r="N1131" i="16"/>
  <c r="I1131" i="16" s="1"/>
  <c r="Q1131" i="16"/>
  <c r="S1131" i="16" s="1"/>
  <c r="R1131" i="16"/>
  <c r="P1131" i="16" s="1"/>
  <c r="N1195" i="16"/>
  <c r="I1195" i="16" s="1"/>
  <c r="N1259" i="16"/>
  <c r="I1259" i="16" s="1"/>
  <c r="Q1259" i="16"/>
  <c r="S1259" i="16" s="1"/>
  <c r="R1259" i="16"/>
  <c r="P1259" i="16" s="1"/>
  <c r="N1323" i="16"/>
  <c r="I1323" i="16" s="1"/>
  <c r="Q1323" i="16"/>
  <c r="S1323" i="16" s="1"/>
  <c r="R1323" i="16"/>
  <c r="P1323" i="16" s="1"/>
  <c r="N1387" i="16"/>
  <c r="I1387" i="16" s="1"/>
  <c r="N1451" i="16"/>
  <c r="I1451" i="16" s="1"/>
  <c r="N1515" i="16"/>
  <c r="I1515" i="16" s="1"/>
  <c r="Q1515" i="16"/>
  <c r="S1515" i="16" s="1"/>
  <c r="R1515" i="16"/>
  <c r="P1515" i="16" s="1"/>
  <c r="N1579" i="16"/>
  <c r="I1579" i="16" s="1"/>
  <c r="Q1579" i="16"/>
  <c r="S1579" i="16" s="1"/>
  <c r="R1579" i="16"/>
  <c r="P1579" i="16" s="1"/>
  <c r="N1643" i="16"/>
  <c r="I1643" i="16" s="1"/>
  <c r="Q1643" i="16"/>
  <c r="S1643" i="16" s="1"/>
  <c r="R1643" i="16"/>
  <c r="P1643" i="16" s="1"/>
  <c r="N1707" i="16"/>
  <c r="I1707" i="16" s="1"/>
  <c r="N1771" i="16"/>
  <c r="I1771" i="16" s="1"/>
  <c r="N1835" i="16"/>
  <c r="I1835" i="16" s="1"/>
  <c r="Q1835" i="16"/>
  <c r="S1835" i="16" s="1"/>
  <c r="R1835" i="16"/>
  <c r="P1835" i="16" s="1"/>
  <c r="N1899" i="16"/>
  <c r="I1899" i="16" s="1"/>
  <c r="N1963" i="16"/>
  <c r="I1963" i="16" s="1"/>
  <c r="N2027" i="16"/>
  <c r="I2027" i="16" s="1"/>
  <c r="N2091" i="16"/>
  <c r="I2091" i="16" s="1"/>
  <c r="N2155" i="16"/>
  <c r="I2155" i="16" s="1"/>
  <c r="N2219" i="16"/>
  <c r="I2219" i="16" s="1"/>
  <c r="Q2219" i="16"/>
  <c r="S2219" i="16" s="1"/>
  <c r="R2219" i="16"/>
  <c r="P2219" i="16" s="1"/>
  <c r="N150" i="16"/>
  <c r="I150" i="16" s="1"/>
  <c r="N457" i="16"/>
  <c r="I457" i="16" s="1"/>
  <c r="Q457" i="16"/>
  <c r="S457" i="16" s="1"/>
  <c r="R457" i="16"/>
  <c r="P457" i="16" s="1"/>
  <c r="N561" i="16"/>
  <c r="I561" i="16" s="1"/>
  <c r="Q561" i="16"/>
  <c r="S561" i="16" s="1"/>
  <c r="R561" i="16"/>
  <c r="P561" i="16" s="1"/>
  <c r="N719" i="16"/>
  <c r="I719" i="16" s="1"/>
  <c r="N793" i="16"/>
  <c r="I793" i="16" s="1"/>
  <c r="Q793" i="16"/>
  <c r="S793" i="16" s="1"/>
  <c r="R793" i="16"/>
  <c r="P793" i="16" s="1"/>
  <c r="N866" i="16"/>
  <c r="I866" i="16" s="1"/>
  <c r="Q866" i="16"/>
  <c r="S866" i="16" s="1"/>
  <c r="R866" i="16"/>
  <c r="P866" i="16" s="1"/>
  <c r="N939" i="16"/>
  <c r="I939" i="16" s="1"/>
  <c r="Q1005" i="16"/>
  <c r="S1005" i="16" s="1"/>
  <c r="R1005" i="16"/>
  <c r="P1005" i="16" s="1"/>
  <c r="Q1069" i="16"/>
  <c r="S1069" i="16" s="1"/>
  <c r="R1069" i="16"/>
  <c r="P1069" i="16" s="1"/>
  <c r="Q1133" i="16"/>
  <c r="S1133" i="16" s="1"/>
  <c r="R1133" i="16"/>
  <c r="P1133" i="16" s="1"/>
  <c r="Q1261" i="16"/>
  <c r="S1261" i="16" s="1"/>
  <c r="R1261" i="16"/>
  <c r="P1261" i="16" s="1"/>
  <c r="Q1325" i="16"/>
  <c r="S1325" i="16" s="1"/>
  <c r="R1325" i="16"/>
  <c r="P1325" i="16" s="1"/>
  <c r="Q1517" i="16"/>
  <c r="S1517" i="16" s="1"/>
  <c r="R1517" i="16"/>
  <c r="P1517" i="16" s="1"/>
  <c r="Q1645" i="16"/>
  <c r="S1645" i="16" s="1"/>
  <c r="R1645" i="16"/>
  <c r="P1645" i="16" s="1"/>
  <c r="Q1837" i="16"/>
  <c r="S1837" i="16" s="1"/>
  <c r="R1837" i="16"/>
  <c r="P1837" i="16" s="1"/>
  <c r="N131" i="16"/>
  <c r="I131" i="16" s="1"/>
  <c r="Q131" i="16"/>
  <c r="S131" i="16" s="1"/>
  <c r="R131" i="16"/>
  <c r="P131" i="16" s="1"/>
  <c r="Q301" i="16"/>
  <c r="S301" i="16" s="1"/>
  <c r="R301" i="16"/>
  <c r="P301" i="16" s="1"/>
  <c r="N443" i="16"/>
  <c r="I443" i="16" s="1"/>
  <c r="Q443" i="16"/>
  <c r="S443" i="16" s="1"/>
  <c r="R443" i="16"/>
  <c r="P443" i="16" s="1"/>
  <c r="N550" i="16"/>
  <c r="I550" i="16" s="1"/>
  <c r="Q550" i="16"/>
  <c r="S550" i="16" s="1"/>
  <c r="R550" i="16"/>
  <c r="P550" i="16" s="1"/>
  <c r="N636" i="16"/>
  <c r="I636" i="16" s="1"/>
  <c r="Q636" i="16"/>
  <c r="S636" i="16" s="1"/>
  <c r="R636" i="16"/>
  <c r="P636" i="16" s="1"/>
  <c r="N711" i="16"/>
  <c r="I711" i="16" s="1"/>
  <c r="N785" i="16"/>
  <c r="I785" i="16" s="1"/>
  <c r="Q785" i="16"/>
  <c r="S785" i="16" s="1"/>
  <c r="R785" i="16"/>
  <c r="P785" i="16" s="1"/>
  <c r="N858" i="16"/>
  <c r="I858" i="16" s="1"/>
  <c r="Q858" i="16"/>
  <c r="S858" i="16" s="1"/>
  <c r="R858" i="16"/>
  <c r="P858" i="16" s="1"/>
  <c r="N931" i="16"/>
  <c r="I931" i="16" s="1"/>
  <c r="Q931" i="16"/>
  <c r="S931" i="16" s="1"/>
  <c r="R931" i="16"/>
  <c r="P931" i="16" s="1"/>
  <c r="N998" i="16"/>
  <c r="I998" i="16" s="1"/>
  <c r="Q998" i="16"/>
  <c r="S998" i="16" s="1"/>
  <c r="R998" i="16"/>
  <c r="P998" i="16" s="1"/>
  <c r="N1062" i="16"/>
  <c r="I1062" i="16" s="1"/>
  <c r="Q1062" i="16"/>
  <c r="S1062" i="16" s="1"/>
  <c r="R1062" i="16"/>
  <c r="P1062" i="16" s="1"/>
  <c r="N1126" i="16"/>
  <c r="I1126" i="16" s="1"/>
  <c r="N1190" i="16"/>
  <c r="I1190" i="16" s="1"/>
  <c r="Q1190" i="16"/>
  <c r="S1190" i="16" s="1"/>
  <c r="R1190" i="16"/>
  <c r="P1190" i="16" s="1"/>
  <c r="N1254" i="16"/>
  <c r="I1254" i="16" s="1"/>
  <c r="N1318" i="16"/>
  <c r="I1318" i="16" s="1"/>
  <c r="N1382" i="16"/>
  <c r="I1382" i="16" s="1"/>
  <c r="Q1382" i="16"/>
  <c r="S1382" i="16" s="1"/>
  <c r="R1382" i="16"/>
  <c r="P1382" i="16" s="1"/>
  <c r="N1446" i="16"/>
  <c r="I1446" i="16" s="1"/>
  <c r="Q1446" i="16"/>
  <c r="S1446" i="16" s="1"/>
  <c r="R1446" i="16"/>
  <c r="P1446" i="16" s="1"/>
  <c r="N1510" i="16"/>
  <c r="I1510" i="16" s="1"/>
  <c r="N1574" i="16"/>
  <c r="I1574" i="16" s="1"/>
  <c r="N1638" i="16"/>
  <c r="I1638" i="16" s="1"/>
  <c r="N1702" i="16"/>
  <c r="I1702" i="16" s="1"/>
  <c r="N1766" i="16"/>
  <c r="I1766" i="16" s="1"/>
  <c r="Q1766" i="16"/>
  <c r="S1766" i="16" s="1"/>
  <c r="R1766" i="16"/>
  <c r="P1766" i="16" s="1"/>
  <c r="N1830" i="16"/>
  <c r="I1830" i="16" s="1"/>
  <c r="N1894" i="16"/>
  <c r="I1894" i="16" s="1"/>
  <c r="Q1894" i="16"/>
  <c r="S1894" i="16" s="1"/>
  <c r="R1894" i="16"/>
  <c r="P1894" i="16" s="1"/>
  <c r="N1958" i="16"/>
  <c r="I1958" i="16" s="1"/>
  <c r="Q1958" i="16"/>
  <c r="S1958" i="16" s="1"/>
  <c r="R1958" i="16"/>
  <c r="P1958" i="16" s="1"/>
  <c r="N2022" i="16"/>
  <c r="I2022" i="16" s="1"/>
  <c r="N2086" i="16"/>
  <c r="I2086" i="16" s="1"/>
  <c r="N2150" i="16"/>
  <c r="I2150" i="16" s="1"/>
  <c r="Q2150" i="16"/>
  <c r="S2150" i="16" s="1"/>
  <c r="R2150" i="16"/>
  <c r="P2150" i="16" s="1"/>
  <c r="N132" i="16"/>
  <c r="I132" i="16" s="1"/>
  <c r="N302" i="16"/>
  <c r="I302" i="16" s="1"/>
  <c r="Q302" i="16"/>
  <c r="S302" i="16" s="1"/>
  <c r="R302" i="16"/>
  <c r="P302" i="16" s="1"/>
  <c r="N444" i="16"/>
  <c r="I444" i="16" s="1"/>
  <c r="N551" i="16"/>
  <c r="I551" i="16" s="1"/>
  <c r="Q551" i="16"/>
  <c r="S551" i="16" s="1"/>
  <c r="R551" i="16"/>
  <c r="P551" i="16" s="1"/>
  <c r="N713" i="16"/>
  <c r="I713" i="16" s="1"/>
  <c r="N786" i="16"/>
  <c r="I786" i="16" s="1"/>
  <c r="N859" i="16"/>
  <c r="I859" i="16" s="1"/>
  <c r="N932" i="16"/>
  <c r="I932" i="16" s="1"/>
  <c r="Q932" i="16"/>
  <c r="S932" i="16" s="1"/>
  <c r="R932" i="16"/>
  <c r="P932" i="16" s="1"/>
  <c r="N999" i="16"/>
  <c r="I999" i="16" s="1"/>
  <c r="N1063" i="16"/>
  <c r="I1063" i="16" s="1"/>
  <c r="N1127" i="16"/>
  <c r="I1127" i="16" s="1"/>
  <c r="N1191" i="16"/>
  <c r="I1191" i="16" s="1"/>
  <c r="N1255" i="16"/>
  <c r="I1255" i="16" s="1"/>
  <c r="Q1255" i="16"/>
  <c r="S1255" i="16" s="1"/>
  <c r="R1255" i="16"/>
  <c r="P1255" i="16" s="1"/>
  <c r="N1319" i="16"/>
  <c r="I1319" i="16" s="1"/>
  <c r="R1319" i="16"/>
  <c r="P1319" i="16" s="1"/>
  <c r="Q1319" i="16"/>
  <c r="S1319" i="16" s="1"/>
  <c r="N1383" i="16"/>
  <c r="I1383" i="16" s="1"/>
  <c r="N1447" i="16"/>
  <c r="I1447" i="16" s="1"/>
  <c r="N1511" i="16"/>
  <c r="I1511" i="16" s="1"/>
  <c r="Q1511" i="16"/>
  <c r="S1511" i="16" s="1"/>
  <c r="R1511" i="16"/>
  <c r="P1511" i="16" s="1"/>
  <c r="N1575" i="16"/>
  <c r="I1575" i="16" s="1"/>
  <c r="N1639" i="16"/>
  <c r="I1639" i="16" s="1"/>
  <c r="Q1639" i="16"/>
  <c r="S1639" i="16" s="1"/>
  <c r="R1639" i="16"/>
  <c r="P1639" i="16" s="1"/>
  <c r="N1703" i="16"/>
  <c r="I1703" i="16" s="1"/>
  <c r="N1767" i="16"/>
  <c r="I1767" i="16" s="1"/>
  <c r="N1831" i="16"/>
  <c r="I1831" i="16" s="1"/>
  <c r="R1831" i="16"/>
  <c r="P1831" i="16" s="1"/>
  <c r="Q1831" i="16"/>
  <c r="S1831" i="16" s="1"/>
  <c r="N1895" i="16"/>
  <c r="I1895" i="16" s="1"/>
  <c r="N1959" i="16"/>
  <c r="I1959" i="16" s="1"/>
  <c r="N2023" i="16"/>
  <c r="I2023" i="16" s="1"/>
  <c r="Q2023" i="16"/>
  <c r="S2023" i="16" s="1"/>
  <c r="R2023" i="16"/>
  <c r="P2023" i="16" s="1"/>
  <c r="N2087" i="16"/>
  <c r="I2087" i="16" s="1"/>
  <c r="Q2087" i="16"/>
  <c r="S2087" i="16" s="1"/>
  <c r="R2087" i="16"/>
  <c r="P2087" i="16" s="1"/>
  <c r="N2151" i="16"/>
  <c r="I2151" i="16" s="1"/>
  <c r="N2215" i="16"/>
  <c r="I2215" i="16" s="1"/>
  <c r="R2215" i="16"/>
  <c r="P2215" i="16" s="1"/>
  <c r="Q2215" i="16"/>
  <c r="S2215" i="16" s="1"/>
  <c r="N329" i="16"/>
  <c r="I329" i="16" s="1"/>
  <c r="Q329" i="16"/>
  <c r="S329" i="16" s="1"/>
  <c r="R329" i="16"/>
  <c r="P329" i="16" s="1"/>
  <c r="N566" i="16"/>
  <c r="I566" i="16" s="1"/>
  <c r="N724" i="16"/>
  <c r="I724" i="16" s="1"/>
  <c r="Q724" i="16"/>
  <c r="S724" i="16" s="1"/>
  <c r="R724" i="16"/>
  <c r="P724" i="16" s="1"/>
  <c r="N870" i="16"/>
  <c r="I870" i="16" s="1"/>
  <c r="N1009" i="16"/>
  <c r="I1009" i="16" s="1"/>
  <c r="N1137" i="16"/>
  <c r="I1137" i="16" s="1"/>
  <c r="Q1137" i="16"/>
  <c r="S1137" i="16" s="1"/>
  <c r="R1137" i="16"/>
  <c r="P1137" i="16" s="1"/>
  <c r="N1265" i="16"/>
  <c r="I1265" i="16" s="1"/>
  <c r="Q1265" i="16"/>
  <c r="S1265" i="16" s="1"/>
  <c r="R1265" i="16"/>
  <c r="P1265" i="16" s="1"/>
  <c r="N1393" i="16"/>
  <c r="I1393" i="16" s="1"/>
  <c r="N1521" i="16"/>
  <c r="I1521" i="16" s="1"/>
  <c r="Q1521" i="16"/>
  <c r="S1521" i="16" s="1"/>
  <c r="R1521" i="16"/>
  <c r="P1521" i="16" s="1"/>
  <c r="N1649" i="16"/>
  <c r="I1649" i="16" s="1"/>
  <c r="Q1649" i="16"/>
  <c r="S1649" i="16" s="1"/>
  <c r="R1649" i="16"/>
  <c r="P1649" i="16" s="1"/>
  <c r="N1777" i="16"/>
  <c r="I1777" i="16" s="1"/>
  <c r="Q1777" i="16"/>
  <c r="S1777" i="16" s="1"/>
  <c r="R1777" i="16"/>
  <c r="P1777" i="16" s="1"/>
  <c r="N1896" i="16"/>
  <c r="I1896" i="16" s="1"/>
  <c r="Q1896" i="16"/>
  <c r="S1896" i="16" s="1"/>
  <c r="R1896" i="16"/>
  <c r="P1896" i="16" s="1"/>
  <c r="Q1997" i="16"/>
  <c r="S1997" i="16" s="1"/>
  <c r="R1997" i="16"/>
  <c r="P1997" i="16" s="1"/>
  <c r="N2100" i="16"/>
  <c r="I2100" i="16" s="1"/>
  <c r="Q2197" i="16"/>
  <c r="S2197" i="16" s="1"/>
  <c r="R2197" i="16"/>
  <c r="P2197" i="16" s="1"/>
  <c r="N2268" i="16"/>
  <c r="I2268" i="16" s="1"/>
  <c r="Q2268" i="16"/>
  <c r="S2268" i="16" s="1"/>
  <c r="R2268" i="16"/>
  <c r="P2268" i="16" s="1"/>
  <c r="N2332" i="16"/>
  <c r="I2332" i="16" s="1"/>
  <c r="N2396" i="16"/>
  <c r="I2396" i="16" s="1"/>
  <c r="N2460" i="16"/>
  <c r="I2460" i="16" s="1"/>
  <c r="N2524" i="16"/>
  <c r="I2524" i="16" s="1"/>
  <c r="N2588" i="16"/>
  <c r="I2588" i="16" s="1"/>
  <c r="Q2588" i="16"/>
  <c r="S2588" i="16" s="1"/>
  <c r="R2588" i="16"/>
  <c r="P2588" i="16" s="1"/>
  <c r="N2652" i="16"/>
  <c r="I2652" i="16" s="1"/>
  <c r="Q2652" i="16"/>
  <c r="S2652" i="16" s="1"/>
  <c r="R2652" i="16"/>
  <c r="P2652" i="16" s="1"/>
  <c r="N334" i="16"/>
  <c r="I334" i="16" s="1"/>
  <c r="N571" i="16"/>
  <c r="I571" i="16" s="1"/>
  <c r="N727" i="16"/>
  <c r="I727" i="16" s="1"/>
  <c r="N874" i="16"/>
  <c r="I874" i="16" s="1"/>
  <c r="R874" i="16"/>
  <c r="P874" i="16" s="1"/>
  <c r="Q874" i="16"/>
  <c r="S874" i="16" s="1"/>
  <c r="N1012" i="16"/>
  <c r="I1012" i="16" s="1"/>
  <c r="Q1012" i="16"/>
  <c r="S1012" i="16" s="1"/>
  <c r="R1012" i="16"/>
  <c r="P1012" i="16" s="1"/>
  <c r="N1140" i="16"/>
  <c r="I1140" i="16" s="1"/>
  <c r="N1268" i="16"/>
  <c r="I1268" i="16" s="1"/>
  <c r="N1396" i="16"/>
  <c r="I1396" i="16" s="1"/>
  <c r="N1524" i="16"/>
  <c r="I1524" i="16" s="1"/>
  <c r="N1652" i="16"/>
  <c r="I1652" i="16" s="1"/>
  <c r="N1780" i="16"/>
  <c r="I1780" i="16" s="1"/>
  <c r="N1898" i="16"/>
  <c r="I1898" i="16" s="1"/>
  <c r="Q1898" i="16"/>
  <c r="S1898" i="16" s="1"/>
  <c r="R1898" i="16"/>
  <c r="P1898" i="16" s="1"/>
  <c r="N2001" i="16"/>
  <c r="I2001" i="16" s="1"/>
  <c r="Q2001" i="16"/>
  <c r="S2001" i="16" s="1"/>
  <c r="R2001" i="16"/>
  <c r="P2001" i="16" s="1"/>
  <c r="N2104" i="16"/>
  <c r="I2104" i="16" s="1"/>
  <c r="N2200" i="16"/>
  <c r="I2200" i="16" s="1"/>
  <c r="Q2200" i="16"/>
  <c r="S2200" i="16" s="1"/>
  <c r="R2200" i="16"/>
  <c r="P2200" i="16" s="1"/>
  <c r="N2270" i="16"/>
  <c r="I2270" i="16" s="1"/>
  <c r="Q2270" i="16"/>
  <c r="S2270" i="16" s="1"/>
  <c r="R2270" i="16"/>
  <c r="P2270" i="16" s="1"/>
  <c r="N2334" i="16"/>
  <c r="I2334" i="16" s="1"/>
  <c r="N2398" i="16"/>
  <c r="I2398" i="16" s="1"/>
  <c r="N2462" i="16"/>
  <c r="I2462" i="16" s="1"/>
  <c r="Q2462" i="16"/>
  <c r="S2462" i="16" s="1"/>
  <c r="R2462" i="16"/>
  <c r="P2462" i="16" s="1"/>
  <c r="N2526" i="16"/>
  <c r="I2526" i="16" s="1"/>
  <c r="N2590" i="16"/>
  <c r="I2590" i="16" s="1"/>
  <c r="Q2590" i="16"/>
  <c r="S2590" i="16" s="1"/>
  <c r="R2590" i="16"/>
  <c r="P2590" i="16" s="1"/>
  <c r="N2654" i="16"/>
  <c r="I2654" i="16" s="1"/>
  <c r="N345" i="16"/>
  <c r="I345" i="16" s="1"/>
  <c r="Q345" i="16"/>
  <c r="S345" i="16" s="1"/>
  <c r="R345" i="16"/>
  <c r="P345" i="16" s="1"/>
  <c r="N575" i="16"/>
  <c r="I575" i="16" s="1"/>
  <c r="Q575" i="16"/>
  <c r="S575" i="16" s="1"/>
  <c r="R575" i="16"/>
  <c r="P575" i="16" s="1"/>
  <c r="N732" i="16"/>
  <c r="I732" i="16" s="1"/>
  <c r="Q732" i="16"/>
  <c r="S732" i="16" s="1"/>
  <c r="R732" i="16"/>
  <c r="P732" i="16" s="1"/>
  <c r="N878" i="16"/>
  <c r="I878" i="16" s="1"/>
  <c r="Q878" i="16"/>
  <c r="S878" i="16" s="1"/>
  <c r="R878" i="16"/>
  <c r="P878" i="16" s="1"/>
  <c r="N1016" i="16"/>
  <c r="I1016" i="16" s="1"/>
  <c r="Q1016" i="16"/>
  <c r="S1016" i="16" s="1"/>
  <c r="R1016" i="16"/>
  <c r="P1016" i="16" s="1"/>
  <c r="N1144" i="16"/>
  <c r="I1144" i="16" s="1"/>
  <c r="Q1144" i="16"/>
  <c r="S1144" i="16" s="1"/>
  <c r="R1144" i="16"/>
  <c r="P1144" i="16" s="1"/>
  <c r="N1272" i="16"/>
  <c r="I1272" i="16" s="1"/>
  <c r="Q1272" i="16"/>
  <c r="S1272" i="16" s="1"/>
  <c r="R1272" i="16"/>
  <c r="P1272" i="16" s="1"/>
  <c r="N139" i="16"/>
  <c r="I139" i="16" s="1"/>
  <c r="N449" i="16"/>
  <c r="I449" i="16" s="1"/>
  <c r="Q449" i="16"/>
  <c r="S449" i="16" s="1"/>
  <c r="R449" i="16"/>
  <c r="P449" i="16" s="1"/>
  <c r="N639" i="16"/>
  <c r="I639" i="16" s="1"/>
  <c r="N788" i="16"/>
  <c r="I788" i="16" s="1"/>
  <c r="N934" i="16"/>
  <c r="I934" i="16" s="1"/>
  <c r="Q934" i="16"/>
  <c r="S934" i="16" s="1"/>
  <c r="R934" i="16"/>
  <c r="P934" i="16" s="1"/>
  <c r="N1065" i="16"/>
  <c r="I1065" i="16" s="1"/>
  <c r="N1193" i="16"/>
  <c r="I1193" i="16" s="1"/>
  <c r="N289" i="16"/>
  <c r="I289" i="16" s="1"/>
  <c r="N705" i="16"/>
  <c r="I705" i="16" s="1"/>
  <c r="Q705" i="16"/>
  <c r="S705" i="16" s="1"/>
  <c r="R705" i="16"/>
  <c r="P705" i="16" s="1"/>
  <c r="N851" i="16"/>
  <c r="I851" i="16" s="1"/>
  <c r="N992" i="16"/>
  <c r="I992" i="16" s="1"/>
  <c r="N1120" i="16"/>
  <c r="I1120" i="16" s="1"/>
  <c r="Q1120" i="16"/>
  <c r="S1120" i="16" s="1"/>
  <c r="R1120" i="16"/>
  <c r="P1120" i="16" s="1"/>
  <c r="N1248" i="16"/>
  <c r="I1248" i="16" s="1"/>
  <c r="N1376" i="16"/>
  <c r="I1376" i="16" s="1"/>
  <c r="Q1376" i="16"/>
  <c r="S1376" i="16" s="1"/>
  <c r="R1376" i="16"/>
  <c r="P1376" i="16" s="1"/>
  <c r="N1504" i="16"/>
  <c r="I1504" i="16" s="1"/>
  <c r="N1632" i="16"/>
  <c r="I1632" i="16" s="1"/>
  <c r="N1760" i="16"/>
  <c r="I1760" i="16" s="1"/>
  <c r="Q1760" i="16"/>
  <c r="S1760" i="16" s="1"/>
  <c r="R1760" i="16"/>
  <c r="P1760" i="16" s="1"/>
  <c r="N1881" i="16"/>
  <c r="I1881" i="16" s="1"/>
  <c r="Q1881" i="16"/>
  <c r="S1881" i="16" s="1"/>
  <c r="R1881" i="16"/>
  <c r="P1881" i="16" s="1"/>
  <c r="N278" i="16"/>
  <c r="I278" i="16" s="1"/>
  <c r="Q278" i="16"/>
  <c r="S278" i="16" s="1"/>
  <c r="R278" i="16"/>
  <c r="P278" i="16" s="1"/>
  <c r="N798" i="16"/>
  <c r="I798" i="16" s="1"/>
  <c r="N1162" i="16"/>
  <c r="I1162" i="16" s="1"/>
  <c r="R1162" i="16"/>
  <c r="P1162" i="16" s="1"/>
  <c r="Q1162" i="16"/>
  <c r="S1162" i="16" s="1"/>
  <c r="N1416" i="16"/>
  <c r="I1416" i="16" s="1"/>
  <c r="Q1416" i="16"/>
  <c r="S1416" i="16" s="1"/>
  <c r="R1416" i="16"/>
  <c r="P1416" i="16" s="1"/>
  <c r="N1618" i="16"/>
  <c r="I1618" i="16" s="1"/>
  <c r="N1820" i="16"/>
  <c r="I1820" i="16" s="1"/>
  <c r="N1986" i="16"/>
  <c r="I1986" i="16" s="1"/>
  <c r="N2122" i="16"/>
  <c r="I2122" i="16" s="1"/>
  <c r="Q2122" i="16"/>
  <c r="S2122" i="16" s="1"/>
  <c r="R2122" i="16"/>
  <c r="P2122" i="16" s="1"/>
  <c r="N2240" i="16"/>
  <c r="I2240" i="16" s="1"/>
  <c r="Q2240" i="16"/>
  <c r="S2240" i="16" s="1"/>
  <c r="R2240" i="16"/>
  <c r="P2240" i="16" s="1"/>
  <c r="Q2325" i="16"/>
  <c r="S2325" i="16" s="1"/>
  <c r="R2325" i="16"/>
  <c r="P2325" i="16" s="1"/>
  <c r="N2410" i="16"/>
  <c r="I2410" i="16" s="1"/>
  <c r="N2496" i="16"/>
  <c r="I2496" i="16" s="1"/>
  <c r="N75" i="16"/>
  <c r="I75" i="16" s="1"/>
  <c r="Q75" i="16"/>
  <c r="S75" i="16" s="1"/>
  <c r="R75" i="16"/>
  <c r="P75" i="16" s="1"/>
  <c r="N716" i="16"/>
  <c r="I716" i="16" s="1"/>
  <c r="Q716" i="16"/>
  <c r="S716" i="16" s="1"/>
  <c r="R716" i="16"/>
  <c r="P716" i="16" s="1"/>
  <c r="N1084" i="16"/>
  <c r="I1084" i="16" s="1"/>
  <c r="N1369" i="16"/>
  <c r="I1369" i="16" s="1"/>
  <c r="N1576" i="16"/>
  <c r="I1576" i="16" s="1"/>
  <c r="N1778" i="16"/>
  <c r="I1778" i="16" s="1"/>
  <c r="N1956" i="16"/>
  <c r="I1956" i="16" s="1"/>
  <c r="Q1956" i="16"/>
  <c r="S1956" i="16" s="1"/>
  <c r="R1956" i="16"/>
  <c r="P1956" i="16" s="1"/>
  <c r="N2220" i="16"/>
  <c r="I2220" i="16" s="1"/>
  <c r="N2306" i="16"/>
  <c r="I2306" i="16" s="1"/>
  <c r="Q2306" i="16"/>
  <c r="S2306" i="16" s="1"/>
  <c r="R2306" i="16"/>
  <c r="P2306" i="16" s="1"/>
  <c r="N2392" i="16"/>
  <c r="I2392" i="16" s="1"/>
  <c r="Q2477" i="16"/>
  <c r="S2477" i="16" s="1"/>
  <c r="R2477" i="16"/>
  <c r="P2477" i="16" s="1"/>
  <c r="N2562" i="16"/>
  <c r="I2562" i="16" s="1"/>
  <c r="Q2562" i="16"/>
  <c r="S2562" i="16" s="1"/>
  <c r="R2562" i="16"/>
  <c r="P2562" i="16" s="1"/>
  <c r="N2648" i="16"/>
  <c r="I2648" i="16" s="1"/>
  <c r="Q2648" i="16"/>
  <c r="S2648" i="16" s="1"/>
  <c r="R2648" i="16"/>
  <c r="P2648" i="16" s="1"/>
  <c r="N620" i="16"/>
  <c r="I620" i="16" s="1"/>
  <c r="Q620" i="16"/>
  <c r="S620" i="16" s="1"/>
  <c r="R620" i="16"/>
  <c r="P620" i="16" s="1"/>
  <c r="N1004" i="16"/>
  <c r="I1004" i="16" s="1"/>
  <c r="Q1004" i="16"/>
  <c r="S1004" i="16" s="1"/>
  <c r="R1004" i="16"/>
  <c r="P1004" i="16" s="1"/>
  <c r="N1314" i="16"/>
  <c r="I1314" i="16" s="1"/>
  <c r="N1528" i="16"/>
  <c r="I1528" i="16" s="1"/>
  <c r="N1730" i="16"/>
  <c r="I1730" i="16" s="1"/>
  <c r="N2060" i="16"/>
  <c r="I2060" i="16" s="1"/>
  <c r="N2193" i="16"/>
  <c r="I2193" i="16" s="1"/>
  <c r="N2287" i="16"/>
  <c r="I2287" i="16" s="1"/>
  <c r="N2371" i="16"/>
  <c r="I2371" i="16" s="1"/>
  <c r="Q2371" i="16"/>
  <c r="S2371" i="16" s="1"/>
  <c r="R2371" i="16"/>
  <c r="P2371" i="16" s="1"/>
  <c r="N2457" i="16"/>
  <c r="I2457" i="16" s="1"/>
  <c r="Q2457" i="16"/>
  <c r="S2457" i="16" s="1"/>
  <c r="R2457" i="16"/>
  <c r="P2457" i="16" s="1"/>
  <c r="N2543" i="16"/>
  <c r="I2543" i="16" s="1"/>
  <c r="N2627" i="16"/>
  <c r="I2627" i="16" s="1"/>
  <c r="Q2627" i="16"/>
  <c r="S2627" i="16" s="1"/>
  <c r="R2627" i="16"/>
  <c r="P2627" i="16" s="1"/>
  <c r="N508" i="16"/>
  <c r="I508" i="16" s="1"/>
  <c r="N919" i="16"/>
  <c r="I919" i="16" s="1"/>
  <c r="Q919" i="16"/>
  <c r="S919" i="16" s="1"/>
  <c r="R919" i="16"/>
  <c r="P919" i="16" s="1"/>
  <c r="N1257" i="16"/>
  <c r="I1257" i="16" s="1"/>
  <c r="Q1257" i="16"/>
  <c r="S1257" i="16" s="1"/>
  <c r="R1257" i="16"/>
  <c r="P1257" i="16" s="1"/>
  <c r="N1480" i="16"/>
  <c r="I1480" i="16" s="1"/>
  <c r="Q1480" i="16"/>
  <c r="S1480" i="16" s="1"/>
  <c r="R1480" i="16"/>
  <c r="P1480" i="16" s="1"/>
  <c r="N1682" i="16"/>
  <c r="I1682" i="16" s="1"/>
  <c r="Q1682" i="16"/>
  <c r="S1682" i="16" s="1"/>
  <c r="R1682" i="16"/>
  <c r="P1682" i="16" s="1"/>
  <c r="N1880" i="16"/>
  <c r="I1880" i="16" s="1"/>
  <c r="N2266" i="16"/>
  <c r="I2266" i="16" s="1"/>
  <c r="Q2266" i="16"/>
  <c r="S2266" i="16" s="1"/>
  <c r="R2266" i="16"/>
  <c r="P2266" i="16" s="1"/>
  <c r="N2352" i="16"/>
  <c r="I2352" i="16" s="1"/>
  <c r="Q2352" i="16"/>
  <c r="S2352" i="16" s="1"/>
  <c r="R2352" i="16"/>
  <c r="P2352" i="16" s="1"/>
  <c r="Q2437" i="16"/>
  <c r="S2437" i="16" s="1"/>
  <c r="R2437" i="16"/>
  <c r="P2437" i="16" s="1"/>
  <c r="N2522" i="16"/>
  <c r="I2522" i="16" s="1"/>
  <c r="N2608" i="16"/>
  <c r="I2608" i="16" s="1"/>
  <c r="Q2608" i="16"/>
  <c r="S2608" i="16" s="1"/>
  <c r="R2608" i="16"/>
  <c r="P2608" i="16" s="1"/>
  <c r="N370" i="16"/>
  <c r="I370" i="16" s="1"/>
  <c r="N844" i="16"/>
  <c r="I844" i="16" s="1"/>
  <c r="N1196" i="16"/>
  <c r="I1196" i="16" s="1"/>
  <c r="N1434" i="16"/>
  <c r="I1434" i="16" s="1"/>
  <c r="Q1434" i="16"/>
  <c r="S1434" i="16" s="1"/>
  <c r="R1434" i="16"/>
  <c r="P1434" i="16" s="1"/>
  <c r="N1641" i="16"/>
  <c r="I1641" i="16" s="1"/>
  <c r="Q1641" i="16"/>
  <c r="S1641" i="16" s="1"/>
  <c r="R1641" i="16"/>
  <c r="P1641" i="16" s="1"/>
  <c r="N1848" i="16"/>
  <c r="I1848" i="16" s="1"/>
  <c r="Q1848" i="16"/>
  <c r="S1848" i="16" s="1"/>
  <c r="R1848" i="16"/>
  <c r="P1848" i="16" s="1"/>
  <c r="N2002" i="16"/>
  <c r="I2002" i="16" s="1"/>
  <c r="N2137" i="16"/>
  <c r="I2137" i="16" s="1"/>
  <c r="N2249" i="16"/>
  <c r="I2249" i="16" s="1"/>
  <c r="Q2249" i="16"/>
  <c r="S2249" i="16" s="1"/>
  <c r="R2249" i="16"/>
  <c r="P2249" i="16" s="1"/>
  <c r="N2335" i="16"/>
  <c r="I2335" i="16" s="1"/>
  <c r="Q2335" i="16"/>
  <c r="S2335" i="16" s="1"/>
  <c r="R2335" i="16"/>
  <c r="P2335" i="16" s="1"/>
  <c r="N2419" i="16"/>
  <c r="I2419" i="16" s="1"/>
  <c r="N2505" i="16"/>
  <c r="I2505" i="16" s="1"/>
  <c r="Q2505" i="16"/>
  <c r="S2505" i="16" s="1"/>
  <c r="R2505" i="16"/>
  <c r="P2505" i="16" s="1"/>
  <c r="N2591" i="16"/>
  <c r="I2591" i="16" s="1"/>
  <c r="Q2591" i="16"/>
  <c r="S2591" i="16" s="1"/>
  <c r="R2591" i="16"/>
  <c r="P2591" i="16" s="1"/>
  <c r="N434" i="16"/>
  <c r="I434" i="16" s="1"/>
  <c r="Q434" i="16"/>
  <c r="S434" i="16" s="1"/>
  <c r="R434" i="16"/>
  <c r="P434" i="16" s="1"/>
  <c r="N1384" i="16"/>
  <c r="I1384" i="16" s="1"/>
  <c r="Q1384" i="16"/>
  <c r="S1384" i="16" s="1"/>
  <c r="R1384" i="16"/>
  <c r="P1384" i="16" s="1"/>
  <c r="N1914" i="16"/>
  <c r="I1914" i="16" s="1"/>
  <c r="Q1914" i="16"/>
  <c r="S1914" i="16" s="1"/>
  <c r="R1914" i="16"/>
  <c r="P1914" i="16" s="1"/>
  <c r="N2257" i="16"/>
  <c r="I2257" i="16" s="1"/>
  <c r="Q2257" i="16"/>
  <c r="S2257" i="16" s="1"/>
  <c r="R2257" i="16"/>
  <c r="P2257" i="16" s="1"/>
  <c r="N2482" i="16"/>
  <c r="I2482" i="16" s="1"/>
  <c r="N481" i="16"/>
  <c r="I481" i="16" s="1"/>
  <c r="Q481" i="16"/>
  <c r="S481" i="16" s="1"/>
  <c r="R481" i="16"/>
  <c r="P481" i="16" s="1"/>
  <c r="N1402" i="16"/>
  <c r="I1402" i="16" s="1"/>
  <c r="Q1402" i="16"/>
  <c r="S1402" i="16" s="1"/>
  <c r="R1402" i="16"/>
  <c r="P1402" i="16" s="1"/>
  <c r="N1928" i="16"/>
  <c r="I1928" i="16" s="1"/>
  <c r="N2263" i="16"/>
  <c r="I2263" i="16" s="1"/>
  <c r="N2491" i="16"/>
  <c r="I2491" i="16" s="1"/>
  <c r="Q2491" i="16"/>
  <c r="S2491" i="16" s="1"/>
  <c r="R2491" i="16"/>
  <c r="P2491" i="16" s="1"/>
  <c r="Q661" i="16"/>
  <c r="S661" i="16" s="1"/>
  <c r="R661" i="16"/>
  <c r="P661" i="16" s="1"/>
  <c r="N1481" i="16"/>
  <c r="I1481" i="16" s="1"/>
  <c r="Q1981" i="16"/>
  <c r="S1981" i="16" s="1"/>
  <c r="R1981" i="16"/>
  <c r="P1981" i="16" s="1"/>
  <c r="N2295" i="16"/>
  <c r="I2295" i="16" s="1"/>
  <c r="N2523" i="16"/>
  <c r="I2523" i="16" s="1"/>
  <c r="Q2523" i="16"/>
  <c r="S2523" i="16" s="1"/>
  <c r="R2523" i="16"/>
  <c r="P2523" i="16" s="1"/>
  <c r="N682" i="16"/>
  <c r="I682" i="16" s="1"/>
  <c r="N1482" i="16"/>
  <c r="I1482" i="16" s="1"/>
  <c r="R1482" i="16"/>
  <c r="P1482" i="16" s="1"/>
  <c r="Q1482" i="16"/>
  <c r="S1482" i="16" s="1"/>
  <c r="Q1989" i="16"/>
  <c r="S1989" i="16" s="1"/>
  <c r="R1989" i="16"/>
  <c r="P1989" i="16" s="1"/>
  <c r="N2299" i="16"/>
  <c r="I2299" i="16" s="1"/>
  <c r="Q2525" i="16"/>
  <c r="S2525" i="16" s="1"/>
  <c r="R2525" i="16"/>
  <c r="P2525" i="16" s="1"/>
  <c r="N734" i="16"/>
  <c r="I734" i="16" s="1"/>
  <c r="Q734" i="16"/>
  <c r="S734" i="16" s="1"/>
  <c r="R734" i="16"/>
  <c r="P734" i="16" s="1"/>
  <c r="N1512" i="16"/>
  <c r="I1512" i="16" s="1"/>
  <c r="Q2005" i="16"/>
  <c r="S2005" i="16" s="1"/>
  <c r="R2005" i="16"/>
  <c r="P2005" i="16" s="1"/>
  <c r="N2311" i="16"/>
  <c r="I2311" i="16" s="1"/>
  <c r="N2536" i="16"/>
  <c r="I2536" i="16" s="1"/>
  <c r="Q2536" i="16"/>
  <c r="S2536" i="16" s="1"/>
  <c r="R2536" i="16"/>
  <c r="P2536" i="16" s="1"/>
  <c r="N1274" i="16"/>
  <c r="I1274" i="16" s="1"/>
  <c r="Q1274" i="16"/>
  <c r="S1274" i="16" s="1"/>
  <c r="R1274" i="16"/>
  <c r="P1274" i="16" s="1"/>
  <c r="N2363" i="16"/>
  <c r="I2363" i="16" s="1"/>
  <c r="N1506" i="16"/>
  <c r="I1506" i="16" s="1"/>
  <c r="N2459" i="16"/>
  <c r="I2459" i="16" s="1"/>
  <c r="Q2459" i="16"/>
  <c r="S2459" i="16" s="1"/>
  <c r="R2459" i="16"/>
  <c r="P2459" i="16" s="1"/>
  <c r="N1708" i="16"/>
  <c r="I1708" i="16" s="1"/>
  <c r="Q1708" i="16"/>
  <c r="S1708" i="16" s="1"/>
  <c r="R1708" i="16"/>
  <c r="P1708" i="16" s="1"/>
  <c r="N2545" i="16"/>
  <c r="I2545" i="16" s="1"/>
  <c r="N1904" i="16"/>
  <c r="I1904" i="16" s="1"/>
  <c r="Q1904" i="16"/>
  <c r="S1904" i="16" s="1"/>
  <c r="R1904" i="16"/>
  <c r="P1904" i="16" s="1"/>
  <c r="N2631" i="16"/>
  <c r="I2631" i="16" s="1"/>
  <c r="Q2631" i="16"/>
  <c r="S2631" i="16" s="1"/>
  <c r="R2631" i="16"/>
  <c r="P2631" i="16" s="1"/>
  <c r="N2084" i="16"/>
  <c r="I2084" i="16" s="1"/>
  <c r="N883" i="16"/>
  <c r="I883" i="16" s="1"/>
  <c r="N545" i="16"/>
  <c r="I545" i="16" s="1"/>
  <c r="N1948" i="16"/>
  <c r="I1948" i="16" s="1"/>
  <c r="N1432" i="16"/>
  <c r="I1432" i="16" s="1"/>
  <c r="Q1432" i="16"/>
  <c r="S1432" i="16" s="1"/>
  <c r="R1432" i="16"/>
  <c r="P1432" i="16" s="1"/>
  <c r="N2503" i="16"/>
  <c r="I2503" i="16" s="1"/>
  <c r="R2503" i="16"/>
  <c r="P2503" i="16" s="1"/>
  <c r="Q2503" i="16"/>
  <c r="S2503" i="16" s="1"/>
  <c r="N47" i="16"/>
  <c r="I47" i="16" s="1"/>
  <c r="Q47" i="16"/>
  <c r="S47" i="16" s="1"/>
  <c r="R47" i="16"/>
  <c r="P47" i="16" s="1"/>
  <c r="N111" i="16"/>
  <c r="I111" i="16" s="1"/>
  <c r="N175" i="16"/>
  <c r="I175" i="16" s="1"/>
  <c r="Q175" i="16"/>
  <c r="S175" i="16" s="1"/>
  <c r="R175" i="16"/>
  <c r="P175" i="16" s="1"/>
  <c r="N239" i="16"/>
  <c r="I239" i="16" s="1"/>
  <c r="Q239" i="16"/>
  <c r="S239" i="16" s="1"/>
  <c r="R239" i="16"/>
  <c r="P239" i="16" s="1"/>
  <c r="N303" i="16"/>
  <c r="I303" i="16" s="1"/>
  <c r="Q303" i="16"/>
  <c r="S303" i="16" s="1"/>
  <c r="R303" i="16"/>
  <c r="P303" i="16" s="1"/>
  <c r="N367" i="16"/>
  <c r="I367" i="16" s="1"/>
  <c r="N431" i="16"/>
  <c r="I431" i="16" s="1"/>
  <c r="N495" i="16"/>
  <c r="I495" i="16" s="1"/>
  <c r="Q495" i="16"/>
  <c r="S495" i="16" s="1"/>
  <c r="R495" i="16"/>
  <c r="P495" i="16" s="1"/>
  <c r="N64" i="16"/>
  <c r="I64" i="16" s="1"/>
  <c r="N128" i="16"/>
  <c r="I128" i="16" s="1"/>
  <c r="N192" i="16"/>
  <c r="I192" i="16" s="1"/>
  <c r="N256" i="16"/>
  <c r="I256" i="16" s="1"/>
  <c r="N320" i="16"/>
  <c r="I320" i="16" s="1"/>
  <c r="Q320" i="16"/>
  <c r="S320" i="16" s="1"/>
  <c r="R320" i="16"/>
  <c r="P320" i="16" s="1"/>
  <c r="N384" i="16"/>
  <c r="I384" i="16" s="1"/>
  <c r="Q384" i="16"/>
  <c r="S384" i="16" s="1"/>
  <c r="R384" i="16"/>
  <c r="P384" i="16" s="1"/>
  <c r="N448" i="16"/>
  <c r="I448" i="16" s="1"/>
  <c r="N59" i="16"/>
  <c r="I59" i="16" s="1"/>
  <c r="Q59" i="16"/>
  <c r="S59" i="16" s="1"/>
  <c r="R59" i="16"/>
  <c r="P59" i="16" s="1"/>
  <c r="N145" i="16"/>
  <c r="I145" i="16" s="1"/>
  <c r="Q145" i="16"/>
  <c r="S145" i="16" s="1"/>
  <c r="R145" i="16"/>
  <c r="P145" i="16" s="1"/>
  <c r="Q229" i="16"/>
  <c r="S229" i="16" s="1"/>
  <c r="R229" i="16"/>
  <c r="P229" i="16" s="1"/>
  <c r="N315" i="16"/>
  <c r="I315" i="16" s="1"/>
  <c r="N30" i="16"/>
  <c r="I30" i="16" s="1"/>
  <c r="N116" i="16"/>
  <c r="I116" i="16" s="1"/>
  <c r="N202" i="16"/>
  <c r="I202" i="16" s="1"/>
  <c r="N286" i="16"/>
  <c r="I286" i="16" s="1"/>
  <c r="Q286" i="16"/>
  <c r="S286" i="16" s="1"/>
  <c r="R286" i="16"/>
  <c r="P286" i="16" s="1"/>
  <c r="N372" i="16"/>
  <c r="I372" i="16" s="1"/>
  <c r="N458" i="16"/>
  <c r="I458" i="16" s="1"/>
  <c r="N528" i="16"/>
  <c r="I528" i="16" s="1"/>
  <c r="Q528" i="16"/>
  <c r="S528" i="16" s="1"/>
  <c r="R528" i="16"/>
  <c r="P528" i="16" s="1"/>
  <c r="N592" i="16"/>
  <c r="I592" i="16" s="1"/>
  <c r="Q592" i="16"/>
  <c r="S592" i="16" s="1"/>
  <c r="R592" i="16"/>
  <c r="P592" i="16" s="1"/>
  <c r="N656" i="16"/>
  <c r="I656" i="16" s="1"/>
  <c r="N720" i="16"/>
  <c r="I720" i="16" s="1"/>
  <c r="Q720" i="16"/>
  <c r="S720" i="16" s="1"/>
  <c r="R720" i="16"/>
  <c r="P720" i="16" s="1"/>
  <c r="N784" i="16"/>
  <c r="I784" i="16" s="1"/>
  <c r="N848" i="16"/>
  <c r="I848" i="16" s="1"/>
  <c r="N912" i="16"/>
  <c r="I912" i="16" s="1"/>
  <c r="N35" i="16"/>
  <c r="I35" i="16" s="1"/>
  <c r="Q35" i="16"/>
  <c r="S35" i="16" s="1"/>
  <c r="R35" i="16"/>
  <c r="P35" i="16" s="1"/>
  <c r="Q149" i="16"/>
  <c r="S149" i="16" s="1"/>
  <c r="R149" i="16"/>
  <c r="P149" i="16" s="1"/>
  <c r="N262" i="16"/>
  <c r="I262" i="16" s="1"/>
  <c r="N377" i="16"/>
  <c r="I377" i="16" s="1"/>
  <c r="Q377" i="16"/>
  <c r="S377" i="16" s="1"/>
  <c r="R377" i="16"/>
  <c r="P377" i="16" s="1"/>
  <c r="N473" i="16"/>
  <c r="I473" i="16" s="1"/>
  <c r="Q549" i="16"/>
  <c r="S549" i="16" s="1"/>
  <c r="R549" i="16"/>
  <c r="P549" i="16" s="1"/>
  <c r="N622" i="16"/>
  <c r="I622" i="16" s="1"/>
  <c r="Q622" i="16"/>
  <c r="S622" i="16" s="1"/>
  <c r="R622" i="16"/>
  <c r="P622" i="16" s="1"/>
  <c r="N68" i="16"/>
  <c r="I68" i="16" s="1"/>
  <c r="N182" i="16"/>
  <c r="I182" i="16" s="1"/>
  <c r="Q182" i="16"/>
  <c r="S182" i="16" s="1"/>
  <c r="R182" i="16"/>
  <c r="P182" i="16" s="1"/>
  <c r="N297" i="16"/>
  <c r="I297" i="16" s="1"/>
  <c r="Q405" i="16"/>
  <c r="S405" i="16" s="1"/>
  <c r="R405" i="16"/>
  <c r="P405" i="16" s="1"/>
  <c r="N498" i="16"/>
  <c r="I498" i="16" s="1"/>
  <c r="Q13" i="16"/>
  <c r="S13" i="16" s="1"/>
  <c r="R13" i="16"/>
  <c r="P13" i="16" s="1"/>
  <c r="N129" i="16"/>
  <c r="I129" i="16" s="1"/>
  <c r="Q129" i="16"/>
  <c r="S129" i="16" s="1"/>
  <c r="R129" i="16"/>
  <c r="P129" i="16" s="1"/>
  <c r="N242" i="16"/>
  <c r="I242" i="16" s="1"/>
  <c r="N166" i="16"/>
  <c r="I166" i="16" s="1"/>
  <c r="N332" i="16"/>
  <c r="I332" i="16" s="1"/>
  <c r="Q469" i="16"/>
  <c r="S469" i="16" s="1"/>
  <c r="R469" i="16"/>
  <c r="P469" i="16" s="1"/>
  <c r="N570" i="16"/>
  <c r="I570" i="16" s="1"/>
  <c r="Q653" i="16"/>
  <c r="S653" i="16" s="1"/>
  <c r="R653" i="16"/>
  <c r="P653" i="16" s="1"/>
  <c r="N726" i="16"/>
  <c r="I726" i="16" s="1"/>
  <c r="Q726" i="16"/>
  <c r="S726" i="16" s="1"/>
  <c r="R726" i="16"/>
  <c r="P726" i="16" s="1"/>
  <c r="N799" i="16"/>
  <c r="I799" i="16" s="1"/>
  <c r="Q799" i="16"/>
  <c r="S799" i="16" s="1"/>
  <c r="R799" i="16"/>
  <c r="P799" i="16" s="1"/>
  <c r="N873" i="16"/>
  <c r="I873" i="16" s="1"/>
  <c r="N946" i="16"/>
  <c r="I946" i="16" s="1"/>
  <c r="Q946" i="16"/>
  <c r="S946" i="16" s="1"/>
  <c r="R946" i="16"/>
  <c r="P946" i="16" s="1"/>
  <c r="N1011" i="16"/>
  <c r="I1011" i="16" s="1"/>
  <c r="N1075" i="16"/>
  <c r="I1075" i="16" s="1"/>
  <c r="N1139" i="16"/>
  <c r="I1139" i="16" s="1"/>
  <c r="Q1139" i="16"/>
  <c r="S1139" i="16" s="1"/>
  <c r="R1139" i="16"/>
  <c r="P1139" i="16" s="1"/>
  <c r="N1203" i="16"/>
  <c r="I1203" i="16" s="1"/>
  <c r="N1267" i="16"/>
  <c r="I1267" i="16" s="1"/>
  <c r="Q1267" i="16"/>
  <c r="S1267" i="16" s="1"/>
  <c r="R1267" i="16"/>
  <c r="P1267" i="16" s="1"/>
  <c r="N1331" i="16"/>
  <c r="I1331" i="16" s="1"/>
  <c r="Q1331" i="16"/>
  <c r="S1331" i="16" s="1"/>
  <c r="R1331" i="16"/>
  <c r="P1331" i="16" s="1"/>
  <c r="N1395" i="16"/>
  <c r="I1395" i="16" s="1"/>
  <c r="N1459" i="16"/>
  <c r="I1459" i="16" s="1"/>
  <c r="Q1459" i="16"/>
  <c r="S1459" i="16" s="1"/>
  <c r="R1459" i="16"/>
  <c r="P1459" i="16" s="1"/>
  <c r="N1523" i="16"/>
  <c r="I1523" i="16" s="1"/>
  <c r="Q1523" i="16"/>
  <c r="S1523" i="16" s="1"/>
  <c r="R1523" i="16"/>
  <c r="P1523" i="16" s="1"/>
  <c r="N1587" i="16"/>
  <c r="I1587" i="16" s="1"/>
  <c r="N1651" i="16"/>
  <c r="I1651" i="16" s="1"/>
  <c r="Q1651" i="16"/>
  <c r="S1651" i="16" s="1"/>
  <c r="R1651" i="16"/>
  <c r="P1651" i="16" s="1"/>
  <c r="N1715" i="16"/>
  <c r="I1715" i="16" s="1"/>
  <c r="N1779" i="16"/>
  <c r="I1779" i="16" s="1"/>
  <c r="Q1779" i="16"/>
  <c r="S1779" i="16" s="1"/>
  <c r="R1779" i="16"/>
  <c r="P1779" i="16" s="1"/>
  <c r="N1843" i="16"/>
  <c r="I1843" i="16" s="1"/>
  <c r="Q1843" i="16"/>
  <c r="S1843" i="16" s="1"/>
  <c r="R1843" i="16"/>
  <c r="P1843" i="16" s="1"/>
  <c r="N1907" i="16"/>
  <c r="I1907" i="16" s="1"/>
  <c r="N1971" i="16"/>
  <c r="I1971" i="16" s="1"/>
  <c r="Q1971" i="16"/>
  <c r="S1971" i="16" s="1"/>
  <c r="R1971" i="16"/>
  <c r="P1971" i="16" s="1"/>
  <c r="N2035" i="16"/>
  <c r="I2035" i="16" s="1"/>
  <c r="Q2035" i="16"/>
  <c r="S2035" i="16" s="1"/>
  <c r="R2035" i="16"/>
  <c r="P2035" i="16" s="1"/>
  <c r="N2099" i="16"/>
  <c r="I2099" i="16" s="1"/>
  <c r="Q2099" i="16"/>
  <c r="S2099" i="16" s="1"/>
  <c r="R2099" i="16"/>
  <c r="P2099" i="16" s="1"/>
  <c r="N2163" i="16"/>
  <c r="I2163" i="16" s="1"/>
  <c r="N2227" i="16"/>
  <c r="I2227" i="16" s="1"/>
  <c r="Q2227" i="16"/>
  <c r="S2227" i="16" s="1"/>
  <c r="R2227" i="16"/>
  <c r="P2227" i="16" s="1"/>
  <c r="Q173" i="16"/>
  <c r="S173" i="16" s="1"/>
  <c r="R173" i="16"/>
  <c r="P173" i="16" s="1"/>
  <c r="N338" i="16"/>
  <c r="I338" i="16" s="1"/>
  <c r="N472" i="16"/>
  <c r="I472" i="16" s="1"/>
  <c r="Q472" i="16"/>
  <c r="S472" i="16" s="1"/>
  <c r="R472" i="16"/>
  <c r="P472" i="16" s="1"/>
  <c r="N572" i="16"/>
  <c r="I572" i="16" s="1"/>
  <c r="N655" i="16"/>
  <c r="I655" i="16" s="1"/>
  <c r="Q655" i="16"/>
  <c r="S655" i="16" s="1"/>
  <c r="R655" i="16"/>
  <c r="P655" i="16" s="1"/>
  <c r="N729" i="16"/>
  <c r="I729" i="16" s="1"/>
  <c r="N802" i="16"/>
  <c r="I802" i="16" s="1"/>
  <c r="N875" i="16"/>
  <c r="I875" i="16" s="1"/>
  <c r="N948" i="16"/>
  <c r="I948" i="16" s="1"/>
  <c r="Q948" i="16"/>
  <c r="S948" i="16" s="1"/>
  <c r="R948" i="16"/>
  <c r="P948" i="16" s="1"/>
  <c r="Q1141" i="16"/>
  <c r="S1141" i="16" s="1"/>
  <c r="R1141" i="16"/>
  <c r="P1141" i="16" s="1"/>
  <c r="Q1269" i="16"/>
  <c r="S1269" i="16" s="1"/>
  <c r="R1269" i="16"/>
  <c r="P1269" i="16" s="1"/>
  <c r="Q1333" i="16"/>
  <c r="S1333" i="16" s="1"/>
  <c r="R1333" i="16"/>
  <c r="P1333" i="16" s="1"/>
  <c r="Q1461" i="16"/>
  <c r="S1461" i="16" s="1"/>
  <c r="R1461" i="16"/>
  <c r="P1461" i="16" s="1"/>
  <c r="Q1525" i="16"/>
  <c r="S1525" i="16" s="1"/>
  <c r="R1525" i="16"/>
  <c r="P1525" i="16" s="1"/>
  <c r="Q1653" i="16"/>
  <c r="S1653" i="16" s="1"/>
  <c r="R1653" i="16"/>
  <c r="P1653" i="16" s="1"/>
  <c r="Q1781" i="16"/>
  <c r="S1781" i="16" s="1"/>
  <c r="R1781" i="16"/>
  <c r="P1781" i="16" s="1"/>
  <c r="Q1845" i="16"/>
  <c r="S1845" i="16" s="1"/>
  <c r="R1845" i="16"/>
  <c r="P1845" i="16" s="1"/>
  <c r="N153" i="16"/>
  <c r="I153" i="16" s="1"/>
  <c r="Q153" i="16"/>
  <c r="S153" i="16" s="1"/>
  <c r="R153" i="16"/>
  <c r="P153" i="16" s="1"/>
  <c r="N322" i="16"/>
  <c r="I322" i="16" s="1"/>
  <c r="Q322" i="16"/>
  <c r="S322" i="16" s="1"/>
  <c r="R322" i="16"/>
  <c r="P322" i="16" s="1"/>
  <c r="N459" i="16"/>
  <c r="I459" i="16" s="1"/>
  <c r="Q459" i="16"/>
  <c r="S459" i="16" s="1"/>
  <c r="R459" i="16"/>
  <c r="P459" i="16" s="1"/>
  <c r="N563" i="16"/>
  <c r="I563" i="16" s="1"/>
  <c r="Q563" i="16"/>
  <c r="S563" i="16" s="1"/>
  <c r="R563" i="16"/>
  <c r="P563" i="16" s="1"/>
  <c r="N646" i="16"/>
  <c r="I646" i="16" s="1"/>
  <c r="Q646" i="16"/>
  <c r="S646" i="16" s="1"/>
  <c r="R646" i="16"/>
  <c r="P646" i="16" s="1"/>
  <c r="N721" i="16"/>
  <c r="I721" i="16" s="1"/>
  <c r="Q721" i="16"/>
  <c r="S721" i="16" s="1"/>
  <c r="R721" i="16"/>
  <c r="P721" i="16" s="1"/>
  <c r="N794" i="16"/>
  <c r="I794" i="16" s="1"/>
  <c r="Q794" i="16"/>
  <c r="S794" i="16" s="1"/>
  <c r="R794" i="16"/>
  <c r="P794" i="16" s="1"/>
  <c r="N867" i="16"/>
  <c r="I867" i="16" s="1"/>
  <c r="N940" i="16"/>
  <c r="I940" i="16" s="1"/>
  <c r="Q940" i="16"/>
  <c r="S940" i="16" s="1"/>
  <c r="R940" i="16"/>
  <c r="P940" i="16" s="1"/>
  <c r="N1006" i="16"/>
  <c r="I1006" i="16" s="1"/>
  <c r="Q1006" i="16"/>
  <c r="S1006" i="16" s="1"/>
  <c r="R1006" i="16"/>
  <c r="P1006" i="16" s="1"/>
  <c r="N1070" i="16"/>
  <c r="I1070" i="16" s="1"/>
  <c r="Q1070" i="16"/>
  <c r="S1070" i="16" s="1"/>
  <c r="R1070" i="16"/>
  <c r="P1070" i="16" s="1"/>
  <c r="N1134" i="16"/>
  <c r="I1134" i="16" s="1"/>
  <c r="N1198" i="16"/>
  <c r="I1198" i="16" s="1"/>
  <c r="N1262" i="16"/>
  <c r="I1262" i="16" s="1"/>
  <c r="Q1262" i="16"/>
  <c r="S1262" i="16" s="1"/>
  <c r="R1262" i="16"/>
  <c r="P1262" i="16" s="1"/>
  <c r="N1326" i="16"/>
  <c r="I1326" i="16" s="1"/>
  <c r="N1390" i="16"/>
  <c r="I1390" i="16" s="1"/>
  <c r="Q1390" i="16"/>
  <c r="S1390" i="16" s="1"/>
  <c r="R1390" i="16"/>
  <c r="P1390" i="16" s="1"/>
  <c r="N1454" i="16"/>
  <c r="I1454" i="16" s="1"/>
  <c r="Q1454" i="16"/>
  <c r="S1454" i="16" s="1"/>
  <c r="R1454" i="16"/>
  <c r="P1454" i="16" s="1"/>
  <c r="N1518" i="16"/>
  <c r="I1518" i="16" s="1"/>
  <c r="N1582" i="16"/>
  <c r="I1582" i="16" s="1"/>
  <c r="Q1582" i="16"/>
  <c r="S1582" i="16" s="1"/>
  <c r="R1582" i="16"/>
  <c r="P1582" i="16" s="1"/>
  <c r="N1646" i="16"/>
  <c r="I1646" i="16" s="1"/>
  <c r="N1710" i="16"/>
  <c r="I1710" i="16" s="1"/>
  <c r="Q1710" i="16"/>
  <c r="S1710" i="16" s="1"/>
  <c r="R1710" i="16"/>
  <c r="P1710" i="16" s="1"/>
  <c r="N1774" i="16"/>
  <c r="I1774" i="16" s="1"/>
  <c r="Q1774" i="16"/>
  <c r="S1774" i="16" s="1"/>
  <c r="R1774" i="16"/>
  <c r="P1774" i="16" s="1"/>
  <c r="N1838" i="16"/>
  <c r="I1838" i="16" s="1"/>
  <c r="N1902" i="16"/>
  <c r="I1902" i="16" s="1"/>
  <c r="Q1902" i="16"/>
  <c r="S1902" i="16" s="1"/>
  <c r="R1902" i="16"/>
  <c r="P1902" i="16" s="1"/>
  <c r="N1966" i="16"/>
  <c r="I1966" i="16" s="1"/>
  <c r="Q1966" i="16"/>
  <c r="S1966" i="16" s="1"/>
  <c r="R1966" i="16"/>
  <c r="P1966" i="16" s="1"/>
  <c r="N2030" i="16"/>
  <c r="I2030" i="16" s="1"/>
  <c r="N2094" i="16"/>
  <c r="I2094" i="16" s="1"/>
  <c r="Q2094" i="16"/>
  <c r="S2094" i="16" s="1"/>
  <c r="R2094" i="16"/>
  <c r="P2094" i="16" s="1"/>
  <c r="N2158" i="16"/>
  <c r="I2158" i="16" s="1"/>
  <c r="Q2158" i="16"/>
  <c r="S2158" i="16" s="1"/>
  <c r="R2158" i="16"/>
  <c r="P2158" i="16" s="1"/>
  <c r="Q157" i="16"/>
  <c r="S157" i="16" s="1"/>
  <c r="R157" i="16"/>
  <c r="P157" i="16" s="1"/>
  <c r="N323" i="16"/>
  <c r="I323" i="16" s="1"/>
  <c r="Q323" i="16"/>
  <c r="S323" i="16" s="1"/>
  <c r="R323" i="16"/>
  <c r="P323" i="16" s="1"/>
  <c r="N460" i="16"/>
  <c r="I460" i="16" s="1"/>
  <c r="N564" i="16"/>
  <c r="I564" i="16" s="1"/>
  <c r="N647" i="16"/>
  <c r="I647" i="16" s="1"/>
  <c r="N722" i="16"/>
  <c r="I722" i="16" s="1"/>
  <c r="Q722" i="16"/>
  <c r="S722" i="16" s="1"/>
  <c r="R722" i="16"/>
  <c r="P722" i="16" s="1"/>
  <c r="N795" i="16"/>
  <c r="I795" i="16" s="1"/>
  <c r="Q795" i="16"/>
  <c r="S795" i="16" s="1"/>
  <c r="R795" i="16"/>
  <c r="P795" i="16" s="1"/>
  <c r="N868" i="16"/>
  <c r="I868" i="16" s="1"/>
  <c r="Q868" i="16"/>
  <c r="S868" i="16" s="1"/>
  <c r="R868" i="16"/>
  <c r="P868" i="16" s="1"/>
  <c r="N1007" i="16"/>
  <c r="I1007" i="16" s="1"/>
  <c r="N1071" i="16"/>
  <c r="I1071" i="16" s="1"/>
  <c r="N1135" i="16"/>
  <c r="I1135" i="16" s="1"/>
  <c r="Q1135" i="16"/>
  <c r="S1135" i="16" s="1"/>
  <c r="R1135" i="16"/>
  <c r="P1135" i="16" s="1"/>
  <c r="N1199" i="16"/>
  <c r="I1199" i="16" s="1"/>
  <c r="N1263" i="16"/>
  <c r="I1263" i="16" s="1"/>
  <c r="Q1263" i="16"/>
  <c r="S1263" i="16" s="1"/>
  <c r="R1263" i="16"/>
  <c r="P1263" i="16" s="1"/>
  <c r="N1327" i="16"/>
  <c r="I1327" i="16" s="1"/>
  <c r="Q1327" i="16"/>
  <c r="S1327" i="16" s="1"/>
  <c r="R1327" i="16"/>
  <c r="P1327" i="16" s="1"/>
  <c r="N1391" i="16"/>
  <c r="I1391" i="16" s="1"/>
  <c r="N1455" i="16"/>
  <c r="I1455" i="16" s="1"/>
  <c r="Q1455" i="16"/>
  <c r="S1455" i="16" s="1"/>
  <c r="R1455" i="16"/>
  <c r="P1455" i="16" s="1"/>
  <c r="N1519" i="16"/>
  <c r="I1519" i="16" s="1"/>
  <c r="Q1519" i="16"/>
  <c r="S1519" i="16" s="1"/>
  <c r="R1519" i="16"/>
  <c r="P1519" i="16" s="1"/>
  <c r="N1583" i="16"/>
  <c r="I1583" i="16" s="1"/>
  <c r="N1647" i="16"/>
  <c r="I1647" i="16" s="1"/>
  <c r="Q1647" i="16"/>
  <c r="S1647" i="16" s="1"/>
  <c r="R1647" i="16"/>
  <c r="P1647" i="16" s="1"/>
  <c r="N1711" i="16"/>
  <c r="I1711" i="16" s="1"/>
  <c r="N1775" i="16"/>
  <c r="I1775" i="16" s="1"/>
  <c r="N1839" i="16"/>
  <c r="I1839" i="16" s="1"/>
  <c r="Q1839" i="16"/>
  <c r="S1839" i="16" s="1"/>
  <c r="R1839" i="16"/>
  <c r="P1839" i="16" s="1"/>
  <c r="N1903" i="16"/>
  <c r="I1903" i="16" s="1"/>
  <c r="N1967" i="16"/>
  <c r="I1967" i="16" s="1"/>
  <c r="Q1967" i="16"/>
  <c r="S1967" i="16" s="1"/>
  <c r="R1967" i="16"/>
  <c r="P1967" i="16" s="1"/>
  <c r="N2031" i="16"/>
  <c r="I2031" i="16" s="1"/>
  <c r="Q2031" i="16"/>
  <c r="S2031" i="16" s="1"/>
  <c r="R2031" i="16"/>
  <c r="P2031" i="16" s="1"/>
  <c r="N2095" i="16"/>
  <c r="I2095" i="16" s="1"/>
  <c r="N2159" i="16"/>
  <c r="I2159" i="16" s="1"/>
  <c r="N25" i="16"/>
  <c r="I25" i="16" s="1"/>
  <c r="Q25" i="16"/>
  <c r="S25" i="16" s="1"/>
  <c r="R25" i="16"/>
  <c r="P25" i="16" s="1"/>
  <c r="N588" i="16"/>
  <c r="I588" i="16" s="1"/>
  <c r="Q588" i="16"/>
  <c r="S588" i="16" s="1"/>
  <c r="R588" i="16"/>
  <c r="P588" i="16" s="1"/>
  <c r="N742" i="16"/>
  <c r="I742" i="16" s="1"/>
  <c r="N889" i="16"/>
  <c r="I889" i="16" s="1"/>
  <c r="Q889" i="16"/>
  <c r="S889" i="16" s="1"/>
  <c r="R889" i="16"/>
  <c r="P889" i="16" s="1"/>
  <c r="N1025" i="16"/>
  <c r="I1025" i="16" s="1"/>
  <c r="Q1025" i="16"/>
  <c r="S1025" i="16" s="1"/>
  <c r="R1025" i="16"/>
  <c r="P1025" i="16" s="1"/>
  <c r="N1153" i="16"/>
  <c r="I1153" i="16" s="1"/>
  <c r="Q1153" i="16"/>
  <c r="S1153" i="16" s="1"/>
  <c r="R1153" i="16"/>
  <c r="P1153" i="16" s="1"/>
  <c r="N1281" i="16"/>
  <c r="I1281" i="16" s="1"/>
  <c r="Q1281" i="16"/>
  <c r="S1281" i="16" s="1"/>
  <c r="R1281" i="16"/>
  <c r="P1281" i="16" s="1"/>
  <c r="N1409" i="16"/>
  <c r="I1409" i="16" s="1"/>
  <c r="N1537" i="16"/>
  <c r="I1537" i="16" s="1"/>
  <c r="N1665" i="16"/>
  <c r="I1665" i="16" s="1"/>
  <c r="Q1665" i="16"/>
  <c r="S1665" i="16" s="1"/>
  <c r="R1665" i="16"/>
  <c r="P1665" i="16" s="1"/>
  <c r="N1793" i="16"/>
  <c r="I1793" i="16" s="1"/>
  <c r="Q1793" i="16"/>
  <c r="S1793" i="16" s="1"/>
  <c r="R1793" i="16"/>
  <c r="P1793" i="16" s="1"/>
  <c r="N1908" i="16"/>
  <c r="I1908" i="16" s="1"/>
  <c r="Q1908" i="16"/>
  <c r="S1908" i="16" s="1"/>
  <c r="R1908" i="16"/>
  <c r="P1908" i="16" s="1"/>
  <c r="N2010" i="16"/>
  <c r="I2010" i="16" s="1"/>
  <c r="N2113" i="16"/>
  <c r="I2113" i="16" s="1"/>
  <c r="N2208" i="16"/>
  <c r="I2208" i="16" s="1"/>
  <c r="N2276" i="16"/>
  <c r="I2276" i="16" s="1"/>
  <c r="Q2276" i="16"/>
  <c r="S2276" i="16" s="1"/>
  <c r="R2276" i="16"/>
  <c r="P2276" i="16" s="1"/>
  <c r="N2340" i="16"/>
  <c r="I2340" i="16" s="1"/>
  <c r="N2404" i="16"/>
  <c r="I2404" i="16" s="1"/>
  <c r="N2468" i="16"/>
  <c r="I2468" i="16" s="1"/>
  <c r="Q2468" i="16"/>
  <c r="S2468" i="16" s="1"/>
  <c r="R2468" i="16"/>
  <c r="P2468" i="16" s="1"/>
  <c r="N2532" i="16"/>
  <c r="I2532" i="16" s="1"/>
  <c r="Q2532" i="16"/>
  <c r="S2532" i="16" s="1"/>
  <c r="R2532" i="16"/>
  <c r="P2532" i="16" s="1"/>
  <c r="N2596" i="16"/>
  <c r="I2596" i="16" s="1"/>
  <c r="Q2596" i="16"/>
  <c r="S2596" i="16" s="1"/>
  <c r="R2596" i="16"/>
  <c r="P2596" i="16" s="1"/>
  <c r="N34" i="16"/>
  <c r="I34" i="16" s="1"/>
  <c r="Q373" i="16"/>
  <c r="S373" i="16" s="1"/>
  <c r="R373" i="16"/>
  <c r="P373" i="16" s="1"/>
  <c r="N591" i="16"/>
  <c r="I591" i="16" s="1"/>
  <c r="N746" i="16"/>
  <c r="I746" i="16" s="1"/>
  <c r="N892" i="16"/>
  <c r="I892" i="16" s="1"/>
  <c r="N1028" i="16"/>
  <c r="I1028" i="16" s="1"/>
  <c r="Q1028" i="16"/>
  <c r="S1028" i="16" s="1"/>
  <c r="R1028" i="16"/>
  <c r="P1028" i="16" s="1"/>
  <c r="N1156" i="16"/>
  <c r="I1156" i="16" s="1"/>
  <c r="Q1156" i="16"/>
  <c r="S1156" i="16" s="1"/>
  <c r="R1156" i="16"/>
  <c r="P1156" i="16" s="1"/>
  <c r="N1284" i="16"/>
  <c r="I1284" i="16" s="1"/>
  <c r="Q1284" i="16"/>
  <c r="S1284" i="16" s="1"/>
  <c r="R1284" i="16"/>
  <c r="P1284" i="16" s="1"/>
  <c r="N1412" i="16"/>
  <c r="I1412" i="16" s="1"/>
  <c r="Q1412" i="16"/>
  <c r="S1412" i="16" s="1"/>
  <c r="R1412" i="16"/>
  <c r="P1412" i="16" s="1"/>
  <c r="N1540" i="16"/>
  <c r="I1540" i="16" s="1"/>
  <c r="Q1540" i="16"/>
  <c r="S1540" i="16" s="1"/>
  <c r="R1540" i="16"/>
  <c r="P1540" i="16" s="1"/>
  <c r="N1668" i="16"/>
  <c r="I1668" i="16" s="1"/>
  <c r="Q1668" i="16"/>
  <c r="S1668" i="16" s="1"/>
  <c r="R1668" i="16"/>
  <c r="P1668" i="16" s="1"/>
  <c r="N1796" i="16"/>
  <c r="I1796" i="16" s="1"/>
  <c r="N1912" i="16"/>
  <c r="I1912" i="16" s="1"/>
  <c r="Q1912" i="16"/>
  <c r="S1912" i="16" s="1"/>
  <c r="R1912" i="16"/>
  <c r="P1912" i="16" s="1"/>
  <c r="Q2013" i="16"/>
  <c r="S2013" i="16" s="1"/>
  <c r="R2013" i="16"/>
  <c r="P2013" i="16" s="1"/>
  <c r="N2116" i="16"/>
  <c r="I2116" i="16" s="1"/>
  <c r="Q2116" i="16"/>
  <c r="S2116" i="16" s="1"/>
  <c r="R2116" i="16"/>
  <c r="P2116" i="16" s="1"/>
  <c r="N2210" i="16"/>
  <c r="I2210" i="16" s="1"/>
  <c r="N2278" i="16"/>
  <c r="I2278" i="16" s="1"/>
  <c r="Q2278" i="16"/>
  <c r="S2278" i="16" s="1"/>
  <c r="R2278" i="16"/>
  <c r="P2278" i="16" s="1"/>
  <c r="N2342" i="16"/>
  <c r="I2342" i="16" s="1"/>
  <c r="N2406" i="16"/>
  <c r="I2406" i="16" s="1"/>
  <c r="N2470" i="16"/>
  <c r="I2470" i="16" s="1"/>
  <c r="Q2470" i="16"/>
  <c r="S2470" i="16" s="1"/>
  <c r="R2470" i="16"/>
  <c r="P2470" i="16" s="1"/>
  <c r="N2534" i="16"/>
  <c r="I2534" i="16" s="1"/>
  <c r="R2534" i="16"/>
  <c r="P2534" i="16" s="1"/>
  <c r="Q2534" i="16"/>
  <c r="S2534" i="16" s="1"/>
  <c r="N2598" i="16"/>
  <c r="I2598" i="16" s="1"/>
  <c r="Q2598" i="16"/>
  <c r="S2598" i="16" s="1"/>
  <c r="R2598" i="16"/>
  <c r="P2598" i="16" s="1"/>
  <c r="Q45" i="16"/>
  <c r="S45" i="16" s="1"/>
  <c r="R45" i="16"/>
  <c r="P45" i="16" s="1"/>
  <c r="N750" i="16"/>
  <c r="I750" i="16" s="1"/>
  <c r="N897" i="16"/>
  <c r="I897" i="16" s="1"/>
  <c r="Q897" i="16"/>
  <c r="S897" i="16" s="1"/>
  <c r="R897" i="16"/>
  <c r="P897" i="16" s="1"/>
  <c r="N1032" i="16"/>
  <c r="I1032" i="16" s="1"/>
  <c r="N1160" i="16"/>
  <c r="I1160" i="16" s="1"/>
  <c r="Q1160" i="16"/>
  <c r="S1160" i="16" s="1"/>
  <c r="R1160" i="16"/>
  <c r="P1160" i="16" s="1"/>
  <c r="N1288" i="16"/>
  <c r="I1288" i="16" s="1"/>
  <c r="Q1288" i="16"/>
  <c r="S1288" i="16" s="1"/>
  <c r="R1288" i="16"/>
  <c r="P1288" i="16" s="1"/>
  <c r="N186" i="16"/>
  <c r="I186" i="16" s="1"/>
  <c r="N480" i="16"/>
  <c r="I480" i="16" s="1"/>
  <c r="Q480" i="16"/>
  <c r="S480" i="16" s="1"/>
  <c r="R480" i="16"/>
  <c r="P480" i="16" s="1"/>
  <c r="N660" i="16"/>
  <c r="I660" i="16" s="1"/>
  <c r="N806" i="16"/>
  <c r="I806" i="16" s="1"/>
  <c r="N953" i="16"/>
  <c r="I953" i="16" s="1"/>
  <c r="N1081" i="16"/>
  <c r="I1081" i="16" s="1"/>
  <c r="Q1081" i="16"/>
  <c r="S1081" i="16" s="1"/>
  <c r="R1081" i="16"/>
  <c r="P1081" i="16" s="1"/>
  <c r="N1209" i="16"/>
  <c r="I1209" i="16" s="1"/>
  <c r="N326" i="16"/>
  <c r="I326" i="16" s="1"/>
  <c r="Q326" i="16"/>
  <c r="S326" i="16" s="1"/>
  <c r="R326" i="16"/>
  <c r="P326" i="16" s="1"/>
  <c r="Q565" i="16"/>
  <c r="S565" i="16" s="1"/>
  <c r="R565" i="16"/>
  <c r="P565" i="16" s="1"/>
  <c r="N723" i="16"/>
  <c r="I723" i="16" s="1"/>
  <c r="Q723" i="16"/>
  <c r="S723" i="16" s="1"/>
  <c r="R723" i="16"/>
  <c r="P723" i="16" s="1"/>
  <c r="N1008" i="16"/>
  <c r="I1008" i="16" s="1"/>
  <c r="Q1008" i="16"/>
  <c r="S1008" i="16" s="1"/>
  <c r="R1008" i="16"/>
  <c r="P1008" i="16" s="1"/>
  <c r="N1136" i="16"/>
  <c r="I1136" i="16" s="1"/>
  <c r="N1264" i="16"/>
  <c r="I1264" i="16" s="1"/>
  <c r="N1392" i="16"/>
  <c r="I1392" i="16" s="1"/>
  <c r="Q1392" i="16"/>
  <c r="S1392" i="16" s="1"/>
  <c r="R1392" i="16"/>
  <c r="P1392" i="16" s="1"/>
  <c r="N1520" i="16"/>
  <c r="I1520" i="16" s="1"/>
  <c r="N1648" i="16"/>
  <c r="I1648" i="16" s="1"/>
  <c r="N1776" i="16"/>
  <c r="I1776" i="16" s="1"/>
  <c r="N386" i="16"/>
  <c r="I386" i="16" s="1"/>
  <c r="Q386" i="16"/>
  <c r="S386" i="16" s="1"/>
  <c r="R386" i="16"/>
  <c r="P386" i="16" s="1"/>
  <c r="N846" i="16"/>
  <c r="I846" i="16" s="1"/>
  <c r="N1202" i="16"/>
  <c r="I1202" i="16" s="1"/>
  <c r="Q1202" i="16"/>
  <c r="S1202" i="16" s="1"/>
  <c r="R1202" i="16"/>
  <c r="P1202" i="16" s="1"/>
  <c r="N1436" i="16"/>
  <c r="I1436" i="16" s="1"/>
  <c r="Q1436" i="16"/>
  <c r="S1436" i="16" s="1"/>
  <c r="R1436" i="16"/>
  <c r="P1436" i="16" s="1"/>
  <c r="N1642" i="16"/>
  <c r="I1642" i="16" s="1"/>
  <c r="N1849" i="16"/>
  <c r="I1849" i="16" s="1"/>
  <c r="Q1849" i="16"/>
  <c r="S1849" i="16" s="1"/>
  <c r="R1849" i="16"/>
  <c r="P1849" i="16" s="1"/>
  <c r="N2004" i="16"/>
  <c r="I2004" i="16" s="1"/>
  <c r="N2140" i="16"/>
  <c r="I2140" i="16" s="1"/>
  <c r="Q2140" i="16"/>
  <c r="S2140" i="16" s="1"/>
  <c r="R2140" i="16"/>
  <c r="P2140" i="16" s="1"/>
  <c r="N2250" i="16"/>
  <c r="I2250" i="16" s="1"/>
  <c r="N2336" i="16"/>
  <c r="I2336" i="16" s="1"/>
  <c r="Q2421" i="16"/>
  <c r="S2421" i="16" s="1"/>
  <c r="R2421" i="16"/>
  <c r="P2421" i="16" s="1"/>
  <c r="N2506" i="16"/>
  <c r="I2506" i="16" s="1"/>
  <c r="N2592" i="16"/>
  <c r="I2592" i="16" s="1"/>
  <c r="Q2592" i="16"/>
  <c r="S2592" i="16" s="1"/>
  <c r="R2592" i="16"/>
  <c r="P2592" i="16" s="1"/>
  <c r="N194" i="16"/>
  <c r="I194" i="16" s="1"/>
  <c r="N762" i="16"/>
  <c r="I762" i="16" s="1"/>
  <c r="N1130" i="16"/>
  <c r="I1130" i="16" s="1"/>
  <c r="N1394" i="16"/>
  <c r="I1394" i="16" s="1"/>
  <c r="Q1394" i="16"/>
  <c r="S1394" i="16" s="1"/>
  <c r="R1394" i="16"/>
  <c r="P1394" i="16" s="1"/>
  <c r="N1596" i="16"/>
  <c r="I1596" i="16" s="1"/>
  <c r="Q1596" i="16"/>
  <c r="S1596" i="16" s="1"/>
  <c r="R1596" i="16"/>
  <c r="P1596" i="16" s="1"/>
  <c r="N1802" i="16"/>
  <c r="I1802" i="16" s="1"/>
  <c r="Q1973" i="16"/>
  <c r="S1973" i="16" s="1"/>
  <c r="R1973" i="16"/>
  <c r="P1973" i="16" s="1"/>
  <c r="Q2109" i="16"/>
  <c r="S2109" i="16" s="1"/>
  <c r="R2109" i="16"/>
  <c r="P2109" i="16" s="1"/>
  <c r="N2232" i="16"/>
  <c r="I2232" i="16" s="1"/>
  <c r="N2317" i="16"/>
  <c r="I2317" i="16" s="1"/>
  <c r="N2402" i="16"/>
  <c r="I2402" i="16" s="1"/>
  <c r="N2488" i="16"/>
  <c r="I2488" i="16" s="1"/>
  <c r="N2573" i="16"/>
  <c r="I2573" i="16" s="1"/>
  <c r="Q2573" i="16"/>
  <c r="S2573" i="16" s="1"/>
  <c r="R2573" i="16"/>
  <c r="P2573" i="16" s="1"/>
  <c r="N2658" i="16"/>
  <c r="I2658" i="16" s="1"/>
  <c r="Q2658" i="16"/>
  <c r="S2658" i="16" s="1"/>
  <c r="R2658" i="16"/>
  <c r="P2658" i="16" s="1"/>
  <c r="N670" i="16"/>
  <c r="I670" i="16" s="1"/>
  <c r="N1050" i="16"/>
  <c r="I1050" i="16" s="1"/>
  <c r="Q1050" i="16"/>
  <c r="S1050" i="16" s="1"/>
  <c r="R1050" i="16"/>
  <c r="P1050" i="16" s="1"/>
  <c r="N1346" i="16"/>
  <c r="I1346" i="16" s="1"/>
  <c r="N1548" i="16"/>
  <c r="I1548" i="16" s="1"/>
  <c r="N1754" i="16"/>
  <c r="I1754" i="16" s="1"/>
  <c r="N1940" i="16"/>
  <c r="I1940" i="16" s="1"/>
  <c r="N2080" i="16"/>
  <c r="I2080" i="16" s="1"/>
  <c r="N2206" i="16"/>
  <c r="I2206" i="16" s="1"/>
  <c r="N2297" i="16"/>
  <c r="I2297" i="16" s="1"/>
  <c r="N2383" i="16"/>
  <c r="I2383" i="16" s="1"/>
  <c r="Q2383" i="16"/>
  <c r="S2383" i="16" s="1"/>
  <c r="R2383" i="16"/>
  <c r="P2383" i="16" s="1"/>
  <c r="N2467" i="16"/>
  <c r="I2467" i="16" s="1"/>
  <c r="N2553" i="16"/>
  <c r="I2553" i="16" s="1"/>
  <c r="Q2553" i="16"/>
  <c r="S2553" i="16" s="1"/>
  <c r="R2553" i="16"/>
  <c r="P2553" i="16" s="1"/>
  <c r="N2639" i="16"/>
  <c r="I2639" i="16" s="1"/>
  <c r="N569" i="16"/>
  <c r="I569" i="16" s="1"/>
  <c r="Q569" i="16"/>
  <c r="S569" i="16" s="1"/>
  <c r="R569" i="16"/>
  <c r="P569" i="16" s="1"/>
  <c r="N970" i="16"/>
  <c r="I970" i="16" s="1"/>
  <c r="R970" i="16"/>
  <c r="P970" i="16" s="1"/>
  <c r="Q970" i="16"/>
  <c r="S970" i="16" s="1"/>
  <c r="N1289" i="16"/>
  <c r="I1289" i="16" s="1"/>
  <c r="N1500" i="16"/>
  <c r="I1500" i="16" s="1"/>
  <c r="Q1500" i="16"/>
  <c r="S1500" i="16" s="1"/>
  <c r="R1500" i="16"/>
  <c r="P1500" i="16" s="1"/>
  <c r="N1706" i="16"/>
  <c r="I1706" i="16" s="1"/>
  <c r="R1706" i="16"/>
  <c r="P1706" i="16" s="1"/>
  <c r="Q1706" i="16"/>
  <c r="S1706" i="16" s="1"/>
  <c r="Q2045" i="16"/>
  <c r="S2045" i="16" s="1"/>
  <c r="R2045" i="16"/>
  <c r="P2045" i="16" s="1"/>
  <c r="N2362" i="16"/>
  <c r="I2362" i="16" s="1"/>
  <c r="Q2362" i="16"/>
  <c r="S2362" i="16" s="1"/>
  <c r="R2362" i="16"/>
  <c r="P2362" i="16" s="1"/>
  <c r="N2448" i="16"/>
  <c r="I2448" i="16" s="1"/>
  <c r="Q2533" i="16"/>
  <c r="S2533" i="16" s="1"/>
  <c r="R2533" i="16"/>
  <c r="P2533" i="16" s="1"/>
  <c r="N2618" i="16"/>
  <c r="I2618" i="16" s="1"/>
  <c r="R2618" i="16"/>
  <c r="P2618" i="16" s="1"/>
  <c r="Q2618" i="16"/>
  <c r="S2618" i="16" s="1"/>
  <c r="N454" i="16"/>
  <c r="I454" i="16" s="1"/>
  <c r="N890" i="16"/>
  <c r="I890" i="16" s="1"/>
  <c r="N1234" i="16"/>
  <c r="I1234" i="16" s="1"/>
  <c r="Q1234" i="16"/>
  <c r="S1234" i="16" s="1"/>
  <c r="R1234" i="16"/>
  <c r="P1234" i="16" s="1"/>
  <c r="N1464" i="16"/>
  <c r="I1464" i="16" s="1"/>
  <c r="Q1464" i="16"/>
  <c r="S1464" i="16" s="1"/>
  <c r="R1464" i="16"/>
  <c r="P1464" i="16" s="1"/>
  <c r="N1666" i="16"/>
  <c r="I1666" i="16" s="1"/>
  <c r="Q1666" i="16"/>
  <c r="S1666" i="16" s="1"/>
  <c r="R1666" i="16"/>
  <c r="P1666" i="16" s="1"/>
  <c r="N1866" i="16"/>
  <c r="I1866" i="16" s="1"/>
  <c r="Q1866" i="16"/>
  <c r="S1866" i="16" s="1"/>
  <c r="R1866" i="16"/>
  <c r="P1866" i="16" s="1"/>
  <c r="N2018" i="16"/>
  <c r="I2018" i="16" s="1"/>
  <c r="N2156" i="16"/>
  <c r="I2156" i="16" s="1"/>
  <c r="Q2156" i="16"/>
  <c r="S2156" i="16" s="1"/>
  <c r="R2156" i="16"/>
  <c r="P2156" i="16" s="1"/>
  <c r="N2259" i="16"/>
  <c r="I2259" i="16" s="1"/>
  <c r="N2345" i="16"/>
  <c r="I2345" i="16" s="1"/>
  <c r="Q2345" i="16"/>
  <c r="S2345" i="16" s="1"/>
  <c r="R2345" i="16"/>
  <c r="P2345" i="16" s="1"/>
  <c r="N2431" i="16"/>
  <c r="I2431" i="16" s="1"/>
  <c r="Q2431" i="16"/>
  <c r="S2431" i="16" s="1"/>
  <c r="R2431" i="16"/>
  <c r="P2431" i="16" s="1"/>
  <c r="N2515" i="16"/>
  <c r="I2515" i="16" s="1"/>
  <c r="N2601" i="16"/>
  <c r="I2601" i="16" s="1"/>
  <c r="N602" i="16"/>
  <c r="I602" i="16" s="1"/>
  <c r="Q602" i="16"/>
  <c r="S602" i="16" s="1"/>
  <c r="R602" i="16"/>
  <c r="P602" i="16" s="1"/>
  <c r="N1452" i="16"/>
  <c r="I1452" i="16" s="1"/>
  <c r="Q1452" i="16"/>
  <c r="S1452" i="16" s="1"/>
  <c r="R1452" i="16"/>
  <c r="P1452" i="16" s="1"/>
  <c r="Q1965" i="16"/>
  <c r="S1965" i="16" s="1"/>
  <c r="R1965" i="16"/>
  <c r="P1965" i="16" s="1"/>
  <c r="N2283" i="16"/>
  <c r="I2283" i="16" s="1"/>
  <c r="N2513" i="16"/>
  <c r="I2513" i="16" s="1"/>
  <c r="N642" i="16"/>
  <c r="I642" i="16" s="1"/>
  <c r="Q642" i="16"/>
  <c r="S642" i="16" s="1"/>
  <c r="R642" i="16"/>
  <c r="P642" i="16" s="1"/>
  <c r="N1466" i="16"/>
  <c r="I1466" i="16" s="1"/>
  <c r="Q1466" i="16"/>
  <c r="S1466" i="16" s="1"/>
  <c r="R1466" i="16"/>
  <c r="P1466" i="16" s="1"/>
  <c r="N1980" i="16"/>
  <c r="I1980" i="16" s="1"/>
  <c r="N2290" i="16"/>
  <c r="I2290" i="16" s="1"/>
  <c r="Q2290" i="16"/>
  <c r="S2290" i="16" s="1"/>
  <c r="R2290" i="16"/>
  <c r="P2290" i="16" s="1"/>
  <c r="N2519" i="16"/>
  <c r="I2519" i="16" s="1"/>
  <c r="Q2519" i="16"/>
  <c r="S2519" i="16" s="1"/>
  <c r="R2519" i="16"/>
  <c r="P2519" i="16" s="1"/>
  <c r="Q789" i="16"/>
  <c r="S789" i="16" s="1"/>
  <c r="R789" i="16"/>
  <c r="P789" i="16" s="1"/>
  <c r="N1545" i="16"/>
  <c r="I1545" i="16" s="1"/>
  <c r="N2032" i="16"/>
  <c r="I2032" i="16" s="1"/>
  <c r="N2322" i="16"/>
  <c r="I2322" i="16" s="1"/>
  <c r="R2322" i="16"/>
  <c r="P2322" i="16" s="1"/>
  <c r="Q2322" i="16"/>
  <c r="S2322" i="16" s="1"/>
  <c r="N2551" i="16"/>
  <c r="I2551" i="16" s="1"/>
  <c r="Q2551" i="16"/>
  <c r="S2551" i="16" s="1"/>
  <c r="R2551" i="16"/>
  <c r="P2551" i="16" s="1"/>
  <c r="N807" i="16"/>
  <c r="I807" i="16" s="1"/>
  <c r="R807" i="16"/>
  <c r="P807" i="16" s="1"/>
  <c r="Q807" i="16"/>
  <c r="S807" i="16" s="1"/>
  <c r="N1560" i="16"/>
  <c r="I1560" i="16" s="1"/>
  <c r="N2033" i="16"/>
  <c r="I2033" i="16" s="1"/>
  <c r="Q2033" i="16"/>
  <c r="S2033" i="16" s="1"/>
  <c r="R2033" i="16"/>
  <c r="P2033" i="16" s="1"/>
  <c r="N2327" i="16"/>
  <c r="I2327" i="16" s="1"/>
  <c r="N2555" i="16"/>
  <c r="I2555" i="16" s="1"/>
  <c r="Q2555" i="16"/>
  <c r="S2555" i="16" s="1"/>
  <c r="R2555" i="16"/>
  <c r="P2555" i="16" s="1"/>
  <c r="N1580" i="16"/>
  <c r="I1580" i="16" s="1"/>
  <c r="N2050" i="16"/>
  <c r="I2050" i="16" s="1"/>
  <c r="N2337" i="16"/>
  <c r="I2337" i="16" s="1"/>
  <c r="Q2337" i="16"/>
  <c r="S2337" i="16" s="1"/>
  <c r="R2337" i="16"/>
  <c r="P2337" i="16" s="1"/>
  <c r="N2567" i="16"/>
  <c r="I2567" i="16" s="1"/>
  <c r="R2567" i="16"/>
  <c r="P2567" i="16" s="1"/>
  <c r="Q2567" i="16"/>
  <c r="S2567" i="16" s="1"/>
  <c r="N1458" i="16"/>
  <c r="I1458" i="16" s="1"/>
  <c r="N2443" i="16"/>
  <c r="I2443" i="16" s="1"/>
  <c r="Q2443" i="16"/>
  <c r="S2443" i="16" s="1"/>
  <c r="R2443" i="16"/>
  <c r="P2443" i="16" s="1"/>
  <c r="N1698" i="16"/>
  <c r="I1698" i="16" s="1"/>
  <c r="Q1698" i="16"/>
  <c r="S1698" i="16" s="1"/>
  <c r="R1698" i="16"/>
  <c r="P1698" i="16" s="1"/>
  <c r="N2535" i="16"/>
  <c r="I2535" i="16" s="1"/>
  <c r="R2535" i="16"/>
  <c r="P2535" i="16" s="1"/>
  <c r="Q2535" i="16"/>
  <c r="S2535" i="16" s="1"/>
  <c r="N1892" i="16"/>
  <c r="I1892" i="16" s="1"/>
  <c r="Q1892" i="16"/>
  <c r="S1892" i="16" s="1"/>
  <c r="R1892" i="16"/>
  <c r="P1892" i="16" s="1"/>
  <c r="N2619" i="16"/>
  <c r="I2619" i="16" s="1"/>
  <c r="Q2619" i="16"/>
  <c r="S2619" i="16" s="1"/>
  <c r="R2619" i="16"/>
  <c r="P2619" i="16" s="1"/>
  <c r="N2041" i="16"/>
  <c r="I2041" i="16" s="1"/>
  <c r="Q2041" i="16"/>
  <c r="S2041" i="16" s="1"/>
  <c r="R2041" i="16"/>
  <c r="P2041" i="16" s="1"/>
  <c r="N579" i="16"/>
  <c r="I579" i="16" s="1"/>
  <c r="Q579" i="16"/>
  <c r="S579" i="16" s="1"/>
  <c r="R579" i="16"/>
  <c r="P579" i="16" s="1"/>
  <c r="N2196" i="16"/>
  <c r="I2196" i="16" s="1"/>
  <c r="Q2196" i="16"/>
  <c r="S2196" i="16" s="1"/>
  <c r="R2196" i="16"/>
  <c r="P2196" i="16" s="1"/>
  <c r="N1570" i="16"/>
  <c r="I1570" i="16" s="1"/>
  <c r="Q1570" i="16"/>
  <c r="S1570" i="16" s="1"/>
  <c r="R1570" i="16"/>
  <c r="P1570" i="16" s="1"/>
  <c r="N2529" i="16"/>
  <c r="I2529" i="16" s="1"/>
  <c r="Q2529" i="16"/>
  <c r="S2529" i="16" s="1"/>
  <c r="R2529" i="16"/>
  <c r="P2529" i="16" s="1"/>
  <c r="N1388" i="16"/>
  <c r="I1388" i="16" s="1"/>
  <c r="Q1388" i="16"/>
  <c r="S1388" i="16" s="1"/>
  <c r="R1388" i="16"/>
  <c r="P1388" i="16" s="1"/>
  <c r="N2258" i="16"/>
  <c r="I2258" i="16" s="1"/>
  <c r="Q2258" i="16"/>
  <c r="S2258" i="16" s="1"/>
  <c r="R2258" i="16"/>
  <c r="P2258" i="16" s="1"/>
  <c r="N2375" i="16"/>
  <c r="I2375" i="16" s="1"/>
  <c r="Q2375" i="16"/>
  <c r="S2375" i="16" s="1"/>
  <c r="R2375" i="16"/>
  <c r="P2375" i="16" s="1"/>
  <c r="N2642" i="16"/>
  <c r="I2642" i="16" s="1"/>
  <c r="Q2642" i="16"/>
  <c r="S2642" i="16" s="1"/>
  <c r="R2642" i="16"/>
  <c r="P2642" i="16" s="1"/>
  <c r="N55" i="16"/>
  <c r="I55" i="16" s="1"/>
  <c r="Q55" i="16"/>
  <c r="S55" i="16" s="1"/>
  <c r="R55" i="16"/>
  <c r="P55" i="16" s="1"/>
  <c r="N119" i="16"/>
  <c r="I119" i="16" s="1"/>
  <c r="Q119" i="16"/>
  <c r="S119" i="16" s="1"/>
  <c r="R119" i="16"/>
  <c r="P119" i="16" s="1"/>
  <c r="N183" i="16"/>
  <c r="I183" i="16" s="1"/>
  <c r="N247" i="16"/>
  <c r="I247" i="16" s="1"/>
  <c r="N311" i="16"/>
  <c r="I311" i="16" s="1"/>
  <c r="N375" i="16"/>
  <c r="I375" i="16" s="1"/>
  <c r="Q375" i="16"/>
  <c r="S375" i="16" s="1"/>
  <c r="R375" i="16"/>
  <c r="P375" i="16" s="1"/>
  <c r="N439" i="16"/>
  <c r="I439" i="16" s="1"/>
  <c r="N8" i="16"/>
  <c r="I8" i="16" s="1"/>
  <c r="N72" i="16"/>
  <c r="I72" i="16" s="1"/>
  <c r="N136" i="16"/>
  <c r="I136" i="16" s="1"/>
  <c r="N200" i="16"/>
  <c r="I200" i="16" s="1"/>
  <c r="N264" i="16"/>
  <c r="I264" i="16" s="1"/>
  <c r="N328" i="16"/>
  <c r="I328" i="16" s="1"/>
  <c r="Q328" i="16"/>
  <c r="S328" i="16" s="1"/>
  <c r="R328" i="16"/>
  <c r="P328" i="16" s="1"/>
  <c r="N392" i="16"/>
  <c r="I392" i="16" s="1"/>
  <c r="Q392" i="16"/>
  <c r="S392" i="16" s="1"/>
  <c r="R392" i="16"/>
  <c r="P392" i="16" s="1"/>
  <c r="N456" i="16"/>
  <c r="I456" i="16" s="1"/>
  <c r="Q69" i="16"/>
  <c r="S69" i="16" s="1"/>
  <c r="R69" i="16"/>
  <c r="P69" i="16" s="1"/>
  <c r="N155" i="16"/>
  <c r="I155" i="16" s="1"/>
  <c r="Q155" i="16"/>
  <c r="S155" i="16" s="1"/>
  <c r="R155" i="16"/>
  <c r="P155" i="16" s="1"/>
  <c r="N241" i="16"/>
  <c r="I241" i="16" s="1"/>
  <c r="Q325" i="16"/>
  <c r="S325" i="16" s="1"/>
  <c r="R325" i="16"/>
  <c r="P325" i="16" s="1"/>
  <c r="N42" i="16"/>
  <c r="I42" i="16" s="1"/>
  <c r="N126" i="16"/>
  <c r="I126" i="16" s="1"/>
  <c r="N212" i="16"/>
  <c r="I212" i="16" s="1"/>
  <c r="N298" i="16"/>
  <c r="I298" i="16" s="1"/>
  <c r="Q298" i="16"/>
  <c r="S298" i="16" s="1"/>
  <c r="R298" i="16"/>
  <c r="P298" i="16" s="1"/>
  <c r="N382" i="16"/>
  <c r="I382" i="16" s="1"/>
  <c r="R382" i="16"/>
  <c r="P382" i="16" s="1"/>
  <c r="Q382" i="16"/>
  <c r="S382" i="16" s="1"/>
  <c r="N468" i="16"/>
  <c r="I468" i="16" s="1"/>
  <c r="Q468" i="16"/>
  <c r="S468" i="16" s="1"/>
  <c r="R468" i="16"/>
  <c r="P468" i="16" s="1"/>
  <c r="N536" i="16"/>
  <c r="I536" i="16" s="1"/>
  <c r="Q536" i="16"/>
  <c r="S536" i="16" s="1"/>
  <c r="R536" i="16"/>
  <c r="P536" i="16" s="1"/>
  <c r="N600" i="16"/>
  <c r="I600" i="16" s="1"/>
  <c r="Q600" i="16"/>
  <c r="S600" i="16" s="1"/>
  <c r="R600" i="16"/>
  <c r="P600" i="16" s="1"/>
  <c r="N664" i="16"/>
  <c r="I664" i="16" s="1"/>
  <c r="Q664" i="16"/>
  <c r="S664" i="16" s="1"/>
  <c r="R664" i="16"/>
  <c r="P664" i="16" s="1"/>
  <c r="N728" i="16"/>
  <c r="I728" i="16" s="1"/>
  <c r="Q728" i="16"/>
  <c r="S728" i="16" s="1"/>
  <c r="R728" i="16"/>
  <c r="P728" i="16" s="1"/>
  <c r="N792" i="16"/>
  <c r="I792" i="16" s="1"/>
  <c r="Q792" i="16"/>
  <c r="S792" i="16" s="1"/>
  <c r="R792" i="16"/>
  <c r="P792" i="16" s="1"/>
  <c r="N856" i="16"/>
  <c r="I856" i="16" s="1"/>
  <c r="Q856" i="16"/>
  <c r="S856" i="16" s="1"/>
  <c r="R856" i="16"/>
  <c r="P856" i="16" s="1"/>
  <c r="N920" i="16"/>
  <c r="I920" i="16" s="1"/>
  <c r="N50" i="16"/>
  <c r="I50" i="16" s="1"/>
  <c r="N163" i="16"/>
  <c r="I163" i="16" s="1"/>
  <c r="N388" i="16"/>
  <c r="I388" i="16" s="1"/>
  <c r="Q388" i="16"/>
  <c r="S388" i="16" s="1"/>
  <c r="R388" i="16"/>
  <c r="P388" i="16" s="1"/>
  <c r="N483" i="16"/>
  <c r="I483" i="16" s="1"/>
  <c r="Q483" i="16"/>
  <c r="S483" i="16" s="1"/>
  <c r="R483" i="16"/>
  <c r="P483" i="16" s="1"/>
  <c r="N558" i="16"/>
  <c r="I558" i="16" s="1"/>
  <c r="N631" i="16"/>
  <c r="I631" i="16" s="1"/>
  <c r="N83" i="16"/>
  <c r="I83" i="16" s="1"/>
  <c r="N196" i="16"/>
  <c r="I196" i="16" s="1"/>
  <c r="N310" i="16"/>
  <c r="I310" i="16" s="1"/>
  <c r="Q310" i="16"/>
  <c r="S310" i="16" s="1"/>
  <c r="R310" i="16"/>
  <c r="P310" i="16" s="1"/>
  <c r="N418" i="16"/>
  <c r="I418" i="16" s="1"/>
  <c r="N507" i="16"/>
  <c r="I507" i="16" s="1"/>
  <c r="Q507" i="16"/>
  <c r="S507" i="16" s="1"/>
  <c r="R507" i="16"/>
  <c r="P507" i="16" s="1"/>
  <c r="N28" i="16"/>
  <c r="I28" i="16" s="1"/>
  <c r="Q141" i="16"/>
  <c r="S141" i="16" s="1"/>
  <c r="R141" i="16"/>
  <c r="P141" i="16" s="1"/>
  <c r="N9" i="16"/>
  <c r="I9" i="16" s="1"/>
  <c r="Q9" i="16"/>
  <c r="S9" i="16" s="1"/>
  <c r="R9" i="16"/>
  <c r="P9" i="16" s="1"/>
  <c r="Q189" i="16"/>
  <c r="S189" i="16" s="1"/>
  <c r="R189" i="16"/>
  <c r="P189" i="16" s="1"/>
  <c r="N353" i="16"/>
  <c r="I353" i="16" s="1"/>
  <c r="Q353" i="16"/>
  <c r="S353" i="16" s="1"/>
  <c r="R353" i="16"/>
  <c r="P353" i="16" s="1"/>
  <c r="N482" i="16"/>
  <c r="I482" i="16" s="1"/>
  <c r="Q482" i="16"/>
  <c r="S482" i="16" s="1"/>
  <c r="R482" i="16"/>
  <c r="P482" i="16" s="1"/>
  <c r="N580" i="16"/>
  <c r="I580" i="16" s="1"/>
  <c r="N662" i="16"/>
  <c r="I662" i="16" s="1"/>
  <c r="N735" i="16"/>
  <c r="I735" i="16" s="1"/>
  <c r="N809" i="16"/>
  <c r="I809" i="16" s="1"/>
  <c r="Q809" i="16"/>
  <c r="S809" i="16" s="1"/>
  <c r="R809" i="16"/>
  <c r="P809" i="16" s="1"/>
  <c r="N882" i="16"/>
  <c r="I882" i="16" s="1"/>
  <c r="Q882" i="16"/>
  <c r="S882" i="16" s="1"/>
  <c r="R882" i="16"/>
  <c r="P882" i="16" s="1"/>
  <c r="N955" i="16"/>
  <c r="I955" i="16" s="1"/>
  <c r="N1019" i="16"/>
  <c r="I1019" i="16" s="1"/>
  <c r="Q1019" i="16"/>
  <c r="S1019" i="16" s="1"/>
  <c r="R1019" i="16"/>
  <c r="P1019" i="16" s="1"/>
  <c r="N1083" i="16"/>
  <c r="I1083" i="16" s="1"/>
  <c r="Q1083" i="16"/>
  <c r="S1083" i="16" s="1"/>
  <c r="R1083" i="16"/>
  <c r="P1083" i="16" s="1"/>
  <c r="N1147" i="16"/>
  <c r="I1147" i="16" s="1"/>
  <c r="Q1147" i="16"/>
  <c r="S1147" i="16" s="1"/>
  <c r="R1147" i="16"/>
  <c r="P1147" i="16" s="1"/>
  <c r="N1211" i="16"/>
  <c r="I1211" i="16" s="1"/>
  <c r="N1275" i="16"/>
  <c r="I1275" i="16" s="1"/>
  <c r="N1339" i="16"/>
  <c r="I1339" i="16" s="1"/>
  <c r="Q1339" i="16"/>
  <c r="S1339" i="16" s="1"/>
  <c r="R1339" i="16"/>
  <c r="P1339" i="16" s="1"/>
  <c r="N1403" i="16"/>
  <c r="I1403" i="16" s="1"/>
  <c r="N1467" i="16"/>
  <c r="I1467" i="16" s="1"/>
  <c r="Q1467" i="16"/>
  <c r="S1467" i="16" s="1"/>
  <c r="R1467" i="16"/>
  <c r="P1467" i="16" s="1"/>
  <c r="N1531" i="16"/>
  <c r="I1531" i="16" s="1"/>
  <c r="Q1531" i="16"/>
  <c r="S1531" i="16" s="1"/>
  <c r="R1531" i="16"/>
  <c r="P1531" i="16" s="1"/>
  <c r="N1595" i="16"/>
  <c r="I1595" i="16" s="1"/>
  <c r="N1659" i="16"/>
  <c r="I1659" i="16" s="1"/>
  <c r="N1723" i="16"/>
  <c r="I1723" i="16" s="1"/>
  <c r="N1787" i="16"/>
  <c r="I1787" i="16" s="1"/>
  <c r="Q1787" i="16"/>
  <c r="S1787" i="16" s="1"/>
  <c r="R1787" i="16"/>
  <c r="P1787" i="16" s="1"/>
  <c r="N1851" i="16"/>
  <c r="I1851" i="16" s="1"/>
  <c r="Q1851" i="16"/>
  <c r="S1851" i="16" s="1"/>
  <c r="R1851" i="16"/>
  <c r="P1851" i="16" s="1"/>
  <c r="N1915" i="16"/>
  <c r="I1915" i="16" s="1"/>
  <c r="N1979" i="16"/>
  <c r="I1979" i="16" s="1"/>
  <c r="Q1979" i="16"/>
  <c r="S1979" i="16" s="1"/>
  <c r="R1979" i="16"/>
  <c r="P1979" i="16" s="1"/>
  <c r="N2043" i="16"/>
  <c r="I2043" i="16" s="1"/>
  <c r="Q2043" i="16"/>
  <c r="S2043" i="16" s="1"/>
  <c r="R2043" i="16"/>
  <c r="P2043" i="16" s="1"/>
  <c r="N2107" i="16"/>
  <c r="I2107" i="16" s="1"/>
  <c r="Q2107" i="16"/>
  <c r="S2107" i="16" s="1"/>
  <c r="R2107" i="16"/>
  <c r="P2107" i="16" s="1"/>
  <c r="N2171" i="16"/>
  <c r="I2171" i="16" s="1"/>
  <c r="N14" i="16"/>
  <c r="I14" i="16" s="1"/>
  <c r="N195" i="16"/>
  <c r="I195" i="16" s="1"/>
  <c r="Q195" i="16"/>
  <c r="S195" i="16" s="1"/>
  <c r="R195" i="16"/>
  <c r="P195" i="16" s="1"/>
  <c r="N356" i="16"/>
  <c r="I356" i="16" s="1"/>
  <c r="Q485" i="16"/>
  <c r="S485" i="16" s="1"/>
  <c r="R485" i="16"/>
  <c r="P485" i="16" s="1"/>
  <c r="N582" i="16"/>
  <c r="I582" i="16" s="1"/>
  <c r="N665" i="16"/>
  <c r="I665" i="16" s="1"/>
  <c r="R665" i="16"/>
  <c r="P665" i="16" s="1"/>
  <c r="Q665" i="16"/>
  <c r="S665" i="16" s="1"/>
  <c r="N738" i="16"/>
  <c r="I738" i="16" s="1"/>
  <c r="Q738" i="16"/>
  <c r="S738" i="16" s="1"/>
  <c r="R738" i="16"/>
  <c r="P738" i="16" s="1"/>
  <c r="N811" i="16"/>
  <c r="I811" i="16" s="1"/>
  <c r="Q811" i="16"/>
  <c r="S811" i="16" s="1"/>
  <c r="R811" i="16"/>
  <c r="P811" i="16" s="1"/>
  <c r="N884" i="16"/>
  <c r="I884" i="16" s="1"/>
  <c r="Q884" i="16"/>
  <c r="S884" i="16" s="1"/>
  <c r="R884" i="16"/>
  <c r="P884" i="16" s="1"/>
  <c r="Q1021" i="16"/>
  <c r="S1021" i="16" s="1"/>
  <c r="R1021" i="16"/>
  <c r="P1021" i="16" s="1"/>
  <c r="Q1085" i="16"/>
  <c r="S1085" i="16" s="1"/>
  <c r="R1085" i="16"/>
  <c r="P1085" i="16" s="1"/>
  <c r="Q1149" i="16"/>
  <c r="S1149" i="16" s="1"/>
  <c r="R1149" i="16"/>
  <c r="P1149" i="16" s="1"/>
  <c r="N1341" i="16"/>
  <c r="I1341" i="16" s="1"/>
  <c r="Q1341" i="16"/>
  <c r="S1341" i="16" s="1"/>
  <c r="R1341" i="16"/>
  <c r="P1341" i="16" s="1"/>
  <c r="Q1533" i="16"/>
  <c r="S1533" i="16" s="1"/>
  <c r="R1533" i="16"/>
  <c r="P1533" i="16" s="1"/>
  <c r="Q1789" i="16"/>
  <c r="S1789" i="16" s="1"/>
  <c r="R1789" i="16"/>
  <c r="P1789" i="16" s="1"/>
  <c r="N1853" i="16"/>
  <c r="I1853" i="16" s="1"/>
  <c r="Q1853" i="16"/>
  <c r="S1853" i="16" s="1"/>
  <c r="R1853" i="16"/>
  <c r="P1853" i="16" s="1"/>
  <c r="N174" i="16"/>
  <c r="I174" i="16" s="1"/>
  <c r="Q341" i="16"/>
  <c r="S341" i="16" s="1"/>
  <c r="R341" i="16"/>
  <c r="P341" i="16" s="1"/>
  <c r="N474" i="16"/>
  <c r="I474" i="16" s="1"/>
  <c r="Q474" i="16"/>
  <c r="S474" i="16" s="1"/>
  <c r="R474" i="16"/>
  <c r="P474" i="16" s="1"/>
  <c r="N657" i="16"/>
  <c r="I657" i="16" s="1"/>
  <c r="Q657" i="16"/>
  <c r="S657" i="16" s="1"/>
  <c r="R657" i="16"/>
  <c r="P657" i="16" s="1"/>
  <c r="N730" i="16"/>
  <c r="I730" i="16" s="1"/>
  <c r="Q730" i="16"/>
  <c r="S730" i="16" s="1"/>
  <c r="R730" i="16"/>
  <c r="P730" i="16" s="1"/>
  <c r="N803" i="16"/>
  <c r="I803" i="16" s="1"/>
  <c r="Q803" i="16"/>
  <c r="S803" i="16" s="1"/>
  <c r="R803" i="16"/>
  <c r="P803" i="16" s="1"/>
  <c r="N876" i="16"/>
  <c r="I876" i="16" s="1"/>
  <c r="Q876" i="16"/>
  <c r="S876" i="16" s="1"/>
  <c r="R876" i="16"/>
  <c r="P876" i="16" s="1"/>
  <c r="N1014" i="16"/>
  <c r="I1014" i="16" s="1"/>
  <c r="Q1014" i="16"/>
  <c r="S1014" i="16" s="1"/>
  <c r="R1014" i="16"/>
  <c r="P1014" i="16" s="1"/>
  <c r="N1078" i="16"/>
  <c r="I1078" i="16" s="1"/>
  <c r="Q1078" i="16"/>
  <c r="S1078" i="16" s="1"/>
  <c r="R1078" i="16"/>
  <c r="P1078" i="16" s="1"/>
  <c r="N1142" i="16"/>
  <c r="I1142" i="16" s="1"/>
  <c r="Q1142" i="16"/>
  <c r="S1142" i="16" s="1"/>
  <c r="R1142" i="16"/>
  <c r="P1142" i="16" s="1"/>
  <c r="N1206" i="16"/>
  <c r="I1206" i="16" s="1"/>
  <c r="Q1206" i="16"/>
  <c r="S1206" i="16" s="1"/>
  <c r="R1206" i="16"/>
  <c r="P1206" i="16" s="1"/>
  <c r="N1270" i="16"/>
  <c r="I1270" i="16" s="1"/>
  <c r="N1334" i="16"/>
  <c r="I1334" i="16" s="1"/>
  <c r="N1398" i="16"/>
  <c r="I1398" i="16" s="1"/>
  <c r="N1462" i="16"/>
  <c r="I1462" i="16" s="1"/>
  <c r="Q1462" i="16"/>
  <c r="S1462" i="16" s="1"/>
  <c r="R1462" i="16"/>
  <c r="P1462" i="16" s="1"/>
  <c r="N1526" i="16"/>
  <c r="I1526" i="16" s="1"/>
  <c r="N1590" i="16"/>
  <c r="I1590" i="16" s="1"/>
  <c r="Q1590" i="16"/>
  <c r="S1590" i="16" s="1"/>
  <c r="R1590" i="16"/>
  <c r="P1590" i="16" s="1"/>
  <c r="N1654" i="16"/>
  <c r="I1654" i="16" s="1"/>
  <c r="N1718" i="16"/>
  <c r="I1718" i="16" s="1"/>
  <c r="Q1718" i="16"/>
  <c r="S1718" i="16" s="1"/>
  <c r="R1718" i="16"/>
  <c r="P1718" i="16" s="1"/>
  <c r="N1782" i="16"/>
  <c r="I1782" i="16" s="1"/>
  <c r="N1846" i="16"/>
  <c r="I1846" i="16" s="1"/>
  <c r="Q1846" i="16"/>
  <c r="S1846" i="16" s="1"/>
  <c r="R1846" i="16"/>
  <c r="P1846" i="16" s="1"/>
  <c r="N1910" i="16"/>
  <c r="I1910" i="16" s="1"/>
  <c r="Q1910" i="16"/>
  <c r="S1910" i="16" s="1"/>
  <c r="R1910" i="16"/>
  <c r="P1910" i="16" s="1"/>
  <c r="N1974" i="16"/>
  <c r="I1974" i="16" s="1"/>
  <c r="N2038" i="16"/>
  <c r="I2038" i="16" s="1"/>
  <c r="N2102" i="16"/>
  <c r="I2102" i="16" s="1"/>
  <c r="N2166" i="16"/>
  <c r="I2166" i="16" s="1"/>
  <c r="Q2166" i="16"/>
  <c r="S2166" i="16" s="1"/>
  <c r="R2166" i="16"/>
  <c r="P2166" i="16" s="1"/>
  <c r="N179" i="16"/>
  <c r="I179" i="16" s="1"/>
  <c r="N342" i="16"/>
  <c r="I342" i="16" s="1"/>
  <c r="N475" i="16"/>
  <c r="I475" i="16" s="1"/>
  <c r="N574" i="16"/>
  <c r="I574" i="16" s="1"/>
  <c r="N658" i="16"/>
  <c r="I658" i="16" s="1"/>
  <c r="N731" i="16"/>
  <c r="I731" i="16" s="1"/>
  <c r="N804" i="16"/>
  <c r="I804" i="16" s="1"/>
  <c r="N950" i="16"/>
  <c r="I950" i="16" s="1"/>
  <c r="Q950" i="16"/>
  <c r="S950" i="16" s="1"/>
  <c r="R950" i="16"/>
  <c r="P950" i="16" s="1"/>
  <c r="N1015" i="16"/>
  <c r="I1015" i="16" s="1"/>
  <c r="N1079" i="16"/>
  <c r="I1079" i="16" s="1"/>
  <c r="N1143" i="16"/>
  <c r="I1143" i="16" s="1"/>
  <c r="Q1143" i="16"/>
  <c r="S1143" i="16" s="1"/>
  <c r="R1143" i="16"/>
  <c r="P1143" i="16" s="1"/>
  <c r="N1207" i="16"/>
  <c r="I1207" i="16" s="1"/>
  <c r="N1271" i="16"/>
  <c r="I1271" i="16" s="1"/>
  <c r="Q1271" i="16"/>
  <c r="S1271" i="16" s="1"/>
  <c r="R1271" i="16"/>
  <c r="P1271" i="16" s="1"/>
  <c r="N1335" i="16"/>
  <c r="I1335" i="16" s="1"/>
  <c r="Q1335" i="16"/>
  <c r="S1335" i="16" s="1"/>
  <c r="R1335" i="16"/>
  <c r="P1335" i="16" s="1"/>
  <c r="N1399" i="16"/>
  <c r="I1399" i="16" s="1"/>
  <c r="N1463" i="16"/>
  <c r="I1463" i="16" s="1"/>
  <c r="Q1463" i="16"/>
  <c r="S1463" i="16" s="1"/>
  <c r="R1463" i="16"/>
  <c r="P1463" i="16" s="1"/>
  <c r="N1527" i="16"/>
  <c r="I1527" i="16" s="1"/>
  <c r="Q1527" i="16"/>
  <c r="S1527" i="16" s="1"/>
  <c r="R1527" i="16"/>
  <c r="P1527" i="16" s="1"/>
  <c r="N1591" i="16"/>
  <c r="I1591" i="16" s="1"/>
  <c r="N1655" i="16"/>
  <c r="I1655" i="16" s="1"/>
  <c r="Q1655" i="16"/>
  <c r="S1655" i="16" s="1"/>
  <c r="R1655" i="16"/>
  <c r="P1655" i="16" s="1"/>
  <c r="N1719" i="16"/>
  <c r="I1719" i="16" s="1"/>
  <c r="N1783" i="16"/>
  <c r="I1783" i="16" s="1"/>
  <c r="Q1783" i="16"/>
  <c r="S1783" i="16" s="1"/>
  <c r="R1783" i="16"/>
  <c r="P1783" i="16" s="1"/>
  <c r="N1847" i="16"/>
  <c r="I1847" i="16" s="1"/>
  <c r="Q1847" i="16"/>
  <c r="S1847" i="16" s="1"/>
  <c r="R1847" i="16"/>
  <c r="P1847" i="16" s="1"/>
  <c r="N1911" i="16"/>
  <c r="I1911" i="16" s="1"/>
  <c r="N1975" i="16"/>
  <c r="I1975" i="16" s="1"/>
  <c r="Q1975" i="16"/>
  <c r="S1975" i="16" s="1"/>
  <c r="R1975" i="16"/>
  <c r="P1975" i="16" s="1"/>
  <c r="N2039" i="16"/>
  <c r="I2039" i="16" s="1"/>
  <c r="Q2039" i="16"/>
  <c r="S2039" i="16" s="1"/>
  <c r="R2039" i="16"/>
  <c r="P2039" i="16" s="1"/>
  <c r="N2103" i="16"/>
  <c r="I2103" i="16" s="1"/>
  <c r="Q2103" i="16"/>
  <c r="S2103" i="16" s="1"/>
  <c r="R2103" i="16"/>
  <c r="P2103" i="16" s="1"/>
  <c r="N2167" i="16"/>
  <c r="I2167" i="16" s="1"/>
  <c r="N73" i="16"/>
  <c r="I73" i="16" s="1"/>
  <c r="Q73" i="16"/>
  <c r="S73" i="16" s="1"/>
  <c r="R73" i="16"/>
  <c r="P73" i="16" s="1"/>
  <c r="N398" i="16"/>
  <c r="I398" i="16" s="1"/>
  <c r="R398" i="16"/>
  <c r="P398" i="16" s="1"/>
  <c r="Q398" i="16"/>
  <c r="S398" i="16" s="1"/>
  <c r="N609" i="16"/>
  <c r="I609" i="16" s="1"/>
  <c r="Q609" i="16"/>
  <c r="S609" i="16" s="1"/>
  <c r="R609" i="16"/>
  <c r="P609" i="16" s="1"/>
  <c r="N761" i="16"/>
  <c r="I761" i="16" s="1"/>
  <c r="Q761" i="16"/>
  <c r="S761" i="16" s="1"/>
  <c r="R761" i="16"/>
  <c r="P761" i="16" s="1"/>
  <c r="N907" i="16"/>
  <c r="I907" i="16" s="1"/>
  <c r="Q907" i="16"/>
  <c r="S907" i="16" s="1"/>
  <c r="R907" i="16"/>
  <c r="P907" i="16" s="1"/>
  <c r="N1041" i="16"/>
  <c r="I1041" i="16" s="1"/>
  <c r="Q1041" i="16"/>
  <c r="S1041" i="16" s="1"/>
  <c r="R1041" i="16"/>
  <c r="P1041" i="16" s="1"/>
  <c r="N1169" i="16"/>
  <c r="I1169" i="16" s="1"/>
  <c r="Q1169" i="16"/>
  <c r="S1169" i="16" s="1"/>
  <c r="R1169" i="16"/>
  <c r="P1169" i="16" s="1"/>
  <c r="N1297" i="16"/>
  <c r="I1297" i="16" s="1"/>
  <c r="Q1297" i="16"/>
  <c r="S1297" i="16" s="1"/>
  <c r="R1297" i="16"/>
  <c r="P1297" i="16" s="1"/>
  <c r="N1425" i="16"/>
  <c r="I1425" i="16" s="1"/>
  <c r="N1553" i="16"/>
  <c r="I1553" i="16" s="1"/>
  <c r="Q1553" i="16"/>
  <c r="S1553" i="16" s="1"/>
  <c r="R1553" i="16"/>
  <c r="P1553" i="16" s="1"/>
  <c r="Q1681" i="16"/>
  <c r="S1681" i="16" s="1"/>
  <c r="N1681" i="16"/>
  <c r="I1681" i="16" s="1"/>
  <c r="R1681" i="16"/>
  <c r="P1681" i="16" s="1"/>
  <c r="N1809" i="16"/>
  <c r="I1809" i="16" s="1"/>
  <c r="Q1809" i="16"/>
  <c r="S1809" i="16" s="1"/>
  <c r="R1809" i="16"/>
  <c r="P1809" i="16" s="1"/>
  <c r="N1921" i="16"/>
  <c r="I1921" i="16" s="1"/>
  <c r="Q1921" i="16"/>
  <c r="S1921" i="16" s="1"/>
  <c r="R1921" i="16"/>
  <c r="P1921" i="16" s="1"/>
  <c r="N2024" i="16"/>
  <c r="I2024" i="16" s="1"/>
  <c r="Q2125" i="16"/>
  <c r="S2125" i="16" s="1"/>
  <c r="R2125" i="16"/>
  <c r="P2125" i="16" s="1"/>
  <c r="N2218" i="16"/>
  <c r="I2218" i="16" s="1"/>
  <c r="N2284" i="16"/>
  <c r="I2284" i="16" s="1"/>
  <c r="Q2284" i="16"/>
  <c r="S2284" i="16" s="1"/>
  <c r="R2284" i="16"/>
  <c r="P2284" i="16" s="1"/>
  <c r="N2348" i="16"/>
  <c r="I2348" i="16" s="1"/>
  <c r="N2412" i="16"/>
  <c r="I2412" i="16" s="1"/>
  <c r="N2476" i="16"/>
  <c r="I2476" i="16" s="1"/>
  <c r="N2540" i="16"/>
  <c r="I2540" i="16" s="1"/>
  <c r="Q2540" i="16"/>
  <c r="S2540" i="16" s="1"/>
  <c r="R2540" i="16"/>
  <c r="P2540" i="16" s="1"/>
  <c r="N2604" i="16"/>
  <c r="I2604" i="16" s="1"/>
  <c r="Q2604" i="16"/>
  <c r="S2604" i="16" s="1"/>
  <c r="R2604" i="16"/>
  <c r="P2604" i="16" s="1"/>
  <c r="N78" i="16"/>
  <c r="I78" i="16" s="1"/>
  <c r="N406" i="16"/>
  <c r="I406" i="16" s="1"/>
  <c r="N612" i="16"/>
  <c r="I612" i="16" s="1"/>
  <c r="N764" i="16"/>
  <c r="I764" i="16" s="1"/>
  <c r="N910" i="16"/>
  <c r="I910" i="16" s="1"/>
  <c r="N1044" i="16"/>
  <c r="I1044" i="16" s="1"/>
  <c r="Q1044" i="16"/>
  <c r="S1044" i="16" s="1"/>
  <c r="R1044" i="16"/>
  <c r="P1044" i="16" s="1"/>
  <c r="N1172" i="16"/>
  <c r="I1172" i="16" s="1"/>
  <c r="N1300" i="16"/>
  <c r="I1300" i="16" s="1"/>
  <c r="N1428" i="16"/>
  <c r="I1428" i="16" s="1"/>
  <c r="N1556" i="16"/>
  <c r="I1556" i="16" s="1"/>
  <c r="N1684" i="16"/>
  <c r="I1684" i="16" s="1"/>
  <c r="N1812" i="16"/>
  <c r="I1812" i="16" s="1"/>
  <c r="N1924" i="16"/>
  <c r="I1924" i="16" s="1"/>
  <c r="Q1924" i="16"/>
  <c r="S1924" i="16" s="1"/>
  <c r="R1924" i="16"/>
  <c r="P1924" i="16" s="1"/>
  <c r="N2026" i="16"/>
  <c r="I2026" i="16" s="1"/>
  <c r="N2129" i="16"/>
  <c r="I2129" i="16" s="1"/>
  <c r="Q2221" i="16"/>
  <c r="S2221" i="16" s="1"/>
  <c r="R2221" i="16"/>
  <c r="P2221" i="16" s="1"/>
  <c r="N2286" i="16"/>
  <c r="I2286" i="16" s="1"/>
  <c r="Q2286" i="16"/>
  <c r="S2286" i="16" s="1"/>
  <c r="R2286" i="16"/>
  <c r="P2286" i="16" s="1"/>
  <c r="N2350" i="16"/>
  <c r="I2350" i="16" s="1"/>
  <c r="Q2350" i="16"/>
  <c r="S2350" i="16" s="1"/>
  <c r="R2350" i="16"/>
  <c r="P2350" i="16" s="1"/>
  <c r="N2414" i="16"/>
  <c r="I2414" i="16" s="1"/>
  <c r="N2478" i="16"/>
  <c r="I2478" i="16" s="1"/>
  <c r="N2542" i="16"/>
  <c r="I2542" i="16" s="1"/>
  <c r="Q2542" i="16"/>
  <c r="S2542" i="16" s="1"/>
  <c r="R2542" i="16"/>
  <c r="P2542" i="16" s="1"/>
  <c r="N2606" i="16"/>
  <c r="I2606" i="16" s="1"/>
  <c r="Q2606" i="16"/>
  <c r="S2606" i="16" s="1"/>
  <c r="R2606" i="16"/>
  <c r="P2606" i="16" s="1"/>
  <c r="N90" i="16"/>
  <c r="I90" i="16" s="1"/>
  <c r="Q413" i="16"/>
  <c r="S413" i="16" s="1"/>
  <c r="R413" i="16"/>
  <c r="P413" i="16" s="1"/>
  <c r="N618" i="16"/>
  <c r="I618" i="16" s="1"/>
  <c r="Q618" i="16"/>
  <c r="S618" i="16" s="1"/>
  <c r="R618" i="16"/>
  <c r="P618" i="16" s="1"/>
  <c r="N769" i="16"/>
  <c r="I769" i="16" s="1"/>
  <c r="N915" i="16"/>
  <c r="I915" i="16" s="1"/>
  <c r="Q915" i="16"/>
  <c r="S915" i="16" s="1"/>
  <c r="R915" i="16"/>
  <c r="P915" i="16" s="1"/>
  <c r="N1048" i="16"/>
  <c r="I1048" i="16" s="1"/>
  <c r="Q1048" i="16"/>
  <c r="S1048" i="16" s="1"/>
  <c r="R1048" i="16"/>
  <c r="P1048" i="16" s="1"/>
  <c r="N1176" i="16"/>
  <c r="I1176" i="16" s="1"/>
  <c r="N1304" i="16"/>
  <c r="I1304" i="16" s="1"/>
  <c r="N230" i="16"/>
  <c r="I230" i="16" s="1"/>
  <c r="N506" i="16"/>
  <c r="I506" i="16" s="1"/>
  <c r="N678" i="16"/>
  <c r="I678" i="16" s="1"/>
  <c r="Q678" i="16"/>
  <c r="S678" i="16" s="1"/>
  <c r="R678" i="16"/>
  <c r="P678" i="16" s="1"/>
  <c r="N825" i="16"/>
  <c r="I825" i="16" s="1"/>
  <c r="N969" i="16"/>
  <c r="I969" i="16" s="1"/>
  <c r="Q969" i="16"/>
  <c r="S969" i="16" s="1"/>
  <c r="R969" i="16"/>
  <c r="P969" i="16" s="1"/>
  <c r="N1097" i="16"/>
  <c r="I1097" i="16" s="1"/>
  <c r="Q1097" i="16"/>
  <c r="S1097" i="16" s="1"/>
  <c r="R1097" i="16"/>
  <c r="P1097" i="16" s="1"/>
  <c r="N22" i="16"/>
  <c r="I22" i="16" s="1"/>
  <c r="N364" i="16"/>
  <c r="I364" i="16" s="1"/>
  <c r="Q364" i="16"/>
  <c r="S364" i="16" s="1"/>
  <c r="R364" i="16"/>
  <c r="P364" i="16" s="1"/>
  <c r="N587" i="16"/>
  <c r="I587" i="16" s="1"/>
  <c r="Q741" i="16"/>
  <c r="S741" i="16" s="1"/>
  <c r="R741" i="16"/>
  <c r="P741" i="16" s="1"/>
  <c r="N887" i="16"/>
  <c r="I887" i="16" s="1"/>
  <c r="N1024" i="16"/>
  <c r="I1024" i="16" s="1"/>
  <c r="N1152" i="16"/>
  <c r="I1152" i="16" s="1"/>
  <c r="N1280" i="16"/>
  <c r="I1280" i="16" s="1"/>
  <c r="Q1280" i="16"/>
  <c r="S1280" i="16" s="1"/>
  <c r="R1280" i="16"/>
  <c r="P1280" i="16" s="1"/>
  <c r="N1408" i="16"/>
  <c r="I1408" i="16" s="1"/>
  <c r="Q1408" i="16"/>
  <c r="S1408" i="16" s="1"/>
  <c r="R1408" i="16"/>
  <c r="P1408" i="16" s="1"/>
  <c r="N1536" i="16"/>
  <c r="I1536" i="16" s="1"/>
  <c r="Q1536" i="16"/>
  <c r="S1536" i="16" s="1"/>
  <c r="R1536" i="16"/>
  <c r="P1536" i="16" s="1"/>
  <c r="N1664" i="16"/>
  <c r="I1664" i="16" s="1"/>
  <c r="Q1664" i="16"/>
  <c r="S1664" i="16" s="1"/>
  <c r="R1664" i="16"/>
  <c r="P1664" i="16" s="1"/>
  <c r="N1792" i="16"/>
  <c r="I1792" i="16" s="1"/>
  <c r="N1906" i="16"/>
  <c r="I1906" i="16" s="1"/>
  <c r="Q1906" i="16"/>
  <c r="S1906" i="16" s="1"/>
  <c r="R1906" i="16"/>
  <c r="P1906" i="16" s="1"/>
  <c r="N467" i="16"/>
  <c r="I467" i="16" s="1"/>
  <c r="Q467" i="16"/>
  <c r="S467" i="16" s="1"/>
  <c r="R467" i="16"/>
  <c r="P467" i="16" s="1"/>
  <c r="N899" i="16"/>
  <c r="I899" i="16" s="1"/>
  <c r="Q899" i="16"/>
  <c r="S899" i="16" s="1"/>
  <c r="R899" i="16"/>
  <c r="P899" i="16" s="1"/>
  <c r="N1241" i="16"/>
  <c r="I1241" i="16" s="1"/>
  <c r="Q1241" i="16"/>
  <c r="S1241" i="16" s="1"/>
  <c r="R1241" i="16"/>
  <c r="P1241" i="16" s="1"/>
  <c r="N1465" i="16"/>
  <c r="I1465" i="16" s="1"/>
  <c r="Q1465" i="16"/>
  <c r="S1465" i="16" s="1"/>
  <c r="R1465" i="16"/>
  <c r="P1465" i="16" s="1"/>
  <c r="N1672" i="16"/>
  <c r="I1672" i="16" s="1"/>
  <c r="N1872" i="16"/>
  <c r="I1872" i="16" s="1"/>
  <c r="N2020" i="16"/>
  <c r="I2020" i="16" s="1"/>
  <c r="N2346" i="16"/>
  <c r="I2346" i="16" s="1"/>
  <c r="N2432" i="16"/>
  <c r="I2432" i="16" s="1"/>
  <c r="N2602" i="16"/>
  <c r="I2602" i="16" s="1"/>
  <c r="Q2602" i="16"/>
  <c r="S2602" i="16" s="1"/>
  <c r="R2602" i="16"/>
  <c r="P2602" i="16" s="1"/>
  <c r="N313" i="16"/>
  <c r="I313" i="16" s="1"/>
  <c r="N810" i="16"/>
  <c r="I810" i="16" s="1"/>
  <c r="N1170" i="16"/>
  <c r="I1170" i="16" s="1"/>
  <c r="N1418" i="16"/>
  <c r="I1418" i="16" s="1"/>
  <c r="R1418" i="16"/>
  <c r="P1418" i="16" s="1"/>
  <c r="Q1418" i="16"/>
  <c r="S1418" i="16" s="1"/>
  <c r="N1625" i="16"/>
  <c r="I1625" i="16" s="1"/>
  <c r="Q1625" i="16"/>
  <c r="S1625" i="16" s="1"/>
  <c r="R1625" i="16"/>
  <c r="P1625" i="16" s="1"/>
  <c r="N1832" i="16"/>
  <c r="I1832" i="16" s="1"/>
  <c r="N1992" i="16"/>
  <c r="I1992" i="16" s="1"/>
  <c r="N2128" i="16"/>
  <c r="I2128" i="16" s="1"/>
  <c r="Q2128" i="16"/>
  <c r="S2128" i="16" s="1"/>
  <c r="R2128" i="16"/>
  <c r="P2128" i="16" s="1"/>
  <c r="N2242" i="16"/>
  <c r="I2242" i="16" s="1"/>
  <c r="N2328" i="16"/>
  <c r="I2328" i="16" s="1"/>
  <c r="Q2328" i="16"/>
  <c r="S2328" i="16" s="1"/>
  <c r="R2328" i="16"/>
  <c r="P2328" i="16" s="1"/>
  <c r="Q2413" i="16"/>
  <c r="S2413" i="16" s="1"/>
  <c r="R2413" i="16"/>
  <c r="P2413" i="16" s="1"/>
  <c r="N2498" i="16"/>
  <c r="I2498" i="16" s="1"/>
  <c r="N2584" i="16"/>
  <c r="I2584" i="16" s="1"/>
  <c r="Q2584" i="16"/>
  <c r="S2584" i="16" s="1"/>
  <c r="R2584" i="16"/>
  <c r="P2584" i="16" s="1"/>
  <c r="N97" i="16"/>
  <c r="I97" i="16" s="1"/>
  <c r="N718" i="16"/>
  <c r="I718" i="16" s="1"/>
  <c r="Q718" i="16"/>
  <c r="S718" i="16" s="1"/>
  <c r="R718" i="16"/>
  <c r="P718" i="16" s="1"/>
  <c r="N1090" i="16"/>
  <c r="I1090" i="16" s="1"/>
  <c r="N1370" i="16"/>
  <c r="I1370" i="16" s="1"/>
  <c r="Q1370" i="16"/>
  <c r="S1370" i="16" s="1"/>
  <c r="R1370" i="16"/>
  <c r="P1370" i="16" s="1"/>
  <c r="N1577" i="16"/>
  <c r="I1577" i="16" s="1"/>
  <c r="Q1577" i="16"/>
  <c r="S1577" i="16" s="1"/>
  <c r="R1577" i="16"/>
  <c r="P1577" i="16" s="1"/>
  <c r="N1784" i="16"/>
  <c r="I1784" i="16" s="1"/>
  <c r="N2096" i="16"/>
  <c r="I2096" i="16" s="1"/>
  <c r="N2222" i="16"/>
  <c r="I2222" i="16" s="1"/>
  <c r="N2307" i="16"/>
  <c r="I2307" i="16" s="1"/>
  <c r="N2393" i="16"/>
  <c r="I2393" i="16" s="1"/>
  <c r="Q2393" i="16"/>
  <c r="S2393" i="16" s="1"/>
  <c r="R2393" i="16"/>
  <c r="P2393" i="16" s="1"/>
  <c r="N2479" i="16"/>
  <c r="I2479" i="16" s="1"/>
  <c r="Q2479" i="16"/>
  <c r="S2479" i="16" s="1"/>
  <c r="R2479" i="16"/>
  <c r="P2479" i="16" s="1"/>
  <c r="N2563" i="16"/>
  <c r="I2563" i="16" s="1"/>
  <c r="Q2563" i="16"/>
  <c r="S2563" i="16" s="1"/>
  <c r="R2563" i="16"/>
  <c r="P2563" i="16" s="1"/>
  <c r="N2649" i="16"/>
  <c r="I2649" i="16" s="1"/>
  <c r="N623" i="16"/>
  <c r="I623" i="16" s="1"/>
  <c r="N1010" i="16"/>
  <c r="I1010" i="16" s="1"/>
  <c r="Q1010" i="16"/>
  <c r="S1010" i="16" s="1"/>
  <c r="R1010" i="16"/>
  <c r="P1010" i="16" s="1"/>
  <c r="N1321" i="16"/>
  <c r="I1321" i="16" s="1"/>
  <c r="Q1321" i="16"/>
  <c r="S1321" i="16" s="1"/>
  <c r="R1321" i="16"/>
  <c r="P1321" i="16" s="1"/>
  <c r="N1529" i="16"/>
  <c r="I1529" i="16" s="1"/>
  <c r="Q1529" i="16"/>
  <c r="S1529" i="16" s="1"/>
  <c r="R1529" i="16"/>
  <c r="P1529" i="16" s="1"/>
  <c r="N1736" i="16"/>
  <c r="I1736" i="16" s="1"/>
  <c r="N1922" i="16"/>
  <c r="I1922" i="16" s="1"/>
  <c r="N2064" i="16"/>
  <c r="I2064" i="16" s="1"/>
  <c r="Q2064" i="16"/>
  <c r="S2064" i="16" s="1"/>
  <c r="R2064" i="16"/>
  <c r="P2064" i="16" s="1"/>
  <c r="N2194" i="16"/>
  <c r="I2194" i="16" s="1"/>
  <c r="Q2194" i="16"/>
  <c r="S2194" i="16" s="1"/>
  <c r="R2194" i="16"/>
  <c r="P2194" i="16" s="1"/>
  <c r="N2288" i="16"/>
  <c r="I2288" i="16" s="1"/>
  <c r="Q2288" i="16"/>
  <c r="S2288" i="16" s="1"/>
  <c r="R2288" i="16"/>
  <c r="P2288" i="16" s="1"/>
  <c r="Q2373" i="16"/>
  <c r="S2373" i="16" s="1"/>
  <c r="R2373" i="16"/>
  <c r="P2373" i="16" s="1"/>
  <c r="N2458" i="16"/>
  <c r="I2458" i="16" s="1"/>
  <c r="N2544" i="16"/>
  <c r="I2544" i="16" s="1"/>
  <c r="R2544" i="16"/>
  <c r="P2544" i="16" s="1"/>
  <c r="Q2544" i="16"/>
  <c r="S2544" i="16" s="1"/>
  <c r="Q2629" i="16"/>
  <c r="S2629" i="16" s="1"/>
  <c r="R2629" i="16"/>
  <c r="P2629" i="16" s="1"/>
  <c r="N532" i="16"/>
  <c r="I532" i="16" s="1"/>
  <c r="Q532" i="16"/>
  <c r="S532" i="16" s="1"/>
  <c r="R532" i="16"/>
  <c r="P532" i="16" s="1"/>
  <c r="N938" i="16"/>
  <c r="I938" i="16" s="1"/>
  <c r="R938" i="16"/>
  <c r="P938" i="16" s="1"/>
  <c r="Q938" i="16"/>
  <c r="S938" i="16" s="1"/>
  <c r="N1266" i="16"/>
  <c r="I1266" i="16" s="1"/>
  <c r="N1484" i="16"/>
  <c r="I1484" i="16" s="1"/>
  <c r="Q1484" i="16"/>
  <c r="S1484" i="16" s="1"/>
  <c r="R1484" i="16"/>
  <c r="P1484" i="16" s="1"/>
  <c r="N1690" i="16"/>
  <c r="I1690" i="16" s="1"/>
  <c r="N1889" i="16"/>
  <c r="I1889" i="16" s="1"/>
  <c r="Q1889" i="16"/>
  <c r="S1889" i="16" s="1"/>
  <c r="R1889" i="16"/>
  <c r="P1889" i="16" s="1"/>
  <c r="N2034" i="16"/>
  <c r="I2034" i="16" s="1"/>
  <c r="N2172" i="16"/>
  <c r="I2172" i="16" s="1"/>
  <c r="Q2172" i="16"/>
  <c r="S2172" i="16" s="1"/>
  <c r="R2172" i="16"/>
  <c r="P2172" i="16" s="1"/>
  <c r="N2271" i="16"/>
  <c r="I2271" i="16" s="1"/>
  <c r="N2355" i="16"/>
  <c r="I2355" i="16" s="1"/>
  <c r="N2441" i="16"/>
  <c r="I2441" i="16" s="1"/>
  <c r="Q2441" i="16"/>
  <c r="S2441" i="16" s="1"/>
  <c r="R2441" i="16"/>
  <c r="P2441" i="16" s="1"/>
  <c r="N2527" i="16"/>
  <c r="I2527" i="16" s="1"/>
  <c r="Q2527" i="16"/>
  <c r="S2527" i="16" s="1"/>
  <c r="R2527" i="16"/>
  <c r="P2527" i="16" s="1"/>
  <c r="N2611" i="16"/>
  <c r="I2611" i="16" s="1"/>
  <c r="Q2611" i="16"/>
  <c r="S2611" i="16" s="1"/>
  <c r="R2611" i="16"/>
  <c r="P2611" i="16" s="1"/>
  <c r="N737" i="16"/>
  <c r="I737" i="16" s="1"/>
  <c r="N1516" i="16"/>
  <c r="I1516" i="16" s="1"/>
  <c r="N2016" i="16"/>
  <c r="I2016" i="16" s="1"/>
  <c r="N2312" i="16"/>
  <c r="I2312" i="16" s="1"/>
  <c r="Q2312" i="16"/>
  <c r="S2312" i="16" s="1"/>
  <c r="R2312" i="16"/>
  <c r="P2312" i="16" s="1"/>
  <c r="N2539" i="16"/>
  <c r="I2539" i="16" s="1"/>
  <c r="Q2539" i="16"/>
  <c r="S2539" i="16" s="1"/>
  <c r="R2539" i="16"/>
  <c r="P2539" i="16" s="1"/>
  <c r="N780" i="16"/>
  <c r="I780" i="16" s="1"/>
  <c r="N1532" i="16"/>
  <c r="I1532" i="16" s="1"/>
  <c r="Q1532" i="16"/>
  <c r="S1532" i="16" s="1"/>
  <c r="R1532" i="16"/>
  <c r="P1532" i="16" s="1"/>
  <c r="Q2021" i="16"/>
  <c r="S2021" i="16" s="1"/>
  <c r="R2021" i="16"/>
  <c r="P2021" i="16" s="1"/>
  <c r="N2321" i="16"/>
  <c r="I2321" i="16" s="1"/>
  <c r="N2546" i="16"/>
  <c r="I2546" i="16" s="1"/>
  <c r="Q2546" i="16"/>
  <c r="S2546" i="16" s="1"/>
  <c r="R2546" i="16"/>
  <c r="P2546" i="16" s="1"/>
  <c r="N926" i="16"/>
  <c r="I926" i="16" s="1"/>
  <c r="N1610" i="16"/>
  <c r="I1610" i="16" s="1"/>
  <c r="N2073" i="16"/>
  <c r="I2073" i="16" s="1"/>
  <c r="Q2073" i="16"/>
  <c r="S2073" i="16" s="1"/>
  <c r="R2073" i="16"/>
  <c r="P2073" i="16" s="1"/>
  <c r="N2353" i="16"/>
  <c r="I2353" i="16" s="1"/>
  <c r="Q2353" i="16"/>
  <c r="S2353" i="16" s="1"/>
  <c r="R2353" i="16"/>
  <c r="P2353" i="16" s="1"/>
  <c r="N2578" i="16"/>
  <c r="I2578" i="16" s="1"/>
  <c r="Q2578" i="16"/>
  <c r="S2578" i="16" s="1"/>
  <c r="R2578" i="16"/>
  <c r="P2578" i="16" s="1"/>
  <c r="N935" i="16"/>
  <c r="I935" i="16" s="1"/>
  <c r="N1624" i="16"/>
  <c r="I1624" i="16" s="1"/>
  <c r="N2082" i="16"/>
  <c r="I2082" i="16" s="1"/>
  <c r="N2354" i="16"/>
  <c r="I2354" i="16" s="1"/>
  <c r="Q2354" i="16"/>
  <c r="S2354" i="16" s="1"/>
  <c r="R2354" i="16"/>
  <c r="P2354" i="16" s="1"/>
  <c r="N2583" i="16"/>
  <c r="I2583" i="16" s="1"/>
  <c r="N978" i="16"/>
  <c r="I978" i="16" s="1"/>
  <c r="N1644" i="16"/>
  <c r="I1644" i="16" s="1"/>
  <c r="N2098" i="16"/>
  <c r="I2098" i="16" s="1"/>
  <c r="N2593" i="16"/>
  <c r="I2593" i="16" s="1"/>
  <c r="Q2593" i="16"/>
  <c r="S2593" i="16" s="1"/>
  <c r="R2593" i="16"/>
  <c r="P2593" i="16" s="1"/>
  <c r="N1640" i="16"/>
  <c r="I1640" i="16" s="1"/>
  <c r="N2514" i="16"/>
  <c r="I2514" i="16" s="1"/>
  <c r="Q2514" i="16"/>
  <c r="S2514" i="16" s="1"/>
  <c r="R2514" i="16"/>
  <c r="P2514" i="16" s="1"/>
  <c r="N1865" i="16"/>
  <c r="I1865" i="16" s="1"/>
  <c r="N2615" i="16"/>
  <c r="I2615" i="16" s="1"/>
  <c r="Q2615" i="16"/>
  <c r="S2615" i="16" s="1"/>
  <c r="R2615" i="16"/>
  <c r="P2615" i="16" s="1"/>
  <c r="N2017" i="16"/>
  <c r="I2017" i="16" s="1"/>
  <c r="Q2017" i="16"/>
  <c r="S2017" i="16" s="1"/>
  <c r="R2017" i="16"/>
  <c r="P2017" i="16" s="1"/>
  <c r="N355" i="16"/>
  <c r="I355" i="16" s="1"/>
  <c r="Q355" i="16"/>
  <c r="S355" i="16" s="1"/>
  <c r="R355" i="16"/>
  <c r="P355" i="16" s="1"/>
  <c r="N2153" i="16"/>
  <c r="I2153" i="16" s="1"/>
  <c r="N954" i="16"/>
  <c r="I954" i="16" s="1"/>
  <c r="Q954" i="16"/>
  <c r="S954" i="16" s="1"/>
  <c r="R954" i="16"/>
  <c r="P954" i="16" s="1"/>
  <c r="N2279" i="16"/>
  <c r="I2279" i="16" s="1"/>
  <c r="N1996" i="16"/>
  <c r="I1996" i="16" s="1"/>
  <c r="N58" i="16"/>
  <c r="I58" i="16" s="1"/>
  <c r="N1842" i="16"/>
  <c r="I1842" i="16" s="1"/>
  <c r="N2449" i="16"/>
  <c r="I2449" i="16" s="1"/>
  <c r="R2449" i="16"/>
  <c r="P2449" i="16" s="1"/>
  <c r="Q2449" i="16"/>
  <c r="S2449" i="16" s="1"/>
  <c r="N1594" i="16"/>
  <c r="I1594" i="16" s="1"/>
  <c r="Q1594" i="16"/>
  <c r="S1594" i="16" s="1"/>
  <c r="R1594" i="16"/>
  <c r="P1594" i="16" s="1"/>
  <c r="N451" i="16"/>
  <c r="I451" i="16" s="1"/>
  <c r="Q451" i="16"/>
  <c r="S451" i="16" s="1"/>
  <c r="R451" i="16"/>
  <c r="P451" i="16" s="1"/>
  <c r="N63" i="16"/>
  <c r="I63" i="16" s="1"/>
  <c r="Q63" i="16"/>
  <c r="S63" i="16" s="1"/>
  <c r="R63" i="16"/>
  <c r="P63" i="16" s="1"/>
  <c r="N127" i="16"/>
  <c r="I127" i="16" s="1"/>
  <c r="Q127" i="16"/>
  <c r="S127" i="16" s="1"/>
  <c r="R127" i="16"/>
  <c r="P127" i="16" s="1"/>
  <c r="N191" i="16"/>
  <c r="I191" i="16" s="1"/>
  <c r="Q191" i="16"/>
  <c r="S191" i="16" s="1"/>
  <c r="R191" i="16"/>
  <c r="P191" i="16" s="1"/>
  <c r="N255" i="16"/>
  <c r="I255" i="16" s="1"/>
  <c r="Q255" i="16"/>
  <c r="S255" i="16" s="1"/>
  <c r="R255" i="16"/>
  <c r="P255" i="16" s="1"/>
  <c r="N319" i="16"/>
  <c r="I319" i="16" s="1"/>
  <c r="N383" i="16"/>
  <c r="I383" i="16" s="1"/>
  <c r="N447" i="16"/>
  <c r="I447" i="16" s="1"/>
  <c r="Q447" i="16"/>
  <c r="S447" i="16" s="1"/>
  <c r="R447" i="16"/>
  <c r="P447" i="16" s="1"/>
  <c r="N16" i="16"/>
  <c r="I16" i="16" s="1"/>
  <c r="N80" i="16"/>
  <c r="I80" i="16" s="1"/>
  <c r="N144" i="16"/>
  <c r="I144" i="16" s="1"/>
  <c r="N208" i="16"/>
  <c r="I208" i="16" s="1"/>
  <c r="N272" i="16"/>
  <c r="I272" i="16" s="1"/>
  <c r="Q272" i="16"/>
  <c r="S272" i="16" s="1"/>
  <c r="R272" i="16"/>
  <c r="P272" i="16" s="1"/>
  <c r="N336" i="16"/>
  <c r="I336" i="16" s="1"/>
  <c r="N400" i="16"/>
  <c r="I400" i="16" s="1"/>
  <c r="Q400" i="16"/>
  <c r="S400" i="16" s="1"/>
  <c r="R400" i="16"/>
  <c r="P400" i="16" s="1"/>
  <c r="N464" i="16"/>
  <c r="I464" i="16" s="1"/>
  <c r="Q464" i="16"/>
  <c r="S464" i="16" s="1"/>
  <c r="R464" i="16"/>
  <c r="P464" i="16" s="1"/>
  <c r="N81" i="16"/>
  <c r="I81" i="16" s="1"/>
  <c r="Q81" i="16"/>
  <c r="S81" i="16" s="1"/>
  <c r="R81" i="16"/>
  <c r="P81" i="16" s="1"/>
  <c r="N251" i="16"/>
  <c r="I251" i="16" s="1"/>
  <c r="Q251" i="16"/>
  <c r="S251" i="16" s="1"/>
  <c r="R251" i="16"/>
  <c r="P251" i="16" s="1"/>
  <c r="N337" i="16"/>
  <c r="I337" i="16" s="1"/>
  <c r="Q337" i="16"/>
  <c r="S337" i="16" s="1"/>
  <c r="R337" i="16"/>
  <c r="P337" i="16" s="1"/>
  <c r="N52" i="16"/>
  <c r="I52" i="16" s="1"/>
  <c r="N138" i="16"/>
  <c r="I138" i="16" s="1"/>
  <c r="N222" i="16"/>
  <c r="I222" i="16" s="1"/>
  <c r="Q222" i="16"/>
  <c r="S222" i="16" s="1"/>
  <c r="R222" i="16"/>
  <c r="P222" i="16" s="1"/>
  <c r="N308" i="16"/>
  <c r="I308" i="16" s="1"/>
  <c r="N394" i="16"/>
  <c r="I394" i="16" s="1"/>
  <c r="Q394" i="16"/>
  <c r="S394" i="16" s="1"/>
  <c r="R394" i="16"/>
  <c r="P394" i="16" s="1"/>
  <c r="N544" i="16"/>
  <c r="I544" i="16" s="1"/>
  <c r="Q544" i="16"/>
  <c r="S544" i="16" s="1"/>
  <c r="R544" i="16"/>
  <c r="P544" i="16" s="1"/>
  <c r="N608" i="16"/>
  <c r="I608" i="16" s="1"/>
  <c r="N672" i="16"/>
  <c r="I672" i="16" s="1"/>
  <c r="N736" i="16"/>
  <c r="I736" i="16" s="1"/>
  <c r="Q736" i="16"/>
  <c r="S736" i="16" s="1"/>
  <c r="R736" i="16"/>
  <c r="P736" i="16" s="1"/>
  <c r="N800" i="16"/>
  <c r="I800" i="16" s="1"/>
  <c r="N864" i="16"/>
  <c r="I864" i="16" s="1"/>
  <c r="Q864" i="16"/>
  <c r="S864" i="16" s="1"/>
  <c r="R864" i="16"/>
  <c r="P864" i="16" s="1"/>
  <c r="N928" i="16"/>
  <c r="I928" i="16" s="1"/>
  <c r="N65" i="16"/>
  <c r="I65" i="16" s="1"/>
  <c r="Q65" i="16"/>
  <c r="S65" i="16" s="1"/>
  <c r="R65" i="16"/>
  <c r="P65" i="16" s="1"/>
  <c r="N178" i="16"/>
  <c r="I178" i="16" s="1"/>
  <c r="N291" i="16"/>
  <c r="I291" i="16" s="1"/>
  <c r="N401" i="16"/>
  <c r="I401" i="16" s="1"/>
  <c r="Q401" i="16"/>
  <c r="S401" i="16" s="1"/>
  <c r="R401" i="16"/>
  <c r="P401" i="16" s="1"/>
  <c r="Q493" i="16"/>
  <c r="S493" i="16" s="1"/>
  <c r="R493" i="16"/>
  <c r="P493" i="16" s="1"/>
  <c r="N567" i="16"/>
  <c r="I567" i="16" s="1"/>
  <c r="Q567" i="16"/>
  <c r="S567" i="16" s="1"/>
  <c r="R567" i="16"/>
  <c r="P567" i="16" s="1"/>
  <c r="N641" i="16"/>
  <c r="I641" i="16" s="1"/>
  <c r="N98" i="16"/>
  <c r="I98" i="16" s="1"/>
  <c r="N211" i="16"/>
  <c r="I211" i="16" s="1"/>
  <c r="Q211" i="16"/>
  <c r="S211" i="16" s="1"/>
  <c r="R211" i="16"/>
  <c r="P211" i="16" s="1"/>
  <c r="N324" i="16"/>
  <c r="I324" i="16" s="1"/>
  <c r="Q324" i="16"/>
  <c r="S324" i="16" s="1"/>
  <c r="R324" i="16"/>
  <c r="P324" i="16" s="1"/>
  <c r="N516" i="16"/>
  <c r="I516" i="16" s="1"/>
  <c r="Q516" i="16"/>
  <c r="S516" i="16" s="1"/>
  <c r="R516" i="16"/>
  <c r="P516" i="16" s="1"/>
  <c r="N43" i="16"/>
  <c r="I43" i="16" s="1"/>
  <c r="Q43" i="16"/>
  <c r="S43" i="16" s="1"/>
  <c r="R43" i="16"/>
  <c r="P43" i="16" s="1"/>
  <c r="N156" i="16"/>
  <c r="I156" i="16" s="1"/>
  <c r="N33" i="16"/>
  <c r="I33" i="16" s="1"/>
  <c r="Q33" i="16"/>
  <c r="S33" i="16" s="1"/>
  <c r="R33" i="16"/>
  <c r="P33" i="16" s="1"/>
  <c r="N214" i="16"/>
  <c r="I214" i="16" s="1"/>
  <c r="Q214" i="16"/>
  <c r="S214" i="16" s="1"/>
  <c r="R214" i="16"/>
  <c r="P214" i="16" s="1"/>
  <c r="N371" i="16"/>
  <c r="I371" i="16" s="1"/>
  <c r="N497" i="16"/>
  <c r="I497" i="16" s="1"/>
  <c r="Q497" i="16"/>
  <c r="S497" i="16" s="1"/>
  <c r="R497" i="16"/>
  <c r="P497" i="16" s="1"/>
  <c r="N590" i="16"/>
  <c r="I590" i="16" s="1"/>
  <c r="Q590" i="16"/>
  <c r="S590" i="16" s="1"/>
  <c r="R590" i="16"/>
  <c r="P590" i="16" s="1"/>
  <c r="N671" i="16"/>
  <c r="I671" i="16" s="1"/>
  <c r="Q671" i="16"/>
  <c r="S671" i="16" s="1"/>
  <c r="R671" i="16"/>
  <c r="P671" i="16" s="1"/>
  <c r="N745" i="16"/>
  <c r="I745" i="16" s="1"/>
  <c r="Q745" i="16"/>
  <c r="S745" i="16" s="1"/>
  <c r="R745" i="16"/>
  <c r="P745" i="16" s="1"/>
  <c r="N818" i="16"/>
  <c r="I818" i="16" s="1"/>
  <c r="Q818" i="16"/>
  <c r="S818" i="16" s="1"/>
  <c r="R818" i="16"/>
  <c r="P818" i="16" s="1"/>
  <c r="N891" i="16"/>
  <c r="I891" i="16" s="1"/>
  <c r="Q891" i="16"/>
  <c r="S891" i="16" s="1"/>
  <c r="R891" i="16"/>
  <c r="P891" i="16" s="1"/>
  <c r="N963" i="16"/>
  <c r="I963" i="16" s="1"/>
  <c r="N1027" i="16"/>
  <c r="I1027" i="16" s="1"/>
  <c r="N1091" i="16"/>
  <c r="I1091" i="16" s="1"/>
  <c r="N1155" i="16"/>
  <c r="I1155" i="16" s="1"/>
  <c r="N1219" i="16"/>
  <c r="I1219" i="16" s="1"/>
  <c r="N1283" i="16"/>
  <c r="I1283" i="16" s="1"/>
  <c r="Q1283" i="16"/>
  <c r="S1283" i="16" s="1"/>
  <c r="R1283" i="16"/>
  <c r="P1283" i="16" s="1"/>
  <c r="N1347" i="16"/>
  <c r="I1347" i="16" s="1"/>
  <c r="Q1347" i="16"/>
  <c r="S1347" i="16" s="1"/>
  <c r="R1347" i="16"/>
  <c r="P1347" i="16" s="1"/>
  <c r="N1411" i="16"/>
  <c r="I1411" i="16" s="1"/>
  <c r="N1475" i="16"/>
  <c r="I1475" i="16" s="1"/>
  <c r="N1539" i="16"/>
  <c r="I1539" i="16" s="1"/>
  <c r="N1603" i="16"/>
  <c r="I1603" i="16" s="1"/>
  <c r="Q1603" i="16"/>
  <c r="S1603" i="16" s="1"/>
  <c r="R1603" i="16"/>
  <c r="P1603" i="16" s="1"/>
  <c r="N1667" i="16"/>
  <c r="I1667" i="16" s="1"/>
  <c r="Q1667" i="16"/>
  <c r="S1667" i="16" s="1"/>
  <c r="R1667" i="16"/>
  <c r="P1667" i="16" s="1"/>
  <c r="N1731" i="16"/>
  <c r="I1731" i="16" s="1"/>
  <c r="Q1731" i="16"/>
  <c r="S1731" i="16" s="1"/>
  <c r="R1731" i="16"/>
  <c r="P1731" i="16" s="1"/>
  <c r="N1795" i="16"/>
  <c r="I1795" i="16" s="1"/>
  <c r="Q1795" i="16"/>
  <c r="S1795" i="16" s="1"/>
  <c r="R1795" i="16"/>
  <c r="P1795" i="16" s="1"/>
  <c r="N1859" i="16"/>
  <c r="I1859" i="16" s="1"/>
  <c r="N1923" i="16"/>
  <c r="I1923" i="16" s="1"/>
  <c r="Q1923" i="16"/>
  <c r="S1923" i="16" s="1"/>
  <c r="R1923" i="16"/>
  <c r="P1923" i="16" s="1"/>
  <c r="N1987" i="16"/>
  <c r="I1987" i="16" s="1"/>
  <c r="Q1987" i="16"/>
  <c r="S1987" i="16" s="1"/>
  <c r="R1987" i="16"/>
  <c r="P1987" i="16" s="1"/>
  <c r="N2051" i="16"/>
  <c r="I2051" i="16" s="1"/>
  <c r="Q2051" i="16"/>
  <c r="S2051" i="16" s="1"/>
  <c r="R2051" i="16"/>
  <c r="P2051" i="16" s="1"/>
  <c r="N2115" i="16"/>
  <c r="I2115" i="16" s="1"/>
  <c r="N2179" i="16"/>
  <c r="I2179" i="16" s="1"/>
  <c r="N36" i="16"/>
  <c r="I36" i="16" s="1"/>
  <c r="N218" i="16"/>
  <c r="I218" i="16" s="1"/>
  <c r="Q218" i="16"/>
  <c r="S218" i="16" s="1"/>
  <c r="R218" i="16"/>
  <c r="P218" i="16" s="1"/>
  <c r="N374" i="16"/>
  <c r="I374" i="16" s="1"/>
  <c r="N500" i="16"/>
  <c r="I500" i="16" s="1"/>
  <c r="Q500" i="16"/>
  <c r="S500" i="16" s="1"/>
  <c r="R500" i="16"/>
  <c r="P500" i="16" s="1"/>
  <c r="N593" i="16"/>
  <c r="I593" i="16" s="1"/>
  <c r="N674" i="16"/>
  <c r="I674" i="16" s="1"/>
  <c r="N747" i="16"/>
  <c r="I747" i="16" s="1"/>
  <c r="Q747" i="16"/>
  <c r="S747" i="16" s="1"/>
  <c r="R747" i="16"/>
  <c r="P747" i="16" s="1"/>
  <c r="N820" i="16"/>
  <c r="I820" i="16" s="1"/>
  <c r="Q820" i="16"/>
  <c r="S820" i="16" s="1"/>
  <c r="R820" i="16"/>
  <c r="P820" i="16" s="1"/>
  <c r="Q893" i="16"/>
  <c r="S893" i="16" s="1"/>
  <c r="R893" i="16"/>
  <c r="P893" i="16" s="1"/>
  <c r="Q1093" i="16"/>
  <c r="S1093" i="16" s="1"/>
  <c r="R1093" i="16"/>
  <c r="P1093" i="16" s="1"/>
  <c r="Q1349" i="16"/>
  <c r="S1349" i="16" s="1"/>
  <c r="R1349" i="16"/>
  <c r="P1349" i="16" s="1"/>
  <c r="N1477" i="16"/>
  <c r="I1477" i="16" s="1"/>
  <c r="Q1605" i="16"/>
  <c r="S1605" i="16" s="1"/>
  <c r="R1605" i="16"/>
  <c r="P1605" i="16" s="1"/>
  <c r="Q1669" i="16"/>
  <c r="S1669" i="16" s="1"/>
  <c r="R1669" i="16"/>
  <c r="P1669" i="16" s="1"/>
  <c r="Q1733" i="16"/>
  <c r="S1733" i="16" s="1"/>
  <c r="R1733" i="16"/>
  <c r="P1733" i="16" s="1"/>
  <c r="Q1797" i="16"/>
  <c r="S1797" i="16" s="1"/>
  <c r="R1797" i="16"/>
  <c r="P1797" i="16" s="1"/>
  <c r="N18" i="16"/>
  <c r="I18" i="16" s="1"/>
  <c r="N201" i="16"/>
  <c r="I201" i="16" s="1"/>
  <c r="Q201" i="16"/>
  <c r="S201" i="16" s="1"/>
  <c r="R201" i="16"/>
  <c r="P201" i="16" s="1"/>
  <c r="N358" i="16"/>
  <c r="I358" i="16" s="1"/>
  <c r="Q358" i="16"/>
  <c r="S358" i="16" s="1"/>
  <c r="R358" i="16"/>
  <c r="P358" i="16" s="1"/>
  <c r="N489" i="16"/>
  <c r="I489" i="16" s="1"/>
  <c r="Q489" i="16"/>
  <c r="S489" i="16" s="1"/>
  <c r="R489" i="16"/>
  <c r="P489" i="16" s="1"/>
  <c r="N583" i="16"/>
  <c r="I583" i="16" s="1"/>
  <c r="N666" i="16"/>
  <c r="I666" i="16" s="1"/>
  <c r="N739" i="16"/>
  <c r="I739" i="16" s="1"/>
  <c r="Q739" i="16"/>
  <c r="S739" i="16" s="1"/>
  <c r="R739" i="16"/>
  <c r="P739" i="16" s="1"/>
  <c r="N812" i="16"/>
  <c r="I812" i="16" s="1"/>
  <c r="N958" i="16"/>
  <c r="I958" i="16" s="1"/>
  <c r="Q958" i="16"/>
  <c r="S958" i="16" s="1"/>
  <c r="R958" i="16"/>
  <c r="P958" i="16" s="1"/>
  <c r="N1022" i="16"/>
  <c r="I1022" i="16" s="1"/>
  <c r="N1086" i="16"/>
  <c r="I1086" i="16" s="1"/>
  <c r="N1150" i="16"/>
  <c r="I1150" i="16" s="1"/>
  <c r="N1214" i="16"/>
  <c r="I1214" i="16" s="1"/>
  <c r="Q1214" i="16"/>
  <c r="S1214" i="16" s="1"/>
  <c r="R1214" i="16"/>
  <c r="P1214" i="16" s="1"/>
  <c r="N1278" i="16"/>
  <c r="I1278" i="16" s="1"/>
  <c r="Q1278" i="16"/>
  <c r="S1278" i="16" s="1"/>
  <c r="R1278" i="16"/>
  <c r="P1278" i="16" s="1"/>
  <c r="N1342" i="16"/>
  <c r="I1342" i="16" s="1"/>
  <c r="N1406" i="16"/>
  <c r="I1406" i="16" s="1"/>
  <c r="Q1406" i="16"/>
  <c r="S1406" i="16" s="1"/>
  <c r="R1406" i="16"/>
  <c r="P1406" i="16" s="1"/>
  <c r="N1470" i="16"/>
  <c r="I1470" i="16" s="1"/>
  <c r="Q1470" i="16"/>
  <c r="S1470" i="16" s="1"/>
  <c r="R1470" i="16"/>
  <c r="P1470" i="16" s="1"/>
  <c r="N1534" i="16"/>
  <c r="I1534" i="16" s="1"/>
  <c r="Q1534" i="16"/>
  <c r="S1534" i="16" s="1"/>
  <c r="R1534" i="16"/>
  <c r="P1534" i="16" s="1"/>
  <c r="N1598" i="16"/>
  <c r="I1598" i="16" s="1"/>
  <c r="Q1598" i="16"/>
  <c r="S1598" i="16" s="1"/>
  <c r="R1598" i="16"/>
  <c r="P1598" i="16" s="1"/>
  <c r="N1662" i="16"/>
  <c r="I1662" i="16" s="1"/>
  <c r="Q1662" i="16"/>
  <c r="S1662" i="16" s="1"/>
  <c r="R1662" i="16"/>
  <c r="P1662" i="16" s="1"/>
  <c r="N1726" i="16"/>
  <c r="I1726" i="16" s="1"/>
  <c r="Q1726" i="16"/>
  <c r="S1726" i="16" s="1"/>
  <c r="R1726" i="16"/>
  <c r="P1726" i="16" s="1"/>
  <c r="N1790" i="16"/>
  <c r="I1790" i="16" s="1"/>
  <c r="Q1790" i="16"/>
  <c r="S1790" i="16" s="1"/>
  <c r="R1790" i="16"/>
  <c r="P1790" i="16" s="1"/>
  <c r="N1854" i="16"/>
  <c r="I1854" i="16" s="1"/>
  <c r="N1918" i="16"/>
  <c r="I1918" i="16" s="1"/>
  <c r="Q1918" i="16"/>
  <c r="S1918" i="16" s="1"/>
  <c r="R1918" i="16"/>
  <c r="P1918" i="16" s="1"/>
  <c r="N1982" i="16"/>
  <c r="I1982" i="16" s="1"/>
  <c r="N2046" i="16"/>
  <c r="I2046" i="16" s="1"/>
  <c r="N2110" i="16"/>
  <c r="I2110" i="16" s="1"/>
  <c r="R2110" i="16"/>
  <c r="P2110" i="16" s="1"/>
  <c r="Q2110" i="16"/>
  <c r="S2110" i="16" s="1"/>
  <c r="N19" i="16"/>
  <c r="I19" i="16" s="1"/>
  <c r="Q19" i="16"/>
  <c r="S19" i="16" s="1"/>
  <c r="R19" i="16"/>
  <c r="P19" i="16" s="1"/>
  <c r="N203" i="16"/>
  <c r="I203" i="16" s="1"/>
  <c r="Q203" i="16"/>
  <c r="S203" i="16" s="1"/>
  <c r="R203" i="16"/>
  <c r="P203" i="16" s="1"/>
  <c r="N361" i="16"/>
  <c r="I361" i="16" s="1"/>
  <c r="Q361" i="16"/>
  <c r="S361" i="16" s="1"/>
  <c r="R361" i="16"/>
  <c r="P361" i="16" s="1"/>
  <c r="N490" i="16"/>
  <c r="I490" i="16" s="1"/>
  <c r="N585" i="16"/>
  <c r="I585" i="16" s="1"/>
  <c r="N667" i="16"/>
  <c r="I667" i="16" s="1"/>
  <c r="Q667" i="16"/>
  <c r="S667" i="16" s="1"/>
  <c r="R667" i="16"/>
  <c r="P667" i="16" s="1"/>
  <c r="N740" i="16"/>
  <c r="I740" i="16" s="1"/>
  <c r="Q813" i="16"/>
  <c r="S813" i="16" s="1"/>
  <c r="R813" i="16"/>
  <c r="P813" i="16" s="1"/>
  <c r="N886" i="16"/>
  <c r="I886" i="16" s="1"/>
  <c r="Q886" i="16"/>
  <c r="S886" i="16" s="1"/>
  <c r="R886" i="16"/>
  <c r="P886" i="16" s="1"/>
  <c r="N959" i="16"/>
  <c r="I959" i="16" s="1"/>
  <c r="N1023" i="16"/>
  <c r="I1023" i="16" s="1"/>
  <c r="Q1023" i="16"/>
  <c r="S1023" i="16" s="1"/>
  <c r="R1023" i="16"/>
  <c r="P1023" i="16" s="1"/>
  <c r="N1087" i="16"/>
  <c r="I1087" i="16" s="1"/>
  <c r="Q1087" i="16"/>
  <c r="S1087" i="16" s="1"/>
  <c r="R1087" i="16"/>
  <c r="P1087" i="16" s="1"/>
  <c r="N1151" i="16"/>
  <c r="I1151" i="16" s="1"/>
  <c r="Q1151" i="16"/>
  <c r="S1151" i="16" s="1"/>
  <c r="R1151" i="16"/>
  <c r="P1151" i="16" s="1"/>
  <c r="N1215" i="16"/>
  <c r="I1215" i="16" s="1"/>
  <c r="Q1215" i="16"/>
  <c r="S1215" i="16" s="1"/>
  <c r="R1215" i="16"/>
  <c r="P1215" i="16" s="1"/>
  <c r="N1279" i="16"/>
  <c r="I1279" i="16" s="1"/>
  <c r="N1343" i="16"/>
  <c r="I1343" i="16" s="1"/>
  <c r="Q1343" i="16"/>
  <c r="S1343" i="16" s="1"/>
  <c r="R1343" i="16"/>
  <c r="P1343" i="16" s="1"/>
  <c r="N1407" i="16"/>
  <c r="I1407" i="16" s="1"/>
  <c r="N1471" i="16"/>
  <c r="I1471" i="16" s="1"/>
  <c r="N1535" i="16"/>
  <c r="I1535" i="16" s="1"/>
  <c r="N1599" i="16"/>
  <c r="I1599" i="16" s="1"/>
  <c r="Q1599" i="16"/>
  <c r="S1599" i="16" s="1"/>
  <c r="R1599" i="16"/>
  <c r="P1599" i="16" s="1"/>
  <c r="N1663" i="16"/>
  <c r="I1663" i="16" s="1"/>
  <c r="Q1663" i="16"/>
  <c r="S1663" i="16" s="1"/>
  <c r="R1663" i="16"/>
  <c r="P1663" i="16" s="1"/>
  <c r="N1727" i="16"/>
  <c r="I1727" i="16" s="1"/>
  <c r="N1791" i="16"/>
  <c r="I1791" i="16" s="1"/>
  <c r="Q1791" i="16"/>
  <c r="S1791" i="16" s="1"/>
  <c r="R1791" i="16"/>
  <c r="P1791" i="16" s="1"/>
  <c r="N1855" i="16"/>
  <c r="I1855" i="16" s="1"/>
  <c r="Q1855" i="16"/>
  <c r="S1855" i="16" s="1"/>
  <c r="R1855" i="16"/>
  <c r="P1855" i="16" s="1"/>
  <c r="N1919" i="16"/>
  <c r="I1919" i="16" s="1"/>
  <c r="Q1919" i="16"/>
  <c r="S1919" i="16" s="1"/>
  <c r="R1919" i="16"/>
  <c r="P1919" i="16" s="1"/>
  <c r="N1983" i="16"/>
  <c r="I1983" i="16" s="1"/>
  <c r="Q1983" i="16"/>
  <c r="S1983" i="16" s="1"/>
  <c r="R1983" i="16"/>
  <c r="P1983" i="16" s="1"/>
  <c r="N2047" i="16"/>
  <c r="I2047" i="16" s="1"/>
  <c r="N2111" i="16"/>
  <c r="I2111" i="16" s="1"/>
  <c r="N2175" i="16"/>
  <c r="I2175" i="16" s="1"/>
  <c r="Q117" i="16"/>
  <c r="S117" i="16" s="1"/>
  <c r="R117" i="16"/>
  <c r="P117" i="16" s="1"/>
  <c r="N433" i="16"/>
  <c r="I433" i="16" s="1"/>
  <c r="N779" i="16"/>
  <c r="I779" i="16" s="1"/>
  <c r="Q779" i="16"/>
  <c r="S779" i="16" s="1"/>
  <c r="R779" i="16"/>
  <c r="P779" i="16" s="1"/>
  <c r="Q925" i="16"/>
  <c r="S925" i="16" s="1"/>
  <c r="R925" i="16"/>
  <c r="P925" i="16" s="1"/>
  <c r="N1057" i="16"/>
  <c r="I1057" i="16" s="1"/>
  <c r="Q1057" i="16"/>
  <c r="S1057" i="16" s="1"/>
  <c r="R1057" i="16"/>
  <c r="P1057" i="16" s="1"/>
  <c r="N1185" i="16"/>
  <c r="I1185" i="16" s="1"/>
  <c r="Q1185" i="16"/>
  <c r="S1185" i="16" s="1"/>
  <c r="R1185" i="16"/>
  <c r="P1185" i="16" s="1"/>
  <c r="N1313" i="16"/>
  <c r="I1313" i="16" s="1"/>
  <c r="Q1313" i="16"/>
  <c r="S1313" i="16" s="1"/>
  <c r="R1313" i="16"/>
  <c r="P1313" i="16" s="1"/>
  <c r="N1441" i="16"/>
  <c r="I1441" i="16" s="1"/>
  <c r="N1569" i="16"/>
  <c r="I1569" i="16" s="1"/>
  <c r="N1697" i="16"/>
  <c r="I1697" i="16" s="1"/>
  <c r="N1825" i="16"/>
  <c r="I1825" i="16" s="1"/>
  <c r="Q1825" i="16"/>
  <c r="S1825" i="16" s="1"/>
  <c r="R1825" i="16"/>
  <c r="P1825" i="16" s="1"/>
  <c r="N2036" i="16"/>
  <c r="I2036" i="16" s="1"/>
  <c r="N2138" i="16"/>
  <c r="I2138" i="16" s="1"/>
  <c r="Q2138" i="16"/>
  <c r="S2138" i="16" s="1"/>
  <c r="R2138" i="16"/>
  <c r="P2138" i="16" s="1"/>
  <c r="N2228" i="16"/>
  <c r="I2228" i="16" s="1"/>
  <c r="N2292" i="16"/>
  <c r="I2292" i="16" s="1"/>
  <c r="Q2292" i="16"/>
  <c r="S2292" i="16" s="1"/>
  <c r="R2292" i="16"/>
  <c r="P2292" i="16" s="1"/>
  <c r="N2356" i="16"/>
  <c r="I2356" i="16" s="1"/>
  <c r="Q2356" i="16"/>
  <c r="S2356" i="16" s="1"/>
  <c r="R2356" i="16"/>
  <c r="P2356" i="16" s="1"/>
  <c r="N2420" i="16"/>
  <c r="I2420" i="16" s="1"/>
  <c r="Q2420" i="16"/>
  <c r="S2420" i="16" s="1"/>
  <c r="R2420" i="16"/>
  <c r="P2420" i="16" s="1"/>
  <c r="N2484" i="16"/>
  <c r="I2484" i="16" s="1"/>
  <c r="N2548" i="16"/>
  <c r="I2548" i="16" s="1"/>
  <c r="Q2548" i="16"/>
  <c r="S2548" i="16" s="1"/>
  <c r="R2548" i="16"/>
  <c r="P2548" i="16" s="1"/>
  <c r="N2612" i="16"/>
  <c r="I2612" i="16" s="1"/>
  <c r="Q2612" i="16"/>
  <c r="S2612" i="16" s="1"/>
  <c r="R2612" i="16"/>
  <c r="P2612" i="16" s="1"/>
  <c r="N124" i="16"/>
  <c r="I124" i="16" s="1"/>
  <c r="N438" i="16"/>
  <c r="I438" i="16" s="1"/>
  <c r="Q438" i="16"/>
  <c r="S438" i="16" s="1"/>
  <c r="R438" i="16"/>
  <c r="P438" i="16" s="1"/>
  <c r="N634" i="16"/>
  <c r="I634" i="16" s="1"/>
  <c r="Q634" i="16"/>
  <c r="S634" i="16" s="1"/>
  <c r="R634" i="16"/>
  <c r="P634" i="16" s="1"/>
  <c r="N782" i="16"/>
  <c r="I782" i="16" s="1"/>
  <c r="N929" i="16"/>
  <c r="I929" i="16" s="1"/>
  <c r="Q929" i="16"/>
  <c r="S929" i="16" s="1"/>
  <c r="R929" i="16"/>
  <c r="P929" i="16" s="1"/>
  <c r="N1060" i="16"/>
  <c r="I1060" i="16" s="1"/>
  <c r="Q1060" i="16"/>
  <c r="S1060" i="16" s="1"/>
  <c r="R1060" i="16"/>
  <c r="P1060" i="16" s="1"/>
  <c r="N1188" i="16"/>
  <c r="I1188" i="16" s="1"/>
  <c r="N1316" i="16"/>
  <c r="I1316" i="16" s="1"/>
  <c r="N1444" i="16"/>
  <c r="I1444" i="16" s="1"/>
  <c r="Q1444" i="16"/>
  <c r="S1444" i="16" s="1"/>
  <c r="R1444" i="16"/>
  <c r="P1444" i="16" s="1"/>
  <c r="N1572" i="16"/>
  <c r="I1572" i="16" s="1"/>
  <c r="Q1572" i="16"/>
  <c r="S1572" i="16" s="1"/>
  <c r="R1572" i="16"/>
  <c r="P1572" i="16" s="1"/>
  <c r="N1700" i="16"/>
  <c r="I1700" i="16" s="1"/>
  <c r="Q1700" i="16"/>
  <c r="S1700" i="16" s="1"/>
  <c r="R1700" i="16"/>
  <c r="P1700" i="16" s="1"/>
  <c r="N1828" i="16"/>
  <c r="I1828" i="16" s="1"/>
  <c r="N1937" i="16"/>
  <c r="I1937" i="16" s="1"/>
  <c r="N2040" i="16"/>
  <c r="I2040" i="16" s="1"/>
  <c r="N2230" i="16"/>
  <c r="I2230" i="16" s="1"/>
  <c r="N2294" i="16"/>
  <c r="I2294" i="16" s="1"/>
  <c r="Q2294" i="16"/>
  <c r="S2294" i="16" s="1"/>
  <c r="R2294" i="16"/>
  <c r="P2294" i="16" s="1"/>
  <c r="N2358" i="16"/>
  <c r="I2358" i="16" s="1"/>
  <c r="Q2358" i="16"/>
  <c r="S2358" i="16" s="1"/>
  <c r="R2358" i="16"/>
  <c r="P2358" i="16" s="1"/>
  <c r="N2422" i="16"/>
  <c r="I2422" i="16" s="1"/>
  <c r="Q2422" i="16"/>
  <c r="S2422" i="16" s="1"/>
  <c r="R2422" i="16"/>
  <c r="P2422" i="16" s="1"/>
  <c r="N2486" i="16"/>
  <c r="I2486" i="16" s="1"/>
  <c r="N2550" i="16"/>
  <c r="I2550" i="16" s="1"/>
  <c r="Q2550" i="16"/>
  <c r="S2550" i="16" s="1"/>
  <c r="R2550" i="16"/>
  <c r="P2550" i="16" s="1"/>
  <c r="N2614" i="16"/>
  <c r="I2614" i="16" s="1"/>
  <c r="Q2614" i="16"/>
  <c r="S2614" i="16" s="1"/>
  <c r="R2614" i="16"/>
  <c r="P2614" i="16" s="1"/>
  <c r="N137" i="16"/>
  <c r="I137" i="16" s="1"/>
  <c r="Q445" i="16"/>
  <c r="S445" i="16" s="1"/>
  <c r="R445" i="16"/>
  <c r="P445" i="16" s="1"/>
  <c r="N638" i="16"/>
  <c r="I638" i="16" s="1"/>
  <c r="Q638" i="16"/>
  <c r="S638" i="16" s="1"/>
  <c r="R638" i="16"/>
  <c r="P638" i="16" s="1"/>
  <c r="N787" i="16"/>
  <c r="I787" i="16" s="1"/>
  <c r="Q787" i="16"/>
  <c r="S787" i="16" s="1"/>
  <c r="R787" i="16"/>
  <c r="P787" i="16" s="1"/>
  <c r="N1064" i="16"/>
  <c r="I1064" i="16" s="1"/>
  <c r="Q1064" i="16"/>
  <c r="S1064" i="16" s="1"/>
  <c r="R1064" i="16"/>
  <c r="P1064" i="16" s="1"/>
  <c r="N1192" i="16"/>
  <c r="I1192" i="16" s="1"/>
  <c r="Q1192" i="16"/>
  <c r="S1192" i="16" s="1"/>
  <c r="R1192" i="16"/>
  <c r="P1192" i="16" s="1"/>
  <c r="N1320" i="16"/>
  <c r="I1320" i="16" s="1"/>
  <c r="N270" i="16"/>
  <c r="I270" i="16" s="1"/>
  <c r="R270" i="16"/>
  <c r="P270" i="16" s="1"/>
  <c r="Q270" i="16"/>
  <c r="S270" i="16" s="1"/>
  <c r="N530" i="16"/>
  <c r="I530" i="16" s="1"/>
  <c r="Q530" i="16"/>
  <c r="S530" i="16" s="1"/>
  <c r="R530" i="16"/>
  <c r="P530" i="16" s="1"/>
  <c r="N697" i="16"/>
  <c r="I697" i="16" s="1"/>
  <c r="N843" i="16"/>
  <c r="I843" i="16" s="1"/>
  <c r="Q843" i="16"/>
  <c r="S843" i="16" s="1"/>
  <c r="R843" i="16"/>
  <c r="P843" i="16" s="1"/>
  <c r="N985" i="16"/>
  <c r="I985" i="16" s="1"/>
  <c r="N1113" i="16"/>
  <c r="I1113" i="16" s="1"/>
  <c r="Q1113" i="16"/>
  <c r="S1113" i="16" s="1"/>
  <c r="R1113" i="16"/>
  <c r="P1113" i="16" s="1"/>
  <c r="N67" i="16"/>
  <c r="I67" i="16" s="1"/>
  <c r="Q67" i="16"/>
  <c r="S67" i="16" s="1"/>
  <c r="R67" i="16"/>
  <c r="P67" i="16" s="1"/>
  <c r="N607" i="16"/>
  <c r="I607" i="16" s="1"/>
  <c r="Q607" i="16"/>
  <c r="S607" i="16" s="1"/>
  <c r="R607" i="16"/>
  <c r="P607" i="16" s="1"/>
  <c r="N759" i="16"/>
  <c r="I759" i="16" s="1"/>
  <c r="Q759" i="16"/>
  <c r="S759" i="16" s="1"/>
  <c r="R759" i="16"/>
  <c r="P759" i="16" s="1"/>
  <c r="N906" i="16"/>
  <c r="I906" i="16" s="1"/>
  <c r="N1040" i="16"/>
  <c r="I1040" i="16" s="1"/>
  <c r="N1168" i="16"/>
  <c r="I1168" i="16" s="1"/>
  <c r="N1296" i="16"/>
  <c r="I1296" i="16" s="1"/>
  <c r="Q1296" i="16"/>
  <c r="S1296" i="16" s="1"/>
  <c r="R1296" i="16"/>
  <c r="P1296" i="16" s="1"/>
  <c r="N1424" i="16"/>
  <c r="I1424" i="16" s="1"/>
  <c r="Q1424" i="16"/>
  <c r="S1424" i="16" s="1"/>
  <c r="R1424" i="16"/>
  <c r="P1424" i="16" s="1"/>
  <c r="N1552" i="16"/>
  <c r="I1552" i="16" s="1"/>
  <c r="N1680" i="16"/>
  <c r="I1680" i="16" s="1"/>
  <c r="N1808" i="16"/>
  <c r="I1808" i="16" s="1"/>
  <c r="N1920" i="16"/>
  <c r="I1920" i="16" s="1"/>
  <c r="Q1920" i="16"/>
  <c r="S1920" i="16" s="1"/>
  <c r="R1920" i="16"/>
  <c r="P1920" i="16" s="1"/>
  <c r="N535" i="16"/>
  <c r="I535" i="16" s="1"/>
  <c r="N945" i="16"/>
  <c r="I945" i="16" s="1"/>
  <c r="N1273" i="16"/>
  <c r="I1273" i="16" s="1"/>
  <c r="Q1273" i="16"/>
  <c r="S1273" i="16" s="1"/>
  <c r="R1273" i="16"/>
  <c r="P1273" i="16" s="1"/>
  <c r="N1490" i="16"/>
  <c r="I1490" i="16" s="1"/>
  <c r="Q1490" i="16"/>
  <c r="S1490" i="16" s="1"/>
  <c r="R1490" i="16"/>
  <c r="P1490" i="16" s="1"/>
  <c r="N1692" i="16"/>
  <c r="I1692" i="16" s="1"/>
  <c r="Q1692" i="16"/>
  <c r="S1692" i="16" s="1"/>
  <c r="R1692" i="16"/>
  <c r="P1692" i="16" s="1"/>
  <c r="N1890" i="16"/>
  <c r="I1890" i="16" s="1"/>
  <c r="Q1890" i="16"/>
  <c r="S1890" i="16" s="1"/>
  <c r="R1890" i="16"/>
  <c r="P1890" i="16" s="1"/>
  <c r="Q2037" i="16"/>
  <c r="S2037" i="16" s="1"/>
  <c r="R2037" i="16"/>
  <c r="P2037" i="16" s="1"/>
  <c r="N2272" i="16"/>
  <c r="I2272" i="16" s="1"/>
  <c r="Q2272" i="16"/>
  <c r="S2272" i="16" s="1"/>
  <c r="R2272" i="16"/>
  <c r="P2272" i="16" s="1"/>
  <c r="N2442" i="16"/>
  <c r="I2442" i="16" s="1"/>
  <c r="Q2442" i="16"/>
  <c r="S2442" i="16" s="1"/>
  <c r="R2442" i="16"/>
  <c r="P2442" i="16" s="1"/>
  <c r="N2528" i="16"/>
  <c r="I2528" i="16" s="1"/>
  <c r="Q2613" i="16"/>
  <c r="S2613" i="16" s="1"/>
  <c r="R2613" i="16"/>
  <c r="P2613" i="16" s="1"/>
  <c r="N402" i="16"/>
  <c r="I402" i="16" s="1"/>
  <c r="Q402" i="16"/>
  <c r="S402" i="16" s="1"/>
  <c r="R402" i="16"/>
  <c r="P402" i="16" s="1"/>
  <c r="N862" i="16"/>
  <c r="I862" i="16" s="1"/>
  <c r="Q862" i="16"/>
  <c r="S862" i="16" s="1"/>
  <c r="R862" i="16"/>
  <c r="P862" i="16" s="1"/>
  <c r="N1212" i="16"/>
  <c r="I1212" i="16" s="1"/>
  <c r="Q1212" i="16"/>
  <c r="S1212" i="16" s="1"/>
  <c r="R1212" i="16"/>
  <c r="P1212" i="16" s="1"/>
  <c r="N1448" i="16"/>
  <c r="I1448" i="16" s="1"/>
  <c r="Q1448" i="16"/>
  <c r="S1448" i="16" s="1"/>
  <c r="R1448" i="16"/>
  <c r="P1448" i="16" s="1"/>
  <c r="N1650" i="16"/>
  <c r="I1650" i="16" s="1"/>
  <c r="N1852" i="16"/>
  <c r="I1852" i="16" s="1"/>
  <c r="N2008" i="16"/>
  <c r="I2008" i="16" s="1"/>
  <c r="N2145" i="16"/>
  <c r="I2145" i="16" s="1"/>
  <c r="Q2145" i="16"/>
  <c r="S2145" i="16" s="1"/>
  <c r="R2145" i="16"/>
  <c r="P2145" i="16" s="1"/>
  <c r="Q2253" i="16"/>
  <c r="S2253" i="16" s="1"/>
  <c r="R2253" i="16"/>
  <c r="P2253" i="16" s="1"/>
  <c r="N2338" i="16"/>
  <c r="I2338" i="16" s="1"/>
  <c r="N2424" i="16"/>
  <c r="I2424" i="16" s="1"/>
  <c r="Q2424" i="16"/>
  <c r="S2424" i="16" s="1"/>
  <c r="R2424" i="16"/>
  <c r="P2424" i="16" s="1"/>
  <c r="N2594" i="16"/>
  <c r="I2594" i="16" s="1"/>
  <c r="Q2594" i="16"/>
  <c r="S2594" i="16" s="1"/>
  <c r="R2594" i="16"/>
  <c r="P2594" i="16" s="1"/>
  <c r="N210" i="16"/>
  <c r="I210" i="16" s="1"/>
  <c r="N771" i="16"/>
  <c r="I771" i="16" s="1"/>
  <c r="N1132" i="16"/>
  <c r="I1132" i="16" s="1"/>
  <c r="N1400" i="16"/>
  <c r="I1400" i="16" s="1"/>
  <c r="Q1400" i="16"/>
  <c r="S1400" i="16" s="1"/>
  <c r="R1400" i="16"/>
  <c r="P1400" i="16" s="1"/>
  <c r="N1602" i="16"/>
  <c r="I1602" i="16" s="1"/>
  <c r="N1804" i="16"/>
  <c r="I1804" i="16" s="1"/>
  <c r="N1977" i="16"/>
  <c r="I1977" i="16" s="1"/>
  <c r="Q1977" i="16"/>
  <c r="S1977" i="16" s="1"/>
  <c r="R1977" i="16"/>
  <c r="P1977" i="16" s="1"/>
  <c r="N2112" i="16"/>
  <c r="I2112" i="16" s="1"/>
  <c r="Q2112" i="16"/>
  <c r="S2112" i="16" s="1"/>
  <c r="R2112" i="16"/>
  <c r="P2112" i="16" s="1"/>
  <c r="N2233" i="16"/>
  <c r="I2233" i="16" s="1"/>
  <c r="Q2233" i="16"/>
  <c r="S2233" i="16" s="1"/>
  <c r="R2233" i="16"/>
  <c r="P2233" i="16" s="1"/>
  <c r="N2319" i="16"/>
  <c r="I2319" i="16" s="1"/>
  <c r="N2403" i="16"/>
  <c r="I2403" i="16" s="1"/>
  <c r="Q2403" i="16"/>
  <c r="S2403" i="16" s="1"/>
  <c r="R2403" i="16"/>
  <c r="P2403" i="16" s="1"/>
  <c r="N2489" i="16"/>
  <c r="I2489" i="16" s="1"/>
  <c r="Q2489" i="16"/>
  <c r="S2489" i="16" s="1"/>
  <c r="R2489" i="16"/>
  <c r="P2489" i="16" s="1"/>
  <c r="N2575" i="16"/>
  <c r="I2575" i="16" s="1"/>
  <c r="Q2575" i="16"/>
  <c r="S2575" i="16" s="1"/>
  <c r="R2575" i="16"/>
  <c r="P2575" i="16" s="1"/>
  <c r="N679" i="16"/>
  <c r="I679" i="16" s="1"/>
  <c r="Q679" i="16"/>
  <c r="S679" i="16" s="1"/>
  <c r="R679" i="16"/>
  <c r="P679" i="16" s="1"/>
  <c r="N1052" i="16"/>
  <c r="I1052" i="16" s="1"/>
  <c r="Q1052" i="16"/>
  <c r="S1052" i="16" s="1"/>
  <c r="R1052" i="16"/>
  <c r="P1052" i="16" s="1"/>
  <c r="N1352" i="16"/>
  <c r="I1352" i="16" s="1"/>
  <c r="N1554" i="16"/>
  <c r="I1554" i="16" s="1"/>
  <c r="N1756" i="16"/>
  <c r="I1756" i="16" s="1"/>
  <c r="Q1941" i="16"/>
  <c r="S1941" i="16" s="1"/>
  <c r="R1941" i="16"/>
  <c r="P1941" i="16" s="1"/>
  <c r="N2081" i="16"/>
  <c r="I2081" i="16" s="1"/>
  <c r="Q2081" i="16"/>
  <c r="S2081" i="16" s="1"/>
  <c r="R2081" i="16"/>
  <c r="P2081" i="16" s="1"/>
  <c r="N2209" i="16"/>
  <c r="I2209" i="16" s="1"/>
  <c r="Q2209" i="16"/>
  <c r="S2209" i="16" s="1"/>
  <c r="R2209" i="16"/>
  <c r="P2209" i="16" s="1"/>
  <c r="N2298" i="16"/>
  <c r="I2298" i="16" s="1"/>
  <c r="Q2298" i="16"/>
  <c r="S2298" i="16" s="1"/>
  <c r="R2298" i="16"/>
  <c r="P2298" i="16" s="1"/>
  <c r="N2384" i="16"/>
  <c r="I2384" i="16" s="1"/>
  <c r="Q2469" i="16"/>
  <c r="S2469" i="16" s="1"/>
  <c r="R2469" i="16"/>
  <c r="P2469" i="16" s="1"/>
  <c r="N2554" i="16"/>
  <c r="I2554" i="16" s="1"/>
  <c r="N2640" i="16"/>
  <c r="I2640" i="16" s="1"/>
  <c r="Q2640" i="16"/>
  <c r="S2640" i="16" s="1"/>
  <c r="R2640" i="16"/>
  <c r="P2640" i="16" s="1"/>
  <c r="N986" i="16"/>
  <c r="I986" i="16" s="1"/>
  <c r="N1298" i="16"/>
  <c r="I1298" i="16" s="1"/>
  <c r="Q1298" i="16"/>
  <c r="S1298" i="16" s="1"/>
  <c r="R1298" i="16"/>
  <c r="P1298" i="16" s="1"/>
  <c r="N1513" i="16"/>
  <c r="I1513" i="16" s="1"/>
  <c r="Q1513" i="16"/>
  <c r="S1513" i="16" s="1"/>
  <c r="R1513" i="16"/>
  <c r="P1513" i="16" s="1"/>
  <c r="N1720" i="16"/>
  <c r="I1720" i="16" s="1"/>
  <c r="Q1720" i="16"/>
  <c r="S1720" i="16" s="1"/>
  <c r="R1720" i="16"/>
  <c r="P1720" i="16" s="1"/>
  <c r="Q2053" i="16"/>
  <c r="S2053" i="16" s="1"/>
  <c r="R2053" i="16"/>
  <c r="P2053" i="16" s="1"/>
  <c r="N2185" i="16"/>
  <c r="I2185" i="16" s="1"/>
  <c r="N2281" i="16"/>
  <c r="I2281" i="16" s="1"/>
  <c r="N2367" i="16"/>
  <c r="I2367" i="16" s="1"/>
  <c r="N2451" i="16"/>
  <c r="I2451" i="16" s="1"/>
  <c r="Q2451" i="16"/>
  <c r="S2451" i="16" s="1"/>
  <c r="R2451" i="16"/>
  <c r="P2451" i="16" s="1"/>
  <c r="N2537" i="16"/>
  <c r="I2537" i="16" s="1"/>
  <c r="Q2537" i="16"/>
  <c r="S2537" i="16" s="1"/>
  <c r="R2537" i="16"/>
  <c r="P2537" i="16" s="1"/>
  <c r="N2623" i="16"/>
  <c r="I2623" i="16" s="1"/>
  <c r="Q2623" i="16"/>
  <c r="S2623" i="16" s="1"/>
  <c r="R2623" i="16"/>
  <c r="P2623" i="16" s="1"/>
  <c r="N881" i="16"/>
  <c r="I881" i="16" s="1"/>
  <c r="N1586" i="16"/>
  <c r="I1586" i="16" s="1"/>
  <c r="Q1586" i="16"/>
  <c r="S1586" i="16" s="1"/>
  <c r="R1586" i="16"/>
  <c r="P1586" i="16" s="1"/>
  <c r="N2057" i="16"/>
  <c r="I2057" i="16" s="1"/>
  <c r="Q2057" i="16"/>
  <c r="S2057" i="16" s="1"/>
  <c r="R2057" i="16"/>
  <c r="P2057" i="16" s="1"/>
  <c r="N2343" i="16"/>
  <c r="I2343" i="16" s="1"/>
  <c r="Q2343" i="16"/>
  <c r="S2343" i="16" s="1"/>
  <c r="R2343" i="16"/>
  <c r="P2343" i="16" s="1"/>
  <c r="N2568" i="16"/>
  <c r="I2568" i="16" s="1"/>
  <c r="N901" i="16"/>
  <c r="I901" i="16" s="1"/>
  <c r="Q901" i="16"/>
  <c r="S901" i="16" s="1"/>
  <c r="R901" i="16"/>
  <c r="P901" i="16" s="1"/>
  <c r="N1609" i="16"/>
  <c r="I1609" i="16" s="1"/>
  <c r="Q1609" i="16"/>
  <c r="S1609" i="16" s="1"/>
  <c r="R1609" i="16"/>
  <c r="P1609" i="16" s="1"/>
  <c r="N2068" i="16"/>
  <c r="I2068" i="16" s="1"/>
  <c r="N2347" i="16"/>
  <c r="I2347" i="16" s="1"/>
  <c r="Q2347" i="16"/>
  <c r="S2347" i="16" s="1"/>
  <c r="R2347" i="16"/>
  <c r="P2347" i="16" s="1"/>
  <c r="N2577" i="16"/>
  <c r="I2577" i="16" s="1"/>
  <c r="N1036" i="16"/>
  <c r="I1036" i="16" s="1"/>
  <c r="N1688" i="16"/>
  <c r="I1688" i="16" s="1"/>
  <c r="N2120" i="16"/>
  <c r="I2120" i="16" s="1"/>
  <c r="Q2120" i="16"/>
  <c r="S2120" i="16" s="1"/>
  <c r="R2120" i="16"/>
  <c r="P2120" i="16" s="1"/>
  <c r="N2379" i="16"/>
  <c r="I2379" i="16" s="1"/>
  <c r="Q2379" i="16"/>
  <c r="S2379" i="16" s="1"/>
  <c r="R2379" i="16"/>
  <c r="P2379" i="16" s="1"/>
  <c r="N2609" i="16"/>
  <c r="I2609" i="16" s="1"/>
  <c r="Q2609" i="16"/>
  <c r="S2609" i="16" s="1"/>
  <c r="R2609" i="16"/>
  <c r="P2609" i="16" s="1"/>
  <c r="N1058" i="16"/>
  <c r="I1058" i="16" s="1"/>
  <c r="Q1058" i="16"/>
  <c r="S1058" i="16" s="1"/>
  <c r="R1058" i="16"/>
  <c r="P1058" i="16" s="1"/>
  <c r="N1689" i="16"/>
  <c r="I1689" i="16" s="1"/>
  <c r="Q1689" i="16"/>
  <c r="S1689" i="16" s="1"/>
  <c r="R1689" i="16"/>
  <c r="P1689" i="16" s="1"/>
  <c r="N2124" i="16"/>
  <c r="I2124" i="16" s="1"/>
  <c r="Q2124" i="16"/>
  <c r="S2124" i="16" s="1"/>
  <c r="R2124" i="16"/>
  <c r="P2124" i="16" s="1"/>
  <c r="N2385" i="16"/>
  <c r="I2385" i="16" s="1"/>
  <c r="Q2385" i="16"/>
  <c r="S2385" i="16" s="1"/>
  <c r="R2385" i="16"/>
  <c r="P2385" i="16" s="1"/>
  <c r="N2610" i="16"/>
  <c r="I2610" i="16" s="1"/>
  <c r="Q2610" i="16"/>
  <c r="S2610" i="16" s="1"/>
  <c r="R2610" i="16"/>
  <c r="P2610" i="16" s="1"/>
  <c r="N1100" i="16"/>
  <c r="I1100" i="16" s="1"/>
  <c r="N1714" i="16"/>
  <c r="I1714" i="16" s="1"/>
  <c r="Q1714" i="16"/>
  <c r="S1714" i="16" s="1"/>
  <c r="R1714" i="16"/>
  <c r="P1714" i="16" s="1"/>
  <c r="N2144" i="16"/>
  <c r="I2144" i="16" s="1"/>
  <c r="Q2144" i="16"/>
  <c r="S2144" i="16" s="1"/>
  <c r="R2144" i="16"/>
  <c r="P2144" i="16" s="1"/>
  <c r="N2395" i="16"/>
  <c r="I2395" i="16" s="1"/>
  <c r="Q2395" i="16"/>
  <c r="S2395" i="16" s="1"/>
  <c r="R2395" i="16"/>
  <c r="P2395" i="16" s="1"/>
  <c r="Q2621" i="16"/>
  <c r="S2621" i="16" s="1"/>
  <c r="R2621" i="16"/>
  <c r="P2621" i="16" s="1"/>
  <c r="N1836" i="16"/>
  <c r="I1836" i="16" s="1"/>
  <c r="Q2589" i="16"/>
  <c r="S2589" i="16" s="1"/>
  <c r="R2589" i="16"/>
  <c r="P2589" i="16" s="1"/>
  <c r="N2000" i="16"/>
  <c r="I2000" i="16" s="1"/>
  <c r="Q349" i="16"/>
  <c r="S349" i="16" s="1"/>
  <c r="R349" i="16"/>
  <c r="P349" i="16" s="1"/>
  <c r="N2136" i="16"/>
  <c r="I2136" i="16" s="1"/>
  <c r="Q2136" i="16"/>
  <c r="S2136" i="16" s="1"/>
  <c r="R2136" i="16"/>
  <c r="P2136" i="16" s="1"/>
  <c r="N828" i="16"/>
  <c r="I828" i="16" s="1"/>
  <c r="Q828" i="16"/>
  <c r="S828" i="16" s="1"/>
  <c r="R828" i="16"/>
  <c r="P828" i="16" s="1"/>
  <c r="N2248" i="16"/>
  <c r="I2248" i="16" s="1"/>
  <c r="N1228" i="16"/>
  <c r="I1228" i="16" s="1"/>
  <c r="Q1228" i="16"/>
  <c r="S1228" i="16" s="1"/>
  <c r="R1228" i="16"/>
  <c r="P1228" i="16" s="1"/>
  <c r="N2359" i="16"/>
  <c r="I2359" i="16" s="1"/>
  <c r="N2273" i="16"/>
  <c r="I2273" i="16" s="1"/>
  <c r="N1194" i="16"/>
  <c r="I1194" i="16" s="1"/>
  <c r="R1194" i="16"/>
  <c r="P1194" i="16" s="1"/>
  <c r="Q1194" i="16"/>
  <c r="S1194" i="16" s="1"/>
  <c r="N2182" i="16"/>
  <c r="I2182" i="16" s="1"/>
  <c r="Q2182" i="16"/>
  <c r="S2182" i="16" s="1"/>
  <c r="R2182" i="16"/>
  <c r="P2182" i="16" s="1"/>
  <c r="N2647" i="16"/>
  <c r="I2647" i="16" s="1"/>
  <c r="N2418" i="16"/>
  <c r="I2418" i="16" s="1"/>
  <c r="Q2418" i="16"/>
  <c r="S2418" i="16" s="1"/>
  <c r="R2418" i="16"/>
  <c r="P2418" i="16" s="1"/>
  <c r="N689" i="16"/>
  <c r="I689" i="16" s="1"/>
  <c r="Q689" i="16"/>
  <c r="S689" i="16" s="1"/>
  <c r="R689" i="16"/>
  <c r="P689" i="16" s="1"/>
  <c r="N7" i="16"/>
  <c r="I7" i="16" s="1"/>
  <c r="Q7" i="16"/>
  <c r="S7" i="16" s="1"/>
  <c r="R7" i="16"/>
  <c r="P7" i="16" s="1"/>
  <c r="N71" i="16"/>
  <c r="I71" i="16" s="1"/>
  <c r="Q71" i="16"/>
  <c r="S71" i="16" s="1"/>
  <c r="R71" i="16"/>
  <c r="P71" i="16" s="1"/>
  <c r="N135" i="16"/>
  <c r="I135" i="16" s="1"/>
  <c r="Q135" i="16"/>
  <c r="S135" i="16" s="1"/>
  <c r="R135" i="16"/>
  <c r="P135" i="16" s="1"/>
  <c r="N199" i="16"/>
  <c r="I199" i="16" s="1"/>
  <c r="R199" i="16"/>
  <c r="P199" i="16" s="1"/>
  <c r="Q199" i="16"/>
  <c r="S199" i="16" s="1"/>
  <c r="N263" i="16"/>
  <c r="I263" i="16" s="1"/>
  <c r="R263" i="16"/>
  <c r="P263" i="16" s="1"/>
  <c r="Q263" i="16"/>
  <c r="S263" i="16" s="1"/>
  <c r="N327" i="16"/>
  <c r="I327" i="16" s="1"/>
  <c r="R327" i="16"/>
  <c r="P327" i="16" s="1"/>
  <c r="Q327" i="16"/>
  <c r="S327" i="16" s="1"/>
  <c r="N391" i="16"/>
  <c r="I391" i="16" s="1"/>
  <c r="N455" i="16"/>
  <c r="I455" i="16" s="1"/>
  <c r="R455" i="16"/>
  <c r="P455" i="16" s="1"/>
  <c r="Q455" i="16"/>
  <c r="S455" i="16" s="1"/>
  <c r="N24" i="16"/>
  <c r="I24" i="16" s="1"/>
  <c r="N88" i="16"/>
  <c r="I88" i="16" s="1"/>
  <c r="N152" i="16"/>
  <c r="I152" i="16" s="1"/>
  <c r="N216" i="16"/>
  <c r="I216" i="16" s="1"/>
  <c r="Q216" i="16"/>
  <c r="S216" i="16" s="1"/>
  <c r="R216" i="16"/>
  <c r="P216" i="16" s="1"/>
  <c r="N280" i="16"/>
  <c r="I280" i="16" s="1"/>
  <c r="Q280" i="16"/>
  <c r="S280" i="16" s="1"/>
  <c r="R280" i="16"/>
  <c r="P280" i="16" s="1"/>
  <c r="N344" i="16"/>
  <c r="I344" i="16" s="1"/>
  <c r="N408" i="16"/>
  <c r="I408" i="16" s="1"/>
  <c r="Q5" i="16"/>
  <c r="S5" i="16" s="1"/>
  <c r="R5" i="16"/>
  <c r="P5" i="16" s="1"/>
  <c r="N91" i="16"/>
  <c r="I91" i="16" s="1"/>
  <c r="N177" i="16"/>
  <c r="I177" i="16" s="1"/>
  <c r="Q177" i="16"/>
  <c r="S177" i="16" s="1"/>
  <c r="R177" i="16"/>
  <c r="P177" i="16" s="1"/>
  <c r="Q261" i="16"/>
  <c r="S261" i="16" s="1"/>
  <c r="R261" i="16"/>
  <c r="P261" i="16" s="1"/>
  <c r="N347" i="16"/>
  <c r="I347" i="16" s="1"/>
  <c r="Q347" i="16"/>
  <c r="S347" i="16" s="1"/>
  <c r="R347" i="16"/>
  <c r="P347" i="16" s="1"/>
  <c r="N62" i="16"/>
  <c r="I62" i="16" s="1"/>
  <c r="N148" i="16"/>
  <c r="I148" i="16" s="1"/>
  <c r="N234" i="16"/>
  <c r="I234" i="16" s="1"/>
  <c r="N318" i="16"/>
  <c r="I318" i="16" s="1"/>
  <c r="R318" i="16"/>
  <c r="P318" i="16" s="1"/>
  <c r="Q318" i="16"/>
  <c r="S318" i="16" s="1"/>
  <c r="N404" i="16"/>
  <c r="I404" i="16" s="1"/>
  <c r="N486" i="16"/>
  <c r="I486" i="16" s="1"/>
  <c r="N552" i="16"/>
  <c r="I552" i="16" s="1"/>
  <c r="Q552" i="16"/>
  <c r="S552" i="16" s="1"/>
  <c r="R552" i="16"/>
  <c r="P552" i="16" s="1"/>
  <c r="N616" i="16"/>
  <c r="I616" i="16" s="1"/>
  <c r="N680" i="16"/>
  <c r="I680" i="16" s="1"/>
  <c r="Q680" i="16"/>
  <c r="S680" i="16" s="1"/>
  <c r="R680" i="16"/>
  <c r="P680" i="16" s="1"/>
  <c r="N744" i="16"/>
  <c r="I744" i="16" s="1"/>
  <c r="N808" i="16"/>
  <c r="I808" i="16" s="1"/>
  <c r="N872" i="16"/>
  <c r="I872" i="16" s="1"/>
  <c r="Q872" i="16"/>
  <c r="S872" i="16" s="1"/>
  <c r="R872" i="16"/>
  <c r="P872" i="16" s="1"/>
  <c r="N936" i="16"/>
  <c r="I936" i="16" s="1"/>
  <c r="Q936" i="16"/>
  <c r="S936" i="16" s="1"/>
  <c r="R936" i="16"/>
  <c r="P936" i="16" s="1"/>
  <c r="Q77" i="16"/>
  <c r="S77" i="16" s="1"/>
  <c r="R77" i="16"/>
  <c r="P77" i="16" s="1"/>
  <c r="N193" i="16"/>
  <c r="I193" i="16" s="1"/>
  <c r="Q193" i="16"/>
  <c r="S193" i="16" s="1"/>
  <c r="R193" i="16"/>
  <c r="P193" i="16" s="1"/>
  <c r="N306" i="16"/>
  <c r="I306" i="16" s="1"/>
  <c r="N412" i="16"/>
  <c r="I412" i="16" s="1"/>
  <c r="N503" i="16"/>
  <c r="I503" i="16" s="1"/>
  <c r="Q503" i="16"/>
  <c r="S503" i="16" s="1"/>
  <c r="R503" i="16"/>
  <c r="P503" i="16" s="1"/>
  <c r="N577" i="16"/>
  <c r="I577" i="16" s="1"/>
  <c r="Q577" i="16"/>
  <c r="S577" i="16" s="1"/>
  <c r="R577" i="16"/>
  <c r="P577" i="16" s="1"/>
  <c r="N650" i="16"/>
  <c r="I650" i="16" s="1"/>
  <c r="Q650" i="16"/>
  <c r="S650" i="16" s="1"/>
  <c r="R650" i="16"/>
  <c r="P650" i="16" s="1"/>
  <c r="N110" i="16"/>
  <c r="I110" i="16" s="1"/>
  <c r="N226" i="16"/>
  <c r="I226" i="16" s="1"/>
  <c r="Q226" i="16"/>
  <c r="S226" i="16" s="1"/>
  <c r="R226" i="16"/>
  <c r="P226" i="16" s="1"/>
  <c r="N339" i="16"/>
  <c r="I339" i="16" s="1"/>
  <c r="Q339" i="16"/>
  <c r="S339" i="16" s="1"/>
  <c r="R339" i="16"/>
  <c r="P339" i="16" s="1"/>
  <c r="N442" i="16"/>
  <c r="I442" i="16" s="1"/>
  <c r="N57" i="16"/>
  <c r="I57" i="16" s="1"/>
  <c r="Q57" i="16"/>
  <c r="S57" i="16" s="1"/>
  <c r="R57" i="16"/>
  <c r="P57" i="16" s="1"/>
  <c r="N171" i="16"/>
  <c r="I171" i="16" s="1"/>
  <c r="Q171" i="16"/>
  <c r="S171" i="16" s="1"/>
  <c r="R171" i="16"/>
  <c r="P171" i="16" s="1"/>
  <c r="Q53" i="16"/>
  <c r="S53" i="16" s="1"/>
  <c r="R53" i="16"/>
  <c r="P53" i="16" s="1"/>
  <c r="N236" i="16"/>
  <c r="I236" i="16" s="1"/>
  <c r="N387" i="16"/>
  <c r="I387" i="16" s="1"/>
  <c r="Q509" i="16"/>
  <c r="S509" i="16" s="1"/>
  <c r="R509" i="16"/>
  <c r="P509" i="16" s="1"/>
  <c r="N601" i="16"/>
  <c r="I601" i="16" s="1"/>
  <c r="N681" i="16"/>
  <c r="I681" i="16" s="1"/>
  <c r="Q681" i="16"/>
  <c r="S681" i="16" s="1"/>
  <c r="R681" i="16"/>
  <c r="P681" i="16" s="1"/>
  <c r="N754" i="16"/>
  <c r="I754" i="16" s="1"/>
  <c r="N827" i="16"/>
  <c r="I827" i="16" s="1"/>
  <c r="N900" i="16"/>
  <c r="I900" i="16" s="1"/>
  <c r="Q900" i="16"/>
  <c r="S900" i="16" s="1"/>
  <c r="R900" i="16"/>
  <c r="P900" i="16" s="1"/>
  <c r="N971" i="16"/>
  <c r="I971" i="16" s="1"/>
  <c r="N1035" i="16"/>
  <c r="I1035" i="16" s="1"/>
  <c r="Q1035" i="16"/>
  <c r="S1035" i="16" s="1"/>
  <c r="R1035" i="16"/>
  <c r="P1035" i="16" s="1"/>
  <c r="N1099" i="16"/>
  <c r="I1099" i="16" s="1"/>
  <c r="Q1099" i="16"/>
  <c r="S1099" i="16" s="1"/>
  <c r="R1099" i="16"/>
  <c r="P1099" i="16" s="1"/>
  <c r="N1163" i="16"/>
  <c r="I1163" i="16" s="1"/>
  <c r="N1227" i="16"/>
  <c r="I1227" i="16" s="1"/>
  <c r="N1291" i="16"/>
  <c r="I1291" i="16" s="1"/>
  <c r="N1355" i="16"/>
  <c r="I1355" i="16" s="1"/>
  <c r="N1419" i="16"/>
  <c r="I1419" i="16" s="1"/>
  <c r="N1483" i="16"/>
  <c r="I1483" i="16" s="1"/>
  <c r="N1547" i="16"/>
  <c r="I1547" i="16" s="1"/>
  <c r="N1611" i="16"/>
  <c r="I1611" i="16" s="1"/>
  <c r="Q1611" i="16"/>
  <c r="S1611" i="16" s="1"/>
  <c r="R1611" i="16"/>
  <c r="P1611" i="16" s="1"/>
  <c r="N1675" i="16"/>
  <c r="I1675" i="16" s="1"/>
  <c r="Q1675" i="16"/>
  <c r="S1675" i="16" s="1"/>
  <c r="R1675" i="16"/>
  <c r="P1675" i="16" s="1"/>
  <c r="N1739" i="16"/>
  <c r="I1739" i="16" s="1"/>
  <c r="Q1739" i="16"/>
  <c r="S1739" i="16" s="1"/>
  <c r="R1739" i="16"/>
  <c r="P1739" i="16" s="1"/>
  <c r="N1803" i="16"/>
  <c r="I1803" i="16" s="1"/>
  <c r="Q1803" i="16"/>
  <c r="S1803" i="16" s="1"/>
  <c r="R1803" i="16"/>
  <c r="P1803" i="16" s="1"/>
  <c r="N1867" i="16"/>
  <c r="I1867" i="16" s="1"/>
  <c r="N1931" i="16"/>
  <c r="I1931" i="16" s="1"/>
  <c r="Q1931" i="16"/>
  <c r="S1931" i="16" s="1"/>
  <c r="R1931" i="16"/>
  <c r="P1931" i="16" s="1"/>
  <c r="N1995" i="16"/>
  <c r="I1995" i="16" s="1"/>
  <c r="Q1995" i="16"/>
  <c r="S1995" i="16" s="1"/>
  <c r="R1995" i="16"/>
  <c r="P1995" i="16" s="1"/>
  <c r="N2059" i="16"/>
  <c r="I2059" i="16" s="1"/>
  <c r="Q2059" i="16"/>
  <c r="S2059" i="16" s="1"/>
  <c r="R2059" i="16"/>
  <c r="P2059" i="16" s="1"/>
  <c r="N2123" i="16"/>
  <c r="I2123" i="16" s="1"/>
  <c r="N2187" i="16"/>
  <c r="I2187" i="16" s="1"/>
  <c r="N60" i="16"/>
  <c r="I60" i="16" s="1"/>
  <c r="N243" i="16"/>
  <c r="I243" i="16" s="1"/>
  <c r="N390" i="16"/>
  <c r="I390" i="16" s="1"/>
  <c r="Q390" i="16"/>
  <c r="S390" i="16" s="1"/>
  <c r="R390" i="16"/>
  <c r="P390" i="16" s="1"/>
  <c r="N511" i="16"/>
  <c r="I511" i="16" s="1"/>
  <c r="Q511" i="16"/>
  <c r="S511" i="16" s="1"/>
  <c r="R511" i="16"/>
  <c r="P511" i="16" s="1"/>
  <c r="N603" i="16"/>
  <c r="I603" i="16" s="1"/>
  <c r="N683" i="16"/>
  <c r="I683" i="16" s="1"/>
  <c r="Q683" i="16"/>
  <c r="S683" i="16" s="1"/>
  <c r="R683" i="16"/>
  <c r="P683" i="16" s="1"/>
  <c r="N756" i="16"/>
  <c r="I756" i="16" s="1"/>
  <c r="N902" i="16"/>
  <c r="I902" i="16" s="1"/>
  <c r="Q1037" i="16"/>
  <c r="S1037" i="16" s="1"/>
  <c r="R1037" i="16"/>
  <c r="P1037" i="16" s="1"/>
  <c r="Q1421" i="16"/>
  <c r="S1421" i="16" s="1"/>
  <c r="R1421" i="16"/>
  <c r="P1421" i="16" s="1"/>
  <c r="Q1549" i="16"/>
  <c r="S1549" i="16" s="1"/>
  <c r="R1549" i="16"/>
  <c r="P1549" i="16" s="1"/>
  <c r="Q1677" i="16"/>
  <c r="S1677" i="16" s="1"/>
  <c r="R1677" i="16"/>
  <c r="P1677" i="16" s="1"/>
  <c r="Q1741" i="16"/>
  <c r="S1741" i="16" s="1"/>
  <c r="R1741" i="16"/>
  <c r="P1741" i="16" s="1"/>
  <c r="Q1805" i="16"/>
  <c r="S1805" i="16" s="1"/>
  <c r="R1805" i="16"/>
  <c r="P1805" i="16" s="1"/>
  <c r="N38" i="16"/>
  <c r="I38" i="16" s="1"/>
  <c r="N378" i="16"/>
  <c r="I378" i="16" s="1"/>
  <c r="Q378" i="16"/>
  <c r="S378" i="16" s="1"/>
  <c r="R378" i="16"/>
  <c r="P378" i="16" s="1"/>
  <c r="Q501" i="16"/>
  <c r="S501" i="16" s="1"/>
  <c r="R501" i="16"/>
  <c r="P501" i="16" s="1"/>
  <c r="N594" i="16"/>
  <c r="I594" i="16" s="1"/>
  <c r="Q594" i="16"/>
  <c r="S594" i="16" s="1"/>
  <c r="R594" i="16"/>
  <c r="P594" i="16" s="1"/>
  <c r="N675" i="16"/>
  <c r="I675" i="16" s="1"/>
  <c r="Q675" i="16"/>
  <c r="S675" i="16" s="1"/>
  <c r="R675" i="16"/>
  <c r="P675" i="16" s="1"/>
  <c r="N748" i="16"/>
  <c r="I748" i="16" s="1"/>
  <c r="N894" i="16"/>
  <c r="I894" i="16" s="1"/>
  <c r="N966" i="16"/>
  <c r="I966" i="16" s="1"/>
  <c r="Q966" i="16"/>
  <c r="S966" i="16" s="1"/>
  <c r="R966" i="16"/>
  <c r="P966" i="16" s="1"/>
  <c r="N1030" i="16"/>
  <c r="I1030" i="16" s="1"/>
  <c r="Q1030" i="16"/>
  <c r="S1030" i="16" s="1"/>
  <c r="R1030" i="16"/>
  <c r="P1030" i="16" s="1"/>
  <c r="N1094" i="16"/>
  <c r="I1094" i="16" s="1"/>
  <c r="N1158" i="16"/>
  <c r="I1158" i="16" s="1"/>
  <c r="Q1158" i="16"/>
  <c r="S1158" i="16" s="1"/>
  <c r="R1158" i="16"/>
  <c r="P1158" i="16" s="1"/>
  <c r="N1222" i="16"/>
  <c r="I1222" i="16" s="1"/>
  <c r="Q1222" i="16"/>
  <c r="S1222" i="16" s="1"/>
  <c r="R1222" i="16"/>
  <c r="P1222" i="16" s="1"/>
  <c r="N1286" i="16"/>
  <c r="I1286" i="16" s="1"/>
  <c r="Q1286" i="16"/>
  <c r="S1286" i="16" s="1"/>
  <c r="R1286" i="16"/>
  <c r="P1286" i="16" s="1"/>
  <c r="N1350" i="16"/>
  <c r="I1350" i="16" s="1"/>
  <c r="N1414" i="16"/>
  <c r="I1414" i="16" s="1"/>
  <c r="Q1414" i="16"/>
  <c r="S1414" i="16" s="1"/>
  <c r="R1414" i="16"/>
  <c r="P1414" i="16" s="1"/>
  <c r="N1478" i="16"/>
  <c r="I1478" i="16" s="1"/>
  <c r="Q1478" i="16"/>
  <c r="S1478" i="16" s="1"/>
  <c r="R1478" i="16"/>
  <c r="P1478" i="16" s="1"/>
  <c r="N1542" i="16"/>
  <c r="I1542" i="16" s="1"/>
  <c r="Q1542" i="16"/>
  <c r="S1542" i="16" s="1"/>
  <c r="R1542" i="16"/>
  <c r="P1542" i="16" s="1"/>
  <c r="N1606" i="16"/>
  <c r="I1606" i="16" s="1"/>
  <c r="N1670" i="16"/>
  <c r="I1670" i="16" s="1"/>
  <c r="N1734" i="16"/>
  <c r="I1734" i="16" s="1"/>
  <c r="N1798" i="16"/>
  <c r="I1798" i="16" s="1"/>
  <c r="N1862" i="16"/>
  <c r="I1862" i="16" s="1"/>
  <c r="Q1862" i="16"/>
  <c r="S1862" i="16" s="1"/>
  <c r="R1862" i="16"/>
  <c r="P1862" i="16" s="1"/>
  <c r="N1926" i="16"/>
  <c r="I1926" i="16" s="1"/>
  <c r="Q1926" i="16"/>
  <c r="S1926" i="16" s="1"/>
  <c r="R1926" i="16"/>
  <c r="P1926" i="16" s="1"/>
  <c r="N1990" i="16"/>
  <c r="I1990" i="16" s="1"/>
  <c r="N2054" i="16"/>
  <c r="I2054" i="16" s="1"/>
  <c r="N2118" i="16"/>
  <c r="I2118" i="16" s="1"/>
  <c r="Q2118" i="16"/>
  <c r="S2118" i="16" s="1"/>
  <c r="R2118" i="16"/>
  <c r="P2118" i="16" s="1"/>
  <c r="N44" i="16"/>
  <c r="I44" i="16" s="1"/>
  <c r="N225" i="16"/>
  <c r="I225" i="16" s="1"/>
  <c r="N379" i="16"/>
  <c r="I379" i="16" s="1"/>
  <c r="Q379" i="16"/>
  <c r="S379" i="16" s="1"/>
  <c r="R379" i="16"/>
  <c r="P379" i="16" s="1"/>
  <c r="N502" i="16"/>
  <c r="I502" i="16" s="1"/>
  <c r="N596" i="16"/>
  <c r="I596" i="16" s="1"/>
  <c r="Q596" i="16"/>
  <c r="S596" i="16" s="1"/>
  <c r="R596" i="16"/>
  <c r="P596" i="16" s="1"/>
  <c r="N676" i="16"/>
  <c r="I676" i="16" s="1"/>
  <c r="Q749" i="16"/>
  <c r="S749" i="16" s="1"/>
  <c r="R749" i="16"/>
  <c r="P749" i="16" s="1"/>
  <c r="N822" i="16"/>
  <c r="I822" i="16" s="1"/>
  <c r="Q822" i="16"/>
  <c r="S822" i="16" s="1"/>
  <c r="R822" i="16"/>
  <c r="P822" i="16" s="1"/>
  <c r="N895" i="16"/>
  <c r="I895" i="16" s="1"/>
  <c r="Q895" i="16"/>
  <c r="S895" i="16" s="1"/>
  <c r="R895" i="16"/>
  <c r="P895" i="16" s="1"/>
  <c r="N967" i="16"/>
  <c r="I967" i="16" s="1"/>
  <c r="Q967" i="16"/>
  <c r="S967" i="16" s="1"/>
  <c r="R967" i="16"/>
  <c r="P967" i="16" s="1"/>
  <c r="N1031" i="16"/>
  <c r="I1031" i="16" s="1"/>
  <c r="R1031" i="16"/>
  <c r="P1031" i="16" s="1"/>
  <c r="Q1031" i="16"/>
  <c r="S1031" i="16" s="1"/>
  <c r="N1095" i="16"/>
  <c r="I1095" i="16" s="1"/>
  <c r="Q1095" i="16"/>
  <c r="S1095" i="16" s="1"/>
  <c r="R1095" i="16"/>
  <c r="P1095" i="16" s="1"/>
  <c r="N1159" i="16"/>
  <c r="I1159" i="16" s="1"/>
  <c r="N1223" i="16"/>
  <c r="I1223" i="16" s="1"/>
  <c r="N1287" i="16"/>
  <c r="I1287" i="16" s="1"/>
  <c r="N1351" i="16"/>
  <c r="I1351" i="16" s="1"/>
  <c r="Q1351" i="16"/>
  <c r="S1351" i="16" s="1"/>
  <c r="R1351" i="16"/>
  <c r="P1351" i="16" s="1"/>
  <c r="N1415" i="16"/>
  <c r="I1415" i="16" s="1"/>
  <c r="N1479" i="16"/>
  <c r="I1479" i="16" s="1"/>
  <c r="N1543" i="16"/>
  <c r="I1543" i="16" s="1"/>
  <c r="N1607" i="16"/>
  <c r="I1607" i="16" s="1"/>
  <c r="Q1607" i="16"/>
  <c r="S1607" i="16" s="1"/>
  <c r="R1607" i="16"/>
  <c r="P1607" i="16" s="1"/>
  <c r="N1671" i="16"/>
  <c r="I1671" i="16" s="1"/>
  <c r="R1671" i="16"/>
  <c r="P1671" i="16" s="1"/>
  <c r="Q1671" i="16"/>
  <c r="S1671" i="16" s="1"/>
  <c r="N1735" i="16"/>
  <c r="I1735" i="16" s="1"/>
  <c r="Q1735" i="16"/>
  <c r="S1735" i="16" s="1"/>
  <c r="R1735" i="16"/>
  <c r="P1735" i="16" s="1"/>
  <c r="N1799" i="16"/>
  <c r="I1799" i="16" s="1"/>
  <c r="R1799" i="16"/>
  <c r="P1799" i="16" s="1"/>
  <c r="Q1799" i="16"/>
  <c r="S1799" i="16" s="1"/>
  <c r="N1863" i="16"/>
  <c r="I1863" i="16" s="1"/>
  <c r="N1927" i="16"/>
  <c r="I1927" i="16" s="1"/>
  <c r="R1927" i="16"/>
  <c r="P1927" i="16" s="1"/>
  <c r="Q1927" i="16"/>
  <c r="S1927" i="16" s="1"/>
  <c r="N1991" i="16"/>
  <c r="I1991" i="16" s="1"/>
  <c r="Q1991" i="16"/>
  <c r="S1991" i="16" s="1"/>
  <c r="R1991" i="16"/>
  <c r="P1991" i="16" s="1"/>
  <c r="N2055" i="16"/>
  <c r="I2055" i="16" s="1"/>
  <c r="Q2055" i="16"/>
  <c r="S2055" i="16" s="1"/>
  <c r="R2055" i="16"/>
  <c r="P2055" i="16" s="1"/>
  <c r="N2119" i="16"/>
  <c r="I2119" i="16" s="1"/>
  <c r="N2183" i="16"/>
  <c r="I2183" i="16" s="1"/>
  <c r="N162" i="16"/>
  <c r="I162" i="16" s="1"/>
  <c r="Q162" i="16"/>
  <c r="S162" i="16" s="1"/>
  <c r="R162" i="16"/>
  <c r="P162" i="16" s="1"/>
  <c r="N465" i="16"/>
  <c r="I465" i="16" s="1"/>
  <c r="Q465" i="16"/>
  <c r="S465" i="16" s="1"/>
  <c r="R465" i="16"/>
  <c r="P465" i="16" s="1"/>
  <c r="N651" i="16"/>
  <c r="I651" i="16" s="1"/>
  <c r="Q651" i="16"/>
  <c r="S651" i="16" s="1"/>
  <c r="R651" i="16"/>
  <c r="P651" i="16" s="1"/>
  <c r="Q797" i="16"/>
  <c r="S797" i="16" s="1"/>
  <c r="R797" i="16"/>
  <c r="P797" i="16" s="1"/>
  <c r="N943" i="16"/>
  <c r="I943" i="16" s="1"/>
  <c r="N1073" i="16"/>
  <c r="I1073" i="16" s="1"/>
  <c r="N1201" i="16"/>
  <c r="I1201" i="16" s="1"/>
  <c r="N1329" i="16"/>
  <c r="I1329" i="16" s="1"/>
  <c r="Q1329" i="16"/>
  <c r="S1329" i="16" s="1"/>
  <c r="R1329" i="16"/>
  <c r="P1329" i="16" s="1"/>
  <c r="N1457" i="16"/>
  <c r="I1457" i="16" s="1"/>
  <c r="Q1457" i="16"/>
  <c r="S1457" i="16" s="1"/>
  <c r="R1457" i="16"/>
  <c r="P1457" i="16" s="1"/>
  <c r="N1585" i="16"/>
  <c r="I1585" i="16" s="1"/>
  <c r="Q1585" i="16"/>
  <c r="S1585" i="16" s="1"/>
  <c r="R1585" i="16"/>
  <c r="P1585" i="16" s="1"/>
  <c r="N1713" i="16"/>
  <c r="I1713" i="16" s="1"/>
  <c r="N1841" i="16"/>
  <c r="I1841" i="16" s="1"/>
  <c r="Q1841" i="16"/>
  <c r="S1841" i="16" s="1"/>
  <c r="R1841" i="16"/>
  <c r="P1841" i="16" s="1"/>
  <c r="N1946" i="16"/>
  <c r="I1946" i="16" s="1"/>
  <c r="N2049" i="16"/>
  <c r="I2049" i="16" s="1"/>
  <c r="Q2049" i="16"/>
  <c r="S2049" i="16" s="1"/>
  <c r="R2049" i="16"/>
  <c r="P2049" i="16" s="1"/>
  <c r="N2152" i="16"/>
  <c r="I2152" i="16" s="1"/>
  <c r="Q2152" i="16"/>
  <c r="S2152" i="16" s="1"/>
  <c r="R2152" i="16"/>
  <c r="P2152" i="16" s="1"/>
  <c r="N2236" i="16"/>
  <c r="I2236" i="16" s="1"/>
  <c r="N2300" i="16"/>
  <c r="I2300" i="16" s="1"/>
  <c r="Q2300" i="16"/>
  <c r="S2300" i="16" s="1"/>
  <c r="R2300" i="16"/>
  <c r="P2300" i="16" s="1"/>
  <c r="N2364" i="16"/>
  <c r="I2364" i="16" s="1"/>
  <c r="Q2364" i="16"/>
  <c r="S2364" i="16" s="1"/>
  <c r="R2364" i="16"/>
  <c r="P2364" i="16" s="1"/>
  <c r="N2428" i="16"/>
  <c r="I2428" i="16" s="1"/>
  <c r="N2492" i="16"/>
  <c r="I2492" i="16" s="1"/>
  <c r="Q2492" i="16"/>
  <c r="S2492" i="16" s="1"/>
  <c r="R2492" i="16"/>
  <c r="P2492" i="16" s="1"/>
  <c r="N2556" i="16"/>
  <c r="I2556" i="16" s="1"/>
  <c r="N2620" i="16"/>
  <c r="I2620" i="16" s="1"/>
  <c r="N172" i="16"/>
  <c r="I172" i="16" s="1"/>
  <c r="N470" i="16"/>
  <c r="I470" i="16" s="1"/>
  <c r="Q470" i="16"/>
  <c r="S470" i="16" s="1"/>
  <c r="R470" i="16"/>
  <c r="P470" i="16" s="1"/>
  <c r="N654" i="16"/>
  <c r="I654" i="16" s="1"/>
  <c r="Q654" i="16"/>
  <c r="S654" i="16" s="1"/>
  <c r="R654" i="16"/>
  <c r="P654" i="16" s="1"/>
  <c r="N801" i="16"/>
  <c r="I801" i="16" s="1"/>
  <c r="Q801" i="16"/>
  <c r="S801" i="16" s="1"/>
  <c r="R801" i="16"/>
  <c r="P801" i="16" s="1"/>
  <c r="N947" i="16"/>
  <c r="I947" i="16" s="1"/>
  <c r="N1076" i="16"/>
  <c r="I1076" i="16" s="1"/>
  <c r="Q1076" i="16"/>
  <c r="S1076" i="16" s="1"/>
  <c r="R1076" i="16"/>
  <c r="P1076" i="16" s="1"/>
  <c r="N1204" i="16"/>
  <c r="I1204" i="16" s="1"/>
  <c r="Q1204" i="16"/>
  <c r="S1204" i="16" s="1"/>
  <c r="R1204" i="16"/>
  <c r="P1204" i="16" s="1"/>
  <c r="N1332" i="16"/>
  <c r="I1332" i="16" s="1"/>
  <c r="N1460" i="16"/>
  <c r="I1460" i="16" s="1"/>
  <c r="N1588" i="16"/>
  <c r="I1588" i="16" s="1"/>
  <c r="Q1588" i="16"/>
  <c r="S1588" i="16" s="1"/>
  <c r="R1588" i="16"/>
  <c r="P1588" i="16" s="1"/>
  <c r="N1716" i="16"/>
  <c r="I1716" i="16" s="1"/>
  <c r="Q1716" i="16"/>
  <c r="S1716" i="16" s="1"/>
  <c r="R1716" i="16"/>
  <c r="P1716" i="16" s="1"/>
  <c r="N1844" i="16"/>
  <c r="I1844" i="16" s="1"/>
  <c r="Q1949" i="16"/>
  <c r="S1949" i="16" s="1"/>
  <c r="R1949" i="16"/>
  <c r="P1949" i="16" s="1"/>
  <c r="N2052" i="16"/>
  <c r="I2052" i="16" s="1"/>
  <c r="N2154" i="16"/>
  <c r="I2154" i="16" s="1"/>
  <c r="R2154" i="16"/>
  <c r="P2154" i="16" s="1"/>
  <c r="Q2154" i="16"/>
  <c r="S2154" i="16" s="1"/>
  <c r="N2238" i="16"/>
  <c r="I2238" i="16" s="1"/>
  <c r="N2302" i="16"/>
  <c r="I2302" i="16" s="1"/>
  <c r="R2302" i="16"/>
  <c r="P2302" i="16" s="1"/>
  <c r="Q2302" i="16"/>
  <c r="S2302" i="16" s="1"/>
  <c r="N2366" i="16"/>
  <c r="I2366" i="16" s="1"/>
  <c r="R2366" i="16"/>
  <c r="P2366" i="16" s="1"/>
  <c r="Q2366" i="16"/>
  <c r="S2366" i="16" s="1"/>
  <c r="N2430" i="16"/>
  <c r="I2430" i="16" s="1"/>
  <c r="N2494" i="16"/>
  <c r="I2494" i="16" s="1"/>
  <c r="Q2494" i="16"/>
  <c r="S2494" i="16" s="1"/>
  <c r="R2494" i="16"/>
  <c r="P2494" i="16" s="1"/>
  <c r="N2558" i="16"/>
  <c r="I2558" i="16" s="1"/>
  <c r="N2622" i="16"/>
  <c r="I2622" i="16" s="1"/>
  <c r="N478" i="16"/>
  <c r="I478" i="16" s="1"/>
  <c r="Q478" i="16"/>
  <c r="S478" i="16" s="1"/>
  <c r="R478" i="16"/>
  <c r="P478" i="16" s="1"/>
  <c r="N659" i="16"/>
  <c r="I659" i="16" s="1"/>
  <c r="Q659" i="16"/>
  <c r="S659" i="16" s="1"/>
  <c r="R659" i="16"/>
  <c r="P659" i="16" s="1"/>
  <c r="Q805" i="16"/>
  <c r="S805" i="16" s="1"/>
  <c r="R805" i="16"/>
  <c r="P805" i="16" s="1"/>
  <c r="N951" i="16"/>
  <c r="I951" i="16" s="1"/>
  <c r="N1080" i="16"/>
  <c r="I1080" i="16" s="1"/>
  <c r="N1208" i="16"/>
  <c r="I1208" i="16" s="1"/>
  <c r="Q1208" i="16"/>
  <c r="S1208" i="16" s="1"/>
  <c r="R1208" i="16"/>
  <c r="P1208" i="16" s="1"/>
  <c r="N1336" i="16"/>
  <c r="I1336" i="16" s="1"/>
  <c r="Q309" i="16"/>
  <c r="S309" i="16" s="1"/>
  <c r="R309" i="16"/>
  <c r="P309" i="16" s="1"/>
  <c r="N555" i="16"/>
  <c r="I555" i="16" s="1"/>
  <c r="Q555" i="16"/>
  <c r="S555" i="16" s="1"/>
  <c r="R555" i="16"/>
  <c r="P555" i="16" s="1"/>
  <c r="N715" i="16"/>
  <c r="I715" i="16" s="1"/>
  <c r="N1001" i="16"/>
  <c r="I1001" i="16" s="1"/>
  <c r="N1129" i="16"/>
  <c r="I1129" i="16" s="1"/>
  <c r="Q1129" i="16"/>
  <c r="S1129" i="16" s="1"/>
  <c r="R1129" i="16"/>
  <c r="P1129" i="16" s="1"/>
  <c r="N115" i="16"/>
  <c r="I115" i="16" s="1"/>
  <c r="Q115" i="16"/>
  <c r="S115" i="16" s="1"/>
  <c r="R115" i="16"/>
  <c r="P115" i="16" s="1"/>
  <c r="N430" i="16"/>
  <c r="I430" i="16" s="1"/>
  <c r="Q430" i="16"/>
  <c r="S430" i="16" s="1"/>
  <c r="R430" i="16"/>
  <c r="P430" i="16" s="1"/>
  <c r="N628" i="16"/>
  <c r="I628" i="16" s="1"/>
  <c r="Q628" i="16"/>
  <c r="S628" i="16" s="1"/>
  <c r="R628" i="16"/>
  <c r="P628" i="16" s="1"/>
  <c r="N778" i="16"/>
  <c r="I778" i="16" s="1"/>
  <c r="N924" i="16"/>
  <c r="I924" i="16" s="1"/>
  <c r="N1056" i="16"/>
  <c r="I1056" i="16" s="1"/>
  <c r="Q1056" i="16"/>
  <c r="S1056" i="16" s="1"/>
  <c r="R1056" i="16"/>
  <c r="P1056" i="16" s="1"/>
  <c r="N1184" i="16"/>
  <c r="I1184" i="16" s="1"/>
  <c r="N1312" i="16"/>
  <c r="I1312" i="16" s="1"/>
  <c r="N1440" i="16"/>
  <c r="I1440" i="16" s="1"/>
  <c r="Q1440" i="16"/>
  <c r="S1440" i="16" s="1"/>
  <c r="R1440" i="16"/>
  <c r="P1440" i="16" s="1"/>
  <c r="N1568" i="16"/>
  <c r="I1568" i="16" s="1"/>
  <c r="Q1568" i="16"/>
  <c r="S1568" i="16" s="1"/>
  <c r="R1568" i="16"/>
  <c r="P1568" i="16" s="1"/>
  <c r="N1696" i="16"/>
  <c r="I1696" i="16" s="1"/>
  <c r="Q1696" i="16"/>
  <c r="S1696" i="16" s="1"/>
  <c r="R1696" i="16"/>
  <c r="P1696" i="16" s="1"/>
  <c r="N1824" i="16"/>
  <c r="I1824" i="16" s="1"/>
  <c r="N1932" i="16"/>
  <c r="I1932" i="16" s="1"/>
  <c r="N599" i="16"/>
  <c r="I599" i="16" s="1"/>
  <c r="N988" i="16"/>
  <c r="I988" i="16" s="1"/>
  <c r="N1305" i="16"/>
  <c r="I1305" i="16" s="1"/>
  <c r="Q1305" i="16"/>
  <c r="S1305" i="16" s="1"/>
  <c r="R1305" i="16"/>
  <c r="P1305" i="16" s="1"/>
  <c r="N1514" i="16"/>
  <c r="I1514" i="16" s="1"/>
  <c r="N1721" i="16"/>
  <c r="I1721" i="16" s="1"/>
  <c r="N1913" i="16"/>
  <c r="I1913" i="16" s="1"/>
  <c r="N2056" i="16"/>
  <c r="I2056" i="16" s="1"/>
  <c r="N2188" i="16"/>
  <c r="I2188" i="16" s="1"/>
  <c r="Q2188" i="16"/>
  <c r="S2188" i="16" s="1"/>
  <c r="R2188" i="16"/>
  <c r="P2188" i="16" s="1"/>
  <c r="N2282" i="16"/>
  <c r="I2282" i="16" s="1"/>
  <c r="Q2282" i="16"/>
  <c r="S2282" i="16" s="1"/>
  <c r="R2282" i="16"/>
  <c r="P2282" i="16" s="1"/>
  <c r="N2368" i="16"/>
  <c r="I2368" i="16" s="1"/>
  <c r="Q2368" i="16"/>
  <c r="S2368" i="16" s="1"/>
  <c r="R2368" i="16"/>
  <c r="P2368" i="16" s="1"/>
  <c r="Q2453" i="16"/>
  <c r="S2453" i="16" s="1"/>
  <c r="R2453" i="16"/>
  <c r="P2453" i="16" s="1"/>
  <c r="N2538" i="16"/>
  <c r="I2538" i="16" s="1"/>
  <c r="Q2538" i="16"/>
  <c r="S2538" i="16" s="1"/>
  <c r="R2538" i="16"/>
  <c r="P2538" i="16" s="1"/>
  <c r="N2624" i="16"/>
  <c r="I2624" i="16" s="1"/>
  <c r="N484" i="16"/>
  <c r="I484" i="16" s="1"/>
  <c r="N908" i="16"/>
  <c r="I908" i="16" s="1"/>
  <c r="N1244" i="16"/>
  <c r="I1244" i="16" s="1"/>
  <c r="N1468" i="16"/>
  <c r="I1468" i="16" s="1"/>
  <c r="Q1468" i="16"/>
  <c r="S1468" i="16" s="1"/>
  <c r="R1468" i="16"/>
  <c r="P1468" i="16" s="1"/>
  <c r="N1674" i="16"/>
  <c r="I1674" i="16" s="1"/>
  <c r="N1876" i="16"/>
  <c r="I1876" i="16" s="1"/>
  <c r="N2025" i="16"/>
  <c r="I2025" i="16" s="1"/>
  <c r="Q2025" i="16"/>
  <c r="S2025" i="16" s="1"/>
  <c r="R2025" i="16"/>
  <c r="P2025" i="16" s="1"/>
  <c r="N2161" i="16"/>
  <c r="I2161" i="16" s="1"/>
  <c r="N2264" i="16"/>
  <c r="I2264" i="16" s="1"/>
  <c r="Q2264" i="16"/>
  <c r="S2264" i="16" s="1"/>
  <c r="R2264" i="16"/>
  <c r="P2264" i="16" s="1"/>
  <c r="Q2349" i="16"/>
  <c r="S2349" i="16" s="1"/>
  <c r="R2349" i="16"/>
  <c r="P2349" i="16" s="1"/>
  <c r="N2434" i="16"/>
  <c r="I2434" i="16" s="1"/>
  <c r="N2520" i="16"/>
  <c r="I2520" i="16" s="1"/>
  <c r="Q2605" i="16"/>
  <c r="S2605" i="16" s="1"/>
  <c r="R2605" i="16"/>
  <c r="P2605" i="16" s="1"/>
  <c r="N316" i="16"/>
  <c r="I316" i="16" s="1"/>
  <c r="Q316" i="16"/>
  <c r="S316" i="16" s="1"/>
  <c r="R316" i="16"/>
  <c r="P316" i="16" s="1"/>
  <c r="N817" i="16"/>
  <c r="I817" i="16" s="1"/>
  <c r="N1178" i="16"/>
  <c r="I1178" i="16" s="1"/>
  <c r="N1420" i="16"/>
  <c r="I1420" i="16" s="1"/>
  <c r="Q1420" i="16"/>
  <c r="S1420" i="16" s="1"/>
  <c r="R1420" i="16"/>
  <c r="P1420" i="16" s="1"/>
  <c r="N1626" i="16"/>
  <c r="I1626" i="16" s="1"/>
  <c r="N1833" i="16"/>
  <c r="I1833" i="16" s="1"/>
  <c r="Q1833" i="16"/>
  <c r="S1833" i="16" s="1"/>
  <c r="R1833" i="16"/>
  <c r="P1833" i="16" s="1"/>
  <c r="N1993" i="16"/>
  <c r="I1993" i="16" s="1"/>
  <c r="Q1993" i="16"/>
  <c r="S1993" i="16" s="1"/>
  <c r="R1993" i="16"/>
  <c r="P1993" i="16" s="1"/>
  <c r="N2130" i="16"/>
  <c r="I2130" i="16" s="1"/>
  <c r="Q2130" i="16"/>
  <c r="S2130" i="16" s="1"/>
  <c r="R2130" i="16"/>
  <c r="P2130" i="16" s="1"/>
  <c r="N2243" i="16"/>
  <c r="I2243" i="16" s="1"/>
  <c r="Q2243" i="16"/>
  <c r="S2243" i="16" s="1"/>
  <c r="R2243" i="16"/>
  <c r="P2243" i="16" s="1"/>
  <c r="N2329" i="16"/>
  <c r="I2329" i="16" s="1"/>
  <c r="N2415" i="16"/>
  <c r="I2415" i="16" s="1"/>
  <c r="N2499" i="16"/>
  <c r="I2499" i="16" s="1"/>
  <c r="Q2499" i="16"/>
  <c r="S2499" i="16" s="1"/>
  <c r="R2499" i="16"/>
  <c r="P2499" i="16" s="1"/>
  <c r="N2585" i="16"/>
  <c r="I2585" i="16" s="1"/>
  <c r="N102" i="16"/>
  <c r="I102" i="16" s="1"/>
  <c r="N1098" i="16"/>
  <c r="I1098" i="16" s="1"/>
  <c r="N1372" i="16"/>
  <c r="I1372" i="16" s="1"/>
  <c r="Q1372" i="16"/>
  <c r="S1372" i="16" s="1"/>
  <c r="R1372" i="16"/>
  <c r="P1372" i="16" s="1"/>
  <c r="N1578" i="16"/>
  <c r="I1578" i="16" s="1"/>
  <c r="N1785" i="16"/>
  <c r="I1785" i="16" s="1"/>
  <c r="Q1785" i="16"/>
  <c r="S1785" i="16" s="1"/>
  <c r="R1785" i="16"/>
  <c r="P1785" i="16" s="1"/>
  <c r="N1961" i="16"/>
  <c r="I1961" i="16" s="1"/>
  <c r="N2097" i="16"/>
  <c r="I2097" i="16" s="1"/>
  <c r="Q2097" i="16"/>
  <c r="S2097" i="16" s="1"/>
  <c r="R2097" i="16"/>
  <c r="P2097" i="16" s="1"/>
  <c r="N2223" i="16"/>
  <c r="I2223" i="16" s="1"/>
  <c r="Q2223" i="16"/>
  <c r="S2223" i="16" s="1"/>
  <c r="R2223" i="16"/>
  <c r="P2223" i="16" s="1"/>
  <c r="N2394" i="16"/>
  <c r="I2394" i="16" s="1"/>
  <c r="N2480" i="16"/>
  <c r="I2480" i="16" s="1"/>
  <c r="Q2565" i="16"/>
  <c r="S2565" i="16" s="1"/>
  <c r="R2565" i="16"/>
  <c r="P2565" i="16" s="1"/>
  <c r="N2650" i="16"/>
  <c r="I2650" i="16" s="1"/>
  <c r="R2650" i="16"/>
  <c r="P2650" i="16" s="1"/>
  <c r="Q2650" i="16"/>
  <c r="S2650" i="16" s="1"/>
  <c r="N644" i="16"/>
  <c r="I644" i="16" s="1"/>
  <c r="Q644" i="16"/>
  <c r="S644" i="16" s="1"/>
  <c r="R644" i="16"/>
  <c r="P644" i="16" s="1"/>
  <c r="N1026" i="16"/>
  <c r="I1026" i="16" s="1"/>
  <c r="Q1026" i="16"/>
  <c r="S1026" i="16" s="1"/>
  <c r="R1026" i="16"/>
  <c r="P1026" i="16" s="1"/>
  <c r="N1330" i="16"/>
  <c r="I1330" i="16" s="1"/>
  <c r="N1538" i="16"/>
  <c r="I1538" i="16" s="1"/>
  <c r="Q1538" i="16"/>
  <c r="S1538" i="16" s="1"/>
  <c r="R1538" i="16"/>
  <c r="P1538" i="16" s="1"/>
  <c r="N1740" i="16"/>
  <c r="I1740" i="16" s="1"/>
  <c r="N1929" i="16"/>
  <c r="I1929" i="16" s="1"/>
  <c r="Q1929" i="16"/>
  <c r="S1929" i="16" s="1"/>
  <c r="R1929" i="16"/>
  <c r="P1929" i="16" s="1"/>
  <c r="N2201" i="16"/>
  <c r="I2201" i="16" s="1"/>
  <c r="Q2201" i="16"/>
  <c r="S2201" i="16" s="1"/>
  <c r="R2201" i="16"/>
  <c r="P2201" i="16" s="1"/>
  <c r="N2291" i="16"/>
  <c r="I2291" i="16" s="1"/>
  <c r="N2377" i="16"/>
  <c r="I2377" i="16" s="1"/>
  <c r="Q2377" i="16"/>
  <c r="S2377" i="16" s="1"/>
  <c r="R2377" i="16"/>
  <c r="P2377" i="16" s="1"/>
  <c r="N2463" i="16"/>
  <c r="I2463" i="16" s="1"/>
  <c r="N2547" i="16"/>
  <c r="I2547" i="16" s="1"/>
  <c r="N2633" i="16"/>
  <c r="I2633" i="16" s="1"/>
  <c r="Q2633" i="16"/>
  <c r="S2633" i="16" s="1"/>
  <c r="R2633" i="16"/>
  <c r="P2633" i="16" s="1"/>
  <c r="N994" i="16"/>
  <c r="I994" i="16" s="1"/>
  <c r="N1658" i="16"/>
  <c r="I1658" i="16" s="1"/>
  <c r="Q2101" i="16"/>
  <c r="S2101" i="16" s="1"/>
  <c r="R2101" i="16"/>
  <c r="P2101" i="16" s="1"/>
  <c r="N2369" i="16"/>
  <c r="I2369" i="16" s="1"/>
  <c r="N2599" i="16"/>
  <c r="I2599" i="16" s="1"/>
  <c r="N1020" i="16"/>
  <c r="I1020" i="16" s="1"/>
  <c r="N1673" i="16"/>
  <c r="I1673" i="16" s="1"/>
  <c r="Q1673" i="16"/>
  <c r="S1673" i="16" s="1"/>
  <c r="R1673" i="16"/>
  <c r="P1673" i="16" s="1"/>
  <c r="N2376" i="16"/>
  <c r="I2376" i="16" s="1"/>
  <c r="N2603" i="16"/>
  <c r="I2603" i="16" s="1"/>
  <c r="N1148" i="16"/>
  <c r="I1148" i="16" s="1"/>
  <c r="N1752" i="16"/>
  <c r="I1752" i="16" s="1"/>
  <c r="Q1752" i="16"/>
  <c r="S1752" i="16" s="1"/>
  <c r="R1752" i="16"/>
  <c r="P1752" i="16" s="1"/>
  <c r="N2169" i="16"/>
  <c r="I2169" i="16" s="1"/>
  <c r="N2408" i="16"/>
  <c r="I2408" i="16" s="1"/>
  <c r="N2635" i="16"/>
  <c r="I2635" i="16" s="1"/>
  <c r="Q2635" i="16"/>
  <c r="S2635" i="16" s="1"/>
  <c r="R2635" i="16"/>
  <c r="P2635" i="16" s="1"/>
  <c r="N1164" i="16"/>
  <c r="I1164" i="16" s="1"/>
  <c r="N1762" i="16"/>
  <c r="I1762" i="16" s="1"/>
  <c r="Q1762" i="16"/>
  <c r="S1762" i="16" s="1"/>
  <c r="R1762" i="16"/>
  <c r="P1762" i="16" s="1"/>
  <c r="N2170" i="16"/>
  <c r="I2170" i="16" s="1"/>
  <c r="Q2170" i="16"/>
  <c r="S2170" i="16" s="1"/>
  <c r="R2170" i="16"/>
  <c r="P2170" i="16" s="1"/>
  <c r="N2411" i="16"/>
  <c r="I2411" i="16" s="1"/>
  <c r="Q2411" i="16"/>
  <c r="S2411" i="16" s="1"/>
  <c r="R2411" i="16"/>
  <c r="P2411" i="16" s="1"/>
  <c r="N2641" i="16"/>
  <c r="I2641" i="16" s="1"/>
  <c r="N1210" i="16"/>
  <c r="I1210" i="16" s="1"/>
  <c r="Q1210" i="16"/>
  <c r="S1210" i="16" s="1"/>
  <c r="R1210" i="16"/>
  <c r="P1210" i="16" s="1"/>
  <c r="N1786" i="16"/>
  <c r="I1786" i="16" s="1"/>
  <c r="N2184" i="16"/>
  <c r="I2184" i="16" s="1"/>
  <c r="Q2184" i="16"/>
  <c r="S2184" i="16" s="1"/>
  <c r="R2184" i="16"/>
  <c r="P2184" i="16" s="1"/>
  <c r="N2423" i="16"/>
  <c r="I2423" i="16" s="1"/>
  <c r="Q2423" i="16"/>
  <c r="S2423" i="16" s="1"/>
  <c r="R2423" i="16"/>
  <c r="P2423" i="16" s="1"/>
  <c r="N2651" i="16"/>
  <c r="I2651" i="16" s="1"/>
  <c r="N1970" i="16"/>
  <c r="I1970" i="16" s="1"/>
  <c r="N188" i="16"/>
  <c r="I188" i="16" s="1"/>
  <c r="N755" i="16"/>
  <c r="I755" i="16" s="1"/>
  <c r="Q755" i="16"/>
  <c r="S755" i="16" s="1"/>
  <c r="R755" i="16"/>
  <c r="P755" i="16" s="1"/>
  <c r="N2247" i="16"/>
  <c r="I2247" i="16" s="1"/>
  <c r="Q2247" i="16"/>
  <c r="S2247" i="16" s="1"/>
  <c r="R2247" i="16"/>
  <c r="P2247" i="16" s="1"/>
  <c r="N1122" i="16"/>
  <c r="I1122" i="16" s="1"/>
  <c r="Q1122" i="16"/>
  <c r="S1122" i="16" s="1"/>
  <c r="R1122" i="16"/>
  <c r="P1122" i="16" s="1"/>
  <c r="N2331" i="16"/>
  <c r="I2331" i="16" s="1"/>
  <c r="N1433" i="16"/>
  <c r="I1433" i="16" s="1"/>
  <c r="Q2429" i="16"/>
  <c r="S2429" i="16" s="1"/>
  <c r="R2429" i="16"/>
  <c r="P2429" i="16" s="1"/>
  <c r="N2487" i="16"/>
  <c r="I2487" i="16" s="1"/>
  <c r="Q2487" i="16"/>
  <c r="S2487" i="16" s="1"/>
  <c r="R2487" i="16"/>
  <c r="P2487" i="16" s="1"/>
  <c r="N1768" i="16"/>
  <c r="I1768" i="16" s="1"/>
  <c r="Q1768" i="16"/>
  <c r="S1768" i="16" s="1"/>
  <c r="R1768" i="16"/>
  <c r="P1768" i="16" s="1"/>
  <c r="N2417" i="16"/>
  <c r="I2417" i="16" s="1"/>
  <c r="N1018" i="16"/>
  <c r="I1018" i="16" s="1"/>
  <c r="Q1925" i="16"/>
  <c r="S1925" i="16" s="1"/>
  <c r="R1925" i="16"/>
  <c r="P1925" i="16" s="1"/>
  <c r="N1772" i="16"/>
  <c r="I1772" i="16" s="1"/>
  <c r="Q1772" i="16"/>
  <c r="S1772" i="16" s="1"/>
  <c r="R1772" i="16"/>
  <c r="P1772" i="16" s="1"/>
  <c r="T2487" i="16" l="1"/>
  <c r="T1875" i="16"/>
  <c r="T125" i="16"/>
  <c r="T2431" i="16"/>
  <c r="T1153" i="16"/>
  <c r="T721" i="16"/>
  <c r="T1141" i="16"/>
  <c r="T653" i="16"/>
  <c r="T129" i="16"/>
  <c r="T2260" i="16"/>
  <c r="T1228" i="16"/>
  <c r="T1058" i="16"/>
  <c r="T801" i="16"/>
  <c r="T1329" i="16"/>
  <c r="T967" i="16"/>
  <c r="T1030" i="16"/>
  <c r="T1234" i="16"/>
  <c r="T1774" i="16"/>
  <c r="T472" i="16"/>
  <c r="T1404" i="16"/>
  <c r="T2395" i="16"/>
  <c r="T1262" i="16"/>
  <c r="T1653" i="16"/>
  <c r="T405" i="16"/>
  <c r="T528" i="16"/>
  <c r="T2493" i="16"/>
  <c r="T547" i="16"/>
  <c r="T1542" i="16"/>
  <c r="T611" i="16"/>
  <c r="T2411" i="16"/>
  <c r="T900" i="16"/>
  <c r="T2565" i="16"/>
  <c r="T1991" i="16"/>
  <c r="T1741" i="16"/>
  <c r="T511" i="16"/>
  <c r="T1931" i="16"/>
  <c r="T2227" i="16"/>
  <c r="T229" i="16"/>
  <c r="T1432" i="16"/>
  <c r="T2235" i="16"/>
  <c r="T1566" i="16"/>
  <c r="T409" i="16"/>
  <c r="T453" i="16"/>
  <c r="T2207" i="16"/>
  <c r="T1183" i="16"/>
  <c r="T1054" i="16"/>
  <c r="T1799" i="16"/>
  <c r="T2097" i="16"/>
  <c r="T577" i="16"/>
  <c r="T347" i="16"/>
  <c r="T1052" i="16"/>
  <c r="T530" i="16"/>
  <c r="T1444" i="16"/>
  <c r="T2292" i="16"/>
  <c r="T1057" i="16"/>
  <c r="T1983" i="16"/>
  <c r="T1534" i="16"/>
  <c r="T1797" i="16"/>
  <c r="T1987" i="16"/>
  <c r="T214" i="16"/>
  <c r="T493" i="16"/>
  <c r="T544" i="16"/>
  <c r="T272" i="16"/>
  <c r="T255" i="16"/>
  <c r="T969" i="16"/>
  <c r="T915" i="16"/>
  <c r="T1553" i="16"/>
  <c r="T1783" i="16"/>
  <c r="T1271" i="16"/>
  <c r="T1846" i="16"/>
  <c r="T738" i="16"/>
  <c r="T882" i="16"/>
  <c r="T792" i="16"/>
  <c r="T2642" i="16"/>
  <c r="T2041" i="16"/>
  <c r="T2337" i="16"/>
  <c r="T2551" i="16"/>
  <c r="T2362" i="16"/>
  <c r="T1392" i="16"/>
  <c r="T2598" i="16"/>
  <c r="T1025" i="16"/>
  <c r="T1839" i="16"/>
  <c r="T1327" i="16"/>
  <c r="T1710" i="16"/>
  <c r="T646" i="16"/>
  <c r="T1651" i="16"/>
  <c r="T1139" i="16"/>
  <c r="T13" i="16"/>
  <c r="T622" i="16"/>
  <c r="T377" i="16"/>
  <c r="T35" i="16"/>
  <c r="T384" i="16"/>
  <c r="T2477" i="16"/>
  <c r="T2306" i="16"/>
  <c r="T1956" i="16"/>
  <c r="T2184" i="16"/>
  <c r="T1762" i="16"/>
  <c r="T2201" i="16"/>
  <c r="T2368" i="16"/>
  <c r="T555" i="16"/>
  <c r="T1208" i="16"/>
  <c r="T2049" i="16"/>
  <c r="T651" i="16"/>
  <c r="T1351" i="16"/>
  <c r="T822" i="16"/>
  <c r="T596" i="16"/>
  <c r="T1926" i="16"/>
  <c r="T1414" i="16"/>
  <c r="T675" i="16"/>
  <c r="T378" i="16"/>
  <c r="T1805" i="16"/>
  <c r="T1549" i="16"/>
  <c r="T1037" i="16"/>
  <c r="T1803" i="16"/>
  <c r="T216" i="16"/>
  <c r="T1689" i="16"/>
  <c r="T2112" i="16"/>
  <c r="T2594" i="16"/>
  <c r="T1920" i="16"/>
  <c r="T2358" i="16"/>
  <c r="T2548" i="16"/>
  <c r="T2138" i="16"/>
  <c r="T1825" i="16"/>
  <c r="T1855" i="16"/>
  <c r="T1343" i="16"/>
  <c r="T813" i="16"/>
  <c r="T1918" i="16"/>
  <c r="T1406" i="16"/>
  <c r="T1605" i="16"/>
  <c r="T1347" i="16"/>
  <c r="T818" i="16"/>
  <c r="T127" i="16"/>
  <c r="T2073" i="16"/>
  <c r="T1418" i="16"/>
  <c r="T1241" i="16"/>
  <c r="T1280" i="16"/>
  <c r="T678" i="16"/>
  <c r="T618" i="16"/>
  <c r="T2606" i="16"/>
  <c r="T2350" i="16"/>
  <c r="T2540" i="16"/>
  <c r="T2567" i="16"/>
  <c r="T2017" i="16"/>
  <c r="T2441" i="16"/>
  <c r="T938" i="16"/>
  <c r="T2544" i="16"/>
  <c r="T1536" i="16"/>
  <c r="T1772" i="16"/>
  <c r="T2247" i="16"/>
  <c r="T1210" i="16"/>
  <c r="T2635" i="16"/>
  <c r="T2223" i="16"/>
  <c r="T2243" i="16"/>
  <c r="T316" i="16"/>
  <c r="T1468" i="16"/>
  <c r="T2453" i="16"/>
  <c r="T2188" i="16"/>
  <c r="T478" i="16"/>
  <c r="T1927" i="16"/>
  <c r="T263" i="16"/>
  <c r="T2144" i="16"/>
  <c r="T2609" i="16"/>
  <c r="T2347" i="16"/>
  <c r="T2057" i="16"/>
  <c r="T2298" i="16"/>
  <c r="T2489" i="16"/>
  <c r="T402" i="16"/>
  <c r="T2354" i="16"/>
  <c r="T1529" i="16"/>
  <c r="T2479" i="16"/>
  <c r="T467" i="16"/>
  <c r="T2221" i="16"/>
  <c r="T1924" i="16"/>
  <c r="T2284" i="16"/>
  <c r="T1041" i="16"/>
  <c r="T2039" i="16"/>
  <c r="T1527" i="16"/>
  <c r="T1590" i="16"/>
  <c r="T1078" i="16"/>
  <c r="T876" i="16"/>
  <c r="T1085" i="16"/>
  <c r="T2519" i="16"/>
  <c r="T1464" i="16"/>
  <c r="T723" i="16"/>
  <c r="T1160" i="16"/>
  <c r="T45" i="16"/>
  <c r="T2310" i="16"/>
  <c r="T1476" i="16"/>
  <c r="T2164" i="16"/>
  <c r="T1857" i="16"/>
  <c r="T1743" i="16"/>
  <c r="T685" i="16"/>
  <c r="T396" i="16"/>
  <c r="T1294" i="16"/>
  <c r="T757" i="16"/>
  <c r="T2003" i="16"/>
  <c r="T979" i="16"/>
  <c r="T763" i="16"/>
  <c r="T1498" i="16"/>
  <c r="T2656" i="16"/>
  <c r="T1885" i="16"/>
  <c r="T2213" i="16"/>
  <c r="T2251" i="16"/>
  <c r="T2351" i="16"/>
  <c r="T1074" i="16"/>
  <c r="T1216" i="16"/>
  <c r="T1033" i="16"/>
  <c r="T977" i="16"/>
  <c r="T2007" i="16"/>
  <c r="T1750" i="16"/>
  <c r="T2011" i="16"/>
  <c r="T1499" i="16"/>
  <c r="T987" i="16"/>
  <c r="T772" i="16"/>
  <c r="T632" i="16"/>
  <c r="T23" i="16"/>
  <c r="T2231" i="16"/>
  <c r="T1068" i="16"/>
  <c r="T2320" i="16"/>
  <c r="T1858" i="16"/>
  <c r="T2445" i="16"/>
  <c r="T1871" i="16"/>
  <c r="T606" i="16"/>
  <c r="T1934" i="16"/>
  <c r="T1422" i="16"/>
  <c r="T1619" i="16"/>
  <c r="T1107" i="16"/>
  <c r="T816" i="16"/>
  <c r="T15" i="16"/>
  <c r="T2066" i="16"/>
  <c r="T1354" i="16"/>
  <c r="T2438" i="16"/>
  <c r="T964" i="16"/>
  <c r="T1345" i="16"/>
  <c r="T1999" i="16"/>
  <c r="T975" i="16"/>
  <c r="T2062" i="16"/>
  <c r="T1747" i="16"/>
  <c r="T1235" i="16"/>
  <c r="T403" i="16"/>
  <c r="T944" i="16"/>
  <c r="T160" i="16"/>
  <c r="T143" i="16"/>
  <c r="T1147" i="16"/>
  <c r="T483" i="16"/>
  <c r="T536" i="16"/>
  <c r="T2529" i="16"/>
  <c r="T1698" i="16"/>
  <c r="T2322" i="16"/>
  <c r="T602" i="16"/>
  <c r="T2345" i="16"/>
  <c r="T2573" i="16"/>
  <c r="T1202" i="16"/>
  <c r="T897" i="16"/>
  <c r="T2013" i="16"/>
  <c r="T1668" i="16"/>
  <c r="T2596" i="16"/>
  <c r="T2631" i="16"/>
  <c r="T1641" i="16"/>
  <c r="T2266" i="16"/>
  <c r="T1257" i="16"/>
  <c r="T2371" i="16"/>
  <c r="T2122" i="16"/>
  <c r="T1881" i="16"/>
  <c r="T1272" i="16"/>
  <c r="T2215" i="16"/>
  <c r="T2023" i="16"/>
  <c r="T1511" i="16"/>
  <c r="T1062" i="16"/>
  <c r="T443" i="16"/>
  <c r="T1837" i="16"/>
  <c r="T1325" i="16"/>
  <c r="T1069" i="16"/>
  <c r="T1643" i="16"/>
  <c r="T1131" i="16"/>
  <c r="T648" i="16"/>
  <c r="T39" i="16"/>
  <c r="T2455" i="16"/>
  <c r="T2495" i="16"/>
  <c r="T2531" i="16"/>
  <c r="T2106" i="16"/>
  <c r="T860" i="16"/>
  <c r="T2186" i="16"/>
  <c r="T1249" i="16"/>
  <c r="T2143" i="16"/>
  <c r="T1631" i="16"/>
  <c r="T1119" i="16"/>
  <c r="T109" i="16"/>
  <c r="T2014" i="16"/>
  <c r="T1502" i="16"/>
  <c r="T284" i="16"/>
  <c r="T1509" i="16"/>
  <c r="T2538" i="16"/>
  <c r="T2282" i="16"/>
  <c r="T1056" i="16"/>
  <c r="T309" i="16"/>
  <c r="T659" i="16"/>
  <c r="T2377" i="16"/>
  <c r="T644" i="16"/>
  <c r="T1696" i="16"/>
  <c r="T628" i="16"/>
  <c r="T1076" i="16"/>
  <c r="T2364" i="16"/>
  <c r="T1585" i="16"/>
  <c r="T1607" i="16"/>
  <c r="T1095" i="16"/>
  <c r="T1158" i="16"/>
  <c r="T1677" i="16"/>
  <c r="T1421" i="16"/>
  <c r="T1752" i="16"/>
  <c r="T1929" i="16"/>
  <c r="T2300" i="16"/>
  <c r="T1457" i="16"/>
  <c r="T2055" i="16"/>
  <c r="T2118" i="16"/>
  <c r="T1995" i="16"/>
  <c r="T650" i="16"/>
  <c r="T680" i="16"/>
  <c r="T177" i="16"/>
  <c r="T2418" i="16"/>
  <c r="T2356" i="16"/>
  <c r="T1185" i="16"/>
  <c r="T779" i="16"/>
  <c r="T117" i="16"/>
  <c r="T2145" i="16"/>
  <c r="T2613" i="16"/>
  <c r="T1540" i="16"/>
  <c r="T373" i="16"/>
  <c r="T2532" i="16"/>
  <c r="T1977" i="16"/>
  <c r="T2424" i="16"/>
  <c r="T683" i="16"/>
  <c r="T2059" i="16"/>
  <c r="T1035" i="16"/>
  <c r="T689" i="16"/>
  <c r="T2136" i="16"/>
  <c r="T2589" i="16"/>
  <c r="T2120" i="16"/>
  <c r="T1609" i="16"/>
  <c r="T1513" i="16"/>
  <c r="T1400" i="16"/>
  <c r="T2442" i="16"/>
  <c r="T2037" i="16"/>
  <c r="T1490" i="16"/>
  <c r="T1424" i="16"/>
  <c r="T843" i="16"/>
  <c r="T1700" i="16"/>
  <c r="T634" i="16"/>
  <c r="T2420" i="16"/>
  <c r="T1313" i="16"/>
  <c r="T1599" i="16"/>
  <c r="T1087" i="16"/>
  <c r="T19" i="16"/>
  <c r="T1662" i="16"/>
  <c r="T201" i="16"/>
  <c r="T1733" i="16"/>
  <c r="T747" i="16"/>
  <c r="T1603" i="16"/>
  <c r="T497" i="16"/>
  <c r="T401" i="16"/>
  <c r="T400" i="16"/>
  <c r="T2611" i="16"/>
  <c r="T1010" i="16"/>
  <c r="T1625" i="16"/>
  <c r="T2125" i="16"/>
  <c r="T1809" i="16"/>
  <c r="T761" i="16"/>
  <c r="T1462" i="16"/>
  <c r="T730" i="16"/>
  <c r="T474" i="16"/>
  <c r="T1853" i="16"/>
  <c r="T1149" i="16"/>
  <c r="T884" i="16"/>
  <c r="T2043" i="16"/>
  <c r="T1531" i="16"/>
  <c r="T1019" i="16"/>
  <c r="T353" i="16"/>
  <c r="T141" i="16"/>
  <c r="T119" i="16"/>
  <c r="T2196" i="16"/>
  <c r="T642" i="16"/>
  <c r="T1706" i="16"/>
  <c r="T679" i="16"/>
  <c r="T2615" i="16"/>
  <c r="T1889" i="16"/>
  <c r="T1908" i="16"/>
  <c r="T889" i="16"/>
  <c r="T1263" i="16"/>
  <c r="T2158" i="16"/>
  <c r="T563" i="16"/>
  <c r="T1461" i="16"/>
  <c r="T948" i="16"/>
  <c r="T173" i="16"/>
  <c r="T2099" i="16"/>
  <c r="T1023" i="16"/>
  <c r="T1598" i="16"/>
  <c r="T893" i="16"/>
  <c r="T2051" i="16"/>
  <c r="T567" i="16"/>
  <c r="T394" i="16"/>
  <c r="T1664" i="16"/>
  <c r="T1097" i="16"/>
  <c r="T1048" i="16"/>
  <c r="T2045" i="16"/>
  <c r="T569" i="16"/>
  <c r="T2140" i="16"/>
  <c r="T480" i="16"/>
  <c r="T2470" i="16"/>
  <c r="T1793" i="16"/>
  <c r="T25" i="16"/>
  <c r="T323" i="16"/>
  <c r="T2094" i="16"/>
  <c r="T1582" i="16"/>
  <c r="T1070" i="16"/>
  <c r="T459" i="16"/>
  <c r="T2035" i="16"/>
  <c r="T1523" i="16"/>
  <c r="T149" i="16"/>
  <c r="T286" i="16"/>
  <c r="T239" i="16"/>
  <c r="T2459" i="16"/>
  <c r="T481" i="16"/>
  <c r="T2591" i="16"/>
  <c r="T1120" i="16"/>
  <c r="T449" i="16"/>
  <c r="T345" i="16"/>
  <c r="T2462" i="16"/>
  <c r="T2269" i="16"/>
  <c r="T1936" i="16"/>
  <c r="T962" i="16"/>
  <c r="T2552" i="16"/>
  <c r="T2296" i="16"/>
  <c r="T753" i="16"/>
  <c r="T417" i="16"/>
  <c r="T2324" i="16"/>
  <c r="T1505" i="16"/>
  <c r="T290" i="16"/>
  <c r="T1759" i="16"/>
  <c r="T1247" i="16"/>
  <c r="T2142" i="16"/>
  <c r="T775" i="16"/>
  <c r="T538" i="16"/>
  <c r="T930" i="16"/>
  <c r="T1251" i="16"/>
  <c r="T604" i="16"/>
  <c r="T121" i="16"/>
  <c r="T832" i="16"/>
  <c r="T31" i="16"/>
  <c r="T1378" i="16"/>
  <c r="T2370" i="16"/>
  <c r="T2474" i="16"/>
  <c r="T51" i="16"/>
  <c r="T960" i="16"/>
  <c r="T2638" i="16"/>
  <c r="T2092" i="16"/>
  <c r="T1817" i="16"/>
  <c r="T2407" i="16"/>
  <c r="T1337" i="16"/>
  <c r="T1145" i="16"/>
  <c r="T2648" i="16"/>
  <c r="T1898" i="16"/>
  <c r="T1896" i="16"/>
  <c r="T932" i="16"/>
  <c r="T998" i="16"/>
  <c r="T301" i="16"/>
  <c r="T1579" i="16"/>
  <c r="T305" i="16"/>
  <c r="T49" i="16"/>
  <c r="T487" i="16"/>
  <c r="T2174" i="16"/>
  <c r="T1801" i="16"/>
  <c r="T147" i="16"/>
  <c r="T2416" i="16"/>
  <c r="T2132" i="16"/>
  <c r="T2607" i="16"/>
  <c r="T917" i="16"/>
  <c r="T2199" i="16"/>
  <c r="T1687" i="16"/>
  <c r="T1175" i="16"/>
  <c r="T913" i="16"/>
  <c r="T1629" i="16"/>
  <c r="T1117" i="16"/>
  <c r="T2203" i="16"/>
  <c r="T1179" i="16"/>
  <c r="T824" i="16"/>
  <c r="T2255" i="16"/>
  <c r="T419" i="16"/>
  <c r="T1276" i="16"/>
  <c r="T2352" i="16"/>
  <c r="T1480" i="16"/>
  <c r="T2457" i="16"/>
  <c r="T2211" i="16"/>
  <c r="T1187" i="16"/>
  <c r="T294" i="16"/>
  <c r="T768" i="16"/>
  <c r="T180" i="16"/>
  <c r="T479" i="16"/>
  <c r="T2440" i="16"/>
  <c r="T2625" i="16"/>
  <c r="T1200" i="16"/>
  <c r="T1017" i="16"/>
  <c r="T1412" i="16"/>
  <c r="T2468" i="16"/>
  <c r="T2562" i="16"/>
  <c r="T1777" i="16"/>
  <c r="T724" i="16"/>
  <c r="T1958" i="16"/>
  <c r="T1446" i="16"/>
  <c r="T931" i="16"/>
  <c r="T1645" i="16"/>
  <c r="T1133" i="16"/>
  <c r="T1515" i="16"/>
  <c r="T520" i="16"/>
  <c r="T440" i="16"/>
  <c r="T2557" i="16"/>
  <c r="T1530" i="16"/>
  <c r="T1410" i="16"/>
  <c r="T2326" i="16"/>
  <c r="T2090" i="16"/>
  <c r="T1764" i="16"/>
  <c r="T2105" i="16"/>
  <c r="T2330" i="16"/>
  <c r="T2521" i="16"/>
  <c r="T2077" i="16"/>
  <c r="T2380" i="16"/>
  <c r="T1233" i="16"/>
  <c r="T1623" i="16"/>
  <c r="T1111" i="16"/>
  <c r="T1366" i="16"/>
  <c r="T615" i="16"/>
  <c r="T1627" i="16"/>
  <c r="T1115" i="16"/>
  <c r="T420" i="16"/>
  <c r="T2085" i="16"/>
  <c r="T2146" i="16"/>
  <c r="T2616" i="16"/>
  <c r="T2360" i="16"/>
  <c r="T956" i="16"/>
  <c r="T549" i="16"/>
  <c r="T320" i="16"/>
  <c r="T303" i="16"/>
  <c r="T1232" i="16"/>
  <c r="T2582" i="16"/>
  <c r="T1633" i="16"/>
  <c r="T542" i="16"/>
  <c r="T1823" i="16"/>
  <c r="T1311" i="16"/>
  <c r="T777" i="16"/>
  <c r="T1694" i="16"/>
  <c r="T626" i="16"/>
  <c r="T300" i="16"/>
  <c r="T1827" i="16"/>
  <c r="T1315" i="16"/>
  <c r="T781" i="16"/>
  <c r="T546" i="16"/>
  <c r="T41" i="16"/>
  <c r="T112" i="16"/>
  <c r="T2192" i="16"/>
  <c r="T1292" i="16"/>
  <c r="T1544" i="16"/>
  <c r="T1253" i="16"/>
  <c r="T1635" i="16"/>
  <c r="T553" i="16"/>
  <c r="T704" i="16"/>
  <c r="T432" i="16"/>
  <c r="T415" i="16"/>
  <c r="T2241" i="16"/>
  <c r="T2433" i="16"/>
  <c r="T523" i="16"/>
  <c r="T2397" i="16"/>
  <c r="T652" i="16"/>
  <c r="T1072" i="16"/>
  <c r="T2366" i="16"/>
  <c r="T807" i="16"/>
  <c r="T755" i="16"/>
  <c r="T2349" i="16"/>
  <c r="T2025" i="16"/>
  <c r="T1305" i="16"/>
  <c r="T1129" i="16"/>
  <c r="T1222" i="16"/>
  <c r="T1611" i="16"/>
  <c r="T1099" i="16"/>
  <c r="T509" i="16"/>
  <c r="T53" i="16"/>
  <c r="T226" i="16"/>
  <c r="T77" i="16"/>
  <c r="T7" i="16"/>
  <c r="T2451" i="16"/>
  <c r="T1720" i="16"/>
  <c r="T1941" i="16"/>
  <c r="T2233" i="16"/>
  <c r="T1663" i="16"/>
  <c r="T1151" i="16"/>
  <c r="T203" i="16"/>
  <c r="T1726" i="16"/>
  <c r="T1214" i="16"/>
  <c r="T358" i="16"/>
  <c r="T1349" i="16"/>
  <c r="T1093" i="16"/>
  <c r="T820" i="16"/>
  <c r="T1667" i="16"/>
  <c r="T590" i="16"/>
  <c r="T736" i="16"/>
  <c r="T251" i="16"/>
  <c r="T464" i="16"/>
  <c r="T447" i="16"/>
  <c r="T1594" i="16"/>
  <c r="T355" i="16"/>
  <c r="T2413" i="16"/>
  <c r="T2128" i="16"/>
  <c r="T2602" i="16"/>
  <c r="T1973" i="16"/>
  <c r="T1394" i="16"/>
  <c r="T2421" i="16"/>
  <c r="T2429" i="16"/>
  <c r="T1122" i="16"/>
  <c r="T1673" i="16"/>
  <c r="T2130" i="16"/>
  <c r="T2605" i="16"/>
  <c r="T2264" i="16"/>
  <c r="T1716" i="16"/>
  <c r="T654" i="16"/>
  <c r="T901" i="16"/>
  <c r="T2623" i="16"/>
  <c r="T759" i="16"/>
  <c r="T67" i="16"/>
  <c r="T1192" i="16"/>
  <c r="T787" i="16"/>
  <c r="T2294" i="16"/>
  <c r="T1060" i="16"/>
  <c r="T1866" i="16"/>
  <c r="T868" i="16"/>
  <c r="T1966" i="16"/>
  <c r="T2170" i="16"/>
  <c r="T1785" i="16"/>
  <c r="T828" i="16"/>
  <c r="T2621" i="16"/>
  <c r="T1714" i="16"/>
  <c r="T2379" i="16"/>
  <c r="T2253" i="16"/>
  <c r="T2546" i="16"/>
  <c r="T1532" i="16"/>
  <c r="T2527" i="16"/>
  <c r="T1484" i="16"/>
  <c r="T1321" i="16"/>
  <c r="T2393" i="16"/>
  <c r="T2584" i="16"/>
  <c r="T741" i="16"/>
  <c r="T1681" i="16"/>
  <c r="T2156" i="16"/>
  <c r="T1156" i="16"/>
  <c r="T1993" i="16"/>
  <c r="T1440" i="16"/>
  <c r="T115" i="16"/>
  <c r="T1949" i="16"/>
  <c r="T1588" i="16"/>
  <c r="T470" i="16"/>
  <c r="T2492" i="16"/>
  <c r="T1841" i="16"/>
  <c r="T797" i="16"/>
  <c r="T162" i="16"/>
  <c r="T1735" i="16"/>
  <c r="T379" i="16"/>
  <c r="T1286" i="16"/>
  <c r="T501" i="16"/>
  <c r="T1675" i="16"/>
  <c r="T57" i="16"/>
  <c r="T339" i="16"/>
  <c r="T193" i="16"/>
  <c r="T872" i="16"/>
  <c r="T71" i="16"/>
  <c r="T2385" i="16"/>
  <c r="T2537" i="16"/>
  <c r="T2081" i="16"/>
  <c r="T1212" i="16"/>
  <c r="T1890" i="16"/>
  <c r="T607" i="16"/>
  <c r="T1113" i="16"/>
  <c r="T1064" i="16"/>
  <c r="T638" i="16"/>
  <c r="T2614" i="16"/>
  <c r="T929" i="16"/>
  <c r="T1215" i="16"/>
  <c r="T361" i="16"/>
  <c r="T1790" i="16"/>
  <c r="T1278" i="16"/>
  <c r="T489" i="16"/>
  <c r="T1669" i="16"/>
  <c r="T1731" i="16"/>
  <c r="T671" i="16"/>
  <c r="T516" i="16"/>
  <c r="T211" i="16"/>
  <c r="T337" i="16"/>
  <c r="T81" i="16"/>
  <c r="T451" i="16"/>
  <c r="T2578" i="16"/>
  <c r="T2312" i="16"/>
  <c r="T532" i="16"/>
  <c r="T2194" i="16"/>
  <c r="T1577" i="16"/>
  <c r="T1465" i="16"/>
  <c r="T1408" i="16"/>
  <c r="T2286" i="16"/>
  <c r="T1044" i="16"/>
  <c r="T1297" i="16"/>
  <c r="T1655" i="16"/>
  <c r="T1143" i="16"/>
  <c r="T1718" i="16"/>
  <c r="T1206" i="16"/>
  <c r="T1021" i="16"/>
  <c r="T195" i="16"/>
  <c r="T1787" i="16"/>
  <c r="T664" i="16"/>
  <c r="T155" i="16"/>
  <c r="T392" i="16"/>
  <c r="T375" i="16"/>
  <c r="T2258" i="16"/>
  <c r="T1892" i="16"/>
  <c r="T789" i="16"/>
  <c r="T1849" i="16"/>
  <c r="T326" i="16"/>
  <c r="T1288" i="16"/>
  <c r="T2116" i="16"/>
  <c r="T1500" i="16"/>
  <c r="T1596" i="16"/>
  <c r="T386" i="16"/>
  <c r="T1912" i="16"/>
  <c r="T1281" i="16"/>
  <c r="T1967" i="16"/>
  <c r="T1455" i="16"/>
  <c r="T722" i="16"/>
  <c r="T794" i="16"/>
  <c r="T1779" i="16"/>
  <c r="T1267" i="16"/>
  <c r="T726" i="16"/>
  <c r="T469" i="16"/>
  <c r="T182" i="16"/>
  <c r="T592" i="16"/>
  <c r="T59" i="16"/>
  <c r="T495" i="16"/>
  <c r="T2005" i="16"/>
  <c r="T2525" i="16"/>
  <c r="T661" i="16"/>
  <c r="T1384" i="16"/>
  <c r="T1682" i="16"/>
  <c r="T620" i="16"/>
  <c r="T75" i="16"/>
  <c r="T1416" i="16"/>
  <c r="T1376" i="16"/>
  <c r="T732" i="16"/>
  <c r="T2001" i="16"/>
  <c r="T1012" i="16"/>
  <c r="T1265" i="16"/>
  <c r="T1639" i="16"/>
  <c r="T1190" i="16"/>
  <c r="T636" i="16"/>
  <c r="T1517" i="16"/>
  <c r="T1261" i="16"/>
  <c r="T1005" i="16"/>
  <c r="T793" i="16"/>
  <c r="T561" i="16"/>
  <c r="T1259" i="16"/>
  <c r="T613" i="16"/>
  <c r="T21" i="16"/>
  <c r="T184" i="16"/>
  <c r="T167" i="16"/>
  <c r="T2657" i="16"/>
  <c r="T1737" i="16"/>
  <c r="T2280" i="16"/>
  <c r="T2597" i="16"/>
  <c r="T2341" i="16"/>
  <c r="T2012" i="16"/>
  <c r="T1900" i="16"/>
  <c r="T1042" i="16"/>
  <c r="T1360" i="16"/>
  <c r="T770" i="16"/>
  <c r="T2646" i="16"/>
  <c r="T2262" i="16"/>
  <c r="T706" i="16"/>
  <c r="T1887" i="16"/>
  <c r="T850" i="16"/>
  <c r="T1246" i="16"/>
  <c r="T702" i="16"/>
  <c r="T1637" i="16"/>
  <c r="T1891" i="16"/>
  <c r="T1379" i="16"/>
  <c r="T854" i="16"/>
  <c r="T436" i="16"/>
  <c r="T630" i="16"/>
  <c r="T331" i="16"/>
  <c r="T1877" i="16"/>
  <c r="T1564" i="16"/>
  <c r="T1472" i="16"/>
  <c r="T1236" i="16"/>
  <c r="T2508" i="16"/>
  <c r="T1869" i="16"/>
  <c r="T1751" i="16"/>
  <c r="T1239" i="16"/>
  <c r="T694" i="16"/>
  <c r="T1494" i="16"/>
  <c r="T105" i="16"/>
  <c r="T1755" i="16"/>
  <c r="T1243" i="16"/>
  <c r="T522" i="16"/>
  <c r="T888" i="16"/>
  <c r="T296" i="16"/>
  <c r="T2108" i="16"/>
  <c r="T2439" i="16"/>
  <c r="T2160" i="16"/>
  <c r="T1722" i="16"/>
  <c r="T2339" i="16"/>
  <c r="T865" i="16"/>
  <c r="T1584" i="16"/>
  <c r="T968" i="16"/>
  <c r="T505" i="16"/>
  <c r="T1454" i="16"/>
  <c r="T940" i="16"/>
  <c r="T153" i="16"/>
  <c r="T720" i="16"/>
  <c r="T2536" i="16"/>
  <c r="T2491" i="16"/>
  <c r="T2257" i="16"/>
  <c r="T2249" i="16"/>
  <c r="T1016" i="16"/>
  <c r="T2590" i="16"/>
  <c r="T2200" i="16"/>
  <c r="T2588" i="16"/>
  <c r="T2197" i="16"/>
  <c r="T1521" i="16"/>
  <c r="T329" i="16"/>
  <c r="T1255" i="16"/>
  <c r="T785" i="16"/>
  <c r="T314" i="16"/>
  <c r="T169" i="16"/>
  <c r="T540" i="16"/>
  <c r="T249" i="16"/>
  <c r="T362" i="16"/>
  <c r="T312" i="16"/>
  <c r="T2561" i="16"/>
  <c r="T972" i="16"/>
  <c r="T237" i="16"/>
  <c r="T1864" i="16"/>
  <c r="T791" i="16"/>
  <c r="T2512" i="16"/>
  <c r="T2256" i="16"/>
  <c r="T2447" i="16"/>
  <c r="T2180" i="16"/>
  <c r="T2637" i="16"/>
  <c r="T2381" i="16"/>
  <c r="T1546" i="16"/>
  <c r="T2485" i="16"/>
  <c r="T2229" i="16"/>
  <c r="T1616" i="16"/>
  <c r="T2580" i="16"/>
  <c r="T1985" i="16"/>
  <c r="T993" i="16"/>
  <c r="T2015" i="16"/>
  <c r="T1503" i="16"/>
  <c r="T991" i="16"/>
  <c r="T1374" i="16"/>
  <c r="T849" i="16"/>
  <c r="T1829" i="16"/>
  <c r="T1317" i="16"/>
  <c r="T2019" i="16"/>
  <c r="T1507" i="16"/>
  <c r="T995" i="16"/>
  <c r="T380" i="16"/>
  <c r="T37" i="16"/>
  <c r="T2391" i="16"/>
  <c r="T1353" i="16"/>
  <c r="T2427" i="16"/>
  <c r="T2483" i="16"/>
  <c r="T2162" i="16"/>
  <c r="T1724" i="16"/>
  <c r="T2510" i="16"/>
  <c r="T1492" i="16"/>
  <c r="T1745" i="16"/>
  <c r="T687" i="16"/>
  <c r="T1879" i="16"/>
  <c r="T1367" i="16"/>
  <c r="T841" i="16"/>
  <c r="T1110" i="16"/>
  <c r="T526" i="16"/>
  <c r="T422" i="16"/>
  <c r="T845" i="16"/>
  <c r="T366" i="16"/>
  <c r="T107" i="16"/>
  <c r="T197" i="16"/>
  <c r="T424" i="16"/>
  <c r="T2217" i="16"/>
  <c r="T2401" i="16"/>
  <c r="T29" i="16"/>
  <c r="T2405" i="16"/>
  <c r="T2114" i="16"/>
  <c r="T1217" i="16"/>
  <c r="T905" i="16"/>
  <c r="T1486" i="16"/>
  <c r="T974" i="16"/>
  <c r="T514" i="16"/>
  <c r="T61" i="16"/>
  <c r="T1621" i="16"/>
  <c r="T1109" i="16"/>
  <c r="T1683" i="16"/>
  <c r="T1171" i="16"/>
  <c r="T205" i="16"/>
  <c r="T880" i="16"/>
  <c r="T330" i="16"/>
  <c r="T79" i="16"/>
  <c r="T1162" i="16"/>
  <c r="T2617" i="16"/>
  <c r="T1066" i="16"/>
  <c r="T1226" i="16"/>
  <c r="T1002" i="16"/>
  <c r="T2328" i="16"/>
  <c r="T1169" i="16"/>
  <c r="T2103" i="16"/>
  <c r="T2166" i="16"/>
  <c r="T1142" i="16"/>
  <c r="T485" i="16"/>
  <c r="T600" i="16"/>
  <c r="T325" i="16"/>
  <c r="T69" i="16"/>
  <c r="T328" i="16"/>
  <c r="T1388" i="16"/>
  <c r="T2033" i="16"/>
  <c r="T1466" i="16"/>
  <c r="T2553" i="16"/>
  <c r="T1914" i="16"/>
  <c r="T2608" i="16"/>
  <c r="T934" i="16"/>
  <c r="T878" i="16"/>
  <c r="T274" i="16"/>
  <c r="T2426" i="16"/>
  <c r="T2148" i="16"/>
  <c r="T1657" i="16"/>
  <c r="T1488" i="16"/>
  <c r="T307" i="16"/>
  <c r="T2190" i="16"/>
  <c r="T2399" i="16"/>
  <c r="T826" i="16"/>
  <c r="T1474" i="16"/>
  <c r="T1770" i="16"/>
  <c r="T1600" i="16"/>
  <c r="T491" i="16"/>
  <c r="T1364" i="16"/>
  <c r="T2572" i="16"/>
  <c r="T1617" i="16"/>
  <c r="T518" i="16"/>
  <c r="T1815" i="16"/>
  <c r="T1303" i="16"/>
  <c r="T1046" i="16"/>
  <c r="T1821" i="16"/>
  <c r="T1819" i="16"/>
  <c r="T1307" i="16"/>
  <c r="T253" i="16"/>
  <c r="T333" i="16"/>
  <c r="T952" i="16"/>
  <c r="T426" i="16"/>
  <c r="T2600" i="16"/>
  <c r="T2387" i="16"/>
  <c r="T2425" i="16"/>
  <c r="T1218" i="16"/>
  <c r="T1704" i="16"/>
  <c r="T73" i="16"/>
  <c r="T1341" i="16"/>
  <c r="T1851" i="16"/>
  <c r="T1339" i="16"/>
  <c r="T809" i="16"/>
  <c r="T728" i="16"/>
  <c r="T2375" i="16"/>
  <c r="T2619" i="16"/>
  <c r="T2555" i="16"/>
  <c r="T2290" i="16"/>
  <c r="T1274" i="16"/>
  <c r="T2335" i="16"/>
  <c r="T2325" i="16"/>
  <c r="T1760" i="16"/>
  <c r="T705" i="16"/>
  <c r="T1144" i="16"/>
  <c r="T2268" i="16"/>
  <c r="T1997" i="16"/>
  <c r="T1649" i="16"/>
  <c r="T551" i="16"/>
  <c r="T1894" i="16"/>
  <c r="T1382" i="16"/>
  <c r="T858" i="16"/>
  <c r="T282" i="16"/>
  <c r="T133" i="16"/>
  <c r="T359" i="16"/>
  <c r="T1496" i="16"/>
  <c r="T2461" i="16"/>
  <c r="T2225" i="16"/>
  <c r="T2409" i="16"/>
  <c r="T2466" i="16"/>
  <c r="T2205" i="16"/>
  <c r="T1753" i="16"/>
  <c r="T1561" i="16"/>
  <c r="T2285" i="16"/>
  <c r="T1916" i="16"/>
  <c r="T2389" i="16"/>
  <c r="T1856" i="16"/>
  <c r="T814" i="16"/>
  <c r="T598" i="16"/>
  <c r="T2574" i="16"/>
  <c r="T2559" i="16"/>
  <c r="T698" i="16"/>
  <c r="T2490" i="16"/>
  <c r="T1860" i="16"/>
  <c r="T2061" i="16"/>
  <c r="T669" i="16"/>
  <c r="T1679" i="16"/>
  <c r="T1230" i="16"/>
  <c r="T903" i="16"/>
  <c r="T1749" i="16"/>
  <c r="T1237" i="16"/>
  <c r="T981" i="16"/>
  <c r="T524" i="16"/>
  <c r="T909" i="16"/>
  <c r="T534" i="16"/>
  <c r="T586" i="16"/>
  <c r="T624" i="16"/>
  <c r="T357" i="16"/>
  <c r="T101" i="16"/>
  <c r="T335" i="16"/>
  <c r="T199" i="16"/>
  <c r="T1194" i="16"/>
  <c r="T382" i="16"/>
  <c r="T847" i="16"/>
  <c r="T1224" i="16"/>
  <c r="T1962" i="16"/>
  <c r="T499" i="16"/>
  <c r="T1960" i="16"/>
  <c r="T1807" i="16"/>
  <c r="T1358" i="16"/>
  <c r="T830" i="16"/>
  <c r="T1685" i="16"/>
  <c r="T1173" i="16"/>
  <c r="T911" i="16"/>
  <c r="T692" i="16"/>
  <c r="T1043" i="16"/>
  <c r="T836" i="16"/>
  <c r="T17" i="16"/>
  <c r="T463" i="16"/>
  <c r="T2650" i="16"/>
  <c r="T1671" i="16"/>
  <c r="T270" i="16"/>
  <c r="T665" i="16"/>
  <c r="T874" i="16"/>
  <c r="T584" i="16"/>
  <c r="T2198" i="16"/>
  <c r="T343" i="16"/>
  <c r="T2168" i="16"/>
  <c r="T1220" i="16"/>
  <c r="T2564" i="16"/>
  <c r="T1601" i="16"/>
  <c r="T2127" i="16"/>
  <c r="T1103" i="16"/>
  <c r="T288" i="16"/>
  <c r="T1031" i="16"/>
  <c r="T1925" i="16"/>
  <c r="T1768" i="16"/>
  <c r="T2101" i="16"/>
  <c r="T2633" i="16"/>
  <c r="T1026" i="16"/>
  <c r="T2499" i="16"/>
  <c r="T1420" i="16"/>
  <c r="T1568" i="16"/>
  <c r="T430" i="16"/>
  <c r="T1204" i="16"/>
  <c r="T465" i="16"/>
  <c r="T749" i="16"/>
  <c r="T1862" i="16"/>
  <c r="T594" i="16"/>
  <c r="T1739" i="16"/>
  <c r="T681" i="16"/>
  <c r="T171" i="16"/>
  <c r="T936" i="16"/>
  <c r="T327" i="16"/>
  <c r="T135" i="16"/>
  <c r="T2124" i="16"/>
  <c r="T1586" i="16"/>
  <c r="T2053" i="16"/>
  <c r="T2469" i="16"/>
  <c r="T2209" i="16"/>
  <c r="T2403" i="16"/>
  <c r="T862" i="16"/>
  <c r="T2272" i="16"/>
  <c r="T1273" i="16"/>
  <c r="T1296" i="16"/>
  <c r="T2422" i="16"/>
  <c r="T2612" i="16"/>
  <c r="T1791" i="16"/>
  <c r="T218" i="16"/>
  <c r="T1795" i="16"/>
  <c r="T1283" i="16"/>
  <c r="T745" i="16"/>
  <c r="T43" i="16"/>
  <c r="T324" i="16"/>
  <c r="T864" i="16"/>
  <c r="T63" i="16"/>
  <c r="T954" i="16"/>
  <c r="T2593" i="16"/>
  <c r="T2353" i="16"/>
  <c r="T2172" i="16"/>
  <c r="T2629" i="16"/>
  <c r="T2373" i="16"/>
  <c r="T2064" i="16"/>
  <c r="T2563" i="16"/>
  <c r="T718" i="16"/>
  <c r="T1906" i="16"/>
  <c r="T364" i="16"/>
  <c r="T2604" i="16"/>
  <c r="T609" i="16"/>
  <c r="T1847" i="16"/>
  <c r="T1335" i="16"/>
  <c r="T1910" i="16"/>
  <c r="T657" i="16"/>
  <c r="T341" i="16"/>
  <c r="T1789" i="16"/>
  <c r="T1533" i="16"/>
  <c r="T811" i="16"/>
  <c r="T1979" i="16"/>
  <c r="T1467" i="16"/>
  <c r="T189" i="16"/>
  <c r="T310" i="16"/>
  <c r="T856" i="16"/>
  <c r="T298" i="16"/>
  <c r="T55" i="16"/>
  <c r="T579" i="16"/>
  <c r="T1965" i="16"/>
  <c r="T1666" i="16"/>
  <c r="T2618" i="16"/>
  <c r="T2658" i="16"/>
  <c r="T2592" i="16"/>
  <c r="T2278" i="16"/>
  <c r="T1028" i="16"/>
  <c r="T2276" i="16"/>
  <c r="T2031" i="16"/>
  <c r="T1519" i="16"/>
  <c r="T795" i="16"/>
  <c r="T1902" i="16"/>
  <c r="T1390" i="16"/>
  <c r="T1845" i="16"/>
  <c r="T1333" i="16"/>
  <c r="T655" i="16"/>
  <c r="T1843" i="16"/>
  <c r="T1331" i="16"/>
  <c r="T799" i="16"/>
  <c r="T145" i="16"/>
  <c r="T47" i="16"/>
  <c r="T1708" i="16"/>
  <c r="T1981" i="16"/>
  <c r="T1402" i="16"/>
  <c r="T2505" i="16"/>
  <c r="T1434" i="16"/>
  <c r="T2627" i="16"/>
  <c r="T1004" i="16"/>
  <c r="T716" i="16"/>
  <c r="T2240" i="16"/>
  <c r="T278" i="16"/>
  <c r="T1137" i="16"/>
  <c r="T2087" i="16"/>
  <c r="T2150" i="16"/>
  <c r="T550" i="16"/>
  <c r="T131" i="16"/>
  <c r="T457" i="16"/>
  <c r="T2219" i="16"/>
  <c r="T114" i="16"/>
  <c r="T712" i="16"/>
  <c r="T103" i="16"/>
  <c r="T1954" i="16"/>
  <c r="T2472" i="16"/>
  <c r="T1964" i="16"/>
  <c r="T2497" i="16"/>
  <c r="T1612" i="16"/>
  <c r="T1450" i="16"/>
  <c r="T1282" i="16"/>
  <c r="T2314" i="16"/>
  <c r="T1969" i="16"/>
  <c r="T1177" i="16"/>
  <c r="T714" i="16"/>
  <c r="T1124" i="16"/>
  <c r="T2516" i="16"/>
  <c r="T852" i="16"/>
  <c r="T1951" i="16"/>
  <c r="T923" i="16"/>
  <c r="T783" i="16"/>
  <c r="T548" i="16"/>
  <c r="T927" i="16"/>
  <c r="T708" i="16"/>
  <c r="T268" i="16"/>
  <c r="T1290" i="16"/>
  <c r="T1660" i="16"/>
  <c r="T2481" i="16"/>
  <c r="T2237" i="16"/>
  <c r="T257" i="16"/>
  <c r="T2569" i="16"/>
  <c r="T1592" i="16"/>
  <c r="T2586" i="16"/>
  <c r="T2560" i="16"/>
  <c r="T2304" i="16"/>
  <c r="T700" i="16"/>
  <c r="T2178" i="16"/>
  <c r="T1873" i="16"/>
  <c r="T837" i="16"/>
  <c r="T259" i="16"/>
  <c r="T2176" i="16"/>
  <c r="T834" i="16"/>
  <c r="T1943" i="16"/>
  <c r="T839" i="16"/>
  <c r="T265" i="16"/>
  <c r="T1757" i="16"/>
  <c r="T1501" i="16"/>
  <c r="T1245" i="16"/>
  <c r="T989" i="16"/>
  <c r="T537" i="16"/>
  <c r="T1947" i="16"/>
  <c r="T466" i="16"/>
  <c r="T220" i="16"/>
  <c r="T27" i="16"/>
  <c r="T151" i="16"/>
  <c r="T2571" i="16"/>
  <c r="T1368" i="16"/>
  <c r="T2224" i="16"/>
  <c r="T1356" i="16"/>
  <c r="T2595" i="16"/>
  <c r="T2549" i="16"/>
  <c r="T1712" i="16"/>
  <c r="T2302" i="16"/>
  <c r="T2423" i="16"/>
  <c r="T1538" i="16"/>
  <c r="T1372" i="16"/>
  <c r="T1833" i="16"/>
  <c r="T805" i="16"/>
  <c r="T2494" i="16"/>
  <c r="T2154" i="16"/>
  <c r="T2152" i="16"/>
  <c r="T895" i="16"/>
  <c r="T1478" i="16"/>
  <c r="T966" i="16"/>
  <c r="T390" i="16"/>
  <c r="T503" i="16"/>
  <c r="T552" i="16"/>
  <c r="T261" i="16"/>
  <c r="T5" i="16"/>
  <c r="T280" i="16"/>
  <c r="T455" i="16"/>
  <c r="T2182" i="16"/>
  <c r="T349" i="16"/>
  <c r="T2610" i="16"/>
  <c r="T2343" i="16"/>
  <c r="T1298" i="16"/>
  <c r="T2640" i="16"/>
  <c r="T2575" i="16"/>
  <c r="T1448" i="16"/>
  <c r="T1692" i="16"/>
  <c r="T445" i="16"/>
  <c r="T2550" i="16"/>
  <c r="T1572" i="16"/>
  <c r="T438" i="16"/>
  <c r="T925" i="16"/>
  <c r="T1919" i="16"/>
  <c r="T886" i="16"/>
  <c r="T667" i="16"/>
  <c r="T1470" i="16"/>
  <c r="T958" i="16"/>
  <c r="T739" i="16"/>
  <c r="T500" i="16"/>
  <c r="T1923" i="16"/>
  <c r="T891" i="16"/>
  <c r="T33" i="16"/>
  <c r="T65" i="16"/>
  <c r="T222" i="16"/>
  <c r="T191" i="16"/>
  <c r="T2449" i="16"/>
  <c r="T2514" i="16"/>
  <c r="T2021" i="16"/>
  <c r="T2539" i="16"/>
  <c r="T2288" i="16"/>
  <c r="T1370" i="16"/>
  <c r="T899" i="16"/>
  <c r="T413" i="16"/>
  <c r="T2542" i="16"/>
  <c r="T1921" i="16"/>
  <c r="T907" i="16"/>
  <c r="T1975" i="16"/>
  <c r="T1463" i="16"/>
  <c r="T950" i="16"/>
  <c r="T1014" i="16"/>
  <c r="T803" i="16"/>
  <c r="T2107" i="16"/>
  <c r="T1083" i="16"/>
  <c r="T482" i="16"/>
  <c r="T9" i="16"/>
  <c r="T507" i="16"/>
  <c r="T388" i="16"/>
  <c r="T468" i="16"/>
  <c r="T1570" i="16"/>
  <c r="T2443" i="16"/>
  <c r="T1452" i="16"/>
  <c r="T2533" i="16"/>
  <c r="T2383" i="16"/>
  <c r="T1050" i="16"/>
  <c r="T2109" i="16"/>
  <c r="T1436" i="16"/>
  <c r="T1008" i="16"/>
  <c r="T565" i="16"/>
  <c r="T1081" i="16"/>
  <c r="T1284" i="16"/>
  <c r="T1665" i="16"/>
  <c r="T588" i="16"/>
  <c r="T1647" i="16"/>
  <c r="T1135" i="16"/>
  <c r="T157" i="16"/>
  <c r="T1006" i="16"/>
  <c r="T322" i="16"/>
  <c r="T1781" i="16"/>
  <c r="T1525" i="16"/>
  <c r="T1269" i="16"/>
  <c r="T1971" i="16"/>
  <c r="T1459" i="16"/>
  <c r="T946" i="16"/>
  <c r="T175" i="16"/>
  <c r="T1904" i="16"/>
  <c r="T734" i="16"/>
  <c r="T1989" i="16"/>
  <c r="T2523" i="16"/>
  <c r="T434" i="16"/>
  <c r="T1848" i="16"/>
  <c r="T2437" i="16"/>
  <c r="T919" i="16"/>
  <c r="T575" i="16"/>
  <c r="T2270" i="16"/>
  <c r="T2652" i="16"/>
  <c r="T302" i="16"/>
  <c r="T1766" i="16"/>
  <c r="T866" i="16"/>
  <c r="T1835" i="16"/>
  <c r="T1323" i="16"/>
  <c r="T557" i="16"/>
  <c r="T461" i="16"/>
  <c r="T276" i="16"/>
  <c r="T231" i="16"/>
  <c r="T2507" i="16"/>
  <c r="T663" i="16"/>
  <c r="T1386" i="16"/>
  <c r="T164" i="16"/>
  <c r="T1000" i="16"/>
  <c r="T1380" i="16"/>
  <c r="T2644" i="16"/>
  <c r="T2088" i="16"/>
  <c r="T2079" i="16"/>
  <c r="T428" i="16"/>
  <c r="T1438" i="16"/>
  <c r="T710" i="16"/>
  <c r="T2083" i="16"/>
  <c r="T1059" i="16"/>
  <c r="T213" i="16"/>
  <c r="T476" i="16"/>
  <c r="T348" i="16"/>
  <c r="T640" i="16"/>
  <c r="T123" i="16"/>
  <c r="T368" i="16"/>
  <c r="T351" i="16"/>
  <c r="T835" i="16"/>
  <c r="T292" i="16"/>
  <c r="T743" i="16"/>
  <c r="T2501" i="16"/>
  <c r="T2245" i="16"/>
  <c r="T2435" i="16"/>
  <c r="T1362" i="16"/>
  <c r="T2318" i="16"/>
  <c r="T691" i="16"/>
  <c r="T2316" i="16"/>
  <c r="T1105" i="16"/>
  <c r="T2071" i="16"/>
  <c r="T1559" i="16"/>
  <c r="T411" i="16"/>
  <c r="T766" i="16"/>
  <c r="T1181" i="16"/>
  <c r="T921" i="16"/>
  <c r="T2075" i="16"/>
  <c r="T1563" i="16"/>
  <c r="T696" i="16"/>
  <c r="T11" i="16"/>
  <c r="T2009" i="16"/>
  <c r="T2530" i="16"/>
  <c r="T2274" i="16"/>
  <c r="T2464" i="16"/>
  <c r="T1945" i="16"/>
  <c r="T942" i="16"/>
  <c r="T677" i="16"/>
  <c r="T815" i="16"/>
  <c r="T206" i="16"/>
  <c r="T1551" i="16"/>
  <c r="T1039" i="16"/>
  <c r="T2126" i="16"/>
  <c r="T1614" i="16"/>
  <c r="T1813" i="16"/>
  <c r="T1557" i="16"/>
  <c r="T1301" i="16"/>
  <c r="T1811" i="16"/>
  <c r="T1299" i="16"/>
  <c r="T224" i="16"/>
  <c r="T3" i="16"/>
  <c r="AD3" i="16"/>
  <c r="AE3" i="16" s="1"/>
  <c r="AF3" i="16" s="1"/>
  <c r="T673" i="16"/>
  <c r="T2308" i="16"/>
  <c r="T1089" i="16"/>
  <c r="T318" i="16"/>
  <c r="T398" i="16"/>
  <c r="T970" i="16"/>
  <c r="T2503" i="16"/>
  <c r="T751" i="16"/>
  <c r="T2134" i="16"/>
  <c r="T407" i="16"/>
  <c r="T2576" i="16"/>
  <c r="T462" i="16"/>
  <c r="T2110" i="16"/>
  <c r="T2535" i="16"/>
  <c r="T2534" i="16"/>
  <c r="T1482" i="16"/>
  <c r="T1831" i="16"/>
  <c r="T1319" i="16"/>
  <c r="T2239" i="16"/>
  <c r="T215" i="16"/>
  <c r="X7" i="16"/>
  <c r="X15" i="16"/>
  <c r="X23" i="16"/>
  <c r="X31" i="16"/>
  <c r="X39" i="16"/>
  <c r="X47" i="16"/>
  <c r="X55" i="16"/>
  <c r="X63" i="16"/>
  <c r="X71" i="16"/>
  <c r="X79" i="16"/>
  <c r="X87" i="16"/>
  <c r="X95" i="16"/>
  <c r="X103" i="16"/>
  <c r="X111" i="16"/>
  <c r="X119" i="16"/>
  <c r="X127" i="16"/>
  <c r="X135" i="16"/>
  <c r="X143" i="16"/>
  <c r="X151" i="16"/>
  <c r="X159" i="16"/>
  <c r="X167" i="16"/>
  <c r="X175" i="16"/>
  <c r="X183" i="16"/>
  <c r="X191" i="16"/>
  <c r="X199" i="16"/>
  <c r="X207" i="16"/>
  <c r="X215" i="16"/>
  <c r="X223" i="16"/>
  <c r="X231" i="16"/>
  <c r="X239" i="16"/>
  <c r="X247" i="16"/>
  <c r="X255" i="16"/>
  <c r="X263" i="16"/>
  <c r="X271" i="16"/>
  <c r="X279" i="16"/>
  <c r="X287" i="16"/>
  <c r="X295" i="16"/>
  <c r="X303" i="16"/>
  <c r="X311" i="16"/>
  <c r="X319" i="16"/>
  <c r="X327" i="16"/>
  <c r="X335" i="16"/>
  <c r="X343" i="16"/>
  <c r="X351" i="16"/>
  <c r="X359" i="16"/>
  <c r="X367" i="16"/>
  <c r="X375" i="16"/>
  <c r="X383" i="16"/>
  <c r="X391" i="16"/>
  <c r="X399" i="16"/>
  <c r="X407" i="16"/>
  <c r="X415" i="16"/>
  <c r="X423" i="16"/>
  <c r="X431" i="16"/>
  <c r="X439" i="16"/>
  <c r="X447" i="16"/>
  <c r="X455" i="16"/>
  <c r="X463" i="16"/>
  <c r="X471" i="16"/>
  <c r="X479" i="16"/>
  <c r="X487" i="16"/>
  <c r="X495" i="16"/>
  <c r="X503" i="16"/>
  <c r="X511" i="16"/>
  <c r="X519" i="16"/>
  <c r="X527" i="16"/>
  <c r="X535" i="16"/>
  <c r="X543" i="16"/>
  <c r="X551" i="16"/>
  <c r="X559" i="16"/>
  <c r="X567" i="16"/>
  <c r="X575" i="16"/>
  <c r="X583" i="16"/>
  <c r="X591" i="16"/>
  <c r="X599" i="16"/>
  <c r="X607" i="16"/>
  <c r="X615" i="16"/>
  <c r="X623" i="16"/>
  <c r="X631" i="16"/>
  <c r="X639" i="16"/>
  <c r="X647" i="16"/>
  <c r="X655" i="16"/>
  <c r="X663" i="16"/>
  <c r="X671" i="16"/>
  <c r="X679" i="16"/>
  <c r="X687" i="16"/>
  <c r="X695" i="16"/>
  <c r="X703" i="16"/>
  <c r="X711" i="16"/>
  <c r="X719" i="16"/>
  <c r="X727" i="16"/>
  <c r="X735" i="16"/>
  <c r="X743" i="16"/>
  <c r="X751" i="16"/>
  <c r="X759" i="16"/>
  <c r="X767" i="16"/>
  <c r="X775" i="16"/>
  <c r="X783" i="16"/>
  <c r="X791" i="16"/>
  <c r="X799" i="16"/>
  <c r="X807" i="16"/>
  <c r="X815" i="16"/>
  <c r="X823" i="16"/>
  <c r="X831" i="16"/>
  <c r="X839" i="16"/>
  <c r="X847" i="16"/>
  <c r="X855" i="16"/>
  <c r="X863" i="16"/>
  <c r="X871" i="16"/>
  <c r="X879" i="16"/>
  <c r="X887" i="16"/>
  <c r="X895" i="16"/>
  <c r="X903" i="16"/>
  <c r="X911" i="16"/>
  <c r="X919" i="16"/>
  <c r="X927" i="16"/>
  <c r="X935" i="16"/>
  <c r="X943" i="16"/>
  <c r="X951" i="16"/>
  <c r="X959" i="16"/>
  <c r="X967" i="16"/>
  <c r="X975" i="16"/>
  <c r="X983" i="16"/>
  <c r="X991" i="16"/>
  <c r="X999" i="16"/>
  <c r="X1007" i="16"/>
  <c r="X1015" i="16"/>
  <c r="X1023" i="16"/>
  <c r="X1031" i="16"/>
  <c r="X1039" i="16"/>
  <c r="X1047" i="16"/>
  <c r="X1055" i="16"/>
  <c r="X1063" i="16"/>
  <c r="X1071" i="16"/>
  <c r="X1079" i="16"/>
  <c r="X1087" i="16"/>
  <c r="X1095" i="16"/>
  <c r="X1103" i="16"/>
  <c r="X1111" i="16"/>
  <c r="X1119" i="16"/>
  <c r="X1127" i="16"/>
  <c r="X1135" i="16"/>
  <c r="X1143" i="16"/>
  <c r="X1151" i="16"/>
  <c r="X1159" i="16"/>
  <c r="X1167" i="16"/>
  <c r="X1175" i="16"/>
  <c r="X1183" i="16"/>
  <c r="X1191" i="16"/>
  <c r="X1199" i="16"/>
  <c r="X1207" i="16"/>
  <c r="X1215" i="16"/>
  <c r="X1223" i="16"/>
  <c r="X1231" i="16"/>
  <c r="X1239" i="16"/>
  <c r="X1247" i="16"/>
  <c r="X1255" i="16"/>
  <c r="X1263" i="16"/>
  <c r="X1271" i="16"/>
  <c r="X1279" i="16"/>
  <c r="X1287" i="16"/>
  <c r="X1295" i="16"/>
  <c r="X1303" i="16"/>
  <c r="X1311" i="16"/>
  <c r="X1319" i="16"/>
  <c r="X1327" i="16"/>
  <c r="X1335" i="16"/>
  <c r="X1343" i="16"/>
  <c r="X1351" i="16"/>
  <c r="X1359" i="16"/>
  <c r="X1367" i="16"/>
  <c r="X1375" i="16"/>
  <c r="X1383" i="16"/>
  <c r="X1391" i="16"/>
  <c r="X1399" i="16"/>
  <c r="X1407" i="16"/>
  <c r="X1415" i="16"/>
  <c r="X1423" i="16"/>
  <c r="X1431" i="16"/>
  <c r="X1439" i="16"/>
  <c r="X1447" i="16"/>
  <c r="X1455" i="16"/>
  <c r="X1463" i="16"/>
  <c r="X1471" i="16"/>
  <c r="X1479" i="16"/>
  <c r="X1487" i="16"/>
  <c r="X1495" i="16"/>
  <c r="X1503" i="16"/>
  <c r="X1511" i="16"/>
  <c r="X1519" i="16"/>
  <c r="X1527" i="16"/>
  <c r="X1535" i="16"/>
  <c r="X1543" i="16"/>
  <c r="X1551" i="16"/>
  <c r="X1559" i="16"/>
  <c r="X1567" i="16"/>
  <c r="X1575" i="16"/>
  <c r="X1583" i="16"/>
  <c r="X1591" i="16"/>
  <c r="X1599" i="16"/>
  <c r="X1607" i="16"/>
  <c r="X1615" i="16"/>
  <c r="X1623" i="16"/>
  <c r="X1631" i="16"/>
  <c r="X1639" i="16"/>
  <c r="X1647" i="16"/>
  <c r="X1655" i="16"/>
  <c r="X1663" i="16"/>
  <c r="X1671" i="16"/>
  <c r="X1679" i="16"/>
  <c r="X1687" i="16"/>
  <c r="X1695" i="16"/>
  <c r="X1703" i="16"/>
  <c r="X1711" i="16"/>
  <c r="X1719" i="16"/>
  <c r="X1727" i="16"/>
  <c r="X1735" i="16"/>
  <c r="X1743" i="16"/>
  <c r="X1751" i="16"/>
  <c r="X1759" i="16"/>
  <c r="X1767" i="16"/>
  <c r="X1775" i="16"/>
  <c r="X1783" i="16"/>
  <c r="X1791" i="16"/>
  <c r="X1799" i="16"/>
  <c r="X1807" i="16"/>
  <c r="X1815" i="16"/>
  <c r="X1823" i="16"/>
  <c r="X1831" i="16"/>
  <c r="X1839" i="16"/>
  <c r="X1847" i="16"/>
  <c r="X1855" i="16"/>
  <c r="X1863" i="16"/>
  <c r="X1871" i="16"/>
  <c r="X1879" i="16"/>
  <c r="X1887" i="16"/>
  <c r="X1895" i="16"/>
  <c r="X1903" i="16"/>
  <c r="X1911" i="16"/>
  <c r="X1919" i="16"/>
  <c r="X1927" i="16"/>
  <c r="X1935" i="16"/>
  <c r="X1943" i="16"/>
  <c r="X1951" i="16"/>
  <c r="X1959" i="16"/>
  <c r="X1967" i="16"/>
  <c r="X1975" i="16"/>
  <c r="X1983" i="16"/>
  <c r="X1991" i="16"/>
  <c r="X1999" i="16"/>
  <c r="X8" i="16"/>
  <c r="X16" i="16"/>
  <c r="X24" i="16"/>
  <c r="X32" i="16"/>
  <c r="X40" i="16"/>
  <c r="X48" i="16"/>
  <c r="X56" i="16"/>
  <c r="X64" i="16"/>
  <c r="X72" i="16"/>
  <c r="X80" i="16"/>
  <c r="X88" i="16"/>
  <c r="X96" i="16"/>
  <c r="X104" i="16"/>
  <c r="X112" i="16"/>
  <c r="X120" i="16"/>
  <c r="X128" i="16"/>
  <c r="X136" i="16"/>
  <c r="X144" i="16"/>
  <c r="X152" i="16"/>
  <c r="X160" i="16"/>
  <c r="X168" i="16"/>
  <c r="X176" i="16"/>
  <c r="X184" i="16"/>
  <c r="X192" i="16"/>
  <c r="X200" i="16"/>
  <c r="X208" i="16"/>
  <c r="X216" i="16"/>
  <c r="X224" i="16"/>
  <c r="X232" i="16"/>
  <c r="X240" i="16"/>
  <c r="X248" i="16"/>
  <c r="X256" i="16"/>
  <c r="X264" i="16"/>
  <c r="X272" i="16"/>
  <c r="X280" i="16"/>
  <c r="X288" i="16"/>
  <c r="X296" i="16"/>
  <c r="X304" i="16"/>
  <c r="X312" i="16"/>
  <c r="X320" i="16"/>
  <c r="X328" i="16"/>
  <c r="X336" i="16"/>
  <c r="X344" i="16"/>
  <c r="X352" i="16"/>
  <c r="X360" i="16"/>
  <c r="X368" i="16"/>
  <c r="X376" i="16"/>
  <c r="X384" i="16"/>
  <c r="X392" i="16"/>
  <c r="X400" i="16"/>
  <c r="X408" i="16"/>
  <c r="X416" i="16"/>
  <c r="X424" i="16"/>
  <c r="X432" i="16"/>
  <c r="X440" i="16"/>
  <c r="X448" i="16"/>
  <c r="X456" i="16"/>
  <c r="X464" i="16"/>
  <c r="X472" i="16"/>
  <c r="X480" i="16"/>
  <c r="X488" i="16"/>
  <c r="X496" i="16"/>
  <c r="X504" i="16"/>
  <c r="X512" i="16"/>
  <c r="X520" i="16"/>
  <c r="X528" i="16"/>
  <c r="X536" i="16"/>
  <c r="X544" i="16"/>
  <c r="X552" i="16"/>
  <c r="X560" i="16"/>
  <c r="X568" i="16"/>
  <c r="X576" i="16"/>
  <c r="X584" i="16"/>
  <c r="X592" i="16"/>
  <c r="X600" i="16"/>
  <c r="X608" i="16"/>
  <c r="X616" i="16"/>
  <c r="X624" i="16"/>
  <c r="X632" i="16"/>
  <c r="X640" i="16"/>
  <c r="X648" i="16"/>
  <c r="X656" i="16"/>
  <c r="X664" i="16"/>
  <c r="X672" i="16"/>
  <c r="X680" i="16"/>
  <c r="X688" i="16"/>
  <c r="X696" i="16"/>
  <c r="X704" i="16"/>
  <c r="X712" i="16"/>
  <c r="X720" i="16"/>
  <c r="X728" i="16"/>
  <c r="X736" i="16"/>
  <c r="X744" i="16"/>
  <c r="X752" i="16"/>
  <c r="X760" i="16"/>
  <c r="X768" i="16"/>
  <c r="X776" i="16"/>
  <c r="X784" i="16"/>
  <c r="X792" i="16"/>
  <c r="X800" i="16"/>
  <c r="X808" i="16"/>
  <c r="X816" i="16"/>
  <c r="X824" i="16"/>
  <c r="X832" i="16"/>
  <c r="X840" i="16"/>
  <c r="X848" i="16"/>
  <c r="X856" i="16"/>
  <c r="X864" i="16"/>
  <c r="X872" i="16"/>
  <c r="X880" i="16"/>
  <c r="X888" i="16"/>
  <c r="X896" i="16"/>
  <c r="X904" i="16"/>
  <c r="X912" i="16"/>
  <c r="X920" i="16"/>
  <c r="X928" i="16"/>
  <c r="X936" i="16"/>
  <c r="X944" i="16"/>
  <c r="X952" i="16"/>
  <c r="X960" i="16"/>
  <c r="X968" i="16"/>
  <c r="X976" i="16"/>
  <c r="X984" i="16"/>
  <c r="X992" i="16"/>
  <c r="X1000" i="16"/>
  <c r="X1008" i="16"/>
  <c r="X1016" i="16"/>
  <c r="X1024" i="16"/>
  <c r="X1032" i="16"/>
  <c r="X1040" i="16"/>
  <c r="X1048" i="16"/>
  <c r="X1056" i="16"/>
  <c r="X1064" i="16"/>
  <c r="X1072" i="16"/>
  <c r="X1080" i="16"/>
  <c r="X1088" i="16"/>
  <c r="X1096" i="16"/>
  <c r="X1104" i="16"/>
  <c r="X1112" i="16"/>
  <c r="X1120" i="16"/>
  <c r="X1128" i="16"/>
  <c r="X1136" i="16"/>
  <c r="X1144" i="16"/>
  <c r="X1152" i="16"/>
  <c r="X1160" i="16"/>
  <c r="X1168" i="16"/>
  <c r="X1176" i="16"/>
  <c r="X1184" i="16"/>
  <c r="X1192" i="16"/>
  <c r="X1200" i="16"/>
  <c r="X1208" i="16"/>
  <c r="X1216" i="16"/>
  <c r="X1224" i="16"/>
  <c r="X1232" i="16"/>
  <c r="X1240" i="16"/>
  <c r="X1248" i="16"/>
  <c r="X1256" i="16"/>
  <c r="X1264" i="16"/>
  <c r="X1272" i="16"/>
  <c r="X1280" i="16"/>
  <c r="X1288" i="16"/>
  <c r="X1296" i="16"/>
  <c r="X1304" i="16"/>
  <c r="X1312" i="16"/>
  <c r="X1320" i="16"/>
  <c r="X1328" i="16"/>
  <c r="X1336" i="16"/>
  <c r="X1344" i="16"/>
  <c r="X1352" i="16"/>
  <c r="X1360" i="16"/>
  <c r="X1368" i="16"/>
  <c r="X1376" i="16"/>
  <c r="X1384" i="16"/>
  <c r="X1392" i="16"/>
  <c r="X1400" i="16"/>
  <c r="X1408" i="16"/>
  <c r="X1416" i="16"/>
  <c r="X1424" i="16"/>
  <c r="X1432" i="16"/>
  <c r="X1440" i="16"/>
  <c r="X1448" i="16"/>
  <c r="X1456" i="16"/>
  <c r="X1464" i="16"/>
  <c r="X1472" i="16"/>
  <c r="X1480" i="16"/>
  <c r="X1488" i="16"/>
  <c r="X1496" i="16"/>
  <c r="X1504" i="16"/>
  <c r="X1512" i="16"/>
  <c r="X1520" i="16"/>
  <c r="X1528" i="16"/>
  <c r="X1536" i="16"/>
  <c r="X1544" i="16"/>
  <c r="X1552" i="16"/>
  <c r="X1560" i="16"/>
  <c r="X1568" i="16"/>
  <c r="X1576" i="16"/>
  <c r="X1584" i="16"/>
  <c r="X1592" i="16"/>
  <c r="X1600" i="16"/>
  <c r="X1608" i="16"/>
  <c r="X1616" i="16"/>
  <c r="X1624" i="16"/>
  <c r="X1632" i="16"/>
  <c r="X1640" i="16"/>
  <c r="X1648" i="16"/>
  <c r="X1656" i="16"/>
  <c r="X1664" i="16"/>
  <c r="X1672" i="16"/>
  <c r="X1680" i="16"/>
  <c r="X1688" i="16"/>
  <c r="X1696" i="16"/>
  <c r="X1704" i="16"/>
  <c r="X1712" i="16"/>
  <c r="X1720" i="16"/>
  <c r="X1728" i="16"/>
  <c r="X1736" i="16"/>
  <c r="X1744" i="16"/>
  <c r="X1752" i="16"/>
  <c r="X1760" i="16"/>
  <c r="X1768" i="16"/>
  <c r="X1776" i="16"/>
  <c r="X1784" i="16"/>
  <c r="X1792" i="16"/>
  <c r="X1800" i="16"/>
  <c r="X1808" i="16"/>
  <c r="X1816" i="16"/>
  <c r="X1824" i="16"/>
  <c r="X1832" i="16"/>
  <c r="X1840" i="16"/>
  <c r="X1848" i="16"/>
  <c r="X1856" i="16"/>
  <c r="X1864" i="16"/>
  <c r="X1872" i="16"/>
  <c r="X1880" i="16"/>
  <c r="X1888" i="16"/>
  <c r="X1896" i="16"/>
  <c r="X1904" i="16"/>
  <c r="X1912" i="16"/>
  <c r="X1920" i="16"/>
  <c r="X1928" i="16"/>
  <c r="X1936" i="16"/>
  <c r="X1944" i="16"/>
  <c r="X1952" i="16"/>
  <c r="X1960" i="16"/>
  <c r="X1968" i="16"/>
  <c r="X1976" i="16"/>
  <c r="X1984" i="16"/>
  <c r="X1992" i="16"/>
  <c r="X2000" i="16"/>
  <c r="X2008" i="16"/>
  <c r="X2016" i="16"/>
  <c r="X2024" i="16"/>
  <c r="X2032" i="16"/>
  <c r="X2040" i="16"/>
  <c r="X2048" i="16"/>
  <c r="X2056" i="16"/>
  <c r="X2064" i="16"/>
  <c r="X2072" i="16"/>
  <c r="X2080" i="16"/>
  <c r="X2088" i="16"/>
  <c r="X2096" i="16"/>
  <c r="X2104" i="16"/>
  <c r="X2112" i="16"/>
  <c r="X2120" i="16"/>
  <c r="X2128" i="16"/>
  <c r="X2136" i="16"/>
  <c r="X2144" i="16"/>
  <c r="X2152" i="16"/>
  <c r="X2160" i="16"/>
  <c r="X2168" i="16"/>
  <c r="X2176" i="16"/>
  <c r="X2184" i="16"/>
  <c r="X2192" i="16"/>
  <c r="X2200" i="16"/>
  <c r="X2208" i="16"/>
  <c r="X2216" i="16"/>
  <c r="X2224" i="16"/>
  <c r="X2232" i="16"/>
  <c r="X2240" i="16"/>
  <c r="X2248" i="16"/>
  <c r="X2256" i="16"/>
  <c r="X2264" i="16"/>
  <c r="X2272" i="16"/>
  <c r="X2280" i="16"/>
  <c r="X2288" i="16"/>
  <c r="X2296" i="16"/>
  <c r="X2304" i="16"/>
  <c r="X2312" i="16"/>
  <c r="X2320" i="16"/>
  <c r="X2328" i="16"/>
  <c r="X2336" i="16"/>
  <c r="X2344" i="16"/>
  <c r="X2352" i="16"/>
  <c r="X2360" i="16"/>
  <c r="X2368" i="16"/>
  <c r="X2376" i="16"/>
  <c r="X2384" i="16"/>
  <c r="X2392" i="16"/>
  <c r="X2400" i="16"/>
  <c r="X2408" i="16"/>
  <c r="X2416" i="16"/>
  <c r="X2424" i="16"/>
  <c r="X2432" i="16"/>
  <c r="X2440" i="16"/>
  <c r="X2448" i="16"/>
  <c r="X2456" i="16"/>
  <c r="X2464" i="16"/>
  <c r="X2472" i="16"/>
  <c r="X2480" i="16"/>
  <c r="X2488" i="16"/>
  <c r="X2496" i="16"/>
  <c r="X2504" i="16"/>
  <c r="X2512" i="16"/>
  <c r="X2520" i="16"/>
  <c r="X2528" i="16"/>
  <c r="X2536" i="16"/>
  <c r="X2544" i="16"/>
  <c r="X2552" i="16"/>
  <c r="X2560" i="16"/>
  <c r="X2568" i="16"/>
  <c r="X2576" i="16"/>
  <c r="X2584" i="16"/>
  <c r="X2592" i="16"/>
  <c r="X2600" i="16"/>
  <c r="X2608" i="16"/>
  <c r="X2616" i="16"/>
  <c r="X2624" i="16"/>
  <c r="X2632" i="16"/>
  <c r="X2640" i="16"/>
  <c r="X2648" i="16"/>
  <c r="X2656" i="16"/>
  <c r="X10" i="16"/>
  <c r="X18" i="16"/>
  <c r="X26" i="16"/>
  <c r="X34" i="16"/>
  <c r="X42" i="16"/>
  <c r="X50" i="16"/>
  <c r="X58" i="16"/>
  <c r="X66" i="16"/>
  <c r="X74" i="16"/>
  <c r="X82" i="16"/>
  <c r="X90" i="16"/>
  <c r="X98" i="16"/>
  <c r="X106" i="16"/>
  <c r="X114" i="16"/>
  <c r="X122" i="16"/>
  <c r="X130" i="16"/>
  <c r="X138" i="16"/>
  <c r="X146" i="16"/>
  <c r="X154" i="16"/>
  <c r="X162" i="16"/>
  <c r="X170" i="16"/>
  <c r="X178" i="16"/>
  <c r="X186" i="16"/>
  <c r="X194" i="16"/>
  <c r="X202" i="16"/>
  <c r="X210" i="16"/>
  <c r="X218" i="16"/>
  <c r="X226" i="16"/>
  <c r="X234" i="16"/>
  <c r="X242" i="16"/>
  <c r="X250" i="16"/>
  <c r="X258" i="16"/>
  <c r="X266" i="16"/>
  <c r="X274" i="16"/>
  <c r="X282" i="16"/>
  <c r="X290" i="16"/>
  <c r="X298" i="16"/>
  <c r="X306" i="16"/>
  <c r="X314" i="16"/>
  <c r="X322" i="16"/>
  <c r="X330" i="16"/>
  <c r="X338" i="16"/>
  <c r="X346" i="16"/>
  <c r="X354" i="16"/>
  <c r="X362" i="16"/>
  <c r="X370" i="16"/>
  <c r="X378" i="16"/>
  <c r="X386" i="16"/>
  <c r="X394" i="16"/>
  <c r="X402" i="16"/>
  <c r="X410" i="16"/>
  <c r="X418" i="16"/>
  <c r="X426" i="16"/>
  <c r="X434" i="16"/>
  <c r="X442" i="16"/>
  <c r="X450" i="16"/>
  <c r="X458" i="16"/>
  <c r="X466" i="16"/>
  <c r="X474" i="16"/>
  <c r="X482" i="16"/>
  <c r="X490" i="16"/>
  <c r="X498" i="16"/>
  <c r="X506" i="16"/>
  <c r="X514" i="16"/>
  <c r="X522" i="16"/>
  <c r="X530" i="16"/>
  <c r="X538" i="16"/>
  <c r="X546" i="16"/>
  <c r="X554" i="16"/>
  <c r="X562" i="16"/>
  <c r="X570" i="16"/>
  <c r="X578" i="16"/>
  <c r="X586" i="16"/>
  <c r="X594" i="16"/>
  <c r="X602" i="16"/>
  <c r="X610" i="16"/>
  <c r="X618" i="16"/>
  <c r="X626" i="16"/>
  <c r="X634" i="16"/>
  <c r="X642" i="16"/>
  <c r="X650" i="16"/>
  <c r="X658" i="16"/>
  <c r="X666" i="16"/>
  <c r="X674" i="16"/>
  <c r="X682" i="16"/>
  <c r="X690" i="16"/>
  <c r="X698" i="16"/>
  <c r="X706" i="16"/>
  <c r="X714" i="16"/>
  <c r="X722" i="16"/>
  <c r="X730" i="16"/>
  <c r="X738" i="16"/>
  <c r="X746" i="16"/>
  <c r="X754" i="16"/>
  <c r="X762" i="16"/>
  <c r="X770" i="16"/>
  <c r="X778" i="16"/>
  <c r="X786" i="16"/>
  <c r="X794" i="16"/>
  <c r="X802" i="16"/>
  <c r="X810" i="16"/>
  <c r="X818" i="16"/>
  <c r="X826" i="16"/>
  <c r="X834" i="16"/>
  <c r="X842" i="16"/>
  <c r="X850" i="16"/>
  <c r="X858" i="16"/>
  <c r="X866" i="16"/>
  <c r="X874" i="16"/>
  <c r="X882" i="16"/>
  <c r="X890" i="16"/>
  <c r="X898" i="16"/>
  <c r="X906" i="16"/>
  <c r="X914" i="16"/>
  <c r="X922" i="16"/>
  <c r="X930" i="16"/>
  <c r="X938" i="16"/>
  <c r="X946" i="16"/>
  <c r="X954" i="16"/>
  <c r="X962" i="16"/>
  <c r="X970" i="16"/>
  <c r="X978" i="16"/>
  <c r="X986" i="16"/>
  <c r="X994" i="16"/>
  <c r="X1002" i="16"/>
  <c r="X1010" i="16"/>
  <c r="X1018" i="16"/>
  <c r="X1026" i="16"/>
  <c r="X1034" i="16"/>
  <c r="X1042" i="16"/>
  <c r="X1050" i="16"/>
  <c r="X1058" i="16"/>
  <c r="X1066" i="16"/>
  <c r="X1074" i="16"/>
  <c r="X1082" i="16"/>
  <c r="X1090" i="16"/>
  <c r="X1098" i="16"/>
  <c r="X1106" i="16"/>
  <c r="X1114" i="16"/>
  <c r="X1122" i="16"/>
  <c r="X1130" i="16"/>
  <c r="X1138" i="16"/>
  <c r="X1146" i="16"/>
  <c r="X1154" i="16"/>
  <c r="X1162" i="16"/>
  <c r="X1170" i="16"/>
  <c r="X1178" i="16"/>
  <c r="X1186" i="16"/>
  <c r="X1194" i="16"/>
  <c r="X1202" i="16"/>
  <c r="X1210" i="16"/>
  <c r="X1218" i="16"/>
  <c r="X1226" i="16"/>
  <c r="X1234" i="16"/>
  <c r="X1242" i="16"/>
  <c r="X1250" i="16"/>
  <c r="X1258" i="16"/>
  <c r="X1266" i="16"/>
  <c r="X1274" i="16"/>
  <c r="X1282" i="16"/>
  <c r="X1290" i="16"/>
  <c r="X1298" i="16"/>
  <c r="X1306" i="16"/>
  <c r="X1314" i="16"/>
  <c r="X1322" i="16"/>
  <c r="X1330" i="16"/>
  <c r="X1338" i="16"/>
  <c r="X1346" i="16"/>
  <c r="X1354" i="16"/>
  <c r="X1362" i="16"/>
  <c r="X1370" i="16"/>
  <c r="X1378" i="16"/>
  <c r="X1386" i="16"/>
  <c r="X1394" i="16"/>
  <c r="X1402" i="16"/>
  <c r="X1410" i="16"/>
  <c r="X1418" i="16"/>
  <c r="X1426" i="16"/>
  <c r="X1434" i="16"/>
  <c r="X1442" i="16"/>
  <c r="X1450" i="16"/>
  <c r="X1458" i="16"/>
  <c r="X1466" i="16"/>
  <c r="X1474" i="16"/>
  <c r="X1482" i="16"/>
  <c r="X1490" i="16"/>
  <c r="X1498" i="16"/>
  <c r="X1506" i="16"/>
  <c r="X1514" i="16"/>
  <c r="X1522" i="16"/>
  <c r="X1530" i="16"/>
  <c r="X1538" i="16"/>
  <c r="X1546" i="16"/>
  <c r="X1554" i="16"/>
  <c r="X1562" i="16"/>
  <c r="X1570" i="16"/>
  <c r="X1578" i="16"/>
  <c r="X1586" i="16"/>
  <c r="X1594" i="16"/>
  <c r="X1602" i="16"/>
  <c r="X1610" i="16"/>
  <c r="X1618" i="16"/>
  <c r="X1626" i="16"/>
  <c r="X1634" i="16"/>
  <c r="X1642" i="16"/>
  <c r="X1650" i="16"/>
  <c r="X1658" i="16"/>
  <c r="X1666" i="16"/>
  <c r="X1674" i="16"/>
  <c r="X1682" i="16"/>
  <c r="X1690" i="16"/>
  <c r="X1698" i="16"/>
  <c r="X1706" i="16"/>
  <c r="X1714" i="16"/>
  <c r="X1722" i="16"/>
  <c r="X1730" i="16"/>
  <c r="X1738" i="16"/>
  <c r="X1746" i="16"/>
  <c r="X1754" i="16"/>
  <c r="X1762" i="16"/>
  <c r="X1770" i="16"/>
  <c r="X1778" i="16"/>
  <c r="X1786" i="16"/>
  <c r="X1794" i="16"/>
  <c r="X1802" i="16"/>
  <c r="X1810" i="16"/>
  <c r="X1818" i="16"/>
  <c r="X1826" i="16"/>
  <c r="X1834" i="16"/>
  <c r="X1842" i="16"/>
  <c r="X1850" i="16"/>
  <c r="X1858" i="16"/>
  <c r="X6" i="16"/>
  <c r="X14" i="16"/>
  <c r="X22" i="16"/>
  <c r="X30" i="16"/>
  <c r="X38" i="16"/>
  <c r="X46" i="16"/>
  <c r="X54" i="16"/>
  <c r="X62" i="16"/>
  <c r="X70" i="16"/>
  <c r="X78" i="16"/>
  <c r="X86" i="16"/>
  <c r="X94" i="16"/>
  <c r="X102" i="16"/>
  <c r="X110" i="16"/>
  <c r="X118" i="16"/>
  <c r="X126" i="16"/>
  <c r="X134" i="16"/>
  <c r="X142" i="16"/>
  <c r="X150" i="16"/>
  <c r="X158" i="16"/>
  <c r="X166" i="16"/>
  <c r="X174" i="16"/>
  <c r="X182" i="16"/>
  <c r="X190" i="16"/>
  <c r="X198" i="16"/>
  <c r="X206" i="16"/>
  <c r="X214" i="16"/>
  <c r="X222" i="16"/>
  <c r="X230" i="16"/>
  <c r="X238" i="16"/>
  <c r="X246" i="16"/>
  <c r="X254" i="16"/>
  <c r="X262" i="16"/>
  <c r="X270" i="16"/>
  <c r="X278" i="16"/>
  <c r="X286" i="16"/>
  <c r="X294" i="16"/>
  <c r="X302" i="16"/>
  <c r="X310" i="16"/>
  <c r="X318" i="16"/>
  <c r="X326" i="16"/>
  <c r="X334" i="16"/>
  <c r="X342" i="16"/>
  <c r="X350" i="16"/>
  <c r="X358" i="16"/>
  <c r="X366" i="16"/>
  <c r="X374" i="16"/>
  <c r="X382" i="16"/>
  <c r="X390" i="16"/>
  <c r="X398" i="16"/>
  <c r="X406" i="16"/>
  <c r="X414" i="16"/>
  <c r="X422" i="16"/>
  <c r="X430" i="16"/>
  <c r="X438" i="16"/>
  <c r="X446" i="16"/>
  <c r="X454" i="16"/>
  <c r="X462" i="16"/>
  <c r="X470" i="16"/>
  <c r="X478" i="16"/>
  <c r="X486" i="16"/>
  <c r="X494" i="16"/>
  <c r="X502" i="16"/>
  <c r="X510" i="16"/>
  <c r="X518" i="16"/>
  <c r="X526" i="16"/>
  <c r="X534" i="16"/>
  <c r="X542" i="16"/>
  <c r="X550" i="16"/>
  <c r="X558" i="16"/>
  <c r="X566" i="16"/>
  <c r="X574" i="16"/>
  <c r="X582" i="16"/>
  <c r="X590" i="16"/>
  <c r="X598" i="16"/>
  <c r="X606" i="16"/>
  <c r="X614" i="16"/>
  <c r="X622" i="16"/>
  <c r="X630" i="16"/>
  <c r="X638" i="16"/>
  <c r="X646" i="16"/>
  <c r="X654" i="16"/>
  <c r="X662" i="16"/>
  <c r="X670" i="16"/>
  <c r="X678" i="16"/>
  <c r="X686" i="16"/>
  <c r="X694" i="16"/>
  <c r="X702" i="16"/>
  <c r="X710" i="16"/>
  <c r="X718" i="16"/>
  <c r="X726" i="16"/>
  <c r="X734" i="16"/>
  <c r="X742" i="16"/>
  <c r="X750" i="16"/>
  <c r="X758" i="16"/>
  <c r="X766" i="16"/>
  <c r="X774" i="16"/>
  <c r="X782" i="16"/>
  <c r="X790" i="16"/>
  <c r="X798" i="16"/>
  <c r="X806" i="16"/>
  <c r="X814" i="16"/>
  <c r="X822" i="16"/>
  <c r="X830" i="16"/>
  <c r="X838" i="16"/>
  <c r="X846" i="16"/>
  <c r="X854" i="16"/>
  <c r="X862" i="16"/>
  <c r="X870" i="16"/>
  <c r="X878" i="16"/>
  <c r="X886" i="16"/>
  <c r="X894" i="16"/>
  <c r="X902" i="16"/>
  <c r="X910" i="16"/>
  <c r="X918" i="16"/>
  <c r="X926" i="16"/>
  <c r="X934" i="16"/>
  <c r="X942" i="16"/>
  <c r="X950" i="16"/>
  <c r="X958" i="16"/>
  <c r="X966" i="16"/>
  <c r="X974" i="16"/>
  <c r="X982" i="16"/>
  <c r="X990" i="16"/>
  <c r="X998" i="16"/>
  <c r="X1006" i="16"/>
  <c r="X1014" i="16"/>
  <c r="X1022" i="16"/>
  <c r="X1030" i="16"/>
  <c r="X1038" i="16"/>
  <c r="X1046" i="16"/>
  <c r="X1054" i="16"/>
  <c r="X1062" i="16"/>
  <c r="X1070" i="16"/>
  <c r="X1078" i="16"/>
  <c r="X1086" i="16"/>
  <c r="X1094" i="16"/>
  <c r="X1102" i="16"/>
  <c r="X1110" i="16"/>
  <c r="X1118" i="16"/>
  <c r="X1126" i="16"/>
  <c r="X1134" i="16"/>
  <c r="X1142" i="16"/>
  <c r="X9" i="16"/>
  <c r="X25" i="16"/>
  <c r="X41" i="16"/>
  <c r="X57" i="16"/>
  <c r="X73" i="16"/>
  <c r="X89" i="16"/>
  <c r="X105" i="16"/>
  <c r="X121" i="16"/>
  <c r="X137" i="16"/>
  <c r="X153" i="16"/>
  <c r="X169" i="16"/>
  <c r="X185" i="16"/>
  <c r="X201" i="16"/>
  <c r="X217" i="16"/>
  <c r="X233" i="16"/>
  <c r="X249" i="16"/>
  <c r="X265" i="16"/>
  <c r="X281" i="16"/>
  <c r="X297" i="16"/>
  <c r="X313" i="16"/>
  <c r="X329" i="16"/>
  <c r="X345" i="16"/>
  <c r="X361" i="16"/>
  <c r="X377" i="16"/>
  <c r="X393" i="16"/>
  <c r="X409" i="16"/>
  <c r="X425" i="16"/>
  <c r="X441" i="16"/>
  <c r="X457" i="16"/>
  <c r="X473" i="16"/>
  <c r="X489" i="16"/>
  <c r="X505" i="16"/>
  <c r="X521" i="16"/>
  <c r="X537" i="16"/>
  <c r="X553" i="16"/>
  <c r="X569" i="16"/>
  <c r="X585" i="16"/>
  <c r="X601" i="16"/>
  <c r="X617" i="16"/>
  <c r="X633" i="16"/>
  <c r="X649" i="16"/>
  <c r="X665" i="16"/>
  <c r="X681" i="16"/>
  <c r="X697" i="16"/>
  <c r="X713" i="16"/>
  <c r="X729" i="16"/>
  <c r="X745" i="16"/>
  <c r="X761" i="16"/>
  <c r="X777" i="16"/>
  <c r="X793" i="16"/>
  <c r="X809" i="16"/>
  <c r="X825" i="16"/>
  <c r="X841" i="16"/>
  <c r="X857" i="16"/>
  <c r="X873" i="16"/>
  <c r="X889" i="16"/>
  <c r="X905" i="16"/>
  <c r="X11" i="16"/>
  <c r="X27" i="16"/>
  <c r="X43" i="16"/>
  <c r="X59" i="16"/>
  <c r="X12" i="16"/>
  <c r="X28" i="16"/>
  <c r="X44" i="16"/>
  <c r="X60" i="16"/>
  <c r="X76" i="16"/>
  <c r="X92" i="16"/>
  <c r="X108" i="16"/>
  <c r="X124" i="16"/>
  <c r="X140" i="16"/>
  <c r="X156" i="16"/>
  <c r="X172" i="16"/>
  <c r="X188" i="16"/>
  <c r="X204" i="16"/>
  <c r="X220" i="16"/>
  <c r="X236" i="16"/>
  <c r="X252" i="16"/>
  <c r="X268" i="16"/>
  <c r="X284" i="16"/>
  <c r="X300" i="16"/>
  <c r="X316" i="16"/>
  <c r="X332" i="16"/>
  <c r="X348" i="16"/>
  <c r="X364" i="16"/>
  <c r="X380" i="16"/>
  <c r="X396" i="16"/>
  <c r="X412" i="16"/>
  <c r="X428" i="16"/>
  <c r="X444" i="16"/>
  <c r="X460" i="16"/>
  <c r="X476" i="16"/>
  <c r="X492" i="16"/>
  <c r="X508" i="16"/>
  <c r="X524" i="16"/>
  <c r="X540" i="16"/>
  <c r="X556" i="16"/>
  <c r="X572" i="16"/>
  <c r="X588" i="16"/>
  <c r="X604" i="16"/>
  <c r="X620" i="16"/>
  <c r="X636" i="16"/>
  <c r="X652" i="16"/>
  <c r="X668" i="16"/>
  <c r="X684" i="16"/>
  <c r="X700" i="16"/>
  <c r="X716" i="16"/>
  <c r="X732" i="16"/>
  <c r="X748" i="16"/>
  <c r="X764" i="16"/>
  <c r="X780" i="16"/>
  <c r="X796" i="16"/>
  <c r="X812" i="16"/>
  <c r="X828" i="16"/>
  <c r="X844" i="16"/>
  <c r="X860" i="16"/>
  <c r="X876" i="16"/>
  <c r="X892" i="16"/>
  <c r="X908" i="16"/>
  <c r="X924" i="16"/>
  <c r="X940" i="16"/>
  <c r="X956" i="16"/>
  <c r="X972" i="16"/>
  <c r="X988" i="16"/>
  <c r="X1004" i="16"/>
  <c r="X1020" i="16"/>
  <c r="X1036" i="16"/>
  <c r="X1052" i="16"/>
  <c r="X1068" i="16"/>
  <c r="X1084" i="16"/>
  <c r="X1100" i="16"/>
  <c r="X1116" i="16"/>
  <c r="X1132" i="16"/>
  <c r="X1148" i="16"/>
  <c r="X1161" i="16"/>
  <c r="X1173" i="16"/>
  <c r="X1187" i="16"/>
  <c r="X1198" i="16"/>
  <c r="X1212" i="16"/>
  <c r="X1225" i="16"/>
  <c r="X1237" i="16"/>
  <c r="X1251" i="16"/>
  <c r="X1262" i="16"/>
  <c r="X1276" i="16"/>
  <c r="X1289" i="16"/>
  <c r="X1301" i="16"/>
  <c r="X1315" i="16"/>
  <c r="X1326" i="16"/>
  <c r="X1340" i="16"/>
  <c r="X1353" i="16"/>
  <c r="X1365" i="16"/>
  <c r="X1379" i="16"/>
  <c r="X1390" i="16"/>
  <c r="X1404" i="16"/>
  <c r="X1417" i="16"/>
  <c r="X1429" i="16"/>
  <c r="X1443" i="16"/>
  <c r="X1454" i="16"/>
  <c r="X1468" i="16"/>
  <c r="X1481" i="16"/>
  <c r="X1493" i="16"/>
  <c r="X1507" i="16"/>
  <c r="X1518" i="16"/>
  <c r="X1532" i="16"/>
  <c r="X1545" i="16"/>
  <c r="X1557" i="16"/>
  <c r="X1571" i="16"/>
  <c r="X1582" i="16"/>
  <c r="X1596" i="16"/>
  <c r="X1609" i="16"/>
  <c r="X1621" i="16"/>
  <c r="X1635" i="16"/>
  <c r="X1646" i="16"/>
  <c r="X1660" i="16"/>
  <c r="X1673" i="16"/>
  <c r="X1685" i="16"/>
  <c r="X1699" i="16"/>
  <c r="X1710" i="16"/>
  <c r="X1724" i="16"/>
  <c r="X1737" i="16"/>
  <c r="X1749" i="16"/>
  <c r="X1763" i="16"/>
  <c r="X1774" i="16"/>
  <c r="X1788" i="16"/>
  <c r="X1801" i="16"/>
  <c r="X1813" i="16"/>
  <c r="X1827" i="16"/>
  <c r="X1838" i="16"/>
  <c r="X1852" i="16"/>
  <c r="X1865" i="16"/>
  <c r="X1875" i="16"/>
  <c r="X1885" i="16"/>
  <c r="X1897" i="16"/>
  <c r="X1907" i="16"/>
  <c r="X1917" i="16"/>
  <c r="X1929" i="16"/>
  <c r="X1939" i="16"/>
  <c r="X1949" i="16"/>
  <c r="X1961" i="16"/>
  <c r="X1971" i="16"/>
  <c r="X1981" i="16"/>
  <c r="X1993" i="16"/>
  <c r="X4" i="16"/>
  <c r="X20" i="16"/>
  <c r="X36" i="16"/>
  <c r="X52" i="16"/>
  <c r="X68" i="16"/>
  <c r="X84" i="16"/>
  <c r="X100" i="16"/>
  <c r="X116" i="16"/>
  <c r="X132" i="16"/>
  <c r="X148" i="16"/>
  <c r="X164" i="16"/>
  <c r="X180" i="16"/>
  <c r="X196" i="16"/>
  <c r="X212" i="16"/>
  <c r="X228" i="16"/>
  <c r="X244" i="16"/>
  <c r="X260" i="16"/>
  <c r="X276" i="16"/>
  <c r="X292" i="16"/>
  <c r="X308" i="16"/>
  <c r="X324" i="16"/>
  <c r="X340" i="16"/>
  <c r="X356" i="16"/>
  <c r="X372" i="16"/>
  <c r="X388" i="16"/>
  <c r="X404" i="16"/>
  <c r="X420" i="16"/>
  <c r="X436" i="16"/>
  <c r="X452" i="16"/>
  <c r="X468" i="16"/>
  <c r="X484" i="16"/>
  <c r="X500" i="16"/>
  <c r="X516" i="16"/>
  <c r="X532" i="16"/>
  <c r="X548" i="16"/>
  <c r="X564" i="16"/>
  <c r="X580" i="16"/>
  <c r="X596" i="16"/>
  <c r="X612" i="16"/>
  <c r="X628" i="16"/>
  <c r="X644" i="16"/>
  <c r="X660" i="16"/>
  <c r="X676" i="16"/>
  <c r="X692" i="16"/>
  <c r="X708" i="16"/>
  <c r="X724" i="16"/>
  <c r="X740" i="16"/>
  <c r="X756" i="16"/>
  <c r="X772" i="16"/>
  <c r="X788" i="16"/>
  <c r="X804" i="16"/>
  <c r="X820" i="16"/>
  <c r="X836" i="16"/>
  <c r="X852" i="16"/>
  <c r="X868" i="16"/>
  <c r="X884" i="16"/>
  <c r="X900" i="16"/>
  <c r="X916" i="16"/>
  <c r="X932" i="16"/>
  <c r="X948" i="16"/>
  <c r="X964" i="16"/>
  <c r="X980" i="16"/>
  <c r="X996" i="16"/>
  <c r="X1012" i="16"/>
  <c r="X1028" i="16"/>
  <c r="X1044" i="16"/>
  <c r="X1060" i="16"/>
  <c r="X1076" i="16"/>
  <c r="X1092" i="16"/>
  <c r="X1108" i="16"/>
  <c r="X1124" i="16"/>
  <c r="X1140" i="16"/>
  <c r="X1155" i="16"/>
  <c r="X1166" i="16"/>
  <c r="X1180" i="16"/>
  <c r="X1193" i="16"/>
  <c r="X1205" i="16"/>
  <c r="X1219" i="16"/>
  <c r="X1230" i="16"/>
  <c r="X1244" i="16"/>
  <c r="X1257" i="16"/>
  <c r="X1269" i="16"/>
  <c r="X1283" i="16"/>
  <c r="X1294" i="16"/>
  <c r="X1308" i="16"/>
  <c r="X1321" i="16"/>
  <c r="X1333" i="16"/>
  <c r="X1347" i="16"/>
  <c r="X1358" i="16"/>
  <c r="X1372" i="16"/>
  <c r="X1385" i="16"/>
  <c r="X1397" i="16"/>
  <c r="X1411" i="16"/>
  <c r="X1422" i="16"/>
  <c r="X1436" i="16"/>
  <c r="X1449" i="16"/>
  <c r="X1461" i="16"/>
  <c r="X1475" i="16"/>
  <c r="X1486" i="16"/>
  <c r="X1500" i="16"/>
  <c r="X1513" i="16"/>
  <c r="X1525" i="16"/>
  <c r="X1539" i="16"/>
  <c r="X1550" i="16"/>
  <c r="X1564" i="16"/>
  <c r="X1577" i="16"/>
  <c r="X1589" i="16"/>
  <c r="X1603" i="16"/>
  <c r="X1614" i="16"/>
  <c r="X1628" i="16"/>
  <c r="X1641" i="16"/>
  <c r="X1653" i="16"/>
  <c r="X1667" i="16"/>
  <c r="X1678" i="16"/>
  <c r="X1692" i="16"/>
  <c r="X1705" i="16"/>
  <c r="X1717" i="16"/>
  <c r="X1731" i="16"/>
  <c r="X1742" i="16"/>
  <c r="X1756" i="16"/>
  <c r="X1769" i="16"/>
  <c r="X1781" i="16"/>
  <c r="X1795" i="16"/>
  <c r="X1806" i="16"/>
  <c r="X1820" i="16"/>
  <c r="X1833" i="16"/>
  <c r="X1845" i="16"/>
  <c r="X1859" i="16"/>
  <c r="X1869" i="16"/>
  <c r="X1881" i="16"/>
  <c r="X1891" i="16"/>
  <c r="X1901" i="16"/>
  <c r="X1913" i="16"/>
  <c r="X1923" i="16"/>
  <c r="X1933" i="16"/>
  <c r="X1945" i="16"/>
  <c r="X1955" i="16"/>
  <c r="X1965" i="16"/>
  <c r="X1977" i="16"/>
  <c r="X1987" i="16"/>
  <c r="X1997" i="16"/>
  <c r="X2007" i="16"/>
  <c r="X2017" i="16"/>
  <c r="X2026" i="16"/>
  <c r="X2035" i="16"/>
  <c r="X2044" i="16"/>
  <c r="X2053" i="16"/>
  <c r="X2062" i="16"/>
  <c r="X2071" i="16"/>
  <c r="X2081" i="16"/>
  <c r="X2090" i="16"/>
  <c r="X2099" i="16"/>
  <c r="X2108" i="16"/>
  <c r="X2117" i="16"/>
  <c r="X2126" i="16"/>
  <c r="X2135" i="16"/>
  <c r="X2145" i="16"/>
  <c r="X2154" i="16"/>
  <c r="X5" i="16"/>
  <c r="X21" i="16"/>
  <c r="X37" i="16"/>
  <c r="X53" i="16"/>
  <c r="X69" i="16"/>
  <c r="X85" i="16"/>
  <c r="X101" i="16"/>
  <c r="X117" i="16"/>
  <c r="X133" i="16"/>
  <c r="X149" i="16"/>
  <c r="X165" i="16"/>
  <c r="X181" i="16"/>
  <c r="X197" i="16"/>
  <c r="X213" i="16"/>
  <c r="X229" i="16"/>
  <c r="X245" i="16"/>
  <c r="X261" i="16"/>
  <c r="X277" i="16"/>
  <c r="X293" i="16"/>
  <c r="X309" i="16"/>
  <c r="X325" i="16"/>
  <c r="X341" i="16"/>
  <c r="X357" i="16"/>
  <c r="X373" i="16"/>
  <c r="X389" i="16"/>
  <c r="X405" i="16"/>
  <c r="X421" i="16"/>
  <c r="X437" i="16"/>
  <c r="X453" i="16"/>
  <c r="X469" i="16"/>
  <c r="X485" i="16"/>
  <c r="X501" i="16"/>
  <c r="X517" i="16"/>
  <c r="X533" i="16"/>
  <c r="X549" i="16"/>
  <c r="X565" i="16"/>
  <c r="X581" i="16"/>
  <c r="X597" i="16"/>
  <c r="X613" i="16"/>
  <c r="X629" i="16"/>
  <c r="X645" i="16"/>
  <c r="X661" i="16"/>
  <c r="X677" i="16"/>
  <c r="X693" i="16"/>
  <c r="X709" i="16"/>
  <c r="X725" i="16"/>
  <c r="X741" i="16"/>
  <c r="X757" i="16"/>
  <c r="X773" i="16"/>
  <c r="X789" i="16"/>
  <c r="X805" i="16"/>
  <c r="X821" i="16"/>
  <c r="X837" i="16"/>
  <c r="X853" i="16"/>
  <c r="X869" i="16"/>
  <c r="X885" i="16"/>
  <c r="X901" i="16"/>
  <c r="X917" i="16"/>
  <c r="X933" i="16"/>
  <c r="X949" i="16"/>
  <c r="X965" i="16"/>
  <c r="X981" i="16"/>
  <c r="X997" i="16"/>
  <c r="X1013" i="16"/>
  <c r="X1029" i="16"/>
  <c r="X1045" i="16"/>
  <c r="X1061" i="16"/>
  <c r="X1077" i="16"/>
  <c r="X1093" i="16"/>
  <c r="X1109" i="16"/>
  <c r="X1125" i="16"/>
  <c r="X1141" i="16"/>
  <c r="X1156" i="16"/>
  <c r="X1169" i="16"/>
  <c r="X1181" i="16"/>
  <c r="X1195" i="16"/>
  <c r="X1206" i="16"/>
  <c r="X1220" i="16"/>
  <c r="X1233" i="16"/>
  <c r="X1245" i="16"/>
  <c r="X1259" i="16"/>
  <c r="X1270" i="16"/>
  <c r="X1284" i="16"/>
  <c r="X1297" i="16"/>
  <c r="X1309" i="16"/>
  <c r="X1323" i="16"/>
  <c r="X1334" i="16"/>
  <c r="X1348" i="16"/>
  <c r="X1361" i="16"/>
  <c r="X1373" i="16"/>
  <c r="X1387" i="16"/>
  <c r="X1398" i="16"/>
  <c r="X1412" i="16"/>
  <c r="X1425" i="16"/>
  <c r="X1437" i="16"/>
  <c r="X1451" i="16"/>
  <c r="X1462" i="16"/>
  <c r="X1476" i="16"/>
  <c r="X1489" i="16"/>
  <c r="X1501" i="16"/>
  <c r="X1515" i="16"/>
  <c r="X1526" i="16"/>
  <c r="X1540" i="16"/>
  <c r="X1553" i="16"/>
  <c r="X1565" i="16"/>
  <c r="X1579" i="16"/>
  <c r="X1590" i="16"/>
  <c r="X1604" i="16"/>
  <c r="X1617" i="16"/>
  <c r="X1629" i="16"/>
  <c r="X1643" i="16"/>
  <c r="X1654" i="16"/>
  <c r="X1668" i="16"/>
  <c r="X1681" i="16"/>
  <c r="X1693" i="16"/>
  <c r="X1707" i="16"/>
  <c r="X1718" i="16"/>
  <c r="X1732" i="16"/>
  <c r="X3" i="16"/>
  <c r="X49" i="16"/>
  <c r="X83" i="16"/>
  <c r="X115" i="16"/>
  <c r="X147" i="16"/>
  <c r="X179" i="16"/>
  <c r="X211" i="16"/>
  <c r="X243" i="16"/>
  <c r="X275" i="16"/>
  <c r="X307" i="16"/>
  <c r="X339" i="16"/>
  <c r="X371" i="16"/>
  <c r="X403" i="16"/>
  <c r="X435" i="16"/>
  <c r="X467" i="16"/>
  <c r="X499" i="16"/>
  <c r="X531" i="16"/>
  <c r="X563" i="16"/>
  <c r="X595" i="16"/>
  <c r="X627" i="16"/>
  <c r="X659" i="16"/>
  <c r="X691" i="16"/>
  <c r="X723" i="16"/>
  <c r="X755" i="16"/>
  <c r="X787" i="16"/>
  <c r="X819" i="16"/>
  <c r="X851" i="16"/>
  <c r="X883" i="16"/>
  <c r="X915" i="16"/>
  <c r="X941" i="16"/>
  <c r="X969" i="16"/>
  <c r="X993" i="16"/>
  <c r="X1019" i="16"/>
  <c r="X1043" i="16"/>
  <c r="X1069" i="16"/>
  <c r="X1097" i="16"/>
  <c r="X1121" i="16"/>
  <c r="X1147" i="16"/>
  <c r="X1165" i="16"/>
  <c r="X1188" i="16"/>
  <c r="X1209" i="16"/>
  <c r="X1228" i="16"/>
  <c r="X1249" i="16"/>
  <c r="X1268" i="16"/>
  <c r="X1291" i="16"/>
  <c r="X1310" i="16"/>
  <c r="X1331" i="16"/>
  <c r="X1350" i="16"/>
  <c r="X1371" i="16"/>
  <c r="X1393" i="16"/>
  <c r="X1413" i="16"/>
  <c r="X1433" i="16"/>
  <c r="X1453" i="16"/>
  <c r="X1473" i="16"/>
  <c r="X1494" i="16"/>
  <c r="X1516" i="16"/>
  <c r="X1534" i="16"/>
  <c r="X1556" i="16"/>
  <c r="X1574" i="16"/>
  <c r="X1597" i="16"/>
  <c r="X1619" i="16"/>
  <c r="X1637" i="16"/>
  <c r="X1659" i="16"/>
  <c r="X1677" i="16"/>
  <c r="X1700" i="16"/>
  <c r="X1721" i="16"/>
  <c r="X1740" i="16"/>
  <c r="X1757" i="16"/>
  <c r="X1773" i="16"/>
  <c r="X1790" i="16"/>
  <c r="X1809" i="16"/>
  <c r="X1825" i="16"/>
  <c r="X1843" i="16"/>
  <c r="X1860" i="16"/>
  <c r="X1874" i="16"/>
  <c r="X1889" i="16"/>
  <c r="X1902" i="16"/>
  <c r="X1916" i="16"/>
  <c r="X1931" i="16"/>
  <c r="X1946" i="16"/>
  <c r="X1958" i="16"/>
  <c r="X1973" i="16"/>
  <c r="X1988" i="16"/>
  <c r="X2002" i="16"/>
  <c r="X2012" i="16"/>
  <c r="X2022" i="16"/>
  <c r="X2033" i="16"/>
  <c r="X2043" i="16"/>
  <c r="X2054" i="16"/>
  <c r="X2065" i="16"/>
  <c r="X2075" i="16"/>
  <c r="X2085" i="16"/>
  <c r="X2095" i="16"/>
  <c r="X2106" i="16"/>
  <c r="X2116" i="16"/>
  <c r="X2127" i="16"/>
  <c r="X2138" i="16"/>
  <c r="X2148" i="16"/>
  <c r="X2158" i="16"/>
  <c r="X2167" i="16"/>
  <c r="X2177" i="16"/>
  <c r="X2186" i="16"/>
  <c r="X2195" i="16"/>
  <c r="X2204" i="16"/>
  <c r="X2213" i="16"/>
  <c r="X2222" i="16"/>
  <c r="X2231" i="16"/>
  <c r="X2241" i="16"/>
  <c r="X2250" i="16"/>
  <c r="X2259" i="16"/>
  <c r="X2268" i="16"/>
  <c r="X2277" i="16"/>
  <c r="X2286" i="16"/>
  <c r="X2295" i="16"/>
  <c r="X2305" i="16"/>
  <c r="X2314" i="16"/>
  <c r="X2323" i="16"/>
  <c r="X2332" i="16"/>
  <c r="X2341" i="16"/>
  <c r="X2350" i="16"/>
  <c r="X2359" i="16"/>
  <c r="X2369" i="16"/>
  <c r="X2378" i="16"/>
  <c r="X2387" i="16"/>
  <c r="X2396" i="16"/>
  <c r="X2405" i="16"/>
  <c r="X2414" i="16"/>
  <c r="X2423" i="16"/>
  <c r="X2433" i="16"/>
  <c r="X2442" i="16"/>
  <c r="X2451" i="16"/>
  <c r="X2460" i="16"/>
  <c r="X2469" i="16"/>
  <c r="X2478" i="16"/>
  <c r="X2487" i="16"/>
  <c r="X2497" i="16"/>
  <c r="X2506" i="16"/>
  <c r="X2515" i="16"/>
  <c r="X2524" i="16"/>
  <c r="X2533" i="16"/>
  <c r="X2542" i="16"/>
  <c r="X2551" i="16"/>
  <c r="X2561" i="16"/>
  <c r="X2570" i="16"/>
  <c r="X2579" i="16"/>
  <c r="X2588" i="16"/>
  <c r="X2597" i="16"/>
  <c r="X2606" i="16"/>
  <c r="X2615" i="16"/>
  <c r="X2625" i="16"/>
  <c r="X2634" i="16"/>
  <c r="X2643" i="16"/>
  <c r="X2652" i="16"/>
  <c r="X13" i="16"/>
  <c r="X51" i="16"/>
  <c r="X91" i="16"/>
  <c r="X123" i="16"/>
  <c r="X155" i="16"/>
  <c r="X187" i="16"/>
  <c r="X219" i="16"/>
  <c r="X251" i="16"/>
  <c r="X283" i="16"/>
  <c r="X315" i="16"/>
  <c r="X347" i="16"/>
  <c r="X379" i="16"/>
  <c r="X411" i="16"/>
  <c r="X443" i="16"/>
  <c r="X475" i="16"/>
  <c r="X507" i="16"/>
  <c r="X539" i="16"/>
  <c r="X571" i="16"/>
  <c r="X603" i="16"/>
  <c r="X635" i="16"/>
  <c r="X667" i="16"/>
  <c r="X699" i="16"/>
  <c r="X731" i="16"/>
  <c r="X763" i="16"/>
  <c r="X795" i="16"/>
  <c r="X827" i="16"/>
  <c r="X859" i="16"/>
  <c r="X891" i="16"/>
  <c r="X921" i="16"/>
  <c r="X945" i="16"/>
  <c r="X971" i="16"/>
  <c r="X995" i="16"/>
  <c r="X1021" i="16"/>
  <c r="X1049" i="16"/>
  <c r="X1073" i="16"/>
  <c r="X1099" i="16"/>
  <c r="X1123" i="16"/>
  <c r="X1149" i="16"/>
  <c r="X1171" i="16"/>
  <c r="X17" i="16"/>
  <c r="X61" i="16"/>
  <c r="X93" i="16"/>
  <c r="X125" i="16"/>
  <c r="X157" i="16"/>
  <c r="X189" i="16"/>
  <c r="X221" i="16"/>
  <c r="X253" i="16"/>
  <c r="X285" i="16"/>
  <c r="X317" i="16"/>
  <c r="X349" i="16"/>
  <c r="X381" i="16"/>
  <c r="X413" i="16"/>
  <c r="X445" i="16"/>
  <c r="X477" i="16"/>
  <c r="X509" i="16"/>
  <c r="X541" i="16"/>
  <c r="X573" i="16"/>
  <c r="X605" i="16"/>
  <c r="X637" i="16"/>
  <c r="X669" i="16"/>
  <c r="X701" i="16"/>
  <c r="X733" i="16"/>
  <c r="X765" i="16"/>
  <c r="X797" i="16"/>
  <c r="X829" i="16"/>
  <c r="X861" i="16"/>
  <c r="X893" i="16"/>
  <c r="X923" i="16"/>
  <c r="X947" i="16"/>
  <c r="X973" i="16"/>
  <c r="X1001" i="16"/>
  <c r="X1025" i="16"/>
  <c r="X1051" i="16"/>
  <c r="X1075" i="16"/>
  <c r="X1101" i="16"/>
  <c r="X1129" i="16"/>
  <c r="X1150" i="16"/>
  <c r="X1172" i="16"/>
  <c r="X1190" i="16"/>
  <c r="X1213" i="16"/>
  <c r="X1235" i="16"/>
  <c r="X1253" i="16"/>
  <c r="X1275" i="16"/>
  <c r="X1293" i="16"/>
  <c r="X1316" i="16"/>
  <c r="X1337" i="16"/>
  <c r="X1356" i="16"/>
  <c r="X35" i="16"/>
  <c r="X77" i="16"/>
  <c r="X109" i="16"/>
  <c r="X141" i="16"/>
  <c r="X173" i="16"/>
  <c r="X205" i="16"/>
  <c r="X237" i="16"/>
  <c r="X269" i="16"/>
  <c r="X301" i="16"/>
  <c r="X333" i="16"/>
  <c r="X365" i="16"/>
  <c r="X397" i="16"/>
  <c r="X429" i="16"/>
  <c r="X461" i="16"/>
  <c r="X493" i="16"/>
  <c r="X525" i="16"/>
  <c r="X557" i="16"/>
  <c r="X589" i="16"/>
  <c r="X621" i="16"/>
  <c r="X653" i="16"/>
  <c r="X685" i="16"/>
  <c r="X717" i="16"/>
  <c r="X749" i="16"/>
  <c r="X781" i="16"/>
  <c r="X813" i="16"/>
  <c r="X845" i="16"/>
  <c r="X877" i="16"/>
  <c r="X909" i="16"/>
  <c r="X937" i="16"/>
  <c r="X961" i="16"/>
  <c r="X987" i="16"/>
  <c r="X1011" i="16"/>
  <c r="X1037" i="16"/>
  <c r="X1065" i="16"/>
  <c r="X1089" i="16"/>
  <c r="X1115" i="16"/>
  <c r="X1139" i="16"/>
  <c r="X1163" i="16"/>
  <c r="X1182" i="16"/>
  <c r="X1203" i="16"/>
  <c r="X1222" i="16"/>
  <c r="X1243" i="16"/>
  <c r="X1265" i="16"/>
  <c r="X1285" i="16"/>
  <c r="X1305" i="16"/>
  <c r="X1325" i="16"/>
  <c r="X1345" i="16"/>
  <c r="X1366" i="16"/>
  <c r="X1388" i="16"/>
  <c r="X1406" i="16"/>
  <c r="X1428" i="16"/>
  <c r="X1446" i="16"/>
  <c r="X1469" i="16"/>
  <c r="X1491" i="16"/>
  <c r="X1509" i="16"/>
  <c r="X1531" i="16"/>
  <c r="X1549" i="16"/>
  <c r="X1572" i="16"/>
  <c r="X1593" i="16"/>
  <c r="X1612" i="16"/>
  <c r="X1633" i="16"/>
  <c r="X1652" i="16"/>
  <c r="X1675" i="16"/>
  <c r="X1694" i="16"/>
  <c r="X1715" i="16"/>
  <c r="X1734" i="16"/>
  <c r="X1753" i="16"/>
  <c r="X1771" i="16"/>
  <c r="X1787" i="16"/>
  <c r="X1804" i="16"/>
  <c r="X1821" i="16"/>
  <c r="X1837" i="16"/>
  <c r="X1854" i="16"/>
  <c r="X1870" i="16"/>
  <c r="X1884" i="16"/>
  <c r="X1899" i="16"/>
  <c r="X1914" i="16"/>
  <c r="X1926" i="16"/>
  <c r="X1941" i="16"/>
  <c r="X1956" i="16"/>
  <c r="X1970" i="16"/>
  <c r="X1985" i="16"/>
  <c r="X1998" i="16"/>
  <c r="X2010" i="16"/>
  <c r="X2020" i="16"/>
  <c r="X2030" i="16"/>
  <c r="X2041" i="16"/>
  <c r="X2051" i="16"/>
  <c r="X2061" i="16"/>
  <c r="X2073" i="16"/>
  <c r="X2083" i="16"/>
  <c r="X2093" i="16"/>
  <c r="X2103" i="16"/>
  <c r="X2114" i="16"/>
  <c r="X2124" i="16"/>
  <c r="X2134" i="16"/>
  <c r="X2146" i="16"/>
  <c r="X2156" i="16"/>
  <c r="X2165" i="16"/>
  <c r="X2174" i="16"/>
  <c r="X2183" i="16"/>
  <c r="X2193" i="16"/>
  <c r="X2202" i="16"/>
  <c r="X2211" i="16"/>
  <c r="X2220" i="16"/>
  <c r="X2229" i="16"/>
  <c r="X2238" i="16"/>
  <c r="X2247" i="16"/>
  <c r="X2257" i="16"/>
  <c r="X2266" i="16"/>
  <c r="X2275" i="16"/>
  <c r="X2284" i="16"/>
  <c r="X2293" i="16"/>
  <c r="X2302" i="16"/>
  <c r="X2311" i="16"/>
  <c r="X2321" i="16"/>
  <c r="X2330" i="16"/>
  <c r="X2339" i="16"/>
  <c r="X2348" i="16"/>
  <c r="X2357" i="16"/>
  <c r="X2366" i="16"/>
  <c r="X2375" i="16"/>
  <c r="X2385" i="16"/>
  <c r="X2394" i="16"/>
  <c r="X2403" i="16"/>
  <c r="X2412" i="16"/>
  <c r="X2421" i="16"/>
  <c r="X2430" i="16"/>
  <c r="X2439" i="16"/>
  <c r="X2449" i="16"/>
  <c r="X2458" i="16"/>
  <c r="X2467" i="16"/>
  <c r="X2476" i="16"/>
  <c r="X2485" i="16"/>
  <c r="X2494" i="16"/>
  <c r="X2503" i="16"/>
  <c r="X2513" i="16"/>
  <c r="X2522" i="16"/>
  <c r="X2531" i="16"/>
  <c r="X2540" i="16"/>
  <c r="X2549" i="16"/>
  <c r="X2558" i="16"/>
  <c r="X2567" i="16"/>
  <c r="X2577" i="16"/>
  <c r="X2586" i="16"/>
  <c r="X2595" i="16"/>
  <c r="X2604" i="16"/>
  <c r="X2613" i="16"/>
  <c r="X2622" i="16"/>
  <c r="X2631" i="16"/>
  <c r="X2641" i="16"/>
  <c r="X2650" i="16"/>
  <c r="X45" i="16"/>
  <c r="X81" i="16"/>
  <c r="X113" i="16"/>
  <c r="X145" i="16"/>
  <c r="X177" i="16"/>
  <c r="X209" i="16"/>
  <c r="X241" i="16"/>
  <c r="X273" i="16"/>
  <c r="X305" i="16"/>
  <c r="X337" i="16"/>
  <c r="X369" i="16"/>
  <c r="X401" i="16"/>
  <c r="X433" i="16"/>
  <c r="X465" i="16"/>
  <c r="X497" i="16"/>
  <c r="X529" i="16"/>
  <c r="X561" i="16"/>
  <c r="X593" i="16"/>
  <c r="X625" i="16"/>
  <c r="X657" i="16"/>
  <c r="X689" i="16"/>
  <c r="X721" i="16"/>
  <c r="X753" i="16"/>
  <c r="X785" i="16"/>
  <c r="X817" i="16"/>
  <c r="X849" i="16"/>
  <c r="X881" i="16"/>
  <c r="X913" i="16"/>
  <c r="X939" i="16"/>
  <c r="X963" i="16"/>
  <c r="X989" i="16"/>
  <c r="X1017" i="16"/>
  <c r="X1041" i="16"/>
  <c r="X1067" i="16"/>
  <c r="X1091" i="16"/>
  <c r="X1117" i="16"/>
  <c r="X1145" i="16"/>
  <c r="X1164" i="16"/>
  <c r="X1185" i="16"/>
  <c r="X1204" i="16"/>
  <c r="X1227" i="16"/>
  <c r="X1246" i="16"/>
  <c r="X1267" i="16"/>
  <c r="X1286" i="16"/>
  <c r="X1307" i="16"/>
  <c r="X1329" i="16"/>
  <c r="X1349" i="16"/>
  <c r="X1369" i="16"/>
  <c r="X1389" i="16"/>
  <c r="X1409" i="16"/>
  <c r="X1430" i="16"/>
  <c r="X1452" i="16"/>
  <c r="X1470" i="16"/>
  <c r="X1492" i="16"/>
  <c r="X1510" i="16"/>
  <c r="X1533" i="16"/>
  <c r="X1555" i="16"/>
  <c r="X1573" i="16"/>
  <c r="X1595" i="16"/>
  <c r="X1613" i="16"/>
  <c r="X1636" i="16"/>
  <c r="X1657" i="16"/>
  <c r="X1676" i="16"/>
  <c r="X1697" i="16"/>
  <c r="X1716" i="16"/>
  <c r="X1739" i="16"/>
  <c r="X1755" i="16"/>
  <c r="X1772" i="16"/>
  <c r="X1789" i="16"/>
  <c r="X1805" i="16"/>
  <c r="X1822" i="16"/>
  <c r="X1841" i="16"/>
  <c r="X1857" i="16"/>
  <c r="X1873" i="16"/>
  <c r="X1886" i="16"/>
  <c r="X1900" i="16"/>
  <c r="X1915" i="16"/>
  <c r="X1930" i="16"/>
  <c r="X1942" i="16"/>
  <c r="X1957" i="16"/>
  <c r="X1972" i="16"/>
  <c r="X1986" i="16"/>
  <c r="X2001" i="16"/>
  <c r="X2011" i="16"/>
  <c r="X2021" i="16"/>
  <c r="X2031" i="16"/>
  <c r="X2042" i="16"/>
  <c r="X2052" i="16"/>
  <c r="X2063" i="16"/>
  <c r="X2074" i="16"/>
  <c r="X2084" i="16"/>
  <c r="X2094" i="16"/>
  <c r="X2105" i="16"/>
  <c r="X2115" i="16"/>
  <c r="X2125" i="16"/>
  <c r="X2137" i="16"/>
  <c r="X2147" i="16"/>
  <c r="X2157" i="16"/>
  <c r="X2166" i="16"/>
  <c r="X2175" i="16"/>
  <c r="X2185" i="16"/>
  <c r="X2194" i="16"/>
  <c r="X2203" i="16"/>
  <c r="X2212" i="16"/>
  <c r="X2221" i="16"/>
  <c r="X2230" i="16"/>
  <c r="X2239" i="16"/>
  <c r="X2249" i="16"/>
  <c r="X2258" i="16"/>
  <c r="X2267" i="16"/>
  <c r="X2276" i="16"/>
  <c r="X2285" i="16"/>
  <c r="X2294" i="16"/>
  <c r="X2303" i="16"/>
  <c r="X2313" i="16"/>
  <c r="X2322" i="16"/>
  <c r="X2331" i="16"/>
  <c r="X2340" i="16"/>
  <c r="X2349" i="16"/>
  <c r="X2358" i="16"/>
  <c r="X2367" i="16"/>
  <c r="X2377" i="16"/>
  <c r="X2386" i="16"/>
  <c r="X2395" i="16"/>
  <c r="X2404" i="16"/>
  <c r="X2413" i="16"/>
  <c r="X2422" i="16"/>
  <c r="X2431" i="16"/>
  <c r="X2441" i="16"/>
  <c r="X2450" i="16"/>
  <c r="X2459" i="16"/>
  <c r="X2468" i="16"/>
  <c r="X2477" i="16"/>
  <c r="X2486" i="16"/>
  <c r="X2495" i="16"/>
  <c r="X2505" i="16"/>
  <c r="X2514" i="16"/>
  <c r="X2523" i="16"/>
  <c r="X2532" i="16"/>
  <c r="X2541" i="16"/>
  <c r="X2550" i="16"/>
  <c r="X2559" i="16"/>
  <c r="X2569" i="16"/>
  <c r="X2578" i="16"/>
  <c r="X2587" i="16"/>
  <c r="X2596" i="16"/>
  <c r="X2605" i="16"/>
  <c r="X2614" i="16"/>
  <c r="X2623" i="16"/>
  <c r="X2633" i="16"/>
  <c r="X2642" i="16"/>
  <c r="X2651" i="16"/>
  <c r="X67" i="16"/>
  <c r="X161" i="16"/>
  <c r="X235" i="16"/>
  <c r="X323" i="16"/>
  <c r="X417" i="16"/>
  <c r="X491" i="16"/>
  <c r="X579" i="16"/>
  <c r="X673" i="16"/>
  <c r="X747" i="16"/>
  <c r="X835" i="16"/>
  <c r="X925" i="16"/>
  <c r="X985" i="16"/>
  <c r="X1057" i="16"/>
  <c r="X1131" i="16"/>
  <c r="X1179" i="16"/>
  <c r="X1221" i="16"/>
  <c r="X1261" i="16"/>
  <c r="X1302" i="16"/>
  <c r="X1342" i="16"/>
  <c r="X1381" i="16"/>
  <c r="X1419" i="16"/>
  <c r="X1445" i="16"/>
  <c r="X1483" i="16"/>
  <c r="X1517" i="16"/>
  <c r="X1547" i="16"/>
  <c r="X1581" i="16"/>
  <c r="X1611" i="16"/>
  <c r="X1645" i="16"/>
  <c r="X1683" i="16"/>
  <c r="X1709" i="16"/>
  <c r="X1745" i="16"/>
  <c r="X1766" i="16"/>
  <c r="X1797" i="16"/>
  <c r="X1828" i="16"/>
  <c r="X1851" i="16"/>
  <c r="X1877" i="16"/>
  <c r="X1898" i="16"/>
  <c r="X1922" i="16"/>
  <c r="X1947" i="16"/>
  <c r="X1966" i="16"/>
  <c r="X1990" i="16"/>
  <c r="X2009" i="16"/>
  <c r="X2027" i="16"/>
  <c r="X2045" i="16"/>
  <c r="X2059" i="16"/>
  <c r="X2077" i="16"/>
  <c r="X2092" i="16"/>
  <c r="X2110" i="16"/>
  <c r="X2129" i="16"/>
  <c r="X2142" i="16"/>
  <c r="X2161" i="16"/>
  <c r="X2173" i="16"/>
  <c r="X2189" i="16"/>
  <c r="X2205" i="16"/>
  <c r="X2218" i="16"/>
  <c r="X2234" i="16"/>
  <c r="X2246" i="16"/>
  <c r="X2262" i="16"/>
  <c r="X2278" i="16"/>
  <c r="X2291" i="16"/>
  <c r="X2307" i="16"/>
  <c r="X2319" i="16"/>
  <c r="X2335" i="16"/>
  <c r="X2351" i="16"/>
  <c r="X2364" i="16"/>
  <c r="X2380" i="16"/>
  <c r="X2393" i="16"/>
  <c r="X2409" i="16"/>
  <c r="X2425" i="16"/>
  <c r="X2437" i="16"/>
  <c r="X2453" i="16"/>
  <c r="X2466" i="16"/>
  <c r="X2482" i="16"/>
  <c r="X2498" i="16"/>
  <c r="X2510" i="16"/>
  <c r="X2526" i="16"/>
  <c r="X2539" i="16"/>
  <c r="X2555" i="16"/>
  <c r="X2571" i="16"/>
  <c r="X2583" i="16"/>
  <c r="X2599" i="16"/>
  <c r="X2612" i="16"/>
  <c r="X2628" i="16"/>
  <c r="X2644" i="16"/>
  <c r="X2657" i="16"/>
  <c r="X75" i="16"/>
  <c r="X163" i="16"/>
  <c r="X257" i="16"/>
  <c r="X331" i="16"/>
  <c r="X419" i="16"/>
  <c r="X513" i="16"/>
  <c r="X587" i="16"/>
  <c r="X675" i="16"/>
  <c r="X769" i="16"/>
  <c r="X843" i="16"/>
  <c r="X929" i="16"/>
  <c r="X1003" i="16"/>
  <c r="X1059" i="16"/>
  <c r="X1133" i="16"/>
  <c r="X1189" i="16"/>
  <c r="X1229" i="16"/>
  <c r="X1273" i="16"/>
  <c r="X1313" i="16"/>
  <c r="X1355" i="16"/>
  <c r="X1382" i="16"/>
  <c r="X1420" i="16"/>
  <c r="X1457" i="16"/>
  <c r="X1484" i="16"/>
  <c r="X1521" i="16"/>
  <c r="X1548" i="16"/>
  <c r="X1585" i="16"/>
  <c r="X1620" i="16"/>
  <c r="X1649" i="16"/>
  <c r="X1684" i="16"/>
  <c r="X1713" i="16"/>
  <c r="X1747" i="16"/>
  <c r="X1777" i="16"/>
  <c r="X1798" i="16"/>
  <c r="X1829" i="16"/>
  <c r="X1853" i="16"/>
  <c r="X1878" i="16"/>
  <c r="X1905" i="16"/>
  <c r="X1924" i="16"/>
  <c r="X1948" i="16"/>
  <c r="X1969" i="16"/>
  <c r="X1994" i="16"/>
  <c r="X2013" i="16"/>
  <c r="X2028" i="16"/>
  <c r="X2046" i="16"/>
  <c r="X2060" i="16"/>
  <c r="X2078" i="16"/>
  <c r="X2097" i="16"/>
  <c r="X2111" i="16"/>
  <c r="X2130" i="16"/>
  <c r="X2143" i="16"/>
  <c r="X2162" i="16"/>
  <c r="X2178" i="16"/>
  <c r="X2190" i="16"/>
  <c r="X2206" i="16"/>
  <c r="X2219" i="16"/>
  <c r="X2235" i="16"/>
  <c r="X2251" i="16"/>
  <c r="X2263" i="16"/>
  <c r="X2279" i="16"/>
  <c r="X2292" i="16"/>
  <c r="X2308" i="16"/>
  <c r="X2324" i="16"/>
  <c r="X2337" i="16"/>
  <c r="X2353" i="16"/>
  <c r="X2365" i="16"/>
  <c r="X2381" i="16"/>
  <c r="X2397" i="16"/>
  <c r="X2410" i="16"/>
  <c r="X2426" i="16"/>
  <c r="X2438" i="16"/>
  <c r="X2454" i="16"/>
  <c r="X2470" i="16"/>
  <c r="X2483" i="16"/>
  <c r="X2499" i="16"/>
  <c r="X2511" i="16"/>
  <c r="X2527" i="16"/>
  <c r="X2543" i="16"/>
  <c r="X2556" i="16"/>
  <c r="X2572" i="16"/>
  <c r="X2585" i="16"/>
  <c r="X2601" i="16"/>
  <c r="X2617" i="16"/>
  <c r="X2629" i="16"/>
  <c r="X2645" i="16"/>
  <c r="X2658" i="16"/>
  <c r="X97" i="16"/>
  <c r="X171" i="16"/>
  <c r="X259" i="16"/>
  <c r="X353" i="16"/>
  <c r="X427" i="16"/>
  <c r="X515" i="16"/>
  <c r="X609" i="16"/>
  <c r="X683" i="16"/>
  <c r="X771" i="16"/>
  <c r="X865" i="16"/>
  <c r="X931" i="16"/>
  <c r="X1005" i="16"/>
  <c r="X1081" i="16"/>
  <c r="X1137" i="16"/>
  <c r="X1196" i="16"/>
  <c r="X1236" i="16"/>
  <c r="X1277" i="16"/>
  <c r="X1317" i="16"/>
  <c r="X1357" i="16"/>
  <c r="X1395" i="16"/>
  <c r="X1421" i="16"/>
  <c r="X1459" i="16"/>
  <c r="X1485" i="16"/>
  <c r="X1523" i="16"/>
  <c r="X1558" i="16"/>
  <c r="X1587" i="16"/>
  <c r="X1622" i="16"/>
  <c r="X1651" i="16"/>
  <c r="X1686" i="16"/>
  <c r="X1723" i="16"/>
  <c r="X1748" i="16"/>
  <c r="X1779" i="16"/>
  <c r="X1803" i="16"/>
  <c r="X1830" i="16"/>
  <c r="X1861" i="16"/>
  <c r="X1882" i="16"/>
  <c r="X1906" i="16"/>
  <c r="X1925" i="16"/>
  <c r="X1950" i="16"/>
  <c r="X1974" i="16"/>
  <c r="X1995" i="16"/>
  <c r="X2014" i="16"/>
  <c r="X2029" i="16"/>
  <c r="X2047" i="16"/>
  <c r="X2066" i="16"/>
  <c r="X2079" i="16"/>
  <c r="X2098" i="16"/>
  <c r="X2113" i="16"/>
  <c r="X2131" i="16"/>
  <c r="X2149" i="16"/>
  <c r="X2163" i="16"/>
  <c r="X2179" i="16"/>
  <c r="X2191" i="16"/>
  <c r="X2207" i="16"/>
  <c r="X2223" i="16"/>
  <c r="X2236" i="16"/>
  <c r="X2252" i="16"/>
  <c r="X2265" i="16"/>
  <c r="X2281" i="16"/>
  <c r="X2297" i="16"/>
  <c r="X2309" i="16"/>
  <c r="X2325" i="16"/>
  <c r="X2338" i="16"/>
  <c r="X2354" i="16"/>
  <c r="X2370" i="16"/>
  <c r="X2382" i="16"/>
  <c r="X2398" i="16"/>
  <c r="X2411" i="16"/>
  <c r="X2427" i="16"/>
  <c r="X2443" i="16"/>
  <c r="X2455" i="16"/>
  <c r="X2471" i="16"/>
  <c r="X2484" i="16"/>
  <c r="X2500" i="16"/>
  <c r="X2516" i="16"/>
  <c r="X2529" i="16"/>
  <c r="X2545" i="16"/>
  <c r="X2557" i="16"/>
  <c r="X2573" i="16"/>
  <c r="X2589" i="16"/>
  <c r="X2602" i="16"/>
  <c r="X2618" i="16"/>
  <c r="X2630" i="16"/>
  <c r="X2646" i="16"/>
  <c r="X99" i="16"/>
  <c r="X193" i="16"/>
  <c r="X267" i="16"/>
  <c r="X355" i="16"/>
  <c r="X449" i="16"/>
  <c r="X523" i="16"/>
  <c r="X611" i="16"/>
  <c r="X705" i="16"/>
  <c r="X779" i="16"/>
  <c r="X867" i="16"/>
  <c r="X953" i="16"/>
  <c r="X1009" i="16"/>
  <c r="X1083" i="16"/>
  <c r="X1153" i="16"/>
  <c r="X1197" i="16"/>
  <c r="X1238" i="16"/>
  <c r="X1278" i="16"/>
  <c r="X1318" i="16"/>
  <c r="X1363" i="16"/>
  <c r="X1396" i="16"/>
  <c r="X1427" i="16"/>
  <c r="X1460" i="16"/>
  <c r="X1497" i="16"/>
  <c r="X1524" i="16"/>
  <c r="X1561" i="16"/>
  <c r="X1588" i="16"/>
  <c r="X1625" i="16"/>
  <c r="X1661" i="16"/>
  <c r="X1689" i="16"/>
  <c r="X1725" i="16"/>
  <c r="X1750" i="16"/>
  <c r="X1780" i="16"/>
  <c r="X1811" i="16"/>
  <c r="X1835" i="16"/>
  <c r="X1862" i="16"/>
  <c r="X1883" i="16"/>
  <c r="X1908" i="16"/>
  <c r="X1932" i="16"/>
  <c r="X1953" i="16"/>
  <c r="X1978" i="16"/>
  <c r="X1996" i="16"/>
  <c r="X2015" i="16"/>
  <c r="X2034" i="16"/>
  <c r="X2049" i="16"/>
  <c r="X2067" i="16"/>
  <c r="X2082" i="16"/>
  <c r="X2100" i="16"/>
  <c r="X2118" i="16"/>
  <c r="X2132" i="16"/>
  <c r="X2150" i="16"/>
  <c r="X2164" i="16"/>
  <c r="X2180" i="16"/>
  <c r="X2196" i="16"/>
  <c r="X2209" i="16"/>
  <c r="X2225" i="16"/>
  <c r="X2237" i="16"/>
  <c r="X2253" i="16"/>
  <c r="X2269" i="16"/>
  <c r="X2282" i="16"/>
  <c r="X2298" i="16"/>
  <c r="X2310" i="16"/>
  <c r="X2326" i="16"/>
  <c r="X2342" i="16"/>
  <c r="X2355" i="16"/>
  <c r="X2371" i="16"/>
  <c r="X2383" i="16"/>
  <c r="X2399" i="16"/>
  <c r="X2415" i="16"/>
  <c r="X2428" i="16"/>
  <c r="X2444" i="16"/>
  <c r="X2457" i="16"/>
  <c r="X2473" i="16"/>
  <c r="X2489" i="16"/>
  <c r="X2501" i="16"/>
  <c r="X2517" i="16"/>
  <c r="X2530" i="16"/>
  <c r="X2546" i="16"/>
  <c r="X2562" i="16"/>
  <c r="X2574" i="16"/>
  <c r="X2590" i="16"/>
  <c r="X2603" i="16"/>
  <c r="X2619" i="16"/>
  <c r="X2635" i="16"/>
  <c r="X2647" i="16"/>
  <c r="X29" i="16"/>
  <c r="X129" i="16"/>
  <c r="X203" i="16"/>
  <c r="X291" i="16"/>
  <c r="X385" i="16"/>
  <c r="X459" i="16"/>
  <c r="X547" i="16"/>
  <c r="X641" i="16"/>
  <c r="X715" i="16"/>
  <c r="X803" i="16"/>
  <c r="X897" i="16"/>
  <c r="X957" i="16"/>
  <c r="X1033" i="16"/>
  <c r="X1105" i="16"/>
  <c r="X1158" i="16"/>
  <c r="X1211" i="16"/>
  <c r="X1252" i="16"/>
  <c r="X1292" i="16"/>
  <c r="X1332" i="16"/>
  <c r="X1374" i="16"/>
  <c r="X1403" i="16"/>
  <c r="X1438" i="16"/>
  <c r="X1467" i="16"/>
  <c r="X1502" i="16"/>
  <c r="X1537" i="16"/>
  <c r="X1566" i="16"/>
  <c r="X1601" i="16"/>
  <c r="X1630" i="16"/>
  <c r="X1665" i="16"/>
  <c r="X1701" i="16"/>
  <c r="X1729" i="16"/>
  <c r="X1761" i="16"/>
  <c r="X1785" i="16"/>
  <c r="X1814" i="16"/>
  <c r="X1844" i="16"/>
  <c r="X1867" i="16"/>
  <c r="X1892" i="16"/>
  <c r="X1910" i="16"/>
  <c r="X1937" i="16"/>
  <c r="X1962" i="16"/>
  <c r="X1980" i="16"/>
  <c r="X2004" i="16"/>
  <c r="X2019" i="16"/>
  <c r="X2037" i="16"/>
  <c r="X2055" i="16"/>
  <c r="X2069" i="16"/>
  <c r="X2087" i="16"/>
  <c r="X2102" i="16"/>
  <c r="X2121" i="16"/>
  <c r="X2139" i="16"/>
  <c r="X2153" i="16"/>
  <c r="X2170" i="16"/>
  <c r="X2182" i="16"/>
  <c r="X2198" i="16"/>
  <c r="X2214" i="16"/>
  <c r="X2227" i="16"/>
  <c r="X2243" i="16"/>
  <c r="X2255" i="16"/>
  <c r="X2271" i="16"/>
  <c r="X2287" i="16"/>
  <c r="X2300" i="16"/>
  <c r="X2316" i="16"/>
  <c r="X2329" i="16"/>
  <c r="X2345" i="16"/>
  <c r="X2361" i="16"/>
  <c r="X2373" i="16"/>
  <c r="X2389" i="16"/>
  <c r="X2402" i="16"/>
  <c r="X2418" i="16"/>
  <c r="X2434" i="16"/>
  <c r="X2446" i="16"/>
  <c r="X2462" i="16"/>
  <c r="X2475" i="16"/>
  <c r="X2491" i="16"/>
  <c r="X2507" i="16"/>
  <c r="X2519" i="16"/>
  <c r="X2535" i="16"/>
  <c r="X2548" i="16"/>
  <c r="X2564" i="16"/>
  <c r="X2580" i="16"/>
  <c r="X2593" i="16"/>
  <c r="X2609" i="16"/>
  <c r="X2621" i="16"/>
  <c r="X2637" i="16"/>
  <c r="X2653" i="16"/>
  <c r="X33" i="16"/>
  <c r="X131" i="16"/>
  <c r="X225" i="16"/>
  <c r="X299" i="16"/>
  <c r="X387" i="16"/>
  <c r="X481" i="16"/>
  <c r="X555" i="16"/>
  <c r="X643" i="16"/>
  <c r="X737" i="16"/>
  <c r="X811" i="16"/>
  <c r="X899" i="16"/>
  <c r="X977" i="16"/>
  <c r="X1035" i="16"/>
  <c r="X1107" i="16"/>
  <c r="X1174" i="16"/>
  <c r="X1214" i="16"/>
  <c r="X1254" i="16"/>
  <c r="X1299" i="16"/>
  <c r="X1339" i="16"/>
  <c r="X1377" i="16"/>
  <c r="X1405" i="16"/>
  <c r="X1441" i="16"/>
  <c r="X1477" i="16"/>
  <c r="X1505" i="16"/>
  <c r="X1541" i="16"/>
  <c r="X1569" i="16"/>
  <c r="X1605" i="16"/>
  <c r="X1638" i="16"/>
  <c r="X1669" i="16"/>
  <c r="X1702" i="16"/>
  <c r="X1733" i="16"/>
  <c r="X1764" i="16"/>
  <c r="X1793" i="16"/>
  <c r="X1817" i="16"/>
  <c r="X1846" i="16"/>
  <c r="X1868" i="16"/>
  <c r="X1893" i="16"/>
  <c r="X1918" i="16"/>
  <c r="X1938" i="16"/>
  <c r="X1963" i="16"/>
  <c r="X1982" i="16"/>
  <c r="X2005" i="16"/>
  <c r="X2023" i="16"/>
  <c r="X2038" i="16"/>
  <c r="X2057" i="16"/>
  <c r="X2070" i="16"/>
  <c r="X2089" i="16"/>
  <c r="X2107" i="16"/>
  <c r="X2122" i="16"/>
  <c r="X2140" i="16"/>
  <c r="X2155" i="16"/>
  <c r="X2171" i="16"/>
  <c r="X2187" i="16"/>
  <c r="X2199" i="16"/>
  <c r="X2215" i="16"/>
  <c r="X2228" i="16"/>
  <c r="X2244" i="16"/>
  <c r="X2260" i="16"/>
  <c r="X2273" i="16"/>
  <c r="X2289" i="16"/>
  <c r="X2301" i="16"/>
  <c r="X2317" i="16"/>
  <c r="X2333" i="16"/>
  <c r="X2346" i="16"/>
  <c r="X2362" i="16"/>
  <c r="X2374" i="16"/>
  <c r="X2390" i="16"/>
  <c r="X2406" i="16"/>
  <c r="X2419" i="16"/>
  <c r="X2435" i="16"/>
  <c r="X2447" i="16"/>
  <c r="X2463" i="16"/>
  <c r="X2479" i="16"/>
  <c r="X2492" i="16"/>
  <c r="X2508" i="16"/>
  <c r="X2521" i="16"/>
  <c r="X2537" i="16"/>
  <c r="X2553" i="16"/>
  <c r="X2565" i="16"/>
  <c r="X2581" i="16"/>
  <c r="X2594" i="16"/>
  <c r="X2610" i="16"/>
  <c r="X2626" i="16"/>
  <c r="X2638" i="16"/>
  <c r="X2654" i="16"/>
  <c r="X65" i="16"/>
  <c r="X139" i="16"/>
  <c r="X227" i="16"/>
  <c r="X321" i="16"/>
  <c r="X395" i="16"/>
  <c r="X483" i="16"/>
  <c r="X577" i="16"/>
  <c r="X651" i="16"/>
  <c r="X739" i="16"/>
  <c r="X833" i="16"/>
  <c r="X907" i="16"/>
  <c r="X979" i="16"/>
  <c r="X1053" i="16"/>
  <c r="X1113" i="16"/>
  <c r="X1177" i="16"/>
  <c r="X1217" i="16"/>
  <c r="X1260" i="16"/>
  <c r="X1300" i="16"/>
  <c r="X1341" i="16"/>
  <c r="X1380" i="16"/>
  <c r="X1414" i="16"/>
  <c r="X1444" i="16"/>
  <c r="X1478" i="16"/>
  <c r="X1508" i="16"/>
  <c r="X1542" i="16"/>
  <c r="X1580" i="16"/>
  <c r="X1606" i="16"/>
  <c r="X1644" i="16"/>
  <c r="X1670" i="16"/>
  <c r="X1708" i="16"/>
  <c r="X1741" i="16"/>
  <c r="X1765" i="16"/>
  <c r="X1796" i="16"/>
  <c r="X1819" i="16"/>
  <c r="X1849" i="16"/>
  <c r="X1876" i="16"/>
  <c r="X1894" i="16"/>
  <c r="X1921" i="16"/>
  <c r="X1940" i="16"/>
  <c r="X1964" i="16"/>
  <c r="X1989" i="16"/>
  <c r="X2006" i="16"/>
  <c r="X2025" i="16"/>
  <c r="X2039" i="16"/>
  <c r="X2058" i="16"/>
  <c r="X2076" i="16"/>
  <c r="X2091" i="16"/>
  <c r="X2109" i="16"/>
  <c r="X2123" i="16"/>
  <c r="X2141" i="16"/>
  <c r="X2159" i="16"/>
  <c r="X2172" i="16"/>
  <c r="X2188" i="16"/>
  <c r="X2201" i="16"/>
  <c r="X2217" i="16"/>
  <c r="X2233" i="16"/>
  <c r="X2245" i="16"/>
  <c r="X2261" i="16"/>
  <c r="X2274" i="16"/>
  <c r="X2290" i="16"/>
  <c r="X2306" i="16"/>
  <c r="X2318" i="16"/>
  <c r="X2334" i="16"/>
  <c r="X2347" i="16"/>
  <c r="X2363" i="16"/>
  <c r="X2379" i="16"/>
  <c r="X2391" i="16"/>
  <c r="X2407" i="16"/>
  <c r="X2420" i="16"/>
  <c r="X2436" i="16"/>
  <c r="X2452" i="16"/>
  <c r="X2465" i="16"/>
  <c r="X2481" i="16"/>
  <c r="X2493" i="16"/>
  <c r="X2509" i="16"/>
  <c r="X2525" i="16"/>
  <c r="X2538" i="16"/>
  <c r="X2554" i="16"/>
  <c r="X2566" i="16"/>
  <c r="X2582" i="16"/>
  <c r="X2598" i="16"/>
  <c r="X2611" i="16"/>
  <c r="X2627" i="16"/>
  <c r="X2639" i="16"/>
  <c r="X2655" i="16"/>
  <c r="X195" i="16"/>
  <c r="X875" i="16"/>
  <c r="X1324" i="16"/>
  <c r="X1598" i="16"/>
  <c r="X1836" i="16"/>
  <c r="X2018" i="16"/>
  <c r="X2151" i="16"/>
  <c r="X2270" i="16"/>
  <c r="X2388" i="16"/>
  <c r="X2502" i="16"/>
  <c r="X2620" i="16"/>
  <c r="X289" i="16"/>
  <c r="X955" i="16"/>
  <c r="X1364" i="16"/>
  <c r="X1627" i="16"/>
  <c r="X1866" i="16"/>
  <c r="X2036" i="16"/>
  <c r="X2169" i="16"/>
  <c r="X2283" i="16"/>
  <c r="X2401" i="16"/>
  <c r="X2518" i="16"/>
  <c r="X2636" i="16"/>
  <c r="X363" i="16"/>
  <c r="X1027" i="16"/>
  <c r="X1401" i="16"/>
  <c r="X1662" i="16"/>
  <c r="X1890" i="16"/>
  <c r="X2050" i="16"/>
  <c r="X2181" i="16"/>
  <c r="X2299" i="16"/>
  <c r="X2417" i="16"/>
  <c r="X2534" i="16"/>
  <c r="X2649" i="16"/>
  <c r="X451" i="16"/>
  <c r="X1085" i="16"/>
  <c r="X1435" i="16"/>
  <c r="X1691" i="16"/>
  <c r="X1909" i="16"/>
  <c r="X2068" i="16"/>
  <c r="X2197" i="16"/>
  <c r="X2315" i="16"/>
  <c r="X2429" i="16"/>
  <c r="X2547" i="16"/>
  <c r="X619" i="16"/>
  <c r="X1201" i="16"/>
  <c r="X1499" i="16"/>
  <c r="X1758" i="16"/>
  <c r="X1954" i="16"/>
  <c r="X2101" i="16"/>
  <c r="X2226" i="16"/>
  <c r="X2343" i="16"/>
  <c r="X2461" i="16"/>
  <c r="X2575" i="16"/>
  <c r="X19" i="16"/>
  <c r="X707" i="16"/>
  <c r="X1241" i="16"/>
  <c r="X1529" i="16"/>
  <c r="X1782" i="16"/>
  <c r="X1979" i="16"/>
  <c r="X2119" i="16"/>
  <c r="X2242" i="16"/>
  <c r="X2356" i="16"/>
  <c r="X2474" i="16"/>
  <c r="X2591" i="16"/>
  <c r="X107" i="16"/>
  <c r="X801" i="16"/>
  <c r="X1281" i="16"/>
  <c r="X1563" i="16"/>
  <c r="X1812" i="16"/>
  <c r="X2003" i="16"/>
  <c r="X2133" i="16"/>
  <c r="X2254" i="16"/>
  <c r="X2372" i="16"/>
  <c r="X2490" i="16"/>
  <c r="X2607" i="16"/>
  <c r="X1465" i="16"/>
  <c r="X1726" i="16"/>
  <c r="X1934" i="16"/>
  <c r="X2086" i="16"/>
  <c r="X2210" i="16"/>
  <c r="X2327" i="16"/>
  <c r="X545" i="16"/>
  <c r="X2445" i="16"/>
  <c r="X1157" i="16"/>
  <c r="X2563" i="16"/>
  <c r="C1" i="21" l="1"/>
  <c r="D34" i="21"/>
  <c r="C34" i="21"/>
  <c r="B1" i="21" l="1"/>
  <c r="A389" i="10" l="1"/>
  <c r="C20" i="9" l="1"/>
  <c r="C21" i="9"/>
  <c r="B7" i="6"/>
  <c r="A388" i="10"/>
  <c r="A387" i="10"/>
  <c r="A386" i="10"/>
  <c r="V296" i="16" l="1"/>
  <c r="AB296" i="16" s="1"/>
  <c r="AC296" i="16" s="1"/>
  <c r="V19" i="16"/>
  <c r="AB19" i="16" s="1"/>
  <c r="AC19" i="16" s="1"/>
  <c r="V83" i="16"/>
  <c r="AB83" i="16" s="1"/>
  <c r="AC83" i="16" s="1"/>
  <c r="V147" i="16"/>
  <c r="AB147" i="16" s="1"/>
  <c r="AC147" i="16" s="1"/>
  <c r="V211" i="16"/>
  <c r="AB211" i="16" s="1"/>
  <c r="AC211" i="16" s="1"/>
  <c r="V53" i="16"/>
  <c r="AB53" i="16" s="1"/>
  <c r="AC53" i="16" s="1"/>
  <c r="V117" i="16"/>
  <c r="AB117" i="16" s="1"/>
  <c r="AC117" i="16" s="1"/>
  <c r="V181" i="16"/>
  <c r="AB181" i="16" s="1"/>
  <c r="AC181" i="16" s="1"/>
  <c r="V14" i="16"/>
  <c r="AB14" i="16" s="1"/>
  <c r="AC14" i="16" s="1"/>
  <c r="V78" i="16"/>
  <c r="AB78" i="16" s="1"/>
  <c r="AC78" i="16" s="1"/>
  <c r="V142" i="16"/>
  <c r="AB142" i="16" s="1"/>
  <c r="AC142" i="16" s="1"/>
  <c r="V206" i="16"/>
  <c r="AB206" i="16" s="1"/>
  <c r="AC206" i="16" s="1"/>
  <c r="V55" i="16"/>
  <c r="AB55" i="16" s="1"/>
  <c r="AC55" i="16" s="1"/>
  <c r="V183" i="16"/>
  <c r="AB183" i="16" s="1"/>
  <c r="AC183" i="16" s="1"/>
  <c r="V127" i="16"/>
  <c r="AB127" i="16" s="1"/>
  <c r="AC127" i="16" s="1"/>
  <c r="V17" i="16"/>
  <c r="AB17" i="16" s="1"/>
  <c r="AC17" i="16" s="1"/>
  <c r="V161" i="16"/>
  <c r="AB161" i="16" s="1"/>
  <c r="AC161" i="16" s="1"/>
  <c r="V82" i="16"/>
  <c r="AB82" i="16" s="1"/>
  <c r="AC82" i="16" s="1"/>
  <c r="V210" i="16"/>
  <c r="AB210" i="16" s="1"/>
  <c r="AC210" i="16" s="1"/>
  <c r="V68" i="16"/>
  <c r="AB68" i="16" s="1"/>
  <c r="AC68" i="16" s="1"/>
  <c r="V196" i="16"/>
  <c r="AB196" i="16" s="1"/>
  <c r="AC196" i="16" s="1"/>
  <c r="V52" i="16"/>
  <c r="AB52" i="16" s="1"/>
  <c r="AC52" i="16" s="1"/>
  <c r="V184" i="16"/>
  <c r="AB184" i="16" s="1"/>
  <c r="AC184" i="16" s="1"/>
  <c r="V34" i="16"/>
  <c r="AB34" i="16" s="1"/>
  <c r="AC34" i="16" s="1"/>
  <c r="V169" i="16"/>
  <c r="AB169" i="16" s="1"/>
  <c r="AC169" i="16" s="1"/>
  <c r="V90" i="16"/>
  <c r="AB90" i="16" s="1"/>
  <c r="AC90" i="16" s="1"/>
  <c r="V218" i="16"/>
  <c r="AB218" i="16" s="1"/>
  <c r="AC218" i="16" s="1"/>
  <c r="V112" i="16"/>
  <c r="AB112" i="16" s="1"/>
  <c r="AC112" i="16" s="1"/>
  <c r="V24" i="16"/>
  <c r="AB24" i="16" s="1"/>
  <c r="AC24" i="16" s="1"/>
  <c r="V140" i="16"/>
  <c r="AB140" i="16" s="1"/>
  <c r="AC140" i="16" s="1"/>
  <c r="V503" i="16"/>
  <c r="AB503" i="16" s="1"/>
  <c r="AC503" i="16" s="1"/>
  <c r="V670" i="16"/>
  <c r="AB670" i="16" s="1"/>
  <c r="AC670" i="16" s="1"/>
  <c r="V717" i="16"/>
  <c r="AB717" i="16" s="1"/>
  <c r="AC717" i="16" s="1"/>
  <c r="V868" i="16"/>
  <c r="AB868" i="16" s="1"/>
  <c r="AC868" i="16" s="1"/>
  <c r="V356" i="16"/>
  <c r="AB356" i="16" s="1"/>
  <c r="AC356" i="16" s="1"/>
  <c r="V515" i="16"/>
  <c r="AB515" i="16" s="1"/>
  <c r="AC515" i="16" s="1"/>
  <c r="V674" i="16"/>
  <c r="AB674" i="16" s="1"/>
  <c r="AC674" i="16" s="1"/>
  <c r="V649" i="16"/>
  <c r="AB649" i="16" s="1"/>
  <c r="AC649" i="16" s="1"/>
  <c r="V815" i="16"/>
  <c r="AB815" i="16" s="1"/>
  <c r="AC815" i="16" s="1"/>
  <c r="V303" i="16"/>
  <c r="AB303" i="16" s="1"/>
  <c r="AC303" i="16" s="1"/>
  <c r="V470" i="16"/>
  <c r="AB470" i="16" s="1"/>
  <c r="AC470" i="16" s="1"/>
  <c r="V517" i="16"/>
  <c r="AB517" i="16" s="1"/>
  <c r="AC517" i="16" s="1"/>
  <c r="V668" i="16"/>
  <c r="AB668" i="16" s="1"/>
  <c r="AC668" i="16" s="1"/>
  <c r="V827" i="16"/>
  <c r="AB827" i="16" s="1"/>
  <c r="AC827" i="16" s="1"/>
  <c r="V315" i="16"/>
  <c r="AB315" i="16" s="1"/>
  <c r="AC315" i="16" s="1"/>
  <c r="V474" i="16"/>
  <c r="AB474" i="16" s="1"/>
  <c r="AC474" i="16" s="1"/>
  <c r="V449" i="16"/>
  <c r="AB449" i="16" s="1"/>
  <c r="AC449" i="16" s="1"/>
  <c r="V615" i="16"/>
  <c r="AB615" i="16" s="1"/>
  <c r="AC615" i="16" s="1"/>
  <c r="V782" i="16"/>
  <c r="AB782" i="16" s="1"/>
  <c r="AC782" i="16" s="1"/>
  <c r="V829" i="16"/>
  <c r="AB829" i="16" s="1"/>
  <c r="AC829" i="16" s="1"/>
  <c r="V317" i="16"/>
  <c r="AB317" i="16" s="1"/>
  <c r="AC317" i="16" s="1"/>
  <c r="V468" i="16"/>
  <c r="AB468" i="16" s="1"/>
  <c r="AC468" i="16" s="1"/>
  <c r="V627" i="16"/>
  <c r="AB627" i="16" s="1"/>
  <c r="AC627" i="16" s="1"/>
  <c r="V786" i="16"/>
  <c r="AB786" i="16" s="1"/>
  <c r="AC786" i="16" s="1"/>
  <c r="V274" i="16"/>
  <c r="AB274" i="16" s="1"/>
  <c r="AC274" i="16" s="1"/>
  <c r="V927" i="16"/>
  <c r="AB927" i="16" s="1"/>
  <c r="AC927" i="16" s="1"/>
  <c r="V415" i="16"/>
  <c r="AB415" i="16" s="1"/>
  <c r="AC415" i="16" s="1"/>
  <c r="V582" i="16"/>
  <c r="AB582" i="16" s="1"/>
  <c r="AC582" i="16" s="1"/>
  <c r="V629" i="16"/>
  <c r="AB629" i="16" s="1"/>
  <c r="AC629" i="16" s="1"/>
  <c r="V780" i="16"/>
  <c r="AB780" i="16" s="1"/>
  <c r="AC780" i="16" s="1"/>
  <c r="V939" i="16"/>
  <c r="AB939" i="16" s="1"/>
  <c r="AC939" i="16" s="1"/>
  <c r="V427" i="16"/>
  <c r="AB427" i="16" s="1"/>
  <c r="AC427" i="16" s="1"/>
  <c r="V911" i="16"/>
  <c r="AB911" i="16" s="1"/>
  <c r="AC911" i="16" s="1"/>
  <c r="V27" i="16"/>
  <c r="AB27" i="16" s="1"/>
  <c r="AC27" i="16" s="1"/>
  <c r="V91" i="16"/>
  <c r="AB91" i="16" s="1"/>
  <c r="AC91" i="16" s="1"/>
  <c r="V155" i="16"/>
  <c r="AB155" i="16" s="1"/>
  <c r="AC155" i="16" s="1"/>
  <c r="V219" i="16"/>
  <c r="AB219" i="16" s="1"/>
  <c r="AC219" i="16" s="1"/>
  <c r="V61" i="16"/>
  <c r="AB61" i="16" s="1"/>
  <c r="AC61" i="16" s="1"/>
  <c r="V125" i="16"/>
  <c r="AB125" i="16" s="1"/>
  <c r="AC125" i="16" s="1"/>
  <c r="V189" i="16"/>
  <c r="AB189" i="16" s="1"/>
  <c r="AC189" i="16" s="1"/>
  <c r="V22" i="16"/>
  <c r="AB22" i="16" s="1"/>
  <c r="AC22" i="16" s="1"/>
  <c r="V86" i="16"/>
  <c r="AB86" i="16" s="1"/>
  <c r="AC86" i="16" s="1"/>
  <c r="V150" i="16"/>
  <c r="AB150" i="16" s="1"/>
  <c r="AC150" i="16" s="1"/>
  <c r="V214" i="16"/>
  <c r="AB214" i="16" s="1"/>
  <c r="AC214" i="16" s="1"/>
  <c r="V71" i="16"/>
  <c r="AB71" i="16" s="1"/>
  <c r="AC71" i="16" s="1"/>
  <c r="V199" i="16"/>
  <c r="AB199" i="16" s="1"/>
  <c r="AC199" i="16" s="1"/>
  <c r="V143" i="16"/>
  <c r="AB143" i="16" s="1"/>
  <c r="AC143" i="16" s="1"/>
  <c r="V25" i="16"/>
  <c r="AB25" i="16" s="1"/>
  <c r="AC25" i="16" s="1"/>
  <c r="V193" i="16"/>
  <c r="AB193" i="16" s="1"/>
  <c r="AC193" i="16" s="1"/>
  <c r="V98" i="16"/>
  <c r="AB98" i="16" s="1"/>
  <c r="AC98" i="16" s="1"/>
  <c r="V226" i="16"/>
  <c r="AB226" i="16" s="1"/>
  <c r="AC226" i="16" s="1"/>
  <c r="V84" i="16"/>
  <c r="AB84" i="16" s="1"/>
  <c r="AC84" i="16" s="1"/>
  <c r="V212" i="16"/>
  <c r="AB212" i="16" s="1"/>
  <c r="AC212" i="16" s="1"/>
  <c r="V72" i="16"/>
  <c r="AB72" i="16" s="1"/>
  <c r="AC72" i="16" s="1"/>
  <c r="V200" i="16"/>
  <c r="AB200" i="16" s="1"/>
  <c r="AC200" i="16" s="1"/>
  <c r="V56" i="16"/>
  <c r="AB56" i="16" s="1"/>
  <c r="AC56" i="16" s="1"/>
  <c r="V185" i="16"/>
  <c r="AB185" i="16" s="1"/>
  <c r="AC185" i="16" s="1"/>
  <c r="V106" i="16"/>
  <c r="AB106" i="16" s="1"/>
  <c r="AC106" i="16" s="1"/>
  <c r="V124" i="16"/>
  <c r="AB124" i="16" s="1"/>
  <c r="AC124" i="16" s="1"/>
  <c r="V128" i="16"/>
  <c r="AB128" i="16" s="1"/>
  <c r="AC128" i="16" s="1"/>
  <c r="V44" i="16"/>
  <c r="AB44" i="16" s="1"/>
  <c r="AC44" i="16" s="1"/>
  <c r="V895" i="16"/>
  <c r="AB895" i="16" s="1"/>
  <c r="AC895" i="16" s="1"/>
  <c r="V439" i="16"/>
  <c r="AB439" i="16" s="1"/>
  <c r="AC439" i="16" s="1"/>
  <c r="V606" i="16"/>
  <c r="AB606" i="16" s="1"/>
  <c r="AC606" i="16" s="1"/>
  <c r="V653" i="16"/>
  <c r="AB653" i="16" s="1"/>
  <c r="AC653" i="16" s="1"/>
  <c r="V804" i="16"/>
  <c r="AB804" i="16" s="1"/>
  <c r="AC804" i="16" s="1"/>
  <c r="V292" i="16"/>
  <c r="AB292" i="16" s="1"/>
  <c r="AC292" i="16" s="1"/>
  <c r="V451" i="16"/>
  <c r="AB451" i="16" s="1"/>
  <c r="AC451" i="16" s="1"/>
  <c r="V610" i="16"/>
  <c r="AB610" i="16" s="1"/>
  <c r="AC610" i="16" s="1"/>
  <c r="V585" i="16"/>
  <c r="AB585" i="16" s="1"/>
  <c r="AC585" i="16" s="1"/>
  <c r="V751" i="16"/>
  <c r="AB751" i="16" s="1"/>
  <c r="AC751" i="16" s="1"/>
  <c r="V918" i="16"/>
  <c r="AB918" i="16" s="1"/>
  <c r="AC918" i="16" s="1"/>
  <c r="V406" i="16"/>
  <c r="AB406" i="16" s="1"/>
  <c r="AC406" i="16" s="1"/>
  <c r="V453" i="16"/>
  <c r="AB453" i="16" s="1"/>
  <c r="AC453" i="16" s="1"/>
  <c r="V604" i="16"/>
  <c r="AB604" i="16" s="1"/>
  <c r="AC604" i="16" s="1"/>
  <c r="V763" i="16"/>
  <c r="AB763" i="16" s="1"/>
  <c r="AC763" i="16" s="1"/>
  <c r="V922" i="16"/>
  <c r="AB922" i="16" s="1"/>
  <c r="AC922" i="16" s="1"/>
  <c r="V410" i="16"/>
  <c r="AB410" i="16" s="1"/>
  <c r="AC410" i="16" s="1"/>
  <c r="V385" i="16"/>
  <c r="AB385" i="16" s="1"/>
  <c r="AC385" i="16" s="1"/>
  <c r="V551" i="16"/>
  <c r="AB551" i="16" s="1"/>
  <c r="AC551" i="16" s="1"/>
  <c r="V718" i="16"/>
  <c r="AB718" i="16" s="1"/>
  <c r="AC718" i="16" s="1"/>
  <c r="V765" i="16"/>
  <c r="AB765" i="16" s="1"/>
  <c r="AC765" i="16" s="1"/>
  <c r="V916" i="16"/>
  <c r="AB916" i="16" s="1"/>
  <c r="AC916" i="16" s="1"/>
  <c r="V404" i="16"/>
  <c r="AB404" i="16" s="1"/>
  <c r="AC404" i="16" s="1"/>
  <c r="V563" i="16"/>
  <c r="AB563" i="16" s="1"/>
  <c r="AC563" i="16" s="1"/>
  <c r="V722" i="16"/>
  <c r="AB722" i="16" s="1"/>
  <c r="AC722" i="16" s="1"/>
  <c r="V697" i="16"/>
  <c r="AB697" i="16" s="1"/>
  <c r="AC697" i="16" s="1"/>
  <c r="V863" i="16"/>
  <c r="AB863" i="16" s="1"/>
  <c r="AC863" i="16" s="1"/>
  <c r="V351" i="16"/>
  <c r="AB351" i="16" s="1"/>
  <c r="AC351" i="16" s="1"/>
  <c r="V518" i="16"/>
  <c r="AB518" i="16" s="1"/>
  <c r="AC518" i="16" s="1"/>
  <c r="V565" i="16"/>
  <c r="AB565" i="16" s="1"/>
  <c r="AC565" i="16" s="1"/>
  <c r="V716" i="16"/>
  <c r="AB716" i="16" s="1"/>
  <c r="AC716" i="16" s="1"/>
  <c r="V875" i="16"/>
  <c r="AB875" i="16" s="1"/>
  <c r="AC875" i="16" s="1"/>
  <c r="V847" i="16"/>
  <c r="AB847" i="16" s="1"/>
  <c r="AC847" i="16" s="1"/>
  <c r="V35" i="16"/>
  <c r="AB35" i="16" s="1"/>
  <c r="AC35" i="16" s="1"/>
  <c r="V99" i="16"/>
  <c r="AB99" i="16" s="1"/>
  <c r="AC99" i="16" s="1"/>
  <c r="V163" i="16"/>
  <c r="AB163" i="16" s="1"/>
  <c r="AC163" i="16" s="1"/>
  <c r="V5" i="16"/>
  <c r="AB5" i="16" s="1"/>
  <c r="AC5" i="16" s="1"/>
  <c r="V69" i="16"/>
  <c r="AB69" i="16" s="1"/>
  <c r="AC69" i="16" s="1"/>
  <c r="V133" i="16"/>
  <c r="AB133" i="16" s="1"/>
  <c r="AC133" i="16" s="1"/>
  <c r="V197" i="16"/>
  <c r="AB197" i="16" s="1"/>
  <c r="AC197" i="16" s="1"/>
  <c r="V30" i="16"/>
  <c r="AB30" i="16" s="1"/>
  <c r="AC30" i="16" s="1"/>
  <c r="V94" i="16"/>
  <c r="AB94" i="16" s="1"/>
  <c r="AC94" i="16" s="1"/>
  <c r="V158" i="16"/>
  <c r="AB158" i="16" s="1"/>
  <c r="AC158" i="16" s="1"/>
  <c r="V222" i="16"/>
  <c r="AB222" i="16" s="1"/>
  <c r="AC222" i="16" s="1"/>
  <c r="V87" i="16"/>
  <c r="AB87" i="16" s="1"/>
  <c r="AC87" i="16" s="1"/>
  <c r="V215" i="16"/>
  <c r="AB215" i="16" s="1"/>
  <c r="AC215" i="16" s="1"/>
  <c r="V159" i="16"/>
  <c r="AB159" i="16" s="1"/>
  <c r="AC159" i="16" s="1"/>
  <c r="V33" i="16"/>
  <c r="AB33" i="16" s="1"/>
  <c r="AC33" i="16" s="1"/>
  <c r="V225" i="16"/>
  <c r="AB225" i="16" s="1"/>
  <c r="AC225" i="16" s="1"/>
  <c r="V114" i="16"/>
  <c r="AB114" i="16" s="1"/>
  <c r="AC114" i="16" s="1"/>
  <c r="V40" i="16"/>
  <c r="AB40" i="16" s="1"/>
  <c r="AC40" i="16" s="1"/>
  <c r="V100" i="16"/>
  <c r="AB100" i="16" s="1"/>
  <c r="AC100" i="16" s="1"/>
  <c r="V227" i="16"/>
  <c r="AB227" i="16" s="1"/>
  <c r="AC227" i="16" s="1"/>
  <c r="V88" i="16"/>
  <c r="AB88" i="16" s="1"/>
  <c r="AC88" i="16" s="1"/>
  <c r="V216" i="16"/>
  <c r="AB216" i="16" s="1"/>
  <c r="AC216" i="16" s="1"/>
  <c r="V73" i="16"/>
  <c r="AB73" i="16" s="1"/>
  <c r="AC73" i="16" s="1"/>
  <c r="V201" i="16"/>
  <c r="AB201" i="16" s="1"/>
  <c r="AC201" i="16" s="1"/>
  <c r="V122" i="16"/>
  <c r="AB122" i="16" s="1"/>
  <c r="AC122" i="16" s="1"/>
  <c r="V220" i="16"/>
  <c r="AB220" i="16" s="1"/>
  <c r="AC220" i="16" s="1"/>
  <c r="V144" i="16"/>
  <c r="AB144" i="16" s="1"/>
  <c r="AC144" i="16" s="1"/>
  <c r="V65" i="16"/>
  <c r="AB65" i="16" s="1"/>
  <c r="AC65" i="16" s="1"/>
  <c r="V887" i="16"/>
  <c r="AB887" i="16" s="1"/>
  <c r="AC887" i="16" s="1"/>
  <c r="V375" i="16"/>
  <c r="AB375" i="16" s="1"/>
  <c r="AC375" i="16" s="1"/>
  <c r="V542" i="16"/>
  <c r="AB542" i="16" s="1"/>
  <c r="AC542" i="16" s="1"/>
  <c r="V589" i="16"/>
  <c r="AB589" i="16" s="1"/>
  <c r="AC589" i="16" s="1"/>
  <c r="V740" i="16"/>
  <c r="AB740" i="16" s="1"/>
  <c r="AC740" i="16" s="1"/>
  <c r="V899" i="16"/>
  <c r="AB899" i="16" s="1"/>
  <c r="AC899" i="16" s="1"/>
  <c r="V387" i="16"/>
  <c r="AB387" i="16" s="1"/>
  <c r="AC387" i="16" s="1"/>
  <c r="V546" i="16"/>
  <c r="AB546" i="16" s="1"/>
  <c r="AC546" i="16" s="1"/>
  <c r="V521" i="16"/>
  <c r="AB521" i="16" s="1"/>
  <c r="AC521" i="16" s="1"/>
  <c r="V687" i="16"/>
  <c r="AB687" i="16" s="1"/>
  <c r="AC687" i="16" s="1"/>
  <c r="V854" i="16"/>
  <c r="AB854" i="16" s="1"/>
  <c r="AC854" i="16" s="1"/>
  <c r="V342" i="16"/>
  <c r="AB342" i="16" s="1"/>
  <c r="AC342" i="16" s="1"/>
  <c r="V389" i="16"/>
  <c r="AB389" i="16" s="1"/>
  <c r="AC389" i="16" s="1"/>
  <c r="V540" i="16"/>
  <c r="AB540" i="16" s="1"/>
  <c r="AC540" i="16" s="1"/>
  <c r="V699" i="16"/>
  <c r="AB699" i="16" s="1"/>
  <c r="AC699" i="16" s="1"/>
  <c r="V858" i="16"/>
  <c r="AB858" i="16" s="1"/>
  <c r="AC858" i="16" s="1"/>
  <c r="V346" i="16"/>
  <c r="AB346" i="16" s="1"/>
  <c r="AC346" i="16" s="1"/>
  <c r="V321" i="16"/>
  <c r="AB321" i="16" s="1"/>
  <c r="AC321" i="16" s="1"/>
  <c r="V487" i="16"/>
  <c r="AB487" i="16" s="1"/>
  <c r="AC487" i="16" s="1"/>
  <c r="V654" i="16"/>
  <c r="AB654" i="16" s="1"/>
  <c r="AC654" i="16" s="1"/>
  <c r="V701" i="16"/>
  <c r="AB701" i="16" s="1"/>
  <c r="AC701" i="16" s="1"/>
  <c r="V852" i="16"/>
  <c r="AB852" i="16" s="1"/>
  <c r="AC852" i="16" s="1"/>
  <c r="V340" i="16"/>
  <c r="AB340" i="16" s="1"/>
  <c r="AC340" i="16" s="1"/>
  <c r="V499" i="16"/>
  <c r="AB499" i="16" s="1"/>
  <c r="AC499" i="16" s="1"/>
  <c r="V658" i="16"/>
  <c r="AB658" i="16" s="1"/>
  <c r="AC658" i="16" s="1"/>
  <c r="V633" i="16"/>
  <c r="AB633" i="16" s="1"/>
  <c r="AC633" i="16" s="1"/>
  <c r="V799" i="16"/>
  <c r="AB799" i="16" s="1"/>
  <c r="AC799" i="16" s="1"/>
  <c r="V287" i="16"/>
  <c r="AB287" i="16" s="1"/>
  <c r="AC287" i="16" s="1"/>
  <c r="V454" i="16"/>
  <c r="AB454" i="16" s="1"/>
  <c r="AC454" i="16" s="1"/>
  <c r="V501" i="16"/>
  <c r="AB501" i="16" s="1"/>
  <c r="AC501" i="16" s="1"/>
  <c r="V652" i="16"/>
  <c r="AB652" i="16" s="1"/>
  <c r="AC652" i="16" s="1"/>
  <c r="V811" i="16"/>
  <c r="AB811" i="16" s="1"/>
  <c r="AC811" i="16" s="1"/>
  <c r="V299" i="16"/>
  <c r="AB299" i="16" s="1"/>
  <c r="AC299" i="16" s="1"/>
  <c r="V458" i="16"/>
  <c r="AB458" i="16" s="1"/>
  <c r="AC458" i="16" s="1"/>
  <c r="V433" i="16"/>
  <c r="AB433" i="16" s="1"/>
  <c r="AC433" i="16" s="1"/>
  <c r="V599" i="16"/>
  <c r="AB599" i="16" s="1"/>
  <c r="AC599" i="16" s="1"/>
  <c r="V766" i="16"/>
  <c r="AB766" i="16" s="1"/>
  <c r="AC766" i="16" s="1"/>
  <c r="V813" i="16"/>
  <c r="AB813" i="16" s="1"/>
  <c r="AC813" i="16" s="1"/>
  <c r="V301" i="16"/>
  <c r="AB301" i="16" s="1"/>
  <c r="AC301" i="16" s="1"/>
  <c r="V452" i="16"/>
  <c r="AB452" i="16" s="1"/>
  <c r="AC452" i="16" s="1"/>
  <c r="V611" i="16"/>
  <c r="AB611" i="16" s="1"/>
  <c r="AC611" i="16" s="1"/>
  <c r="V770" i="16"/>
  <c r="AB770" i="16" s="1"/>
  <c r="AC770" i="16" s="1"/>
  <c r="V745" i="16"/>
  <c r="AB745" i="16" s="1"/>
  <c r="AC745" i="16" s="1"/>
  <c r="V719" i="16"/>
  <c r="AB719" i="16" s="1"/>
  <c r="AC719" i="16" s="1"/>
  <c r="V886" i="16"/>
  <c r="AB886" i="16" s="1"/>
  <c r="AC886" i="16" s="1"/>
  <c r="V374" i="16"/>
  <c r="AB374" i="16" s="1"/>
  <c r="AC374" i="16" s="1"/>
  <c r="V421" i="16"/>
  <c r="AB421" i="16" s="1"/>
  <c r="AC421" i="16" s="1"/>
  <c r="V572" i="16"/>
  <c r="AB572" i="16" s="1"/>
  <c r="AC572" i="16" s="1"/>
  <c r="V731" i="16"/>
  <c r="AB731" i="16" s="1"/>
  <c r="AC731" i="16" s="1"/>
  <c r="V890" i="16"/>
  <c r="AB890" i="16" s="1"/>
  <c r="AC890" i="16" s="1"/>
  <c r="V378" i="16"/>
  <c r="AB378" i="16" s="1"/>
  <c r="AC378" i="16" s="1"/>
  <c r="V353" i="16"/>
  <c r="AB353" i="16" s="1"/>
  <c r="AC353" i="16" s="1"/>
  <c r="V455" i="16"/>
  <c r="AB455" i="16" s="1"/>
  <c r="AC455" i="16" s="1"/>
  <c r="V622" i="16"/>
  <c r="AB622" i="16" s="1"/>
  <c r="AC622" i="16" s="1"/>
  <c r="V669" i="16"/>
  <c r="AB669" i="16" s="1"/>
  <c r="AC669" i="16" s="1"/>
  <c r="V820" i="16"/>
  <c r="AB820" i="16" s="1"/>
  <c r="AC820" i="16" s="1"/>
  <c r="V783" i="16"/>
  <c r="AB783" i="16" s="1"/>
  <c r="AC783" i="16" s="1"/>
  <c r="V43" i="16"/>
  <c r="AB43" i="16" s="1"/>
  <c r="AC43" i="16" s="1"/>
  <c r="V107" i="16"/>
  <c r="AB107" i="16" s="1"/>
  <c r="AC107" i="16" s="1"/>
  <c r="V171" i="16"/>
  <c r="AB171" i="16" s="1"/>
  <c r="AC171" i="16" s="1"/>
  <c r="V13" i="16"/>
  <c r="AB13" i="16" s="1"/>
  <c r="AC13" i="16" s="1"/>
  <c r="V77" i="16"/>
  <c r="AB77" i="16" s="1"/>
  <c r="AC77" i="16" s="1"/>
  <c r="V141" i="16"/>
  <c r="AB141" i="16" s="1"/>
  <c r="AC141" i="16" s="1"/>
  <c r="V205" i="16"/>
  <c r="AB205" i="16" s="1"/>
  <c r="AC205" i="16" s="1"/>
  <c r="V38" i="16"/>
  <c r="AB38" i="16" s="1"/>
  <c r="AC38" i="16" s="1"/>
  <c r="V102" i="16"/>
  <c r="AB102" i="16" s="1"/>
  <c r="AC102" i="16" s="1"/>
  <c r="V166" i="16"/>
  <c r="AB166" i="16" s="1"/>
  <c r="AC166" i="16" s="1"/>
  <c r="V7" i="16"/>
  <c r="AB7" i="16" s="1"/>
  <c r="AC7" i="16" s="1"/>
  <c r="V103" i="16"/>
  <c r="AB103" i="16" s="1"/>
  <c r="AC103" i="16" s="1"/>
  <c r="V39" i="16"/>
  <c r="AB39" i="16" s="1"/>
  <c r="AC39" i="16" s="1"/>
  <c r="V175" i="16"/>
  <c r="AB175" i="16" s="1"/>
  <c r="AC175" i="16" s="1"/>
  <c r="V41" i="16"/>
  <c r="AB41" i="16" s="1"/>
  <c r="AC41" i="16" s="1"/>
  <c r="V172" i="16"/>
  <c r="AB172" i="16" s="1"/>
  <c r="AC172" i="16" s="1"/>
  <c r="V130" i="16"/>
  <c r="AB130" i="16" s="1"/>
  <c r="AC130" i="16" s="1"/>
  <c r="V92" i="16"/>
  <c r="AB92" i="16" s="1"/>
  <c r="AC92" i="16" s="1"/>
  <c r="V116" i="16"/>
  <c r="AB116" i="16" s="1"/>
  <c r="AC116" i="16" s="1"/>
  <c r="V18" i="16"/>
  <c r="AB18" i="16" s="1"/>
  <c r="AC18" i="16" s="1"/>
  <c r="V104" i="16"/>
  <c r="AB104" i="16" s="1"/>
  <c r="AC104" i="16" s="1"/>
  <c r="V228" i="16"/>
  <c r="AB228" i="16" s="1"/>
  <c r="AC228" i="16" s="1"/>
  <c r="V89" i="16"/>
  <c r="AB89" i="16" s="1"/>
  <c r="AC89" i="16" s="1"/>
  <c r="V217" i="16"/>
  <c r="AB217" i="16" s="1"/>
  <c r="AC217" i="16" s="1"/>
  <c r="V138" i="16"/>
  <c r="AB138" i="16" s="1"/>
  <c r="AC138" i="16" s="1"/>
  <c r="V20" i="16"/>
  <c r="AB20" i="16" s="1"/>
  <c r="AC20" i="16" s="1"/>
  <c r="V160" i="16"/>
  <c r="AB160" i="16" s="1"/>
  <c r="AC160" i="16" s="1"/>
  <c r="V97" i="16"/>
  <c r="AB97" i="16" s="1"/>
  <c r="AC97" i="16" s="1"/>
  <c r="V823" i="16"/>
  <c r="AB823" i="16" s="1"/>
  <c r="AC823" i="16" s="1"/>
  <c r="V311" i="16"/>
  <c r="AB311" i="16" s="1"/>
  <c r="AC311" i="16" s="1"/>
  <c r="V478" i="16"/>
  <c r="AB478" i="16" s="1"/>
  <c r="AC478" i="16" s="1"/>
  <c r="V525" i="16"/>
  <c r="AB525" i="16" s="1"/>
  <c r="AC525" i="16" s="1"/>
  <c r="V676" i="16"/>
  <c r="AB676" i="16" s="1"/>
  <c r="AC676" i="16" s="1"/>
  <c r="V835" i="16"/>
  <c r="AB835" i="16" s="1"/>
  <c r="AC835" i="16" s="1"/>
  <c r="V323" i="16"/>
  <c r="AB323" i="16" s="1"/>
  <c r="AC323" i="16" s="1"/>
  <c r="V482" i="16"/>
  <c r="AB482" i="16" s="1"/>
  <c r="AC482" i="16" s="1"/>
  <c r="V457" i="16"/>
  <c r="AB457" i="16" s="1"/>
  <c r="AC457" i="16" s="1"/>
  <c r="V623" i="16"/>
  <c r="AB623" i="16" s="1"/>
  <c r="AC623" i="16" s="1"/>
  <c r="V790" i="16"/>
  <c r="AB790" i="16" s="1"/>
  <c r="AC790" i="16" s="1"/>
  <c r="V278" i="16"/>
  <c r="AB278" i="16" s="1"/>
  <c r="AC278" i="16" s="1"/>
  <c r="V325" i="16"/>
  <c r="AB325" i="16" s="1"/>
  <c r="AC325" i="16" s="1"/>
  <c r="V476" i="16"/>
  <c r="AB476" i="16" s="1"/>
  <c r="AC476" i="16" s="1"/>
  <c r="V635" i="16"/>
  <c r="AB635" i="16" s="1"/>
  <c r="AC635" i="16" s="1"/>
  <c r="V794" i="16"/>
  <c r="AB794" i="16" s="1"/>
  <c r="AC794" i="16" s="1"/>
  <c r="V282" i="16"/>
  <c r="AB282" i="16" s="1"/>
  <c r="AC282" i="16" s="1"/>
  <c r="V935" i="16"/>
  <c r="AB935" i="16" s="1"/>
  <c r="AC935" i="16" s="1"/>
  <c r="V423" i="16"/>
  <c r="AB423" i="16" s="1"/>
  <c r="AC423" i="16" s="1"/>
  <c r="V590" i="16"/>
  <c r="AB590" i="16" s="1"/>
  <c r="AC590" i="16" s="1"/>
  <c r="V637" i="16"/>
  <c r="AB637" i="16" s="1"/>
  <c r="AC637" i="16" s="1"/>
  <c r="V788" i="16"/>
  <c r="AB788" i="16" s="1"/>
  <c r="AC788" i="16" s="1"/>
  <c r="V276" i="16"/>
  <c r="AB276" i="16" s="1"/>
  <c r="AC276" i="16" s="1"/>
  <c r="V435" i="16"/>
  <c r="AB435" i="16" s="1"/>
  <c r="AC435" i="16" s="1"/>
  <c r="V594" i="16"/>
  <c r="AB594" i="16" s="1"/>
  <c r="AC594" i="16" s="1"/>
  <c r="V569" i="16"/>
  <c r="AB569" i="16" s="1"/>
  <c r="AC569" i="16" s="1"/>
  <c r="V735" i="16"/>
  <c r="AB735" i="16" s="1"/>
  <c r="AC735" i="16" s="1"/>
  <c r="V902" i="16"/>
  <c r="AB902" i="16" s="1"/>
  <c r="AC902" i="16" s="1"/>
  <c r="V390" i="16"/>
  <c r="AB390" i="16" s="1"/>
  <c r="AC390" i="16" s="1"/>
  <c r="V437" i="16"/>
  <c r="AB437" i="16" s="1"/>
  <c r="AC437" i="16" s="1"/>
  <c r="V588" i="16"/>
  <c r="AB588" i="16" s="1"/>
  <c r="AC588" i="16" s="1"/>
  <c r="V747" i="16"/>
  <c r="AB747" i="16" s="1"/>
  <c r="AC747" i="16" s="1"/>
  <c r="V906" i="16"/>
  <c r="AB906" i="16" s="1"/>
  <c r="AC906" i="16" s="1"/>
  <c r="V839" i="16"/>
  <c r="AB839" i="16" s="1"/>
  <c r="AC839" i="16" s="1"/>
  <c r="V51" i="16"/>
  <c r="AB51" i="16" s="1"/>
  <c r="AC51" i="16" s="1"/>
  <c r="V115" i="16"/>
  <c r="AB115" i="16" s="1"/>
  <c r="AC115" i="16" s="1"/>
  <c r="V179" i="16"/>
  <c r="AB179" i="16" s="1"/>
  <c r="AC179" i="16" s="1"/>
  <c r="V21" i="16"/>
  <c r="AB21" i="16" s="1"/>
  <c r="AC21" i="16" s="1"/>
  <c r="V85" i="16"/>
  <c r="AB85" i="16" s="1"/>
  <c r="AC85" i="16" s="1"/>
  <c r="V149" i="16"/>
  <c r="AB149" i="16" s="1"/>
  <c r="AC149" i="16" s="1"/>
  <c r="V213" i="16"/>
  <c r="AB213" i="16" s="1"/>
  <c r="AC213" i="16" s="1"/>
  <c r="V46" i="16"/>
  <c r="AB46" i="16" s="1"/>
  <c r="AC46" i="16" s="1"/>
  <c r="V110" i="16"/>
  <c r="AB110" i="16" s="1"/>
  <c r="AC110" i="16" s="1"/>
  <c r="V174" i="16"/>
  <c r="AB174" i="16" s="1"/>
  <c r="AC174" i="16" s="1"/>
  <c r="V15" i="16"/>
  <c r="AB15" i="16" s="1"/>
  <c r="AC15" i="16" s="1"/>
  <c r="V119" i="16"/>
  <c r="AB119" i="16" s="1"/>
  <c r="AC119" i="16" s="1"/>
  <c r="V63" i="16"/>
  <c r="AB63" i="16" s="1"/>
  <c r="AC63" i="16" s="1"/>
  <c r="V191" i="16"/>
  <c r="AB191" i="16" s="1"/>
  <c r="AC191" i="16" s="1"/>
  <c r="V49" i="16"/>
  <c r="AB49" i="16" s="1"/>
  <c r="AC49" i="16" s="1"/>
  <c r="V4" i="16"/>
  <c r="Y4" i="16" s="1"/>
  <c r="Z4" i="16" s="1"/>
  <c r="V146" i="16"/>
  <c r="AB146" i="16" s="1"/>
  <c r="AC146" i="16" s="1"/>
  <c r="V188" i="16"/>
  <c r="AB188" i="16" s="1"/>
  <c r="AC188" i="16" s="1"/>
  <c r="V132" i="16"/>
  <c r="AB132" i="16" s="1"/>
  <c r="AC132" i="16" s="1"/>
  <c r="AB76" i="16"/>
  <c r="AC76" i="16" s="1"/>
  <c r="V120" i="16"/>
  <c r="AB120" i="16" s="1"/>
  <c r="AC120" i="16" s="1"/>
  <c r="V60" i="16"/>
  <c r="AB60" i="16" s="1"/>
  <c r="AC60" i="16" s="1"/>
  <c r="V105" i="16"/>
  <c r="AB105" i="16" s="1"/>
  <c r="AC105" i="16" s="1"/>
  <c r="V16" i="16"/>
  <c r="AB16" i="16" s="1"/>
  <c r="AC16" i="16" s="1"/>
  <c r="V154" i="16"/>
  <c r="AB154" i="16" s="1"/>
  <c r="AC154" i="16" s="1"/>
  <c r="V42" i="16"/>
  <c r="AB42" i="16" s="1"/>
  <c r="AC42" i="16" s="1"/>
  <c r="V176" i="16"/>
  <c r="AB176" i="16" s="1"/>
  <c r="AC176" i="16" s="1"/>
  <c r="V113" i="16"/>
  <c r="AB113" i="16" s="1"/>
  <c r="AC113" i="16" s="1"/>
  <c r="V759" i="16"/>
  <c r="AB759" i="16" s="1"/>
  <c r="AC759" i="16" s="1"/>
  <c r="V926" i="16"/>
  <c r="AB926" i="16" s="1"/>
  <c r="AC926" i="16" s="1"/>
  <c r="V414" i="16"/>
  <c r="AB414" i="16" s="1"/>
  <c r="AC414" i="16" s="1"/>
  <c r="V461" i="16"/>
  <c r="AB461" i="16" s="1"/>
  <c r="AC461" i="16" s="1"/>
  <c r="V612" i="16"/>
  <c r="AB612" i="16" s="1"/>
  <c r="AC612" i="16" s="1"/>
  <c r="V771" i="16"/>
  <c r="AB771" i="16" s="1"/>
  <c r="AC771" i="16" s="1"/>
  <c r="V930" i="16"/>
  <c r="AB930" i="16" s="1"/>
  <c r="AC930" i="16" s="1"/>
  <c r="V418" i="16"/>
  <c r="AB418" i="16" s="1"/>
  <c r="AC418" i="16" s="1"/>
  <c r="V393" i="16"/>
  <c r="AB393" i="16" s="1"/>
  <c r="AC393" i="16" s="1"/>
  <c r="V559" i="16"/>
  <c r="AB559" i="16" s="1"/>
  <c r="AC559" i="16" s="1"/>
  <c r="V726" i="16"/>
  <c r="AB726" i="16" s="1"/>
  <c r="AC726" i="16" s="1"/>
  <c r="V773" i="16"/>
  <c r="AB773" i="16" s="1"/>
  <c r="AC773" i="16" s="1"/>
  <c r="V924" i="16"/>
  <c r="AB924" i="16" s="1"/>
  <c r="AC924" i="16" s="1"/>
  <c r="V412" i="16"/>
  <c r="AB412" i="16" s="1"/>
  <c r="AC412" i="16" s="1"/>
  <c r="V571" i="16"/>
  <c r="AB571" i="16" s="1"/>
  <c r="AC571" i="16" s="1"/>
  <c r="V730" i="16"/>
  <c r="AB730" i="16" s="1"/>
  <c r="AC730" i="16" s="1"/>
  <c r="V705" i="16"/>
  <c r="AB705" i="16" s="1"/>
  <c r="AC705" i="16" s="1"/>
  <c r="V871" i="16"/>
  <c r="AB871" i="16" s="1"/>
  <c r="AC871" i="16" s="1"/>
  <c r="V359" i="16"/>
  <c r="AB359" i="16" s="1"/>
  <c r="AC359" i="16" s="1"/>
  <c r="V526" i="16"/>
  <c r="AB526" i="16" s="1"/>
  <c r="AC526" i="16" s="1"/>
  <c r="V573" i="16"/>
  <c r="AB573" i="16" s="1"/>
  <c r="AC573" i="16" s="1"/>
  <c r="V724" i="16"/>
  <c r="AB724" i="16" s="1"/>
  <c r="AC724" i="16" s="1"/>
  <c r="V883" i="16"/>
  <c r="AB883" i="16" s="1"/>
  <c r="AC883" i="16" s="1"/>
  <c r="V371" i="16"/>
  <c r="AB371" i="16" s="1"/>
  <c r="AC371" i="16" s="1"/>
  <c r="V530" i="16"/>
  <c r="AB530" i="16" s="1"/>
  <c r="AC530" i="16" s="1"/>
  <c r="V505" i="16"/>
  <c r="AB505" i="16" s="1"/>
  <c r="AC505" i="16" s="1"/>
  <c r="V671" i="16"/>
  <c r="AB671" i="16" s="1"/>
  <c r="AC671" i="16" s="1"/>
  <c r="V838" i="16"/>
  <c r="AB838" i="16" s="1"/>
  <c r="AC838" i="16" s="1"/>
  <c r="V326" i="16"/>
  <c r="AB326" i="16" s="1"/>
  <c r="AC326" i="16" s="1"/>
  <c r="V373" i="16"/>
  <c r="AB373" i="16" s="1"/>
  <c r="AC373" i="16" s="1"/>
  <c r="V524" i="16"/>
  <c r="AB524" i="16" s="1"/>
  <c r="AC524" i="16" s="1"/>
  <c r="V683" i="16"/>
  <c r="AB683" i="16" s="1"/>
  <c r="AC683" i="16" s="1"/>
  <c r="V842" i="16"/>
  <c r="AB842" i="16" s="1"/>
  <c r="AC842" i="16" s="1"/>
  <c r="V330" i="16"/>
  <c r="AB330" i="16" s="1"/>
  <c r="AC330" i="16" s="1"/>
  <c r="V305" i="16"/>
  <c r="AB305" i="16" s="1"/>
  <c r="AC305" i="16" s="1"/>
  <c r="V471" i="16"/>
  <c r="AB471" i="16" s="1"/>
  <c r="AC471" i="16" s="1"/>
  <c r="V638" i="16"/>
  <c r="AB638" i="16" s="1"/>
  <c r="AC638" i="16" s="1"/>
  <c r="V685" i="16"/>
  <c r="AB685" i="16" s="1"/>
  <c r="AC685" i="16" s="1"/>
  <c r="V836" i="16"/>
  <c r="AB836" i="16" s="1"/>
  <c r="AC836" i="16" s="1"/>
  <c r="V324" i="16"/>
  <c r="AB324" i="16" s="1"/>
  <c r="AC324" i="16" s="1"/>
  <c r="V483" i="16"/>
  <c r="AB483" i="16" s="1"/>
  <c r="AC483" i="16" s="1"/>
  <c r="V642" i="16"/>
  <c r="AB642" i="16" s="1"/>
  <c r="AC642" i="16" s="1"/>
  <c r="V617" i="16"/>
  <c r="AB617" i="16" s="1"/>
  <c r="AC617" i="16" s="1"/>
  <c r="V591" i="16"/>
  <c r="AB591" i="16" s="1"/>
  <c r="AC591" i="16" s="1"/>
  <c r="V758" i="16"/>
  <c r="AB758" i="16" s="1"/>
  <c r="AC758" i="16" s="1"/>
  <c r="V805" i="16"/>
  <c r="AB805" i="16" s="1"/>
  <c r="AC805" i="16" s="1"/>
  <c r="V293" i="16"/>
  <c r="AB293" i="16" s="1"/>
  <c r="AC293" i="16" s="1"/>
  <c r="V444" i="16"/>
  <c r="AB444" i="16" s="1"/>
  <c r="AC444" i="16" s="1"/>
  <c r="V603" i="16"/>
  <c r="AB603" i="16" s="1"/>
  <c r="AC603" i="16" s="1"/>
  <c r="V762" i="16"/>
  <c r="AB762" i="16" s="1"/>
  <c r="AC762" i="16" s="1"/>
  <c r="V737" i="16"/>
  <c r="AB737" i="16" s="1"/>
  <c r="AC737" i="16" s="1"/>
  <c r="V903" i="16"/>
  <c r="AB903" i="16" s="1"/>
  <c r="AC903" i="16" s="1"/>
  <c r="V327" i="16"/>
  <c r="AB327" i="16" s="1"/>
  <c r="AC327" i="16" s="1"/>
  <c r="V494" i="16"/>
  <c r="AB494" i="16" s="1"/>
  <c r="AC494" i="16" s="1"/>
  <c r="V541" i="16"/>
  <c r="AB541" i="16" s="1"/>
  <c r="AC541" i="16" s="1"/>
  <c r="V692" i="16"/>
  <c r="AB692" i="16" s="1"/>
  <c r="AC692" i="16" s="1"/>
  <c r="V831" i="16"/>
  <c r="AB831" i="16" s="1"/>
  <c r="AC831" i="16" s="1"/>
  <c r="V59" i="16"/>
  <c r="AB59" i="16" s="1"/>
  <c r="AC59" i="16" s="1"/>
  <c r="V123" i="16"/>
  <c r="AB123" i="16" s="1"/>
  <c r="AC123" i="16" s="1"/>
  <c r="V187" i="16"/>
  <c r="AB187" i="16" s="1"/>
  <c r="AC187" i="16" s="1"/>
  <c r="V29" i="16"/>
  <c r="AB29" i="16" s="1"/>
  <c r="AC29" i="16" s="1"/>
  <c r="V93" i="16"/>
  <c r="AB93" i="16" s="1"/>
  <c r="AC93" i="16" s="1"/>
  <c r="V157" i="16"/>
  <c r="AB157" i="16" s="1"/>
  <c r="AC157" i="16" s="1"/>
  <c r="V221" i="16"/>
  <c r="AB221" i="16" s="1"/>
  <c r="AC221" i="16" s="1"/>
  <c r="V54" i="16"/>
  <c r="AB54" i="16" s="1"/>
  <c r="AC54" i="16" s="1"/>
  <c r="V118" i="16"/>
  <c r="AB118" i="16" s="1"/>
  <c r="AC118" i="16" s="1"/>
  <c r="V182" i="16"/>
  <c r="AB182" i="16" s="1"/>
  <c r="AC182" i="16" s="1"/>
  <c r="V23" i="16"/>
  <c r="AB23" i="16" s="1"/>
  <c r="AC23" i="16" s="1"/>
  <c r="V135" i="16"/>
  <c r="AB135" i="16" s="1"/>
  <c r="AC135" i="16" s="1"/>
  <c r="V79" i="16"/>
  <c r="AB79" i="16" s="1"/>
  <c r="AC79" i="16" s="1"/>
  <c r="V207" i="16"/>
  <c r="AB207" i="16" s="1"/>
  <c r="AC207" i="16" s="1"/>
  <c r="V57" i="16"/>
  <c r="AB57" i="16" s="1"/>
  <c r="AC57" i="16" s="1"/>
  <c r="V26" i="16"/>
  <c r="AB26" i="16" s="1"/>
  <c r="AC26" i="16" s="1"/>
  <c r="V162" i="16"/>
  <c r="AB162" i="16" s="1"/>
  <c r="AC162" i="16" s="1"/>
  <c r="V8" i="16"/>
  <c r="AB8" i="16" s="1"/>
  <c r="AC8" i="16" s="1"/>
  <c r="V148" i="16"/>
  <c r="AB148" i="16" s="1"/>
  <c r="AC148" i="16" s="1"/>
  <c r="V156" i="16"/>
  <c r="AB156" i="16" s="1"/>
  <c r="AC156" i="16" s="1"/>
  <c r="V136" i="16"/>
  <c r="AB136" i="16" s="1"/>
  <c r="AC136" i="16" s="1"/>
  <c r="V108" i="16"/>
  <c r="AB108" i="16" s="1"/>
  <c r="AC108" i="16" s="1"/>
  <c r="V121" i="16"/>
  <c r="AB121" i="16" s="1"/>
  <c r="AC121" i="16" s="1"/>
  <c r="V36" i="16"/>
  <c r="AB36" i="16" s="1"/>
  <c r="AC36" i="16" s="1"/>
  <c r="V170" i="16"/>
  <c r="AB170" i="16" s="1"/>
  <c r="AC170" i="16" s="1"/>
  <c r="V64" i="16"/>
  <c r="AB64" i="16" s="1"/>
  <c r="AC64" i="16" s="1"/>
  <c r="V192" i="16"/>
  <c r="AB192" i="16" s="1"/>
  <c r="AC192" i="16" s="1"/>
  <c r="V145" i="16"/>
  <c r="AB145" i="16" s="1"/>
  <c r="AC145" i="16" s="1"/>
  <c r="V695" i="16"/>
  <c r="AB695" i="16" s="1"/>
  <c r="AC695" i="16" s="1"/>
  <c r="V862" i="16"/>
  <c r="AB862" i="16" s="1"/>
  <c r="AC862" i="16" s="1"/>
  <c r="V350" i="16"/>
  <c r="AB350" i="16" s="1"/>
  <c r="AC350" i="16" s="1"/>
  <c r="V397" i="16"/>
  <c r="AB397" i="16" s="1"/>
  <c r="AC397" i="16" s="1"/>
  <c r="V548" i="16"/>
  <c r="AB548" i="16" s="1"/>
  <c r="AC548" i="16" s="1"/>
  <c r="V707" i="16"/>
  <c r="AB707" i="16" s="1"/>
  <c r="AC707" i="16" s="1"/>
  <c r="V866" i="16"/>
  <c r="AB866" i="16" s="1"/>
  <c r="AC866" i="16" s="1"/>
  <c r="V354" i="16"/>
  <c r="AB354" i="16" s="1"/>
  <c r="AC354" i="16" s="1"/>
  <c r="V329" i="16"/>
  <c r="AB329" i="16" s="1"/>
  <c r="AC329" i="16" s="1"/>
  <c r="V495" i="16"/>
  <c r="AB495" i="16" s="1"/>
  <c r="AC495" i="16" s="1"/>
  <c r="V662" i="16"/>
  <c r="AB662" i="16" s="1"/>
  <c r="AC662" i="16" s="1"/>
  <c r="V709" i="16"/>
  <c r="AB709" i="16" s="1"/>
  <c r="AC709" i="16" s="1"/>
  <c r="V860" i="16"/>
  <c r="AB860" i="16" s="1"/>
  <c r="AC860" i="16" s="1"/>
  <c r="V348" i="16"/>
  <c r="AB348" i="16" s="1"/>
  <c r="AC348" i="16" s="1"/>
  <c r="V507" i="16"/>
  <c r="AB507" i="16" s="1"/>
  <c r="AC507" i="16" s="1"/>
  <c r="V666" i="16"/>
  <c r="AB666" i="16" s="1"/>
  <c r="AC666" i="16" s="1"/>
  <c r="V641" i="16"/>
  <c r="AB641" i="16" s="1"/>
  <c r="AC641" i="16" s="1"/>
  <c r="V807" i="16"/>
  <c r="AB807" i="16" s="1"/>
  <c r="AC807" i="16" s="1"/>
  <c r="V295" i="16"/>
  <c r="AB295" i="16" s="1"/>
  <c r="AC295" i="16" s="1"/>
  <c r="V462" i="16"/>
  <c r="AB462" i="16" s="1"/>
  <c r="AC462" i="16" s="1"/>
  <c r="V509" i="16"/>
  <c r="AB509" i="16" s="1"/>
  <c r="AC509" i="16" s="1"/>
  <c r="V660" i="16"/>
  <c r="AB660" i="16" s="1"/>
  <c r="AC660" i="16" s="1"/>
  <c r="V819" i="16"/>
  <c r="AB819" i="16" s="1"/>
  <c r="AC819" i="16" s="1"/>
  <c r="V307" i="16"/>
  <c r="AB307" i="16" s="1"/>
  <c r="AC307" i="16" s="1"/>
  <c r="V466" i="16"/>
  <c r="AB466" i="16" s="1"/>
  <c r="AC466" i="16" s="1"/>
  <c r="V441" i="16"/>
  <c r="AB441" i="16" s="1"/>
  <c r="AC441" i="16" s="1"/>
  <c r="V607" i="16"/>
  <c r="AB607" i="16" s="1"/>
  <c r="AC607" i="16" s="1"/>
  <c r="V774" i="16"/>
  <c r="AB774" i="16" s="1"/>
  <c r="AC774" i="16" s="1"/>
  <c r="V821" i="16"/>
  <c r="AB821" i="16" s="1"/>
  <c r="AC821" i="16" s="1"/>
  <c r="V309" i="16"/>
  <c r="AB309" i="16" s="1"/>
  <c r="AC309" i="16" s="1"/>
  <c r="V460" i="16"/>
  <c r="AB460" i="16" s="1"/>
  <c r="AC460" i="16" s="1"/>
  <c r="V619" i="16"/>
  <c r="AB619" i="16" s="1"/>
  <c r="AC619" i="16" s="1"/>
  <c r="V778" i="16"/>
  <c r="AB778" i="16" s="1"/>
  <c r="AC778" i="16" s="1"/>
  <c r="V753" i="16"/>
  <c r="AB753" i="16" s="1"/>
  <c r="AC753" i="16" s="1"/>
  <c r="V919" i="16"/>
  <c r="AB919" i="16" s="1"/>
  <c r="AC919" i="16" s="1"/>
  <c r="V407" i="16"/>
  <c r="AB407" i="16" s="1"/>
  <c r="AC407" i="16" s="1"/>
  <c r="V574" i="16"/>
  <c r="AB574" i="16" s="1"/>
  <c r="AC574" i="16" s="1"/>
  <c r="V621" i="16"/>
  <c r="AB621" i="16" s="1"/>
  <c r="AC621" i="16" s="1"/>
  <c r="V772" i="16"/>
  <c r="AB772" i="16" s="1"/>
  <c r="AC772" i="16" s="1"/>
  <c r="V931" i="16"/>
  <c r="AB931" i="16" s="1"/>
  <c r="AC931" i="16" s="1"/>
  <c r="V419" i="16"/>
  <c r="AB419" i="16" s="1"/>
  <c r="AC419" i="16" s="1"/>
  <c r="V578" i="16"/>
  <c r="AB578" i="16" s="1"/>
  <c r="AC578" i="16" s="1"/>
  <c r="V553" i="16"/>
  <c r="AB553" i="16" s="1"/>
  <c r="AC553" i="16" s="1"/>
  <c r="V527" i="16"/>
  <c r="AB527" i="16" s="1"/>
  <c r="AC527" i="16" s="1"/>
  <c r="V3" i="16"/>
  <c r="V67" i="16"/>
  <c r="AB67" i="16" s="1"/>
  <c r="AC67" i="16" s="1"/>
  <c r="V131" i="16"/>
  <c r="AB131" i="16" s="1"/>
  <c r="AC131" i="16" s="1"/>
  <c r="V195" i="16"/>
  <c r="AB195" i="16" s="1"/>
  <c r="AC195" i="16" s="1"/>
  <c r="V37" i="16"/>
  <c r="AB37" i="16" s="1"/>
  <c r="AC37" i="16" s="1"/>
  <c r="V101" i="16"/>
  <c r="AB101" i="16" s="1"/>
  <c r="AC101" i="16" s="1"/>
  <c r="V165" i="16"/>
  <c r="AB165" i="16" s="1"/>
  <c r="AC165" i="16" s="1"/>
  <c r="V229" i="16"/>
  <c r="AB229" i="16" s="1"/>
  <c r="AC229" i="16" s="1"/>
  <c r="V62" i="16"/>
  <c r="AB62" i="16" s="1"/>
  <c r="AC62" i="16" s="1"/>
  <c r="V126" i="16"/>
  <c r="AB126" i="16" s="1"/>
  <c r="AC126" i="16" s="1"/>
  <c r="V190" i="16"/>
  <c r="AB190" i="16" s="1"/>
  <c r="AC190" i="16" s="1"/>
  <c r="V31" i="16"/>
  <c r="AB31" i="16" s="1"/>
  <c r="AC31" i="16" s="1"/>
  <c r="V151" i="16"/>
  <c r="AB151" i="16" s="1"/>
  <c r="AC151" i="16" s="1"/>
  <c r="V95" i="16"/>
  <c r="AB95" i="16" s="1"/>
  <c r="AC95" i="16" s="1"/>
  <c r="V223" i="16"/>
  <c r="AB223" i="16" s="1"/>
  <c r="AC223" i="16" s="1"/>
  <c r="V81" i="16"/>
  <c r="AB81" i="16" s="1"/>
  <c r="AC81" i="16" s="1"/>
  <c r="V48" i="16"/>
  <c r="AB48" i="16" s="1"/>
  <c r="AC48" i="16" s="1"/>
  <c r="V178" i="16"/>
  <c r="AB178" i="16" s="1"/>
  <c r="AC178" i="16" s="1"/>
  <c r="V28" i="16"/>
  <c r="AB28" i="16" s="1"/>
  <c r="AC28" i="16" s="1"/>
  <c r="V164" i="16"/>
  <c r="AB164" i="16" s="1"/>
  <c r="AC164" i="16" s="1"/>
  <c r="V10" i="16"/>
  <c r="AB10" i="16" s="1"/>
  <c r="AC10" i="16" s="1"/>
  <c r="V152" i="16"/>
  <c r="AB152" i="16" s="1"/>
  <c r="AC152" i="16" s="1"/>
  <c r="V204" i="16"/>
  <c r="AB204" i="16" s="1"/>
  <c r="AC204" i="16" s="1"/>
  <c r="V137" i="16"/>
  <c r="AB137" i="16" s="1"/>
  <c r="AC137" i="16" s="1"/>
  <c r="V58" i="16"/>
  <c r="AB58" i="16" s="1"/>
  <c r="AC58" i="16" s="1"/>
  <c r="V186" i="16"/>
  <c r="AB186" i="16" s="1"/>
  <c r="AC186" i="16" s="1"/>
  <c r="V80" i="16"/>
  <c r="AB80" i="16" s="1"/>
  <c r="AC80" i="16" s="1"/>
  <c r="V208" i="16"/>
  <c r="AB208" i="16" s="1"/>
  <c r="AC208" i="16" s="1"/>
  <c r="V177" i="16"/>
  <c r="AB177" i="16" s="1"/>
  <c r="AC177" i="16" s="1"/>
  <c r="V631" i="16"/>
  <c r="AB631" i="16" s="1"/>
  <c r="AC631" i="16" s="1"/>
  <c r="V798" i="16"/>
  <c r="AB798" i="16" s="1"/>
  <c r="AC798" i="16" s="1"/>
  <c r="V286" i="16"/>
  <c r="AB286" i="16" s="1"/>
  <c r="AC286" i="16" s="1"/>
  <c r="V333" i="16"/>
  <c r="AB333" i="16" s="1"/>
  <c r="AC333" i="16" s="1"/>
  <c r="V484" i="16"/>
  <c r="AB484" i="16" s="1"/>
  <c r="AC484" i="16" s="1"/>
  <c r="V643" i="16"/>
  <c r="AB643" i="16" s="1"/>
  <c r="AC643" i="16" s="1"/>
  <c r="V802" i="16"/>
  <c r="AB802" i="16" s="1"/>
  <c r="AC802" i="16" s="1"/>
  <c r="V290" i="16"/>
  <c r="AB290" i="16" s="1"/>
  <c r="AC290" i="16" s="1"/>
  <c r="V943" i="16"/>
  <c r="AB943" i="16" s="1"/>
  <c r="AC943" i="16" s="1"/>
  <c r="V431" i="16"/>
  <c r="AB431" i="16" s="1"/>
  <c r="AC431" i="16" s="1"/>
  <c r="V598" i="16"/>
  <c r="AB598" i="16" s="1"/>
  <c r="AC598" i="16" s="1"/>
  <c r="V645" i="16"/>
  <c r="AB645" i="16" s="1"/>
  <c r="AC645" i="16" s="1"/>
  <c r="V796" i="16"/>
  <c r="AB796" i="16" s="1"/>
  <c r="AC796" i="16" s="1"/>
  <c r="V284" i="16"/>
  <c r="AB284" i="16" s="1"/>
  <c r="AC284" i="16" s="1"/>
  <c r="V443" i="16"/>
  <c r="AB443" i="16" s="1"/>
  <c r="AC443" i="16" s="1"/>
  <c r="V602" i="16"/>
  <c r="AB602" i="16" s="1"/>
  <c r="AC602" i="16" s="1"/>
  <c r="V577" i="16"/>
  <c r="AB577" i="16" s="1"/>
  <c r="AC577" i="16" s="1"/>
  <c r="V743" i="16"/>
  <c r="AB743" i="16" s="1"/>
  <c r="AC743" i="16" s="1"/>
  <c r="V910" i="16"/>
  <c r="AB910" i="16" s="1"/>
  <c r="AC910" i="16" s="1"/>
  <c r="V398" i="16"/>
  <c r="AB398" i="16" s="1"/>
  <c r="AC398" i="16" s="1"/>
  <c r="V445" i="16"/>
  <c r="AB445" i="16" s="1"/>
  <c r="AC445" i="16" s="1"/>
  <c r="V596" i="16"/>
  <c r="AB596" i="16" s="1"/>
  <c r="AC596" i="16" s="1"/>
  <c r="V755" i="16"/>
  <c r="AB755" i="16" s="1"/>
  <c r="AC755" i="16" s="1"/>
  <c r="V914" i="16"/>
  <c r="AB914" i="16" s="1"/>
  <c r="AC914" i="16" s="1"/>
  <c r="V402" i="16"/>
  <c r="AB402" i="16" s="1"/>
  <c r="AC402" i="16" s="1"/>
  <c r="V377" i="16"/>
  <c r="AB377" i="16" s="1"/>
  <c r="AC377" i="16" s="1"/>
  <c r="V543" i="16"/>
  <c r="AB543" i="16" s="1"/>
  <c r="AC543" i="16" s="1"/>
  <c r="V710" i="16"/>
  <c r="AB710" i="16" s="1"/>
  <c r="AC710" i="16" s="1"/>
  <c r="V757" i="16"/>
  <c r="AB757" i="16" s="1"/>
  <c r="AC757" i="16" s="1"/>
  <c r="V908" i="16"/>
  <c r="AB908" i="16" s="1"/>
  <c r="AC908" i="16" s="1"/>
  <c r="V396" i="16"/>
  <c r="AB396" i="16" s="1"/>
  <c r="AC396" i="16" s="1"/>
  <c r="V11" i="16"/>
  <c r="AB11" i="16" s="1"/>
  <c r="AC11" i="16" s="1"/>
  <c r="V75" i="16"/>
  <c r="AB75" i="16" s="1"/>
  <c r="AC75" i="16" s="1"/>
  <c r="V139" i="16"/>
  <c r="AB139" i="16" s="1"/>
  <c r="AC139" i="16" s="1"/>
  <c r="V203" i="16"/>
  <c r="AB203" i="16" s="1"/>
  <c r="AC203" i="16" s="1"/>
  <c r="V45" i="16"/>
  <c r="AB45" i="16" s="1"/>
  <c r="AC45" i="16" s="1"/>
  <c r="V109" i="16"/>
  <c r="AB109" i="16" s="1"/>
  <c r="AC109" i="16" s="1"/>
  <c r="V173" i="16"/>
  <c r="AB173" i="16" s="1"/>
  <c r="AC173" i="16" s="1"/>
  <c r="V6" i="16"/>
  <c r="AB6" i="16" s="1"/>
  <c r="AC6" i="16" s="1"/>
  <c r="V70" i="16"/>
  <c r="AB70" i="16" s="1"/>
  <c r="AC70" i="16" s="1"/>
  <c r="V134" i="16"/>
  <c r="AB134" i="16" s="1"/>
  <c r="AC134" i="16" s="1"/>
  <c r="V198" i="16"/>
  <c r="AB198" i="16" s="1"/>
  <c r="AC198" i="16" s="1"/>
  <c r="V47" i="16"/>
  <c r="AB47" i="16" s="1"/>
  <c r="AC47" i="16" s="1"/>
  <c r="V167" i="16"/>
  <c r="AB167" i="16" s="1"/>
  <c r="AC167" i="16" s="1"/>
  <c r="V111" i="16"/>
  <c r="AB111" i="16" s="1"/>
  <c r="AC111" i="16" s="1"/>
  <c r="V9" i="16"/>
  <c r="AB9" i="16" s="1"/>
  <c r="AC9" i="16" s="1"/>
  <c r="V129" i="16"/>
  <c r="AB129" i="16" s="1"/>
  <c r="AC129" i="16" s="1"/>
  <c r="V66" i="16"/>
  <c r="AB66" i="16" s="1"/>
  <c r="AC66" i="16" s="1"/>
  <c r="V194" i="16"/>
  <c r="AB194" i="16" s="1"/>
  <c r="AC194" i="16" s="1"/>
  <c r="V50" i="16"/>
  <c r="AB50" i="16" s="1"/>
  <c r="AC50" i="16" s="1"/>
  <c r="V180" i="16"/>
  <c r="AB180" i="16" s="1"/>
  <c r="AC180" i="16" s="1"/>
  <c r="V32" i="16"/>
  <c r="AB32" i="16" s="1"/>
  <c r="AC32" i="16" s="1"/>
  <c r="V168" i="16"/>
  <c r="AB168" i="16" s="1"/>
  <c r="AC168" i="16" s="1"/>
  <c r="V12" i="16"/>
  <c r="AB12" i="16" s="1"/>
  <c r="AC12" i="16" s="1"/>
  <c r="V153" i="16"/>
  <c r="AB153" i="16" s="1"/>
  <c r="AC153" i="16" s="1"/>
  <c r="V74" i="16"/>
  <c r="AB74" i="16" s="1"/>
  <c r="AC74" i="16" s="1"/>
  <c r="V202" i="16"/>
  <c r="AB202" i="16" s="1"/>
  <c r="AC202" i="16" s="1"/>
  <c r="V96" i="16"/>
  <c r="AB96" i="16" s="1"/>
  <c r="AC96" i="16" s="1"/>
  <c r="V224" i="16"/>
  <c r="AB224" i="16" s="1"/>
  <c r="AC224" i="16" s="1"/>
  <c r="V209" i="16"/>
  <c r="AB209" i="16" s="1"/>
  <c r="AC209" i="16" s="1"/>
  <c r="V567" i="16"/>
  <c r="AB567" i="16" s="1"/>
  <c r="AC567" i="16" s="1"/>
  <c r="V734" i="16"/>
  <c r="AB734" i="16" s="1"/>
  <c r="AC734" i="16" s="1"/>
  <c r="V781" i="16"/>
  <c r="AB781" i="16" s="1"/>
  <c r="AC781" i="16" s="1"/>
  <c r="V932" i="16"/>
  <c r="AB932" i="16" s="1"/>
  <c r="AC932" i="16" s="1"/>
  <c r="V420" i="16"/>
  <c r="AB420" i="16" s="1"/>
  <c r="AC420" i="16" s="1"/>
  <c r="V579" i="16"/>
  <c r="AB579" i="16" s="1"/>
  <c r="AC579" i="16" s="1"/>
  <c r="V738" i="16"/>
  <c r="AB738" i="16" s="1"/>
  <c r="AC738" i="16" s="1"/>
  <c r="V713" i="16"/>
  <c r="AB713" i="16" s="1"/>
  <c r="AC713" i="16" s="1"/>
  <c r="V879" i="16"/>
  <c r="AB879" i="16" s="1"/>
  <c r="AC879" i="16" s="1"/>
  <c r="V367" i="16"/>
  <c r="AB367" i="16" s="1"/>
  <c r="AC367" i="16" s="1"/>
  <c r="V534" i="16"/>
  <c r="AB534" i="16" s="1"/>
  <c r="AC534" i="16" s="1"/>
  <c r="V581" i="16"/>
  <c r="AB581" i="16" s="1"/>
  <c r="AC581" i="16" s="1"/>
  <c r="V732" i="16"/>
  <c r="AB732" i="16" s="1"/>
  <c r="AC732" i="16" s="1"/>
  <c r="V891" i="16"/>
  <c r="AB891" i="16" s="1"/>
  <c r="AC891" i="16" s="1"/>
  <c r="V379" i="16"/>
  <c r="AB379" i="16" s="1"/>
  <c r="AC379" i="16" s="1"/>
  <c r="V538" i="16"/>
  <c r="AB538" i="16" s="1"/>
  <c r="AC538" i="16" s="1"/>
  <c r="V513" i="16"/>
  <c r="AB513" i="16" s="1"/>
  <c r="AC513" i="16" s="1"/>
  <c r="V679" i="16"/>
  <c r="AB679" i="16" s="1"/>
  <c r="AC679" i="16" s="1"/>
  <c r="V846" i="16"/>
  <c r="AB846" i="16" s="1"/>
  <c r="AC846" i="16" s="1"/>
  <c r="V334" i="16"/>
  <c r="AB334" i="16" s="1"/>
  <c r="AC334" i="16" s="1"/>
  <c r="V381" i="16"/>
  <c r="AB381" i="16" s="1"/>
  <c r="AC381" i="16" s="1"/>
  <c r="V532" i="16"/>
  <c r="AB532" i="16" s="1"/>
  <c r="AC532" i="16" s="1"/>
  <c r="V691" i="16"/>
  <c r="AB691" i="16" s="1"/>
  <c r="AC691" i="16" s="1"/>
  <c r="V850" i="16"/>
  <c r="AB850" i="16" s="1"/>
  <c r="AC850" i="16" s="1"/>
  <c r="V338" i="16"/>
  <c r="AB338" i="16" s="1"/>
  <c r="AC338" i="16" s="1"/>
  <c r="V313" i="16"/>
  <c r="AB313" i="16" s="1"/>
  <c r="AC313" i="16" s="1"/>
  <c r="V479" i="16"/>
  <c r="AB479" i="16" s="1"/>
  <c r="AC479" i="16" s="1"/>
  <c r="V646" i="16"/>
  <c r="AB646" i="16" s="1"/>
  <c r="AC646" i="16" s="1"/>
  <c r="V693" i="16"/>
  <c r="AB693" i="16" s="1"/>
  <c r="AC693" i="16" s="1"/>
  <c r="V844" i="16"/>
  <c r="AB844" i="16" s="1"/>
  <c r="AC844" i="16" s="1"/>
  <c r="V332" i="16"/>
  <c r="AB332" i="16" s="1"/>
  <c r="AC332" i="16" s="1"/>
  <c r="V491" i="16"/>
  <c r="AB491" i="16" s="1"/>
  <c r="AC491" i="16" s="1"/>
  <c r="V650" i="16"/>
  <c r="AB650" i="16" s="1"/>
  <c r="AC650" i="16" s="1"/>
  <c r="V625" i="16"/>
  <c r="AB625" i="16" s="1"/>
  <c r="AC625" i="16" s="1"/>
  <c r="V791" i="16"/>
  <c r="AB791" i="16" s="1"/>
  <c r="AC791" i="16" s="1"/>
  <c r="V279" i="16"/>
  <c r="AB279" i="16" s="1"/>
  <c r="AC279" i="16" s="1"/>
  <c r="V446" i="16"/>
  <c r="AB446" i="16" s="1"/>
  <c r="AC446" i="16" s="1"/>
  <c r="V493" i="16"/>
  <c r="AB493" i="16" s="1"/>
  <c r="AC493" i="16" s="1"/>
  <c r="V644" i="16"/>
  <c r="AB644" i="16" s="1"/>
  <c r="AC644" i="16" s="1"/>
  <c r="V803" i="16"/>
  <c r="AB803" i="16" s="1"/>
  <c r="AC803" i="16" s="1"/>
  <c r="V291" i="16"/>
  <c r="AB291" i="16" s="1"/>
  <c r="AC291" i="16" s="1"/>
  <c r="V450" i="16"/>
  <c r="AB450" i="16" s="1"/>
  <c r="AC450" i="16" s="1"/>
  <c r="V425" i="16"/>
  <c r="AB425" i="16" s="1"/>
  <c r="AC425" i="16" s="1"/>
  <c r="V399" i="16"/>
  <c r="AB399" i="16" s="1"/>
  <c r="AC399" i="16" s="1"/>
  <c r="V555" i="16"/>
  <c r="AB555" i="16" s="1"/>
  <c r="AC555" i="16" s="1"/>
  <c r="V497" i="16"/>
  <c r="AB497" i="16" s="1"/>
  <c r="AC497" i="16" s="1"/>
  <c r="V830" i="16"/>
  <c r="AB830" i="16" s="1"/>
  <c r="AC830" i="16" s="1"/>
  <c r="V365" i="16"/>
  <c r="AB365" i="16" s="1"/>
  <c r="AC365" i="16" s="1"/>
  <c r="V675" i="16"/>
  <c r="AB675" i="16" s="1"/>
  <c r="AC675" i="16" s="1"/>
  <c r="V322" i="16"/>
  <c r="AB322" i="16" s="1"/>
  <c r="AC322" i="16" s="1"/>
  <c r="V363" i="16"/>
  <c r="AB363" i="16" s="1"/>
  <c r="AC363" i="16" s="1"/>
  <c r="V369" i="16"/>
  <c r="AB369" i="16" s="1"/>
  <c r="AC369" i="16" s="1"/>
  <c r="V702" i="16"/>
  <c r="AB702" i="16" s="1"/>
  <c r="AC702" i="16" s="1"/>
  <c r="V900" i="16"/>
  <c r="AB900" i="16" s="1"/>
  <c r="AC900" i="16" s="1"/>
  <c r="V547" i="16"/>
  <c r="AB547" i="16" s="1"/>
  <c r="AC547" i="16" s="1"/>
  <c r="V681" i="16"/>
  <c r="AB681" i="16" s="1"/>
  <c r="AC681" i="16" s="1"/>
  <c r="V822" i="16"/>
  <c r="AB822" i="16" s="1"/>
  <c r="AC822" i="16" s="1"/>
  <c r="V677" i="16"/>
  <c r="AB677" i="16" s="1"/>
  <c r="AC677" i="16" s="1"/>
  <c r="V700" i="16"/>
  <c r="AB700" i="16" s="1"/>
  <c r="AC700" i="16" s="1"/>
  <c r="V667" i="16"/>
  <c r="AB667" i="16" s="1"/>
  <c r="AC667" i="16" s="1"/>
  <c r="V634" i="16"/>
  <c r="AB634" i="16" s="1"/>
  <c r="AC634" i="16" s="1"/>
  <c r="V714" i="16"/>
  <c r="AB714" i="16" s="1"/>
  <c r="AC714" i="16" s="1"/>
  <c r="V855" i="16"/>
  <c r="AB855" i="16" s="1"/>
  <c r="AC855" i="16" s="1"/>
  <c r="V510" i="16"/>
  <c r="AB510" i="16" s="1"/>
  <c r="AC510" i="16" s="1"/>
  <c r="V708" i="16"/>
  <c r="AB708" i="16" s="1"/>
  <c r="AC708" i="16" s="1"/>
  <c r="V355" i="16"/>
  <c r="AB355" i="16" s="1"/>
  <c r="AC355" i="16" s="1"/>
  <c r="V489" i="16"/>
  <c r="AB489" i="16" s="1"/>
  <c r="AC489" i="16" s="1"/>
  <c r="V586" i="16"/>
  <c r="AB586" i="16" s="1"/>
  <c r="AC586" i="16" s="1"/>
  <c r="V727" i="16"/>
  <c r="AB727" i="16" s="1"/>
  <c r="AC727" i="16" s="1"/>
  <c r="V382" i="16"/>
  <c r="AB382" i="16" s="1"/>
  <c r="AC382" i="16" s="1"/>
  <c r="V580" i="16"/>
  <c r="AB580" i="16" s="1"/>
  <c r="AC580" i="16" s="1"/>
  <c r="V898" i="16"/>
  <c r="AB898" i="16" s="1"/>
  <c r="AC898" i="16" s="1"/>
  <c r="V361" i="16"/>
  <c r="AB361" i="16" s="1"/>
  <c r="AC361" i="16" s="1"/>
  <c r="V522" i="16"/>
  <c r="AB522" i="16" s="1"/>
  <c r="AC522" i="16" s="1"/>
  <c r="V663" i="16"/>
  <c r="AB663" i="16" s="1"/>
  <c r="AC663" i="16" s="1"/>
  <c r="V318" i="16"/>
  <c r="AB318" i="16" s="1"/>
  <c r="AC318" i="16" s="1"/>
  <c r="V516" i="16"/>
  <c r="AB516" i="16" s="1"/>
  <c r="AC516" i="16" s="1"/>
  <c r="V834" i="16"/>
  <c r="AB834" i="16" s="1"/>
  <c r="AC834" i="16" s="1"/>
  <c r="V297" i="16"/>
  <c r="AB297" i="16" s="1"/>
  <c r="AC297" i="16" s="1"/>
  <c r="V394" i="16"/>
  <c r="AB394" i="16" s="1"/>
  <c r="AC394" i="16" s="1"/>
  <c r="V535" i="16"/>
  <c r="AB535" i="16" s="1"/>
  <c r="AC535" i="16" s="1"/>
  <c r="V749" i="16"/>
  <c r="AB749" i="16" s="1"/>
  <c r="AC749" i="16" s="1"/>
  <c r="V388" i="16"/>
  <c r="AB388" i="16" s="1"/>
  <c r="AC388" i="16" s="1"/>
  <c r="V706" i="16"/>
  <c r="AB706" i="16" s="1"/>
  <c r="AC706" i="16" s="1"/>
  <c r="V655" i="16"/>
  <c r="AB655" i="16" s="1"/>
  <c r="AC655" i="16" s="1"/>
  <c r="V502" i="16"/>
  <c r="AB502" i="16" s="1"/>
  <c r="AC502" i="16" s="1"/>
  <c r="V357" i="16"/>
  <c r="AB357" i="16" s="1"/>
  <c r="AC357" i="16" s="1"/>
  <c r="V316" i="16"/>
  <c r="AB316" i="16" s="1"/>
  <c r="AC316" i="16" s="1"/>
  <c r="V347" i="16"/>
  <c r="AB347" i="16" s="1"/>
  <c r="AC347" i="16" s="1"/>
  <c r="V314" i="16"/>
  <c r="AB314" i="16" s="1"/>
  <c r="AC314" i="16" s="1"/>
  <c r="V689" i="16"/>
  <c r="AB689" i="16" s="1"/>
  <c r="AC689" i="16" s="1"/>
  <c r="V343" i="16"/>
  <c r="AB343" i="16" s="1"/>
  <c r="AC343" i="16" s="1"/>
  <c r="V557" i="16"/>
  <c r="AB557" i="16" s="1"/>
  <c r="AC557" i="16" s="1"/>
  <c r="V867" i="16"/>
  <c r="AB867" i="16" s="1"/>
  <c r="AC867" i="16" s="1"/>
  <c r="V514" i="16"/>
  <c r="AB514" i="16" s="1"/>
  <c r="AC514" i="16" s="1"/>
  <c r="V463" i="16"/>
  <c r="AB463" i="16" s="1"/>
  <c r="AC463" i="16" s="1"/>
  <c r="V438" i="16"/>
  <c r="AB438" i="16" s="1"/>
  <c r="AC438" i="16" s="1"/>
  <c r="V892" i="16"/>
  <c r="AB892" i="16" s="1"/>
  <c r="AC892" i="16" s="1"/>
  <c r="V923" i="16"/>
  <c r="AB923" i="16" s="1"/>
  <c r="AC923" i="16" s="1"/>
  <c r="V283" i="16"/>
  <c r="AB283" i="16" s="1"/>
  <c r="AC283" i="16" s="1"/>
  <c r="V673" i="16"/>
  <c r="AB673" i="16" s="1"/>
  <c r="AC673" i="16" s="1"/>
  <c r="V647" i="16"/>
  <c r="AB647" i="16" s="1"/>
  <c r="AC647" i="16" s="1"/>
  <c r="V686" i="16"/>
  <c r="AB686" i="16" s="1"/>
  <c r="AC686" i="16" s="1"/>
  <c r="V477" i="16"/>
  <c r="AB477" i="16" s="1"/>
  <c r="AC477" i="16" s="1"/>
  <c r="V500" i="16"/>
  <c r="AB500" i="16" s="1"/>
  <c r="AC500" i="16" s="1"/>
  <c r="V659" i="16"/>
  <c r="AB659" i="16" s="1"/>
  <c r="AC659" i="16" s="1"/>
  <c r="V818" i="16"/>
  <c r="AB818" i="16" s="1"/>
  <c r="AC818" i="16" s="1"/>
  <c r="V306" i="16"/>
  <c r="AB306" i="16" s="1"/>
  <c r="AC306" i="16" s="1"/>
  <c r="V281" i="16"/>
  <c r="AB281" i="16" s="1"/>
  <c r="AC281" i="16" s="1"/>
  <c r="V319" i="16"/>
  <c r="AB319" i="16" s="1"/>
  <c r="AC319" i="16" s="1"/>
  <c r="V486" i="16"/>
  <c r="AB486" i="16" s="1"/>
  <c r="AC486" i="16" s="1"/>
  <c r="V533" i="16"/>
  <c r="AB533" i="16" s="1"/>
  <c r="AC533" i="16" s="1"/>
  <c r="V684" i="16"/>
  <c r="AB684" i="16" s="1"/>
  <c r="AC684" i="16" s="1"/>
  <c r="V843" i="16"/>
  <c r="AB843" i="16" s="1"/>
  <c r="AC843" i="16" s="1"/>
  <c r="V331" i="16"/>
  <c r="AB331" i="16" s="1"/>
  <c r="AC331" i="16" s="1"/>
  <c r="V490" i="16"/>
  <c r="AB490" i="16" s="1"/>
  <c r="AC490" i="16" s="1"/>
  <c r="V465" i="16"/>
  <c r="AB465" i="16" s="1"/>
  <c r="AC465" i="16" s="1"/>
  <c r="V236" i="16"/>
  <c r="AB236" i="16" s="1"/>
  <c r="AC236" i="16" s="1"/>
  <c r="V528" i="16"/>
  <c r="AB528" i="16" s="1"/>
  <c r="AC528" i="16" s="1"/>
  <c r="V885" i="16"/>
  <c r="AB885" i="16" s="1"/>
  <c r="AC885" i="16" s="1"/>
  <c r="V247" i="16"/>
  <c r="AB247" i="16" s="1"/>
  <c r="AC247" i="16" s="1"/>
  <c r="V249" i="16"/>
  <c r="AB249" i="16" s="1"/>
  <c r="AC249" i="16" s="1"/>
  <c r="V736" i="16"/>
  <c r="AB736" i="16" s="1"/>
  <c r="AC736" i="16" s="1"/>
  <c r="V940" i="16"/>
  <c r="AB940" i="16" s="1"/>
  <c r="AC940" i="16" s="1"/>
  <c r="V1011" i="16"/>
  <c r="AB1011" i="16" s="1"/>
  <c r="AC1011" i="16" s="1"/>
  <c r="V1075" i="16"/>
  <c r="AB1075" i="16" s="1"/>
  <c r="AC1075" i="16" s="1"/>
  <c r="V520" i="16"/>
  <c r="AB520" i="16" s="1"/>
  <c r="AC520" i="16" s="1"/>
  <c r="V933" i="16"/>
  <c r="AB933" i="16" s="1"/>
  <c r="AC933" i="16" s="1"/>
  <c r="V1013" i="16"/>
  <c r="AB1013" i="16" s="1"/>
  <c r="AC1013" i="16" s="1"/>
  <c r="V1077" i="16"/>
  <c r="AB1077" i="16" s="1"/>
  <c r="AC1077" i="16" s="1"/>
  <c r="V568" i="16"/>
  <c r="AB568" i="16" s="1"/>
  <c r="AC568" i="16" s="1"/>
  <c r="V270" i="16"/>
  <c r="AB270" i="16" s="1"/>
  <c r="AC270" i="16" s="1"/>
  <c r="V849" i="16"/>
  <c r="AB849" i="16" s="1"/>
  <c r="AC849" i="16" s="1"/>
  <c r="V990" i="16"/>
  <c r="AB990" i="16" s="1"/>
  <c r="AC990" i="16" s="1"/>
  <c r="V1076" i="16"/>
  <c r="AB1076" i="16" s="1"/>
  <c r="AC1076" i="16" s="1"/>
  <c r="V1147" i="16"/>
  <c r="AB1147" i="16" s="1"/>
  <c r="AC1147" i="16" s="1"/>
  <c r="V1211" i="16"/>
  <c r="AB1211" i="16" s="1"/>
  <c r="AC1211" i="16" s="1"/>
  <c r="V1275" i="16"/>
  <c r="AB1275" i="16" s="1"/>
  <c r="AC1275" i="16" s="1"/>
  <c r="V1339" i="16"/>
  <c r="AB1339" i="16" s="1"/>
  <c r="AC1339" i="16" s="1"/>
  <c r="V1403" i="16"/>
  <c r="AB1403" i="16" s="1"/>
  <c r="AC1403" i="16" s="1"/>
  <c r="V1467" i="16"/>
  <c r="AB1467" i="16" s="1"/>
  <c r="AC1467" i="16" s="1"/>
  <c r="V1531" i="16"/>
  <c r="AB1531" i="16" s="1"/>
  <c r="AC1531" i="16" s="1"/>
  <c r="V1595" i="16"/>
  <c r="AB1595" i="16" s="1"/>
  <c r="AC1595" i="16" s="1"/>
  <c r="V1659" i="16"/>
  <c r="AB1659" i="16" s="1"/>
  <c r="AC1659" i="16" s="1"/>
  <c r="V1723" i="16"/>
  <c r="AB1723" i="16" s="1"/>
  <c r="AC1723" i="16" s="1"/>
  <c r="V1787" i="16"/>
  <c r="AB1787" i="16" s="1"/>
  <c r="AC1787" i="16" s="1"/>
  <c r="V1851" i="16"/>
  <c r="AB1851" i="16" s="1"/>
  <c r="AC1851" i="16" s="1"/>
  <c r="V1915" i="16"/>
  <c r="AB1915" i="16" s="1"/>
  <c r="AC1915" i="16" s="1"/>
  <c r="V824" i="16"/>
  <c r="AB824" i="16" s="1"/>
  <c r="AC824" i="16" s="1"/>
  <c r="V1002" i="16"/>
  <c r="AB1002" i="16" s="1"/>
  <c r="AC1002" i="16" s="1"/>
  <c r="V1088" i="16"/>
  <c r="AB1088" i="16" s="1"/>
  <c r="AC1088" i="16" s="1"/>
  <c r="V1156" i="16"/>
  <c r="AB1156" i="16" s="1"/>
  <c r="AC1156" i="16" s="1"/>
  <c r="V1220" i="16"/>
  <c r="AB1220" i="16" s="1"/>
  <c r="AC1220" i="16" s="1"/>
  <c r="V1284" i="16"/>
  <c r="AB1284" i="16" s="1"/>
  <c r="AC1284" i="16" s="1"/>
  <c r="V1348" i="16"/>
  <c r="AB1348" i="16" s="1"/>
  <c r="AC1348" i="16" s="1"/>
  <c r="V1412" i="16"/>
  <c r="AB1412" i="16" s="1"/>
  <c r="AC1412" i="16" s="1"/>
  <c r="V769" i="16"/>
  <c r="AB769" i="16" s="1"/>
  <c r="AC769" i="16" s="1"/>
  <c r="V981" i="16"/>
  <c r="AB981" i="16" s="1"/>
  <c r="AC981" i="16" s="1"/>
  <c r="V1068" i="16"/>
  <c r="AB1068" i="16" s="1"/>
  <c r="AC1068" i="16" s="1"/>
  <c r="V1141" i="16"/>
  <c r="AB1141" i="16" s="1"/>
  <c r="AC1141" i="16" s="1"/>
  <c r="V1205" i="16"/>
  <c r="AB1205" i="16" s="1"/>
  <c r="AC1205" i="16" s="1"/>
  <c r="V1269" i="16"/>
  <c r="AB1269" i="16" s="1"/>
  <c r="AC1269" i="16" s="1"/>
  <c r="V1333" i="16"/>
  <c r="AB1333" i="16" s="1"/>
  <c r="AC1333" i="16" s="1"/>
  <c r="V1397" i="16"/>
  <c r="AB1397" i="16" s="1"/>
  <c r="AC1397" i="16" s="1"/>
  <c r="V1461" i="16"/>
  <c r="AB1461" i="16" s="1"/>
  <c r="AC1461" i="16" s="1"/>
  <c r="V1525" i="16"/>
  <c r="AB1525" i="16" s="1"/>
  <c r="AC1525" i="16" s="1"/>
  <c r="V1589" i="16"/>
  <c r="AB1589" i="16" s="1"/>
  <c r="AC1589" i="16" s="1"/>
  <c r="V1653" i="16"/>
  <c r="AB1653" i="16" s="1"/>
  <c r="AC1653" i="16" s="1"/>
  <c r="V1717" i="16"/>
  <c r="AB1717" i="16" s="1"/>
  <c r="AC1717" i="16" s="1"/>
  <c r="V1781" i="16"/>
  <c r="AB1781" i="16" s="1"/>
  <c r="AC1781" i="16" s="1"/>
  <c r="V1845" i="16"/>
  <c r="AB1845" i="16" s="1"/>
  <c r="AC1845" i="16" s="1"/>
  <c r="V1909" i="16"/>
  <c r="AB1909" i="16" s="1"/>
  <c r="AC1909" i="16" s="1"/>
  <c r="V250" i="16"/>
  <c r="AB250" i="16" s="1"/>
  <c r="AC250" i="16" s="1"/>
  <c r="V888" i="16"/>
  <c r="AB888" i="16" s="1"/>
  <c r="AC888" i="16" s="1"/>
  <c r="V1031" i="16"/>
  <c r="AB1031" i="16" s="1"/>
  <c r="AC1031" i="16" s="1"/>
  <c r="V561" i="16"/>
  <c r="AB561" i="16" s="1"/>
  <c r="AC561" i="16" s="1"/>
  <c r="V894" i="16"/>
  <c r="AB894" i="16" s="1"/>
  <c r="AC894" i="16" s="1"/>
  <c r="V429" i="16"/>
  <c r="AB429" i="16" s="1"/>
  <c r="AC429" i="16" s="1"/>
  <c r="V739" i="16"/>
  <c r="AB739" i="16" s="1"/>
  <c r="AC739" i="16" s="1"/>
  <c r="V386" i="16"/>
  <c r="AB386" i="16" s="1"/>
  <c r="AC386" i="16" s="1"/>
  <c r="V335" i="16"/>
  <c r="AB335" i="16" s="1"/>
  <c r="AC335" i="16" s="1"/>
  <c r="V310" i="16"/>
  <c r="AB310" i="16" s="1"/>
  <c r="AC310" i="16" s="1"/>
  <c r="V828" i="16"/>
  <c r="AB828" i="16" s="1"/>
  <c r="AC828" i="16" s="1"/>
  <c r="V859" i="16"/>
  <c r="AB859" i="16" s="1"/>
  <c r="AC859" i="16" s="1"/>
  <c r="V826" i="16"/>
  <c r="AB826" i="16" s="1"/>
  <c r="AC826" i="16" s="1"/>
  <c r="V609" i="16"/>
  <c r="AB609" i="16" s="1"/>
  <c r="AC609" i="16" s="1"/>
  <c r="V583" i="16"/>
  <c r="AB583" i="16" s="1"/>
  <c r="AC583" i="16" s="1"/>
  <c r="V558" i="16"/>
  <c r="AB558" i="16" s="1"/>
  <c r="AC558" i="16" s="1"/>
  <c r="V413" i="16"/>
  <c r="AB413" i="16" s="1"/>
  <c r="AC413" i="16" s="1"/>
  <c r="V436" i="16"/>
  <c r="AB436" i="16" s="1"/>
  <c r="AC436" i="16" s="1"/>
  <c r="V595" i="16"/>
  <c r="AB595" i="16" s="1"/>
  <c r="AC595" i="16" s="1"/>
  <c r="V754" i="16"/>
  <c r="AB754" i="16" s="1"/>
  <c r="AC754" i="16" s="1"/>
  <c r="V729" i="16"/>
  <c r="AB729" i="16" s="1"/>
  <c r="AC729" i="16" s="1"/>
  <c r="V767" i="16"/>
  <c r="AB767" i="16" s="1"/>
  <c r="AC767" i="16" s="1"/>
  <c r="V934" i="16"/>
  <c r="AB934" i="16" s="1"/>
  <c r="AC934" i="16" s="1"/>
  <c r="V422" i="16"/>
  <c r="AB422" i="16" s="1"/>
  <c r="AC422" i="16" s="1"/>
  <c r="V469" i="16"/>
  <c r="AB469" i="16" s="1"/>
  <c r="AC469" i="16" s="1"/>
  <c r="V620" i="16"/>
  <c r="AB620" i="16" s="1"/>
  <c r="AC620" i="16" s="1"/>
  <c r="V779" i="16"/>
  <c r="AB779" i="16" s="1"/>
  <c r="AC779" i="16" s="1"/>
  <c r="V938" i="16"/>
  <c r="AB938" i="16" s="1"/>
  <c r="AC938" i="16" s="1"/>
  <c r="V426" i="16"/>
  <c r="AB426" i="16" s="1"/>
  <c r="AC426" i="16" s="1"/>
  <c r="V401" i="16"/>
  <c r="AB401" i="16" s="1"/>
  <c r="AC401" i="16" s="1"/>
  <c r="V245" i="16"/>
  <c r="AB245" i="16" s="1"/>
  <c r="AC245" i="16" s="1"/>
  <c r="V592" i="16"/>
  <c r="AB592" i="16" s="1"/>
  <c r="AC592" i="16" s="1"/>
  <c r="V951" i="16"/>
  <c r="AB951" i="16" s="1"/>
  <c r="AC951" i="16" s="1"/>
  <c r="V256" i="16"/>
  <c r="AB256" i="16" s="1"/>
  <c r="AC256" i="16" s="1"/>
  <c r="V261" i="16"/>
  <c r="AB261" i="16" s="1"/>
  <c r="AC261" i="16" s="1"/>
  <c r="V768" i="16"/>
  <c r="AB768" i="16" s="1"/>
  <c r="AC768" i="16" s="1"/>
  <c r="V949" i="16"/>
  <c r="AB949" i="16" s="1"/>
  <c r="AC949" i="16" s="1"/>
  <c r="V1019" i="16"/>
  <c r="AB1019" i="16" s="1"/>
  <c r="AC1019" i="16" s="1"/>
  <c r="V1083" i="16"/>
  <c r="AB1083" i="16" s="1"/>
  <c r="AC1083" i="16" s="1"/>
  <c r="V624" i="16"/>
  <c r="AB624" i="16" s="1"/>
  <c r="AC624" i="16" s="1"/>
  <c r="V952" i="16"/>
  <c r="AB952" i="16" s="1"/>
  <c r="AC952" i="16" s="1"/>
  <c r="V1021" i="16"/>
  <c r="AB1021" i="16" s="1"/>
  <c r="AC1021" i="16" s="1"/>
  <c r="V1085" i="16"/>
  <c r="AB1085" i="16" s="1"/>
  <c r="AC1085" i="16" s="1"/>
  <c r="V584" i="16"/>
  <c r="AB584" i="16" s="1"/>
  <c r="AC584" i="16" s="1"/>
  <c r="V304" i="16"/>
  <c r="AB304" i="16" s="1"/>
  <c r="AC304" i="16" s="1"/>
  <c r="V905" i="16"/>
  <c r="AB905" i="16" s="1"/>
  <c r="AC905" i="16" s="1"/>
  <c r="V1001" i="16"/>
  <c r="AB1001" i="16" s="1"/>
  <c r="AC1001" i="16" s="1"/>
  <c r="V1087" i="16"/>
  <c r="AB1087" i="16" s="1"/>
  <c r="AC1087" i="16" s="1"/>
  <c r="V1155" i="16"/>
  <c r="AB1155" i="16" s="1"/>
  <c r="AC1155" i="16" s="1"/>
  <c r="V1219" i="16"/>
  <c r="AB1219" i="16" s="1"/>
  <c r="AC1219" i="16" s="1"/>
  <c r="V1283" i="16"/>
  <c r="AB1283" i="16" s="1"/>
  <c r="AC1283" i="16" s="1"/>
  <c r="V1347" i="16"/>
  <c r="AB1347" i="16" s="1"/>
  <c r="AC1347" i="16" s="1"/>
  <c r="V1411" i="16"/>
  <c r="AB1411" i="16" s="1"/>
  <c r="AC1411" i="16" s="1"/>
  <c r="V1475" i="16"/>
  <c r="AB1475" i="16" s="1"/>
  <c r="AC1475" i="16" s="1"/>
  <c r="V1539" i="16"/>
  <c r="AB1539" i="16" s="1"/>
  <c r="AC1539" i="16" s="1"/>
  <c r="V1603" i="16"/>
  <c r="AB1603" i="16" s="1"/>
  <c r="AC1603" i="16" s="1"/>
  <c r="V1667" i="16"/>
  <c r="AB1667" i="16" s="1"/>
  <c r="AC1667" i="16" s="1"/>
  <c r="V1731" i="16"/>
  <c r="AB1731" i="16" s="1"/>
  <c r="AC1731" i="16" s="1"/>
  <c r="V1795" i="16"/>
  <c r="AB1795" i="16" s="1"/>
  <c r="AC1795" i="16" s="1"/>
  <c r="V1859" i="16"/>
  <c r="AB1859" i="16" s="1"/>
  <c r="AC1859" i="16" s="1"/>
  <c r="V1923" i="16"/>
  <c r="AB1923" i="16" s="1"/>
  <c r="AC1923" i="16" s="1"/>
  <c r="V837" i="16"/>
  <c r="AB837" i="16" s="1"/>
  <c r="AC837" i="16" s="1"/>
  <c r="V1014" i="16"/>
  <c r="AB1014" i="16" s="1"/>
  <c r="AC1014" i="16" s="1"/>
  <c r="V1098" i="16"/>
  <c r="AB1098" i="16" s="1"/>
  <c r="AC1098" i="16" s="1"/>
  <c r="V1164" i="16"/>
  <c r="AB1164" i="16" s="1"/>
  <c r="AC1164" i="16" s="1"/>
  <c r="V1228" i="16"/>
  <c r="AB1228" i="16" s="1"/>
  <c r="AC1228" i="16" s="1"/>
  <c r="V1292" i="16"/>
  <c r="AB1292" i="16" s="1"/>
  <c r="AC1292" i="16" s="1"/>
  <c r="V1356" i="16"/>
  <c r="AB1356" i="16" s="1"/>
  <c r="AC1356" i="16" s="1"/>
  <c r="V1420" i="16"/>
  <c r="AB1420" i="16" s="1"/>
  <c r="AC1420" i="16" s="1"/>
  <c r="V825" i="16"/>
  <c r="AB825" i="16" s="1"/>
  <c r="AC825" i="16" s="1"/>
  <c r="V993" i="16"/>
  <c r="AB993" i="16" s="1"/>
  <c r="AC993" i="16" s="1"/>
  <c r="V1079" i="16"/>
  <c r="AB1079" i="16" s="1"/>
  <c r="AC1079" i="16" s="1"/>
  <c r="V1149" i="16"/>
  <c r="AB1149" i="16" s="1"/>
  <c r="AC1149" i="16" s="1"/>
  <c r="V1213" i="16"/>
  <c r="AB1213" i="16" s="1"/>
  <c r="AC1213" i="16" s="1"/>
  <c r="V1277" i="16"/>
  <c r="AB1277" i="16" s="1"/>
  <c r="AC1277" i="16" s="1"/>
  <c r="V1341" i="16"/>
  <c r="AB1341" i="16" s="1"/>
  <c r="AC1341" i="16" s="1"/>
  <c r="V1405" i="16"/>
  <c r="AB1405" i="16" s="1"/>
  <c r="AC1405" i="16" s="1"/>
  <c r="V1469" i="16"/>
  <c r="AB1469" i="16" s="1"/>
  <c r="AC1469" i="16" s="1"/>
  <c r="V1533" i="16"/>
  <c r="AB1533" i="16" s="1"/>
  <c r="AC1533" i="16" s="1"/>
  <c r="V1597" i="16"/>
  <c r="AB1597" i="16" s="1"/>
  <c r="AC1597" i="16" s="1"/>
  <c r="V1661" i="16"/>
  <c r="AB1661" i="16" s="1"/>
  <c r="AC1661" i="16" s="1"/>
  <c r="V1725" i="16"/>
  <c r="AB1725" i="16" s="1"/>
  <c r="AC1725" i="16" s="1"/>
  <c r="V1789" i="16"/>
  <c r="AB1789" i="16" s="1"/>
  <c r="AC1789" i="16" s="1"/>
  <c r="V1853" i="16"/>
  <c r="AB1853" i="16" s="1"/>
  <c r="AC1853" i="16" s="1"/>
  <c r="V1917" i="16"/>
  <c r="AB1917" i="16" s="1"/>
  <c r="AC1917" i="16" s="1"/>
  <c r="V268" i="16"/>
  <c r="AB268" i="16" s="1"/>
  <c r="AC268" i="16" s="1"/>
  <c r="V901" i="16"/>
  <c r="AB901" i="16" s="1"/>
  <c r="AC901" i="16" s="1"/>
  <c r="V1041" i="16"/>
  <c r="AB1041" i="16" s="1"/>
  <c r="AC1041" i="16" s="1"/>
  <c r="V950" i="16"/>
  <c r="AB950" i="16" s="1"/>
  <c r="AC950" i="16" s="1"/>
  <c r="V764" i="16"/>
  <c r="AB764" i="16" s="1"/>
  <c r="AC764" i="16" s="1"/>
  <c r="V698" i="16"/>
  <c r="AB698" i="16" s="1"/>
  <c r="AC698" i="16" s="1"/>
  <c r="V775" i="16"/>
  <c r="AB775" i="16" s="1"/>
  <c r="AC775" i="16" s="1"/>
  <c r="V430" i="16"/>
  <c r="AB430" i="16" s="1"/>
  <c r="AC430" i="16" s="1"/>
  <c r="V884" i="16"/>
  <c r="AB884" i="16" s="1"/>
  <c r="AC884" i="16" s="1"/>
  <c r="V787" i="16"/>
  <c r="AB787" i="16" s="1"/>
  <c r="AC787" i="16" s="1"/>
  <c r="V690" i="16"/>
  <c r="AB690" i="16" s="1"/>
  <c r="AC690" i="16" s="1"/>
  <c r="V537" i="16"/>
  <c r="AB537" i="16" s="1"/>
  <c r="AC537" i="16" s="1"/>
  <c r="V447" i="16"/>
  <c r="AB447" i="16" s="1"/>
  <c r="AC447" i="16" s="1"/>
  <c r="V358" i="16"/>
  <c r="AB358" i="16" s="1"/>
  <c r="AC358" i="16" s="1"/>
  <c r="V277" i="16"/>
  <c r="AB277" i="16" s="1"/>
  <c r="AC277" i="16" s="1"/>
  <c r="V300" i="16"/>
  <c r="AB300" i="16" s="1"/>
  <c r="AC300" i="16" s="1"/>
  <c r="V874" i="16"/>
  <c r="AB874" i="16" s="1"/>
  <c r="AC874" i="16" s="1"/>
  <c r="V721" i="16"/>
  <c r="AB721" i="16" s="1"/>
  <c r="AC721" i="16" s="1"/>
  <c r="V259" i="16"/>
  <c r="AB259" i="16" s="1"/>
  <c r="AC259" i="16" s="1"/>
  <c r="V656" i="16"/>
  <c r="AB656" i="16" s="1"/>
  <c r="AC656" i="16" s="1"/>
  <c r="V975" i="16"/>
  <c r="AB975" i="16" s="1"/>
  <c r="AC975" i="16" s="1"/>
  <c r="V512" i="16"/>
  <c r="AB512" i="16" s="1"/>
  <c r="AC512" i="16" s="1"/>
  <c r="V809" i="16"/>
  <c r="AB809" i="16" s="1"/>
  <c r="AC809" i="16" s="1"/>
  <c r="V977" i="16"/>
  <c r="AB977" i="16" s="1"/>
  <c r="AC977" i="16" s="1"/>
  <c r="V1059" i="16"/>
  <c r="AB1059" i="16" s="1"/>
  <c r="AC1059" i="16" s="1"/>
  <c r="V728" i="16"/>
  <c r="AB728" i="16" s="1"/>
  <c r="AC728" i="16" s="1"/>
  <c r="V979" i="16"/>
  <c r="AB979" i="16" s="1"/>
  <c r="AC979" i="16" s="1"/>
  <c r="V1061" i="16"/>
  <c r="AB1061" i="16" s="1"/>
  <c r="AC1061" i="16" s="1"/>
  <c r="V680" i="16"/>
  <c r="AB680" i="16" s="1"/>
  <c r="AC680" i="16" s="1"/>
  <c r="V416" i="16"/>
  <c r="AB416" i="16" s="1"/>
  <c r="AC416" i="16" s="1"/>
  <c r="V965" i="16"/>
  <c r="AB965" i="16" s="1"/>
  <c r="AC965" i="16" s="1"/>
  <c r="V1097" i="16"/>
  <c r="AB1097" i="16" s="1"/>
  <c r="AC1097" i="16" s="1"/>
  <c r="V1179" i="16"/>
  <c r="AB1179" i="16" s="1"/>
  <c r="AC1179" i="16" s="1"/>
  <c r="V1259" i="16"/>
  <c r="AB1259" i="16" s="1"/>
  <c r="AC1259" i="16" s="1"/>
  <c r="V1355" i="16"/>
  <c r="AB1355" i="16" s="1"/>
  <c r="AC1355" i="16" s="1"/>
  <c r="V694" i="16"/>
  <c r="AB694" i="16" s="1"/>
  <c r="AC694" i="16" s="1"/>
  <c r="V636" i="16"/>
  <c r="AB636" i="16" s="1"/>
  <c r="AC636" i="16" s="1"/>
  <c r="V570" i="16"/>
  <c r="AB570" i="16" s="1"/>
  <c r="AC570" i="16" s="1"/>
  <c r="V711" i="16"/>
  <c r="AB711" i="16" s="1"/>
  <c r="AC711" i="16" s="1"/>
  <c r="V366" i="16"/>
  <c r="AB366" i="16" s="1"/>
  <c r="AC366" i="16" s="1"/>
  <c r="V756" i="16"/>
  <c r="AB756" i="16" s="1"/>
  <c r="AC756" i="16" s="1"/>
  <c r="V723" i="16"/>
  <c r="AB723" i="16" s="1"/>
  <c r="AC723" i="16" s="1"/>
  <c r="V626" i="16"/>
  <c r="AB626" i="16" s="1"/>
  <c r="AC626" i="16" s="1"/>
  <c r="V473" i="16"/>
  <c r="AB473" i="16" s="1"/>
  <c r="AC473" i="16" s="1"/>
  <c r="V383" i="16"/>
  <c r="AB383" i="16" s="1"/>
  <c r="AC383" i="16" s="1"/>
  <c r="V294" i="16"/>
  <c r="AB294" i="16" s="1"/>
  <c r="AC294" i="16" s="1"/>
  <c r="V876" i="16"/>
  <c r="AB876" i="16" s="1"/>
  <c r="AC876" i="16" s="1"/>
  <c r="V907" i="16"/>
  <c r="AB907" i="16" s="1"/>
  <c r="AC907" i="16" s="1"/>
  <c r="V810" i="16"/>
  <c r="AB810" i="16" s="1"/>
  <c r="AC810" i="16" s="1"/>
  <c r="V657" i="16"/>
  <c r="AB657" i="16" s="1"/>
  <c r="AC657" i="16" s="1"/>
  <c r="V267" i="16"/>
  <c r="AB267" i="16" s="1"/>
  <c r="AC267" i="16" s="1"/>
  <c r="V720" i="16"/>
  <c r="AB720" i="16" s="1"/>
  <c r="AC720" i="16" s="1"/>
  <c r="V983" i="16"/>
  <c r="AB983" i="16" s="1"/>
  <c r="AC983" i="16" s="1"/>
  <c r="V237" i="16"/>
  <c r="AB237" i="16" s="1"/>
  <c r="AC237" i="16" s="1"/>
  <c r="V841" i="16"/>
  <c r="AB841" i="16" s="1"/>
  <c r="AC841" i="16" s="1"/>
  <c r="V986" i="16"/>
  <c r="AB986" i="16" s="1"/>
  <c r="AC986" i="16" s="1"/>
  <c r="V1067" i="16"/>
  <c r="AB1067" i="16" s="1"/>
  <c r="AC1067" i="16" s="1"/>
  <c r="V760" i="16"/>
  <c r="AB760" i="16" s="1"/>
  <c r="AC760" i="16" s="1"/>
  <c r="V988" i="16"/>
  <c r="AB988" i="16" s="1"/>
  <c r="AC988" i="16" s="1"/>
  <c r="V1069" i="16"/>
  <c r="AB1069" i="16" s="1"/>
  <c r="AC1069" i="16" s="1"/>
  <c r="V777" i="16"/>
  <c r="AB777" i="16" s="1"/>
  <c r="AC777" i="16" s="1"/>
  <c r="V640" i="16"/>
  <c r="AB640" i="16" s="1"/>
  <c r="AC640" i="16" s="1"/>
  <c r="V978" i="16"/>
  <c r="AB978" i="16" s="1"/>
  <c r="AC978" i="16" s="1"/>
  <c r="V1106" i="16"/>
  <c r="AB1106" i="16" s="1"/>
  <c r="AC1106" i="16" s="1"/>
  <c r="V630" i="16"/>
  <c r="AB630" i="16" s="1"/>
  <c r="AC630" i="16" s="1"/>
  <c r="V508" i="16"/>
  <c r="AB508" i="16" s="1"/>
  <c r="AC508" i="16" s="1"/>
  <c r="V506" i="16"/>
  <c r="AB506" i="16" s="1"/>
  <c r="AC506" i="16" s="1"/>
  <c r="V519" i="16"/>
  <c r="AB519" i="16" s="1"/>
  <c r="AC519" i="16" s="1"/>
  <c r="V302" i="16"/>
  <c r="AB302" i="16" s="1"/>
  <c r="AC302" i="16" s="1"/>
  <c r="V628" i="16"/>
  <c r="AB628" i="16" s="1"/>
  <c r="AC628" i="16" s="1"/>
  <c r="V531" i="16"/>
  <c r="AB531" i="16" s="1"/>
  <c r="AC531" i="16" s="1"/>
  <c r="V562" i="16"/>
  <c r="AB562" i="16" s="1"/>
  <c r="AC562" i="16" s="1"/>
  <c r="V409" i="16"/>
  <c r="AB409" i="16" s="1"/>
  <c r="AC409" i="16" s="1"/>
  <c r="V870" i="16"/>
  <c r="AB870" i="16" s="1"/>
  <c r="AC870" i="16" s="1"/>
  <c r="V789" i="16"/>
  <c r="AB789" i="16" s="1"/>
  <c r="AC789" i="16" s="1"/>
  <c r="V812" i="16"/>
  <c r="AB812" i="16" s="1"/>
  <c r="AC812" i="16" s="1"/>
  <c r="V715" i="16"/>
  <c r="AB715" i="16" s="1"/>
  <c r="AC715" i="16" s="1"/>
  <c r="V746" i="16"/>
  <c r="AB746" i="16" s="1"/>
  <c r="AC746" i="16" s="1"/>
  <c r="V593" i="16"/>
  <c r="AB593" i="16" s="1"/>
  <c r="AC593" i="16" s="1"/>
  <c r="V254" i="16"/>
  <c r="AB254" i="16" s="1"/>
  <c r="AC254" i="16" s="1"/>
  <c r="V784" i="16"/>
  <c r="AB784" i="16" s="1"/>
  <c r="AC784" i="16" s="1"/>
  <c r="V991" i="16"/>
  <c r="AB991" i="16" s="1"/>
  <c r="AC991" i="16" s="1"/>
  <c r="V273" i="16"/>
  <c r="AB273" i="16" s="1"/>
  <c r="AC273" i="16" s="1"/>
  <c r="V872" i="16"/>
  <c r="AB872" i="16" s="1"/>
  <c r="AC872" i="16" s="1"/>
  <c r="V995" i="16"/>
  <c r="AB995" i="16" s="1"/>
  <c r="AC995" i="16" s="1"/>
  <c r="V1091" i="16"/>
  <c r="AB1091" i="16" s="1"/>
  <c r="AC1091" i="16" s="1"/>
  <c r="V801" i="16"/>
  <c r="AB801" i="16" s="1"/>
  <c r="AC801" i="16" s="1"/>
  <c r="V997" i="16"/>
  <c r="AB997" i="16" s="1"/>
  <c r="AC997" i="16" s="1"/>
  <c r="V1093" i="16"/>
  <c r="AB1093" i="16" s="1"/>
  <c r="AC1093" i="16" s="1"/>
  <c r="V792" i="16"/>
  <c r="AB792" i="16" s="1"/>
  <c r="AC792" i="16" s="1"/>
  <c r="V696" i="16"/>
  <c r="AB696" i="16" s="1"/>
  <c r="AC696" i="16" s="1"/>
  <c r="V1012" i="16"/>
  <c r="AB1012" i="16" s="1"/>
  <c r="AC1012" i="16" s="1"/>
  <c r="V1115" i="16"/>
  <c r="AB1115" i="16" s="1"/>
  <c r="AC1115" i="16" s="1"/>
  <c r="V1195" i="16"/>
  <c r="AB1195" i="16" s="1"/>
  <c r="AC1195" i="16" s="1"/>
  <c r="V1291" i="16"/>
  <c r="AB1291" i="16" s="1"/>
  <c r="AC1291" i="16" s="1"/>
  <c r="V1371" i="16"/>
  <c r="AB1371" i="16" s="1"/>
  <c r="AC1371" i="16" s="1"/>
  <c r="V566" i="16"/>
  <c r="AB566" i="16" s="1"/>
  <c r="AC566" i="16" s="1"/>
  <c r="V380" i="16"/>
  <c r="AB380" i="16" s="1"/>
  <c r="AC380" i="16" s="1"/>
  <c r="V442" i="16"/>
  <c r="AB442" i="16" s="1"/>
  <c r="AC442" i="16" s="1"/>
  <c r="V391" i="16"/>
  <c r="AB391" i="16" s="1"/>
  <c r="AC391" i="16" s="1"/>
  <c r="V797" i="16"/>
  <c r="AB797" i="16" s="1"/>
  <c r="AC797" i="16" s="1"/>
  <c r="V564" i="16"/>
  <c r="AB564" i="16" s="1"/>
  <c r="AC564" i="16" s="1"/>
  <c r="V467" i="16"/>
  <c r="AB467" i="16" s="1"/>
  <c r="AC467" i="16" s="1"/>
  <c r="V498" i="16"/>
  <c r="AB498" i="16" s="1"/>
  <c r="AC498" i="16" s="1"/>
  <c r="V345" i="16"/>
  <c r="AB345" i="16" s="1"/>
  <c r="AC345" i="16" s="1"/>
  <c r="V806" i="16"/>
  <c r="AB806" i="16" s="1"/>
  <c r="AC806" i="16" s="1"/>
  <c r="V725" i="16"/>
  <c r="AB725" i="16" s="1"/>
  <c r="AC725" i="16" s="1"/>
  <c r="V748" i="16"/>
  <c r="AB748" i="16" s="1"/>
  <c r="AC748" i="16" s="1"/>
  <c r="V651" i="16"/>
  <c r="AB651" i="16" s="1"/>
  <c r="AC651" i="16" s="1"/>
  <c r="V682" i="16"/>
  <c r="AB682" i="16" s="1"/>
  <c r="AC682" i="16" s="1"/>
  <c r="V529" i="16"/>
  <c r="AB529" i="16" s="1"/>
  <c r="AC529" i="16" s="1"/>
  <c r="V263" i="16"/>
  <c r="AB263" i="16" s="1"/>
  <c r="AC263" i="16" s="1"/>
  <c r="V793" i="16"/>
  <c r="AB793" i="16" s="1"/>
  <c r="AC793" i="16" s="1"/>
  <c r="V238" i="16"/>
  <c r="AB238" i="16" s="1"/>
  <c r="AC238" i="16" s="1"/>
  <c r="V432" i="16"/>
  <c r="AB432" i="16" s="1"/>
  <c r="AC432" i="16" s="1"/>
  <c r="V893" i="16"/>
  <c r="AB893" i="16" s="1"/>
  <c r="AC893" i="16" s="1"/>
  <c r="V1003" i="16"/>
  <c r="AB1003" i="16" s="1"/>
  <c r="AC1003" i="16" s="1"/>
  <c r="V240" i="16"/>
  <c r="AB240" i="16" s="1"/>
  <c r="AC240" i="16" s="1"/>
  <c r="V833" i="16"/>
  <c r="AB833" i="16" s="1"/>
  <c r="AC833" i="16" s="1"/>
  <c r="V1005" i="16"/>
  <c r="AB1005" i="16" s="1"/>
  <c r="AC1005" i="16" s="1"/>
  <c r="V1101" i="16"/>
  <c r="AB1101" i="16" s="1"/>
  <c r="AC1101" i="16" s="1"/>
  <c r="V861" i="16"/>
  <c r="AB861" i="16" s="1"/>
  <c r="AC861" i="16" s="1"/>
  <c r="V752" i="16"/>
  <c r="AB752" i="16" s="1"/>
  <c r="AC752" i="16" s="1"/>
  <c r="V1023" i="16"/>
  <c r="AB1023" i="16" s="1"/>
  <c r="AC1023" i="16" s="1"/>
  <c r="V1123" i="16"/>
  <c r="AB1123" i="16" s="1"/>
  <c r="AC1123" i="16" s="1"/>
  <c r="V1203" i="16"/>
  <c r="AB1203" i="16" s="1"/>
  <c r="AC1203" i="16" s="1"/>
  <c r="V1299" i="16"/>
  <c r="AB1299" i="16" s="1"/>
  <c r="AC1299" i="16" s="1"/>
  <c r="V1379" i="16"/>
  <c r="AB1379" i="16" s="1"/>
  <c r="AC1379" i="16" s="1"/>
  <c r="V741" i="16"/>
  <c r="AB741" i="16" s="1"/>
  <c r="AC741" i="16" s="1"/>
  <c r="V795" i="16"/>
  <c r="AB795" i="16" s="1"/>
  <c r="AC795" i="16" s="1"/>
  <c r="V545" i="16"/>
  <c r="AB545" i="16" s="1"/>
  <c r="AC545" i="16" s="1"/>
  <c r="V942" i="16"/>
  <c r="AB942" i="16" s="1"/>
  <c r="AC942" i="16" s="1"/>
  <c r="V733" i="16"/>
  <c r="AB733" i="16" s="1"/>
  <c r="AC733" i="16" s="1"/>
  <c r="V372" i="16"/>
  <c r="AB372" i="16" s="1"/>
  <c r="AC372" i="16" s="1"/>
  <c r="V403" i="16"/>
  <c r="AB403" i="16" s="1"/>
  <c r="AC403" i="16" s="1"/>
  <c r="V434" i="16"/>
  <c r="AB434" i="16" s="1"/>
  <c r="AC434" i="16" s="1"/>
  <c r="V703" i="16"/>
  <c r="AB703" i="16" s="1"/>
  <c r="AC703" i="16" s="1"/>
  <c r="V742" i="16"/>
  <c r="AB742" i="16" s="1"/>
  <c r="AC742" i="16" s="1"/>
  <c r="V661" i="16"/>
  <c r="AB661" i="16" s="1"/>
  <c r="AC661" i="16" s="1"/>
  <c r="V556" i="16"/>
  <c r="AB556" i="16" s="1"/>
  <c r="AC556" i="16" s="1"/>
  <c r="V587" i="16"/>
  <c r="AB587" i="16" s="1"/>
  <c r="AC587" i="16" s="1"/>
  <c r="V618" i="16"/>
  <c r="AB618" i="16" s="1"/>
  <c r="AC618" i="16" s="1"/>
  <c r="V337" i="16"/>
  <c r="AB337" i="16" s="1"/>
  <c r="AC337" i="16" s="1"/>
  <c r="V272" i="16"/>
  <c r="AB272" i="16" s="1"/>
  <c r="AC272" i="16" s="1"/>
  <c r="V848" i="16"/>
  <c r="AB848" i="16" s="1"/>
  <c r="AC848" i="16" s="1"/>
  <c r="V265" i="16"/>
  <c r="AB265" i="16" s="1"/>
  <c r="AC265" i="16" s="1"/>
  <c r="V456" i="16"/>
  <c r="AB456" i="16" s="1"/>
  <c r="AC456" i="16" s="1"/>
  <c r="V904" i="16"/>
  <c r="AB904" i="16" s="1"/>
  <c r="AC904" i="16" s="1"/>
  <c r="V1027" i="16"/>
  <c r="AB1027" i="16" s="1"/>
  <c r="AC1027" i="16" s="1"/>
  <c r="V252" i="16"/>
  <c r="AB252" i="16" s="1"/>
  <c r="AC252" i="16" s="1"/>
  <c r="V864" i="16"/>
  <c r="AB864" i="16" s="1"/>
  <c r="AC864" i="16" s="1"/>
  <c r="V1029" i="16"/>
  <c r="AB1029" i="16" s="1"/>
  <c r="AC1029" i="16" s="1"/>
  <c r="V1109" i="16"/>
  <c r="AB1109" i="16" s="1"/>
  <c r="AC1109" i="16" s="1"/>
  <c r="V239" i="16"/>
  <c r="AB239" i="16" s="1"/>
  <c r="AC239" i="16" s="1"/>
  <c r="V917" i="16"/>
  <c r="AB917" i="16" s="1"/>
  <c r="AC917" i="16" s="1"/>
  <c r="V1033" i="16"/>
  <c r="AB1033" i="16" s="1"/>
  <c r="AC1033" i="16" s="1"/>
  <c r="V1131" i="16"/>
  <c r="AB1131" i="16" s="1"/>
  <c r="AC1131" i="16" s="1"/>
  <c r="V1227" i="16"/>
  <c r="AB1227" i="16" s="1"/>
  <c r="AC1227" i="16" s="1"/>
  <c r="V1307" i="16"/>
  <c r="AB1307" i="16" s="1"/>
  <c r="AC1307" i="16" s="1"/>
  <c r="V1387" i="16"/>
  <c r="AB1387" i="16" s="1"/>
  <c r="AC1387" i="16" s="1"/>
  <c r="V613" i="16"/>
  <c r="AB613" i="16" s="1"/>
  <c r="AC613" i="16" s="1"/>
  <c r="V539" i="16"/>
  <c r="AB539" i="16" s="1"/>
  <c r="AC539" i="16" s="1"/>
  <c r="V481" i="16"/>
  <c r="AB481" i="16" s="1"/>
  <c r="AC481" i="16" s="1"/>
  <c r="V878" i="16"/>
  <c r="AB878" i="16" s="1"/>
  <c r="AC878" i="16" s="1"/>
  <c r="V605" i="16"/>
  <c r="AB605" i="16" s="1"/>
  <c r="AC605" i="16" s="1"/>
  <c r="V308" i="16"/>
  <c r="AB308" i="16" s="1"/>
  <c r="AC308" i="16" s="1"/>
  <c r="V339" i="16"/>
  <c r="AB339" i="16" s="1"/>
  <c r="AC339" i="16" s="1"/>
  <c r="V370" i="16"/>
  <c r="AB370" i="16" s="1"/>
  <c r="AC370" i="16" s="1"/>
  <c r="V639" i="16"/>
  <c r="AB639" i="16" s="1"/>
  <c r="AC639" i="16" s="1"/>
  <c r="V678" i="16"/>
  <c r="AB678" i="16" s="1"/>
  <c r="AC678" i="16" s="1"/>
  <c r="V597" i="16"/>
  <c r="AB597" i="16" s="1"/>
  <c r="AC597" i="16" s="1"/>
  <c r="V492" i="16"/>
  <c r="AB492" i="16" s="1"/>
  <c r="AC492" i="16" s="1"/>
  <c r="V523" i="16"/>
  <c r="AB523" i="16" s="1"/>
  <c r="AC523" i="16" s="1"/>
  <c r="V554" i="16"/>
  <c r="AB554" i="16" s="1"/>
  <c r="AC554" i="16" s="1"/>
  <c r="V235" i="16"/>
  <c r="AB235" i="16" s="1"/>
  <c r="AC235" i="16" s="1"/>
  <c r="V336" i="16"/>
  <c r="AB336" i="16" s="1"/>
  <c r="AC336" i="16" s="1"/>
  <c r="V857" i="16"/>
  <c r="AB857" i="16" s="1"/>
  <c r="AC857" i="16" s="1"/>
  <c r="V320" i="16"/>
  <c r="AB320" i="16" s="1"/>
  <c r="AC320" i="16" s="1"/>
  <c r="V480" i="16"/>
  <c r="AB480" i="16" s="1"/>
  <c r="AC480" i="16" s="1"/>
  <c r="V913" i="16"/>
  <c r="AB913" i="16" s="1"/>
  <c r="AC913" i="16" s="1"/>
  <c r="V1035" i="16"/>
  <c r="AB1035" i="16" s="1"/>
  <c r="AC1035" i="16" s="1"/>
  <c r="V264" i="16"/>
  <c r="AB264" i="16" s="1"/>
  <c r="AC264" i="16" s="1"/>
  <c r="V896" i="16"/>
  <c r="AB896" i="16" s="1"/>
  <c r="AC896" i="16" s="1"/>
  <c r="V1037" i="16"/>
  <c r="AB1037" i="16" s="1"/>
  <c r="AC1037" i="16" s="1"/>
  <c r="V234" i="16"/>
  <c r="AB234" i="16" s="1"/>
  <c r="AC234" i="16" s="1"/>
  <c r="V255" i="16"/>
  <c r="AB255" i="16" s="1"/>
  <c r="AC255" i="16" s="1"/>
  <c r="V929" i="16"/>
  <c r="AB929" i="16" s="1"/>
  <c r="AC929" i="16" s="1"/>
  <c r="V1044" i="16"/>
  <c r="AB1044" i="16" s="1"/>
  <c r="AC1044" i="16" s="1"/>
  <c r="V549" i="16"/>
  <c r="AB549" i="16" s="1"/>
  <c r="AC549" i="16" s="1"/>
  <c r="V475" i="16"/>
  <c r="AB475" i="16" s="1"/>
  <c r="AC475" i="16" s="1"/>
  <c r="V417" i="16"/>
  <c r="AB417" i="16" s="1"/>
  <c r="AC417" i="16" s="1"/>
  <c r="V814" i="16"/>
  <c r="AB814" i="16" s="1"/>
  <c r="AC814" i="16" s="1"/>
  <c r="V349" i="16"/>
  <c r="AB349" i="16" s="1"/>
  <c r="AC349" i="16" s="1"/>
  <c r="V915" i="16"/>
  <c r="AB915" i="16" s="1"/>
  <c r="AC915" i="16" s="1"/>
  <c r="V275" i="16"/>
  <c r="AB275" i="16" s="1"/>
  <c r="AC275" i="16" s="1"/>
  <c r="V665" i="16"/>
  <c r="AB665" i="16" s="1"/>
  <c r="AC665" i="16" s="1"/>
  <c r="V575" i="16"/>
  <c r="AB575" i="16" s="1"/>
  <c r="AC575" i="16" s="1"/>
  <c r="V614" i="16"/>
  <c r="AB614" i="16" s="1"/>
  <c r="AC614" i="16" s="1"/>
  <c r="V405" i="16"/>
  <c r="AB405" i="16" s="1"/>
  <c r="AC405" i="16" s="1"/>
  <c r="V428" i="16"/>
  <c r="AB428" i="16" s="1"/>
  <c r="AC428" i="16" s="1"/>
  <c r="V459" i="16"/>
  <c r="AB459" i="16" s="1"/>
  <c r="AC459" i="16" s="1"/>
  <c r="V362" i="16"/>
  <c r="AB362" i="16" s="1"/>
  <c r="AC362" i="16" s="1"/>
  <c r="V243" i="16"/>
  <c r="AB243" i="16" s="1"/>
  <c r="AC243" i="16" s="1"/>
  <c r="V400" i="16"/>
  <c r="AB400" i="16" s="1"/>
  <c r="AC400" i="16" s="1"/>
  <c r="V959" i="16"/>
  <c r="AB959" i="16" s="1"/>
  <c r="AC959" i="16" s="1"/>
  <c r="V384" i="16"/>
  <c r="AB384" i="16" s="1"/>
  <c r="AC384" i="16" s="1"/>
  <c r="V600" i="16"/>
  <c r="AB600" i="16" s="1"/>
  <c r="AC600" i="16" s="1"/>
  <c r="V958" i="16"/>
  <c r="AB958" i="16" s="1"/>
  <c r="AC958" i="16" s="1"/>
  <c r="V1043" i="16"/>
  <c r="AB1043" i="16" s="1"/>
  <c r="AC1043" i="16" s="1"/>
  <c r="V288" i="16"/>
  <c r="AB288" i="16" s="1"/>
  <c r="AC288" i="16" s="1"/>
  <c r="V961" i="16"/>
  <c r="AB961" i="16" s="1"/>
  <c r="AC961" i="16" s="1"/>
  <c r="V1045" i="16"/>
  <c r="AB1045" i="16" s="1"/>
  <c r="AC1045" i="16" s="1"/>
  <c r="V253" i="16"/>
  <c r="AB253" i="16" s="1"/>
  <c r="AC253" i="16" s="1"/>
  <c r="V352" i="16"/>
  <c r="AB352" i="16" s="1"/>
  <c r="AC352" i="16" s="1"/>
  <c r="V941" i="16"/>
  <c r="AB941" i="16" s="1"/>
  <c r="AC941" i="16" s="1"/>
  <c r="V1055" i="16"/>
  <c r="AB1055" i="16" s="1"/>
  <c r="AC1055" i="16" s="1"/>
  <c r="V1163" i="16"/>
  <c r="AB1163" i="16" s="1"/>
  <c r="AC1163" i="16" s="1"/>
  <c r="V1243" i="16"/>
  <c r="AB1243" i="16" s="1"/>
  <c r="AC1243" i="16" s="1"/>
  <c r="V1323" i="16"/>
  <c r="AB1323" i="16" s="1"/>
  <c r="AC1323" i="16" s="1"/>
  <c r="V1419" i="16"/>
  <c r="AB1419" i="16" s="1"/>
  <c r="AC1419" i="16" s="1"/>
  <c r="V1499" i="16"/>
  <c r="AB1499" i="16" s="1"/>
  <c r="AC1499" i="16" s="1"/>
  <c r="V1579" i="16"/>
  <c r="AB1579" i="16" s="1"/>
  <c r="AC1579" i="16" s="1"/>
  <c r="V1675" i="16"/>
  <c r="AB1675" i="16" s="1"/>
  <c r="AC1675" i="16" s="1"/>
  <c r="V1755" i="16"/>
  <c r="AB1755" i="16" s="1"/>
  <c r="AC1755" i="16" s="1"/>
  <c r="V1835" i="16"/>
  <c r="AB1835" i="16" s="1"/>
  <c r="AC1835" i="16" s="1"/>
  <c r="V241" i="16"/>
  <c r="AB241" i="16" s="1"/>
  <c r="AC241" i="16" s="1"/>
  <c r="V955" i="16"/>
  <c r="AB955" i="16" s="1"/>
  <c r="AC955" i="16" s="1"/>
  <c r="V1066" i="16"/>
  <c r="AB1066" i="16" s="1"/>
  <c r="AC1066" i="16" s="1"/>
  <c r="V1172" i="16"/>
  <c r="AB1172" i="16" s="1"/>
  <c r="AC1172" i="16" s="1"/>
  <c r="V1252" i="16"/>
  <c r="AB1252" i="16" s="1"/>
  <c r="AC1252" i="16" s="1"/>
  <c r="V1332" i="16"/>
  <c r="AB1332" i="16" s="1"/>
  <c r="AC1332" i="16" s="1"/>
  <c r="V1428" i="16"/>
  <c r="AB1428" i="16" s="1"/>
  <c r="AC1428" i="16" s="1"/>
  <c r="V920" i="16"/>
  <c r="AB920" i="16" s="1"/>
  <c r="AC920" i="16" s="1"/>
  <c r="V1047" i="16"/>
  <c r="AB1047" i="16" s="1"/>
  <c r="AC1047" i="16" s="1"/>
  <c r="V1157" i="16"/>
  <c r="AB1157" i="16" s="1"/>
  <c r="AC1157" i="16" s="1"/>
  <c r="V1237" i="16"/>
  <c r="AB1237" i="16" s="1"/>
  <c r="AC1237" i="16" s="1"/>
  <c r="V1317" i="16"/>
  <c r="AB1317" i="16" s="1"/>
  <c r="AC1317" i="16" s="1"/>
  <c r="V1413" i="16"/>
  <c r="AB1413" i="16" s="1"/>
  <c r="AC1413" i="16" s="1"/>
  <c r="V1493" i="16"/>
  <c r="AB1493" i="16" s="1"/>
  <c r="AC1493" i="16" s="1"/>
  <c r="V1573" i="16"/>
  <c r="AB1573" i="16" s="1"/>
  <c r="AC1573" i="16" s="1"/>
  <c r="V1669" i="16"/>
  <c r="AB1669" i="16" s="1"/>
  <c r="AC1669" i="16" s="1"/>
  <c r="V1749" i="16"/>
  <c r="AB1749" i="16" s="1"/>
  <c r="AC1749" i="16" s="1"/>
  <c r="V1829" i="16"/>
  <c r="AB1829" i="16" s="1"/>
  <c r="AC1829" i="16" s="1"/>
  <c r="V1925" i="16"/>
  <c r="AB1925" i="16" s="1"/>
  <c r="AC1925" i="16" s="1"/>
  <c r="V776" i="16"/>
  <c r="AB776" i="16" s="1"/>
  <c r="AC776" i="16" s="1"/>
  <c r="V1009" i="16"/>
  <c r="AB1009" i="16" s="1"/>
  <c r="AC1009" i="16" s="1"/>
  <c r="V1113" i="16"/>
  <c r="AB1113" i="16" s="1"/>
  <c r="AC1113" i="16" s="1"/>
  <c r="V1177" i="16"/>
  <c r="AB1177" i="16" s="1"/>
  <c r="AC1177" i="16" s="1"/>
  <c r="V1241" i="16"/>
  <c r="AB1241" i="16" s="1"/>
  <c r="AC1241" i="16" s="1"/>
  <c r="V1022" i="16"/>
  <c r="AB1022" i="16" s="1"/>
  <c r="AC1022" i="16" s="1"/>
  <c r="V1170" i="16"/>
  <c r="AB1170" i="16" s="1"/>
  <c r="AC1170" i="16" s="1"/>
  <c r="V1288" i="16"/>
  <c r="AB1288" i="16" s="1"/>
  <c r="AC1288" i="16" s="1"/>
  <c r="V1391" i="16"/>
  <c r="AB1391" i="16" s="1"/>
  <c r="AC1391" i="16" s="1"/>
  <c r="V1484" i="16"/>
  <c r="AB1484" i="16" s="1"/>
  <c r="AC1484" i="16" s="1"/>
  <c r="V1569" i="16"/>
  <c r="AB1569" i="16" s="1"/>
  <c r="AC1569" i="16" s="1"/>
  <c r="V1655" i="16"/>
  <c r="AB1655" i="16" s="1"/>
  <c r="AC1655" i="16" s="1"/>
  <c r="V1740" i="16"/>
  <c r="AB1740" i="16" s="1"/>
  <c r="AC1740" i="16" s="1"/>
  <c r="V909" i="16"/>
  <c r="AB909" i="16" s="1"/>
  <c r="AC909" i="16" s="1"/>
  <c r="V1110" i="16"/>
  <c r="AB1110" i="16" s="1"/>
  <c r="AC1110" i="16" s="1"/>
  <c r="V1238" i="16"/>
  <c r="AB1238" i="16" s="1"/>
  <c r="AC1238" i="16" s="1"/>
  <c r="V1342" i="16"/>
  <c r="AB1342" i="16" s="1"/>
  <c r="AC1342" i="16" s="1"/>
  <c r="V1442" i="16"/>
  <c r="AB1442" i="16" s="1"/>
  <c r="AC1442" i="16" s="1"/>
  <c r="V1528" i="16"/>
  <c r="AB1528" i="16" s="1"/>
  <c r="AC1528" i="16" s="1"/>
  <c r="V1614" i="16"/>
  <c r="AB1614" i="16" s="1"/>
  <c r="AC1614" i="16" s="1"/>
  <c r="V552" i="16"/>
  <c r="AB552" i="16" s="1"/>
  <c r="AC552" i="16" s="1"/>
  <c r="V1092" i="16"/>
  <c r="AB1092" i="16" s="1"/>
  <c r="AC1092" i="16" s="1"/>
  <c r="V1223" i="16"/>
  <c r="AB1223" i="16" s="1"/>
  <c r="AC1223" i="16" s="1"/>
  <c r="V1329" i="16"/>
  <c r="AB1329" i="16" s="1"/>
  <c r="AC1329" i="16" s="1"/>
  <c r="V1432" i="16"/>
  <c r="AB1432" i="16" s="1"/>
  <c r="AC1432" i="16" s="1"/>
  <c r="V1519" i="16"/>
  <c r="AB1519" i="16" s="1"/>
  <c r="AC1519" i="16" s="1"/>
  <c r="V1604" i="16"/>
  <c r="AB1604" i="16" s="1"/>
  <c r="AC1604" i="16" s="1"/>
  <c r="V1689" i="16"/>
  <c r="AB1689" i="16" s="1"/>
  <c r="AC1689" i="16" s="1"/>
  <c r="V440" i="16"/>
  <c r="AB440" i="16" s="1"/>
  <c r="AC440" i="16" s="1"/>
  <c r="V937" i="16"/>
  <c r="AB937" i="16" s="1"/>
  <c r="AC937" i="16" s="1"/>
  <c r="V485" i="16"/>
  <c r="AB485" i="16" s="1"/>
  <c r="AC485" i="16" s="1"/>
  <c r="V411" i="16"/>
  <c r="AB411" i="16" s="1"/>
  <c r="AC411" i="16" s="1"/>
  <c r="V289" i="16"/>
  <c r="AB289" i="16" s="1"/>
  <c r="AC289" i="16" s="1"/>
  <c r="V750" i="16"/>
  <c r="AB750" i="16" s="1"/>
  <c r="AC750" i="16" s="1"/>
  <c r="V285" i="16"/>
  <c r="AB285" i="16" s="1"/>
  <c r="AC285" i="16" s="1"/>
  <c r="V851" i="16"/>
  <c r="AB851" i="16" s="1"/>
  <c r="AC851" i="16" s="1"/>
  <c r="V882" i="16"/>
  <c r="AB882" i="16" s="1"/>
  <c r="AC882" i="16" s="1"/>
  <c r="V601" i="16"/>
  <c r="AB601" i="16" s="1"/>
  <c r="AC601" i="16" s="1"/>
  <c r="V511" i="16"/>
  <c r="AB511" i="16" s="1"/>
  <c r="AC511" i="16" s="1"/>
  <c r="V550" i="16"/>
  <c r="AB550" i="16" s="1"/>
  <c r="AC550" i="16" s="1"/>
  <c r="V341" i="16"/>
  <c r="AB341" i="16" s="1"/>
  <c r="AC341" i="16" s="1"/>
  <c r="V364" i="16"/>
  <c r="AB364" i="16" s="1"/>
  <c r="AC364" i="16" s="1"/>
  <c r="V395" i="16"/>
  <c r="AB395" i="16" s="1"/>
  <c r="AC395" i="16" s="1"/>
  <c r="V298" i="16"/>
  <c r="AB298" i="16" s="1"/>
  <c r="AC298" i="16" s="1"/>
  <c r="V251" i="16"/>
  <c r="AB251" i="16" s="1"/>
  <c r="AC251" i="16" s="1"/>
  <c r="V464" i="16"/>
  <c r="AB464" i="16" s="1"/>
  <c r="AC464" i="16" s="1"/>
  <c r="V967" i="16"/>
  <c r="AB967" i="16" s="1"/>
  <c r="AC967" i="16" s="1"/>
  <c r="V448" i="16"/>
  <c r="AB448" i="16" s="1"/>
  <c r="AC448" i="16" s="1"/>
  <c r="V632" i="16"/>
  <c r="AB632" i="16" s="1"/>
  <c r="AC632" i="16" s="1"/>
  <c r="V968" i="16"/>
  <c r="AB968" i="16" s="1"/>
  <c r="AC968" i="16" s="1"/>
  <c r="V1051" i="16"/>
  <c r="AB1051" i="16" s="1"/>
  <c r="AC1051" i="16" s="1"/>
  <c r="V496" i="16"/>
  <c r="AB496" i="16" s="1"/>
  <c r="AC496" i="16" s="1"/>
  <c r="V970" i="16"/>
  <c r="AB970" i="16" s="1"/>
  <c r="AC970" i="16" s="1"/>
  <c r="V1053" i="16"/>
  <c r="AB1053" i="16" s="1"/>
  <c r="AC1053" i="16" s="1"/>
  <c r="V269" i="16"/>
  <c r="AB269" i="16" s="1"/>
  <c r="AC269" i="16" s="1"/>
  <c r="V368" i="16"/>
  <c r="AB368" i="16" s="1"/>
  <c r="AC368" i="16" s="1"/>
  <c r="V954" i="16"/>
  <c r="AB954" i="16" s="1"/>
  <c r="AC954" i="16" s="1"/>
  <c r="V1065" i="16"/>
  <c r="AB1065" i="16" s="1"/>
  <c r="AC1065" i="16" s="1"/>
  <c r="V1171" i="16"/>
  <c r="AB1171" i="16" s="1"/>
  <c r="AC1171" i="16" s="1"/>
  <c r="V1251" i="16"/>
  <c r="AB1251" i="16" s="1"/>
  <c r="AC1251" i="16" s="1"/>
  <c r="V1331" i="16"/>
  <c r="AB1331" i="16" s="1"/>
  <c r="AC1331" i="16" s="1"/>
  <c r="V1427" i="16"/>
  <c r="AB1427" i="16" s="1"/>
  <c r="AC1427" i="16" s="1"/>
  <c r="V1507" i="16"/>
  <c r="AB1507" i="16" s="1"/>
  <c r="AC1507" i="16" s="1"/>
  <c r="V1587" i="16"/>
  <c r="AB1587" i="16" s="1"/>
  <c r="AC1587" i="16" s="1"/>
  <c r="V1683" i="16"/>
  <c r="AB1683" i="16" s="1"/>
  <c r="AC1683" i="16" s="1"/>
  <c r="V1763" i="16"/>
  <c r="AB1763" i="16" s="1"/>
  <c r="AC1763" i="16" s="1"/>
  <c r="V1843" i="16"/>
  <c r="AB1843" i="16" s="1"/>
  <c r="AC1843" i="16" s="1"/>
  <c r="V257" i="16"/>
  <c r="AB257" i="16" s="1"/>
  <c r="AC257" i="16" s="1"/>
  <c r="V966" i="16"/>
  <c r="AB966" i="16" s="1"/>
  <c r="AC966" i="16" s="1"/>
  <c r="V1078" i="16"/>
  <c r="AB1078" i="16" s="1"/>
  <c r="AC1078" i="16" s="1"/>
  <c r="V1180" i="16"/>
  <c r="AB1180" i="16" s="1"/>
  <c r="AC1180" i="16" s="1"/>
  <c r="V1260" i="16"/>
  <c r="AB1260" i="16" s="1"/>
  <c r="AC1260" i="16" s="1"/>
  <c r="V1340" i="16"/>
  <c r="AB1340" i="16" s="1"/>
  <c r="AC1340" i="16" s="1"/>
  <c r="V1436" i="16"/>
  <c r="AB1436" i="16" s="1"/>
  <c r="AC1436" i="16" s="1"/>
  <c r="V945" i="16"/>
  <c r="AB945" i="16" s="1"/>
  <c r="AC945" i="16" s="1"/>
  <c r="V1057" i="16"/>
  <c r="AB1057" i="16" s="1"/>
  <c r="AC1057" i="16" s="1"/>
  <c r="V1165" i="16"/>
  <c r="AB1165" i="16" s="1"/>
  <c r="AC1165" i="16" s="1"/>
  <c r="V1245" i="16"/>
  <c r="AB1245" i="16" s="1"/>
  <c r="AC1245" i="16" s="1"/>
  <c r="V1325" i="16"/>
  <c r="AB1325" i="16" s="1"/>
  <c r="AC1325" i="16" s="1"/>
  <c r="V1421" i="16"/>
  <c r="AB1421" i="16" s="1"/>
  <c r="AC1421" i="16" s="1"/>
  <c r="V1501" i="16"/>
  <c r="AB1501" i="16" s="1"/>
  <c r="AC1501" i="16" s="1"/>
  <c r="V1581" i="16"/>
  <c r="AB1581" i="16" s="1"/>
  <c r="AC1581" i="16" s="1"/>
  <c r="V1677" i="16"/>
  <c r="AB1677" i="16" s="1"/>
  <c r="AC1677" i="16" s="1"/>
  <c r="V1757" i="16"/>
  <c r="AB1757" i="16" s="1"/>
  <c r="AC1757" i="16" s="1"/>
  <c r="V1837" i="16"/>
  <c r="AB1837" i="16" s="1"/>
  <c r="AC1837" i="16" s="1"/>
  <c r="V1933" i="16"/>
  <c r="AB1933" i="16" s="1"/>
  <c r="AC1933" i="16" s="1"/>
  <c r="V817" i="16"/>
  <c r="AB817" i="16" s="1"/>
  <c r="AC817" i="16" s="1"/>
  <c r="V1020" i="16"/>
  <c r="AB1020" i="16" s="1"/>
  <c r="AC1020" i="16" s="1"/>
  <c r="V1121" i="16"/>
  <c r="AB1121" i="16" s="1"/>
  <c r="AC1121" i="16" s="1"/>
  <c r="V1185" i="16"/>
  <c r="AB1185" i="16" s="1"/>
  <c r="AC1185" i="16" s="1"/>
  <c r="V246" i="16"/>
  <c r="AB246" i="16" s="1"/>
  <c r="AC246" i="16" s="1"/>
  <c r="V1042" i="16"/>
  <c r="AB1042" i="16" s="1"/>
  <c r="AC1042" i="16" s="1"/>
  <c r="V1186" i="16"/>
  <c r="AB1186" i="16" s="1"/>
  <c r="AC1186" i="16" s="1"/>
  <c r="V1302" i="16"/>
  <c r="AB1302" i="16" s="1"/>
  <c r="AC1302" i="16" s="1"/>
  <c r="V1402" i="16"/>
  <c r="AB1402" i="16" s="1"/>
  <c r="AC1402" i="16" s="1"/>
  <c r="V1495" i="16"/>
  <c r="AB1495" i="16" s="1"/>
  <c r="AC1495" i="16" s="1"/>
  <c r="V1580" i="16"/>
  <c r="AB1580" i="16" s="1"/>
  <c r="AC1580" i="16" s="1"/>
  <c r="V1665" i="16"/>
  <c r="AB1665" i="16" s="1"/>
  <c r="AC1665" i="16" s="1"/>
  <c r="V1751" i="16"/>
  <c r="AB1751" i="16" s="1"/>
  <c r="AC1751" i="16" s="1"/>
  <c r="V957" i="16"/>
  <c r="AB957" i="16" s="1"/>
  <c r="AC957" i="16" s="1"/>
  <c r="V1126" i="16"/>
  <c r="AB1126" i="16" s="1"/>
  <c r="AC1126" i="16" s="1"/>
  <c r="V1250" i="16"/>
  <c r="AB1250" i="16" s="1"/>
  <c r="AC1250" i="16" s="1"/>
  <c r="V1353" i="16"/>
  <c r="AB1353" i="16" s="1"/>
  <c r="AC1353" i="16" s="1"/>
  <c r="V1454" i="16"/>
  <c r="AB1454" i="16" s="1"/>
  <c r="AC1454" i="16" s="1"/>
  <c r="V1538" i="16"/>
  <c r="AB1538" i="16" s="1"/>
  <c r="AC1538" i="16" s="1"/>
  <c r="V1624" i="16"/>
  <c r="AB1624" i="16" s="1"/>
  <c r="AC1624" i="16" s="1"/>
  <c r="V936" i="16"/>
  <c r="AB936" i="16" s="1"/>
  <c r="AC936" i="16" s="1"/>
  <c r="V1111" i="16"/>
  <c r="AB1111" i="16" s="1"/>
  <c r="AC1111" i="16" s="1"/>
  <c r="V1239" i="16"/>
  <c r="AB1239" i="16" s="1"/>
  <c r="AC1239" i="16" s="1"/>
  <c r="V1343" i="16"/>
  <c r="AB1343" i="16" s="1"/>
  <c r="AC1343" i="16" s="1"/>
  <c r="V1444" i="16"/>
  <c r="AB1444" i="16" s="1"/>
  <c r="AC1444" i="16" s="1"/>
  <c r="V1529" i="16"/>
  <c r="AB1529" i="16" s="1"/>
  <c r="AC1529" i="16" s="1"/>
  <c r="V1615" i="16"/>
  <c r="AB1615" i="16" s="1"/>
  <c r="AC1615" i="16" s="1"/>
  <c r="V1700" i="16"/>
  <c r="AB1700" i="16" s="1"/>
  <c r="AC1700" i="16" s="1"/>
  <c r="V672" i="16"/>
  <c r="AB672" i="16" s="1"/>
  <c r="AC672" i="16" s="1"/>
  <c r="V1139" i="16"/>
  <c r="AB1139" i="16" s="1"/>
  <c r="AC1139" i="16" s="1"/>
  <c r="V1443" i="16"/>
  <c r="AB1443" i="16" s="1"/>
  <c r="AC1443" i="16" s="1"/>
  <c r="V1555" i="16"/>
  <c r="AB1555" i="16" s="1"/>
  <c r="AC1555" i="16" s="1"/>
  <c r="V1651" i="16"/>
  <c r="AB1651" i="16" s="1"/>
  <c r="AC1651" i="16" s="1"/>
  <c r="V1779" i="16"/>
  <c r="AB1779" i="16" s="1"/>
  <c r="AC1779" i="16" s="1"/>
  <c r="V1891" i="16"/>
  <c r="AB1891" i="16" s="1"/>
  <c r="AC1891" i="16" s="1"/>
  <c r="V944" i="16"/>
  <c r="AB944" i="16" s="1"/>
  <c r="AC944" i="16" s="1"/>
  <c r="V1116" i="16"/>
  <c r="AB1116" i="16" s="1"/>
  <c r="AC1116" i="16" s="1"/>
  <c r="V1212" i="16"/>
  <c r="AB1212" i="16" s="1"/>
  <c r="AC1212" i="16" s="1"/>
  <c r="V1324" i="16"/>
  <c r="AB1324" i="16" s="1"/>
  <c r="AC1324" i="16" s="1"/>
  <c r="V258" i="16"/>
  <c r="AB258" i="16" s="1"/>
  <c r="AC258" i="16" s="1"/>
  <c r="V1015" i="16"/>
  <c r="AB1015" i="16" s="1"/>
  <c r="AC1015" i="16" s="1"/>
  <c r="V1187" i="16"/>
  <c r="AB1187" i="16" s="1"/>
  <c r="AC1187" i="16" s="1"/>
  <c r="V1451" i="16"/>
  <c r="AB1451" i="16" s="1"/>
  <c r="AC1451" i="16" s="1"/>
  <c r="V1563" i="16"/>
  <c r="AB1563" i="16" s="1"/>
  <c r="AC1563" i="16" s="1"/>
  <c r="V1691" i="16"/>
  <c r="AB1691" i="16" s="1"/>
  <c r="AC1691" i="16" s="1"/>
  <c r="V1803" i="16"/>
  <c r="AB1803" i="16" s="1"/>
  <c r="AC1803" i="16" s="1"/>
  <c r="V1899" i="16"/>
  <c r="AB1899" i="16" s="1"/>
  <c r="AC1899" i="16" s="1"/>
  <c r="V980" i="16"/>
  <c r="AB980" i="16" s="1"/>
  <c r="AC980" i="16" s="1"/>
  <c r="V1124" i="16"/>
  <c r="AB1124" i="16" s="1"/>
  <c r="AC1124" i="16" s="1"/>
  <c r="V1236" i="16"/>
  <c r="AB1236" i="16" s="1"/>
  <c r="AC1236" i="16" s="1"/>
  <c r="V1364" i="16"/>
  <c r="AB1364" i="16" s="1"/>
  <c r="AC1364" i="16" s="1"/>
  <c r="V560" i="16"/>
  <c r="AB560" i="16" s="1"/>
  <c r="AC560" i="16" s="1"/>
  <c r="V1025" i="16"/>
  <c r="AB1025" i="16" s="1"/>
  <c r="AC1025" i="16" s="1"/>
  <c r="V1173" i="16"/>
  <c r="AB1173" i="16" s="1"/>
  <c r="AC1173" i="16" s="1"/>
  <c r="V1285" i="16"/>
  <c r="AB1285" i="16" s="1"/>
  <c r="AC1285" i="16" s="1"/>
  <c r="V1381" i="16"/>
  <c r="AB1381" i="16" s="1"/>
  <c r="AC1381" i="16" s="1"/>
  <c r="V1509" i="16"/>
  <c r="AB1509" i="16" s="1"/>
  <c r="AC1509" i="16" s="1"/>
  <c r="V1621" i="16"/>
  <c r="AB1621" i="16" s="1"/>
  <c r="AC1621" i="16" s="1"/>
  <c r="V1733" i="16"/>
  <c r="AB1733" i="16" s="1"/>
  <c r="AC1733" i="16" s="1"/>
  <c r="V1861" i="16"/>
  <c r="AB1861" i="16" s="1"/>
  <c r="AC1861" i="16" s="1"/>
  <c r="V1957" i="16"/>
  <c r="AB1957" i="16" s="1"/>
  <c r="AC1957" i="16" s="1"/>
  <c r="V987" i="16"/>
  <c r="AB987" i="16" s="1"/>
  <c r="AC987" i="16" s="1"/>
  <c r="V1129" i="16"/>
  <c r="AB1129" i="16" s="1"/>
  <c r="AC1129" i="16" s="1"/>
  <c r="V1209" i="16"/>
  <c r="AB1209" i="16" s="1"/>
  <c r="AC1209" i="16" s="1"/>
  <c r="V976" i="16"/>
  <c r="AB976" i="16" s="1"/>
  <c r="AC976" i="16" s="1"/>
  <c r="V1202" i="16"/>
  <c r="AB1202" i="16" s="1"/>
  <c r="AC1202" i="16" s="1"/>
  <c r="V1338" i="16"/>
  <c r="AB1338" i="16" s="1"/>
  <c r="AC1338" i="16" s="1"/>
  <c r="V1463" i="16"/>
  <c r="AB1463" i="16" s="1"/>
  <c r="AC1463" i="16" s="1"/>
  <c r="V1591" i="16"/>
  <c r="AB1591" i="16" s="1"/>
  <c r="AC1591" i="16" s="1"/>
  <c r="V1697" i="16"/>
  <c r="AB1697" i="16" s="1"/>
  <c r="AC1697" i="16" s="1"/>
  <c r="V845" i="16"/>
  <c r="AB845" i="16" s="1"/>
  <c r="AC845" i="16" s="1"/>
  <c r="V1142" i="16"/>
  <c r="AB1142" i="16" s="1"/>
  <c r="AC1142" i="16" s="1"/>
  <c r="V1289" i="16"/>
  <c r="AB1289" i="16" s="1"/>
  <c r="AC1289" i="16" s="1"/>
  <c r="V1417" i="16"/>
  <c r="AB1417" i="16" s="1"/>
  <c r="AC1417" i="16" s="1"/>
  <c r="V1550" i="16"/>
  <c r="AB1550" i="16" s="1"/>
  <c r="AC1550" i="16" s="1"/>
  <c r="V1656" i="16"/>
  <c r="AB1656" i="16" s="1"/>
  <c r="AC1656" i="16" s="1"/>
  <c r="V1049" i="16"/>
  <c r="AB1049" i="16" s="1"/>
  <c r="AC1049" i="16" s="1"/>
  <c r="V1254" i="16"/>
  <c r="AB1254" i="16" s="1"/>
  <c r="AC1254" i="16" s="1"/>
  <c r="V1382" i="16"/>
  <c r="AB1382" i="16" s="1"/>
  <c r="AC1382" i="16" s="1"/>
  <c r="V1497" i="16"/>
  <c r="AB1497" i="16" s="1"/>
  <c r="AC1497" i="16" s="1"/>
  <c r="V1625" i="16"/>
  <c r="AB1625" i="16" s="1"/>
  <c r="AC1625" i="16" s="1"/>
  <c r="V1732" i="16"/>
  <c r="AB1732" i="16" s="1"/>
  <c r="AC1732" i="16" s="1"/>
  <c r="V856" i="16"/>
  <c r="AB856" i="16" s="1"/>
  <c r="AC856" i="16" s="1"/>
  <c r="V1094" i="16"/>
  <c r="AB1094" i="16" s="1"/>
  <c r="AC1094" i="16" s="1"/>
  <c r="V1224" i="16"/>
  <c r="AB1224" i="16" s="1"/>
  <c r="AC1224" i="16" s="1"/>
  <c r="V1330" i="16"/>
  <c r="AB1330" i="16" s="1"/>
  <c r="AC1330" i="16" s="1"/>
  <c r="V1433" i="16"/>
  <c r="AB1433" i="16" s="1"/>
  <c r="AC1433" i="16" s="1"/>
  <c r="V1520" i="16"/>
  <c r="AB1520" i="16" s="1"/>
  <c r="AC1520" i="16" s="1"/>
  <c r="V1606" i="16"/>
  <c r="AB1606" i="16" s="1"/>
  <c r="AC1606" i="16" s="1"/>
  <c r="V1690" i="16"/>
  <c r="AB1690" i="16" s="1"/>
  <c r="AC1690" i="16" s="1"/>
  <c r="V1776" i="16"/>
  <c r="AB1776" i="16" s="1"/>
  <c r="AC1776" i="16" s="1"/>
  <c r="V989" i="16"/>
  <c r="AB989" i="16" s="1"/>
  <c r="AC989" i="16" s="1"/>
  <c r="V1146" i="16"/>
  <c r="AB1146" i="16" s="1"/>
  <c r="AC1146" i="16" s="1"/>
  <c r="V996" i="16"/>
  <c r="AB996" i="16" s="1"/>
  <c r="AC996" i="16" s="1"/>
  <c r="V536" i="16"/>
  <c r="AB536" i="16" s="1"/>
  <c r="AC536" i="16" s="1"/>
  <c r="V1018" i="16"/>
  <c r="AB1018" i="16" s="1"/>
  <c r="AC1018" i="16" s="1"/>
  <c r="V1168" i="16"/>
  <c r="AB1168" i="16" s="1"/>
  <c r="AC1168" i="16" s="1"/>
  <c r="V1287" i="16"/>
  <c r="AB1287" i="16" s="1"/>
  <c r="AC1287" i="16" s="1"/>
  <c r="V1390" i="16"/>
  <c r="AB1390" i="16" s="1"/>
  <c r="AC1390" i="16" s="1"/>
  <c r="V1482" i="16"/>
  <c r="AB1482" i="16" s="1"/>
  <c r="AC1482" i="16" s="1"/>
  <c r="V1568" i="16"/>
  <c r="AB1568" i="16" s="1"/>
  <c r="AC1568" i="16" s="1"/>
  <c r="V1654" i="16"/>
  <c r="AB1654" i="16" s="1"/>
  <c r="AC1654" i="16" s="1"/>
  <c r="V1738" i="16"/>
  <c r="AB1738" i="16" s="1"/>
  <c r="AC1738" i="16" s="1"/>
  <c r="V1100" i="16"/>
  <c r="AB1100" i="16" s="1"/>
  <c r="AC1100" i="16" s="1"/>
  <c r="V1414" i="16"/>
  <c r="AB1414" i="16" s="1"/>
  <c r="AC1414" i="16" s="1"/>
  <c r="V1649" i="16"/>
  <c r="AB1649" i="16" s="1"/>
  <c r="AC1649" i="16" s="1"/>
  <c r="V1801" i="16"/>
  <c r="AB1801" i="16" s="1"/>
  <c r="AC1801" i="16" s="1"/>
  <c r="V1888" i="16"/>
  <c r="AB1888" i="16" s="1"/>
  <c r="AC1888" i="16" s="1"/>
  <c r="V1966" i="16"/>
  <c r="AB1966" i="16" s="1"/>
  <c r="AC1966" i="16" s="1"/>
  <c r="V2030" i="16"/>
  <c r="AB2030" i="16" s="1"/>
  <c r="AC2030" i="16" s="1"/>
  <c r="V2094" i="16"/>
  <c r="AB2094" i="16" s="1"/>
  <c r="AC2094" i="16" s="1"/>
  <c r="V2158" i="16"/>
  <c r="AB2158" i="16" s="1"/>
  <c r="AC2158" i="16" s="1"/>
  <c r="V2222" i="16"/>
  <c r="AB2222" i="16" s="1"/>
  <c r="AC2222" i="16" s="1"/>
  <c r="V2286" i="16"/>
  <c r="AB2286" i="16" s="1"/>
  <c r="AC2286" i="16" s="1"/>
  <c r="V1320" i="16"/>
  <c r="AB1320" i="16" s="1"/>
  <c r="AC1320" i="16" s="1"/>
  <c r="V1566" i="16"/>
  <c r="AB1566" i="16" s="1"/>
  <c r="AC1566" i="16" s="1"/>
  <c r="V1759" i="16"/>
  <c r="AB1759" i="16" s="1"/>
  <c r="AC1759" i="16" s="1"/>
  <c r="V1857" i="16"/>
  <c r="AB1857" i="16" s="1"/>
  <c r="AC1857" i="16" s="1"/>
  <c r="V1940" i="16"/>
  <c r="AB1940" i="16" s="1"/>
  <c r="AC1940" i="16" s="1"/>
  <c r="V2007" i="16"/>
  <c r="AB2007" i="16" s="1"/>
  <c r="AC2007" i="16" s="1"/>
  <c r="V2071" i="16"/>
  <c r="AB2071" i="16" s="1"/>
  <c r="AC2071" i="16" s="1"/>
  <c r="V2135" i="16"/>
  <c r="AB2135" i="16" s="1"/>
  <c r="AC2135" i="16" s="1"/>
  <c r="V2199" i="16"/>
  <c r="AB2199" i="16" s="1"/>
  <c r="AC2199" i="16" s="1"/>
  <c r="V2263" i="16"/>
  <c r="AB2263" i="16" s="1"/>
  <c r="AC2263" i="16" s="1"/>
  <c r="V1256" i="16"/>
  <c r="AB1256" i="16" s="1"/>
  <c r="AC1256" i="16" s="1"/>
  <c r="V1512" i="16"/>
  <c r="AB1512" i="16" s="1"/>
  <c r="AC1512" i="16" s="1"/>
  <c r="V1235" i="16"/>
  <c r="AB1235" i="16" s="1"/>
  <c r="AC1235" i="16" s="1"/>
  <c r="V1459" i="16"/>
  <c r="AB1459" i="16" s="1"/>
  <c r="AC1459" i="16" s="1"/>
  <c r="V1571" i="16"/>
  <c r="AB1571" i="16" s="1"/>
  <c r="AC1571" i="16" s="1"/>
  <c r="V1699" i="16"/>
  <c r="AB1699" i="16" s="1"/>
  <c r="AC1699" i="16" s="1"/>
  <c r="V1811" i="16"/>
  <c r="AB1811" i="16" s="1"/>
  <c r="AC1811" i="16" s="1"/>
  <c r="V1907" i="16"/>
  <c r="AB1907" i="16" s="1"/>
  <c r="AC1907" i="16" s="1"/>
  <c r="V992" i="16"/>
  <c r="AB992" i="16" s="1"/>
  <c r="AC992" i="16" s="1"/>
  <c r="V1132" i="16"/>
  <c r="AB1132" i="16" s="1"/>
  <c r="AC1132" i="16" s="1"/>
  <c r="V1244" i="16"/>
  <c r="AB1244" i="16" s="1"/>
  <c r="AC1244" i="16" s="1"/>
  <c r="V1372" i="16"/>
  <c r="AB1372" i="16" s="1"/>
  <c r="AC1372" i="16" s="1"/>
  <c r="V616" i="16"/>
  <c r="AB616" i="16" s="1"/>
  <c r="AC616" i="16" s="1"/>
  <c r="V1036" i="16"/>
  <c r="AB1036" i="16" s="1"/>
  <c r="AC1036" i="16" s="1"/>
  <c r="V1267" i="16"/>
  <c r="AB1267" i="16" s="1"/>
  <c r="AC1267" i="16" s="1"/>
  <c r="V1483" i="16"/>
  <c r="AB1483" i="16" s="1"/>
  <c r="AC1483" i="16" s="1"/>
  <c r="V1611" i="16"/>
  <c r="AB1611" i="16" s="1"/>
  <c r="AC1611" i="16" s="1"/>
  <c r="V1707" i="16"/>
  <c r="AB1707" i="16" s="1"/>
  <c r="AC1707" i="16" s="1"/>
  <c r="V1819" i="16"/>
  <c r="AB1819" i="16" s="1"/>
  <c r="AC1819" i="16" s="1"/>
  <c r="V271" i="16"/>
  <c r="AB271" i="16" s="1"/>
  <c r="AC271" i="16" s="1"/>
  <c r="V1024" i="16"/>
  <c r="AB1024" i="16" s="1"/>
  <c r="AC1024" i="16" s="1"/>
  <c r="V1140" i="16"/>
  <c r="AB1140" i="16" s="1"/>
  <c r="AC1140" i="16" s="1"/>
  <c r="V1268" i="16"/>
  <c r="AB1268" i="16" s="1"/>
  <c r="AC1268" i="16" s="1"/>
  <c r="V1380" i="16"/>
  <c r="AB1380" i="16" s="1"/>
  <c r="AC1380" i="16" s="1"/>
  <c r="V853" i="16"/>
  <c r="AB853" i="16" s="1"/>
  <c r="AC853" i="16" s="1"/>
  <c r="V1089" i="16"/>
  <c r="AB1089" i="16" s="1"/>
  <c r="AC1089" i="16" s="1"/>
  <c r="V1315" i="16"/>
  <c r="AB1315" i="16" s="1"/>
  <c r="AC1315" i="16" s="1"/>
  <c r="V1491" i="16"/>
  <c r="AB1491" i="16" s="1"/>
  <c r="AC1491" i="16" s="1"/>
  <c r="V1619" i="16"/>
  <c r="AB1619" i="16" s="1"/>
  <c r="AC1619" i="16" s="1"/>
  <c r="V1715" i="16"/>
  <c r="AB1715" i="16" s="1"/>
  <c r="AC1715" i="16" s="1"/>
  <c r="V1827" i="16"/>
  <c r="AB1827" i="16" s="1"/>
  <c r="AC1827" i="16" s="1"/>
  <c r="V544" i="16"/>
  <c r="AB544" i="16" s="1"/>
  <c r="AC544" i="16" s="1"/>
  <c r="V1034" i="16"/>
  <c r="AB1034" i="16" s="1"/>
  <c r="AC1034" i="16" s="1"/>
  <c r="V1148" i="16"/>
  <c r="AB1148" i="16" s="1"/>
  <c r="AC1148" i="16" s="1"/>
  <c r="V1276" i="16"/>
  <c r="AB1276" i="16" s="1"/>
  <c r="AC1276" i="16" s="1"/>
  <c r="V1388" i="16"/>
  <c r="AB1388" i="16" s="1"/>
  <c r="AC1388" i="16" s="1"/>
  <c r="V880" i="16"/>
  <c r="AB880" i="16" s="1"/>
  <c r="AC880" i="16" s="1"/>
  <c r="V1099" i="16"/>
  <c r="AB1099" i="16" s="1"/>
  <c r="AC1099" i="16" s="1"/>
  <c r="V1363" i="16"/>
  <c r="AB1363" i="16" s="1"/>
  <c r="AC1363" i="16" s="1"/>
  <c r="V1515" i="16"/>
  <c r="AB1515" i="16" s="1"/>
  <c r="AC1515" i="16" s="1"/>
  <c r="V1627" i="16"/>
  <c r="AB1627" i="16" s="1"/>
  <c r="AC1627" i="16" s="1"/>
  <c r="V1739" i="16"/>
  <c r="AB1739" i="16" s="1"/>
  <c r="AC1739" i="16" s="1"/>
  <c r="V1867" i="16"/>
  <c r="AB1867" i="16" s="1"/>
  <c r="AC1867" i="16" s="1"/>
  <c r="V712" i="16"/>
  <c r="AB712" i="16" s="1"/>
  <c r="AC712" i="16" s="1"/>
  <c r="V1046" i="16"/>
  <c r="AB1046" i="16" s="1"/>
  <c r="AC1046" i="16" s="1"/>
  <c r="V1188" i="16"/>
  <c r="AB1188" i="16" s="1"/>
  <c r="AC1188" i="16" s="1"/>
  <c r="V1300" i="16"/>
  <c r="AB1300" i="16" s="1"/>
  <c r="AC1300" i="16" s="1"/>
  <c r="V1396" i="16"/>
  <c r="AB1396" i="16" s="1"/>
  <c r="AC1396" i="16" s="1"/>
  <c r="V956" i="16"/>
  <c r="AB956" i="16" s="1"/>
  <c r="AC956" i="16" s="1"/>
  <c r="V1108" i="16"/>
  <c r="AB1108" i="16" s="1"/>
  <c r="AC1108" i="16" s="1"/>
  <c r="V1221" i="16"/>
  <c r="AB1221" i="16" s="1"/>
  <c r="AC1221" i="16" s="1"/>
  <c r="V1349" i="16"/>
  <c r="AB1349" i="16" s="1"/>
  <c r="AC1349" i="16" s="1"/>
  <c r="V1445" i="16"/>
  <c r="AB1445" i="16" s="1"/>
  <c r="AC1445" i="16" s="1"/>
  <c r="V1557" i="16"/>
  <c r="AB1557" i="16" s="1"/>
  <c r="AC1557" i="16" s="1"/>
  <c r="V1685" i="16"/>
  <c r="AB1685" i="16" s="1"/>
  <c r="AC1685" i="16" s="1"/>
  <c r="V1797" i="16"/>
  <c r="AB1797" i="16" s="1"/>
  <c r="AC1797" i="16" s="1"/>
  <c r="V1893" i="16"/>
  <c r="AB1893" i="16" s="1"/>
  <c r="AC1893" i="16" s="1"/>
  <c r="V832" i="16"/>
  <c r="AB832" i="16" s="1"/>
  <c r="AC832" i="16" s="1"/>
  <c r="V1073" i="16"/>
  <c r="AB1073" i="16" s="1"/>
  <c r="AC1073" i="16" s="1"/>
  <c r="V1161" i="16"/>
  <c r="AB1161" i="16" s="1"/>
  <c r="AC1161" i="16" s="1"/>
  <c r="V424" i="16"/>
  <c r="AB424" i="16" s="1"/>
  <c r="AC424" i="16" s="1"/>
  <c r="V1105" i="16"/>
  <c r="AB1105" i="16" s="1"/>
  <c r="AC1105" i="16" s="1"/>
  <c r="V1263" i="16"/>
  <c r="AB1263" i="16" s="1"/>
  <c r="AC1263" i="16" s="1"/>
  <c r="V1416" i="16"/>
  <c r="AB1416" i="16" s="1"/>
  <c r="AC1416" i="16" s="1"/>
  <c r="V1527" i="16"/>
  <c r="AB1527" i="16" s="1"/>
  <c r="AC1527" i="16" s="1"/>
  <c r="V1633" i="16"/>
  <c r="AB1633" i="16" s="1"/>
  <c r="AC1633" i="16" s="1"/>
  <c r="V1761" i="16"/>
  <c r="AB1761" i="16" s="1"/>
  <c r="AC1761" i="16" s="1"/>
  <c r="V1026" i="16"/>
  <c r="AB1026" i="16" s="1"/>
  <c r="AC1026" i="16" s="1"/>
  <c r="V1206" i="16"/>
  <c r="AB1206" i="16" s="1"/>
  <c r="AC1206" i="16" s="1"/>
  <c r="V1367" i="16"/>
  <c r="AB1367" i="16" s="1"/>
  <c r="AC1367" i="16" s="1"/>
  <c r="V1486" i="16"/>
  <c r="AB1486" i="16" s="1"/>
  <c r="AC1486" i="16" s="1"/>
  <c r="V1592" i="16"/>
  <c r="AB1592" i="16" s="1"/>
  <c r="AC1592" i="16" s="1"/>
  <c r="V960" i="16"/>
  <c r="AB960" i="16" s="1"/>
  <c r="AC960" i="16" s="1"/>
  <c r="V1159" i="16"/>
  <c r="AB1159" i="16" s="1"/>
  <c r="AC1159" i="16" s="1"/>
  <c r="V1304" i="16"/>
  <c r="AB1304" i="16" s="1"/>
  <c r="AC1304" i="16" s="1"/>
  <c r="V1455" i="16"/>
  <c r="AB1455" i="16" s="1"/>
  <c r="AC1455" i="16" s="1"/>
  <c r="V1561" i="16"/>
  <c r="AB1561" i="16" s="1"/>
  <c r="AC1561" i="16" s="1"/>
  <c r="V1668" i="16"/>
  <c r="AB1668" i="16" s="1"/>
  <c r="AC1668" i="16" s="1"/>
  <c r="V704" i="16"/>
  <c r="AB704" i="16" s="1"/>
  <c r="AC704" i="16" s="1"/>
  <c r="V1008" i="16"/>
  <c r="AB1008" i="16" s="1"/>
  <c r="AC1008" i="16" s="1"/>
  <c r="V1160" i="16"/>
  <c r="AB1160" i="16" s="1"/>
  <c r="AC1160" i="16" s="1"/>
  <c r="V1280" i="16"/>
  <c r="AB1280" i="16" s="1"/>
  <c r="AC1280" i="16" s="1"/>
  <c r="V1383" i="16"/>
  <c r="AB1383" i="16" s="1"/>
  <c r="AC1383" i="16" s="1"/>
  <c r="V1478" i="16"/>
  <c r="AB1478" i="16" s="1"/>
  <c r="AC1478" i="16" s="1"/>
  <c r="V1562" i="16"/>
  <c r="AB1562" i="16" s="1"/>
  <c r="AC1562" i="16" s="1"/>
  <c r="V1648" i="16"/>
  <c r="AB1648" i="16" s="1"/>
  <c r="AC1648" i="16" s="1"/>
  <c r="V1734" i="16"/>
  <c r="AB1734" i="16" s="1"/>
  <c r="AC1734" i="16" s="1"/>
  <c r="V312" i="16"/>
  <c r="AB312" i="16" s="1"/>
  <c r="AC312" i="16" s="1"/>
  <c r="V1074" i="16"/>
  <c r="AB1074" i="16" s="1"/>
  <c r="AC1074" i="16" s="1"/>
  <c r="V648" i="16"/>
  <c r="AB648" i="16" s="1"/>
  <c r="AC648" i="16" s="1"/>
  <c r="V280" i="16"/>
  <c r="AB280" i="16" s="1"/>
  <c r="AC280" i="16" s="1"/>
  <c r="V925" i="16"/>
  <c r="AB925" i="16" s="1"/>
  <c r="AC925" i="16" s="1"/>
  <c r="V1103" i="16"/>
  <c r="AB1103" i="16" s="1"/>
  <c r="AC1103" i="16" s="1"/>
  <c r="V1232" i="16"/>
  <c r="AB1232" i="16" s="1"/>
  <c r="AC1232" i="16" s="1"/>
  <c r="V1337" i="16"/>
  <c r="AB1337" i="16" s="1"/>
  <c r="AC1337" i="16" s="1"/>
  <c r="V1440" i="16"/>
  <c r="AB1440" i="16" s="1"/>
  <c r="AC1440" i="16" s="1"/>
  <c r="V1526" i="16"/>
  <c r="AB1526" i="16" s="1"/>
  <c r="AC1526" i="16" s="1"/>
  <c r="V1610" i="16"/>
  <c r="AB1610" i="16" s="1"/>
  <c r="AC1610" i="16" s="1"/>
  <c r="V1696" i="16"/>
  <c r="AB1696" i="16" s="1"/>
  <c r="AC1696" i="16" s="1"/>
  <c r="V1782" i="16"/>
  <c r="AB1782" i="16" s="1"/>
  <c r="AC1782" i="16" s="1"/>
  <c r="V1281" i="16"/>
  <c r="AB1281" i="16" s="1"/>
  <c r="AC1281" i="16" s="1"/>
  <c r="V1534" i="16"/>
  <c r="AB1534" i="16" s="1"/>
  <c r="AC1534" i="16" s="1"/>
  <c r="V1742" i="16"/>
  <c r="AB1742" i="16" s="1"/>
  <c r="AC1742" i="16" s="1"/>
  <c r="V1846" i="16"/>
  <c r="AB1846" i="16" s="1"/>
  <c r="AC1846" i="16" s="1"/>
  <c r="V1930" i="16"/>
  <c r="AB1930" i="16" s="1"/>
  <c r="AC1930" i="16" s="1"/>
  <c r="V1998" i="16"/>
  <c r="AB1998" i="16" s="1"/>
  <c r="AC1998" i="16" s="1"/>
  <c r="V2062" i="16"/>
  <c r="AB2062" i="16" s="1"/>
  <c r="AC2062" i="16" s="1"/>
  <c r="V2126" i="16"/>
  <c r="AB2126" i="16" s="1"/>
  <c r="AC2126" i="16" s="1"/>
  <c r="V2190" i="16"/>
  <c r="AB2190" i="16" s="1"/>
  <c r="AC2190" i="16" s="1"/>
  <c r="V2254" i="16"/>
  <c r="AB2254" i="16" s="1"/>
  <c r="AC2254" i="16" s="1"/>
  <c r="V1166" i="16"/>
  <c r="AB1166" i="16" s="1"/>
  <c r="AC1166" i="16" s="1"/>
  <c r="V1449" i="16"/>
  <c r="AB1449" i="16" s="1"/>
  <c r="AC1449" i="16" s="1"/>
  <c r="V1681" i="16"/>
  <c r="AB1681" i="16" s="1"/>
  <c r="AC1681" i="16" s="1"/>
  <c r="V1815" i="16"/>
  <c r="AB1815" i="16" s="1"/>
  <c r="AC1815" i="16" s="1"/>
  <c r="V1900" i="16"/>
  <c r="AB1900" i="16" s="1"/>
  <c r="AC1900" i="16" s="1"/>
  <c r="V1975" i="16"/>
  <c r="AB1975" i="16" s="1"/>
  <c r="AC1975" i="16" s="1"/>
  <c r="V2039" i="16"/>
  <c r="AB2039" i="16" s="1"/>
  <c r="AC2039" i="16" s="1"/>
  <c r="V2103" i="16"/>
  <c r="AB2103" i="16" s="1"/>
  <c r="AC2103" i="16" s="1"/>
  <c r="V2167" i="16"/>
  <c r="AB2167" i="16" s="1"/>
  <c r="AC2167" i="16" s="1"/>
  <c r="V2231" i="16"/>
  <c r="AB2231" i="16" s="1"/>
  <c r="AC2231" i="16" s="1"/>
  <c r="V1016" i="16"/>
  <c r="AB1016" i="16" s="1"/>
  <c r="AC1016" i="16" s="1"/>
  <c r="V1386" i="16"/>
  <c r="AB1386" i="16" s="1"/>
  <c r="AC1386" i="16" s="1"/>
  <c r="V1628" i="16"/>
  <c r="AB1628" i="16" s="1"/>
  <c r="AC1628" i="16" s="1"/>
  <c r="V1395" i="16"/>
  <c r="AB1395" i="16" s="1"/>
  <c r="AC1395" i="16" s="1"/>
  <c r="V1523" i="16"/>
  <c r="AB1523" i="16" s="1"/>
  <c r="AC1523" i="16" s="1"/>
  <c r="V1635" i="16"/>
  <c r="AB1635" i="16" s="1"/>
  <c r="AC1635" i="16" s="1"/>
  <c r="V1747" i="16"/>
  <c r="AB1747" i="16" s="1"/>
  <c r="AC1747" i="16" s="1"/>
  <c r="V1875" i="16"/>
  <c r="AB1875" i="16" s="1"/>
  <c r="AC1875" i="16" s="1"/>
  <c r="V808" i="16"/>
  <c r="AB808" i="16" s="1"/>
  <c r="AC808" i="16" s="1"/>
  <c r="V1056" i="16"/>
  <c r="AB1056" i="16" s="1"/>
  <c r="AC1056" i="16" s="1"/>
  <c r="V1196" i="16"/>
  <c r="AB1196" i="16" s="1"/>
  <c r="AC1196" i="16" s="1"/>
  <c r="V1308" i="16"/>
  <c r="AB1308" i="16" s="1"/>
  <c r="AC1308" i="16" s="1"/>
  <c r="V1404" i="16"/>
  <c r="AB1404" i="16" s="1"/>
  <c r="AC1404" i="16" s="1"/>
  <c r="V969" i="16"/>
  <c r="AB969" i="16" s="1"/>
  <c r="AC969" i="16" s="1"/>
  <c r="V1117" i="16"/>
  <c r="AB1117" i="16" s="1"/>
  <c r="AC1117" i="16" s="1"/>
  <c r="V1229" i="16"/>
  <c r="AB1229" i="16" s="1"/>
  <c r="AC1229" i="16" s="1"/>
  <c r="V1357" i="16"/>
  <c r="AB1357" i="16" s="1"/>
  <c r="AC1357" i="16" s="1"/>
  <c r="V1453" i="16"/>
  <c r="AB1453" i="16" s="1"/>
  <c r="AC1453" i="16" s="1"/>
  <c r="V1565" i="16"/>
  <c r="AB1565" i="16" s="1"/>
  <c r="AC1565" i="16" s="1"/>
  <c r="V1693" i="16"/>
  <c r="AB1693" i="16" s="1"/>
  <c r="AC1693" i="16" s="1"/>
  <c r="V1805" i="16"/>
  <c r="AB1805" i="16" s="1"/>
  <c r="AC1805" i="16" s="1"/>
  <c r="V1901" i="16"/>
  <c r="AB1901" i="16" s="1"/>
  <c r="AC1901" i="16" s="1"/>
  <c r="V873" i="16"/>
  <c r="AB873" i="16" s="1"/>
  <c r="AC873" i="16" s="1"/>
  <c r="V1084" i="16"/>
  <c r="AB1084" i="16" s="1"/>
  <c r="AC1084" i="16" s="1"/>
  <c r="V1169" i="16"/>
  <c r="AB1169" i="16" s="1"/>
  <c r="AC1169" i="16" s="1"/>
  <c r="V877" i="16"/>
  <c r="AB877" i="16" s="1"/>
  <c r="AC877" i="16" s="1"/>
  <c r="V1122" i="16"/>
  <c r="AB1122" i="16" s="1"/>
  <c r="AC1122" i="16" s="1"/>
  <c r="V1274" i="16"/>
  <c r="AB1274" i="16" s="1"/>
  <c r="AC1274" i="16" s="1"/>
  <c r="V1430" i="16"/>
  <c r="AB1430" i="16" s="1"/>
  <c r="AC1430" i="16" s="1"/>
  <c r="V1537" i="16"/>
  <c r="AB1537" i="16" s="1"/>
  <c r="AC1537" i="16" s="1"/>
  <c r="V1644" i="16"/>
  <c r="AB1644" i="16" s="1"/>
  <c r="AC1644" i="16" s="1"/>
  <c r="V1772" i="16"/>
  <c r="AB1772" i="16" s="1"/>
  <c r="AC1772" i="16" s="1"/>
  <c r="V1048" i="16"/>
  <c r="AB1048" i="16" s="1"/>
  <c r="AC1048" i="16" s="1"/>
  <c r="V1222" i="16"/>
  <c r="AB1222" i="16" s="1"/>
  <c r="AC1222" i="16" s="1"/>
  <c r="V1378" i="16"/>
  <c r="AB1378" i="16" s="1"/>
  <c r="AC1378" i="16" s="1"/>
  <c r="V1496" i="16"/>
  <c r="AB1496" i="16" s="1"/>
  <c r="AC1496" i="16" s="1"/>
  <c r="V1602" i="16"/>
  <c r="AB1602" i="16" s="1"/>
  <c r="AC1602" i="16" s="1"/>
  <c r="V984" i="16"/>
  <c r="AB984" i="16" s="1"/>
  <c r="AC984" i="16" s="1"/>
  <c r="V1175" i="16"/>
  <c r="AB1175" i="16" s="1"/>
  <c r="AC1175" i="16" s="1"/>
  <c r="V1318" i="16"/>
  <c r="AB1318" i="16" s="1"/>
  <c r="AC1318" i="16" s="1"/>
  <c r="V1465" i="16"/>
  <c r="AB1465" i="16" s="1"/>
  <c r="AC1465" i="16" s="1"/>
  <c r="V1572" i="16"/>
  <c r="AB1572" i="16" s="1"/>
  <c r="AC1572" i="16" s="1"/>
  <c r="V1679" i="16"/>
  <c r="AB1679" i="16" s="1"/>
  <c r="AC1679" i="16" s="1"/>
  <c r="V744" i="16"/>
  <c r="AB744" i="16" s="1"/>
  <c r="AC744" i="16" s="1"/>
  <c r="V1030" i="16"/>
  <c r="AB1030" i="16" s="1"/>
  <c r="AC1030" i="16" s="1"/>
  <c r="V1176" i="16"/>
  <c r="AB1176" i="16" s="1"/>
  <c r="AC1176" i="16" s="1"/>
  <c r="V1294" i="16"/>
  <c r="AB1294" i="16" s="1"/>
  <c r="AC1294" i="16" s="1"/>
  <c r="V1394" i="16"/>
  <c r="AB1394" i="16" s="1"/>
  <c r="AC1394" i="16" s="1"/>
  <c r="V1488" i="16"/>
  <c r="AB1488" i="16" s="1"/>
  <c r="AC1488" i="16" s="1"/>
  <c r="V1574" i="16"/>
  <c r="AB1574" i="16" s="1"/>
  <c r="AC1574" i="16" s="1"/>
  <c r="V1658" i="16"/>
  <c r="AB1658" i="16" s="1"/>
  <c r="AC1658" i="16" s="1"/>
  <c r="V1744" i="16"/>
  <c r="AB1744" i="16" s="1"/>
  <c r="AC1744" i="16" s="1"/>
  <c r="V488" i="16"/>
  <c r="AB488" i="16" s="1"/>
  <c r="AC488" i="16" s="1"/>
  <c r="V1096" i="16"/>
  <c r="AB1096" i="16" s="1"/>
  <c r="AC1096" i="16" s="1"/>
  <c r="V688" i="16"/>
  <c r="AB688" i="16" s="1"/>
  <c r="AC688" i="16" s="1"/>
  <c r="V328" i="16"/>
  <c r="AB328" i="16" s="1"/>
  <c r="AC328" i="16" s="1"/>
  <c r="V948" i="16"/>
  <c r="AB948" i="16" s="1"/>
  <c r="AC948" i="16" s="1"/>
  <c r="V1120" i="16"/>
  <c r="AB1120" i="16" s="1"/>
  <c r="AC1120" i="16" s="1"/>
  <c r="V1248" i="16"/>
  <c r="AB1248" i="16" s="1"/>
  <c r="AC1248" i="16" s="1"/>
  <c r="V1351" i="16"/>
  <c r="AB1351" i="16" s="1"/>
  <c r="AC1351" i="16" s="1"/>
  <c r="V1450" i="16"/>
  <c r="AB1450" i="16" s="1"/>
  <c r="AC1450" i="16" s="1"/>
  <c r="V1536" i="16"/>
  <c r="AB1536" i="16" s="1"/>
  <c r="AC1536" i="16" s="1"/>
  <c r="V1622" i="16"/>
  <c r="AB1622" i="16" s="1"/>
  <c r="AC1622" i="16" s="1"/>
  <c r="V1706" i="16"/>
  <c r="AB1706" i="16" s="1"/>
  <c r="AC1706" i="16" s="1"/>
  <c r="V1792" i="16"/>
  <c r="AB1792" i="16" s="1"/>
  <c r="AC1792" i="16" s="1"/>
  <c r="V1311" i="16"/>
  <c r="AB1311" i="16" s="1"/>
  <c r="AC1311" i="16" s="1"/>
  <c r="V1564" i="16"/>
  <c r="AB1564" i="16" s="1"/>
  <c r="AC1564" i="16" s="1"/>
  <c r="V1758" i="16"/>
  <c r="AB1758" i="16" s="1"/>
  <c r="AC1758" i="16" s="1"/>
  <c r="V1856" i="16"/>
  <c r="AB1856" i="16" s="1"/>
  <c r="AC1856" i="16" s="1"/>
  <c r="V1939" i="16"/>
  <c r="AB1939" i="16" s="1"/>
  <c r="AC1939" i="16" s="1"/>
  <c r="V2006" i="16"/>
  <c r="AB2006" i="16" s="1"/>
  <c r="AC2006" i="16" s="1"/>
  <c r="V2070" i="16"/>
  <c r="AB2070" i="16" s="1"/>
  <c r="AC2070" i="16" s="1"/>
  <c r="V2134" i="16"/>
  <c r="AB2134" i="16" s="1"/>
  <c r="AC2134" i="16" s="1"/>
  <c r="V2198" i="16"/>
  <c r="AB2198" i="16" s="1"/>
  <c r="AC2198" i="16" s="1"/>
  <c r="V2262" i="16"/>
  <c r="AB2262" i="16" s="1"/>
  <c r="AC2262" i="16" s="1"/>
  <c r="V1210" i="16"/>
  <c r="AB1210" i="16" s="1"/>
  <c r="AC1210" i="16" s="1"/>
  <c r="V1480" i="16"/>
  <c r="AB1480" i="16" s="1"/>
  <c r="AC1480" i="16" s="1"/>
  <c r="V1703" i="16"/>
  <c r="AB1703" i="16" s="1"/>
  <c r="AC1703" i="16" s="1"/>
  <c r="V1825" i="16"/>
  <c r="AB1825" i="16" s="1"/>
  <c r="AC1825" i="16" s="1"/>
  <c r="V1911" i="16"/>
  <c r="AB1911" i="16" s="1"/>
  <c r="AC1911" i="16" s="1"/>
  <c r="V1983" i="16"/>
  <c r="AB1983" i="16" s="1"/>
  <c r="AC1983" i="16" s="1"/>
  <c r="V2047" i="16"/>
  <c r="AB2047" i="16" s="1"/>
  <c r="AC2047" i="16" s="1"/>
  <c r="V2111" i="16"/>
  <c r="AB2111" i="16" s="1"/>
  <c r="AC2111" i="16" s="1"/>
  <c r="V2175" i="16"/>
  <c r="AB2175" i="16" s="1"/>
  <c r="AC2175" i="16" s="1"/>
  <c r="V2239" i="16"/>
  <c r="AB2239" i="16" s="1"/>
  <c r="AC2239" i="16" s="1"/>
  <c r="V1118" i="16"/>
  <c r="AB1118" i="16" s="1"/>
  <c r="AC1118" i="16" s="1"/>
  <c r="V1424" i="16"/>
  <c r="AB1424" i="16" s="1"/>
  <c r="AC1424" i="16" s="1"/>
  <c r="V1435" i="16"/>
  <c r="AB1435" i="16" s="1"/>
  <c r="AC1435" i="16" s="1"/>
  <c r="V1547" i="16"/>
  <c r="AB1547" i="16" s="1"/>
  <c r="AC1547" i="16" s="1"/>
  <c r="V1643" i="16"/>
  <c r="AB1643" i="16" s="1"/>
  <c r="AC1643" i="16" s="1"/>
  <c r="V1771" i="16"/>
  <c r="AB1771" i="16" s="1"/>
  <c r="AC1771" i="16" s="1"/>
  <c r="V1883" i="16"/>
  <c r="AB1883" i="16" s="1"/>
  <c r="AC1883" i="16" s="1"/>
  <c r="V865" i="16"/>
  <c r="AB865" i="16" s="1"/>
  <c r="AC865" i="16" s="1"/>
  <c r="V1107" i="16"/>
  <c r="AB1107" i="16" s="1"/>
  <c r="AC1107" i="16" s="1"/>
  <c r="V1204" i="16"/>
  <c r="AB1204" i="16" s="1"/>
  <c r="AC1204" i="16" s="1"/>
  <c r="V1316" i="16"/>
  <c r="AB1316" i="16" s="1"/>
  <c r="AC1316" i="16" s="1"/>
  <c r="V242" i="16"/>
  <c r="AB242" i="16" s="1"/>
  <c r="AC242" i="16" s="1"/>
  <c r="V1004" i="16"/>
  <c r="AB1004" i="16" s="1"/>
  <c r="AC1004" i="16" s="1"/>
  <c r="V1125" i="16"/>
  <c r="AB1125" i="16" s="1"/>
  <c r="AC1125" i="16" s="1"/>
  <c r="V1253" i="16"/>
  <c r="AB1253" i="16" s="1"/>
  <c r="AC1253" i="16" s="1"/>
  <c r="V1365" i="16"/>
  <c r="AB1365" i="16" s="1"/>
  <c r="AC1365" i="16" s="1"/>
  <c r="V1477" i="16"/>
  <c r="AB1477" i="16" s="1"/>
  <c r="AC1477" i="16" s="1"/>
  <c r="V1605" i="16"/>
  <c r="AB1605" i="16" s="1"/>
  <c r="AC1605" i="16" s="1"/>
  <c r="V1701" i="16"/>
  <c r="AB1701" i="16" s="1"/>
  <c r="AC1701" i="16" s="1"/>
  <c r="V1813" i="16"/>
  <c r="AB1813" i="16" s="1"/>
  <c r="AC1813" i="16" s="1"/>
  <c r="V1941" i="16"/>
  <c r="AB1941" i="16" s="1"/>
  <c r="AC1941" i="16" s="1"/>
  <c r="V963" i="16"/>
  <c r="AB963" i="16" s="1"/>
  <c r="AC963" i="16" s="1"/>
  <c r="V1095" i="16"/>
  <c r="AB1095" i="16" s="1"/>
  <c r="AC1095" i="16" s="1"/>
  <c r="V1193" i="16"/>
  <c r="AB1193" i="16" s="1"/>
  <c r="AC1193" i="16" s="1"/>
  <c r="V928" i="16"/>
  <c r="AB928" i="16" s="1"/>
  <c r="AC928" i="16" s="1"/>
  <c r="V1138" i="16"/>
  <c r="AB1138" i="16" s="1"/>
  <c r="AC1138" i="16" s="1"/>
  <c r="V1313" i="16"/>
  <c r="AB1313" i="16" s="1"/>
  <c r="AC1313" i="16" s="1"/>
  <c r="V1441" i="16"/>
  <c r="AB1441" i="16" s="1"/>
  <c r="AC1441" i="16" s="1"/>
  <c r="V1548" i="16"/>
  <c r="AB1548" i="16" s="1"/>
  <c r="AC1548" i="16" s="1"/>
  <c r="V1676" i="16"/>
  <c r="AB1676" i="16" s="1"/>
  <c r="AC1676" i="16" s="1"/>
  <c r="V248" i="16"/>
  <c r="AB248" i="16" s="1"/>
  <c r="AC248" i="16" s="1"/>
  <c r="V1070" i="16"/>
  <c r="AB1070" i="16" s="1"/>
  <c r="AC1070" i="16" s="1"/>
  <c r="V1264" i="16"/>
  <c r="AB1264" i="16" s="1"/>
  <c r="AC1264" i="16" s="1"/>
  <c r="V1392" i="16"/>
  <c r="AB1392" i="16" s="1"/>
  <c r="AC1392" i="16" s="1"/>
  <c r="V1506" i="16"/>
  <c r="AB1506" i="16" s="1"/>
  <c r="AC1506" i="16" s="1"/>
  <c r="V1634" i="16"/>
  <c r="AB1634" i="16" s="1"/>
  <c r="AC1634" i="16" s="1"/>
  <c r="V1007" i="16"/>
  <c r="AB1007" i="16" s="1"/>
  <c r="AC1007" i="16" s="1"/>
  <c r="V1191" i="16"/>
  <c r="AB1191" i="16" s="1"/>
  <c r="AC1191" i="16" s="1"/>
  <c r="V1354" i="16"/>
  <c r="AB1354" i="16" s="1"/>
  <c r="AC1354" i="16" s="1"/>
  <c r="V1476" i="16"/>
  <c r="AB1476" i="16" s="1"/>
  <c r="AC1476" i="16" s="1"/>
  <c r="V1583" i="16"/>
  <c r="AB1583" i="16" s="1"/>
  <c r="AC1583" i="16" s="1"/>
  <c r="V1711" i="16"/>
  <c r="AB1711" i="16" s="1"/>
  <c r="AC1711" i="16" s="1"/>
  <c r="V785" i="16"/>
  <c r="AB785" i="16" s="1"/>
  <c r="AC785" i="16" s="1"/>
  <c r="V1050" i="16"/>
  <c r="AB1050" i="16" s="1"/>
  <c r="AC1050" i="16" s="1"/>
  <c r="V1192" i="16"/>
  <c r="AB1192" i="16" s="1"/>
  <c r="AC1192" i="16" s="1"/>
  <c r="V1305" i="16"/>
  <c r="AB1305" i="16" s="1"/>
  <c r="AC1305" i="16" s="1"/>
  <c r="V1408" i="16"/>
  <c r="AB1408" i="16" s="1"/>
  <c r="AC1408" i="16" s="1"/>
  <c r="V1498" i="16"/>
  <c r="AB1498" i="16" s="1"/>
  <c r="AC1498" i="16" s="1"/>
  <c r="V1584" i="16"/>
  <c r="AB1584" i="16" s="1"/>
  <c r="AC1584" i="16" s="1"/>
  <c r="V1670" i="16"/>
  <c r="AB1670" i="16" s="1"/>
  <c r="AC1670" i="16" s="1"/>
  <c r="V1754" i="16"/>
  <c r="AB1754" i="16" s="1"/>
  <c r="AC1754" i="16" s="1"/>
  <c r="V889" i="16"/>
  <c r="AB889" i="16" s="1"/>
  <c r="AC889" i="16" s="1"/>
  <c r="V1114" i="16"/>
  <c r="AB1114" i="16" s="1"/>
  <c r="AC1114" i="16" s="1"/>
  <c r="V947" i="16"/>
  <c r="AB947" i="16" s="1"/>
  <c r="AC947" i="16" s="1"/>
  <c r="V376" i="16"/>
  <c r="AB376" i="16" s="1"/>
  <c r="AC376" i="16" s="1"/>
  <c r="V973" i="16"/>
  <c r="AB973" i="16" s="1"/>
  <c r="AC973" i="16" s="1"/>
  <c r="V1136" i="16"/>
  <c r="AB1136" i="16" s="1"/>
  <c r="AC1136" i="16" s="1"/>
  <c r="V1262" i="16"/>
  <c r="AB1262" i="16" s="1"/>
  <c r="AC1262" i="16" s="1"/>
  <c r="V1362" i="16"/>
  <c r="AB1362" i="16" s="1"/>
  <c r="AC1362" i="16" s="1"/>
  <c r="V1462" i="16"/>
  <c r="AB1462" i="16" s="1"/>
  <c r="AC1462" i="16" s="1"/>
  <c r="V1546" i="16"/>
  <c r="AB1546" i="16" s="1"/>
  <c r="AC1546" i="16" s="1"/>
  <c r="V1632" i="16"/>
  <c r="AB1632" i="16" s="1"/>
  <c r="AC1632" i="16" s="1"/>
  <c r="V1718" i="16"/>
  <c r="AB1718" i="16" s="1"/>
  <c r="AC1718" i="16" s="1"/>
  <c r="V1802" i="16"/>
  <c r="AB1802" i="16" s="1"/>
  <c r="AC1802" i="16" s="1"/>
  <c r="V1346" i="16"/>
  <c r="AB1346" i="16" s="1"/>
  <c r="AC1346" i="16" s="1"/>
  <c r="V1588" i="16"/>
  <c r="AB1588" i="16" s="1"/>
  <c r="AC1588" i="16" s="1"/>
  <c r="V1775" i="16"/>
  <c r="AB1775" i="16" s="1"/>
  <c r="AC1775" i="16" s="1"/>
  <c r="V1866" i="16"/>
  <c r="AB1866" i="16" s="1"/>
  <c r="AC1866" i="16" s="1"/>
  <c r="V1948" i="16"/>
  <c r="AB1948" i="16" s="1"/>
  <c r="AC1948" i="16" s="1"/>
  <c r="V2014" i="16"/>
  <c r="AB2014" i="16" s="1"/>
  <c r="AC2014" i="16" s="1"/>
  <c r="V2078" i="16"/>
  <c r="AB2078" i="16" s="1"/>
  <c r="AC2078" i="16" s="1"/>
  <c r="V2142" i="16"/>
  <c r="AB2142" i="16" s="1"/>
  <c r="AC2142" i="16" s="1"/>
  <c r="V2206" i="16"/>
  <c r="AB2206" i="16" s="1"/>
  <c r="AC2206" i="16" s="1"/>
  <c r="V2270" i="16"/>
  <c r="AB2270" i="16" s="1"/>
  <c r="AC2270" i="16" s="1"/>
  <c r="V1247" i="16"/>
  <c r="AB1247" i="16" s="1"/>
  <c r="AC1247" i="16" s="1"/>
  <c r="V1511" i="16"/>
  <c r="AB1511" i="16" s="1"/>
  <c r="AC1511" i="16" s="1"/>
  <c r="V1724" i="16"/>
  <c r="AB1724" i="16" s="1"/>
  <c r="AC1724" i="16" s="1"/>
  <c r="V1836" i="16"/>
  <c r="AB1836" i="16" s="1"/>
  <c r="AC1836" i="16" s="1"/>
  <c r="V1921" i="16"/>
  <c r="AB1921" i="16" s="1"/>
  <c r="AC1921" i="16" s="1"/>
  <c r="V1991" i="16"/>
  <c r="AB1991" i="16" s="1"/>
  <c r="AC1991" i="16" s="1"/>
  <c r="V2055" i="16"/>
  <c r="AB2055" i="16" s="1"/>
  <c r="AC2055" i="16" s="1"/>
  <c r="V2119" i="16"/>
  <c r="AB2119" i="16" s="1"/>
  <c r="AC2119" i="16" s="1"/>
  <c r="V2183" i="16"/>
  <c r="AB2183" i="16" s="1"/>
  <c r="AC2183" i="16" s="1"/>
  <c r="V2247" i="16"/>
  <c r="AB2247" i="16" s="1"/>
  <c r="AC2247" i="16" s="1"/>
  <c r="V1167" i="16"/>
  <c r="AB1167" i="16" s="1"/>
  <c r="AC1167" i="16" s="1"/>
  <c r="V1457" i="16"/>
  <c r="AB1457" i="16" s="1"/>
  <c r="AC1457" i="16" s="1"/>
  <c r="V1682" i="16"/>
  <c r="AB1682" i="16" s="1"/>
  <c r="AC1682" i="16" s="1"/>
  <c r="V1133" i="16"/>
  <c r="AB1133" i="16" s="1"/>
  <c r="AC1133" i="16" s="1"/>
  <c r="V1373" i="16"/>
  <c r="AB1373" i="16" s="1"/>
  <c r="AC1373" i="16" s="1"/>
  <c r="V1613" i="16"/>
  <c r="AB1613" i="16" s="1"/>
  <c r="AC1613" i="16" s="1"/>
  <c r="V1821" i="16"/>
  <c r="AB1821" i="16" s="1"/>
  <c r="AC1821" i="16" s="1"/>
  <c r="V974" i="16"/>
  <c r="AB974" i="16" s="1"/>
  <c r="AC974" i="16" s="1"/>
  <c r="V1201" i="16"/>
  <c r="AB1201" i="16" s="1"/>
  <c r="AC1201" i="16" s="1"/>
  <c r="V1154" i="16"/>
  <c r="AB1154" i="16" s="1"/>
  <c r="AC1154" i="16" s="1"/>
  <c r="V1452" i="16"/>
  <c r="AB1452" i="16" s="1"/>
  <c r="AC1452" i="16" s="1"/>
  <c r="V1687" i="16"/>
  <c r="AB1687" i="16" s="1"/>
  <c r="AC1687" i="16" s="1"/>
  <c r="V1090" i="16"/>
  <c r="AB1090" i="16" s="1"/>
  <c r="AC1090" i="16" s="1"/>
  <c r="V1406" i="16"/>
  <c r="AB1406" i="16" s="1"/>
  <c r="AC1406" i="16" s="1"/>
  <c r="V1646" i="16"/>
  <c r="AB1646" i="16" s="1"/>
  <c r="AC1646" i="16" s="1"/>
  <c r="V1207" i="16"/>
  <c r="AB1207" i="16" s="1"/>
  <c r="AC1207" i="16" s="1"/>
  <c r="V1487" i="16"/>
  <c r="AB1487" i="16" s="1"/>
  <c r="AC1487" i="16" s="1"/>
  <c r="V1721" i="16"/>
  <c r="AB1721" i="16" s="1"/>
  <c r="AC1721" i="16" s="1"/>
  <c r="V1072" i="16"/>
  <c r="AB1072" i="16" s="1"/>
  <c r="AC1072" i="16" s="1"/>
  <c r="V1319" i="16"/>
  <c r="AB1319" i="16" s="1"/>
  <c r="AC1319" i="16" s="1"/>
  <c r="V1510" i="16"/>
  <c r="AB1510" i="16" s="1"/>
  <c r="AC1510" i="16" s="1"/>
  <c r="V1680" i="16"/>
  <c r="AB1680" i="16" s="1"/>
  <c r="AC1680" i="16" s="1"/>
  <c r="V964" i="16"/>
  <c r="AB964" i="16" s="1"/>
  <c r="AC964" i="16" s="1"/>
  <c r="V972" i="16"/>
  <c r="AB972" i="16" s="1"/>
  <c r="AC972" i="16" s="1"/>
  <c r="V998" i="16"/>
  <c r="AB998" i="16" s="1"/>
  <c r="AC998" i="16" s="1"/>
  <c r="V1273" i="16"/>
  <c r="AB1273" i="16" s="1"/>
  <c r="AC1273" i="16" s="1"/>
  <c r="V1472" i="16"/>
  <c r="AB1472" i="16" s="1"/>
  <c r="AC1472" i="16" s="1"/>
  <c r="V1642" i="16"/>
  <c r="AB1642" i="16" s="1"/>
  <c r="AC1642" i="16" s="1"/>
  <c r="V971" i="16"/>
  <c r="AB971" i="16" s="1"/>
  <c r="AC971" i="16" s="1"/>
  <c r="V1618" i="16"/>
  <c r="AB1618" i="16" s="1"/>
  <c r="AC1618" i="16" s="1"/>
  <c r="V1878" i="16"/>
  <c r="AB1878" i="16" s="1"/>
  <c r="AC1878" i="16" s="1"/>
  <c r="V2022" i="16"/>
  <c r="AB2022" i="16" s="1"/>
  <c r="AC2022" i="16" s="1"/>
  <c r="V2150" i="16"/>
  <c r="AB2150" i="16" s="1"/>
  <c r="AC2150" i="16" s="1"/>
  <c r="V2278" i="16"/>
  <c r="AB2278" i="16" s="1"/>
  <c r="AC2278" i="16" s="1"/>
  <c r="V1535" i="16"/>
  <c r="AB1535" i="16" s="1"/>
  <c r="AC1535" i="16" s="1"/>
  <c r="V1847" i="16"/>
  <c r="AB1847" i="16" s="1"/>
  <c r="AC1847" i="16" s="1"/>
  <c r="V1999" i="16"/>
  <c r="AB1999" i="16" s="1"/>
  <c r="AC1999" i="16" s="1"/>
  <c r="V2127" i="16"/>
  <c r="AB2127" i="16" s="1"/>
  <c r="AC2127" i="16" s="1"/>
  <c r="V2255" i="16"/>
  <c r="AB2255" i="16" s="1"/>
  <c r="AC2255" i="16" s="1"/>
  <c r="V1481" i="16"/>
  <c r="AB1481" i="16" s="1"/>
  <c r="AC1481" i="16" s="1"/>
  <c r="V1762" i="16"/>
  <c r="AB1762" i="16" s="1"/>
  <c r="AC1762" i="16" s="1"/>
  <c r="V1858" i="16"/>
  <c r="AB1858" i="16" s="1"/>
  <c r="AC1858" i="16" s="1"/>
  <c r="V1942" i="16"/>
  <c r="AB1942" i="16" s="1"/>
  <c r="AC1942" i="16" s="1"/>
  <c r="V2008" i="16"/>
  <c r="AB2008" i="16" s="1"/>
  <c r="AC2008" i="16" s="1"/>
  <c r="V2072" i="16"/>
  <c r="AB2072" i="16" s="1"/>
  <c r="AC2072" i="16" s="1"/>
  <c r="V2136" i="16"/>
  <c r="AB2136" i="16" s="1"/>
  <c r="AC2136" i="16" s="1"/>
  <c r="V2200" i="16"/>
  <c r="AB2200" i="16" s="1"/>
  <c r="AC2200" i="16" s="1"/>
  <c r="V2264" i="16"/>
  <c r="AB2264" i="16" s="1"/>
  <c r="AC2264" i="16" s="1"/>
  <c r="V1257" i="16"/>
  <c r="AB1257" i="16" s="1"/>
  <c r="AC1257" i="16" s="1"/>
  <c r="V1513" i="16"/>
  <c r="AB1513" i="16" s="1"/>
  <c r="AC1513" i="16" s="1"/>
  <c r="V1727" i="16"/>
  <c r="AB1727" i="16" s="1"/>
  <c r="AC1727" i="16" s="1"/>
  <c r="V1839" i="16"/>
  <c r="AB1839" i="16" s="1"/>
  <c r="AC1839" i="16" s="1"/>
  <c r="V1924" i="16"/>
  <c r="AB1924" i="16" s="1"/>
  <c r="AC1924" i="16" s="1"/>
  <c r="V1993" i="16"/>
  <c r="AB1993" i="16" s="1"/>
  <c r="AC1993" i="16" s="1"/>
  <c r="V2057" i="16"/>
  <c r="AB2057" i="16" s="1"/>
  <c r="AC2057" i="16" s="1"/>
  <c r="V2121" i="16"/>
  <c r="AB2121" i="16" s="1"/>
  <c r="AC2121" i="16" s="1"/>
  <c r="V2185" i="16"/>
  <c r="AB2185" i="16" s="1"/>
  <c r="AC2185" i="16" s="1"/>
  <c r="V2249" i="16"/>
  <c r="AB2249" i="16" s="1"/>
  <c r="AC2249" i="16" s="1"/>
  <c r="V869" i="16"/>
  <c r="AB869" i="16" s="1"/>
  <c r="AC869" i="16" s="1"/>
  <c r="V1361" i="16"/>
  <c r="AB1361" i="16" s="1"/>
  <c r="AC1361" i="16" s="1"/>
  <c r="V1607" i="16"/>
  <c r="AB1607" i="16" s="1"/>
  <c r="AC1607" i="16" s="1"/>
  <c r="V1783" i="16"/>
  <c r="AB1783" i="16" s="1"/>
  <c r="AC1783" i="16" s="1"/>
  <c r="V1872" i="16"/>
  <c r="AB1872" i="16" s="1"/>
  <c r="AC1872" i="16" s="1"/>
  <c r="V1953" i="16"/>
  <c r="AB1953" i="16" s="1"/>
  <c r="AC1953" i="16" s="1"/>
  <c r="V2018" i="16"/>
  <c r="AB2018" i="16" s="1"/>
  <c r="AC2018" i="16" s="1"/>
  <c r="V2082" i="16"/>
  <c r="AB2082" i="16" s="1"/>
  <c r="AC2082" i="16" s="1"/>
  <c r="V2146" i="16"/>
  <c r="AB2146" i="16" s="1"/>
  <c r="AC2146" i="16" s="1"/>
  <c r="V2210" i="16"/>
  <c r="AB2210" i="16" s="1"/>
  <c r="AC2210" i="16" s="1"/>
  <c r="V2274" i="16"/>
  <c r="AB2274" i="16" s="1"/>
  <c r="AC2274" i="16" s="1"/>
  <c r="V1306" i="16"/>
  <c r="AB1306" i="16" s="1"/>
  <c r="AC1306" i="16" s="1"/>
  <c r="V1554" i="16"/>
  <c r="AB1554" i="16" s="1"/>
  <c r="AC1554" i="16" s="1"/>
  <c r="V1753" i="16"/>
  <c r="AB1753" i="16" s="1"/>
  <c r="AC1753" i="16" s="1"/>
  <c r="V1854" i="16"/>
  <c r="AB1854" i="16" s="1"/>
  <c r="AC1854" i="16" s="1"/>
  <c r="V1937" i="16"/>
  <c r="AB1937" i="16" s="1"/>
  <c r="AC1937" i="16" s="1"/>
  <c r="V2004" i="16"/>
  <c r="AB2004" i="16" s="1"/>
  <c r="AC2004" i="16" s="1"/>
  <c r="V2068" i="16"/>
  <c r="AB2068" i="16" s="1"/>
  <c r="AC2068" i="16" s="1"/>
  <c r="V2132" i="16"/>
  <c r="AB2132" i="16" s="1"/>
  <c r="AC2132" i="16" s="1"/>
  <c r="V2196" i="16"/>
  <c r="AB2196" i="16" s="1"/>
  <c r="AC2196" i="16" s="1"/>
  <c r="V2260" i="16"/>
  <c r="AB2260" i="16" s="1"/>
  <c r="AC2260" i="16" s="1"/>
  <c r="V1181" i="16"/>
  <c r="AB1181" i="16" s="1"/>
  <c r="AC1181" i="16" s="1"/>
  <c r="V1389" i="16"/>
  <c r="AB1389" i="16" s="1"/>
  <c r="AC1389" i="16" s="1"/>
  <c r="V1629" i="16"/>
  <c r="AB1629" i="16" s="1"/>
  <c r="AC1629" i="16" s="1"/>
  <c r="V1869" i="16"/>
  <c r="AB1869" i="16" s="1"/>
  <c r="AC1869" i="16" s="1"/>
  <c r="V999" i="16"/>
  <c r="AB999" i="16" s="1"/>
  <c r="AC999" i="16" s="1"/>
  <c r="V1217" i="16"/>
  <c r="AB1217" i="16" s="1"/>
  <c r="AC1217" i="16" s="1"/>
  <c r="V1218" i="16"/>
  <c r="AB1218" i="16" s="1"/>
  <c r="AC1218" i="16" s="1"/>
  <c r="V1473" i="16"/>
  <c r="AB1473" i="16" s="1"/>
  <c r="AC1473" i="16" s="1"/>
  <c r="V1708" i="16"/>
  <c r="AB1708" i="16" s="1"/>
  <c r="AC1708" i="16" s="1"/>
  <c r="V1158" i="16"/>
  <c r="AB1158" i="16" s="1"/>
  <c r="AC1158" i="16" s="1"/>
  <c r="V1431" i="16"/>
  <c r="AB1431" i="16" s="1"/>
  <c r="AC1431" i="16" s="1"/>
  <c r="V1666" i="16"/>
  <c r="AB1666" i="16" s="1"/>
  <c r="AC1666" i="16" s="1"/>
  <c r="V1265" i="16"/>
  <c r="AB1265" i="16" s="1"/>
  <c r="AC1265" i="16" s="1"/>
  <c r="V1508" i="16"/>
  <c r="AB1508" i="16" s="1"/>
  <c r="AC1508" i="16" s="1"/>
  <c r="V262" i="16"/>
  <c r="AB262" i="16" s="1"/>
  <c r="AC262" i="16" s="1"/>
  <c r="V1112" i="16"/>
  <c r="AB1112" i="16" s="1"/>
  <c r="AC1112" i="16" s="1"/>
  <c r="V1344" i="16"/>
  <c r="AB1344" i="16" s="1"/>
  <c r="AC1344" i="16" s="1"/>
  <c r="V1530" i="16"/>
  <c r="AB1530" i="16" s="1"/>
  <c r="AC1530" i="16" s="1"/>
  <c r="V1702" i="16"/>
  <c r="AB1702" i="16" s="1"/>
  <c r="AC1702" i="16" s="1"/>
  <c r="V1010" i="16"/>
  <c r="AB1010" i="16" s="1"/>
  <c r="AC1010" i="16" s="1"/>
  <c r="V1017" i="16"/>
  <c r="AB1017" i="16" s="1"/>
  <c r="AC1017" i="16" s="1"/>
  <c r="V1040" i="16"/>
  <c r="AB1040" i="16" s="1"/>
  <c r="AC1040" i="16" s="1"/>
  <c r="V1298" i="16"/>
  <c r="AB1298" i="16" s="1"/>
  <c r="AC1298" i="16" s="1"/>
  <c r="V1494" i="16"/>
  <c r="AB1494" i="16" s="1"/>
  <c r="AC1494" i="16" s="1"/>
  <c r="V1664" i="16"/>
  <c r="AB1664" i="16" s="1"/>
  <c r="AC1664" i="16" s="1"/>
  <c r="V1162" i="16"/>
  <c r="AB1162" i="16" s="1"/>
  <c r="AC1162" i="16" s="1"/>
  <c r="V1673" i="16"/>
  <c r="AB1673" i="16" s="1"/>
  <c r="AC1673" i="16" s="1"/>
  <c r="V1898" i="16"/>
  <c r="AB1898" i="16" s="1"/>
  <c r="AC1898" i="16" s="1"/>
  <c r="V2038" i="16"/>
  <c r="AB2038" i="16" s="1"/>
  <c r="AC2038" i="16" s="1"/>
  <c r="V2166" i="16"/>
  <c r="AB2166" i="16" s="1"/>
  <c r="AC2166" i="16" s="1"/>
  <c r="V2294" i="16"/>
  <c r="AB2294" i="16" s="1"/>
  <c r="AC2294" i="16" s="1"/>
  <c r="V1596" i="16"/>
  <c r="AB1596" i="16" s="1"/>
  <c r="AC1596" i="16" s="1"/>
  <c r="V1868" i="16"/>
  <c r="AB1868" i="16" s="1"/>
  <c r="AC1868" i="16" s="1"/>
  <c r="V2015" i="16"/>
  <c r="AB2015" i="16" s="1"/>
  <c r="AC2015" i="16" s="1"/>
  <c r="V2143" i="16"/>
  <c r="AB2143" i="16" s="1"/>
  <c r="AC2143" i="16" s="1"/>
  <c r="V2271" i="16"/>
  <c r="AB2271" i="16" s="1"/>
  <c r="AC2271" i="16" s="1"/>
  <c r="V1543" i="16"/>
  <c r="AB1543" i="16" s="1"/>
  <c r="AC1543" i="16" s="1"/>
  <c r="V1778" i="16"/>
  <c r="AB1778" i="16" s="1"/>
  <c r="AC1778" i="16" s="1"/>
  <c r="V1870" i="16"/>
  <c r="AB1870" i="16" s="1"/>
  <c r="AC1870" i="16" s="1"/>
  <c r="V1951" i="16"/>
  <c r="AB1951" i="16" s="1"/>
  <c r="AC1951" i="16" s="1"/>
  <c r="V2016" i="16"/>
  <c r="AB2016" i="16" s="1"/>
  <c r="AC2016" i="16" s="1"/>
  <c r="V2080" i="16"/>
  <c r="AB2080" i="16" s="1"/>
  <c r="AC2080" i="16" s="1"/>
  <c r="V2144" i="16"/>
  <c r="AB2144" i="16" s="1"/>
  <c r="AC2144" i="16" s="1"/>
  <c r="V2208" i="16"/>
  <c r="AB2208" i="16" s="1"/>
  <c r="AC2208" i="16" s="1"/>
  <c r="V2272" i="16"/>
  <c r="AB2272" i="16" s="1"/>
  <c r="AC2272" i="16" s="1"/>
  <c r="V1295" i="16"/>
  <c r="AB1295" i="16" s="1"/>
  <c r="AC1295" i="16" s="1"/>
  <c r="V1544" i="16"/>
  <c r="AB1544" i="16" s="1"/>
  <c r="AC1544" i="16" s="1"/>
  <c r="V1746" i="16"/>
  <c r="AB1746" i="16" s="1"/>
  <c r="AC1746" i="16" s="1"/>
  <c r="V1849" i="16"/>
  <c r="AB1849" i="16" s="1"/>
  <c r="AC1849" i="16" s="1"/>
  <c r="V1934" i="16"/>
  <c r="AB1934" i="16" s="1"/>
  <c r="AC1934" i="16" s="1"/>
  <c r="V2001" i="16"/>
  <c r="AB2001" i="16" s="1"/>
  <c r="AC2001" i="16" s="1"/>
  <c r="V2065" i="16"/>
  <c r="AB2065" i="16" s="1"/>
  <c r="AC2065" i="16" s="1"/>
  <c r="V2129" i="16"/>
  <c r="AB2129" i="16" s="1"/>
  <c r="AC2129" i="16" s="1"/>
  <c r="V2193" i="16"/>
  <c r="AB2193" i="16" s="1"/>
  <c r="AC2193" i="16" s="1"/>
  <c r="V2257" i="16"/>
  <c r="AB2257" i="16" s="1"/>
  <c r="AC2257" i="16" s="1"/>
  <c r="V1058" i="16"/>
  <c r="AB1058" i="16" s="1"/>
  <c r="AC1058" i="16" s="1"/>
  <c r="V1399" i="16"/>
  <c r="AB1399" i="16" s="1"/>
  <c r="AC1399" i="16" s="1"/>
  <c r="V1631" i="16"/>
  <c r="AB1631" i="16" s="1"/>
  <c r="AC1631" i="16" s="1"/>
  <c r="V1796" i="16"/>
  <c r="AB1796" i="16" s="1"/>
  <c r="AC1796" i="16" s="1"/>
  <c r="V1882" i="16"/>
  <c r="AB1882" i="16" s="1"/>
  <c r="AC1882" i="16" s="1"/>
  <c r="V1962" i="16"/>
  <c r="AB1962" i="16" s="1"/>
  <c r="AC1962" i="16" s="1"/>
  <c r="V2026" i="16"/>
  <c r="AB2026" i="16" s="1"/>
  <c r="AC2026" i="16" s="1"/>
  <c r="V2090" i="16"/>
  <c r="AB2090" i="16" s="1"/>
  <c r="AC2090" i="16" s="1"/>
  <c r="V2154" i="16"/>
  <c r="AB2154" i="16" s="1"/>
  <c r="AC2154" i="16" s="1"/>
  <c r="V2218" i="16"/>
  <c r="AB2218" i="16" s="1"/>
  <c r="AC2218" i="16" s="1"/>
  <c r="V2282" i="16"/>
  <c r="AB2282" i="16" s="1"/>
  <c r="AC2282" i="16" s="1"/>
  <c r="V1336" i="16"/>
  <c r="AB1336" i="16" s="1"/>
  <c r="AC1336" i="16" s="1"/>
  <c r="V1585" i="16"/>
  <c r="AB1585" i="16" s="1"/>
  <c r="AC1585" i="16" s="1"/>
  <c r="V1769" i="16"/>
  <c r="AB1769" i="16" s="1"/>
  <c r="AC1769" i="16" s="1"/>
  <c r="V1864" i="16"/>
  <c r="AB1864" i="16" s="1"/>
  <c r="AC1864" i="16" s="1"/>
  <c r="V1946" i="16"/>
  <c r="AB1946" i="16" s="1"/>
  <c r="AC1946" i="16" s="1"/>
  <c r="V2012" i="16"/>
  <c r="AB2012" i="16" s="1"/>
  <c r="AC2012" i="16" s="1"/>
  <c r="V2076" i="16"/>
  <c r="AB2076" i="16" s="1"/>
  <c r="AC2076" i="16" s="1"/>
  <c r="V2140" i="16"/>
  <c r="AB2140" i="16" s="1"/>
  <c r="AC2140" i="16" s="1"/>
  <c r="V2204" i="16"/>
  <c r="AB2204" i="16" s="1"/>
  <c r="AC2204" i="16" s="1"/>
  <c r="V2268" i="16"/>
  <c r="AB2268" i="16" s="1"/>
  <c r="AC2268" i="16" s="1"/>
  <c r="V1242" i="16"/>
  <c r="AB1242" i="16" s="1"/>
  <c r="AC1242" i="16" s="1"/>
  <c r="V1502" i="16"/>
  <c r="AB1502" i="16" s="1"/>
  <c r="AC1502" i="16" s="1"/>
  <c r="V1716" i="16"/>
  <c r="AB1716" i="16" s="1"/>
  <c r="AC1716" i="16" s="1"/>
  <c r="V1833" i="16"/>
  <c r="AB1833" i="16" s="1"/>
  <c r="AC1833" i="16" s="1"/>
  <c r="V1919" i="16"/>
  <c r="AB1919" i="16" s="1"/>
  <c r="AC1919" i="16" s="1"/>
  <c r="V1989" i="16"/>
  <c r="AB1989" i="16" s="1"/>
  <c r="AC1989" i="16" s="1"/>
  <c r="V2053" i="16"/>
  <c r="AB2053" i="16" s="1"/>
  <c r="AC2053" i="16" s="1"/>
  <c r="V2117" i="16"/>
  <c r="AB2117" i="16" s="1"/>
  <c r="AC2117" i="16" s="1"/>
  <c r="V2181" i="16"/>
  <c r="AB2181" i="16" s="1"/>
  <c r="AC2181" i="16" s="1"/>
  <c r="V1189" i="16"/>
  <c r="AB1189" i="16" s="1"/>
  <c r="AC1189" i="16" s="1"/>
  <c r="V1429" i="16"/>
  <c r="AB1429" i="16" s="1"/>
  <c r="AC1429" i="16" s="1"/>
  <c r="V1637" i="16"/>
  <c r="AB1637" i="16" s="1"/>
  <c r="AC1637" i="16" s="1"/>
  <c r="V1877" i="16"/>
  <c r="AB1877" i="16" s="1"/>
  <c r="AC1877" i="16" s="1"/>
  <c r="V1052" i="16"/>
  <c r="AB1052" i="16" s="1"/>
  <c r="AC1052" i="16" s="1"/>
  <c r="V1225" i="16"/>
  <c r="AB1225" i="16" s="1"/>
  <c r="AC1225" i="16" s="1"/>
  <c r="V1234" i="16"/>
  <c r="AB1234" i="16" s="1"/>
  <c r="AC1234" i="16" s="1"/>
  <c r="V1505" i="16"/>
  <c r="AB1505" i="16" s="1"/>
  <c r="AC1505" i="16" s="1"/>
  <c r="V1719" i="16"/>
  <c r="AB1719" i="16" s="1"/>
  <c r="AC1719" i="16" s="1"/>
  <c r="V1174" i="16"/>
  <c r="AB1174" i="16" s="1"/>
  <c r="AC1174" i="16" s="1"/>
  <c r="V1464" i="16"/>
  <c r="AB1464" i="16" s="1"/>
  <c r="AC1464" i="16" s="1"/>
  <c r="V1678" i="16"/>
  <c r="AB1678" i="16" s="1"/>
  <c r="AC1678" i="16" s="1"/>
  <c r="V1279" i="16"/>
  <c r="AB1279" i="16" s="1"/>
  <c r="AC1279" i="16" s="1"/>
  <c r="V1540" i="16"/>
  <c r="AB1540" i="16" s="1"/>
  <c r="AC1540" i="16" s="1"/>
  <c r="V344" i="16"/>
  <c r="AB344" i="16" s="1"/>
  <c r="AC344" i="16" s="1"/>
  <c r="V1128" i="16"/>
  <c r="AB1128" i="16" s="1"/>
  <c r="AC1128" i="16" s="1"/>
  <c r="V1358" i="16"/>
  <c r="AB1358" i="16" s="1"/>
  <c r="AC1358" i="16" s="1"/>
  <c r="V1542" i="16"/>
  <c r="AB1542" i="16" s="1"/>
  <c r="AC1542" i="16" s="1"/>
  <c r="V1712" i="16"/>
  <c r="AB1712" i="16" s="1"/>
  <c r="AC1712" i="16" s="1"/>
  <c r="V1032" i="16"/>
  <c r="AB1032" i="16" s="1"/>
  <c r="AC1032" i="16" s="1"/>
  <c r="V1039" i="16"/>
  <c r="AB1039" i="16" s="1"/>
  <c r="AC1039" i="16" s="1"/>
  <c r="V1062" i="16"/>
  <c r="AB1062" i="16" s="1"/>
  <c r="AC1062" i="16" s="1"/>
  <c r="V1312" i="16"/>
  <c r="AB1312" i="16" s="1"/>
  <c r="AC1312" i="16" s="1"/>
  <c r="V1504" i="16"/>
  <c r="AB1504" i="16" s="1"/>
  <c r="AC1504" i="16" s="1"/>
  <c r="V1674" i="16"/>
  <c r="AB1674" i="16" s="1"/>
  <c r="AC1674" i="16" s="1"/>
  <c r="V1199" i="16"/>
  <c r="AB1199" i="16" s="1"/>
  <c r="AC1199" i="16" s="1"/>
  <c r="V1698" i="16"/>
  <c r="AB1698" i="16" s="1"/>
  <c r="AC1698" i="16" s="1"/>
  <c r="V1910" i="16"/>
  <c r="AB1910" i="16" s="1"/>
  <c r="AC1910" i="16" s="1"/>
  <c r="V2046" i="16"/>
  <c r="AB2046" i="16" s="1"/>
  <c r="AC2046" i="16" s="1"/>
  <c r="V2174" i="16"/>
  <c r="AB2174" i="16" s="1"/>
  <c r="AC2174" i="16" s="1"/>
  <c r="V994" i="16"/>
  <c r="AB994" i="16" s="1"/>
  <c r="AC994" i="16" s="1"/>
  <c r="V1620" i="16"/>
  <c r="AB1620" i="16" s="1"/>
  <c r="AC1620" i="16" s="1"/>
  <c r="V1879" i="16"/>
  <c r="AB1879" i="16" s="1"/>
  <c r="AC1879" i="16" s="1"/>
  <c r="V2023" i="16"/>
  <c r="AB2023" i="16" s="1"/>
  <c r="AC2023" i="16" s="1"/>
  <c r="V2151" i="16"/>
  <c r="AB2151" i="16" s="1"/>
  <c r="AC2151" i="16" s="1"/>
  <c r="V2279" i="16"/>
  <c r="AB2279" i="16" s="1"/>
  <c r="AC2279" i="16" s="1"/>
  <c r="V1567" i="16"/>
  <c r="AB1567" i="16" s="1"/>
  <c r="AC1567" i="16" s="1"/>
  <c r="V1793" i="16"/>
  <c r="AB1793" i="16" s="1"/>
  <c r="AC1793" i="16" s="1"/>
  <c r="V1880" i="16"/>
  <c r="AB1880" i="16" s="1"/>
  <c r="AC1880" i="16" s="1"/>
  <c r="V1960" i="16"/>
  <c r="AB1960" i="16" s="1"/>
  <c r="AC1960" i="16" s="1"/>
  <c r="V2024" i="16"/>
  <c r="AB2024" i="16" s="1"/>
  <c r="AC2024" i="16" s="1"/>
  <c r="V2088" i="16"/>
  <c r="AB2088" i="16" s="1"/>
  <c r="AC2088" i="16" s="1"/>
  <c r="V2152" i="16"/>
  <c r="AB2152" i="16" s="1"/>
  <c r="AC2152" i="16" s="1"/>
  <c r="V2216" i="16"/>
  <c r="AB2216" i="16" s="1"/>
  <c r="AC2216" i="16" s="1"/>
  <c r="V2280" i="16"/>
  <c r="AB2280" i="16" s="1"/>
  <c r="AC2280" i="16" s="1"/>
  <c r="V1322" i="16"/>
  <c r="AB1322" i="16" s="1"/>
  <c r="AC1322" i="16" s="1"/>
  <c r="V1575" i="16"/>
  <c r="AB1575" i="16" s="1"/>
  <c r="AC1575" i="16" s="1"/>
  <c r="V1764" i="16"/>
  <c r="AB1764" i="16" s="1"/>
  <c r="AC1764" i="16" s="1"/>
  <c r="V1860" i="16"/>
  <c r="AB1860" i="16" s="1"/>
  <c r="AC1860" i="16" s="1"/>
  <c r="V1943" i="16"/>
  <c r="AB1943" i="16" s="1"/>
  <c r="AC1943" i="16" s="1"/>
  <c r="V2009" i="16"/>
  <c r="AB2009" i="16" s="1"/>
  <c r="AC2009" i="16" s="1"/>
  <c r="V2073" i="16"/>
  <c r="AB2073" i="16" s="1"/>
  <c r="AC2073" i="16" s="1"/>
  <c r="V2137" i="16"/>
  <c r="AB2137" i="16" s="1"/>
  <c r="AC2137" i="16" s="1"/>
  <c r="V2201" i="16"/>
  <c r="AB2201" i="16" s="1"/>
  <c r="AC2201" i="16" s="1"/>
  <c r="V2265" i="16"/>
  <c r="AB2265" i="16" s="1"/>
  <c r="AC2265" i="16" s="1"/>
  <c r="V1134" i="16"/>
  <c r="AB1134" i="16" s="1"/>
  <c r="AC1134" i="16" s="1"/>
  <c r="V1434" i="16"/>
  <c r="AB1434" i="16" s="1"/>
  <c r="AC1434" i="16" s="1"/>
  <c r="V1662" i="16"/>
  <c r="AB1662" i="16" s="1"/>
  <c r="AC1662" i="16" s="1"/>
  <c r="V1808" i="16"/>
  <c r="AB1808" i="16" s="1"/>
  <c r="AC1808" i="16" s="1"/>
  <c r="V1894" i="16"/>
  <c r="AB1894" i="16" s="1"/>
  <c r="AC1894" i="16" s="1"/>
  <c r="V1970" i="16"/>
  <c r="AB1970" i="16" s="1"/>
  <c r="AC1970" i="16" s="1"/>
  <c r="V2034" i="16"/>
  <c r="AB2034" i="16" s="1"/>
  <c r="AC2034" i="16" s="1"/>
  <c r="V2098" i="16"/>
  <c r="AB2098" i="16" s="1"/>
  <c r="AC2098" i="16" s="1"/>
  <c r="V2162" i="16"/>
  <c r="AB2162" i="16" s="1"/>
  <c r="AC2162" i="16" s="1"/>
  <c r="V2226" i="16"/>
  <c r="AB2226" i="16" s="1"/>
  <c r="AC2226" i="16" s="1"/>
  <c r="V921" i="16"/>
  <c r="AB921" i="16" s="1"/>
  <c r="AC921" i="16" s="1"/>
  <c r="V1374" i="16"/>
  <c r="AB1374" i="16" s="1"/>
  <c r="AC1374" i="16" s="1"/>
  <c r="V1609" i="16"/>
  <c r="AB1609" i="16" s="1"/>
  <c r="AC1609" i="16" s="1"/>
  <c r="V1785" i="16"/>
  <c r="AB1785" i="16" s="1"/>
  <c r="AC1785" i="16" s="1"/>
  <c r="V1874" i="16"/>
  <c r="AB1874" i="16" s="1"/>
  <c r="AC1874" i="16" s="1"/>
  <c r="V1955" i="16"/>
  <c r="AB1955" i="16" s="1"/>
  <c r="AC1955" i="16" s="1"/>
  <c r="V2020" i="16"/>
  <c r="AB2020" i="16" s="1"/>
  <c r="AC2020" i="16" s="1"/>
  <c r="V2084" i="16"/>
  <c r="AB2084" i="16" s="1"/>
  <c r="AC2084" i="16" s="1"/>
  <c r="V2148" i="16"/>
  <c r="AB2148" i="16" s="1"/>
  <c r="AC2148" i="16" s="1"/>
  <c r="V2212" i="16"/>
  <c r="AB2212" i="16" s="1"/>
  <c r="AC2212" i="16" s="1"/>
  <c r="V2276" i="16"/>
  <c r="AB2276" i="16" s="1"/>
  <c r="AC2276" i="16" s="1"/>
  <c r="V1197" i="16"/>
  <c r="AB1197" i="16" s="1"/>
  <c r="AC1197" i="16" s="1"/>
  <c r="V1437" i="16"/>
  <c r="AB1437" i="16" s="1"/>
  <c r="AC1437" i="16" s="1"/>
  <c r="V1645" i="16"/>
  <c r="AB1645" i="16" s="1"/>
  <c r="AC1645" i="16" s="1"/>
  <c r="V1885" i="16"/>
  <c r="AB1885" i="16" s="1"/>
  <c r="AC1885" i="16" s="1"/>
  <c r="V1063" i="16"/>
  <c r="AB1063" i="16" s="1"/>
  <c r="AC1063" i="16" s="1"/>
  <c r="V1233" i="16"/>
  <c r="AB1233" i="16" s="1"/>
  <c r="AC1233" i="16" s="1"/>
  <c r="V1249" i="16"/>
  <c r="AB1249" i="16" s="1"/>
  <c r="AC1249" i="16" s="1"/>
  <c r="V1516" i="16"/>
  <c r="AB1516" i="16" s="1"/>
  <c r="AC1516" i="16" s="1"/>
  <c r="V1729" i="16"/>
  <c r="AB1729" i="16" s="1"/>
  <c r="AC1729" i="16" s="1"/>
  <c r="V1190" i="16"/>
  <c r="AB1190" i="16" s="1"/>
  <c r="AC1190" i="16" s="1"/>
  <c r="V1474" i="16"/>
  <c r="AB1474" i="16" s="1"/>
  <c r="AC1474" i="16" s="1"/>
  <c r="V260" i="16"/>
  <c r="AB260" i="16" s="1"/>
  <c r="AC260" i="16" s="1"/>
  <c r="V1290" i="16"/>
  <c r="AB1290" i="16" s="1"/>
  <c r="AC1290" i="16" s="1"/>
  <c r="V1551" i="16"/>
  <c r="AB1551" i="16" s="1"/>
  <c r="AC1551" i="16" s="1"/>
  <c r="V392" i="16"/>
  <c r="AB392" i="16" s="1"/>
  <c r="AC392" i="16" s="1"/>
  <c r="V1144" i="16"/>
  <c r="AB1144" i="16" s="1"/>
  <c r="AC1144" i="16" s="1"/>
  <c r="V1369" i="16"/>
  <c r="AB1369" i="16" s="1"/>
  <c r="AC1369" i="16" s="1"/>
  <c r="V1552" i="16"/>
  <c r="AB1552" i="16" s="1"/>
  <c r="AC1552" i="16" s="1"/>
  <c r="V1722" i="16"/>
  <c r="AB1722" i="16" s="1"/>
  <c r="AC1722" i="16" s="1"/>
  <c r="V1054" i="16"/>
  <c r="AB1054" i="16" s="1"/>
  <c r="AC1054" i="16" s="1"/>
  <c r="V244" i="16"/>
  <c r="AB244" i="16" s="1"/>
  <c r="AC244" i="16" s="1"/>
  <c r="V1082" i="16"/>
  <c r="AB1082" i="16" s="1"/>
  <c r="AC1082" i="16" s="1"/>
  <c r="V1326" i="16"/>
  <c r="AB1326" i="16" s="1"/>
  <c r="AC1326" i="16" s="1"/>
  <c r="V1514" i="16"/>
  <c r="AB1514" i="16" s="1"/>
  <c r="AC1514" i="16" s="1"/>
  <c r="V1686" i="16"/>
  <c r="AB1686" i="16" s="1"/>
  <c r="AC1686" i="16" s="1"/>
  <c r="V1246" i="16"/>
  <c r="AB1246" i="16" s="1"/>
  <c r="AC1246" i="16" s="1"/>
  <c r="V1720" i="16"/>
  <c r="AB1720" i="16" s="1"/>
  <c r="AC1720" i="16" s="1"/>
  <c r="V1920" i="16"/>
  <c r="AB1920" i="16" s="1"/>
  <c r="AC1920" i="16" s="1"/>
  <c r="V2054" i="16"/>
  <c r="AB2054" i="16" s="1"/>
  <c r="AC2054" i="16" s="1"/>
  <c r="V2182" i="16"/>
  <c r="AB2182" i="16" s="1"/>
  <c r="AC2182" i="16" s="1"/>
  <c r="V1102" i="16"/>
  <c r="AB1102" i="16" s="1"/>
  <c r="AC1102" i="16" s="1"/>
  <c r="V1650" i="16"/>
  <c r="AB1650" i="16" s="1"/>
  <c r="AC1650" i="16" s="1"/>
  <c r="V1889" i="16"/>
  <c r="AB1889" i="16" s="1"/>
  <c r="AC1889" i="16" s="1"/>
  <c r="V2031" i="16"/>
  <c r="AB2031" i="16" s="1"/>
  <c r="AC2031" i="16" s="1"/>
  <c r="V2159" i="16"/>
  <c r="AB2159" i="16" s="1"/>
  <c r="AC2159" i="16" s="1"/>
  <c r="V2287" i="16"/>
  <c r="AB2287" i="16" s="1"/>
  <c r="AC2287" i="16" s="1"/>
  <c r="V1598" i="16"/>
  <c r="AB1598" i="16" s="1"/>
  <c r="AC1598" i="16" s="1"/>
  <c r="V1806" i="16"/>
  <c r="AB1806" i="16" s="1"/>
  <c r="AC1806" i="16" s="1"/>
  <c r="V1890" i="16"/>
  <c r="AB1890" i="16" s="1"/>
  <c r="AC1890" i="16" s="1"/>
  <c r="V1968" i="16"/>
  <c r="AB1968" i="16" s="1"/>
  <c r="AC1968" i="16" s="1"/>
  <c r="V2032" i="16"/>
  <c r="AB2032" i="16" s="1"/>
  <c r="AC2032" i="16" s="1"/>
  <c r="V2096" i="16"/>
  <c r="AB2096" i="16" s="1"/>
  <c r="AC2096" i="16" s="1"/>
  <c r="V2160" i="16"/>
  <c r="AB2160" i="16" s="1"/>
  <c r="AC2160" i="16" s="1"/>
  <c r="V2224" i="16"/>
  <c r="AB2224" i="16" s="1"/>
  <c r="AC2224" i="16" s="1"/>
  <c r="V2288" i="16"/>
  <c r="AB2288" i="16" s="1"/>
  <c r="AC2288" i="16" s="1"/>
  <c r="V1360" i="16"/>
  <c r="AB1360" i="16" s="1"/>
  <c r="AC1360" i="16" s="1"/>
  <c r="V1599" i="16"/>
  <c r="AB1599" i="16" s="1"/>
  <c r="AC1599" i="16" s="1"/>
  <c r="V1780" i="16"/>
  <c r="AB1780" i="16" s="1"/>
  <c r="AC1780" i="16" s="1"/>
  <c r="V1871" i="16"/>
  <c r="AB1871" i="16" s="1"/>
  <c r="AC1871" i="16" s="1"/>
  <c r="V1952" i="16"/>
  <c r="AB1952" i="16" s="1"/>
  <c r="AC1952" i="16" s="1"/>
  <c r="V2017" i="16"/>
  <c r="AB2017" i="16" s="1"/>
  <c r="AC2017" i="16" s="1"/>
  <c r="V2081" i="16"/>
  <c r="AB2081" i="16" s="1"/>
  <c r="AC2081" i="16" s="1"/>
  <c r="V2145" i="16"/>
  <c r="AB2145" i="16" s="1"/>
  <c r="AC2145" i="16" s="1"/>
  <c r="V2209" i="16"/>
  <c r="AB2209" i="16" s="1"/>
  <c r="AC2209" i="16" s="1"/>
  <c r="V2273" i="16"/>
  <c r="AB2273" i="16" s="1"/>
  <c r="AC2273" i="16" s="1"/>
  <c r="V1182" i="16"/>
  <c r="AB1182" i="16" s="1"/>
  <c r="AC1182" i="16" s="1"/>
  <c r="V1460" i="16"/>
  <c r="AB1460" i="16" s="1"/>
  <c r="AC1460" i="16" s="1"/>
  <c r="V1688" i="16"/>
  <c r="AB1688" i="16" s="1"/>
  <c r="AC1688" i="16" s="1"/>
  <c r="V1818" i="16"/>
  <c r="AB1818" i="16" s="1"/>
  <c r="AC1818" i="16" s="1"/>
  <c r="V1904" i="16"/>
  <c r="AB1904" i="16" s="1"/>
  <c r="AC1904" i="16" s="1"/>
  <c r="V1978" i="16"/>
  <c r="AB1978" i="16" s="1"/>
  <c r="AC1978" i="16" s="1"/>
  <c r="V2042" i="16"/>
  <c r="AB2042" i="16" s="1"/>
  <c r="AC2042" i="16" s="1"/>
  <c r="V2106" i="16"/>
  <c r="AB2106" i="16" s="1"/>
  <c r="AC2106" i="16" s="1"/>
  <c r="V2170" i="16"/>
  <c r="AB2170" i="16" s="1"/>
  <c r="AC2170" i="16" s="1"/>
  <c r="V2234" i="16"/>
  <c r="AB2234" i="16" s="1"/>
  <c r="AC2234" i="16" s="1"/>
  <c r="V1080" i="16"/>
  <c r="AB1080" i="16" s="1"/>
  <c r="AC1080" i="16" s="1"/>
  <c r="V1409" i="16"/>
  <c r="AB1409" i="16" s="1"/>
  <c r="AC1409" i="16" s="1"/>
  <c r="V1640" i="16"/>
  <c r="AB1640" i="16" s="1"/>
  <c r="AC1640" i="16" s="1"/>
  <c r="V1799" i="16"/>
  <c r="AB1799" i="16" s="1"/>
  <c r="AC1799" i="16" s="1"/>
  <c r="V1886" i="16"/>
  <c r="AB1886" i="16" s="1"/>
  <c r="AC1886" i="16" s="1"/>
  <c r="V1964" i="16"/>
  <c r="AB1964" i="16" s="1"/>
  <c r="AC1964" i="16" s="1"/>
  <c r="V2028" i="16"/>
  <c r="AB2028" i="16" s="1"/>
  <c r="AC2028" i="16" s="1"/>
  <c r="V2092" i="16"/>
  <c r="AB2092" i="16" s="1"/>
  <c r="AC2092" i="16" s="1"/>
  <c r="V2156" i="16"/>
  <c r="AB2156" i="16" s="1"/>
  <c r="AC2156" i="16" s="1"/>
  <c r="V2220" i="16"/>
  <c r="AB2220" i="16" s="1"/>
  <c r="AC2220" i="16" s="1"/>
  <c r="V2284" i="16"/>
  <c r="AB2284" i="16" s="1"/>
  <c r="AC2284" i="16" s="1"/>
  <c r="V1261" i="16"/>
  <c r="AB1261" i="16" s="1"/>
  <c r="AC1261" i="16" s="1"/>
  <c r="V1485" i="16"/>
  <c r="AB1485" i="16" s="1"/>
  <c r="AC1485" i="16" s="1"/>
  <c r="V1709" i="16"/>
  <c r="AB1709" i="16" s="1"/>
  <c r="AC1709" i="16" s="1"/>
  <c r="V1949" i="16"/>
  <c r="AB1949" i="16" s="1"/>
  <c r="AC1949" i="16" s="1"/>
  <c r="V1104" i="16"/>
  <c r="AB1104" i="16" s="1"/>
  <c r="AC1104" i="16" s="1"/>
  <c r="V953" i="16"/>
  <c r="AB953" i="16" s="1"/>
  <c r="AC953" i="16" s="1"/>
  <c r="V1327" i="16"/>
  <c r="AB1327" i="16" s="1"/>
  <c r="AC1327" i="16" s="1"/>
  <c r="V1559" i="16"/>
  <c r="AB1559" i="16" s="1"/>
  <c r="AC1559" i="16" s="1"/>
  <c r="V472" i="16"/>
  <c r="AB472" i="16" s="1"/>
  <c r="AC472" i="16" s="1"/>
  <c r="V1278" i="16"/>
  <c r="AB1278" i="16" s="1"/>
  <c r="AC1278" i="16" s="1"/>
  <c r="V1518" i="16"/>
  <c r="AB1518" i="16" s="1"/>
  <c r="AC1518" i="16" s="1"/>
  <c r="V1028" i="16"/>
  <c r="AB1028" i="16" s="1"/>
  <c r="AC1028" i="16" s="1"/>
  <c r="V1368" i="16"/>
  <c r="AB1368" i="16" s="1"/>
  <c r="AC1368" i="16" s="1"/>
  <c r="V1593" i="16"/>
  <c r="AB1593" i="16" s="1"/>
  <c r="AC1593" i="16" s="1"/>
  <c r="V816" i="16"/>
  <c r="AB816" i="16" s="1"/>
  <c r="AC816" i="16" s="1"/>
  <c r="V1208" i="16"/>
  <c r="AB1208" i="16" s="1"/>
  <c r="AC1208" i="16" s="1"/>
  <c r="V1422" i="16"/>
  <c r="AB1422" i="16" s="1"/>
  <c r="AC1422" i="16" s="1"/>
  <c r="V1594" i="16"/>
  <c r="AB1594" i="16" s="1"/>
  <c r="AC1594" i="16" s="1"/>
  <c r="V1766" i="16"/>
  <c r="AB1766" i="16" s="1"/>
  <c r="AC1766" i="16" s="1"/>
  <c r="V1130" i="16"/>
  <c r="AB1130" i="16" s="1"/>
  <c r="AC1130" i="16" s="1"/>
  <c r="V504" i="16"/>
  <c r="AB504" i="16" s="1"/>
  <c r="AC504" i="16" s="1"/>
  <c r="V1152" i="16"/>
  <c r="AB1152" i="16" s="1"/>
  <c r="AC1152" i="16" s="1"/>
  <c r="V1376" i="16"/>
  <c r="AB1376" i="16" s="1"/>
  <c r="AC1376" i="16" s="1"/>
  <c r="V1558" i="16"/>
  <c r="AB1558" i="16" s="1"/>
  <c r="AC1558" i="16" s="1"/>
  <c r="V1728" i="16"/>
  <c r="AB1728" i="16" s="1"/>
  <c r="AC1728" i="16" s="1"/>
  <c r="V1384" i="16"/>
  <c r="AB1384" i="16" s="1"/>
  <c r="AC1384" i="16" s="1"/>
  <c r="V1790" i="16"/>
  <c r="AB1790" i="16" s="1"/>
  <c r="AC1790" i="16" s="1"/>
  <c r="V1958" i="16"/>
  <c r="AB1958" i="16" s="1"/>
  <c r="AC1958" i="16" s="1"/>
  <c r="V2086" i="16"/>
  <c r="AB2086" i="16" s="1"/>
  <c r="AC2086" i="16" s="1"/>
  <c r="V2214" i="16"/>
  <c r="AB2214" i="16" s="1"/>
  <c r="AC2214" i="16" s="1"/>
  <c r="V1282" i="16"/>
  <c r="AB1282" i="16" s="1"/>
  <c r="AC1282" i="16" s="1"/>
  <c r="V1743" i="16"/>
  <c r="AB1743" i="16" s="1"/>
  <c r="AC1743" i="16" s="1"/>
  <c r="V1931" i="16"/>
  <c r="AB1931" i="16" s="1"/>
  <c r="AC1931" i="16" s="1"/>
  <c r="V2063" i="16"/>
  <c r="AB2063" i="16" s="1"/>
  <c r="AC2063" i="16" s="1"/>
  <c r="V2191" i="16"/>
  <c r="AB2191" i="16" s="1"/>
  <c r="AC2191" i="16" s="1"/>
  <c r="V1214" i="16"/>
  <c r="AB1214" i="16" s="1"/>
  <c r="AC1214" i="16" s="1"/>
  <c r="V1652" i="16"/>
  <c r="AB1652" i="16" s="1"/>
  <c r="AC1652" i="16" s="1"/>
  <c r="V1816" i="16"/>
  <c r="AB1816" i="16" s="1"/>
  <c r="AC1816" i="16" s="1"/>
  <c r="V1902" i="16"/>
  <c r="AB1902" i="16" s="1"/>
  <c r="AC1902" i="16" s="1"/>
  <c r="V1976" i="16"/>
  <c r="AB1976" i="16" s="1"/>
  <c r="AC1976" i="16" s="1"/>
  <c r="V2040" i="16"/>
  <c r="AB2040" i="16" s="1"/>
  <c r="AC2040" i="16" s="1"/>
  <c r="V2104" i="16"/>
  <c r="AB2104" i="16" s="1"/>
  <c r="AC2104" i="16" s="1"/>
  <c r="V2168" i="16"/>
  <c r="AB2168" i="16" s="1"/>
  <c r="AC2168" i="16" s="1"/>
  <c r="V2232" i="16"/>
  <c r="AB2232" i="16" s="1"/>
  <c r="AC2232" i="16" s="1"/>
  <c r="V1038" i="16"/>
  <c r="AB1038" i="16" s="1"/>
  <c r="AC1038" i="16" s="1"/>
  <c r="V1398" i="16"/>
  <c r="AB1398" i="16" s="1"/>
  <c r="AC1398" i="16" s="1"/>
  <c r="V1630" i="16"/>
  <c r="AB1630" i="16" s="1"/>
  <c r="AC1630" i="16" s="1"/>
  <c r="V1794" i="16"/>
  <c r="AB1794" i="16" s="1"/>
  <c r="AC1794" i="16" s="1"/>
  <c r="V1881" i="16"/>
  <c r="AB1881" i="16" s="1"/>
  <c r="AC1881" i="16" s="1"/>
  <c r="V1961" i="16"/>
  <c r="AB1961" i="16" s="1"/>
  <c r="AC1961" i="16" s="1"/>
  <c r="V2025" i="16"/>
  <c r="AB2025" i="16" s="1"/>
  <c r="AC2025" i="16" s="1"/>
  <c r="V2089" i="16"/>
  <c r="AB2089" i="16" s="1"/>
  <c r="AC2089" i="16" s="1"/>
  <c r="V2153" i="16"/>
  <c r="AB2153" i="16" s="1"/>
  <c r="AC2153" i="16" s="1"/>
  <c r="V2217" i="16"/>
  <c r="AB2217" i="16" s="1"/>
  <c r="AC2217" i="16" s="1"/>
  <c r="V2281" i="16"/>
  <c r="AB2281" i="16" s="1"/>
  <c r="AC2281" i="16" s="1"/>
  <c r="V1226" i="16"/>
  <c r="AB1226" i="16" s="1"/>
  <c r="AC1226" i="16" s="1"/>
  <c r="V1490" i="16"/>
  <c r="AB1490" i="16" s="1"/>
  <c r="AC1490" i="16" s="1"/>
  <c r="V1710" i="16"/>
  <c r="AB1710" i="16" s="1"/>
  <c r="AC1710" i="16" s="1"/>
  <c r="V1830" i="16"/>
  <c r="AB1830" i="16" s="1"/>
  <c r="AC1830" i="16" s="1"/>
  <c r="V1914" i="16"/>
  <c r="AB1914" i="16" s="1"/>
  <c r="AC1914" i="16" s="1"/>
  <c r="V1986" i="16"/>
  <c r="AB1986" i="16" s="1"/>
  <c r="AC1986" i="16" s="1"/>
  <c r="V2050" i="16"/>
  <c r="AB2050" i="16" s="1"/>
  <c r="AC2050" i="16" s="1"/>
  <c r="V2114" i="16"/>
  <c r="AB2114" i="16" s="1"/>
  <c r="AC2114" i="16" s="1"/>
  <c r="V2178" i="16"/>
  <c r="AB2178" i="16" s="1"/>
  <c r="AC2178" i="16" s="1"/>
  <c r="V2242" i="16"/>
  <c r="AB2242" i="16" s="1"/>
  <c r="AC2242" i="16" s="1"/>
  <c r="V1150" i="16"/>
  <c r="AB1150" i="16" s="1"/>
  <c r="AC1150" i="16" s="1"/>
  <c r="V1439" i="16"/>
  <c r="AB1439" i="16" s="1"/>
  <c r="AC1439" i="16" s="1"/>
  <c r="V1671" i="16"/>
  <c r="AB1671" i="16" s="1"/>
  <c r="AC1671" i="16" s="1"/>
  <c r="V1810" i="16"/>
  <c r="AB1810" i="16" s="1"/>
  <c r="AC1810" i="16" s="1"/>
  <c r="V1896" i="16"/>
  <c r="AB1896" i="16" s="1"/>
  <c r="AC1896" i="16" s="1"/>
  <c r="V1972" i="16"/>
  <c r="AB1972" i="16" s="1"/>
  <c r="AC1972" i="16" s="1"/>
  <c r="V2036" i="16"/>
  <c r="AB2036" i="16" s="1"/>
  <c r="AC2036" i="16" s="1"/>
  <c r="V2100" i="16"/>
  <c r="AB2100" i="16" s="1"/>
  <c r="AC2100" i="16" s="1"/>
  <c r="V2164" i="16"/>
  <c r="AB2164" i="16" s="1"/>
  <c r="AC2164" i="16" s="1"/>
  <c r="V2228" i="16"/>
  <c r="AB2228" i="16" s="1"/>
  <c r="AC2228" i="16" s="1"/>
  <c r="V360" i="16"/>
  <c r="AB360" i="16" s="1"/>
  <c r="AC360" i="16" s="1"/>
  <c r="V1293" i="16"/>
  <c r="AB1293" i="16" s="1"/>
  <c r="AC1293" i="16" s="1"/>
  <c r="V1517" i="16"/>
  <c r="AB1517" i="16" s="1"/>
  <c r="AC1517" i="16" s="1"/>
  <c r="V1741" i="16"/>
  <c r="AB1741" i="16" s="1"/>
  <c r="AC1741" i="16" s="1"/>
  <c r="V233" i="16"/>
  <c r="AB233" i="16" s="1"/>
  <c r="AC233" i="16" s="1"/>
  <c r="V1137" i="16"/>
  <c r="AB1137" i="16" s="1"/>
  <c r="AC1137" i="16" s="1"/>
  <c r="V1000" i="16"/>
  <c r="AB1000" i="16" s="1"/>
  <c r="AC1000" i="16" s="1"/>
  <c r="V1352" i="16"/>
  <c r="AB1352" i="16" s="1"/>
  <c r="AC1352" i="16" s="1"/>
  <c r="V1601" i="16"/>
  <c r="AB1601" i="16" s="1"/>
  <c r="AC1601" i="16" s="1"/>
  <c r="V881" i="16"/>
  <c r="AB881" i="16" s="1"/>
  <c r="AC881" i="16" s="1"/>
  <c r="V1303" i="16"/>
  <c r="AB1303" i="16" s="1"/>
  <c r="AC1303" i="16" s="1"/>
  <c r="V1560" i="16"/>
  <c r="AB1560" i="16" s="1"/>
  <c r="AC1560" i="16" s="1"/>
  <c r="V1071" i="16"/>
  <c r="AB1071" i="16" s="1"/>
  <c r="AC1071" i="16" s="1"/>
  <c r="V1393" i="16"/>
  <c r="AB1393" i="16" s="1"/>
  <c r="AC1393" i="16" s="1"/>
  <c r="V1636" i="16"/>
  <c r="AB1636" i="16" s="1"/>
  <c r="AC1636" i="16" s="1"/>
  <c r="V912" i="16"/>
  <c r="AB912" i="16" s="1"/>
  <c r="AC912" i="16" s="1"/>
  <c r="V1240" i="16"/>
  <c r="AB1240" i="16" s="1"/>
  <c r="AC1240" i="16" s="1"/>
  <c r="V1446" i="16"/>
  <c r="AB1446" i="16" s="1"/>
  <c r="AC1446" i="16" s="1"/>
  <c r="V1616" i="16"/>
  <c r="AB1616" i="16" s="1"/>
  <c r="AC1616" i="16" s="1"/>
  <c r="V1786" i="16"/>
  <c r="AB1786" i="16" s="1"/>
  <c r="AC1786" i="16" s="1"/>
  <c r="V232" i="16"/>
  <c r="AB232" i="16" s="1"/>
  <c r="AC232" i="16" s="1"/>
  <c r="V761" i="16"/>
  <c r="AB761" i="16" s="1"/>
  <c r="AC761" i="16" s="1"/>
  <c r="V1184" i="16"/>
  <c r="AB1184" i="16" s="1"/>
  <c r="AC1184" i="16" s="1"/>
  <c r="V1401" i="16"/>
  <c r="AB1401" i="16" s="1"/>
  <c r="AC1401" i="16" s="1"/>
  <c r="V1578" i="16"/>
  <c r="AB1578" i="16" s="1"/>
  <c r="AC1578" i="16" s="1"/>
  <c r="V1750" i="16"/>
  <c r="AB1750" i="16" s="1"/>
  <c r="AC1750" i="16" s="1"/>
  <c r="V1448" i="16"/>
  <c r="AB1448" i="16" s="1"/>
  <c r="AC1448" i="16" s="1"/>
  <c r="V1814" i="16"/>
  <c r="AB1814" i="16" s="1"/>
  <c r="AC1814" i="16" s="1"/>
  <c r="V1974" i="16"/>
  <c r="AB1974" i="16" s="1"/>
  <c r="AC1974" i="16" s="1"/>
  <c r="V2102" i="16"/>
  <c r="AB2102" i="16" s="1"/>
  <c r="AC2102" i="16" s="1"/>
  <c r="V2230" i="16"/>
  <c r="AB2230" i="16" s="1"/>
  <c r="AC2230" i="16" s="1"/>
  <c r="V1350" i="16"/>
  <c r="AB1350" i="16" s="1"/>
  <c r="AC1350" i="16" s="1"/>
  <c r="V1777" i="16"/>
  <c r="AB1777" i="16" s="1"/>
  <c r="AC1777" i="16" s="1"/>
  <c r="V1950" i="16"/>
  <c r="AB1950" i="16" s="1"/>
  <c r="AC1950" i="16" s="1"/>
  <c r="V2079" i="16"/>
  <c r="AB2079" i="16" s="1"/>
  <c r="AC2079" i="16" s="1"/>
  <c r="V2207" i="16"/>
  <c r="AB2207" i="16" s="1"/>
  <c r="AC2207" i="16" s="1"/>
  <c r="V1286" i="16"/>
  <c r="AB1286" i="16" s="1"/>
  <c r="AC1286" i="16" s="1"/>
  <c r="V1704" i="16"/>
  <c r="AB1704" i="16" s="1"/>
  <c r="AC1704" i="16" s="1"/>
  <c r="V1826" i="16"/>
  <c r="AB1826" i="16" s="1"/>
  <c r="AC1826" i="16" s="1"/>
  <c r="V1912" i="16"/>
  <c r="AB1912" i="16" s="1"/>
  <c r="AC1912" i="16" s="1"/>
  <c r="V1984" i="16"/>
  <c r="AB1984" i="16" s="1"/>
  <c r="AC1984" i="16" s="1"/>
  <c r="V2048" i="16"/>
  <c r="AB2048" i="16" s="1"/>
  <c r="AC2048" i="16" s="1"/>
  <c r="V2112" i="16"/>
  <c r="AB2112" i="16" s="1"/>
  <c r="AC2112" i="16" s="1"/>
  <c r="V2176" i="16"/>
  <c r="AB2176" i="16" s="1"/>
  <c r="AC2176" i="16" s="1"/>
  <c r="V2240" i="16"/>
  <c r="AB2240" i="16" s="1"/>
  <c r="AC2240" i="16" s="1"/>
  <c r="V1119" i="16"/>
  <c r="AB1119" i="16" s="1"/>
  <c r="AC1119" i="16" s="1"/>
  <c r="V1425" i="16"/>
  <c r="AB1425" i="16" s="1"/>
  <c r="AC1425" i="16" s="1"/>
  <c r="V1660" i="16"/>
  <c r="AB1660" i="16" s="1"/>
  <c r="AC1660" i="16" s="1"/>
  <c r="V1807" i="16"/>
  <c r="AB1807" i="16" s="1"/>
  <c r="AC1807" i="16" s="1"/>
  <c r="V1892" i="16"/>
  <c r="AB1892" i="16" s="1"/>
  <c r="AC1892" i="16" s="1"/>
  <c r="V1969" i="16"/>
  <c r="AB1969" i="16" s="1"/>
  <c r="AC1969" i="16" s="1"/>
  <c r="V2033" i="16"/>
  <c r="AB2033" i="16" s="1"/>
  <c r="AC2033" i="16" s="1"/>
  <c r="V2097" i="16"/>
  <c r="AB2097" i="16" s="1"/>
  <c r="AC2097" i="16" s="1"/>
  <c r="V2161" i="16"/>
  <c r="AB2161" i="16" s="1"/>
  <c r="AC2161" i="16" s="1"/>
  <c r="V2225" i="16"/>
  <c r="AB2225" i="16" s="1"/>
  <c r="AC2225" i="16" s="1"/>
  <c r="V2289" i="16"/>
  <c r="AB2289" i="16" s="1"/>
  <c r="AC2289" i="16" s="1"/>
  <c r="V1258" i="16"/>
  <c r="AB1258" i="16" s="1"/>
  <c r="AC1258" i="16" s="1"/>
  <c r="V1521" i="16"/>
  <c r="AB1521" i="16" s="1"/>
  <c r="AC1521" i="16" s="1"/>
  <c r="V1730" i="16"/>
  <c r="AB1730" i="16" s="1"/>
  <c r="AC1730" i="16" s="1"/>
  <c r="V1840" i="16"/>
  <c r="AB1840" i="16" s="1"/>
  <c r="AC1840" i="16" s="1"/>
  <c r="V1926" i="16"/>
  <c r="AB1926" i="16" s="1"/>
  <c r="AC1926" i="16" s="1"/>
  <c r="V1994" i="16"/>
  <c r="AB1994" i="16" s="1"/>
  <c r="AC1994" i="16" s="1"/>
  <c r="V2058" i="16"/>
  <c r="AB2058" i="16" s="1"/>
  <c r="AC2058" i="16" s="1"/>
  <c r="V2122" i="16"/>
  <c r="AB2122" i="16" s="1"/>
  <c r="AC2122" i="16" s="1"/>
  <c r="V2186" i="16"/>
  <c r="AB2186" i="16" s="1"/>
  <c r="AC2186" i="16" s="1"/>
  <c r="V2250" i="16"/>
  <c r="AB2250" i="16" s="1"/>
  <c r="AC2250" i="16" s="1"/>
  <c r="V1194" i="16"/>
  <c r="AB1194" i="16" s="1"/>
  <c r="AC1194" i="16" s="1"/>
  <c r="V1470" i="16"/>
  <c r="AB1470" i="16" s="1"/>
  <c r="AC1470" i="16" s="1"/>
  <c r="V1694" i="16"/>
  <c r="AB1694" i="16" s="1"/>
  <c r="AC1694" i="16" s="1"/>
  <c r="V1822" i="16"/>
  <c r="AB1822" i="16" s="1"/>
  <c r="AC1822" i="16" s="1"/>
  <c r="V1906" i="16"/>
  <c r="AB1906" i="16" s="1"/>
  <c r="AC1906" i="16" s="1"/>
  <c r="V1980" i="16"/>
  <c r="AB1980" i="16" s="1"/>
  <c r="AC1980" i="16" s="1"/>
  <c r="V2044" i="16"/>
  <c r="AB2044" i="16" s="1"/>
  <c r="AC2044" i="16" s="1"/>
  <c r="V2108" i="16"/>
  <c r="AB2108" i="16" s="1"/>
  <c r="AC2108" i="16" s="1"/>
  <c r="V2172" i="16"/>
  <c r="AB2172" i="16" s="1"/>
  <c r="AC2172" i="16" s="1"/>
  <c r="V2236" i="16"/>
  <c r="AB2236" i="16" s="1"/>
  <c r="AC2236" i="16" s="1"/>
  <c r="V946" i="16"/>
  <c r="AB946" i="16" s="1"/>
  <c r="AC946" i="16" s="1"/>
  <c r="V1375" i="16"/>
  <c r="AB1375" i="16" s="1"/>
  <c r="AC1375" i="16" s="1"/>
  <c r="V1617" i="16"/>
  <c r="AB1617" i="16" s="1"/>
  <c r="AC1617" i="16" s="1"/>
  <c r="V1788" i="16"/>
  <c r="AB1788" i="16" s="1"/>
  <c r="AC1788" i="16" s="1"/>
  <c r="V1876" i="16"/>
  <c r="AB1876" i="16" s="1"/>
  <c r="AC1876" i="16" s="1"/>
  <c r="V1956" i="16"/>
  <c r="AB1956" i="16" s="1"/>
  <c r="AC1956" i="16" s="1"/>
  <c r="V2021" i="16"/>
  <c r="AB2021" i="16" s="1"/>
  <c r="AC2021" i="16" s="1"/>
  <c r="V2085" i="16"/>
  <c r="AB2085" i="16" s="1"/>
  <c r="AC2085" i="16" s="1"/>
  <c r="V2149" i="16"/>
  <c r="AB2149" i="16" s="1"/>
  <c r="AC2149" i="16" s="1"/>
  <c r="V2213" i="16"/>
  <c r="AB2213" i="16" s="1"/>
  <c r="AC2213" i="16" s="1"/>
  <c r="V1301" i="16"/>
  <c r="AB1301" i="16" s="1"/>
  <c r="AC1301" i="16" s="1"/>
  <c r="V1541" i="16"/>
  <c r="AB1541" i="16" s="1"/>
  <c r="AC1541" i="16" s="1"/>
  <c r="V1765" i="16"/>
  <c r="AB1765" i="16" s="1"/>
  <c r="AC1765" i="16" s="1"/>
  <c r="V608" i="16"/>
  <c r="AB608" i="16" s="1"/>
  <c r="AC608" i="16" s="1"/>
  <c r="V1145" i="16"/>
  <c r="AB1145" i="16" s="1"/>
  <c r="AC1145" i="16" s="1"/>
  <c r="V1064" i="16"/>
  <c r="AB1064" i="16" s="1"/>
  <c r="AC1064" i="16" s="1"/>
  <c r="V1366" i="16"/>
  <c r="AB1366" i="16" s="1"/>
  <c r="AC1366" i="16" s="1"/>
  <c r="V1612" i="16"/>
  <c r="AB1612" i="16" s="1"/>
  <c r="AC1612" i="16" s="1"/>
  <c r="V982" i="16"/>
  <c r="AB982" i="16" s="1"/>
  <c r="AC982" i="16" s="1"/>
  <c r="V1314" i="16"/>
  <c r="AB1314" i="16" s="1"/>
  <c r="AC1314" i="16" s="1"/>
  <c r="V1570" i="16"/>
  <c r="AB1570" i="16" s="1"/>
  <c r="AC1570" i="16" s="1"/>
  <c r="V1127" i="16"/>
  <c r="AB1127" i="16" s="1"/>
  <c r="AC1127" i="16" s="1"/>
  <c r="V1407" i="16"/>
  <c r="AB1407" i="16" s="1"/>
  <c r="AC1407" i="16" s="1"/>
  <c r="V1647" i="16"/>
  <c r="AB1647" i="16" s="1"/>
  <c r="AC1647" i="16" s="1"/>
  <c r="V962" i="16"/>
  <c r="AB962" i="16" s="1"/>
  <c r="AC962" i="16" s="1"/>
  <c r="V1255" i="16"/>
  <c r="AB1255" i="16" s="1"/>
  <c r="AC1255" i="16" s="1"/>
  <c r="V1456" i="16"/>
  <c r="AB1456" i="16" s="1"/>
  <c r="AC1456" i="16" s="1"/>
  <c r="V1626" i="16"/>
  <c r="AB1626" i="16" s="1"/>
  <c r="AC1626" i="16" s="1"/>
  <c r="V230" i="16"/>
  <c r="AB230" i="16" s="1"/>
  <c r="AC230" i="16" s="1"/>
  <c r="V408" i="16"/>
  <c r="AB408" i="16" s="1"/>
  <c r="AC408" i="16" s="1"/>
  <c r="V800" i="16"/>
  <c r="AB800" i="16" s="1"/>
  <c r="AC800" i="16" s="1"/>
  <c r="V1200" i="16"/>
  <c r="AB1200" i="16" s="1"/>
  <c r="AC1200" i="16" s="1"/>
  <c r="V1415" i="16"/>
  <c r="AB1415" i="16" s="1"/>
  <c r="AC1415" i="16" s="1"/>
  <c r="V1590" i="16"/>
  <c r="AB1590" i="16" s="1"/>
  <c r="AC1590" i="16" s="1"/>
  <c r="V1760" i="16"/>
  <c r="AB1760" i="16" s="1"/>
  <c r="AC1760" i="16" s="1"/>
  <c r="V1479" i="16"/>
  <c r="AB1479" i="16" s="1"/>
  <c r="AC1479" i="16" s="1"/>
  <c r="V1824" i="16"/>
  <c r="AB1824" i="16" s="1"/>
  <c r="AC1824" i="16" s="1"/>
  <c r="V1982" i="16"/>
  <c r="AB1982" i="16" s="1"/>
  <c r="AC1982" i="16" s="1"/>
  <c r="V2110" i="16"/>
  <c r="AB2110" i="16" s="1"/>
  <c r="AC2110" i="16" s="1"/>
  <c r="V2238" i="16"/>
  <c r="AB2238" i="16" s="1"/>
  <c r="AC2238" i="16" s="1"/>
  <c r="V1385" i="16"/>
  <c r="AB1385" i="16" s="1"/>
  <c r="AC1385" i="16" s="1"/>
  <c r="V1791" i="16"/>
  <c r="AB1791" i="16" s="1"/>
  <c r="AC1791" i="16" s="1"/>
  <c r="V1959" i="16"/>
  <c r="AB1959" i="16" s="1"/>
  <c r="AC1959" i="16" s="1"/>
  <c r="V2087" i="16"/>
  <c r="AB2087" i="16" s="1"/>
  <c r="AC2087" i="16" s="1"/>
  <c r="V2215" i="16"/>
  <c r="AB2215" i="16" s="1"/>
  <c r="AC2215" i="16" s="1"/>
  <c r="V1321" i="16"/>
  <c r="AB1321" i="16" s="1"/>
  <c r="AC1321" i="16" s="1"/>
  <c r="V1726" i="16"/>
  <c r="AB1726" i="16" s="1"/>
  <c r="AC1726" i="16" s="1"/>
  <c r="V1838" i="16"/>
  <c r="AB1838" i="16" s="1"/>
  <c r="AC1838" i="16" s="1"/>
  <c r="V1922" i="16"/>
  <c r="AB1922" i="16" s="1"/>
  <c r="AC1922" i="16" s="1"/>
  <c r="V1992" i="16"/>
  <c r="AB1992" i="16" s="1"/>
  <c r="AC1992" i="16" s="1"/>
  <c r="V2056" i="16"/>
  <c r="AB2056" i="16" s="1"/>
  <c r="AC2056" i="16" s="1"/>
  <c r="V2120" i="16"/>
  <c r="AB2120" i="16" s="1"/>
  <c r="AC2120" i="16" s="1"/>
  <c r="V2184" i="16"/>
  <c r="AB2184" i="16" s="1"/>
  <c r="AC2184" i="16" s="1"/>
  <c r="V2248" i="16"/>
  <c r="AB2248" i="16" s="1"/>
  <c r="AC2248" i="16" s="1"/>
  <c r="V1178" i="16"/>
  <c r="AB1178" i="16" s="1"/>
  <c r="AC1178" i="16" s="1"/>
  <c r="V1458" i="16"/>
  <c r="AB1458" i="16" s="1"/>
  <c r="AC1458" i="16" s="1"/>
  <c r="V1684" i="16"/>
  <c r="AB1684" i="16" s="1"/>
  <c r="AC1684" i="16" s="1"/>
  <c r="V1817" i="16"/>
  <c r="AB1817" i="16" s="1"/>
  <c r="AC1817" i="16" s="1"/>
  <c r="V1903" i="16"/>
  <c r="AB1903" i="16" s="1"/>
  <c r="AC1903" i="16" s="1"/>
  <c r="V1977" i="16"/>
  <c r="AB1977" i="16" s="1"/>
  <c r="AC1977" i="16" s="1"/>
  <c r="V2041" i="16"/>
  <c r="AB2041" i="16" s="1"/>
  <c r="AC2041" i="16" s="1"/>
  <c r="V2105" i="16"/>
  <c r="AB2105" i="16" s="1"/>
  <c r="AC2105" i="16" s="1"/>
  <c r="V2169" i="16"/>
  <c r="AB2169" i="16" s="1"/>
  <c r="AC2169" i="16" s="1"/>
  <c r="V2233" i="16"/>
  <c r="AB2233" i="16" s="1"/>
  <c r="AC2233" i="16" s="1"/>
  <c r="V2297" i="16"/>
  <c r="AB2297" i="16" s="1"/>
  <c r="AC2297" i="16" s="1"/>
  <c r="V1296" i="16"/>
  <c r="AB1296" i="16" s="1"/>
  <c r="AC1296" i="16" s="1"/>
  <c r="V1545" i="16"/>
  <c r="AB1545" i="16" s="1"/>
  <c r="AC1545" i="16" s="1"/>
  <c r="V1748" i="16"/>
  <c r="AB1748" i="16" s="1"/>
  <c r="AC1748" i="16" s="1"/>
  <c r="V1850" i="16"/>
  <c r="AB1850" i="16" s="1"/>
  <c r="AC1850" i="16" s="1"/>
  <c r="V1935" i="16"/>
  <c r="AB1935" i="16" s="1"/>
  <c r="AC1935" i="16" s="1"/>
  <c r="V2002" i="16"/>
  <c r="AB2002" i="16" s="1"/>
  <c r="AC2002" i="16" s="1"/>
  <c r="V2066" i="16"/>
  <c r="AB2066" i="16" s="1"/>
  <c r="AC2066" i="16" s="1"/>
  <c r="V2130" i="16"/>
  <c r="AB2130" i="16" s="1"/>
  <c r="AC2130" i="16" s="1"/>
  <c r="V2194" i="16"/>
  <c r="AB2194" i="16" s="1"/>
  <c r="AC2194" i="16" s="1"/>
  <c r="V2258" i="16"/>
  <c r="AB2258" i="16" s="1"/>
  <c r="AC2258" i="16" s="1"/>
  <c r="V1231" i="16"/>
  <c r="AB1231" i="16" s="1"/>
  <c r="AC1231" i="16" s="1"/>
  <c r="V1500" i="16"/>
  <c r="AB1500" i="16" s="1"/>
  <c r="AC1500" i="16" s="1"/>
  <c r="V1714" i="16"/>
  <c r="AB1714" i="16" s="1"/>
  <c r="AC1714" i="16" s="1"/>
  <c r="V1832" i="16"/>
  <c r="AB1832" i="16" s="1"/>
  <c r="AC1832" i="16" s="1"/>
  <c r="V1918" i="16"/>
  <c r="AB1918" i="16" s="1"/>
  <c r="AC1918" i="16" s="1"/>
  <c r="V1988" i="16"/>
  <c r="AB1988" i="16" s="1"/>
  <c r="AC1988" i="16" s="1"/>
  <c r="V2052" i="16"/>
  <c r="AB2052" i="16" s="1"/>
  <c r="AC2052" i="16" s="1"/>
  <c r="V2116" i="16"/>
  <c r="AB2116" i="16" s="1"/>
  <c r="AC2116" i="16" s="1"/>
  <c r="V2180" i="16"/>
  <c r="AB2180" i="16" s="1"/>
  <c r="AC2180" i="16" s="1"/>
  <c r="V2244" i="16"/>
  <c r="AB2244" i="16" s="1"/>
  <c r="AC2244" i="16" s="1"/>
  <c r="V1081" i="16"/>
  <c r="AB1081" i="16" s="1"/>
  <c r="AC1081" i="16" s="1"/>
  <c r="V1410" i="16"/>
  <c r="AB1410" i="16" s="1"/>
  <c r="AC1410" i="16" s="1"/>
  <c r="V1641" i="16"/>
  <c r="AB1641" i="16" s="1"/>
  <c r="AC1641" i="16" s="1"/>
  <c r="V1800" i="16"/>
  <c r="AB1800" i="16" s="1"/>
  <c r="AC1800" i="16" s="1"/>
  <c r="V1887" i="16"/>
  <c r="AB1887" i="16" s="1"/>
  <c r="AC1887" i="16" s="1"/>
  <c r="V1965" i="16"/>
  <c r="AB1965" i="16" s="1"/>
  <c r="AC1965" i="16" s="1"/>
  <c r="V2029" i="16"/>
  <c r="AB2029" i="16" s="1"/>
  <c r="AC2029" i="16" s="1"/>
  <c r="V2093" i="16"/>
  <c r="AB2093" i="16" s="1"/>
  <c r="AC2093" i="16" s="1"/>
  <c r="V2157" i="16"/>
  <c r="AB2157" i="16" s="1"/>
  <c r="AC2157" i="16" s="1"/>
  <c r="V2221" i="16"/>
  <c r="AB2221" i="16" s="1"/>
  <c r="AC2221" i="16" s="1"/>
  <c r="V2285" i="16"/>
  <c r="AB2285" i="16" s="1"/>
  <c r="AC2285" i="16" s="1"/>
  <c r="V2349" i="16"/>
  <c r="V2099" i="16"/>
  <c r="AB2099" i="16" s="1"/>
  <c r="AC2099" i="16" s="1"/>
  <c r="V2338" i="16"/>
  <c r="V2404" i="16"/>
  <c r="V2468" i="16"/>
  <c r="V2532" i="16"/>
  <c r="V2596" i="16"/>
  <c r="V1692" i="16"/>
  <c r="AB1692" i="16" s="1"/>
  <c r="AC1692" i="16" s="1"/>
  <c r="V2291" i="16"/>
  <c r="AB2291" i="16" s="1"/>
  <c r="AC2291" i="16" s="1"/>
  <c r="V2365" i="16"/>
  <c r="V2429" i="16"/>
  <c r="V2493" i="16"/>
  <c r="V2557" i="16"/>
  <c r="V2621" i="16"/>
  <c r="V2051" i="16"/>
  <c r="AB2051" i="16" s="1"/>
  <c r="AC2051" i="16" s="1"/>
  <c r="V2331" i="16"/>
  <c r="V2398" i="16"/>
  <c r="V2462" i="16"/>
  <c r="V2526" i="16"/>
  <c r="V2590" i="16"/>
  <c r="V1522" i="16"/>
  <c r="AB1522" i="16" s="1"/>
  <c r="AC1522" i="16" s="1"/>
  <c r="V2251" i="16"/>
  <c r="AB2251" i="16" s="1"/>
  <c r="AC2251" i="16" s="1"/>
  <c r="V2359" i="16"/>
  <c r="V2423" i="16"/>
  <c r="V2487" i="16"/>
  <c r="V2551" i="16"/>
  <c r="V2615" i="16"/>
  <c r="V2003" i="16"/>
  <c r="AB2003" i="16" s="1"/>
  <c r="AC2003" i="16" s="1"/>
  <c r="V2324" i="16"/>
  <c r="V2392" i="16"/>
  <c r="V2456" i="16"/>
  <c r="V2520" i="16"/>
  <c r="V2584" i="16"/>
  <c r="V1370" i="16"/>
  <c r="AB1370" i="16" s="1"/>
  <c r="AC1370" i="16" s="1"/>
  <c r="V2211" i="16"/>
  <c r="AB2211" i="16" s="1"/>
  <c r="AC2211" i="16" s="1"/>
  <c r="V2354" i="16"/>
  <c r="V2418" i="16"/>
  <c r="V2482" i="16"/>
  <c r="V2546" i="16"/>
  <c r="V2610" i="16"/>
  <c r="V1884" i="16"/>
  <c r="AB1884" i="16" s="1"/>
  <c r="AC1884" i="16" s="1"/>
  <c r="V2310" i="16"/>
  <c r="V2379" i="16"/>
  <c r="V2443" i="16"/>
  <c r="V2507" i="16"/>
  <c r="V2571" i="16"/>
  <c r="V1309" i="16"/>
  <c r="AB1309" i="16" s="1"/>
  <c r="AC1309" i="16" s="1"/>
  <c r="V1549" i="16"/>
  <c r="AB1549" i="16" s="1"/>
  <c r="AC1549" i="16" s="1"/>
  <c r="V1773" i="16"/>
  <c r="AB1773" i="16" s="1"/>
  <c r="AC1773" i="16" s="1"/>
  <c r="V664" i="16"/>
  <c r="AB664" i="16" s="1"/>
  <c r="AC664" i="16" s="1"/>
  <c r="V1153" i="16"/>
  <c r="AB1153" i="16" s="1"/>
  <c r="AC1153" i="16" s="1"/>
  <c r="V1086" i="16"/>
  <c r="AB1086" i="16" s="1"/>
  <c r="AC1086" i="16" s="1"/>
  <c r="V1377" i="16"/>
  <c r="AB1377" i="16" s="1"/>
  <c r="AC1377" i="16" s="1"/>
  <c r="V1623" i="16"/>
  <c r="AB1623" i="16" s="1"/>
  <c r="AC1623" i="16" s="1"/>
  <c r="V1006" i="16"/>
  <c r="AB1006" i="16" s="1"/>
  <c r="AC1006" i="16" s="1"/>
  <c r="V1328" i="16"/>
  <c r="AB1328" i="16" s="1"/>
  <c r="AC1328" i="16" s="1"/>
  <c r="V1582" i="16"/>
  <c r="AB1582" i="16" s="1"/>
  <c r="AC1582" i="16" s="1"/>
  <c r="V1143" i="16"/>
  <c r="AB1143" i="16" s="1"/>
  <c r="AC1143" i="16" s="1"/>
  <c r="V1418" i="16"/>
  <c r="AB1418" i="16" s="1"/>
  <c r="AC1418" i="16" s="1"/>
  <c r="V1657" i="16"/>
  <c r="AB1657" i="16" s="1"/>
  <c r="AC1657" i="16" s="1"/>
  <c r="V985" i="16"/>
  <c r="AB985" i="16" s="1"/>
  <c r="AC985" i="16" s="1"/>
  <c r="V1266" i="16"/>
  <c r="AB1266" i="16" s="1"/>
  <c r="AC1266" i="16" s="1"/>
  <c r="V1466" i="16"/>
  <c r="AB1466" i="16" s="1"/>
  <c r="AC1466" i="16" s="1"/>
  <c r="V1638" i="16"/>
  <c r="AB1638" i="16" s="1"/>
  <c r="AC1638" i="16" s="1"/>
  <c r="V266" i="16"/>
  <c r="AB266" i="16" s="1"/>
  <c r="AC266" i="16" s="1"/>
  <c r="V576" i="16"/>
  <c r="AB576" i="16" s="1"/>
  <c r="AC576" i="16" s="1"/>
  <c r="V840" i="16"/>
  <c r="AB840" i="16" s="1"/>
  <c r="AC840" i="16" s="1"/>
  <c r="V1216" i="16"/>
  <c r="AB1216" i="16" s="1"/>
  <c r="AC1216" i="16" s="1"/>
  <c r="V1426" i="16"/>
  <c r="AB1426" i="16" s="1"/>
  <c r="AC1426" i="16" s="1"/>
  <c r="V1600" i="16"/>
  <c r="AB1600" i="16" s="1"/>
  <c r="AC1600" i="16" s="1"/>
  <c r="V1770" i="16"/>
  <c r="AB1770" i="16" s="1"/>
  <c r="AC1770" i="16" s="1"/>
  <c r="V1503" i="16"/>
  <c r="AB1503" i="16" s="1"/>
  <c r="AC1503" i="16" s="1"/>
  <c r="V1834" i="16"/>
  <c r="AB1834" i="16" s="1"/>
  <c r="AC1834" i="16" s="1"/>
  <c r="V1990" i="16"/>
  <c r="AB1990" i="16" s="1"/>
  <c r="AC1990" i="16" s="1"/>
  <c r="V2118" i="16"/>
  <c r="AB2118" i="16" s="1"/>
  <c r="AC2118" i="16" s="1"/>
  <c r="V2246" i="16"/>
  <c r="AB2246" i="16" s="1"/>
  <c r="AC2246" i="16" s="1"/>
  <c r="V1423" i="16"/>
  <c r="AB1423" i="16" s="1"/>
  <c r="AC1423" i="16" s="1"/>
  <c r="V1804" i="16"/>
  <c r="AB1804" i="16" s="1"/>
  <c r="AC1804" i="16" s="1"/>
  <c r="V1967" i="16"/>
  <c r="AB1967" i="16" s="1"/>
  <c r="AC1967" i="16" s="1"/>
  <c r="V2095" i="16"/>
  <c r="AB2095" i="16" s="1"/>
  <c r="AC2095" i="16" s="1"/>
  <c r="V2223" i="16"/>
  <c r="AB2223" i="16" s="1"/>
  <c r="AC2223" i="16" s="1"/>
  <c r="V1359" i="16"/>
  <c r="AB1359" i="16" s="1"/>
  <c r="AC1359" i="16" s="1"/>
  <c r="V1745" i="16"/>
  <c r="AB1745" i="16" s="1"/>
  <c r="AC1745" i="16" s="1"/>
  <c r="V1848" i="16"/>
  <c r="AB1848" i="16" s="1"/>
  <c r="AC1848" i="16" s="1"/>
  <c r="V1932" i="16"/>
  <c r="AB1932" i="16" s="1"/>
  <c r="AC1932" i="16" s="1"/>
  <c r="V2000" i="16"/>
  <c r="AB2000" i="16" s="1"/>
  <c r="AC2000" i="16" s="1"/>
  <c r="V2064" i="16"/>
  <c r="AB2064" i="16" s="1"/>
  <c r="AC2064" i="16" s="1"/>
  <c r="V2128" i="16"/>
  <c r="AB2128" i="16" s="1"/>
  <c r="AC2128" i="16" s="1"/>
  <c r="V2192" i="16"/>
  <c r="AB2192" i="16" s="1"/>
  <c r="AC2192" i="16" s="1"/>
  <c r="V2256" i="16"/>
  <c r="AB2256" i="16" s="1"/>
  <c r="AC2256" i="16" s="1"/>
  <c r="V1215" i="16"/>
  <c r="AB1215" i="16" s="1"/>
  <c r="AC1215" i="16" s="1"/>
  <c r="V1489" i="16"/>
  <c r="AB1489" i="16" s="1"/>
  <c r="AC1489" i="16" s="1"/>
  <c r="V1705" i="16"/>
  <c r="AB1705" i="16" s="1"/>
  <c r="AC1705" i="16" s="1"/>
  <c r="V1828" i="16"/>
  <c r="AB1828" i="16" s="1"/>
  <c r="AC1828" i="16" s="1"/>
  <c r="V1913" i="16"/>
  <c r="AB1913" i="16" s="1"/>
  <c r="AC1913" i="16" s="1"/>
  <c r="V1985" i="16"/>
  <c r="AB1985" i="16" s="1"/>
  <c r="AC1985" i="16" s="1"/>
  <c r="V2049" i="16"/>
  <c r="AB2049" i="16" s="1"/>
  <c r="AC2049" i="16" s="1"/>
  <c r="V2113" i="16"/>
  <c r="AB2113" i="16" s="1"/>
  <c r="AC2113" i="16" s="1"/>
  <c r="V2177" i="16"/>
  <c r="AB2177" i="16" s="1"/>
  <c r="AC2177" i="16" s="1"/>
  <c r="V2241" i="16"/>
  <c r="AB2241" i="16" s="1"/>
  <c r="AC2241" i="16" s="1"/>
  <c r="V231" i="16"/>
  <c r="AB231" i="16" s="1"/>
  <c r="AC231" i="16" s="1"/>
  <c r="V1334" i="16"/>
  <c r="AB1334" i="16" s="1"/>
  <c r="AC1334" i="16" s="1"/>
  <c r="V1576" i="16"/>
  <c r="AB1576" i="16" s="1"/>
  <c r="AC1576" i="16" s="1"/>
  <c r="V1767" i="16"/>
  <c r="AB1767" i="16" s="1"/>
  <c r="AC1767" i="16" s="1"/>
  <c r="V1862" i="16"/>
  <c r="AB1862" i="16" s="1"/>
  <c r="AC1862" i="16" s="1"/>
  <c r="V1944" i="16"/>
  <c r="AB1944" i="16" s="1"/>
  <c r="AC1944" i="16" s="1"/>
  <c r="V2010" i="16"/>
  <c r="AB2010" i="16" s="1"/>
  <c r="AC2010" i="16" s="1"/>
  <c r="V2074" i="16"/>
  <c r="AB2074" i="16" s="1"/>
  <c r="AC2074" i="16" s="1"/>
  <c r="V2138" i="16"/>
  <c r="AB2138" i="16" s="1"/>
  <c r="AC2138" i="16" s="1"/>
  <c r="V2202" i="16"/>
  <c r="AB2202" i="16" s="1"/>
  <c r="AC2202" i="16" s="1"/>
  <c r="V2266" i="16"/>
  <c r="AB2266" i="16" s="1"/>
  <c r="AC2266" i="16" s="1"/>
  <c r="V1271" i="16"/>
  <c r="AB1271" i="16" s="1"/>
  <c r="AC1271" i="16" s="1"/>
  <c r="V1524" i="16"/>
  <c r="AB1524" i="16" s="1"/>
  <c r="AC1524" i="16" s="1"/>
  <c r="V1736" i="16"/>
  <c r="AB1736" i="16" s="1"/>
  <c r="AC1736" i="16" s="1"/>
  <c r="V1842" i="16"/>
  <c r="AB1842" i="16" s="1"/>
  <c r="AC1842" i="16" s="1"/>
  <c r="V1928" i="16"/>
  <c r="AB1928" i="16" s="1"/>
  <c r="AC1928" i="16" s="1"/>
  <c r="V1996" i="16"/>
  <c r="AB1996" i="16" s="1"/>
  <c r="AC1996" i="16" s="1"/>
  <c r="V2060" i="16"/>
  <c r="AB2060" i="16" s="1"/>
  <c r="AC2060" i="16" s="1"/>
  <c r="V2124" i="16"/>
  <c r="AB2124" i="16" s="1"/>
  <c r="AC2124" i="16" s="1"/>
  <c r="V2188" i="16"/>
  <c r="AB2188" i="16" s="1"/>
  <c r="AC2188" i="16" s="1"/>
  <c r="V2252" i="16"/>
  <c r="AB2252" i="16" s="1"/>
  <c r="AC2252" i="16" s="1"/>
  <c r="V1151" i="16"/>
  <c r="AB1151" i="16" s="1"/>
  <c r="AC1151" i="16" s="1"/>
  <c r="V1447" i="16"/>
  <c r="AB1447" i="16" s="1"/>
  <c r="AC1447" i="16" s="1"/>
  <c r="V1672" i="16"/>
  <c r="AB1672" i="16" s="1"/>
  <c r="AC1672" i="16" s="1"/>
  <c r="V1812" i="16"/>
  <c r="AB1812" i="16" s="1"/>
  <c r="AC1812" i="16" s="1"/>
  <c r="V1897" i="16"/>
  <c r="AB1897" i="16" s="1"/>
  <c r="AC1897" i="16" s="1"/>
  <c r="V1973" i="16"/>
  <c r="AB1973" i="16" s="1"/>
  <c r="AC1973" i="16" s="1"/>
  <c r="V2037" i="16"/>
  <c r="AB2037" i="16" s="1"/>
  <c r="AC2037" i="16" s="1"/>
  <c r="V2101" i="16"/>
  <c r="AB2101" i="16" s="1"/>
  <c r="AC2101" i="16" s="1"/>
  <c r="V2165" i="16"/>
  <c r="AB2165" i="16" s="1"/>
  <c r="AC2165" i="16" s="1"/>
  <c r="V2229" i="16"/>
  <c r="AB2229" i="16" s="1"/>
  <c r="AC2229" i="16" s="1"/>
  <c r="V2293" i="16"/>
  <c r="AB2293" i="16" s="1"/>
  <c r="AC2293" i="16" s="1"/>
  <c r="V1135" i="16"/>
  <c r="AB1135" i="16" s="1"/>
  <c r="AC1135" i="16" s="1"/>
  <c r="V2163" i="16"/>
  <c r="AB2163" i="16" s="1"/>
  <c r="AC2163" i="16" s="1"/>
  <c r="V2347" i="16"/>
  <c r="V2412" i="16"/>
  <c r="V2476" i="16"/>
  <c r="V2540" i="16"/>
  <c r="V2604" i="16"/>
  <c r="V1820" i="16"/>
  <c r="AB1820" i="16" s="1"/>
  <c r="AC1820" i="16" s="1"/>
  <c r="V2303" i="16"/>
  <c r="AB2303" i="16" s="1"/>
  <c r="AC2303" i="16" s="1"/>
  <c r="V2373" i="16"/>
  <c r="V2437" i="16"/>
  <c r="V2501" i="16"/>
  <c r="V2565" i="16"/>
  <c r="V2629" i="16"/>
  <c r="V2115" i="16"/>
  <c r="AB2115" i="16" s="1"/>
  <c r="AC2115" i="16" s="1"/>
  <c r="V2340" i="16"/>
  <c r="V2406" i="16"/>
  <c r="V2470" i="16"/>
  <c r="V2534" i="16"/>
  <c r="V2598" i="16"/>
  <c r="V1735" i="16"/>
  <c r="AB1735" i="16" s="1"/>
  <c r="AC1735" i="16" s="1"/>
  <c r="V2295" i="16"/>
  <c r="AB2295" i="16" s="1"/>
  <c r="AC2295" i="16" s="1"/>
  <c r="V2367" i="16"/>
  <c r="V2431" i="16"/>
  <c r="V2495" i="16"/>
  <c r="V2559" i="16"/>
  <c r="V2623" i="16"/>
  <c r="V2067" i="16"/>
  <c r="AB2067" i="16" s="1"/>
  <c r="AC2067" i="16" s="1"/>
  <c r="V2334" i="16"/>
  <c r="V2400" i="16"/>
  <c r="V2464" i="16"/>
  <c r="V2528" i="16"/>
  <c r="V2592" i="16"/>
  <c r="V1608" i="16"/>
  <c r="AB1608" i="16" s="1"/>
  <c r="AC1608" i="16" s="1"/>
  <c r="V2275" i="16"/>
  <c r="AB2275" i="16" s="1"/>
  <c r="AC2275" i="16" s="1"/>
  <c r="V2362" i="16"/>
  <c r="V2426" i="16"/>
  <c r="V2490" i="16"/>
  <c r="V2554" i="16"/>
  <c r="V2618" i="16"/>
  <c r="V1963" i="16"/>
  <c r="AB1963" i="16" s="1"/>
  <c r="AC1963" i="16" s="1"/>
  <c r="V2319" i="16"/>
  <c r="V2387" i="16"/>
  <c r="V2451" i="16"/>
  <c r="V2515" i="16"/>
  <c r="V2579" i="16"/>
  <c r="V1198" i="16"/>
  <c r="AB1198" i="16" s="1"/>
  <c r="AC1198" i="16" s="1"/>
  <c r="V1695" i="16"/>
  <c r="AB1695" i="16" s="1"/>
  <c r="AC1695" i="16" s="1"/>
  <c r="V1908" i="16"/>
  <c r="AB1908" i="16" s="1"/>
  <c r="AC1908" i="16" s="1"/>
  <c r="V2045" i="16"/>
  <c r="AB2045" i="16" s="1"/>
  <c r="AC2045" i="16" s="1"/>
  <c r="V2173" i="16"/>
  <c r="AB2173" i="16" s="1"/>
  <c r="AC2173" i="16" s="1"/>
  <c r="V2269" i="16"/>
  <c r="AB2269" i="16" s="1"/>
  <c r="AC2269" i="16" s="1"/>
  <c r="V1438" i="16"/>
  <c r="AB1438" i="16" s="1"/>
  <c r="AC1438" i="16" s="1"/>
  <c r="V2302" i="16"/>
  <c r="AB2302" i="16" s="1"/>
  <c r="AC2302" i="16" s="1"/>
  <c r="V2388" i="16"/>
  <c r="V2484" i="16"/>
  <c r="V2564" i="16"/>
  <c r="V1183" i="16"/>
  <c r="AB1183" i="16" s="1"/>
  <c r="AC1183" i="16" s="1"/>
  <c r="V2312" i="16"/>
  <c r="V2397" i="16"/>
  <c r="V2477" i="16"/>
  <c r="V2573" i="16"/>
  <c r="V1713" i="16"/>
  <c r="AB1713" i="16" s="1"/>
  <c r="AC1713" i="16" s="1"/>
  <c r="V2313" i="16"/>
  <c r="V2414" i="16"/>
  <c r="V2494" i="16"/>
  <c r="V2574" i="16"/>
  <c r="V1841" i="16"/>
  <c r="AB1841" i="16" s="1"/>
  <c r="AC1841" i="16" s="1"/>
  <c r="V2323" i="16"/>
  <c r="V2407" i="16"/>
  <c r="V2503" i="16"/>
  <c r="V2583" i="16"/>
  <c r="V1852" i="16"/>
  <c r="AB1852" i="16" s="1"/>
  <c r="AC1852" i="16" s="1"/>
  <c r="V2343" i="16"/>
  <c r="V2424" i="16"/>
  <c r="V2504" i="16"/>
  <c r="V2600" i="16"/>
  <c r="V1954" i="16"/>
  <c r="AB1954" i="16" s="1"/>
  <c r="AC1954" i="16" s="1"/>
  <c r="V2336" i="16"/>
  <c r="V2434" i="16"/>
  <c r="V2514" i="16"/>
  <c r="V2594" i="16"/>
  <c r="V2027" i="16"/>
  <c r="AB2027" i="16" s="1"/>
  <c r="AC2027" i="16" s="1"/>
  <c r="V2346" i="16"/>
  <c r="V2427" i="16"/>
  <c r="V2523" i="16"/>
  <c r="V2603" i="16"/>
  <c r="V2441" i="16"/>
  <c r="V2513" i="16"/>
  <c r="V2585" i="16"/>
  <c r="V2344" i="16"/>
  <c r="V2298" i="16"/>
  <c r="AB2298" i="16" s="1"/>
  <c r="AC2298" i="16" s="1"/>
  <c r="V2553" i="16"/>
  <c r="V2425" i="16"/>
  <c r="R271" i="16"/>
  <c r="P271" i="16" s="1"/>
  <c r="Q273" i="16"/>
  <c r="S273" i="16" s="1"/>
  <c r="Q158" i="16"/>
  <c r="S158" i="16" s="1"/>
  <c r="R560" i="16"/>
  <c r="P560" i="16" s="1"/>
  <c r="Q752" i="16"/>
  <c r="S752" i="16" s="1"/>
  <c r="R513" i="16"/>
  <c r="P513" i="16" s="1"/>
  <c r="Q185" i="16"/>
  <c r="S185" i="16" s="1"/>
  <c r="R1363" i="16"/>
  <c r="P1363" i="16" s="1"/>
  <c r="Q1555" i="16"/>
  <c r="S1555" i="16" s="1"/>
  <c r="Q2067" i="16"/>
  <c r="S2067" i="16" s="1"/>
  <c r="Q1429" i="16"/>
  <c r="S1429" i="16" s="1"/>
  <c r="Q245" i="16"/>
  <c r="S245" i="16" s="1"/>
  <c r="Q605" i="16"/>
  <c r="S605" i="16" s="1"/>
  <c r="R1166" i="16"/>
  <c r="P1166" i="16" s="1"/>
  <c r="R1678" i="16"/>
  <c r="P1678" i="16" s="1"/>
  <c r="Q1870" i="16"/>
  <c r="S1870" i="16" s="1"/>
  <c r="R66" i="16"/>
  <c r="P66" i="16" s="1"/>
  <c r="Q515" i="16"/>
  <c r="S515" i="16" s="1"/>
  <c r="Q758" i="16"/>
  <c r="S758" i="16" s="1"/>
  <c r="Q1295" i="16"/>
  <c r="S1295" i="16" s="1"/>
  <c r="R1615" i="16"/>
  <c r="P1615" i="16" s="1"/>
  <c r="Q492" i="16"/>
  <c r="S492" i="16" s="1"/>
  <c r="Q961" i="16"/>
  <c r="S961" i="16" s="1"/>
  <c r="Q2244" i="16"/>
  <c r="S2244" i="16" s="1"/>
  <c r="Q1604" i="16"/>
  <c r="S1604" i="16" s="1"/>
  <c r="R228" i="16"/>
  <c r="P228" i="16" s="1"/>
  <c r="R823" i="16"/>
  <c r="P823" i="16" s="1"/>
  <c r="V1272" i="16"/>
  <c r="AB1272" i="16" s="1"/>
  <c r="AC1272" i="16" s="1"/>
  <c r="V1737" i="16"/>
  <c r="AB1737" i="16" s="1"/>
  <c r="AC1737" i="16" s="1"/>
  <c r="V1929" i="16"/>
  <c r="AB1929" i="16" s="1"/>
  <c r="AC1929" i="16" s="1"/>
  <c r="V2061" i="16"/>
  <c r="AB2061" i="16" s="1"/>
  <c r="AC2061" i="16" s="1"/>
  <c r="V2189" i="16"/>
  <c r="AB2189" i="16" s="1"/>
  <c r="AC2189" i="16" s="1"/>
  <c r="V2277" i="16"/>
  <c r="AB2277" i="16" s="1"/>
  <c r="AC2277" i="16" s="1"/>
  <c r="V1663" i="16"/>
  <c r="AB1663" i="16" s="1"/>
  <c r="AC1663" i="16" s="1"/>
  <c r="V2311" i="16"/>
  <c r="V2396" i="16"/>
  <c r="V2492" i="16"/>
  <c r="V2572" i="16"/>
  <c r="V1468" i="16"/>
  <c r="AB1468" i="16" s="1"/>
  <c r="AC1468" i="16" s="1"/>
  <c r="V2321" i="16"/>
  <c r="V2405" i="16"/>
  <c r="V2485" i="16"/>
  <c r="V2581" i="16"/>
  <c r="V1831" i="16"/>
  <c r="AB1831" i="16" s="1"/>
  <c r="AC1831" i="16" s="1"/>
  <c r="V2322" i="16"/>
  <c r="V2422" i="16"/>
  <c r="V2502" i="16"/>
  <c r="V2582" i="16"/>
  <c r="V1927" i="16"/>
  <c r="AB1927" i="16" s="1"/>
  <c r="AC1927" i="16" s="1"/>
  <c r="V2332" i="16"/>
  <c r="V2415" i="16"/>
  <c r="V2511" i="16"/>
  <c r="V2591" i="16"/>
  <c r="V1936" i="16"/>
  <c r="AB1936" i="16" s="1"/>
  <c r="AC1936" i="16" s="1"/>
  <c r="V2352" i="16"/>
  <c r="V2432" i="16"/>
  <c r="V2512" i="16"/>
  <c r="V2608" i="16"/>
  <c r="V2019" i="16"/>
  <c r="AB2019" i="16" s="1"/>
  <c r="AC2019" i="16" s="1"/>
  <c r="V2345" i="16"/>
  <c r="V2442" i="16"/>
  <c r="V2522" i="16"/>
  <c r="V2602" i="16"/>
  <c r="V2091" i="16"/>
  <c r="AB2091" i="16" s="1"/>
  <c r="AC2091" i="16" s="1"/>
  <c r="V2355" i="16"/>
  <c r="V2435" i="16"/>
  <c r="V2531" i="16"/>
  <c r="V2611" i="16"/>
  <c r="V2505" i="16"/>
  <c r="V2577" i="16"/>
  <c r="V2075" i="16"/>
  <c r="AB2075" i="16" s="1"/>
  <c r="AC2075" i="16" s="1"/>
  <c r="V2409" i="16"/>
  <c r="V2489" i="16"/>
  <c r="V2203" i="16"/>
  <c r="AB2203" i="16" s="1"/>
  <c r="AC2203" i="16" s="1"/>
  <c r="V1768" i="16"/>
  <c r="AB1768" i="16" s="1"/>
  <c r="AC1768" i="16" s="1"/>
  <c r="R273" i="16"/>
  <c r="P273" i="16" s="1"/>
  <c r="R158" i="16"/>
  <c r="P158" i="16" s="1"/>
  <c r="Q414" i="16"/>
  <c r="S414" i="16" s="1"/>
  <c r="R752" i="16"/>
  <c r="P752" i="16" s="1"/>
  <c r="Q321" i="16"/>
  <c r="S321" i="16" s="1"/>
  <c r="R185" i="16"/>
  <c r="P185" i="16" s="1"/>
  <c r="R1555" i="16"/>
  <c r="P1555" i="16" s="1"/>
  <c r="R2067" i="16"/>
  <c r="P2067" i="16" s="1"/>
  <c r="Q82" i="16"/>
  <c r="S82" i="16" s="1"/>
  <c r="R1429" i="16"/>
  <c r="P1429" i="16" s="1"/>
  <c r="R245" i="16"/>
  <c r="P245" i="16" s="1"/>
  <c r="R605" i="16"/>
  <c r="P605" i="16" s="1"/>
  <c r="Q1038" i="16"/>
  <c r="S1038" i="16" s="1"/>
  <c r="Q1550" i="16"/>
  <c r="S1550" i="16" s="1"/>
  <c r="R1870" i="16"/>
  <c r="P1870" i="16" s="1"/>
  <c r="R515" i="16"/>
  <c r="P515" i="16" s="1"/>
  <c r="R758" i="16"/>
  <c r="P758" i="16" s="1"/>
  <c r="R1295" i="16"/>
  <c r="P1295" i="16" s="1"/>
  <c r="Q1487" i="16"/>
  <c r="S1487" i="16" s="1"/>
  <c r="R492" i="16"/>
  <c r="P492" i="16" s="1"/>
  <c r="R961" i="16"/>
  <c r="P961" i="16" s="1"/>
  <c r="R2244" i="16"/>
  <c r="P2244" i="16" s="1"/>
  <c r="R1604" i="16"/>
  <c r="P1604" i="16" s="1"/>
  <c r="V1310" i="16"/>
  <c r="AB1310" i="16" s="1"/>
  <c r="AC1310" i="16" s="1"/>
  <c r="V1756" i="16"/>
  <c r="AB1756" i="16" s="1"/>
  <c r="AC1756" i="16" s="1"/>
  <c r="V1938" i="16"/>
  <c r="AB1938" i="16" s="1"/>
  <c r="AC1938" i="16" s="1"/>
  <c r="V2069" i="16"/>
  <c r="AB2069" i="16" s="1"/>
  <c r="AC2069" i="16" s="1"/>
  <c r="V2197" i="16"/>
  <c r="AB2197" i="16" s="1"/>
  <c r="AC2197" i="16" s="1"/>
  <c r="V2301" i="16"/>
  <c r="AB2301" i="16" s="1"/>
  <c r="AC2301" i="16" s="1"/>
  <c r="V1809" i="16"/>
  <c r="AB1809" i="16" s="1"/>
  <c r="AC1809" i="16" s="1"/>
  <c r="V2320" i="16"/>
  <c r="V2420" i="16"/>
  <c r="V2500" i="16"/>
  <c r="V2580" i="16"/>
  <c r="V1905" i="16"/>
  <c r="AB1905" i="16" s="1"/>
  <c r="AC1905" i="16" s="1"/>
  <c r="V2330" i="16"/>
  <c r="V2413" i="16"/>
  <c r="V2509" i="16"/>
  <c r="V2589" i="16"/>
  <c r="V1916" i="16"/>
  <c r="AB1916" i="16" s="1"/>
  <c r="AC1916" i="16" s="1"/>
  <c r="V2350" i="16"/>
  <c r="V2430" i="16"/>
  <c r="V2510" i="16"/>
  <c r="V2606" i="16"/>
  <c r="V1995" i="16"/>
  <c r="AB1995" i="16" s="1"/>
  <c r="AC1995" i="16" s="1"/>
  <c r="V2342" i="16"/>
  <c r="V2439" i="16"/>
  <c r="V2519" i="16"/>
  <c r="V2599" i="16"/>
  <c r="V2131" i="16"/>
  <c r="AB2131" i="16" s="1"/>
  <c r="AC2131" i="16" s="1"/>
  <c r="V2360" i="16"/>
  <c r="V2440" i="16"/>
  <c r="V2536" i="16"/>
  <c r="V2616" i="16"/>
  <c r="V2083" i="16"/>
  <c r="AB2083" i="16" s="1"/>
  <c r="AC2083" i="16" s="1"/>
  <c r="V2370" i="16"/>
  <c r="V2450" i="16"/>
  <c r="V2530" i="16"/>
  <c r="V2626" i="16"/>
  <c r="V2155" i="16"/>
  <c r="AB2155" i="16" s="1"/>
  <c r="AC2155" i="16" s="1"/>
  <c r="V2363" i="16"/>
  <c r="V2459" i="16"/>
  <c r="V2539" i="16"/>
  <c r="V2619" i="16"/>
  <c r="V2569" i="16"/>
  <c r="V2637" i="16"/>
  <c r="V2335" i="16"/>
  <c r="V2473" i="16"/>
  <c r="V2353" i="16"/>
  <c r="V2433" i="16"/>
  <c r="Q352" i="16"/>
  <c r="S352" i="16" s="1"/>
  <c r="R414" i="16"/>
  <c r="P414" i="16" s="1"/>
  <c r="R321" i="16"/>
  <c r="P321" i="16" s="1"/>
  <c r="Q238" i="16"/>
  <c r="S238" i="16" s="1"/>
  <c r="Q690" i="16"/>
  <c r="S690" i="16" s="1"/>
  <c r="Q1427" i="16"/>
  <c r="S1427" i="16" s="1"/>
  <c r="Q1939" i="16"/>
  <c r="S1939" i="16" s="1"/>
  <c r="R82" i="16"/>
  <c r="P82" i="16" s="1"/>
  <c r="Q765" i="16"/>
  <c r="S765" i="16" s="1"/>
  <c r="Q1493" i="16"/>
  <c r="S1493" i="16" s="1"/>
  <c r="R1038" i="16"/>
  <c r="P1038" i="16" s="1"/>
  <c r="R1550" i="16"/>
  <c r="P1550" i="16" s="1"/>
  <c r="Q1742" i="16"/>
  <c r="S1742" i="16" s="1"/>
  <c r="Q246" i="16"/>
  <c r="S246" i="16" s="1"/>
  <c r="Q1167" i="16"/>
  <c r="S1167" i="16" s="1"/>
  <c r="R1487" i="16"/>
  <c r="P1487" i="16" s="1"/>
  <c r="Q2191" i="16"/>
  <c r="S2191" i="16" s="1"/>
  <c r="Q1729" i="16"/>
  <c r="S1729" i="16" s="1"/>
  <c r="Q1348" i="16"/>
  <c r="S1348" i="16" s="1"/>
  <c r="Q2246" i="16"/>
  <c r="S2246" i="16" s="1"/>
  <c r="V1345" i="16"/>
  <c r="AB1345" i="16" s="1"/>
  <c r="AC1345" i="16" s="1"/>
  <c r="V1774" i="16"/>
  <c r="AB1774" i="16" s="1"/>
  <c r="AC1774" i="16" s="1"/>
  <c r="V1947" i="16"/>
  <c r="AB1947" i="16" s="1"/>
  <c r="AC1947" i="16" s="1"/>
  <c r="V2077" i="16"/>
  <c r="AB2077" i="16" s="1"/>
  <c r="AC2077" i="16" s="1"/>
  <c r="V2205" i="16"/>
  <c r="AB2205" i="16" s="1"/>
  <c r="AC2205" i="16" s="1"/>
  <c r="V2309" i="16"/>
  <c r="V1895" i="16"/>
  <c r="AB1895" i="16" s="1"/>
  <c r="AC1895" i="16" s="1"/>
  <c r="V2329" i="16"/>
  <c r="V2428" i="16"/>
  <c r="V2508" i="16"/>
  <c r="V2588" i="16"/>
  <c r="V1979" i="16"/>
  <c r="AB1979" i="16" s="1"/>
  <c r="AC1979" i="16" s="1"/>
  <c r="V2339" i="16"/>
  <c r="V2421" i="16"/>
  <c r="V2517" i="16"/>
  <c r="V2597" i="16"/>
  <c r="V1987" i="16"/>
  <c r="AB1987" i="16" s="1"/>
  <c r="AC1987" i="16" s="1"/>
  <c r="V2358" i="16"/>
  <c r="V2438" i="16"/>
  <c r="V2518" i="16"/>
  <c r="V2614" i="16"/>
  <c r="V2059" i="16"/>
  <c r="AB2059" i="16" s="1"/>
  <c r="AC2059" i="16" s="1"/>
  <c r="V2351" i="16"/>
  <c r="V2447" i="16"/>
  <c r="V2527" i="16"/>
  <c r="V2607" i="16"/>
  <c r="V2195" i="16"/>
  <c r="AB2195" i="16" s="1"/>
  <c r="AC2195" i="16" s="1"/>
  <c r="V2368" i="16"/>
  <c r="V2448" i="16"/>
  <c r="V2544" i="16"/>
  <c r="V2624" i="16"/>
  <c r="V2147" i="16"/>
  <c r="AB2147" i="16" s="1"/>
  <c r="AC2147" i="16" s="1"/>
  <c r="V2378" i="16"/>
  <c r="V2458" i="16"/>
  <c r="V2538" i="16"/>
  <c r="V2634" i="16"/>
  <c r="V2219" i="16"/>
  <c r="AB2219" i="16" s="1"/>
  <c r="AC2219" i="16" s="1"/>
  <c r="V2371" i="16"/>
  <c r="V2467" i="16"/>
  <c r="V2547" i="16"/>
  <c r="V2627" i="16"/>
  <c r="V2633" i="16"/>
  <c r="V2011" i="16"/>
  <c r="AB2011" i="16" s="1"/>
  <c r="AC2011" i="16" s="1"/>
  <c r="V2401" i="16"/>
  <c r="V2537" i="16"/>
  <c r="V2497" i="16"/>
  <c r="V2617" i="16"/>
  <c r="Q32" i="16"/>
  <c r="S32" i="16" s="1"/>
  <c r="R352" i="16"/>
  <c r="P352" i="16" s="1"/>
  <c r="Q244" i="16"/>
  <c r="S244" i="16" s="1"/>
  <c r="R238" i="16"/>
  <c r="P238" i="16" s="1"/>
  <c r="Q76" i="16"/>
  <c r="S76" i="16" s="1"/>
  <c r="R690" i="16"/>
  <c r="P690" i="16" s="1"/>
  <c r="R1427" i="16"/>
  <c r="P1427" i="16" s="1"/>
  <c r="R1939" i="16"/>
  <c r="P1939" i="16" s="1"/>
  <c r="Q2131" i="16"/>
  <c r="S2131" i="16" s="1"/>
  <c r="R765" i="16"/>
  <c r="P765" i="16" s="1"/>
  <c r="R1493" i="16"/>
  <c r="P1493" i="16" s="1"/>
  <c r="Q395" i="16"/>
  <c r="S395" i="16" s="1"/>
  <c r="Q684" i="16"/>
  <c r="S684" i="16" s="1"/>
  <c r="R1742" i="16"/>
  <c r="P1742" i="16" s="1"/>
  <c r="R246" i="16"/>
  <c r="P246" i="16" s="1"/>
  <c r="Q831" i="16"/>
  <c r="S831" i="16" s="1"/>
  <c r="R1167" i="16"/>
  <c r="P1167" i="16" s="1"/>
  <c r="Q1359" i="16"/>
  <c r="S1359" i="16" s="1"/>
  <c r="R2191" i="16"/>
  <c r="P2191" i="16" s="1"/>
  <c r="R1729" i="16"/>
  <c r="P1729" i="16" s="1"/>
  <c r="R1348" i="16"/>
  <c r="P1348" i="16" s="1"/>
  <c r="Q1732" i="16"/>
  <c r="S1732" i="16" s="1"/>
  <c r="R2246" i="16"/>
  <c r="P2246" i="16" s="1"/>
  <c r="R578" i="16"/>
  <c r="P578" i="16" s="1"/>
  <c r="Q1034" i="16"/>
  <c r="S1034" i="16" s="1"/>
  <c r="Q1746" i="16"/>
  <c r="S1746" i="16" s="1"/>
  <c r="Q2177" i="16"/>
  <c r="S2177" i="16" s="1"/>
  <c r="Q773" i="16"/>
  <c r="S773" i="16" s="1"/>
  <c r="R1978" i="16"/>
  <c r="P1978" i="16" s="1"/>
  <c r="Q1258" i="16"/>
  <c r="S1258" i="16" s="1"/>
  <c r="Q1850" i="16"/>
  <c r="S1850" i="16" s="1"/>
  <c r="Q40" i="16"/>
  <c r="S40" i="16" s="1"/>
  <c r="R360" i="16"/>
  <c r="P360" i="16" s="1"/>
  <c r="Q113" i="16"/>
  <c r="S113" i="16" s="1"/>
  <c r="Q369" i="16"/>
  <c r="S369" i="16" s="1"/>
  <c r="R595" i="16"/>
  <c r="P595" i="16" s="1"/>
  <c r="Q543" i="16"/>
  <c r="S543" i="16" s="1"/>
  <c r="Q100" i="16"/>
  <c r="S100" i="16" s="1"/>
  <c r="V1471" i="16"/>
  <c r="AB1471" i="16" s="1"/>
  <c r="AC1471" i="16" s="1"/>
  <c r="V1823" i="16"/>
  <c r="AB1823" i="16" s="1"/>
  <c r="AC1823" i="16" s="1"/>
  <c r="V1981" i="16"/>
  <c r="AB1981" i="16" s="1"/>
  <c r="AC1981" i="16" s="1"/>
  <c r="V2109" i="16"/>
  <c r="AB2109" i="16" s="1"/>
  <c r="AC2109" i="16" s="1"/>
  <c r="V2237" i="16"/>
  <c r="AB2237" i="16" s="1"/>
  <c r="AC2237" i="16" s="1"/>
  <c r="V2317" i="16"/>
  <c r="V1971" i="16"/>
  <c r="AB1971" i="16" s="1"/>
  <c r="AC1971" i="16" s="1"/>
  <c r="V2356" i="16"/>
  <c r="V2436" i="16"/>
  <c r="V2516" i="16"/>
  <c r="V2612" i="16"/>
  <c r="V2043" i="16"/>
  <c r="AB2043" i="16" s="1"/>
  <c r="AC2043" i="16" s="1"/>
  <c r="V2348" i="16"/>
  <c r="V2445" i="16"/>
  <c r="V2525" i="16"/>
  <c r="V2605" i="16"/>
  <c r="V2179" i="16"/>
  <c r="AB2179" i="16" s="1"/>
  <c r="AC2179" i="16" s="1"/>
  <c r="V2366" i="16"/>
  <c r="V2446" i="16"/>
  <c r="V2542" i="16"/>
  <c r="V2622" i="16"/>
  <c r="V2123" i="16"/>
  <c r="AB2123" i="16" s="1"/>
  <c r="AC2123" i="16" s="1"/>
  <c r="V2375" i="16"/>
  <c r="V2455" i="16"/>
  <c r="V2535" i="16"/>
  <c r="V2631" i="16"/>
  <c r="V2259" i="16"/>
  <c r="AB2259" i="16" s="1"/>
  <c r="AC2259" i="16" s="1"/>
  <c r="V2376" i="16"/>
  <c r="V2472" i="16"/>
  <c r="V2552" i="16"/>
  <c r="V2632" i="16"/>
  <c r="V2299" i="16"/>
  <c r="AB2299" i="16" s="1"/>
  <c r="AC2299" i="16" s="1"/>
  <c r="V2386" i="16"/>
  <c r="V2466" i="16"/>
  <c r="V2562" i="16"/>
  <c r="V1060" i="16"/>
  <c r="AB1060" i="16" s="1"/>
  <c r="AC1060" i="16" s="1"/>
  <c r="V2283" i="16"/>
  <c r="AB2283" i="16" s="1"/>
  <c r="AC2283" i="16" s="1"/>
  <c r="V2395" i="16"/>
  <c r="V2475" i="16"/>
  <c r="V2555" i="16"/>
  <c r="V2635" i="16"/>
  <c r="V1945" i="16"/>
  <c r="AB1945" i="16" s="1"/>
  <c r="AC1945" i="16" s="1"/>
  <c r="V2326" i="16"/>
  <c r="V2465" i="16"/>
  <c r="V2601" i="16"/>
  <c r="V2361" i="16"/>
  <c r="V2561" i="16"/>
  <c r="Q207" i="16"/>
  <c r="S207" i="16" s="1"/>
  <c r="R32" i="16"/>
  <c r="P32" i="16" s="1"/>
  <c r="R244" i="16"/>
  <c r="P244" i="16" s="1"/>
  <c r="Q496" i="16"/>
  <c r="S496" i="16" s="1"/>
  <c r="Q92" i="16"/>
  <c r="S92" i="16" s="1"/>
  <c r="Q425" i="16"/>
  <c r="S425" i="16" s="1"/>
  <c r="R76" i="16"/>
  <c r="P76" i="16" s="1"/>
  <c r="Q521" i="16"/>
  <c r="S521" i="16" s="1"/>
  <c r="R2131" i="16"/>
  <c r="P2131" i="16" s="1"/>
  <c r="Q260" i="16"/>
  <c r="S260" i="16" s="1"/>
  <c r="Q1045" i="16"/>
  <c r="S1045" i="16" s="1"/>
  <c r="R395" i="16"/>
  <c r="P395" i="16" s="1"/>
  <c r="R684" i="16"/>
  <c r="P684" i="16" s="1"/>
  <c r="Q1102" i="16"/>
  <c r="S1102" i="16" s="1"/>
  <c r="R831" i="16"/>
  <c r="P831" i="16" s="1"/>
  <c r="R1359" i="16"/>
  <c r="P1359" i="16" s="1"/>
  <c r="Q2063" i="16"/>
  <c r="S2063" i="16" s="1"/>
  <c r="Q1473" i="16"/>
  <c r="S1473" i="16" s="1"/>
  <c r="Q1092" i="16"/>
  <c r="S1092" i="16" s="1"/>
  <c r="R1732" i="16"/>
  <c r="P1732" i="16" s="1"/>
  <c r="Q2065" i="16"/>
  <c r="S2065" i="16" s="1"/>
  <c r="V1532" i="16"/>
  <c r="AB1532" i="16" s="1"/>
  <c r="AC1532" i="16" s="1"/>
  <c r="V1844" i="16"/>
  <c r="AB1844" i="16" s="1"/>
  <c r="AC1844" i="16" s="1"/>
  <c r="V1997" i="16"/>
  <c r="AB1997" i="16" s="1"/>
  <c r="AC1997" i="16" s="1"/>
  <c r="V2125" i="16"/>
  <c r="AB2125" i="16" s="1"/>
  <c r="AC2125" i="16" s="1"/>
  <c r="V2245" i="16"/>
  <c r="AB2245" i="16" s="1"/>
  <c r="AC2245" i="16" s="1"/>
  <c r="V2325" i="16"/>
  <c r="V2035" i="16"/>
  <c r="AB2035" i="16" s="1"/>
  <c r="AC2035" i="16" s="1"/>
  <c r="V2364" i="16"/>
  <c r="V2444" i="16"/>
  <c r="V2524" i="16"/>
  <c r="V2620" i="16"/>
  <c r="V2107" i="16"/>
  <c r="AB2107" i="16" s="1"/>
  <c r="AC2107" i="16" s="1"/>
  <c r="V2357" i="16"/>
  <c r="V2453" i="16"/>
  <c r="V2533" i="16"/>
  <c r="V2613" i="16"/>
  <c r="V2243" i="16"/>
  <c r="AB2243" i="16" s="1"/>
  <c r="AC2243" i="16" s="1"/>
  <c r="V2374" i="16"/>
  <c r="V2454" i="16"/>
  <c r="V2550" i="16"/>
  <c r="V2630" i="16"/>
  <c r="V2187" i="16"/>
  <c r="AB2187" i="16" s="1"/>
  <c r="AC2187" i="16" s="1"/>
  <c r="V2383" i="16"/>
  <c r="V2463" i="16"/>
  <c r="V2543" i="16"/>
  <c r="V1297" i="16"/>
  <c r="AB1297" i="16" s="1"/>
  <c r="AC1297" i="16" s="1"/>
  <c r="V2296" i="16"/>
  <c r="AB2296" i="16" s="1"/>
  <c r="AC2296" i="16" s="1"/>
  <c r="V2384" i="16"/>
  <c r="V2480" i="16"/>
  <c r="V2560" i="16"/>
  <c r="V897" i="16"/>
  <c r="AB897" i="16" s="1"/>
  <c r="AC897" i="16" s="1"/>
  <c r="V2308" i="16"/>
  <c r="V2394" i="16"/>
  <c r="V2474" i="16"/>
  <c r="V2570" i="16"/>
  <c r="V1400" i="16"/>
  <c r="AB1400" i="16" s="1"/>
  <c r="AC1400" i="16" s="1"/>
  <c r="V2300" i="16"/>
  <c r="AB2300" i="16" s="1"/>
  <c r="AC2300" i="16" s="1"/>
  <c r="V2403" i="16"/>
  <c r="V2483" i="16"/>
  <c r="V2563" i="16"/>
  <c r="V1863" i="16"/>
  <c r="AB1863" i="16" s="1"/>
  <c r="AC1863" i="16" s="1"/>
  <c r="V2316" i="16"/>
  <c r="V2393" i="16"/>
  <c r="V2529" i="16"/>
  <c r="V2267" i="16"/>
  <c r="AB2267" i="16" s="1"/>
  <c r="AC2267" i="16" s="1"/>
  <c r="V2545" i="16"/>
  <c r="V2609" i="16"/>
  <c r="R207" i="16"/>
  <c r="P207" i="16" s="1"/>
  <c r="Q399" i="16"/>
  <c r="S399" i="16" s="1"/>
  <c r="Q416" i="16"/>
  <c r="S416" i="16" s="1"/>
  <c r="Q187" i="16"/>
  <c r="S187" i="16" s="1"/>
  <c r="Q74" i="16"/>
  <c r="S74" i="16" s="1"/>
  <c r="R496" i="16"/>
  <c r="P496" i="16" s="1"/>
  <c r="Q688" i="16"/>
  <c r="S688" i="16" s="1"/>
  <c r="R92" i="16"/>
  <c r="P92" i="16" s="1"/>
  <c r="R425" i="16"/>
  <c r="P425" i="16" s="1"/>
  <c r="Q12" i="16"/>
  <c r="S12" i="16" s="1"/>
  <c r="Q354" i="16"/>
  <c r="S354" i="16" s="1"/>
  <c r="Q70" i="16"/>
  <c r="S70" i="16" s="1"/>
  <c r="R521" i="16"/>
  <c r="P521" i="16" s="1"/>
  <c r="Q1491" i="16"/>
  <c r="S1491" i="16" s="1"/>
  <c r="R260" i="16"/>
  <c r="P260" i="16" s="1"/>
  <c r="Q614" i="16"/>
  <c r="S614" i="16" s="1"/>
  <c r="Q838" i="16"/>
  <c r="S838" i="16" s="1"/>
  <c r="R1045" i="16"/>
  <c r="P1045" i="16" s="1"/>
  <c r="R1102" i="16"/>
  <c r="P1102" i="16" s="1"/>
  <c r="Q1806" i="16"/>
  <c r="S1806" i="16" s="1"/>
  <c r="Q1231" i="16"/>
  <c r="S1231" i="16" s="1"/>
  <c r="R2063" i="16"/>
  <c r="P2063" i="16" s="1"/>
  <c r="R1473" i="16"/>
  <c r="P1473" i="16" s="1"/>
  <c r="Q217" i="16"/>
  <c r="S217" i="16" s="1"/>
  <c r="R1092" i="16"/>
  <c r="P1092" i="16" s="1"/>
  <c r="R2065" i="16"/>
  <c r="P2065" i="16" s="1"/>
  <c r="Q1096" i="16"/>
  <c r="S1096" i="16" s="1"/>
  <c r="V1556" i="16"/>
  <c r="AB1556" i="16" s="1"/>
  <c r="AC1556" i="16" s="1"/>
  <c r="V1855" i="16"/>
  <c r="AB1855" i="16" s="1"/>
  <c r="AC1855" i="16" s="1"/>
  <c r="V2005" i="16"/>
  <c r="AB2005" i="16" s="1"/>
  <c r="AC2005" i="16" s="1"/>
  <c r="V2133" i="16"/>
  <c r="AB2133" i="16" s="1"/>
  <c r="AC2133" i="16" s="1"/>
  <c r="V2253" i="16"/>
  <c r="AB2253" i="16" s="1"/>
  <c r="AC2253" i="16" s="1"/>
  <c r="V2333" i="16"/>
  <c r="V2227" i="16"/>
  <c r="AB2227" i="16" s="1"/>
  <c r="AC2227" i="16" s="1"/>
  <c r="V2372" i="16"/>
  <c r="V2452" i="16"/>
  <c r="V2548" i="16"/>
  <c r="V2628" i="16"/>
  <c r="V2171" i="16"/>
  <c r="AB2171" i="16" s="1"/>
  <c r="AC2171" i="16" s="1"/>
  <c r="V2381" i="16"/>
  <c r="V2461" i="16"/>
  <c r="V2541" i="16"/>
  <c r="V1230" i="16"/>
  <c r="AB1230" i="16" s="1"/>
  <c r="AC1230" i="16" s="1"/>
  <c r="V2292" i="16"/>
  <c r="AB2292" i="16" s="1"/>
  <c r="AC2292" i="16" s="1"/>
  <c r="V2382" i="16"/>
  <c r="V2478" i="16"/>
  <c r="V2558" i="16"/>
  <c r="V2638" i="16"/>
  <c r="V2305" i="16"/>
  <c r="V2391" i="16"/>
  <c r="V2471" i="16"/>
  <c r="V2567" i="16"/>
  <c r="V1553" i="16"/>
  <c r="AB1553" i="16" s="1"/>
  <c r="AC1553" i="16" s="1"/>
  <c r="V2306" i="16"/>
  <c r="V2408" i="16"/>
  <c r="V2488" i="16"/>
  <c r="V2568" i="16"/>
  <c r="V1784" i="16"/>
  <c r="AB1784" i="16" s="1"/>
  <c r="AC1784" i="16" s="1"/>
  <c r="V2318" i="16"/>
  <c r="V2402" i="16"/>
  <c r="V2498" i="16"/>
  <c r="V2578" i="16"/>
  <c r="V1639" i="16"/>
  <c r="AB1639" i="16" s="1"/>
  <c r="AC1639" i="16" s="1"/>
  <c r="V2328" i="16"/>
  <c r="V2411" i="16"/>
  <c r="V2491" i="16"/>
  <c r="V2587" i="16"/>
  <c r="V2307" i="16"/>
  <c r="V2385" i="16"/>
  <c r="V2457" i="16"/>
  <c r="V2593" i="16"/>
  <c r="V2481" i="16"/>
  <c r="V1335" i="16"/>
  <c r="AB1335" i="16" s="1"/>
  <c r="AC1335" i="16" s="1"/>
  <c r="V1577" i="16"/>
  <c r="AB1577" i="16" s="1"/>
  <c r="AC1577" i="16" s="1"/>
  <c r="R399" i="16"/>
  <c r="P399" i="16" s="1"/>
  <c r="Q96" i="16"/>
  <c r="S96" i="16" s="1"/>
  <c r="R416" i="16"/>
  <c r="P416" i="16" s="1"/>
  <c r="R187" i="16"/>
  <c r="P187" i="16" s="1"/>
  <c r="R74" i="16"/>
  <c r="P74" i="16" s="1"/>
  <c r="R688" i="16"/>
  <c r="P688" i="16" s="1"/>
  <c r="R12" i="16"/>
  <c r="P12" i="16" s="1"/>
  <c r="R354" i="16"/>
  <c r="P354" i="16" s="1"/>
  <c r="R70" i="16"/>
  <c r="P70" i="16" s="1"/>
  <c r="Q258" i="16"/>
  <c r="S258" i="16" s="1"/>
  <c r="R1491" i="16"/>
  <c r="P1491" i="16" s="1"/>
  <c r="Q2195" i="16"/>
  <c r="S2195" i="16" s="1"/>
  <c r="R614" i="16"/>
  <c r="P614" i="16" s="1"/>
  <c r="R838" i="16"/>
  <c r="P838" i="16" s="1"/>
  <c r="Q1365" i="16"/>
  <c r="S1365" i="16" s="1"/>
  <c r="R1806" i="16"/>
  <c r="P1806" i="16" s="1"/>
  <c r="Q1998" i="16"/>
  <c r="S1998" i="16" s="1"/>
  <c r="R1231" i="16"/>
  <c r="P1231" i="16" s="1"/>
  <c r="Q1423" i="16"/>
  <c r="S1423" i="16" s="1"/>
  <c r="Q1935" i="16"/>
  <c r="S1935" i="16" s="1"/>
  <c r="R217" i="16"/>
  <c r="P217" i="16" s="1"/>
  <c r="Q819" i="16"/>
  <c r="S819" i="16" s="1"/>
  <c r="R1096" i="16"/>
  <c r="P1096" i="16" s="1"/>
  <c r="V1586" i="16"/>
  <c r="AB1586" i="16" s="1"/>
  <c r="AC1586" i="16" s="1"/>
  <c r="V1865" i="16"/>
  <c r="AB1865" i="16" s="1"/>
  <c r="AC1865" i="16" s="1"/>
  <c r="V2013" i="16"/>
  <c r="AB2013" i="16" s="1"/>
  <c r="AC2013" i="16" s="1"/>
  <c r="V2141" i="16"/>
  <c r="AB2141" i="16" s="1"/>
  <c r="AC2141" i="16" s="1"/>
  <c r="V2261" i="16"/>
  <c r="AB2261" i="16" s="1"/>
  <c r="AC2261" i="16" s="1"/>
  <c r="V2341" i="16"/>
  <c r="V2290" i="16"/>
  <c r="AB2290" i="16" s="1"/>
  <c r="AC2290" i="16" s="1"/>
  <c r="V2380" i="16"/>
  <c r="V2460" i="16"/>
  <c r="V2556" i="16"/>
  <c r="V2636" i="16"/>
  <c r="V2235" i="16"/>
  <c r="AB2235" i="16" s="1"/>
  <c r="AC2235" i="16" s="1"/>
  <c r="V2389" i="16"/>
  <c r="V2469" i="16"/>
  <c r="V2549" i="16"/>
  <c r="V1492" i="16"/>
  <c r="AB1492" i="16" s="1"/>
  <c r="AC1492" i="16" s="1"/>
  <c r="V2304" i="16"/>
  <c r="AB2304" i="16" s="1"/>
  <c r="AC2304" i="16" s="1"/>
  <c r="V2390" i="16"/>
  <c r="V2486" i="16"/>
  <c r="V2566" i="16"/>
  <c r="V1270" i="16"/>
  <c r="AB1270" i="16" s="1"/>
  <c r="AC1270" i="16" s="1"/>
  <c r="V2314" i="16"/>
  <c r="V2399" i="16"/>
  <c r="V2479" i="16"/>
  <c r="V2575" i="16"/>
  <c r="V1752" i="16"/>
  <c r="AB1752" i="16" s="1"/>
  <c r="AC1752" i="16" s="1"/>
  <c r="V2315" i="16"/>
  <c r="V2416" i="16"/>
  <c r="V2496" i="16"/>
  <c r="V2576" i="16"/>
  <c r="V1873" i="16"/>
  <c r="AB1873" i="16" s="1"/>
  <c r="AC1873" i="16" s="1"/>
  <c r="V2327" i="16"/>
  <c r="V2410" i="16"/>
  <c r="V2506" i="16"/>
  <c r="V2586" i="16"/>
  <c r="V1798" i="16"/>
  <c r="AB1798" i="16" s="1"/>
  <c r="AC1798" i="16" s="1"/>
  <c r="V2337" i="16"/>
  <c r="V2419" i="16"/>
  <c r="V2499" i="16"/>
  <c r="V2595" i="16"/>
  <c r="V2377" i="16"/>
  <c r="V2449" i="16"/>
  <c r="V2521" i="16"/>
  <c r="V2139" i="16"/>
  <c r="AB2139" i="16" s="1"/>
  <c r="AC2139" i="16" s="1"/>
  <c r="V2625" i="16"/>
  <c r="V2369" i="16"/>
  <c r="V2417" i="16"/>
  <c r="Q271" i="16"/>
  <c r="S271" i="16" s="1"/>
  <c r="R96" i="16"/>
  <c r="P96" i="16" s="1"/>
  <c r="Q560" i="16"/>
  <c r="S560" i="16" s="1"/>
  <c r="Q513" i="16"/>
  <c r="S513" i="16" s="1"/>
  <c r="R258" i="16"/>
  <c r="P258" i="16" s="1"/>
  <c r="Q1363" i="16"/>
  <c r="S1363" i="16" s="1"/>
  <c r="R2195" i="16"/>
  <c r="P2195" i="16" s="1"/>
  <c r="R1365" i="16"/>
  <c r="P1365" i="16" s="1"/>
  <c r="Q1166" i="16"/>
  <c r="S1166" i="16" s="1"/>
  <c r="Q1678" i="16"/>
  <c r="S1678" i="16" s="1"/>
  <c r="R1998" i="16"/>
  <c r="P1998" i="16" s="1"/>
  <c r="Q66" i="16"/>
  <c r="S66" i="16" s="1"/>
  <c r="R1423" i="16"/>
  <c r="P1423" i="16" s="1"/>
  <c r="T1423" i="16" s="1"/>
  <c r="Q1615" i="16"/>
  <c r="S1615" i="16" s="1"/>
  <c r="R1935" i="16"/>
  <c r="P1935" i="16" s="1"/>
  <c r="R819" i="16"/>
  <c r="P819" i="16" s="1"/>
  <c r="T819" i="16" s="1"/>
  <c r="Q228" i="16"/>
  <c r="S228" i="16" s="1"/>
  <c r="Q823" i="16"/>
  <c r="S823" i="16" s="1"/>
  <c r="R346" i="16"/>
  <c r="P346" i="16" s="1"/>
  <c r="R161" i="16"/>
  <c r="P161" i="16" s="1"/>
  <c r="Q796" i="16"/>
  <c r="S796" i="16" s="1"/>
  <c r="R1456" i="16"/>
  <c r="P1456" i="16" s="1"/>
  <c r="Q1840" i="16"/>
  <c r="S1840" i="16" s="1"/>
  <c r="R2177" i="16"/>
  <c r="P2177" i="16" s="1"/>
  <c r="R1608" i="16"/>
  <c r="P1608" i="16" s="1"/>
  <c r="R2149" i="16"/>
  <c r="P2149" i="16" s="1"/>
  <c r="R1146" i="16"/>
  <c r="P1146" i="16" s="1"/>
  <c r="R4" i="16"/>
  <c r="P4" i="16" s="1"/>
  <c r="Q2212" i="16"/>
  <c r="S2212" i="16" s="1"/>
  <c r="Q707" i="16"/>
  <c r="S707" i="16" s="1"/>
  <c r="Q1634" i="16"/>
  <c r="S1634" i="16" s="1"/>
  <c r="Q279" i="16"/>
  <c r="S279" i="16" s="1"/>
  <c r="R471" i="16"/>
  <c r="P471" i="16" s="1"/>
  <c r="Q168" i="16"/>
  <c r="S168" i="16" s="1"/>
  <c r="R369" i="16"/>
  <c r="P369" i="16" s="1"/>
  <c r="R254" i="16"/>
  <c r="P254" i="16" s="1"/>
  <c r="Q437" i="16"/>
  <c r="S437" i="16" s="1"/>
  <c r="Q26" i="16"/>
  <c r="S26" i="16" s="1"/>
  <c r="R85" i="16"/>
  <c r="P85" i="16" s="1"/>
  <c r="R275" i="16"/>
  <c r="P275" i="16" s="1"/>
  <c r="R1051" i="16"/>
  <c r="P1051" i="16" s="1"/>
  <c r="R1437" i="16"/>
  <c r="P1437" i="16" s="1"/>
  <c r="R1693" i="16"/>
  <c r="P1693" i="16" s="1"/>
  <c r="Q982" i="16"/>
  <c r="S982" i="16" s="1"/>
  <c r="R1302" i="16"/>
  <c r="P1302" i="16" s="1"/>
  <c r="R1814" i="16"/>
  <c r="P1814" i="16" s="1"/>
  <c r="Q2006" i="16"/>
  <c r="S2006" i="16" s="1"/>
  <c r="R1047" i="16"/>
  <c r="P1047" i="16" s="1"/>
  <c r="Q252" i="16"/>
  <c r="S252" i="16" s="1"/>
  <c r="Q1489" i="16"/>
  <c r="S1489" i="16" s="1"/>
  <c r="Q980" i="16"/>
  <c r="S980" i="16" s="1"/>
  <c r="R1620" i="16"/>
  <c r="P1620" i="16" s="1"/>
  <c r="Q1976" i="16"/>
  <c r="S1976" i="16" s="1"/>
  <c r="Q2254" i="16"/>
  <c r="S2254" i="16" s="1"/>
  <c r="Q269" i="16"/>
  <c r="S269" i="16" s="1"/>
  <c r="R1112" i="16"/>
  <c r="P1112" i="16" s="1"/>
  <c r="Q385" i="16"/>
  <c r="S385" i="16" s="1"/>
  <c r="R1161" i="16"/>
  <c r="P1161" i="16" s="1"/>
  <c r="Q668" i="16"/>
  <c r="S668" i="16" s="1"/>
  <c r="R1344" i="16"/>
  <c r="P1344" i="16" s="1"/>
  <c r="Q1728" i="16"/>
  <c r="S1728" i="16" s="1"/>
  <c r="Q1953" i="16"/>
  <c r="S1953" i="16" s="1"/>
  <c r="Q1250" i="16"/>
  <c r="S1250" i="16" s="1"/>
  <c r="Q1834" i="16"/>
  <c r="S1834" i="16" s="1"/>
  <c r="R1968" i="16"/>
  <c r="P1968" i="16" s="1"/>
  <c r="R1242" i="16"/>
  <c r="P1242" i="16" s="1"/>
  <c r="R223" i="16"/>
  <c r="P223" i="16" s="1"/>
  <c r="R240" i="16"/>
  <c r="P240" i="16" s="1"/>
  <c r="Q209" i="16"/>
  <c r="S209" i="16" s="1"/>
  <c r="Q94" i="16"/>
  <c r="S94" i="16" s="1"/>
  <c r="R512" i="16"/>
  <c r="P512" i="16" s="1"/>
  <c r="Q450" i="16"/>
  <c r="S450" i="16" s="1"/>
  <c r="Q122" i="16"/>
  <c r="S122" i="16" s="1"/>
  <c r="Q1123" i="16"/>
  <c r="S1123" i="16" s="1"/>
  <c r="R1443" i="16"/>
  <c r="P1443" i="16" s="1"/>
  <c r="R1955" i="16"/>
  <c r="P1955" i="16" s="1"/>
  <c r="Q2147" i="16"/>
  <c r="S2147" i="16" s="1"/>
  <c r="Q997" i="16"/>
  <c r="S997" i="16" s="1"/>
  <c r="Q1765" i="16"/>
  <c r="S1765" i="16" s="1"/>
  <c r="Q990" i="16"/>
  <c r="S990" i="16" s="1"/>
  <c r="R1310" i="16"/>
  <c r="P1310" i="16" s="1"/>
  <c r="R1822" i="16"/>
  <c r="P1822" i="16" s="1"/>
  <c r="Q539" i="16"/>
  <c r="S539" i="16" s="1"/>
  <c r="R1439" i="16"/>
  <c r="P1439" i="16" s="1"/>
  <c r="R1882" i="16"/>
  <c r="P1882" i="16" s="1"/>
  <c r="Q996" i="16"/>
  <c r="S996" i="16" s="1"/>
  <c r="R1636" i="16"/>
  <c r="P1636" i="16" s="1"/>
  <c r="R1988" i="16"/>
  <c r="P1988" i="16" s="1"/>
  <c r="R916" i="16"/>
  <c r="P916" i="16" s="1"/>
  <c r="Q250" i="16"/>
  <c r="S250" i="16" s="1"/>
  <c r="Q833" i="16"/>
  <c r="S833" i="16" s="1"/>
  <c r="Q1868" i="16"/>
  <c r="S1868" i="16" s="1"/>
  <c r="R1593" i="16"/>
  <c r="P1593" i="16" s="1"/>
  <c r="R1705" i="16"/>
  <c r="P1705" i="16" s="1"/>
  <c r="R871" i="16"/>
  <c r="P871" i="16" s="1"/>
  <c r="R1154" i="16"/>
  <c r="P1154" i="16" s="1"/>
  <c r="Q1818" i="16"/>
  <c r="S1818" i="16" s="1"/>
  <c r="R1306" i="16"/>
  <c r="P1306" i="16" s="1"/>
  <c r="Q1874" i="16"/>
  <c r="S1874" i="16" s="1"/>
  <c r="R510" i="16"/>
  <c r="P510" i="16" s="1"/>
  <c r="Q56" i="16"/>
  <c r="S56" i="16" s="1"/>
  <c r="R376" i="16"/>
  <c r="P376" i="16" s="1"/>
  <c r="Q20" i="16"/>
  <c r="S20" i="16" s="1"/>
  <c r="R796" i="16"/>
  <c r="P796" i="16" s="1"/>
  <c r="R1840" i="16"/>
  <c r="P1840" i="16" s="1"/>
  <c r="R1034" i="16"/>
  <c r="P1034" i="16" s="1"/>
  <c r="R1746" i="16"/>
  <c r="P1746" i="16" s="1"/>
  <c r="Q2202" i="16"/>
  <c r="S2202" i="16" s="1"/>
  <c r="Q1449" i="16"/>
  <c r="S1449" i="16" s="1"/>
  <c r="Q1138" i="16"/>
  <c r="S1138" i="16" s="1"/>
  <c r="Q1952" i="16"/>
  <c r="S1952" i="16" s="1"/>
  <c r="Q2204" i="16"/>
  <c r="S2204" i="16" s="1"/>
  <c r="R2212" i="16"/>
  <c r="P2212" i="16" s="1"/>
  <c r="R707" i="16"/>
  <c r="P707" i="16" s="1"/>
  <c r="R1634" i="16"/>
  <c r="P1634" i="16" s="1"/>
  <c r="Q471" i="16"/>
  <c r="S471" i="16" s="1"/>
  <c r="R168" i="16"/>
  <c r="P168" i="16" s="1"/>
  <c r="Q360" i="16"/>
  <c r="S360" i="16" s="1"/>
  <c r="R113" i="16"/>
  <c r="P113" i="16" s="1"/>
  <c r="Q254" i="16"/>
  <c r="S254" i="16" s="1"/>
  <c r="Q504" i="16"/>
  <c r="S504" i="16" s="1"/>
  <c r="R437" i="16"/>
  <c r="P437" i="16" s="1"/>
  <c r="R26" i="16"/>
  <c r="P26" i="16" s="1"/>
  <c r="Q699" i="16"/>
  <c r="S699" i="16" s="1"/>
  <c r="Q918" i="16"/>
  <c r="S918" i="16" s="1"/>
  <c r="Q1435" i="16"/>
  <c r="S1435" i="16" s="1"/>
  <c r="Q774" i="16"/>
  <c r="S774" i="16" s="1"/>
  <c r="R982" i="16"/>
  <c r="P982" i="16" s="1"/>
  <c r="Q1174" i="16"/>
  <c r="S1174" i="16" s="1"/>
  <c r="Q1686" i="16"/>
  <c r="S1686" i="16" s="1"/>
  <c r="R2006" i="16"/>
  <c r="P2006" i="16" s="1"/>
  <c r="Q89" i="16"/>
  <c r="S89" i="16" s="1"/>
  <c r="Q914" i="16"/>
  <c r="S914" i="16" s="1"/>
  <c r="Q1431" i="16"/>
  <c r="S1431" i="16" s="1"/>
  <c r="R252" i="16"/>
  <c r="P252" i="16" s="1"/>
  <c r="R1489" i="16"/>
  <c r="P1489" i="16" s="1"/>
  <c r="R980" i="16"/>
  <c r="P980" i="16" s="1"/>
  <c r="R1976" i="16"/>
  <c r="P1976" i="16" s="1"/>
  <c r="R2254" i="16"/>
  <c r="P2254" i="16" s="1"/>
  <c r="R269" i="16"/>
  <c r="P269" i="16" s="1"/>
  <c r="R842" i="16"/>
  <c r="P842" i="16" s="1"/>
  <c r="R385" i="16"/>
  <c r="P385" i="16" s="1"/>
  <c r="Q898" i="16"/>
  <c r="S898" i="16" s="1"/>
  <c r="R668" i="16"/>
  <c r="P668" i="16" s="1"/>
  <c r="Q1088" i="16"/>
  <c r="S1088" i="16" s="1"/>
  <c r="R1728" i="16"/>
  <c r="P1728" i="16" s="1"/>
  <c r="R1953" i="16"/>
  <c r="P1953" i="16" s="1"/>
  <c r="R1250" i="16"/>
  <c r="P1250" i="16" s="1"/>
  <c r="Q2265" i="16"/>
  <c r="S2265" i="16" s="1"/>
  <c r="Q1426" i="16"/>
  <c r="S1426" i="16" s="1"/>
  <c r="Q1884" i="16"/>
  <c r="S1884" i="16" s="1"/>
  <c r="Q1905" i="16"/>
  <c r="S1905" i="16" s="1"/>
  <c r="Q95" i="16"/>
  <c r="S95" i="16" s="1"/>
  <c r="R209" i="16"/>
  <c r="P209" i="16" s="1"/>
  <c r="R94" i="16"/>
  <c r="P94" i="16" s="1"/>
  <c r="Q350" i="16"/>
  <c r="S350" i="16" s="1"/>
  <c r="Q896" i="16"/>
  <c r="S896" i="16" s="1"/>
  <c r="R450" i="16"/>
  <c r="P450" i="16" s="1"/>
  <c r="R122" i="16"/>
  <c r="P122" i="16" s="1"/>
  <c r="Q578" i="16"/>
  <c r="S578" i="16" s="1"/>
  <c r="R2202" i="16"/>
  <c r="P2202" i="16" s="1"/>
  <c r="Q1897" i="16"/>
  <c r="S1897" i="16" s="1"/>
  <c r="R1449" i="16"/>
  <c r="P1449" i="16" s="1"/>
  <c r="R1138" i="16"/>
  <c r="P1138" i="16" s="1"/>
  <c r="Q1810" i="16"/>
  <c r="S1810" i="16" s="1"/>
  <c r="Q2234" i="16"/>
  <c r="S2234" i="16" s="1"/>
  <c r="R1952" i="16"/>
  <c r="P1952" i="16" s="1"/>
  <c r="T1952" i="16" s="1"/>
  <c r="Q1106" i="16"/>
  <c r="S1106" i="16" s="1"/>
  <c r="Q1738" i="16"/>
  <c r="S1738" i="16" s="1"/>
  <c r="R2204" i="16"/>
  <c r="P2204" i="16" s="1"/>
  <c r="Q1260" i="16"/>
  <c r="S1260" i="16" s="1"/>
  <c r="Q84" i="16"/>
  <c r="S84" i="16" s="1"/>
  <c r="R504" i="16"/>
  <c r="P504" i="16" s="1"/>
  <c r="Q198" i="16"/>
  <c r="S198" i="16" s="1"/>
  <c r="R699" i="16"/>
  <c r="P699" i="16" s="1"/>
  <c r="R918" i="16"/>
  <c r="P918" i="16" s="1"/>
  <c r="R1435" i="16"/>
  <c r="P1435" i="16" s="1"/>
  <c r="Q2139" i="16"/>
  <c r="S2139" i="16" s="1"/>
  <c r="R774" i="16"/>
  <c r="P774" i="16" s="1"/>
  <c r="R1174" i="16"/>
  <c r="P1174" i="16" s="1"/>
  <c r="R1686" i="16"/>
  <c r="P1686" i="16" s="1"/>
  <c r="Q1878" i="16"/>
  <c r="S1878" i="16" s="1"/>
  <c r="R89" i="16"/>
  <c r="P89" i="16" s="1"/>
  <c r="Q527" i="16"/>
  <c r="S527" i="16" s="1"/>
  <c r="R914" i="16"/>
  <c r="P914" i="16" s="1"/>
  <c r="R1431" i="16"/>
  <c r="P1431" i="16" s="1"/>
  <c r="Q2135" i="16"/>
  <c r="S2135" i="16" s="1"/>
  <c r="Q1748" i="16"/>
  <c r="S1748" i="16" s="1"/>
  <c r="Q842" i="16"/>
  <c r="S842" i="16" s="1"/>
  <c r="Q1240" i="16"/>
  <c r="S1240" i="16" s="1"/>
  <c r="R898" i="16"/>
  <c r="P898" i="16" s="1"/>
  <c r="T898" i="16" s="1"/>
  <c r="Q204" i="16"/>
  <c r="S204" i="16" s="1"/>
  <c r="R1088" i="16"/>
  <c r="P1088" i="16" s="1"/>
  <c r="Q1308" i="16"/>
  <c r="S1308" i="16" s="1"/>
  <c r="R2265" i="16"/>
  <c r="P2265" i="16" s="1"/>
  <c r="R1426" i="16"/>
  <c r="P1426" i="16" s="1"/>
  <c r="Q1994" i="16"/>
  <c r="S1994" i="16" s="1"/>
  <c r="Q1816" i="16"/>
  <c r="S1816" i="16" s="1"/>
  <c r="R1884" i="16"/>
  <c r="P1884" i="16" s="1"/>
  <c r="T1884" i="16" s="1"/>
  <c r="R1905" i="16"/>
  <c r="P1905" i="16" s="1"/>
  <c r="T1905" i="16" s="1"/>
  <c r="R95" i="16"/>
  <c r="P95" i="16" s="1"/>
  <c r="Q287" i="16"/>
  <c r="S287" i="16" s="1"/>
  <c r="Q304" i="16"/>
  <c r="S304" i="16" s="1"/>
  <c r="Q293" i="16"/>
  <c r="S293" i="16" s="1"/>
  <c r="R350" i="16"/>
  <c r="P350" i="16" s="1"/>
  <c r="Q576" i="16"/>
  <c r="S576" i="16" s="1"/>
  <c r="R896" i="16"/>
  <c r="P896" i="16" s="1"/>
  <c r="Q235" i="16"/>
  <c r="S235" i="16" s="1"/>
  <c r="Q635" i="16"/>
  <c r="S635" i="16" s="1"/>
  <c r="Q1061" i="16"/>
  <c r="S1061" i="16" s="1"/>
  <c r="Q1573" i="16"/>
  <c r="S1573" i="16" s="1"/>
  <c r="R1182" i="16"/>
  <c r="P1182" i="16" s="1"/>
  <c r="Q1886" i="16"/>
  <c r="S1886" i="16" s="1"/>
  <c r="Q285" i="16"/>
  <c r="S285" i="16" s="1"/>
  <c r="Q709" i="16"/>
  <c r="S709" i="16" s="1"/>
  <c r="Q554" i="16"/>
  <c r="S554" i="16" s="1"/>
  <c r="R1256" i="16"/>
  <c r="P1256" i="16" s="1"/>
  <c r="R619" i="16"/>
  <c r="P619" i="16" s="1"/>
  <c r="Q1049" i="16"/>
  <c r="S1049" i="16" s="1"/>
  <c r="Q517" i="16"/>
  <c r="S517" i="16" s="1"/>
  <c r="R1116" i="16"/>
  <c r="P1116" i="16" s="1"/>
  <c r="Q1800" i="16"/>
  <c r="S1800" i="16" s="1"/>
  <c r="R2076" i="16"/>
  <c r="P2076" i="16" s="1"/>
  <c r="R2267" i="16"/>
  <c r="P2267" i="16" s="1"/>
  <c r="R1417" i="16"/>
  <c r="P1417" i="16" s="1"/>
  <c r="Q423" i="16"/>
  <c r="S423" i="16" s="1"/>
  <c r="R248" i="16"/>
  <c r="P248" i="16" s="1"/>
  <c r="Q219" i="16"/>
  <c r="S219" i="16" s="1"/>
  <c r="R840" i="16"/>
  <c r="P840" i="16" s="1"/>
  <c r="Q134" i="16"/>
  <c r="S134" i="16" s="1"/>
  <c r="R54" i="16"/>
  <c r="P54" i="16" s="1"/>
  <c r="Q393" i="16"/>
  <c r="S393" i="16" s="1"/>
  <c r="R146" i="16"/>
  <c r="P146" i="16" s="1"/>
  <c r="R790" i="16"/>
  <c r="P790" i="16" s="1"/>
  <c r="Q1003" i="16"/>
  <c r="S1003" i="16" s="1"/>
  <c r="Q2027" i="16"/>
  <c r="S2027" i="16" s="1"/>
  <c r="Q1389" i="16"/>
  <c r="S1389" i="16" s="1"/>
  <c r="R711" i="16"/>
  <c r="P711" i="16" s="1"/>
  <c r="R1254" i="16"/>
  <c r="P1254" i="16" s="1"/>
  <c r="R637" i="16"/>
  <c r="P637" i="16" s="1"/>
  <c r="Q859" i="16"/>
  <c r="S859" i="16" s="1"/>
  <c r="Q1191" i="16"/>
  <c r="S1191" i="16" s="1"/>
  <c r="Q1383" i="16"/>
  <c r="S1383" i="16" s="1"/>
  <c r="Q1703" i="16"/>
  <c r="S1703" i="16" s="1"/>
  <c r="Q1895" i="16"/>
  <c r="S1895" i="16" s="1"/>
  <c r="R1393" i="16"/>
  <c r="P1393" i="16" s="1"/>
  <c r="Q2100" i="16"/>
  <c r="S2100" i="16" s="1"/>
  <c r="Q727" i="16"/>
  <c r="S727" i="16" s="1"/>
  <c r="R1396" i="16"/>
  <c r="P1396" i="16" s="1"/>
  <c r="Q1780" i="16"/>
  <c r="S1780" i="16" s="1"/>
  <c r="R639" i="16"/>
  <c r="P639" i="16" s="1"/>
  <c r="Q1065" i="16"/>
  <c r="S1065" i="16" s="1"/>
  <c r="Q541" i="16"/>
  <c r="S541" i="16" s="1"/>
  <c r="R1248" i="16"/>
  <c r="P1248" i="16" s="1"/>
  <c r="Q1632" i="16"/>
  <c r="S1632" i="16" s="1"/>
  <c r="Q1820" i="16"/>
  <c r="S1820" i="16" s="1"/>
  <c r="R1778" i="16"/>
  <c r="P1778" i="16" s="1"/>
  <c r="R2220" i="16"/>
  <c r="P2220" i="16" s="1"/>
  <c r="R1528" i="16"/>
  <c r="P1528" i="16" s="1"/>
  <c r="R2060" i="16"/>
  <c r="P2060" i="16" s="1"/>
  <c r="Q508" i="16"/>
  <c r="S508" i="16" s="1"/>
  <c r="R1880" i="16"/>
  <c r="P1880" i="16" s="1"/>
  <c r="Q1196" i="16"/>
  <c r="S1196" i="16" s="1"/>
  <c r="R2137" i="16"/>
  <c r="P2137" i="16" s="1"/>
  <c r="Q733" i="16"/>
  <c r="S733" i="16" s="1"/>
  <c r="Q1930" i="16"/>
  <c r="S1930" i="16" s="1"/>
  <c r="Q556" i="16"/>
  <c r="S556" i="16" s="1"/>
  <c r="R1897" i="16"/>
  <c r="P1897" i="16" s="1"/>
  <c r="R1810" i="16"/>
  <c r="P1810" i="16" s="1"/>
  <c r="T1810" i="16" s="1"/>
  <c r="R2234" i="16"/>
  <c r="P2234" i="16" s="1"/>
  <c r="T2234" i="16" s="1"/>
  <c r="Q1562" i="16"/>
  <c r="S1562" i="16" s="1"/>
  <c r="R1106" i="16"/>
  <c r="P1106" i="16" s="1"/>
  <c r="R1738" i="16"/>
  <c r="P1738" i="16" s="1"/>
  <c r="T1738" i="16" s="1"/>
  <c r="R1260" i="16"/>
  <c r="P1260" i="16" s="1"/>
  <c r="R40" i="16"/>
  <c r="P40" i="16" s="1"/>
  <c r="Q232" i="16"/>
  <c r="S232" i="16" s="1"/>
  <c r="R84" i="16"/>
  <c r="P84" i="16" s="1"/>
  <c r="Q340" i="16"/>
  <c r="S340" i="16" s="1"/>
  <c r="Q140" i="16"/>
  <c r="S140" i="16" s="1"/>
  <c r="R198" i="16"/>
  <c r="P198" i="16" s="1"/>
  <c r="R2139" i="16"/>
  <c r="P2139" i="16" s="1"/>
  <c r="Q281" i="16"/>
  <c r="S281" i="16" s="1"/>
  <c r="Q1053" i="16"/>
  <c r="S1053" i="16" s="1"/>
  <c r="Q1309" i="16"/>
  <c r="S1309" i="16" s="1"/>
  <c r="Q1565" i="16"/>
  <c r="S1565" i="16" s="1"/>
  <c r="Q1558" i="16"/>
  <c r="S1558" i="16" s="1"/>
  <c r="R1878" i="16"/>
  <c r="P1878" i="16" s="1"/>
  <c r="R2070" i="16"/>
  <c r="P2070" i="16" s="1"/>
  <c r="R527" i="16"/>
  <c r="P527" i="16" s="1"/>
  <c r="Q767" i="16"/>
  <c r="S767" i="16" s="1"/>
  <c r="R2135" i="16"/>
  <c r="P2135" i="16" s="1"/>
  <c r="T2135" i="16" s="1"/>
  <c r="Q1972" i="16"/>
  <c r="S1972" i="16" s="1"/>
  <c r="Q1108" i="16"/>
  <c r="S1108" i="16" s="1"/>
  <c r="R1748" i="16"/>
  <c r="P1748" i="16" s="1"/>
  <c r="Q529" i="16"/>
  <c r="S529" i="16" s="1"/>
  <c r="R1240" i="16"/>
  <c r="P1240" i="16" s="1"/>
  <c r="R204" i="16"/>
  <c r="P204" i="16" s="1"/>
  <c r="Q2089" i="16"/>
  <c r="S2089" i="16" s="1"/>
  <c r="R1308" i="16"/>
  <c r="P1308" i="16" s="1"/>
  <c r="Q494" i="16"/>
  <c r="S494" i="16" s="1"/>
  <c r="Q2028" i="16"/>
  <c r="S2028" i="16" s="1"/>
  <c r="R1994" i="16"/>
  <c r="P1994" i="16" s="1"/>
  <c r="Q1114" i="16"/>
  <c r="S1114" i="16" s="1"/>
  <c r="R1816" i="16"/>
  <c r="P1816" i="16" s="1"/>
  <c r="Q389" i="16"/>
  <c r="S389" i="16" s="1"/>
  <c r="Q2048" i="16"/>
  <c r="S2048" i="16" s="1"/>
  <c r="R287" i="16"/>
  <c r="P287" i="16" s="1"/>
  <c r="R304" i="16"/>
  <c r="P304" i="16" s="1"/>
  <c r="R293" i="16"/>
  <c r="P293" i="16" s="1"/>
  <c r="R576" i="16"/>
  <c r="P576" i="16" s="1"/>
  <c r="T576" i="16" s="1"/>
  <c r="R235" i="16"/>
  <c r="P235" i="16" s="1"/>
  <c r="Q531" i="16"/>
  <c r="S531" i="16" s="1"/>
  <c r="Q99" i="16"/>
  <c r="S99" i="16" s="1"/>
  <c r="Q1699" i="16"/>
  <c r="S1699" i="16" s="1"/>
  <c r="R635" i="16"/>
  <c r="P635" i="16" s="1"/>
  <c r="Q857" i="16"/>
  <c r="S857" i="16" s="1"/>
  <c r="R1061" i="16"/>
  <c r="P1061" i="16" s="1"/>
  <c r="R1573" i="16"/>
  <c r="P1573" i="16" s="1"/>
  <c r="Q427" i="16"/>
  <c r="S427" i="16" s="1"/>
  <c r="R1886" i="16"/>
  <c r="P1886" i="16" s="1"/>
  <c r="Q2078" i="16"/>
  <c r="S2078" i="16" s="1"/>
  <c r="R285" i="16"/>
  <c r="P285" i="16" s="1"/>
  <c r="Q627" i="16"/>
  <c r="S627" i="16" s="1"/>
  <c r="Q1695" i="16"/>
  <c r="S1695" i="16" s="1"/>
  <c r="Q1377" i="16"/>
  <c r="S1377" i="16" s="1"/>
  <c r="R709" i="16"/>
  <c r="P709" i="16" s="1"/>
  <c r="R554" i="16"/>
  <c r="P554" i="16" s="1"/>
  <c r="Q93" i="16"/>
  <c r="S93" i="16" s="1"/>
  <c r="R1049" i="16"/>
  <c r="P1049" i="16" s="1"/>
  <c r="R517" i="16"/>
  <c r="P517" i="16" s="1"/>
  <c r="Q976" i="16"/>
  <c r="S976" i="16" s="1"/>
  <c r="R1800" i="16"/>
  <c r="P1800" i="16" s="1"/>
  <c r="Q559" i="16"/>
  <c r="S559" i="16" s="1"/>
  <c r="Q1225" i="16"/>
  <c r="S1225" i="16" s="1"/>
  <c r="Q1861" i="16"/>
  <c r="S1861" i="16" s="1"/>
  <c r="Q1984" i="16"/>
  <c r="S1984" i="16" s="1"/>
  <c r="Q581" i="16"/>
  <c r="S581" i="16" s="1"/>
  <c r="R423" i="16"/>
  <c r="P423" i="16" s="1"/>
  <c r="T423" i="16" s="1"/>
  <c r="Q120" i="16"/>
  <c r="S120" i="16" s="1"/>
  <c r="R219" i="16"/>
  <c r="P219" i="16" s="1"/>
  <c r="T219" i="16" s="1"/>
  <c r="Q106" i="16"/>
  <c r="S106" i="16" s="1"/>
  <c r="R393" i="16"/>
  <c r="P393" i="16" s="1"/>
  <c r="R1003" i="16"/>
  <c r="P1003" i="16" s="1"/>
  <c r="Q1195" i="16"/>
  <c r="S1195" i="16" s="1"/>
  <c r="Q1707" i="16"/>
  <c r="S1707" i="16" s="1"/>
  <c r="R2027" i="16"/>
  <c r="P2027" i="16" s="1"/>
  <c r="Q719" i="16"/>
  <c r="S719" i="16" s="1"/>
  <c r="R1389" i="16"/>
  <c r="P1389" i="16" s="1"/>
  <c r="Q1126" i="16"/>
  <c r="S1126" i="16" s="1"/>
  <c r="Q1638" i="16"/>
  <c r="S1638" i="16" s="1"/>
  <c r="R859" i="16"/>
  <c r="P859" i="16" s="1"/>
  <c r="R1063" i="16"/>
  <c r="P1063" i="16" s="1"/>
  <c r="R1383" i="16"/>
  <c r="P1383" i="16" s="1"/>
  <c r="R1575" i="16"/>
  <c r="P1575" i="16" s="1"/>
  <c r="R1895" i="16"/>
  <c r="P1895" i="16" s="1"/>
  <c r="R2100" i="16"/>
  <c r="P2100" i="16" s="1"/>
  <c r="R727" i="16"/>
  <c r="P727" i="16" s="1"/>
  <c r="Q1140" i="16"/>
  <c r="S1140" i="16" s="1"/>
  <c r="R1780" i="16"/>
  <c r="P1780" i="16" s="1"/>
  <c r="Q2104" i="16"/>
  <c r="S2104" i="16" s="1"/>
  <c r="Q139" i="16"/>
  <c r="S139" i="16" s="1"/>
  <c r="R1065" i="16"/>
  <c r="P1065" i="16" s="1"/>
  <c r="R541" i="16"/>
  <c r="P541" i="16" s="1"/>
  <c r="Q992" i="16"/>
  <c r="S992" i="16" s="1"/>
  <c r="R1632" i="16"/>
  <c r="P1632" i="16" s="1"/>
  <c r="R1820" i="16"/>
  <c r="P1820" i="16" s="1"/>
  <c r="Q1369" i="16"/>
  <c r="S1369" i="16" s="1"/>
  <c r="R508" i="16"/>
  <c r="P508" i="16" s="1"/>
  <c r="Q2029" i="16"/>
  <c r="S2029" i="16" s="1"/>
  <c r="R1196" i="16"/>
  <c r="P1196" i="16" s="1"/>
  <c r="Q1506" i="16"/>
  <c r="S1506" i="16" s="1"/>
  <c r="Q2084" i="16"/>
  <c r="S2084" i="16" s="1"/>
  <c r="R733" i="16"/>
  <c r="P733" i="16" s="1"/>
  <c r="Q1328" i="16"/>
  <c r="S1328" i="16" s="1"/>
  <c r="R1930" i="16"/>
  <c r="P1930" i="16" s="1"/>
  <c r="R556" i="16"/>
  <c r="P556" i="16" s="1"/>
  <c r="Q1497" i="16"/>
  <c r="S1497" i="16" s="1"/>
  <c r="Q1656" i="16"/>
  <c r="S1656" i="16" s="1"/>
  <c r="Q1401" i="16"/>
  <c r="S1401" i="16" s="1"/>
  <c r="R1562" i="16"/>
  <c r="P1562" i="16" s="1"/>
  <c r="R1258" i="16"/>
  <c r="P1258" i="16" s="1"/>
  <c r="T1258" i="16" s="1"/>
  <c r="R1850" i="16"/>
  <c r="P1850" i="16" s="1"/>
  <c r="T1850" i="16" s="1"/>
  <c r="Q1186" i="16"/>
  <c r="S1186" i="16" s="1"/>
  <c r="R232" i="16"/>
  <c r="P232" i="16" s="1"/>
  <c r="R340" i="16"/>
  <c r="P340" i="16" s="1"/>
  <c r="Q568" i="16"/>
  <c r="S568" i="16" s="1"/>
  <c r="R140" i="16"/>
  <c r="P140" i="16" s="1"/>
  <c r="Q533" i="16"/>
  <c r="S533" i="16" s="1"/>
  <c r="R281" i="16"/>
  <c r="P281" i="16" s="1"/>
  <c r="Q625" i="16"/>
  <c r="S625" i="16" s="1"/>
  <c r="R1053" i="16"/>
  <c r="P1053" i="16" s="1"/>
  <c r="R1309" i="16"/>
  <c r="P1309" i="16" s="1"/>
  <c r="R1565" i="16"/>
  <c r="P1565" i="16" s="1"/>
  <c r="Q410" i="16"/>
  <c r="S410" i="16" s="1"/>
  <c r="Q693" i="16"/>
  <c r="S693" i="16" s="1"/>
  <c r="Q1238" i="16"/>
  <c r="S1238" i="16" s="1"/>
  <c r="R1558" i="16"/>
  <c r="P1558" i="16" s="1"/>
  <c r="Q2070" i="16"/>
  <c r="S2070" i="16" s="1"/>
  <c r="Q267" i="16"/>
  <c r="S267" i="16" s="1"/>
  <c r="R767" i="16"/>
  <c r="P767" i="16" s="1"/>
  <c r="Q983" i="16"/>
  <c r="S983" i="16" s="1"/>
  <c r="Q1495" i="16"/>
  <c r="S1495" i="16" s="1"/>
  <c r="R1972" i="16"/>
  <c r="P1972" i="16" s="1"/>
  <c r="Q2252" i="16"/>
  <c r="S2252" i="16" s="1"/>
  <c r="R1108" i="16"/>
  <c r="P1108" i="16" s="1"/>
  <c r="T1108" i="16" s="1"/>
  <c r="R529" i="16"/>
  <c r="P529" i="16" s="1"/>
  <c r="Q984" i="16"/>
  <c r="S984" i="16" s="1"/>
  <c r="R2089" i="16"/>
  <c r="P2089" i="16" s="1"/>
  <c r="Q610" i="16"/>
  <c r="S610" i="16" s="1"/>
  <c r="R494" i="16"/>
  <c r="P494" i="16" s="1"/>
  <c r="R2028" i="16"/>
  <c r="P2028" i="16" s="1"/>
  <c r="Q1628" i="16"/>
  <c r="S1628" i="16" s="1"/>
  <c r="R1114" i="16"/>
  <c r="P1114" i="16" s="1"/>
  <c r="Q1794" i="16"/>
  <c r="S1794" i="16" s="1"/>
  <c r="R389" i="16"/>
  <c r="P389" i="16" s="1"/>
  <c r="R2048" i="16"/>
  <c r="P2048" i="16" s="1"/>
  <c r="Q159" i="16"/>
  <c r="S159" i="16" s="1"/>
  <c r="Q176" i="16"/>
  <c r="S176" i="16" s="1"/>
  <c r="R6" i="16"/>
  <c r="P6" i="16" s="1"/>
  <c r="R531" i="16"/>
  <c r="P531" i="16" s="1"/>
  <c r="Q154" i="16"/>
  <c r="S154" i="16" s="1"/>
  <c r="R99" i="16"/>
  <c r="P99" i="16" s="1"/>
  <c r="Q633" i="16"/>
  <c r="S633" i="16" s="1"/>
  <c r="R1699" i="16"/>
  <c r="P1699" i="16" s="1"/>
  <c r="Q441" i="16"/>
  <c r="S441" i="16" s="1"/>
  <c r="R857" i="16"/>
  <c r="P857" i="16" s="1"/>
  <c r="Q1125" i="16"/>
  <c r="S1125" i="16" s="1"/>
  <c r="Q1381" i="16"/>
  <c r="S1381" i="16" s="1"/>
  <c r="R427" i="16"/>
  <c r="P427" i="16" s="1"/>
  <c r="Q1758" i="16"/>
  <c r="S1758" i="16" s="1"/>
  <c r="R2078" i="16"/>
  <c r="P2078" i="16" s="1"/>
  <c r="R627" i="16"/>
  <c r="P627" i="16" s="1"/>
  <c r="Q1375" i="16"/>
  <c r="S1375" i="16" s="1"/>
  <c r="R1695" i="16"/>
  <c r="P1695" i="16" s="1"/>
  <c r="R1377" i="16"/>
  <c r="P1377" i="16" s="1"/>
  <c r="Q1761" i="16"/>
  <c r="S1761" i="16" s="1"/>
  <c r="Q299" i="16"/>
  <c r="S299" i="16" s="1"/>
  <c r="Q1508" i="16"/>
  <c r="S1508" i="16" s="1"/>
  <c r="R93" i="16"/>
  <c r="P93" i="16" s="1"/>
  <c r="R976" i="16"/>
  <c r="P976" i="16" s="1"/>
  <c r="R559" i="16"/>
  <c r="P559" i="16" s="1"/>
  <c r="R1225" i="16"/>
  <c r="P1225" i="16" s="1"/>
  <c r="R1861" i="16"/>
  <c r="P1861" i="16" s="1"/>
  <c r="R1984" i="16"/>
  <c r="P1984" i="16" s="1"/>
  <c r="Q142" i="16"/>
  <c r="S142" i="16" s="1"/>
  <c r="Q1944" i="16"/>
  <c r="S1944" i="16" s="1"/>
  <c r="R581" i="16"/>
  <c r="P581" i="16" s="1"/>
  <c r="Q295" i="16"/>
  <c r="S295" i="16" s="1"/>
  <c r="R120" i="16"/>
  <c r="P120" i="16" s="1"/>
  <c r="R106" i="16"/>
  <c r="P106" i="16" s="1"/>
  <c r="Q904" i="16"/>
  <c r="S904" i="16" s="1"/>
  <c r="Q643" i="16"/>
  <c r="S643" i="16" s="1"/>
  <c r="Q863" i="16"/>
  <c r="S863" i="16" s="1"/>
  <c r="R1195" i="16"/>
  <c r="P1195" i="16" s="1"/>
  <c r="Q1387" i="16"/>
  <c r="S1387" i="16" s="1"/>
  <c r="R1707" i="16"/>
  <c r="P1707" i="16" s="1"/>
  <c r="Q1899" i="16"/>
  <c r="S1899" i="16" s="1"/>
  <c r="R719" i="16"/>
  <c r="P719" i="16" s="1"/>
  <c r="Q939" i="16"/>
  <c r="S939" i="16" s="1"/>
  <c r="Q1197" i="16"/>
  <c r="S1197" i="16" s="1"/>
  <c r="Q1453" i="16"/>
  <c r="S1453" i="16" s="1"/>
  <c r="Q1709" i="16"/>
  <c r="S1709" i="16" s="1"/>
  <c r="R1126" i="16"/>
  <c r="P1126" i="16" s="1"/>
  <c r="Q1318" i="16"/>
  <c r="S1318" i="16" s="1"/>
  <c r="R1638" i="16"/>
  <c r="P1638" i="16" s="1"/>
  <c r="Q1830" i="16"/>
  <c r="S1830" i="16" s="1"/>
  <c r="Q444" i="16"/>
  <c r="S444" i="16" s="1"/>
  <c r="Q713" i="16"/>
  <c r="S713" i="16" s="1"/>
  <c r="Q1063" i="16"/>
  <c r="S1063" i="16" s="1"/>
  <c r="Q1575" i="16"/>
  <c r="S1575" i="16" s="1"/>
  <c r="Q1767" i="16"/>
  <c r="S1767" i="16" s="1"/>
  <c r="R334" i="16"/>
  <c r="P334" i="16" s="1"/>
  <c r="R1140" i="16"/>
  <c r="P1140" i="16" s="1"/>
  <c r="Q1524" i="16"/>
  <c r="S1524" i="16" s="1"/>
  <c r="R2104" i="16"/>
  <c r="P2104" i="16" s="1"/>
  <c r="R139" i="16"/>
  <c r="P139" i="16" s="1"/>
  <c r="Q788" i="16"/>
  <c r="S788" i="16" s="1"/>
  <c r="R992" i="16"/>
  <c r="P992" i="16" s="1"/>
  <c r="R1369" i="16"/>
  <c r="P1369" i="16" s="1"/>
  <c r="T1369" i="16" s="1"/>
  <c r="Q1730" i="16"/>
  <c r="S1730" i="16" s="1"/>
  <c r="Q2193" i="16"/>
  <c r="S2193" i="16" s="1"/>
  <c r="R2029" i="16"/>
  <c r="P2029" i="16" s="1"/>
  <c r="Q370" i="16"/>
  <c r="S370" i="16" s="1"/>
  <c r="Q1928" i="16"/>
  <c r="S1928" i="16" s="1"/>
  <c r="Q649" i="16"/>
  <c r="S649" i="16" s="1"/>
  <c r="R1328" i="16"/>
  <c r="P1328" i="16" s="1"/>
  <c r="T1328" i="16" s="1"/>
  <c r="R1497" i="16"/>
  <c r="P1497" i="16" s="1"/>
  <c r="Q2042" i="16"/>
  <c r="S2042" i="16" s="1"/>
  <c r="R1656" i="16"/>
  <c r="P1656" i="16" s="1"/>
  <c r="Q233" i="16"/>
  <c r="S233" i="16" s="1"/>
  <c r="R1401" i="16"/>
  <c r="P1401" i="16" s="1"/>
  <c r="T1401" i="16" s="1"/>
  <c r="Q1978" i="16"/>
  <c r="S1978" i="16" s="1"/>
  <c r="Q1826" i="16"/>
  <c r="S1826" i="16" s="1"/>
  <c r="R1186" i="16"/>
  <c r="P1186" i="16" s="1"/>
  <c r="Q104" i="16"/>
  <c r="S104" i="16" s="1"/>
  <c r="Q283" i="16"/>
  <c r="S283" i="16" s="1"/>
  <c r="Q170" i="16"/>
  <c r="S170" i="16" s="1"/>
  <c r="R568" i="16"/>
  <c r="P568" i="16" s="1"/>
  <c r="T568" i="16" s="1"/>
  <c r="Q760" i="16"/>
  <c r="S760" i="16" s="1"/>
  <c r="R100" i="16"/>
  <c r="P100" i="16" s="1"/>
  <c r="R533" i="16"/>
  <c r="P533" i="16" s="1"/>
  <c r="Q1691" i="16"/>
  <c r="S1691" i="16" s="1"/>
  <c r="R625" i="16"/>
  <c r="P625" i="16" s="1"/>
  <c r="Q1373" i="16"/>
  <c r="S1373" i="16" s="1"/>
  <c r="R410" i="16"/>
  <c r="P410" i="16" s="1"/>
  <c r="R693" i="16"/>
  <c r="P693" i="16" s="1"/>
  <c r="R1238" i="16"/>
  <c r="P1238" i="16" s="1"/>
  <c r="Q1430" i="16"/>
  <c r="S1430" i="16" s="1"/>
  <c r="Q1942" i="16"/>
  <c r="S1942" i="16" s="1"/>
  <c r="R267" i="16"/>
  <c r="P267" i="16" s="1"/>
  <c r="Q617" i="16"/>
  <c r="S617" i="16" s="1"/>
  <c r="R983" i="16"/>
  <c r="P983" i="16" s="1"/>
  <c r="R1495" i="16"/>
  <c r="P1495" i="16" s="1"/>
  <c r="Q1361" i="16"/>
  <c r="S1361" i="16" s="1"/>
  <c r="R2252" i="16"/>
  <c r="P2252" i="16" s="1"/>
  <c r="R984" i="16"/>
  <c r="P984" i="16" s="1"/>
  <c r="Q46" i="16"/>
  <c r="S46" i="16" s="1"/>
  <c r="R610" i="16"/>
  <c r="P610" i="16" s="1"/>
  <c r="Q1522" i="16"/>
  <c r="S1522" i="16" s="1"/>
  <c r="R1628" i="16"/>
  <c r="P1628" i="16" s="1"/>
  <c r="R1794" i="16"/>
  <c r="P1794" i="16" s="1"/>
  <c r="Q2226" i="16"/>
  <c r="S2226" i="16" s="1"/>
  <c r="Q1888" i="16"/>
  <c r="S1888" i="16" s="1"/>
  <c r="R159" i="16"/>
  <c r="P159" i="16" s="1"/>
  <c r="R176" i="16"/>
  <c r="P176" i="16" s="1"/>
  <c r="Q10" i="16"/>
  <c r="S10" i="16" s="1"/>
  <c r="Q6" i="16"/>
  <c r="S6" i="16" s="1"/>
  <c r="R154" i="16"/>
  <c r="P154" i="16" s="1"/>
  <c r="R633" i="16"/>
  <c r="P633" i="16" s="1"/>
  <c r="Q1571" i="16"/>
  <c r="S1571" i="16" s="1"/>
  <c r="R441" i="16"/>
  <c r="P441" i="16" s="1"/>
  <c r="R1125" i="16"/>
  <c r="P1125" i="16" s="1"/>
  <c r="R1381" i="16"/>
  <c r="P1381" i="16" s="1"/>
  <c r="Q108" i="16"/>
  <c r="S108" i="16" s="1"/>
  <c r="Q922" i="16"/>
  <c r="S922" i="16" s="1"/>
  <c r="R1758" i="16"/>
  <c r="P1758" i="16" s="1"/>
  <c r="Q1950" i="16"/>
  <c r="S1950" i="16" s="1"/>
  <c r="Q1055" i="16"/>
  <c r="S1055" i="16" s="1"/>
  <c r="R1375" i="16"/>
  <c r="P1375" i="16" s="1"/>
  <c r="Q1567" i="16"/>
  <c r="S1567" i="16" s="1"/>
  <c r="Q1121" i="16"/>
  <c r="S1121" i="16" s="1"/>
  <c r="R1761" i="16"/>
  <c r="P1761" i="16" s="1"/>
  <c r="R299" i="16"/>
  <c r="P299" i="16" s="1"/>
  <c r="Q855" i="16"/>
  <c r="S855" i="16" s="1"/>
  <c r="R1508" i="16"/>
  <c r="P1508" i="16" s="1"/>
  <c r="Q2189" i="16"/>
  <c r="S2189" i="16" s="1"/>
  <c r="Q686" i="16"/>
  <c r="S686" i="16" s="1"/>
  <c r="Q1744" i="16"/>
  <c r="S1744" i="16" s="1"/>
  <c r="Q1340" i="16"/>
  <c r="S1340" i="16" s="1"/>
  <c r="Q2044" i="16"/>
  <c r="S2044" i="16" s="1"/>
  <c r="Q421" i="16"/>
  <c r="S421" i="16" s="1"/>
  <c r="R142" i="16"/>
  <c r="P142" i="16" s="1"/>
  <c r="Q1324" i="16"/>
  <c r="S1324" i="16" s="1"/>
  <c r="R1944" i="16"/>
  <c r="P1944" i="16" s="1"/>
  <c r="R295" i="16"/>
  <c r="P295" i="16" s="1"/>
  <c r="R904" i="16"/>
  <c r="P904" i="16" s="1"/>
  <c r="Q488" i="16"/>
  <c r="S488" i="16" s="1"/>
  <c r="R643" i="16"/>
  <c r="P643" i="16" s="1"/>
  <c r="R863" i="16"/>
  <c r="P863" i="16" s="1"/>
  <c r="Q1067" i="16"/>
  <c r="S1067" i="16" s="1"/>
  <c r="R1387" i="16"/>
  <c r="P1387" i="16" s="1"/>
  <c r="R1899" i="16"/>
  <c r="P1899" i="16" s="1"/>
  <c r="Q2091" i="16"/>
  <c r="S2091" i="16" s="1"/>
  <c r="R939" i="16"/>
  <c r="P939" i="16" s="1"/>
  <c r="R1197" i="16"/>
  <c r="P1197" i="16" s="1"/>
  <c r="R1453" i="16"/>
  <c r="P1453" i="16" s="1"/>
  <c r="R1709" i="16"/>
  <c r="P1709" i="16" s="1"/>
  <c r="R1318" i="16"/>
  <c r="P1318" i="16" s="1"/>
  <c r="T1318" i="16" s="1"/>
  <c r="Q1510" i="16"/>
  <c r="S1510" i="16" s="1"/>
  <c r="R1830" i="16"/>
  <c r="P1830" i="16" s="1"/>
  <c r="T1830" i="16" s="1"/>
  <c r="Q2022" i="16"/>
  <c r="S2022" i="16" s="1"/>
  <c r="R444" i="16"/>
  <c r="P444" i="16" s="1"/>
  <c r="R713" i="16"/>
  <c r="P713" i="16" s="1"/>
  <c r="R1447" i="16"/>
  <c r="P1447" i="16" s="1"/>
  <c r="R1767" i="16"/>
  <c r="P1767" i="16" s="1"/>
  <c r="R1959" i="16"/>
  <c r="P1959" i="16" s="1"/>
  <c r="Q870" i="16"/>
  <c r="S870" i="16" s="1"/>
  <c r="Q334" i="16"/>
  <c r="S334" i="16" s="1"/>
  <c r="R1524" i="16"/>
  <c r="P1524" i="16" s="1"/>
  <c r="R788" i="16"/>
  <c r="P788" i="16" s="1"/>
  <c r="Q1193" i="16"/>
  <c r="S1193" i="16" s="1"/>
  <c r="Q1986" i="16"/>
  <c r="S1986" i="16" s="1"/>
  <c r="R1730" i="16"/>
  <c r="P1730" i="16" s="1"/>
  <c r="R2193" i="16"/>
  <c r="P2193" i="16" s="1"/>
  <c r="Q2165" i="16"/>
  <c r="S2165" i="16" s="1"/>
  <c r="R370" i="16"/>
  <c r="P370" i="16" s="1"/>
  <c r="R1928" i="16"/>
  <c r="P1928" i="16" s="1"/>
  <c r="R1948" i="16"/>
  <c r="P1948" i="16" s="1"/>
  <c r="Q879" i="16"/>
  <c r="S879" i="16" s="1"/>
  <c r="R649" i="16"/>
  <c r="P649" i="16" s="1"/>
  <c r="Q2072" i="16"/>
  <c r="S2072" i="16" s="1"/>
  <c r="R2042" i="16"/>
  <c r="P2042" i="16" s="1"/>
  <c r="R233" i="16"/>
  <c r="P233" i="16" s="1"/>
  <c r="Q1769" i="16"/>
  <c r="S1769" i="16" s="1"/>
  <c r="Q2214" i="16"/>
  <c r="S2214" i="16" s="1"/>
  <c r="R1826" i="16"/>
  <c r="P1826" i="16" s="1"/>
  <c r="Q118" i="16"/>
  <c r="S118" i="16" s="1"/>
  <c r="Q1082" i="16"/>
  <c r="S1082" i="16" s="1"/>
  <c r="Q87" i="16"/>
  <c r="S87" i="16" s="1"/>
  <c r="R104" i="16"/>
  <c r="P104" i="16" s="1"/>
  <c r="R283" i="16"/>
  <c r="P283" i="16" s="1"/>
  <c r="R170" i="16"/>
  <c r="P170" i="16" s="1"/>
  <c r="R760" i="16"/>
  <c r="P760" i="16" s="1"/>
  <c r="T760" i="16" s="1"/>
  <c r="Q595" i="16"/>
  <c r="S595" i="16" s="1"/>
  <c r="R543" i="16"/>
  <c r="P543" i="16" s="1"/>
  <c r="Q621" i="16"/>
  <c r="S621" i="16" s="1"/>
  <c r="Q1371" i="16"/>
  <c r="S1371" i="16" s="1"/>
  <c r="R1691" i="16"/>
  <c r="P1691" i="16" s="1"/>
  <c r="Q1883" i="16"/>
  <c r="S1883" i="16" s="1"/>
  <c r="Q701" i="16"/>
  <c r="S701" i="16" s="1"/>
  <c r="R1373" i="16"/>
  <c r="P1373" i="16" s="1"/>
  <c r="Q86" i="16"/>
  <c r="S86" i="16" s="1"/>
  <c r="R1430" i="16"/>
  <c r="P1430" i="16" s="1"/>
  <c r="Q1622" i="16"/>
  <c r="S1622" i="16" s="1"/>
  <c r="R1942" i="16"/>
  <c r="P1942" i="16" s="1"/>
  <c r="R617" i="16"/>
  <c r="P617" i="16" s="1"/>
  <c r="R1361" i="16"/>
  <c r="P1361" i="16" s="1"/>
  <c r="Q2074" i="16"/>
  <c r="S2074" i="16" s="1"/>
  <c r="Q695" i="16"/>
  <c r="S695" i="16" s="1"/>
  <c r="R46" i="16"/>
  <c r="P46" i="16" s="1"/>
  <c r="Q2216" i="16"/>
  <c r="S2216" i="16" s="1"/>
  <c r="R1522" i="16"/>
  <c r="P1522" i="16" s="1"/>
  <c r="Q2058" i="16"/>
  <c r="S2058" i="16" s="1"/>
  <c r="Q1676" i="16"/>
  <c r="S1676" i="16" s="1"/>
  <c r="Q1180" i="16"/>
  <c r="S1180" i="16" s="1"/>
  <c r="Q1385" i="16"/>
  <c r="S1385" i="16" s="1"/>
  <c r="R2226" i="16"/>
  <c r="P2226" i="16" s="1"/>
  <c r="Q1788" i="16"/>
  <c r="S1788" i="16" s="1"/>
  <c r="Q1338" i="16"/>
  <c r="S1338" i="16" s="1"/>
  <c r="R1888" i="16"/>
  <c r="P1888" i="16" s="1"/>
  <c r="Q48" i="16"/>
  <c r="S48" i="16" s="1"/>
  <c r="R10" i="16"/>
  <c r="P10" i="16" s="1"/>
  <c r="Q266" i="16"/>
  <c r="S266" i="16" s="1"/>
  <c r="Q435" i="16"/>
  <c r="S435" i="16" s="1"/>
  <c r="R1571" i="16"/>
  <c r="P1571" i="16" s="1"/>
  <c r="Q1763" i="16"/>
  <c r="S1763" i="16" s="1"/>
  <c r="Q130" i="16"/>
  <c r="S130" i="16" s="1"/>
  <c r="Q1189" i="16"/>
  <c r="S1189" i="16" s="1"/>
  <c r="Q1445" i="16"/>
  <c r="S1445" i="16" s="1"/>
  <c r="Q1701" i="16"/>
  <c r="S1701" i="16" s="1"/>
  <c r="R108" i="16"/>
  <c r="P108" i="16" s="1"/>
  <c r="R922" i="16"/>
  <c r="P922" i="16" s="1"/>
  <c r="Q1118" i="16"/>
  <c r="S1118" i="16" s="1"/>
  <c r="Q1630" i="16"/>
  <c r="S1630" i="16" s="1"/>
  <c r="R1950" i="16"/>
  <c r="P1950" i="16" s="1"/>
  <c r="Q703" i="16"/>
  <c r="S703" i="16" s="1"/>
  <c r="R1055" i="16"/>
  <c r="P1055" i="16" s="1"/>
  <c r="R1567" i="16"/>
  <c r="P1567" i="16" s="1"/>
  <c r="R1121" i="16"/>
  <c r="P1121" i="16" s="1"/>
  <c r="R855" i="16"/>
  <c r="P855" i="16" s="1"/>
  <c r="Q1252" i="16"/>
  <c r="S1252" i="16" s="1"/>
  <c r="R2189" i="16"/>
  <c r="P2189" i="16" s="1"/>
  <c r="Q1128" i="16"/>
  <c r="S1128" i="16" s="1"/>
  <c r="R686" i="16"/>
  <c r="P686" i="16" s="1"/>
  <c r="Q1104" i="16"/>
  <c r="S1104" i="16" s="1"/>
  <c r="R1744" i="16"/>
  <c r="P1744" i="16" s="1"/>
  <c r="R1340" i="16"/>
  <c r="P1340" i="16" s="1"/>
  <c r="Q1938" i="16"/>
  <c r="S1938" i="16" s="1"/>
  <c r="R2044" i="16"/>
  <c r="P2044" i="16" s="1"/>
  <c r="R421" i="16"/>
  <c r="P421" i="16" s="1"/>
  <c r="Q2121" i="16"/>
  <c r="S2121" i="16" s="1"/>
  <c r="R1324" i="16"/>
  <c r="P1324" i="16" s="1"/>
  <c r="R519" i="16"/>
  <c r="P519" i="16" s="1"/>
  <c r="Q1442" i="16"/>
  <c r="S1442" i="16" s="1"/>
  <c r="R1322" i="16"/>
  <c r="P1322" i="16" s="1"/>
  <c r="R190" i="16"/>
  <c r="P190" i="16" s="1"/>
  <c r="Q776" i="16"/>
  <c r="S776" i="16" s="1"/>
  <c r="R488" i="16"/>
  <c r="P488" i="16" s="1"/>
  <c r="Q227" i="16"/>
  <c r="S227" i="16" s="1"/>
  <c r="Q717" i="16"/>
  <c r="S717" i="16" s="1"/>
  <c r="R1067" i="16"/>
  <c r="P1067" i="16" s="1"/>
  <c r="Q1771" i="16"/>
  <c r="S1771" i="16" s="1"/>
  <c r="R2091" i="16"/>
  <c r="P2091" i="16" s="1"/>
  <c r="Q150" i="16"/>
  <c r="S150" i="16" s="1"/>
  <c r="Q1773" i="16"/>
  <c r="S1773" i="16" s="1"/>
  <c r="R1510" i="16"/>
  <c r="P1510" i="16" s="1"/>
  <c r="Q1702" i="16"/>
  <c r="S1702" i="16" s="1"/>
  <c r="R2022" i="16"/>
  <c r="P2022" i="16" s="1"/>
  <c r="Q132" i="16"/>
  <c r="S132" i="16" s="1"/>
  <c r="Q1127" i="16"/>
  <c r="S1127" i="16" s="1"/>
  <c r="Q1447" i="16"/>
  <c r="S1447" i="16" s="1"/>
  <c r="Q1959" i="16"/>
  <c r="S1959" i="16" s="1"/>
  <c r="R2151" i="16"/>
  <c r="P2151" i="16" s="1"/>
  <c r="R870" i="16"/>
  <c r="P870" i="16" s="1"/>
  <c r="Q1268" i="16"/>
  <c r="S1268" i="16" s="1"/>
  <c r="R1193" i="16"/>
  <c r="P1193" i="16" s="1"/>
  <c r="Q798" i="16"/>
  <c r="S798" i="16" s="1"/>
  <c r="R1986" i="16"/>
  <c r="P1986" i="16" s="1"/>
  <c r="Q1576" i="16"/>
  <c r="S1576" i="16" s="1"/>
  <c r="Q2093" i="16"/>
  <c r="S2093" i="16" s="1"/>
  <c r="Q1314" i="16"/>
  <c r="S1314" i="16" s="1"/>
  <c r="Q1917" i="16"/>
  <c r="S1917" i="16" s="1"/>
  <c r="R2165" i="16"/>
  <c r="P2165" i="16" s="1"/>
  <c r="Q2002" i="16"/>
  <c r="S2002" i="16" s="1"/>
  <c r="Q346" i="16"/>
  <c r="S346" i="16" s="1"/>
  <c r="R879" i="16"/>
  <c r="P879" i="16" s="1"/>
  <c r="Q161" i="16"/>
  <c r="S161" i="16" s="1"/>
  <c r="Q1456" i="16"/>
  <c r="S1456" i="16" s="1"/>
  <c r="R2072" i="16"/>
  <c r="P2072" i="16" s="1"/>
  <c r="R773" i="16"/>
  <c r="P773" i="16" s="1"/>
  <c r="Q1608" i="16"/>
  <c r="S1608" i="16" s="1"/>
  <c r="R1769" i="16"/>
  <c r="P1769" i="16" s="1"/>
  <c r="R2214" i="16"/>
  <c r="P2214" i="16" s="1"/>
  <c r="Q2149" i="16"/>
  <c r="S2149" i="16" s="1"/>
  <c r="Q1146" i="16"/>
  <c r="S1146" i="16" s="1"/>
  <c r="Q4" i="16"/>
  <c r="S4" i="16" s="1"/>
  <c r="R118" i="16"/>
  <c r="P118" i="16" s="1"/>
  <c r="R1082" i="16"/>
  <c r="P1082" i="16" s="1"/>
  <c r="R87" i="16"/>
  <c r="P87" i="16" s="1"/>
  <c r="R279" i="16"/>
  <c r="P279" i="16" s="1"/>
  <c r="Q85" i="16"/>
  <c r="S85" i="16" s="1"/>
  <c r="Q275" i="16"/>
  <c r="S275" i="16" s="1"/>
  <c r="R621" i="16"/>
  <c r="P621" i="16" s="1"/>
  <c r="Q1051" i="16"/>
  <c r="S1051" i="16" s="1"/>
  <c r="R1371" i="16"/>
  <c r="P1371" i="16" s="1"/>
  <c r="R1883" i="16"/>
  <c r="P1883" i="16" s="1"/>
  <c r="R701" i="16"/>
  <c r="P701" i="16" s="1"/>
  <c r="Q1437" i="16"/>
  <c r="S1437" i="16" s="1"/>
  <c r="Q1693" i="16"/>
  <c r="S1693" i="16" s="1"/>
  <c r="R86" i="16"/>
  <c r="P86" i="16" s="1"/>
  <c r="Q1302" i="16"/>
  <c r="S1302" i="16" s="1"/>
  <c r="R1622" i="16"/>
  <c r="P1622" i="16" s="1"/>
  <c r="Q1814" i="16"/>
  <c r="S1814" i="16" s="1"/>
  <c r="Q1047" i="16"/>
  <c r="S1047" i="16" s="1"/>
  <c r="R2074" i="16"/>
  <c r="P2074" i="16" s="1"/>
  <c r="Q1620" i="16"/>
  <c r="S1620" i="16" s="1"/>
  <c r="R695" i="16"/>
  <c r="P695" i="16" s="1"/>
  <c r="Q1112" i="16"/>
  <c r="S1112" i="16" s="1"/>
  <c r="Q1161" i="16"/>
  <c r="S1161" i="16" s="1"/>
  <c r="Q1344" i="16"/>
  <c r="S1344" i="16" s="1"/>
  <c r="R2216" i="16"/>
  <c r="P2216" i="16" s="1"/>
  <c r="R2058" i="16"/>
  <c r="P2058" i="16" s="1"/>
  <c r="R1676" i="16"/>
  <c r="P1676" i="16" s="1"/>
  <c r="R1180" i="16"/>
  <c r="P1180" i="16" s="1"/>
  <c r="R1834" i="16"/>
  <c r="P1834" i="16" s="1"/>
  <c r="R1385" i="16"/>
  <c r="P1385" i="16" s="1"/>
  <c r="Q1968" i="16"/>
  <c r="S1968" i="16" s="1"/>
  <c r="R1788" i="16"/>
  <c r="P1788" i="16" s="1"/>
  <c r="Q1242" i="16"/>
  <c r="S1242" i="16" s="1"/>
  <c r="R1338" i="16"/>
  <c r="P1338" i="16" s="1"/>
  <c r="Q223" i="16"/>
  <c r="S223" i="16" s="1"/>
  <c r="R48" i="16"/>
  <c r="P48" i="16" s="1"/>
  <c r="Q240" i="16"/>
  <c r="S240" i="16" s="1"/>
  <c r="R266" i="16"/>
  <c r="P266" i="16" s="1"/>
  <c r="Q512" i="16"/>
  <c r="S512" i="16" s="1"/>
  <c r="R435" i="16"/>
  <c r="P435" i="16" s="1"/>
  <c r="T435" i="16" s="1"/>
  <c r="Q1443" i="16"/>
  <c r="S1443" i="16" s="1"/>
  <c r="R1763" i="16"/>
  <c r="P1763" i="16" s="1"/>
  <c r="T1763" i="16" s="1"/>
  <c r="Q1955" i="16"/>
  <c r="S1955" i="16" s="1"/>
  <c r="R130" i="16"/>
  <c r="P130" i="16" s="1"/>
  <c r="R1189" i="16"/>
  <c r="P1189" i="16" s="1"/>
  <c r="R1445" i="16"/>
  <c r="P1445" i="16" s="1"/>
  <c r="R1701" i="16"/>
  <c r="P1701" i="16" s="1"/>
  <c r="R1118" i="16"/>
  <c r="P1118" i="16" s="1"/>
  <c r="Q1310" i="16"/>
  <c r="S1310" i="16" s="1"/>
  <c r="R1630" i="16"/>
  <c r="P1630" i="16" s="1"/>
  <c r="T1630" i="16" s="1"/>
  <c r="Q1822" i="16"/>
  <c r="S1822" i="16" s="1"/>
  <c r="R703" i="16"/>
  <c r="P703" i="16" s="1"/>
  <c r="T703" i="16" s="1"/>
  <c r="Q1439" i="16"/>
  <c r="S1439" i="16" s="1"/>
  <c r="Q1882" i="16"/>
  <c r="S1882" i="16" s="1"/>
  <c r="R1252" i="16"/>
  <c r="P1252" i="16" s="1"/>
  <c r="Q1636" i="16"/>
  <c r="S1636" i="16" s="1"/>
  <c r="Q1988" i="16"/>
  <c r="S1988" i="16" s="1"/>
  <c r="R1128" i="16"/>
  <c r="P1128" i="16" s="1"/>
  <c r="Q916" i="16"/>
  <c r="S916" i="16" s="1"/>
  <c r="R1104" i="16"/>
  <c r="P1104" i="16" s="1"/>
  <c r="Q1593" i="16"/>
  <c r="S1593" i="16" s="1"/>
  <c r="R1938" i="16"/>
  <c r="P1938" i="16" s="1"/>
  <c r="Q1705" i="16"/>
  <c r="S1705" i="16" s="1"/>
  <c r="Q1154" i="16"/>
  <c r="S1154" i="16" s="1"/>
  <c r="R2121" i="16"/>
  <c r="P2121" i="16" s="1"/>
  <c r="Q1306" i="16"/>
  <c r="S1306" i="16" s="1"/>
  <c r="Q519" i="16"/>
  <c r="S519" i="16" s="1"/>
  <c r="R1442" i="16"/>
  <c r="P1442" i="16" s="1"/>
  <c r="Q1322" i="16"/>
  <c r="S1322" i="16" s="1"/>
  <c r="Q376" i="16"/>
  <c r="S376" i="16" s="1"/>
  <c r="Q190" i="16"/>
  <c r="S190" i="16" s="1"/>
  <c r="R446" i="16"/>
  <c r="P446" i="16" s="1"/>
  <c r="R776" i="16"/>
  <c r="P776" i="16" s="1"/>
  <c r="T776" i="16" s="1"/>
  <c r="Q363" i="16"/>
  <c r="S363" i="16" s="1"/>
  <c r="R227" i="16"/>
  <c r="P227" i="16" s="1"/>
  <c r="T227" i="16" s="1"/>
  <c r="Q452" i="16"/>
  <c r="S452" i="16" s="1"/>
  <c r="R717" i="16"/>
  <c r="P717" i="16" s="1"/>
  <c r="Q937" i="16"/>
  <c r="S937" i="16" s="1"/>
  <c r="Q1451" i="16"/>
  <c r="S1451" i="16" s="1"/>
  <c r="R1771" i="16"/>
  <c r="P1771" i="16" s="1"/>
  <c r="Q1963" i="16"/>
  <c r="S1963" i="16" s="1"/>
  <c r="R150" i="16"/>
  <c r="P150" i="16" s="1"/>
  <c r="R1773" i="16"/>
  <c r="P1773" i="16" s="1"/>
  <c r="R1702" i="16"/>
  <c r="P1702" i="16" s="1"/>
  <c r="R132" i="16"/>
  <c r="P132" i="16" s="1"/>
  <c r="T132" i="16" s="1"/>
  <c r="Q786" i="16"/>
  <c r="S786" i="16" s="1"/>
  <c r="R1127" i="16"/>
  <c r="P1127" i="16" s="1"/>
  <c r="Q2151" i="16"/>
  <c r="S2151" i="16" s="1"/>
  <c r="Q566" i="16"/>
  <c r="S566" i="16" s="1"/>
  <c r="R56" i="16"/>
  <c r="P56" i="16" s="1"/>
  <c r="R20" i="16"/>
  <c r="P20" i="16" s="1"/>
  <c r="R571" i="16"/>
  <c r="P571" i="16" s="1"/>
  <c r="R1652" i="16"/>
  <c r="P1652" i="16" s="1"/>
  <c r="Q1248" i="16"/>
  <c r="S1248" i="16" s="1"/>
  <c r="R1084" i="16"/>
  <c r="P1084" i="16" s="1"/>
  <c r="Q1880" i="16"/>
  <c r="S1880" i="16" s="1"/>
  <c r="R844" i="16"/>
  <c r="P844" i="16" s="1"/>
  <c r="Q1512" i="16"/>
  <c r="S1512" i="16" s="1"/>
  <c r="R111" i="16"/>
  <c r="P111" i="16" s="1"/>
  <c r="R128" i="16"/>
  <c r="P128" i="16" s="1"/>
  <c r="R116" i="16"/>
  <c r="P116" i="16" s="1"/>
  <c r="Q372" i="16"/>
  <c r="S372" i="16" s="1"/>
  <c r="Q912" i="16"/>
  <c r="S912" i="16" s="1"/>
  <c r="Q262" i="16"/>
  <c r="S262" i="16" s="1"/>
  <c r="R332" i="16"/>
  <c r="P332" i="16" s="1"/>
  <c r="R873" i="16"/>
  <c r="P873" i="16" s="1"/>
  <c r="Q1075" i="16"/>
  <c r="S1075" i="16" s="1"/>
  <c r="R1395" i="16"/>
  <c r="P1395" i="16" s="1"/>
  <c r="Q1587" i="16"/>
  <c r="S1587" i="16" s="1"/>
  <c r="R1907" i="16"/>
  <c r="P1907" i="16" s="1"/>
  <c r="R729" i="16"/>
  <c r="P729" i="16" s="1"/>
  <c r="Q1205" i="16"/>
  <c r="S1205" i="16" s="1"/>
  <c r="Q1717" i="16"/>
  <c r="S1717" i="16" s="1"/>
  <c r="Q1134" i="16"/>
  <c r="S1134" i="16" s="1"/>
  <c r="Q1646" i="16"/>
  <c r="S1646" i="16" s="1"/>
  <c r="Q460" i="16"/>
  <c r="S460" i="16" s="1"/>
  <c r="R1071" i="16"/>
  <c r="P1071" i="16" s="1"/>
  <c r="R1583" i="16"/>
  <c r="P1583" i="16" s="1"/>
  <c r="Q1775" i="16"/>
  <c r="S1775" i="16" s="1"/>
  <c r="R2095" i="16"/>
  <c r="P2095" i="16" s="1"/>
  <c r="R365" i="16"/>
  <c r="P365" i="16" s="1"/>
  <c r="R1537" i="16"/>
  <c r="P1537" i="16" s="1"/>
  <c r="Q591" i="16"/>
  <c r="S591" i="16" s="1"/>
  <c r="R381" i="16"/>
  <c r="P381" i="16" s="1"/>
  <c r="R953" i="16"/>
  <c r="P953" i="16" s="1"/>
  <c r="R869" i="16"/>
  <c r="P869" i="16" s="1"/>
  <c r="Q1264" i="16"/>
  <c r="S1264" i="16" s="1"/>
  <c r="R2080" i="16"/>
  <c r="P2080" i="16" s="1"/>
  <c r="Q2181" i="16"/>
  <c r="S2181" i="16" s="1"/>
  <c r="R890" i="16"/>
  <c r="P890" i="16" s="1"/>
  <c r="R1980" i="16"/>
  <c r="P1980" i="16" s="1"/>
  <c r="Q2050" i="16"/>
  <c r="S2050" i="16" s="1"/>
  <c r="R247" i="16"/>
  <c r="P247" i="16" s="1"/>
  <c r="Q439" i="16"/>
  <c r="S439" i="16" s="1"/>
  <c r="R264" i="16"/>
  <c r="P264" i="16" s="1"/>
  <c r="Q456" i="16"/>
  <c r="S456" i="16" s="1"/>
  <c r="Q241" i="16"/>
  <c r="S241" i="16" s="1"/>
  <c r="Q126" i="16"/>
  <c r="S126" i="16" s="1"/>
  <c r="R163" i="16"/>
  <c r="P163" i="16" s="1"/>
  <c r="Q83" i="16"/>
  <c r="S83" i="16" s="1"/>
  <c r="R28" i="16"/>
  <c r="P28" i="16" s="1"/>
  <c r="R580" i="16"/>
  <c r="P580" i="16" s="1"/>
  <c r="R1659" i="16"/>
  <c r="P1659" i="16" s="1"/>
  <c r="R2171" i="16"/>
  <c r="P2171" i="16" s="1"/>
  <c r="Q356" i="16"/>
  <c r="S356" i="16" s="1"/>
  <c r="Q1597" i="16"/>
  <c r="S1597" i="16" s="1"/>
  <c r="Q1270" i="16"/>
  <c r="S1270" i="16" s="1"/>
  <c r="Q1782" i="16"/>
  <c r="S1782" i="16" s="1"/>
  <c r="R2102" i="16"/>
  <c r="P2102" i="16" s="1"/>
  <c r="Q342" i="16"/>
  <c r="S342" i="16" s="1"/>
  <c r="R804" i="16"/>
  <c r="P804" i="16" s="1"/>
  <c r="R1015" i="16"/>
  <c r="P1015" i="16" s="1"/>
  <c r="Q1207" i="16"/>
  <c r="S1207" i="16" s="1"/>
  <c r="Q1719" i="16"/>
  <c r="S1719" i="16" s="1"/>
  <c r="Q1425" i="16"/>
  <c r="S1425" i="16" s="1"/>
  <c r="R2024" i="16"/>
  <c r="P2024" i="16" s="1"/>
  <c r="R910" i="16"/>
  <c r="P910" i="16" s="1"/>
  <c r="Q1300" i="16"/>
  <c r="S1300" i="16" s="1"/>
  <c r="Q90" i="16"/>
  <c r="S90" i="16" s="1"/>
  <c r="Q769" i="16"/>
  <c r="S769" i="16" s="1"/>
  <c r="R230" i="16"/>
  <c r="P230" i="16" s="1"/>
  <c r="Q825" i="16"/>
  <c r="S825" i="16" s="1"/>
  <c r="R587" i="16"/>
  <c r="P587" i="16" s="1"/>
  <c r="R1024" i="16"/>
  <c r="P1024" i="16" s="1"/>
  <c r="R810" i="16"/>
  <c r="P810" i="16" s="1"/>
  <c r="R1992" i="16"/>
  <c r="P1992" i="16" s="1"/>
  <c r="R1090" i="16"/>
  <c r="P1090" i="16" s="1"/>
  <c r="Q1784" i="16"/>
  <c r="S1784" i="16" s="1"/>
  <c r="Q2222" i="16"/>
  <c r="S2222" i="16" s="1"/>
  <c r="R1266" i="16"/>
  <c r="P1266" i="16" s="1"/>
  <c r="R1516" i="16"/>
  <c r="P1516" i="16" s="1"/>
  <c r="R926" i="16"/>
  <c r="P926" i="16" s="1"/>
  <c r="R1640" i="16"/>
  <c r="P1640" i="16" s="1"/>
  <c r="Q1996" i="16"/>
  <c r="S1996" i="16" s="1"/>
  <c r="R16" i="16"/>
  <c r="P16" i="16" s="1"/>
  <c r="Q208" i="16"/>
  <c r="S208" i="16" s="1"/>
  <c r="Q477" i="16"/>
  <c r="S477" i="16" s="1"/>
  <c r="R800" i="16"/>
  <c r="P800" i="16" s="1"/>
  <c r="R1219" i="16"/>
  <c r="P1219" i="16" s="1"/>
  <c r="Q1411" i="16"/>
  <c r="S1411" i="16" s="1"/>
  <c r="R36" i="16"/>
  <c r="P36" i="16" s="1"/>
  <c r="Q965" i="16"/>
  <c r="S965" i="16" s="1"/>
  <c r="Q1221" i="16"/>
  <c r="S1221" i="16" s="1"/>
  <c r="Q1982" i="16"/>
  <c r="S1982" i="16" s="1"/>
  <c r="Q1407" i="16"/>
  <c r="S1407" i="16" s="1"/>
  <c r="R1727" i="16"/>
  <c r="P1727" i="16" s="1"/>
  <c r="R1569" i="16"/>
  <c r="P1569" i="16" s="1"/>
  <c r="R1933" i="16"/>
  <c r="P1933" i="16" s="1"/>
  <c r="Q2228" i="16"/>
  <c r="S2228" i="16" s="1"/>
  <c r="Q1316" i="16"/>
  <c r="S1316" i="16" s="1"/>
  <c r="R1937" i="16"/>
  <c r="P1937" i="16" s="1"/>
  <c r="R2230" i="16"/>
  <c r="P2230" i="16" s="1"/>
  <c r="Q1040" i="16"/>
  <c r="S1040" i="16" s="1"/>
  <c r="R1680" i="16"/>
  <c r="P1680" i="16" s="1"/>
  <c r="R535" i="16"/>
  <c r="P535" i="16" s="1"/>
  <c r="Q210" i="16"/>
  <c r="S210" i="16" s="1"/>
  <c r="R1804" i="16"/>
  <c r="P1804" i="16" s="1"/>
  <c r="Q589" i="16"/>
  <c r="S589" i="16" s="1"/>
  <c r="R997" i="16"/>
  <c r="P997" i="16" s="1"/>
  <c r="Q1182" i="16"/>
  <c r="S1182" i="16" s="1"/>
  <c r="Q619" i="16"/>
  <c r="S619" i="16" s="1"/>
  <c r="Q510" i="16"/>
  <c r="S510" i="16" s="1"/>
  <c r="Q2267" i="16"/>
  <c r="S2267" i="16" s="1"/>
  <c r="Q840" i="16"/>
  <c r="S840" i="16" s="1"/>
  <c r="R1451" i="16"/>
  <c r="P1451" i="16" s="1"/>
  <c r="R1191" i="16"/>
  <c r="P1191" i="16" s="1"/>
  <c r="Q851" i="16"/>
  <c r="S851" i="16" s="1"/>
  <c r="R2093" i="16"/>
  <c r="P2093" i="16" s="1"/>
  <c r="T2093" i="16" s="1"/>
  <c r="Q1528" i="16"/>
  <c r="S1528" i="16" s="1"/>
  <c r="Q2263" i="16"/>
  <c r="S2263" i="16" s="1"/>
  <c r="Q1481" i="16"/>
  <c r="S1481" i="16" s="1"/>
  <c r="R1512" i="16"/>
  <c r="P1512" i="16" s="1"/>
  <c r="Q545" i="16"/>
  <c r="S545" i="16" s="1"/>
  <c r="Q315" i="16"/>
  <c r="S315" i="16" s="1"/>
  <c r="R372" i="16"/>
  <c r="P372" i="16" s="1"/>
  <c r="R912" i="16"/>
  <c r="P912" i="16" s="1"/>
  <c r="R262" i="16"/>
  <c r="P262" i="16" s="1"/>
  <c r="Q498" i="16"/>
  <c r="S498" i="16" s="1"/>
  <c r="Q242" i="16"/>
  <c r="S242" i="16" s="1"/>
  <c r="R1075" i="16"/>
  <c r="P1075" i="16" s="1"/>
  <c r="R1587" i="16"/>
  <c r="P1587" i="16" s="1"/>
  <c r="T1587" i="16" s="1"/>
  <c r="Q572" i="16"/>
  <c r="S572" i="16" s="1"/>
  <c r="R1205" i="16"/>
  <c r="P1205" i="16" s="1"/>
  <c r="R1717" i="16"/>
  <c r="P1717" i="16" s="1"/>
  <c r="R1134" i="16"/>
  <c r="P1134" i="16" s="1"/>
  <c r="Q1326" i="16"/>
  <c r="S1326" i="16" s="1"/>
  <c r="R1646" i="16"/>
  <c r="P1646" i="16" s="1"/>
  <c r="T1646" i="16" s="1"/>
  <c r="Q1838" i="16"/>
  <c r="S1838" i="16" s="1"/>
  <c r="R460" i="16"/>
  <c r="P460" i="16" s="1"/>
  <c r="Q941" i="16"/>
  <c r="S941" i="16" s="1"/>
  <c r="R1775" i="16"/>
  <c r="P1775" i="16" s="1"/>
  <c r="T1775" i="16" s="1"/>
  <c r="Q2208" i="16"/>
  <c r="S2208" i="16" s="1"/>
  <c r="Q597" i="16"/>
  <c r="S597" i="16" s="1"/>
  <c r="Q660" i="16"/>
  <c r="S660" i="16" s="1"/>
  <c r="R1264" i="16"/>
  <c r="P1264" i="16" s="1"/>
  <c r="Q1648" i="16"/>
  <c r="S1648" i="16" s="1"/>
  <c r="Q2250" i="16"/>
  <c r="S2250" i="16" s="1"/>
  <c r="R1130" i="16"/>
  <c r="P1130" i="16" s="1"/>
  <c r="Q2232" i="16"/>
  <c r="S2232" i="16" s="1"/>
  <c r="Q1754" i="16"/>
  <c r="S1754" i="16" s="1"/>
  <c r="R2181" i="16"/>
  <c r="P2181" i="16" s="1"/>
  <c r="T2181" i="16" s="1"/>
  <c r="Q1560" i="16"/>
  <c r="S1560" i="16" s="1"/>
  <c r="R2050" i="16"/>
  <c r="P2050" i="16" s="1"/>
  <c r="Q1458" i="16"/>
  <c r="S1458" i="16" s="1"/>
  <c r="R439" i="16"/>
  <c r="P439" i="16" s="1"/>
  <c r="Q136" i="16"/>
  <c r="S136" i="16" s="1"/>
  <c r="R456" i="16"/>
  <c r="P456" i="16" s="1"/>
  <c r="R241" i="16"/>
  <c r="P241" i="16" s="1"/>
  <c r="R126" i="16"/>
  <c r="P126" i="16" s="1"/>
  <c r="Q920" i="16"/>
  <c r="S920" i="16" s="1"/>
  <c r="Q277" i="16"/>
  <c r="S277" i="16" s="1"/>
  <c r="R83" i="16"/>
  <c r="P83" i="16" s="1"/>
  <c r="T83" i="16" s="1"/>
  <c r="Q418" i="16"/>
  <c r="S418" i="16" s="1"/>
  <c r="R356" i="16"/>
  <c r="P356" i="16" s="1"/>
  <c r="R1597" i="16"/>
  <c r="P1597" i="16" s="1"/>
  <c r="Q949" i="16"/>
  <c r="S949" i="16" s="1"/>
  <c r="R1270" i="16"/>
  <c r="P1270" i="16" s="1"/>
  <c r="R1782" i="16"/>
  <c r="P1782" i="16" s="1"/>
  <c r="Q1974" i="16"/>
  <c r="S1974" i="16" s="1"/>
  <c r="R342" i="16"/>
  <c r="P342" i="16" s="1"/>
  <c r="Q658" i="16"/>
  <c r="S658" i="16" s="1"/>
  <c r="Q877" i="16"/>
  <c r="S877" i="16" s="1"/>
  <c r="R1207" i="16"/>
  <c r="P1207" i="16" s="1"/>
  <c r="Q1399" i="16"/>
  <c r="S1399" i="16" s="1"/>
  <c r="R1719" i="16"/>
  <c r="P1719" i="16" s="1"/>
  <c r="Q1911" i="16"/>
  <c r="S1911" i="16" s="1"/>
  <c r="R1425" i="16"/>
  <c r="P1425" i="16" s="1"/>
  <c r="T1425" i="16" s="1"/>
  <c r="Q612" i="16"/>
  <c r="S612" i="16" s="1"/>
  <c r="R1300" i="16"/>
  <c r="P1300" i="16" s="1"/>
  <c r="Q1684" i="16"/>
  <c r="S1684" i="16" s="1"/>
  <c r="R90" i="16"/>
  <c r="P90" i="16" s="1"/>
  <c r="T90" i="16" s="1"/>
  <c r="R769" i="16"/>
  <c r="P769" i="16" s="1"/>
  <c r="T769" i="16" s="1"/>
  <c r="Q1176" i="16"/>
  <c r="S1176" i="16" s="1"/>
  <c r="R825" i="16"/>
  <c r="P825" i="16" s="1"/>
  <c r="T825" i="16" s="1"/>
  <c r="Q22" i="16"/>
  <c r="S22" i="16" s="1"/>
  <c r="Q1792" i="16"/>
  <c r="S1792" i="16" s="1"/>
  <c r="Q2020" i="16"/>
  <c r="S2020" i="16" s="1"/>
  <c r="Q810" i="16"/>
  <c r="S810" i="16" s="1"/>
  <c r="Q97" i="16"/>
  <c r="S97" i="16" s="1"/>
  <c r="R1784" i="16"/>
  <c r="P1784" i="16" s="1"/>
  <c r="T1784" i="16" s="1"/>
  <c r="R2222" i="16"/>
  <c r="P2222" i="16" s="1"/>
  <c r="T2222" i="16" s="1"/>
  <c r="Q1624" i="16"/>
  <c r="S1624" i="16" s="1"/>
  <c r="Q2098" i="16"/>
  <c r="S2098" i="16" s="1"/>
  <c r="Q2153" i="16"/>
  <c r="S2153" i="16" s="1"/>
  <c r="R1996" i="16"/>
  <c r="P1996" i="16" s="1"/>
  <c r="Q383" i="16"/>
  <c r="S383" i="16" s="1"/>
  <c r="R208" i="16"/>
  <c r="P208" i="16" s="1"/>
  <c r="Q165" i="16"/>
  <c r="S165" i="16" s="1"/>
  <c r="R477" i="16"/>
  <c r="P477" i="16" s="1"/>
  <c r="Q672" i="16"/>
  <c r="S672" i="16" s="1"/>
  <c r="Q641" i="16"/>
  <c r="S641" i="16" s="1"/>
  <c r="Q1091" i="16"/>
  <c r="S1091" i="16" s="1"/>
  <c r="R1411" i="16"/>
  <c r="P1411" i="16" s="1"/>
  <c r="Q2115" i="16"/>
  <c r="S2115" i="16" s="1"/>
  <c r="R965" i="16"/>
  <c r="P965" i="16" s="1"/>
  <c r="R1221" i="16"/>
  <c r="P1221" i="16" s="1"/>
  <c r="Q1477" i="16"/>
  <c r="S1477" i="16" s="1"/>
  <c r="Q1150" i="16"/>
  <c r="S1150" i="16" s="1"/>
  <c r="R1982" i="16"/>
  <c r="P1982" i="16" s="1"/>
  <c r="R1407" i="16"/>
  <c r="P1407" i="16" s="1"/>
  <c r="R2111" i="16"/>
  <c r="P2111" i="16" s="1"/>
  <c r="Q433" i="16"/>
  <c r="S433" i="16" s="1"/>
  <c r="R2228" i="16"/>
  <c r="P2228" i="16" s="1"/>
  <c r="R1316" i="16"/>
  <c r="P1316" i="16" s="1"/>
  <c r="R1040" i="16"/>
  <c r="P1040" i="16" s="1"/>
  <c r="Q535" i="16"/>
  <c r="S535" i="16" s="1"/>
  <c r="Q2008" i="16"/>
  <c r="S2008" i="16" s="1"/>
  <c r="R210" i="16"/>
  <c r="P210" i="16" s="1"/>
  <c r="T210" i="16" s="1"/>
  <c r="Q1554" i="16"/>
  <c r="S1554" i="16" s="1"/>
  <c r="R589" i="16"/>
  <c r="P589" i="16" s="1"/>
  <c r="T589" i="16" s="1"/>
  <c r="Q881" i="16"/>
  <c r="S881" i="16" s="1"/>
  <c r="Q1100" i="16"/>
  <c r="S1100" i="16" s="1"/>
  <c r="Q148" i="16"/>
  <c r="S148" i="16" s="1"/>
  <c r="Q744" i="16"/>
  <c r="S744" i="16" s="1"/>
  <c r="Q110" i="16"/>
  <c r="S110" i="16" s="1"/>
  <c r="R2147" i="16"/>
  <c r="P2147" i="16" s="1"/>
  <c r="R1765" i="16"/>
  <c r="P1765" i="16" s="1"/>
  <c r="T1765" i="16" s="1"/>
  <c r="R996" i="16"/>
  <c r="P996" i="16" s="1"/>
  <c r="R1874" i="16"/>
  <c r="P1874" i="16" s="1"/>
  <c r="Q446" i="16"/>
  <c r="S446" i="16" s="1"/>
  <c r="R452" i="16"/>
  <c r="P452" i="16" s="1"/>
  <c r="R937" i="16"/>
  <c r="P937" i="16" s="1"/>
  <c r="R1963" i="16"/>
  <c r="P1963" i="16" s="1"/>
  <c r="Q1581" i="16"/>
  <c r="S1581" i="16" s="1"/>
  <c r="R1703" i="16"/>
  <c r="P1703" i="16" s="1"/>
  <c r="R1268" i="16"/>
  <c r="P1268" i="16" s="1"/>
  <c r="R851" i="16"/>
  <c r="P851" i="16" s="1"/>
  <c r="T851" i="16" s="1"/>
  <c r="R798" i="16"/>
  <c r="P798" i="16" s="1"/>
  <c r="Q1618" i="16"/>
  <c r="S1618" i="16" s="1"/>
  <c r="R2263" i="16"/>
  <c r="P2263" i="16" s="1"/>
  <c r="T2263" i="16" s="1"/>
  <c r="R1481" i="16"/>
  <c r="P1481" i="16" s="1"/>
  <c r="T1481" i="16" s="1"/>
  <c r="Q682" i="16"/>
  <c r="S682" i="16" s="1"/>
  <c r="R545" i="16"/>
  <c r="P545" i="16" s="1"/>
  <c r="T545" i="16" s="1"/>
  <c r="Q192" i="16"/>
  <c r="S192" i="16" s="1"/>
  <c r="R315" i="16"/>
  <c r="P315" i="16" s="1"/>
  <c r="Q202" i="16"/>
  <c r="S202" i="16" s="1"/>
  <c r="Q784" i="16"/>
  <c r="S784" i="16" s="1"/>
  <c r="R498" i="16"/>
  <c r="P498" i="16" s="1"/>
  <c r="T498" i="16" s="1"/>
  <c r="R242" i="16"/>
  <c r="P242" i="16" s="1"/>
  <c r="T242" i="16" s="1"/>
  <c r="R572" i="16"/>
  <c r="P572" i="16" s="1"/>
  <c r="Q802" i="16"/>
  <c r="S802" i="16" s="1"/>
  <c r="Q1013" i="16"/>
  <c r="S1013" i="16" s="1"/>
  <c r="R1326" i="16"/>
  <c r="P1326" i="16" s="1"/>
  <c r="Q1518" i="16"/>
  <c r="S1518" i="16" s="1"/>
  <c r="R1838" i="16"/>
  <c r="P1838" i="16" s="1"/>
  <c r="Q2030" i="16"/>
  <c r="S2030" i="16" s="1"/>
  <c r="R941" i="16"/>
  <c r="P941" i="16" s="1"/>
  <c r="Q2159" i="16"/>
  <c r="S2159" i="16" s="1"/>
  <c r="R2208" i="16"/>
  <c r="P2208" i="16" s="1"/>
  <c r="Q34" i="16"/>
  <c r="S34" i="16" s="1"/>
  <c r="R746" i="16"/>
  <c r="P746" i="16" s="1"/>
  <c r="Q1796" i="16"/>
  <c r="S1796" i="16" s="1"/>
  <c r="R597" i="16"/>
  <c r="P597" i="16" s="1"/>
  <c r="T597" i="16" s="1"/>
  <c r="Q1032" i="16"/>
  <c r="S1032" i="16" s="1"/>
  <c r="R660" i="16"/>
  <c r="P660" i="16" s="1"/>
  <c r="R1648" i="16"/>
  <c r="P1648" i="16" s="1"/>
  <c r="T1648" i="16" s="1"/>
  <c r="R2250" i="16"/>
  <c r="P2250" i="16" s="1"/>
  <c r="T2250" i="16" s="1"/>
  <c r="Q1130" i="16"/>
  <c r="S1130" i="16" s="1"/>
  <c r="Q1802" i="16"/>
  <c r="S1802" i="16" s="1"/>
  <c r="R2232" i="16"/>
  <c r="P2232" i="16" s="1"/>
  <c r="R1754" i="16"/>
  <c r="P1754" i="16" s="1"/>
  <c r="Q2206" i="16"/>
  <c r="S2206" i="16" s="1"/>
  <c r="Q1545" i="16"/>
  <c r="S1545" i="16" s="1"/>
  <c r="R1560" i="16"/>
  <c r="P1560" i="16" s="1"/>
  <c r="Q853" i="16"/>
  <c r="S853" i="16" s="1"/>
  <c r="R1458" i="16"/>
  <c r="P1458" i="16" s="1"/>
  <c r="Q311" i="16"/>
  <c r="S311" i="16" s="1"/>
  <c r="R136" i="16"/>
  <c r="P136" i="16" s="1"/>
  <c r="R920" i="16"/>
  <c r="P920" i="16" s="1"/>
  <c r="R277" i="16"/>
  <c r="P277" i="16" s="1"/>
  <c r="Q558" i="16"/>
  <c r="S558" i="16" s="1"/>
  <c r="R418" i="16"/>
  <c r="P418" i="16" s="1"/>
  <c r="Q662" i="16"/>
  <c r="S662" i="16" s="1"/>
  <c r="Q1211" i="16"/>
  <c r="S1211" i="16" s="1"/>
  <c r="Q1723" i="16"/>
  <c r="S1723" i="16" s="1"/>
  <c r="Q14" i="16"/>
  <c r="S14" i="16" s="1"/>
  <c r="Q1405" i="16"/>
  <c r="S1405" i="16" s="1"/>
  <c r="Q1661" i="16"/>
  <c r="S1661" i="16" s="1"/>
  <c r="R949" i="16"/>
  <c r="P949" i="16" s="1"/>
  <c r="Q1654" i="16"/>
  <c r="S1654" i="16" s="1"/>
  <c r="R1974" i="16"/>
  <c r="P1974" i="16" s="1"/>
  <c r="R658" i="16"/>
  <c r="P658" i="16" s="1"/>
  <c r="R877" i="16"/>
  <c r="P877" i="16" s="1"/>
  <c r="Q1079" i="16"/>
  <c r="S1079" i="16" s="1"/>
  <c r="R1399" i="16"/>
  <c r="P1399" i="16" s="1"/>
  <c r="Q1591" i="16"/>
  <c r="S1591" i="16" s="1"/>
  <c r="R1911" i="16"/>
  <c r="P1911" i="16" s="1"/>
  <c r="R612" i="16"/>
  <c r="P612" i="16" s="1"/>
  <c r="T612" i="16" s="1"/>
  <c r="R1684" i="16"/>
  <c r="P1684" i="16" s="1"/>
  <c r="Q2026" i="16"/>
  <c r="S2026" i="16" s="1"/>
  <c r="R1176" i="16"/>
  <c r="P1176" i="16" s="1"/>
  <c r="Q506" i="16"/>
  <c r="S506" i="16" s="1"/>
  <c r="R22" i="16"/>
  <c r="P22" i="16" s="1"/>
  <c r="Q1152" i="16"/>
  <c r="S1152" i="16" s="1"/>
  <c r="R1792" i="16"/>
  <c r="P1792" i="16" s="1"/>
  <c r="R2020" i="16"/>
  <c r="P2020" i="16" s="1"/>
  <c r="R97" i="16"/>
  <c r="P97" i="16" s="1"/>
  <c r="Q1957" i="16"/>
  <c r="S1957" i="16" s="1"/>
  <c r="Q1736" i="16"/>
  <c r="S1736" i="16" s="1"/>
  <c r="Q2016" i="16"/>
  <c r="S2016" i="16" s="1"/>
  <c r="Q1610" i="16"/>
  <c r="S1610" i="16" s="1"/>
  <c r="R1624" i="16"/>
  <c r="P1624" i="16" s="1"/>
  <c r="R2098" i="16"/>
  <c r="P2098" i="16" s="1"/>
  <c r="T2098" i="16" s="1"/>
  <c r="R2153" i="16"/>
  <c r="P2153" i="16" s="1"/>
  <c r="T2153" i="16" s="1"/>
  <c r="R383" i="16"/>
  <c r="P383" i="16" s="1"/>
  <c r="Q80" i="16"/>
  <c r="S80" i="16" s="1"/>
  <c r="R165" i="16"/>
  <c r="P165" i="16" s="1"/>
  <c r="Q52" i="16"/>
  <c r="S52" i="16" s="1"/>
  <c r="R672" i="16"/>
  <c r="P672" i="16" s="1"/>
  <c r="R641" i="16"/>
  <c r="P641" i="16" s="1"/>
  <c r="R1091" i="16"/>
  <c r="P1091" i="16" s="1"/>
  <c r="R2115" i="16"/>
  <c r="P2115" i="16" s="1"/>
  <c r="Q1029" i="16"/>
  <c r="S1029" i="16" s="1"/>
  <c r="Q1285" i="16"/>
  <c r="S1285" i="16" s="1"/>
  <c r="R1477" i="16"/>
  <c r="P1477" i="16" s="1"/>
  <c r="Q583" i="16"/>
  <c r="S583" i="16" s="1"/>
  <c r="R1150" i="16"/>
  <c r="P1150" i="16" s="1"/>
  <c r="Q1342" i="16"/>
  <c r="S1342" i="16" s="1"/>
  <c r="Q1854" i="16"/>
  <c r="S1854" i="16" s="1"/>
  <c r="Q490" i="16"/>
  <c r="S490" i="16" s="1"/>
  <c r="Q1279" i="16"/>
  <c r="S1279" i="16" s="1"/>
  <c r="Q2111" i="16"/>
  <c r="S2111" i="16" s="1"/>
  <c r="R433" i="16"/>
  <c r="P433" i="16" s="1"/>
  <c r="Q1697" i="16"/>
  <c r="S1697" i="16" s="1"/>
  <c r="Q2036" i="16"/>
  <c r="S2036" i="16" s="1"/>
  <c r="Q2040" i="16"/>
  <c r="S2040" i="16" s="1"/>
  <c r="Q137" i="16"/>
  <c r="S137" i="16" s="1"/>
  <c r="Q1808" i="16"/>
  <c r="S1808" i="16" s="1"/>
  <c r="R2008" i="16"/>
  <c r="P2008" i="16" s="1"/>
  <c r="R1554" i="16"/>
  <c r="P1554" i="16" s="1"/>
  <c r="R881" i="16"/>
  <c r="P881" i="16" s="1"/>
  <c r="T881" i="16" s="1"/>
  <c r="R1100" i="16"/>
  <c r="P1100" i="16" s="1"/>
  <c r="T1100" i="16" s="1"/>
  <c r="Q152" i="16"/>
  <c r="S152" i="16" s="1"/>
  <c r="R148" i="16"/>
  <c r="P148" i="16" s="1"/>
  <c r="Q404" i="16"/>
  <c r="S404" i="16" s="1"/>
  <c r="R744" i="16"/>
  <c r="P744" i="16" s="1"/>
  <c r="Q306" i="16"/>
  <c r="S306" i="16" s="1"/>
  <c r="R110" i="16"/>
  <c r="P110" i="16" s="1"/>
  <c r="Q442" i="16"/>
  <c r="S442" i="16" s="1"/>
  <c r="Q387" i="16"/>
  <c r="S387" i="16" s="1"/>
  <c r="R990" i="16"/>
  <c r="P990" i="16" s="1"/>
  <c r="R250" i="16"/>
  <c r="P250" i="16" s="1"/>
  <c r="R363" i="16"/>
  <c r="P363" i="16" s="1"/>
  <c r="R1581" i="16"/>
  <c r="P1581" i="16" s="1"/>
  <c r="T1581" i="16" s="1"/>
  <c r="Q637" i="16"/>
  <c r="S637" i="16" s="1"/>
  <c r="Q639" i="16"/>
  <c r="S639" i="16" s="1"/>
  <c r="Q289" i="16"/>
  <c r="S289" i="16" s="1"/>
  <c r="R1618" i="16"/>
  <c r="P1618" i="16" s="1"/>
  <c r="R1576" i="16"/>
  <c r="P1576" i="16" s="1"/>
  <c r="Q2220" i="16"/>
  <c r="S2220" i="16" s="1"/>
  <c r="R1917" i="16"/>
  <c r="P1917" i="16" s="1"/>
  <c r="R682" i="16"/>
  <c r="P682" i="16" s="1"/>
  <c r="T682" i="16" s="1"/>
  <c r="Q367" i="16"/>
  <c r="S367" i="16" s="1"/>
  <c r="R192" i="16"/>
  <c r="P192" i="16" s="1"/>
  <c r="R202" i="16"/>
  <c r="P202" i="16" s="1"/>
  <c r="Q458" i="16"/>
  <c r="S458" i="16" s="1"/>
  <c r="R784" i="16"/>
  <c r="P784" i="16" s="1"/>
  <c r="T784" i="16" s="1"/>
  <c r="Q2163" i="16"/>
  <c r="S2163" i="16" s="1"/>
  <c r="Q338" i="16"/>
  <c r="S338" i="16" s="1"/>
  <c r="R802" i="16"/>
  <c r="P802" i="16" s="1"/>
  <c r="R1013" i="16"/>
  <c r="P1013" i="16" s="1"/>
  <c r="Q1198" i="16"/>
  <c r="S1198" i="16" s="1"/>
  <c r="R1518" i="16"/>
  <c r="P1518" i="16" s="1"/>
  <c r="R2030" i="16"/>
  <c r="P2030" i="16" s="1"/>
  <c r="Q564" i="16"/>
  <c r="S564" i="16" s="1"/>
  <c r="R2159" i="16"/>
  <c r="P2159" i="16" s="1"/>
  <c r="Q2010" i="16"/>
  <c r="S2010" i="16" s="1"/>
  <c r="R34" i="16"/>
  <c r="P34" i="16" s="1"/>
  <c r="Q746" i="16"/>
  <c r="S746" i="16" s="1"/>
  <c r="R1796" i="16"/>
  <c r="P1796" i="16" s="1"/>
  <c r="R1032" i="16"/>
  <c r="P1032" i="16" s="1"/>
  <c r="Q186" i="16"/>
  <c r="S186" i="16" s="1"/>
  <c r="Q2004" i="16"/>
  <c r="S2004" i="16" s="1"/>
  <c r="Q194" i="16"/>
  <c r="S194" i="16" s="1"/>
  <c r="R1802" i="16"/>
  <c r="P1802" i="16" s="1"/>
  <c r="Q1346" i="16"/>
  <c r="S1346" i="16" s="1"/>
  <c r="R2206" i="16"/>
  <c r="P2206" i="16" s="1"/>
  <c r="R1545" i="16"/>
  <c r="P1545" i="16" s="1"/>
  <c r="R853" i="16"/>
  <c r="P853" i="16" s="1"/>
  <c r="R311" i="16"/>
  <c r="P311" i="16" s="1"/>
  <c r="Q8" i="16"/>
  <c r="S8" i="16" s="1"/>
  <c r="Q212" i="16"/>
  <c r="S212" i="16" s="1"/>
  <c r="R558" i="16"/>
  <c r="P558" i="16" s="1"/>
  <c r="T558" i="16" s="1"/>
  <c r="Q196" i="16"/>
  <c r="S196" i="16" s="1"/>
  <c r="R662" i="16"/>
  <c r="P662" i="16" s="1"/>
  <c r="T662" i="16" s="1"/>
  <c r="R1211" i="16"/>
  <c r="P1211" i="16" s="1"/>
  <c r="T1211" i="16" s="1"/>
  <c r="Q1403" i="16"/>
  <c r="S1403" i="16" s="1"/>
  <c r="R1723" i="16"/>
  <c r="P1723" i="16" s="1"/>
  <c r="Q1915" i="16"/>
  <c r="S1915" i="16" s="1"/>
  <c r="R14" i="16"/>
  <c r="P14" i="16" s="1"/>
  <c r="Q957" i="16"/>
  <c r="S957" i="16" s="1"/>
  <c r="Q1213" i="16"/>
  <c r="S1213" i="16" s="1"/>
  <c r="R1405" i="16"/>
  <c r="P1405" i="16" s="1"/>
  <c r="R1661" i="16"/>
  <c r="P1661" i="16" s="1"/>
  <c r="Q573" i="16"/>
  <c r="S573" i="16" s="1"/>
  <c r="Q1334" i="16"/>
  <c r="S1334" i="16" s="1"/>
  <c r="R1654" i="16"/>
  <c r="P1654" i="16" s="1"/>
  <c r="Q475" i="16"/>
  <c r="S475" i="16" s="1"/>
  <c r="R1079" i="16"/>
  <c r="P1079" i="16" s="1"/>
  <c r="R1591" i="16"/>
  <c r="P1591" i="16" s="1"/>
  <c r="Q78" i="16"/>
  <c r="S78" i="16" s="1"/>
  <c r="Q1428" i="16"/>
  <c r="S1428" i="16" s="1"/>
  <c r="R2026" i="16"/>
  <c r="P2026" i="16" s="1"/>
  <c r="R506" i="16"/>
  <c r="P506" i="16" s="1"/>
  <c r="T506" i="16" s="1"/>
  <c r="R1152" i="16"/>
  <c r="P1152" i="16" s="1"/>
  <c r="Q1672" i="16"/>
  <c r="S1672" i="16" s="1"/>
  <c r="Q2157" i="16"/>
  <c r="S2157" i="16" s="1"/>
  <c r="Q1170" i="16"/>
  <c r="S1170" i="16" s="1"/>
  <c r="R1957" i="16"/>
  <c r="P1957" i="16" s="1"/>
  <c r="R1736" i="16"/>
  <c r="P1736" i="16" s="1"/>
  <c r="Q2034" i="16"/>
  <c r="S2034" i="16" s="1"/>
  <c r="R2016" i="16"/>
  <c r="P2016" i="16" s="1"/>
  <c r="T2016" i="16" s="1"/>
  <c r="Q780" i="16"/>
  <c r="S780" i="16" s="1"/>
  <c r="R1610" i="16"/>
  <c r="P1610" i="16" s="1"/>
  <c r="Q978" i="16"/>
  <c r="S978" i="16" s="1"/>
  <c r="Q58" i="16"/>
  <c r="S58" i="16" s="1"/>
  <c r="R80" i="16"/>
  <c r="P80" i="16" s="1"/>
  <c r="R52" i="16"/>
  <c r="P52" i="16" s="1"/>
  <c r="Q308" i="16"/>
  <c r="S308" i="16" s="1"/>
  <c r="Q178" i="16"/>
  <c r="S178" i="16" s="1"/>
  <c r="Q963" i="16"/>
  <c r="S963" i="16" s="1"/>
  <c r="Q1475" i="16"/>
  <c r="S1475" i="16" s="1"/>
  <c r="Q593" i="16"/>
  <c r="S593" i="16" s="1"/>
  <c r="R1029" i="16"/>
  <c r="P1029" i="16" s="1"/>
  <c r="R1285" i="16"/>
  <c r="P1285" i="16" s="1"/>
  <c r="Q1541" i="16"/>
  <c r="S1541" i="16" s="1"/>
  <c r="R583" i="16"/>
  <c r="P583" i="16" s="1"/>
  <c r="Q812" i="16"/>
  <c r="S812" i="16" s="1"/>
  <c r="Q1022" i="16"/>
  <c r="S1022" i="16" s="1"/>
  <c r="R1342" i="16"/>
  <c r="P1342" i="16" s="1"/>
  <c r="T1342" i="16" s="1"/>
  <c r="R1854" i="16"/>
  <c r="P1854" i="16" s="1"/>
  <c r="T1854" i="16" s="1"/>
  <c r="R2046" i="16"/>
  <c r="P2046" i="16" s="1"/>
  <c r="R490" i="16"/>
  <c r="P490" i="16" s="1"/>
  <c r="Q740" i="16"/>
  <c r="S740" i="16" s="1"/>
  <c r="Q959" i="16"/>
  <c r="S959" i="16" s="1"/>
  <c r="R1279" i="16"/>
  <c r="P1279" i="16" s="1"/>
  <c r="Q1471" i="16"/>
  <c r="S1471" i="16" s="1"/>
  <c r="Q629" i="16"/>
  <c r="S629" i="16" s="1"/>
  <c r="R1697" i="16"/>
  <c r="P1697" i="16" s="1"/>
  <c r="R2036" i="16"/>
  <c r="P2036" i="16" s="1"/>
  <c r="Q124" i="16"/>
  <c r="S124" i="16" s="1"/>
  <c r="R2040" i="16"/>
  <c r="P2040" i="16" s="1"/>
  <c r="R137" i="16"/>
  <c r="P137" i="16" s="1"/>
  <c r="Q1168" i="16"/>
  <c r="S1168" i="16" s="1"/>
  <c r="R1808" i="16"/>
  <c r="P1808" i="16" s="1"/>
  <c r="Q945" i="16"/>
  <c r="S945" i="16" s="1"/>
  <c r="Q2173" i="16"/>
  <c r="S2173" i="16" s="1"/>
  <c r="Q1650" i="16"/>
  <c r="S1650" i="16" s="1"/>
  <c r="Q771" i="16"/>
  <c r="S771" i="16" s="1"/>
  <c r="Q986" i="16"/>
  <c r="S986" i="16" s="1"/>
  <c r="Q2185" i="16"/>
  <c r="S2185" i="16" s="1"/>
  <c r="Q1036" i="16"/>
  <c r="S1036" i="16" s="1"/>
  <c r="R152" i="16"/>
  <c r="P152" i="16" s="1"/>
  <c r="Q344" i="16"/>
  <c r="S344" i="16" s="1"/>
  <c r="Q91" i="16"/>
  <c r="S91" i="16" s="1"/>
  <c r="Q1256" i="16"/>
  <c r="S1256" i="16" s="1"/>
  <c r="Q871" i="16"/>
  <c r="S871" i="16" s="1"/>
  <c r="Q54" i="16"/>
  <c r="S54" i="16" s="1"/>
  <c r="Q317" i="16"/>
  <c r="S317" i="16" s="1"/>
  <c r="Q645" i="16"/>
  <c r="S645" i="16" s="1"/>
  <c r="Q1254" i="16"/>
  <c r="S1254" i="16" s="1"/>
  <c r="Q999" i="16"/>
  <c r="S999" i="16" s="1"/>
  <c r="Q1396" i="16"/>
  <c r="S1396" i="16" s="1"/>
  <c r="R289" i="16"/>
  <c r="P289" i="16" s="1"/>
  <c r="R2002" i="16"/>
  <c r="P2002" i="16" s="1"/>
  <c r="R2084" i="16"/>
  <c r="P2084" i="16" s="1"/>
  <c r="Q1948" i="16"/>
  <c r="S1948" i="16" s="1"/>
  <c r="R367" i="16"/>
  <c r="P367" i="16" s="1"/>
  <c r="Q64" i="16"/>
  <c r="S64" i="16" s="1"/>
  <c r="Q30" i="16"/>
  <c r="S30" i="16" s="1"/>
  <c r="R458" i="16"/>
  <c r="P458" i="16" s="1"/>
  <c r="Q656" i="16"/>
  <c r="S656" i="16" s="1"/>
  <c r="Q297" i="16"/>
  <c r="S297" i="16" s="1"/>
  <c r="Q166" i="16"/>
  <c r="S166" i="16" s="1"/>
  <c r="Q570" i="16"/>
  <c r="S570" i="16" s="1"/>
  <c r="R2163" i="16"/>
  <c r="P2163" i="16" s="1"/>
  <c r="R338" i="16"/>
  <c r="P338" i="16" s="1"/>
  <c r="Q1077" i="16"/>
  <c r="S1077" i="16" s="1"/>
  <c r="Q1589" i="16"/>
  <c r="S1589" i="16" s="1"/>
  <c r="Q867" i="16"/>
  <c r="S867" i="16" s="1"/>
  <c r="R1198" i="16"/>
  <c r="P1198" i="16" s="1"/>
  <c r="R564" i="16"/>
  <c r="P564" i="16" s="1"/>
  <c r="Q1007" i="16"/>
  <c r="S1007" i="16" s="1"/>
  <c r="Q1409" i="16"/>
  <c r="S1409" i="16" s="1"/>
  <c r="R2010" i="16"/>
  <c r="P2010" i="16" s="1"/>
  <c r="Q750" i="16"/>
  <c r="S750" i="16" s="1"/>
  <c r="R186" i="16"/>
  <c r="P186" i="16" s="1"/>
  <c r="Q806" i="16"/>
  <c r="S806" i="16" s="1"/>
  <c r="Q1776" i="16"/>
  <c r="S1776" i="16" s="1"/>
  <c r="Q846" i="16"/>
  <c r="S846" i="16" s="1"/>
  <c r="R2004" i="16"/>
  <c r="P2004" i="16" s="1"/>
  <c r="R194" i="16"/>
  <c r="P194" i="16" s="1"/>
  <c r="R1346" i="16"/>
  <c r="P1346" i="16" s="1"/>
  <c r="Q1940" i="16"/>
  <c r="S1940" i="16" s="1"/>
  <c r="Q1289" i="16"/>
  <c r="S1289" i="16" s="1"/>
  <c r="Q1901" i="16"/>
  <c r="S1901" i="16" s="1"/>
  <c r="Q454" i="16"/>
  <c r="S454" i="16" s="1"/>
  <c r="Q2259" i="16"/>
  <c r="S2259" i="16" s="1"/>
  <c r="Q183" i="16"/>
  <c r="S183" i="16" s="1"/>
  <c r="R8" i="16"/>
  <c r="P8" i="16" s="1"/>
  <c r="Q200" i="16"/>
  <c r="S200" i="16" s="1"/>
  <c r="R212" i="16"/>
  <c r="P212" i="16" s="1"/>
  <c r="T212" i="16" s="1"/>
  <c r="Q50" i="16"/>
  <c r="S50" i="16" s="1"/>
  <c r="R196" i="16"/>
  <c r="P196" i="16" s="1"/>
  <c r="T196" i="16" s="1"/>
  <c r="R1403" i="16"/>
  <c r="P1403" i="16" s="1"/>
  <c r="Q1595" i="16"/>
  <c r="S1595" i="16" s="1"/>
  <c r="R1915" i="16"/>
  <c r="P1915" i="16" s="1"/>
  <c r="R957" i="16"/>
  <c r="P957" i="16" s="1"/>
  <c r="R1213" i="16"/>
  <c r="P1213" i="16" s="1"/>
  <c r="Q1469" i="16"/>
  <c r="S1469" i="16" s="1"/>
  <c r="Q1725" i="16"/>
  <c r="S1725" i="16" s="1"/>
  <c r="Q174" i="16"/>
  <c r="S174" i="16" s="1"/>
  <c r="R573" i="16"/>
  <c r="P573" i="16" s="1"/>
  <c r="R1334" i="16"/>
  <c r="P1334" i="16" s="1"/>
  <c r="Q1526" i="16"/>
  <c r="S1526" i="16" s="1"/>
  <c r="Q2038" i="16"/>
  <c r="S2038" i="16" s="1"/>
  <c r="R475" i="16"/>
  <c r="P475" i="16" s="1"/>
  <c r="Q731" i="16"/>
  <c r="S731" i="16" s="1"/>
  <c r="Q2218" i="16"/>
  <c r="S2218" i="16" s="1"/>
  <c r="R78" i="16"/>
  <c r="P78" i="16" s="1"/>
  <c r="Q764" i="16"/>
  <c r="S764" i="16" s="1"/>
  <c r="R1428" i="16"/>
  <c r="P1428" i="16" s="1"/>
  <c r="Q1812" i="16"/>
  <c r="S1812" i="16" s="1"/>
  <c r="Q1304" i="16"/>
  <c r="S1304" i="16" s="1"/>
  <c r="Q887" i="16"/>
  <c r="S887" i="16" s="1"/>
  <c r="R1672" i="16"/>
  <c r="P1672" i="16" s="1"/>
  <c r="T1672" i="16" s="1"/>
  <c r="R2157" i="16"/>
  <c r="P2157" i="16" s="1"/>
  <c r="R1170" i="16"/>
  <c r="P1170" i="16" s="1"/>
  <c r="T1170" i="16" s="1"/>
  <c r="Q1832" i="16"/>
  <c r="S1832" i="16" s="1"/>
  <c r="R2034" i="16"/>
  <c r="P2034" i="16" s="1"/>
  <c r="Q737" i="16"/>
  <c r="S737" i="16" s="1"/>
  <c r="R780" i="16"/>
  <c r="P780" i="16" s="1"/>
  <c r="Q2082" i="16"/>
  <c r="S2082" i="16" s="1"/>
  <c r="R978" i="16"/>
  <c r="P978" i="16" s="1"/>
  <c r="R58" i="16"/>
  <c r="P58" i="16" s="1"/>
  <c r="R308" i="16"/>
  <c r="P308" i="16" s="1"/>
  <c r="R178" i="16"/>
  <c r="P178" i="16" s="1"/>
  <c r="Q98" i="16"/>
  <c r="S98" i="16" s="1"/>
  <c r="Q429" i="16"/>
  <c r="S429" i="16" s="1"/>
  <c r="R963" i="16"/>
  <c r="P963" i="16" s="1"/>
  <c r="Q1155" i="16"/>
  <c r="S1155" i="16" s="1"/>
  <c r="R1475" i="16"/>
  <c r="P1475" i="16" s="1"/>
  <c r="T1475" i="16" s="1"/>
  <c r="Q2179" i="16"/>
  <c r="S2179" i="16" s="1"/>
  <c r="R593" i="16"/>
  <c r="P593" i="16" s="1"/>
  <c r="R1541" i="16"/>
  <c r="P1541" i="16" s="1"/>
  <c r="R812" i="16"/>
  <c r="P812" i="16" s="1"/>
  <c r="R1022" i="16"/>
  <c r="P1022" i="16" s="1"/>
  <c r="Q2046" i="16"/>
  <c r="S2046" i="16" s="1"/>
  <c r="R740" i="16"/>
  <c r="P740" i="16" s="1"/>
  <c r="R959" i="16"/>
  <c r="P959" i="16" s="1"/>
  <c r="R1471" i="16"/>
  <c r="P1471" i="16" s="1"/>
  <c r="Q2175" i="16"/>
  <c r="S2175" i="16" s="1"/>
  <c r="R629" i="16"/>
  <c r="P629" i="16" s="1"/>
  <c r="Q1441" i="16"/>
  <c r="S1441" i="16" s="1"/>
  <c r="R124" i="16"/>
  <c r="P124" i="16" s="1"/>
  <c r="Q782" i="16"/>
  <c r="S782" i="16" s="1"/>
  <c r="Q1828" i="16"/>
  <c r="S1828" i="16" s="1"/>
  <c r="Q2141" i="16"/>
  <c r="S2141" i="16" s="1"/>
  <c r="Q933" i="16"/>
  <c r="S933" i="16" s="1"/>
  <c r="Q985" i="16"/>
  <c r="S985" i="16" s="1"/>
  <c r="Q397" i="16"/>
  <c r="S397" i="16" s="1"/>
  <c r="R1168" i="16"/>
  <c r="P1168" i="16" s="1"/>
  <c r="Q1552" i="16"/>
  <c r="S1552" i="16" s="1"/>
  <c r="R945" i="16"/>
  <c r="P945" i="16" s="1"/>
  <c r="R2173" i="16"/>
  <c r="P2173" i="16" s="1"/>
  <c r="R1650" i="16"/>
  <c r="P1650" i="16" s="1"/>
  <c r="R771" i="16"/>
  <c r="P771" i="16" s="1"/>
  <c r="Q1602" i="16"/>
  <c r="S1602" i="16" s="1"/>
  <c r="Q1756" i="16"/>
  <c r="S1756" i="16" s="1"/>
  <c r="R986" i="16"/>
  <c r="P986" i="16" s="1"/>
  <c r="T986" i="16" s="1"/>
  <c r="R2185" i="16"/>
  <c r="P2185" i="16" s="1"/>
  <c r="Q2068" i="16"/>
  <c r="S2068" i="16" s="1"/>
  <c r="R1036" i="16"/>
  <c r="P1036" i="16" s="1"/>
  <c r="Q2000" i="16"/>
  <c r="S2000" i="16" s="1"/>
  <c r="Q24" i="16"/>
  <c r="S24" i="16" s="1"/>
  <c r="R344" i="16"/>
  <c r="P344" i="16" s="1"/>
  <c r="R91" i="16"/>
  <c r="P91" i="16" s="1"/>
  <c r="Q234" i="16"/>
  <c r="S234" i="16" s="1"/>
  <c r="R616" i="16"/>
  <c r="P616" i="16" s="1"/>
  <c r="Q808" i="16"/>
  <c r="S808" i="16" s="1"/>
  <c r="Q525" i="16"/>
  <c r="S525" i="16" s="1"/>
  <c r="R1123" i="16"/>
  <c r="P1123" i="16" s="1"/>
  <c r="R1818" i="16"/>
  <c r="P1818" i="16" s="1"/>
  <c r="Q146" i="16"/>
  <c r="S146" i="16" s="1"/>
  <c r="R317" i="16"/>
  <c r="P317" i="16" s="1"/>
  <c r="R645" i="16"/>
  <c r="P645" i="16" s="1"/>
  <c r="R999" i="16"/>
  <c r="P999" i="16" s="1"/>
  <c r="Q1009" i="16"/>
  <c r="S1009" i="16" s="1"/>
  <c r="Q1504" i="16"/>
  <c r="S1504" i="16" s="1"/>
  <c r="Q1778" i="16"/>
  <c r="S1778" i="16" s="1"/>
  <c r="Q2060" i="16"/>
  <c r="S2060" i="16" s="1"/>
  <c r="R1506" i="16"/>
  <c r="P1506" i="16" s="1"/>
  <c r="R64" i="16"/>
  <c r="P64" i="16" s="1"/>
  <c r="Q256" i="16"/>
  <c r="S256" i="16" s="1"/>
  <c r="R30" i="16"/>
  <c r="P30" i="16" s="1"/>
  <c r="R656" i="16"/>
  <c r="P656" i="16" s="1"/>
  <c r="Q848" i="16"/>
  <c r="S848" i="16" s="1"/>
  <c r="R297" i="16"/>
  <c r="P297" i="16" s="1"/>
  <c r="R166" i="16"/>
  <c r="P166" i="16" s="1"/>
  <c r="R570" i="16"/>
  <c r="P570" i="16" s="1"/>
  <c r="Q1011" i="16"/>
  <c r="S1011" i="16" s="1"/>
  <c r="Q875" i="16"/>
  <c r="S875" i="16" s="1"/>
  <c r="R1077" i="16"/>
  <c r="P1077" i="16" s="1"/>
  <c r="R1589" i="16"/>
  <c r="P1589" i="16" s="1"/>
  <c r="R867" i="16"/>
  <c r="P867" i="16" s="1"/>
  <c r="R1007" i="16"/>
  <c r="P1007" i="16" s="1"/>
  <c r="Q1199" i="16"/>
  <c r="S1199" i="16" s="1"/>
  <c r="Q1711" i="16"/>
  <c r="S1711" i="16" s="1"/>
  <c r="Q742" i="16"/>
  <c r="S742" i="16" s="1"/>
  <c r="R1409" i="16"/>
  <c r="P1409" i="16" s="1"/>
  <c r="Q892" i="16"/>
  <c r="S892" i="16" s="1"/>
  <c r="Q2210" i="16"/>
  <c r="S2210" i="16" s="1"/>
  <c r="R750" i="16"/>
  <c r="P750" i="16" s="1"/>
  <c r="R806" i="16"/>
  <c r="P806" i="16" s="1"/>
  <c r="Q1209" i="16"/>
  <c r="S1209" i="16" s="1"/>
  <c r="Q1136" i="16"/>
  <c r="S1136" i="16" s="1"/>
  <c r="R1776" i="16"/>
  <c r="P1776" i="16" s="1"/>
  <c r="T1776" i="16" s="1"/>
  <c r="R846" i="16"/>
  <c r="P846" i="16" s="1"/>
  <c r="T846" i="16" s="1"/>
  <c r="Q1642" i="16"/>
  <c r="S1642" i="16" s="1"/>
  <c r="R670" i="16"/>
  <c r="P670" i="16" s="1"/>
  <c r="R1940" i="16"/>
  <c r="P1940" i="16" s="1"/>
  <c r="R1289" i="16"/>
  <c r="P1289" i="16" s="1"/>
  <c r="R1901" i="16"/>
  <c r="P1901" i="16" s="1"/>
  <c r="R454" i="16"/>
  <c r="P454" i="16" s="1"/>
  <c r="R2259" i="16"/>
  <c r="P2259" i="16" s="1"/>
  <c r="Q2032" i="16"/>
  <c r="S2032" i="16" s="1"/>
  <c r="Q1580" i="16"/>
  <c r="S1580" i="16" s="1"/>
  <c r="R183" i="16"/>
  <c r="P183" i="16" s="1"/>
  <c r="R200" i="16"/>
  <c r="P200" i="16" s="1"/>
  <c r="T200" i="16" s="1"/>
  <c r="Q42" i="16"/>
  <c r="S42" i="16" s="1"/>
  <c r="R50" i="16"/>
  <c r="P50" i="16" s="1"/>
  <c r="T50" i="16" s="1"/>
  <c r="Q631" i="16"/>
  <c r="S631" i="16" s="1"/>
  <c r="Q735" i="16"/>
  <c r="S735" i="16" s="1"/>
  <c r="Q1275" i="16"/>
  <c r="S1275" i="16" s="1"/>
  <c r="R1595" i="16"/>
  <c r="P1595" i="16" s="1"/>
  <c r="Q582" i="16"/>
  <c r="S582" i="16" s="1"/>
  <c r="Q1277" i="16"/>
  <c r="S1277" i="16" s="1"/>
  <c r="R1469" i="16"/>
  <c r="P1469" i="16" s="1"/>
  <c r="T1469" i="16" s="1"/>
  <c r="R1725" i="16"/>
  <c r="P1725" i="16" s="1"/>
  <c r="T1725" i="16" s="1"/>
  <c r="R174" i="16"/>
  <c r="P174" i="16" s="1"/>
  <c r="T174" i="16" s="1"/>
  <c r="R1526" i="16"/>
  <c r="P1526" i="16" s="1"/>
  <c r="R2038" i="16"/>
  <c r="P2038" i="16" s="1"/>
  <c r="Q179" i="16"/>
  <c r="S179" i="16" s="1"/>
  <c r="R731" i="16"/>
  <c r="P731" i="16" s="1"/>
  <c r="Q2167" i="16"/>
  <c r="S2167" i="16" s="1"/>
  <c r="R2218" i="16"/>
  <c r="P2218" i="16" s="1"/>
  <c r="R764" i="16"/>
  <c r="P764" i="16" s="1"/>
  <c r="Q1172" i="16"/>
  <c r="S1172" i="16" s="1"/>
  <c r="R1812" i="16"/>
  <c r="P1812" i="16" s="1"/>
  <c r="Q2129" i="16"/>
  <c r="S2129" i="16" s="1"/>
  <c r="R1304" i="16"/>
  <c r="P1304" i="16" s="1"/>
  <c r="R887" i="16"/>
  <c r="P887" i="16" s="1"/>
  <c r="Q2261" i="16"/>
  <c r="S2261" i="16" s="1"/>
  <c r="Q313" i="16"/>
  <c r="S313" i="16" s="1"/>
  <c r="R1832" i="16"/>
  <c r="P1832" i="16" s="1"/>
  <c r="Q2242" i="16"/>
  <c r="S2242" i="16" s="1"/>
  <c r="Q2096" i="16"/>
  <c r="S2096" i="16" s="1"/>
  <c r="Q1922" i="16"/>
  <c r="S1922" i="16" s="1"/>
  <c r="Q1690" i="16"/>
  <c r="S1690" i="16" s="1"/>
  <c r="R737" i="16"/>
  <c r="P737" i="16" s="1"/>
  <c r="R2082" i="16"/>
  <c r="P2082" i="16" s="1"/>
  <c r="T2082" i="16" s="1"/>
  <c r="Q1865" i="16"/>
  <c r="S1865" i="16" s="1"/>
  <c r="Q144" i="16"/>
  <c r="S144" i="16" s="1"/>
  <c r="Q138" i="16"/>
  <c r="S138" i="16" s="1"/>
  <c r="Q928" i="16"/>
  <c r="S928" i="16" s="1"/>
  <c r="R98" i="16"/>
  <c r="P98" i="16" s="1"/>
  <c r="T98" i="16" s="1"/>
  <c r="R429" i="16"/>
  <c r="P429" i="16" s="1"/>
  <c r="T429" i="16" s="1"/>
  <c r="Q156" i="16"/>
  <c r="S156" i="16" s="1"/>
  <c r="R1155" i="16"/>
  <c r="P1155" i="16" s="1"/>
  <c r="Q1859" i="16"/>
  <c r="S1859" i="16" s="1"/>
  <c r="R2179" i="16"/>
  <c r="P2179" i="16" s="1"/>
  <c r="T2179" i="16" s="1"/>
  <c r="Q374" i="16"/>
  <c r="S374" i="16" s="1"/>
  <c r="Q666" i="16"/>
  <c r="S666" i="16" s="1"/>
  <c r="Q885" i="16"/>
  <c r="S885" i="16" s="1"/>
  <c r="Q585" i="16"/>
  <c r="S585" i="16" s="1"/>
  <c r="R2175" i="16"/>
  <c r="P2175" i="16" s="1"/>
  <c r="R1441" i="16"/>
  <c r="P1441" i="16" s="1"/>
  <c r="R782" i="16"/>
  <c r="P782" i="16" s="1"/>
  <c r="Q1188" i="16"/>
  <c r="S1188" i="16" s="1"/>
  <c r="R1828" i="16"/>
  <c r="P1828" i="16" s="1"/>
  <c r="R2141" i="16"/>
  <c r="P2141" i="16" s="1"/>
  <c r="R933" i="16"/>
  <c r="P933" i="16" s="1"/>
  <c r="Q1320" i="16"/>
  <c r="S1320" i="16" s="1"/>
  <c r="R985" i="16"/>
  <c r="P985" i="16" s="1"/>
  <c r="R397" i="16"/>
  <c r="P397" i="16" s="1"/>
  <c r="R906" i="16"/>
  <c r="P906" i="16" s="1"/>
  <c r="R1552" i="16"/>
  <c r="P1552" i="16" s="1"/>
  <c r="R1602" i="16"/>
  <c r="P1602" i="16" s="1"/>
  <c r="T1602" i="16" s="1"/>
  <c r="R1756" i="16"/>
  <c r="P1756" i="16" s="1"/>
  <c r="T1756" i="16" s="1"/>
  <c r="R833" i="16"/>
  <c r="P833" i="16" s="1"/>
  <c r="Q2076" i="16"/>
  <c r="S2076" i="16" s="1"/>
  <c r="Q1417" i="16"/>
  <c r="S1417" i="16" s="1"/>
  <c r="Q248" i="16"/>
  <c r="S248" i="16" s="1"/>
  <c r="R134" i="16"/>
  <c r="P134" i="16" s="1"/>
  <c r="Q562" i="16"/>
  <c r="S562" i="16" s="1"/>
  <c r="Q2155" i="16"/>
  <c r="S2155" i="16" s="1"/>
  <c r="Q1574" i="16"/>
  <c r="S1574" i="16" s="1"/>
  <c r="Q2086" i="16"/>
  <c r="S2086" i="16" s="1"/>
  <c r="R786" i="16"/>
  <c r="P786" i="16" s="1"/>
  <c r="R1009" i="16"/>
  <c r="P1009" i="16" s="1"/>
  <c r="T1009" i="16" s="1"/>
  <c r="Q1393" i="16"/>
  <c r="S1393" i="16" s="1"/>
  <c r="R1504" i="16"/>
  <c r="P1504" i="16" s="1"/>
  <c r="Q2137" i="16"/>
  <c r="S2137" i="16" s="1"/>
  <c r="Q883" i="16"/>
  <c r="S883" i="16" s="1"/>
  <c r="Q431" i="16"/>
  <c r="S431" i="16" s="1"/>
  <c r="R256" i="16"/>
  <c r="P256" i="16" s="1"/>
  <c r="T256" i="16" s="1"/>
  <c r="Q448" i="16"/>
  <c r="S448" i="16" s="1"/>
  <c r="R848" i="16"/>
  <c r="P848" i="16" s="1"/>
  <c r="Q473" i="16"/>
  <c r="S473" i="16" s="1"/>
  <c r="Q68" i="16"/>
  <c r="S68" i="16" s="1"/>
  <c r="R1011" i="16"/>
  <c r="P1011" i="16" s="1"/>
  <c r="Q1203" i="16"/>
  <c r="S1203" i="16" s="1"/>
  <c r="Q1715" i="16"/>
  <c r="S1715" i="16" s="1"/>
  <c r="R875" i="16"/>
  <c r="P875" i="16" s="1"/>
  <c r="T875" i="16" s="1"/>
  <c r="Q1397" i="16"/>
  <c r="S1397" i="16" s="1"/>
  <c r="Q647" i="16"/>
  <c r="S647" i="16" s="1"/>
  <c r="R1199" i="16"/>
  <c r="P1199" i="16" s="1"/>
  <c r="Q1391" i="16"/>
  <c r="S1391" i="16" s="1"/>
  <c r="R1711" i="16"/>
  <c r="P1711" i="16" s="1"/>
  <c r="Q1903" i="16"/>
  <c r="S1903" i="16" s="1"/>
  <c r="R742" i="16"/>
  <c r="P742" i="16" s="1"/>
  <c r="T742" i="16" s="1"/>
  <c r="Q2113" i="16"/>
  <c r="S2113" i="16" s="1"/>
  <c r="R892" i="16"/>
  <c r="P892" i="16" s="1"/>
  <c r="R2210" i="16"/>
  <c r="P2210" i="16" s="1"/>
  <c r="T2210" i="16" s="1"/>
  <c r="R1209" i="16"/>
  <c r="P1209" i="16" s="1"/>
  <c r="R1136" i="16"/>
  <c r="P1136" i="16" s="1"/>
  <c r="Q1520" i="16"/>
  <c r="S1520" i="16" s="1"/>
  <c r="Q1893" i="16"/>
  <c r="S1893" i="16" s="1"/>
  <c r="R1642" i="16"/>
  <c r="P1642" i="16" s="1"/>
  <c r="Q762" i="16"/>
  <c r="S762" i="16" s="1"/>
  <c r="Q670" i="16"/>
  <c r="S670" i="16" s="1"/>
  <c r="Q1548" i="16"/>
  <c r="S1548" i="16" s="1"/>
  <c r="Q2018" i="16"/>
  <c r="S2018" i="16" s="1"/>
  <c r="R2032" i="16"/>
  <c r="P2032" i="16" s="1"/>
  <c r="R1580" i="16"/>
  <c r="P1580" i="16" s="1"/>
  <c r="Q72" i="16"/>
  <c r="S72" i="16" s="1"/>
  <c r="R42" i="16"/>
  <c r="P42" i="16" s="1"/>
  <c r="R631" i="16"/>
  <c r="P631" i="16" s="1"/>
  <c r="R735" i="16"/>
  <c r="P735" i="16" s="1"/>
  <c r="Q955" i="16"/>
  <c r="S955" i="16" s="1"/>
  <c r="R1275" i="16"/>
  <c r="P1275" i="16" s="1"/>
  <c r="R582" i="16"/>
  <c r="P582" i="16" s="1"/>
  <c r="R1277" i="16"/>
  <c r="P1277" i="16" s="1"/>
  <c r="Q1398" i="16"/>
  <c r="S1398" i="16" s="1"/>
  <c r="R179" i="16"/>
  <c r="P179" i="16" s="1"/>
  <c r="Q574" i="16"/>
  <c r="S574" i="16" s="1"/>
  <c r="R2167" i="16"/>
  <c r="P2167" i="16" s="1"/>
  <c r="Q406" i="16"/>
  <c r="S406" i="16" s="1"/>
  <c r="R1172" i="16"/>
  <c r="P1172" i="16" s="1"/>
  <c r="Q1556" i="16"/>
  <c r="S1556" i="16" s="1"/>
  <c r="R2129" i="16"/>
  <c r="P2129" i="16" s="1"/>
  <c r="Q1872" i="16"/>
  <c r="S1872" i="16" s="1"/>
  <c r="R2261" i="16"/>
  <c r="P2261" i="16" s="1"/>
  <c r="R313" i="16"/>
  <c r="P313" i="16" s="1"/>
  <c r="R2242" i="16"/>
  <c r="P2242" i="16" s="1"/>
  <c r="R2096" i="16"/>
  <c r="P2096" i="16" s="1"/>
  <c r="R623" i="16"/>
  <c r="P623" i="16" s="1"/>
  <c r="R1922" i="16"/>
  <c r="P1922" i="16" s="1"/>
  <c r="R1690" i="16"/>
  <c r="P1690" i="16" s="1"/>
  <c r="R935" i="16"/>
  <c r="P935" i="16" s="1"/>
  <c r="Q1644" i="16"/>
  <c r="S1644" i="16" s="1"/>
  <c r="R1865" i="16"/>
  <c r="P1865" i="16" s="1"/>
  <c r="Q1842" i="16"/>
  <c r="S1842" i="16" s="1"/>
  <c r="Q319" i="16"/>
  <c r="S319" i="16" s="1"/>
  <c r="R144" i="16"/>
  <c r="P144" i="16" s="1"/>
  <c r="Q336" i="16"/>
  <c r="S336" i="16" s="1"/>
  <c r="R138" i="16"/>
  <c r="P138" i="16" s="1"/>
  <c r="Q608" i="16"/>
  <c r="S608" i="16" s="1"/>
  <c r="R928" i="16"/>
  <c r="P928" i="16" s="1"/>
  <c r="T928" i="16" s="1"/>
  <c r="Q291" i="16"/>
  <c r="S291" i="16" s="1"/>
  <c r="R156" i="16"/>
  <c r="P156" i="16" s="1"/>
  <c r="Q371" i="16"/>
  <c r="S371" i="16" s="1"/>
  <c r="Q1027" i="16"/>
  <c r="S1027" i="16" s="1"/>
  <c r="Q1539" i="16"/>
  <c r="S1539" i="16" s="1"/>
  <c r="R1859" i="16"/>
  <c r="P1859" i="16" s="1"/>
  <c r="R374" i="16"/>
  <c r="P374" i="16" s="1"/>
  <c r="Q674" i="16"/>
  <c r="S674" i="16" s="1"/>
  <c r="Q1157" i="16"/>
  <c r="S1157" i="16" s="1"/>
  <c r="Q1413" i="16"/>
  <c r="S1413" i="16" s="1"/>
  <c r="Q18" i="16"/>
  <c r="S18" i="16" s="1"/>
  <c r="R666" i="16"/>
  <c r="P666" i="16" s="1"/>
  <c r="R885" i="16"/>
  <c r="P885" i="16" s="1"/>
  <c r="Q1086" i="16"/>
  <c r="S1086" i="16" s="1"/>
  <c r="R585" i="16"/>
  <c r="P585" i="16" s="1"/>
  <c r="Q1535" i="16"/>
  <c r="S1535" i="16" s="1"/>
  <c r="R2047" i="16"/>
  <c r="P2047" i="16" s="1"/>
  <c r="R1188" i="16"/>
  <c r="P1188" i="16" s="1"/>
  <c r="R1320" i="16"/>
  <c r="P1320" i="16" s="1"/>
  <c r="Q697" i="16"/>
  <c r="S697" i="16" s="1"/>
  <c r="Q906" i="16"/>
  <c r="S906" i="16" s="1"/>
  <c r="Q1852" i="16"/>
  <c r="S1852" i="16" s="1"/>
  <c r="Q1132" i="16"/>
  <c r="S1132" i="16" s="1"/>
  <c r="Q1352" i="16"/>
  <c r="S1352" i="16" s="1"/>
  <c r="Q1909" i="16"/>
  <c r="S1909" i="16" s="1"/>
  <c r="Q1688" i="16"/>
  <c r="S1688" i="16" s="1"/>
  <c r="R391" i="16"/>
  <c r="P391" i="16" s="1"/>
  <c r="Q408" i="16"/>
  <c r="S408" i="16" s="1"/>
  <c r="Q62" i="16"/>
  <c r="S62" i="16" s="1"/>
  <c r="R486" i="16"/>
  <c r="P486" i="16" s="1"/>
  <c r="R412" i="16"/>
  <c r="P412" i="16" s="1"/>
  <c r="R539" i="16"/>
  <c r="P539" i="16" s="1"/>
  <c r="R1868" i="16"/>
  <c r="P1868" i="16" s="1"/>
  <c r="Q1116" i="16"/>
  <c r="S1116" i="16" s="1"/>
  <c r="R562" i="16"/>
  <c r="P562" i="16" s="1"/>
  <c r="Q790" i="16"/>
  <c r="S790" i="16" s="1"/>
  <c r="R2155" i="16"/>
  <c r="P2155" i="16" s="1"/>
  <c r="Q711" i="16"/>
  <c r="S711" i="16" s="1"/>
  <c r="R1574" i="16"/>
  <c r="P1574" i="16" s="1"/>
  <c r="R2086" i="16"/>
  <c r="P2086" i="16" s="1"/>
  <c r="R566" i="16"/>
  <c r="P566" i="16" s="1"/>
  <c r="Q571" i="16"/>
  <c r="S571" i="16" s="1"/>
  <c r="Q1652" i="16"/>
  <c r="S1652" i="16" s="1"/>
  <c r="Q1084" i="16"/>
  <c r="S1084" i="16" s="1"/>
  <c r="R1314" i="16"/>
  <c r="P1314" i="16" s="1"/>
  <c r="Q844" i="16"/>
  <c r="S844" i="16" s="1"/>
  <c r="R883" i="16"/>
  <c r="P883" i="16" s="1"/>
  <c r="T883" i="16" s="1"/>
  <c r="Q111" i="16"/>
  <c r="S111" i="16" s="1"/>
  <c r="R431" i="16"/>
  <c r="P431" i="16" s="1"/>
  <c r="Q128" i="16"/>
  <c r="S128" i="16" s="1"/>
  <c r="R448" i="16"/>
  <c r="P448" i="16" s="1"/>
  <c r="Q116" i="16"/>
  <c r="S116" i="16" s="1"/>
  <c r="R473" i="16"/>
  <c r="P473" i="16" s="1"/>
  <c r="R68" i="16"/>
  <c r="P68" i="16" s="1"/>
  <c r="Q332" i="16"/>
  <c r="S332" i="16" s="1"/>
  <c r="Q873" i="16"/>
  <c r="S873" i="16" s="1"/>
  <c r="R1203" i="16"/>
  <c r="P1203" i="16" s="1"/>
  <c r="Q1395" i="16"/>
  <c r="S1395" i="16" s="1"/>
  <c r="R1715" i="16"/>
  <c r="P1715" i="16" s="1"/>
  <c r="Q1907" i="16"/>
  <c r="S1907" i="16" s="1"/>
  <c r="Q729" i="16"/>
  <c r="S729" i="16" s="1"/>
  <c r="R1397" i="16"/>
  <c r="P1397" i="16" s="1"/>
  <c r="R647" i="16"/>
  <c r="P647" i="16" s="1"/>
  <c r="Q1071" i="16"/>
  <c r="S1071" i="16" s="1"/>
  <c r="R1391" i="16"/>
  <c r="P1391" i="16" s="1"/>
  <c r="Q1583" i="16"/>
  <c r="S1583" i="16" s="1"/>
  <c r="R1903" i="16"/>
  <c r="P1903" i="16" s="1"/>
  <c r="Q2095" i="16"/>
  <c r="S2095" i="16" s="1"/>
  <c r="Q365" i="16"/>
  <c r="S365" i="16" s="1"/>
  <c r="Q1537" i="16"/>
  <c r="S1537" i="16" s="1"/>
  <c r="R2113" i="16"/>
  <c r="P2113" i="16" s="1"/>
  <c r="R591" i="16"/>
  <c r="P591" i="16" s="1"/>
  <c r="Q381" i="16"/>
  <c r="S381" i="16" s="1"/>
  <c r="Q953" i="16"/>
  <c r="S953" i="16" s="1"/>
  <c r="Q869" i="16"/>
  <c r="S869" i="16" s="1"/>
  <c r="R1520" i="16"/>
  <c r="P1520" i="16" s="1"/>
  <c r="R1893" i="16"/>
  <c r="P1893" i="16" s="1"/>
  <c r="R762" i="16"/>
  <c r="P762" i="16" s="1"/>
  <c r="R1548" i="16"/>
  <c r="P1548" i="16" s="1"/>
  <c r="Q2080" i="16"/>
  <c r="S2080" i="16" s="1"/>
  <c r="Q890" i="16"/>
  <c r="S890" i="16" s="1"/>
  <c r="R2018" i="16"/>
  <c r="P2018" i="16" s="1"/>
  <c r="Q1980" i="16"/>
  <c r="S1980" i="16" s="1"/>
  <c r="Q247" i="16"/>
  <c r="S247" i="16" s="1"/>
  <c r="R72" i="16"/>
  <c r="P72" i="16" s="1"/>
  <c r="Q264" i="16"/>
  <c r="S264" i="16" s="1"/>
  <c r="Q163" i="16"/>
  <c r="S163" i="16" s="1"/>
  <c r="Q28" i="16"/>
  <c r="S28" i="16" s="1"/>
  <c r="Q580" i="16"/>
  <c r="S580" i="16" s="1"/>
  <c r="R955" i="16"/>
  <c r="P955" i="16" s="1"/>
  <c r="Q1659" i="16"/>
  <c r="S1659" i="16" s="1"/>
  <c r="Q2171" i="16"/>
  <c r="S2171" i="16" s="1"/>
  <c r="R1398" i="16"/>
  <c r="P1398" i="16" s="1"/>
  <c r="Q2102" i="16"/>
  <c r="S2102" i="16" s="1"/>
  <c r="R574" i="16"/>
  <c r="P574" i="16" s="1"/>
  <c r="Q804" i="16"/>
  <c r="S804" i="16" s="1"/>
  <c r="Q1015" i="16"/>
  <c r="S1015" i="16" s="1"/>
  <c r="Q2024" i="16"/>
  <c r="S2024" i="16" s="1"/>
  <c r="R406" i="16"/>
  <c r="P406" i="16" s="1"/>
  <c r="T406" i="16" s="1"/>
  <c r="Q910" i="16"/>
  <c r="S910" i="16" s="1"/>
  <c r="R1556" i="16"/>
  <c r="P1556" i="16" s="1"/>
  <c r="T1556" i="16" s="1"/>
  <c r="Q230" i="16"/>
  <c r="S230" i="16" s="1"/>
  <c r="Q587" i="16"/>
  <c r="S587" i="16" s="1"/>
  <c r="Q1024" i="16"/>
  <c r="S1024" i="16" s="1"/>
  <c r="R1872" i="16"/>
  <c r="P1872" i="16" s="1"/>
  <c r="Q1992" i="16"/>
  <c r="S1992" i="16" s="1"/>
  <c r="Q1090" i="16"/>
  <c r="S1090" i="16" s="1"/>
  <c r="Q623" i="16"/>
  <c r="S623" i="16" s="1"/>
  <c r="Q1266" i="16"/>
  <c r="S1266" i="16" s="1"/>
  <c r="Q1516" i="16"/>
  <c r="S1516" i="16" s="1"/>
  <c r="Q926" i="16"/>
  <c r="S926" i="16" s="1"/>
  <c r="Q935" i="16"/>
  <c r="S935" i="16" s="1"/>
  <c r="R1644" i="16"/>
  <c r="P1644" i="16" s="1"/>
  <c r="Q1640" i="16"/>
  <c r="S1640" i="16" s="1"/>
  <c r="R1842" i="16"/>
  <c r="P1842" i="16" s="1"/>
  <c r="R319" i="16"/>
  <c r="P319" i="16" s="1"/>
  <c r="Q16" i="16"/>
  <c r="S16" i="16" s="1"/>
  <c r="R336" i="16"/>
  <c r="P336" i="16" s="1"/>
  <c r="R608" i="16"/>
  <c r="P608" i="16" s="1"/>
  <c r="T608" i="16" s="1"/>
  <c r="Q800" i="16"/>
  <c r="S800" i="16" s="1"/>
  <c r="R291" i="16"/>
  <c r="P291" i="16" s="1"/>
  <c r="T291" i="16" s="1"/>
  <c r="R371" i="16"/>
  <c r="P371" i="16" s="1"/>
  <c r="R1027" i="16"/>
  <c r="P1027" i="16" s="1"/>
  <c r="Q1219" i="16"/>
  <c r="S1219" i="16" s="1"/>
  <c r="R1539" i="16"/>
  <c r="P1539" i="16" s="1"/>
  <c r="T1539" i="16" s="1"/>
  <c r="Q36" i="16"/>
  <c r="S36" i="16" s="1"/>
  <c r="R674" i="16"/>
  <c r="P674" i="16" s="1"/>
  <c r="R1157" i="16"/>
  <c r="P1157" i="16" s="1"/>
  <c r="R1413" i="16"/>
  <c r="P1413" i="16" s="1"/>
  <c r="R18" i="16"/>
  <c r="P18" i="16" s="1"/>
  <c r="R1086" i="16"/>
  <c r="P1086" i="16" s="1"/>
  <c r="R1535" i="16"/>
  <c r="P1535" i="16" s="1"/>
  <c r="Q1727" i="16"/>
  <c r="S1727" i="16" s="1"/>
  <c r="Q2047" i="16"/>
  <c r="S2047" i="16" s="1"/>
  <c r="Q1569" i="16"/>
  <c r="S1569" i="16" s="1"/>
  <c r="Q1933" i="16"/>
  <c r="S1933" i="16" s="1"/>
  <c r="Q1937" i="16"/>
  <c r="S1937" i="16" s="1"/>
  <c r="Q2230" i="16"/>
  <c r="S2230" i="16" s="1"/>
  <c r="R697" i="16"/>
  <c r="P697" i="16" s="1"/>
  <c r="Q1680" i="16"/>
  <c r="S1680" i="16" s="1"/>
  <c r="R1852" i="16"/>
  <c r="P1852" i="16" s="1"/>
  <c r="R1132" i="16"/>
  <c r="P1132" i="16" s="1"/>
  <c r="Q1804" i="16"/>
  <c r="S1804" i="16" s="1"/>
  <c r="R1352" i="16"/>
  <c r="P1352" i="16" s="1"/>
  <c r="T1352" i="16" s="1"/>
  <c r="R1909" i="16"/>
  <c r="P1909" i="16" s="1"/>
  <c r="T1909" i="16" s="1"/>
  <c r="R1688" i="16"/>
  <c r="P1688" i="16" s="1"/>
  <c r="T1688" i="16" s="1"/>
  <c r="Q1836" i="16"/>
  <c r="S1836" i="16" s="1"/>
  <c r="Q2248" i="16"/>
  <c r="S2248" i="16" s="1"/>
  <c r="Q391" i="16"/>
  <c r="S391" i="16" s="1"/>
  <c r="Q88" i="16"/>
  <c r="S88" i="16" s="1"/>
  <c r="R408" i="16"/>
  <c r="P408" i="16" s="1"/>
  <c r="R62" i="16"/>
  <c r="P62" i="16" s="1"/>
  <c r="R2068" i="16"/>
  <c r="P2068" i="16" s="1"/>
  <c r="R2000" i="16"/>
  <c r="P2000" i="16" s="1"/>
  <c r="R808" i="16"/>
  <c r="P808" i="16" s="1"/>
  <c r="T808" i="16" s="1"/>
  <c r="R1419" i="16"/>
  <c r="P1419" i="16" s="1"/>
  <c r="Q2123" i="16"/>
  <c r="S2123" i="16" s="1"/>
  <c r="Q756" i="16"/>
  <c r="S756" i="16" s="1"/>
  <c r="R973" i="16"/>
  <c r="P973" i="16" s="1"/>
  <c r="R1229" i="16"/>
  <c r="P1229" i="16" s="1"/>
  <c r="R1485" i="16"/>
  <c r="P1485" i="16" s="1"/>
  <c r="Q1734" i="16"/>
  <c r="S1734" i="16" s="1"/>
  <c r="R2054" i="16"/>
  <c r="P2054" i="16" s="1"/>
  <c r="Q225" i="16"/>
  <c r="S225" i="16" s="1"/>
  <c r="R1159" i="16"/>
  <c r="P1159" i="16" s="1"/>
  <c r="R1479" i="16"/>
  <c r="P1479" i="16" s="1"/>
  <c r="Q2183" i="16"/>
  <c r="S2183" i="16" s="1"/>
  <c r="Q1713" i="16"/>
  <c r="S1713" i="16" s="1"/>
  <c r="R2236" i="16"/>
  <c r="P2236" i="16" s="1"/>
  <c r="R1844" i="16"/>
  <c r="P1844" i="16" s="1"/>
  <c r="Q181" i="16"/>
  <c r="S181" i="16" s="1"/>
  <c r="R778" i="16"/>
  <c r="P778" i="16" s="1"/>
  <c r="Q1824" i="16"/>
  <c r="S1824" i="16" s="1"/>
  <c r="R1514" i="16"/>
  <c r="P1514" i="16" s="1"/>
  <c r="Q2056" i="16"/>
  <c r="S2056" i="16" s="1"/>
  <c r="Q1244" i="16"/>
  <c r="S1244" i="16" s="1"/>
  <c r="R2161" i="16"/>
  <c r="P2161" i="16" s="1"/>
  <c r="R1626" i="16"/>
  <c r="P1626" i="16" s="1"/>
  <c r="R1020" i="16"/>
  <c r="P1020" i="16" s="1"/>
  <c r="Q1970" i="16"/>
  <c r="S1970" i="16" s="1"/>
  <c r="R442" i="16"/>
  <c r="P442" i="16" s="1"/>
  <c r="Q754" i="16"/>
  <c r="S754" i="16" s="1"/>
  <c r="Q1291" i="16"/>
  <c r="S1291" i="16" s="1"/>
  <c r="R2123" i="16"/>
  <c r="P2123" i="16" s="1"/>
  <c r="Q243" i="16"/>
  <c r="S243" i="16" s="1"/>
  <c r="R756" i="16"/>
  <c r="P756" i="16" s="1"/>
  <c r="Q1293" i="16"/>
  <c r="S1293" i="16" s="1"/>
  <c r="Q894" i="16"/>
  <c r="S894" i="16" s="1"/>
  <c r="R1734" i="16"/>
  <c r="P1734" i="16" s="1"/>
  <c r="R225" i="16"/>
  <c r="P225" i="16" s="1"/>
  <c r="Q1159" i="16"/>
  <c r="S1159" i="16" s="1"/>
  <c r="Q1863" i="16"/>
  <c r="S1863" i="16" s="1"/>
  <c r="R2183" i="16"/>
  <c r="P2183" i="16" s="1"/>
  <c r="Q1073" i="16"/>
  <c r="S1073" i="16" s="1"/>
  <c r="R1713" i="16"/>
  <c r="P1713" i="16" s="1"/>
  <c r="R181" i="16"/>
  <c r="P181" i="16" s="1"/>
  <c r="Q1001" i="16"/>
  <c r="S1001" i="16" s="1"/>
  <c r="Q778" i="16"/>
  <c r="S778" i="16" s="1"/>
  <c r="Q1184" i="16"/>
  <c r="S1184" i="16" s="1"/>
  <c r="R1824" i="16"/>
  <c r="P1824" i="16" s="1"/>
  <c r="Q988" i="16"/>
  <c r="S988" i="16" s="1"/>
  <c r="R2056" i="16"/>
  <c r="P2056" i="16" s="1"/>
  <c r="R1244" i="16"/>
  <c r="P1244" i="16" s="1"/>
  <c r="Q1876" i="16"/>
  <c r="S1876" i="16" s="1"/>
  <c r="Q1178" i="16"/>
  <c r="S1178" i="16" s="1"/>
  <c r="R1098" i="16"/>
  <c r="P1098" i="16" s="1"/>
  <c r="Q1740" i="16"/>
  <c r="S1740" i="16" s="1"/>
  <c r="R1658" i="16"/>
  <c r="P1658" i="16" s="1"/>
  <c r="Q1148" i="16"/>
  <c r="S1148" i="16" s="1"/>
  <c r="R1970" i="16"/>
  <c r="P1970" i="16" s="1"/>
  <c r="R2248" i="16"/>
  <c r="P2248" i="16" s="1"/>
  <c r="Q616" i="16"/>
  <c r="S616" i="16" s="1"/>
  <c r="R525" i="16"/>
  <c r="P525" i="16" s="1"/>
  <c r="R754" i="16"/>
  <c r="P754" i="16" s="1"/>
  <c r="T754" i="16" s="1"/>
  <c r="Q971" i="16"/>
  <c r="S971" i="16" s="1"/>
  <c r="R1291" i="16"/>
  <c r="P1291" i="16" s="1"/>
  <c r="Q1483" i="16"/>
  <c r="S1483" i="16" s="1"/>
  <c r="R243" i="16"/>
  <c r="P243" i="16" s="1"/>
  <c r="Q603" i="16"/>
  <c r="S603" i="16" s="1"/>
  <c r="Q829" i="16"/>
  <c r="S829" i="16" s="1"/>
  <c r="R1293" i="16"/>
  <c r="P1293" i="16" s="1"/>
  <c r="R894" i="16"/>
  <c r="P894" i="16" s="1"/>
  <c r="Q1094" i="16"/>
  <c r="S1094" i="16" s="1"/>
  <c r="Q1606" i="16"/>
  <c r="S1606" i="16" s="1"/>
  <c r="R1543" i="16"/>
  <c r="P1543" i="16" s="1"/>
  <c r="R1863" i="16"/>
  <c r="P1863" i="16" s="1"/>
  <c r="R1073" i="16"/>
  <c r="P1073" i="16" s="1"/>
  <c r="Q947" i="16"/>
  <c r="S947" i="16" s="1"/>
  <c r="R2238" i="16"/>
  <c r="P2238" i="16" s="1"/>
  <c r="R1001" i="16"/>
  <c r="P1001" i="16" s="1"/>
  <c r="R1184" i="16"/>
  <c r="P1184" i="16" s="1"/>
  <c r="T1184" i="16" s="1"/>
  <c r="R988" i="16"/>
  <c r="P988" i="16" s="1"/>
  <c r="Q1721" i="16"/>
  <c r="S1721" i="16" s="1"/>
  <c r="Q484" i="16"/>
  <c r="S484" i="16" s="1"/>
  <c r="R1876" i="16"/>
  <c r="P1876" i="16" s="1"/>
  <c r="R1178" i="16"/>
  <c r="P1178" i="16" s="1"/>
  <c r="Q1098" i="16"/>
  <c r="S1098" i="16" s="1"/>
  <c r="R1740" i="16"/>
  <c r="P1740" i="16" s="1"/>
  <c r="R1148" i="16"/>
  <c r="P1148" i="16" s="1"/>
  <c r="Q1433" i="16"/>
  <c r="S1433" i="16" s="1"/>
  <c r="R1433" i="16"/>
  <c r="P1433" i="16" s="1"/>
  <c r="R404" i="16"/>
  <c r="P404" i="16" s="1"/>
  <c r="Q601" i="16"/>
  <c r="S601" i="16" s="1"/>
  <c r="R971" i="16"/>
  <c r="P971" i="16" s="1"/>
  <c r="Q1163" i="16"/>
  <c r="S1163" i="16" s="1"/>
  <c r="R1483" i="16"/>
  <c r="P1483" i="16" s="1"/>
  <c r="Q2187" i="16"/>
  <c r="S2187" i="16" s="1"/>
  <c r="R603" i="16"/>
  <c r="P603" i="16" s="1"/>
  <c r="R829" i="16"/>
  <c r="P829" i="16" s="1"/>
  <c r="Q1101" i="16"/>
  <c r="S1101" i="16" s="1"/>
  <c r="Q1357" i="16"/>
  <c r="S1357" i="16" s="1"/>
  <c r="Q1613" i="16"/>
  <c r="S1613" i="16" s="1"/>
  <c r="R1094" i="16"/>
  <c r="P1094" i="16" s="1"/>
  <c r="R1606" i="16"/>
  <c r="P1606" i="16" s="1"/>
  <c r="Q1798" i="16"/>
  <c r="S1798" i="16" s="1"/>
  <c r="Q1223" i="16"/>
  <c r="S1223" i="16" s="1"/>
  <c r="Q1543" i="16"/>
  <c r="S1543" i="16" s="1"/>
  <c r="R947" i="16"/>
  <c r="P947" i="16" s="1"/>
  <c r="Q1332" i="16"/>
  <c r="S1332" i="16" s="1"/>
  <c r="Q2238" i="16"/>
  <c r="S2238" i="16" s="1"/>
  <c r="Q951" i="16"/>
  <c r="S951" i="16" s="1"/>
  <c r="Q924" i="16"/>
  <c r="S924" i="16" s="1"/>
  <c r="Q1932" i="16"/>
  <c r="S1932" i="16" s="1"/>
  <c r="R1721" i="16"/>
  <c r="P1721" i="16" s="1"/>
  <c r="R484" i="16"/>
  <c r="P484" i="16" s="1"/>
  <c r="Q1330" i="16"/>
  <c r="S1330" i="16" s="1"/>
  <c r="Q188" i="16"/>
  <c r="S188" i="16" s="1"/>
  <c r="R1836" i="16"/>
  <c r="P1836" i="16" s="1"/>
  <c r="R24" i="16"/>
  <c r="P24" i="16" s="1"/>
  <c r="Q236" i="16"/>
  <c r="S236" i="16" s="1"/>
  <c r="R601" i="16"/>
  <c r="P601" i="16" s="1"/>
  <c r="Q827" i="16"/>
  <c r="S827" i="16" s="1"/>
  <c r="R1163" i="16"/>
  <c r="P1163" i="16" s="1"/>
  <c r="Q1355" i="16"/>
  <c r="S1355" i="16" s="1"/>
  <c r="Q1867" i="16"/>
  <c r="S1867" i="16" s="1"/>
  <c r="R2187" i="16"/>
  <c r="P2187" i="16" s="1"/>
  <c r="R1101" i="16"/>
  <c r="P1101" i="16" s="1"/>
  <c r="R1357" i="16"/>
  <c r="P1357" i="16" s="1"/>
  <c r="R1613" i="16"/>
  <c r="P1613" i="16" s="1"/>
  <c r="Q38" i="16"/>
  <c r="S38" i="16" s="1"/>
  <c r="Q748" i="16"/>
  <c r="S748" i="16" s="1"/>
  <c r="R1798" i="16"/>
  <c r="P1798" i="16" s="1"/>
  <c r="Q1990" i="16"/>
  <c r="S1990" i="16" s="1"/>
  <c r="Q676" i="16"/>
  <c r="S676" i="16" s="1"/>
  <c r="R1223" i="16"/>
  <c r="P1223" i="16" s="1"/>
  <c r="R1415" i="16"/>
  <c r="P1415" i="16" s="1"/>
  <c r="Q1201" i="16"/>
  <c r="S1201" i="16" s="1"/>
  <c r="R1332" i="16"/>
  <c r="P1332" i="16" s="1"/>
  <c r="Q2052" i="16"/>
  <c r="S2052" i="16" s="1"/>
  <c r="R951" i="16"/>
  <c r="P951" i="16" s="1"/>
  <c r="Q1336" i="16"/>
  <c r="S1336" i="16" s="1"/>
  <c r="Q715" i="16"/>
  <c r="S715" i="16" s="1"/>
  <c r="R924" i="16"/>
  <c r="P924" i="16" s="1"/>
  <c r="Q1312" i="16"/>
  <c r="S1312" i="16" s="1"/>
  <c r="R1932" i="16"/>
  <c r="P1932" i="16" s="1"/>
  <c r="T1932" i="16" s="1"/>
  <c r="R102" i="16"/>
  <c r="P102" i="16" s="1"/>
  <c r="R1330" i="16"/>
  <c r="P1330" i="16" s="1"/>
  <c r="Q2117" i="16"/>
  <c r="S2117" i="16" s="1"/>
  <c r="R188" i="16"/>
  <c r="P188" i="16" s="1"/>
  <c r="Q994" i="16"/>
  <c r="S994" i="16" s="1"/>
  <c r="R2117" i="16"/>
  <c r="P2117" i="16" s="1"/>
  <c r="Q2133" i="16"/>
  <c r="S2133" i="16" s="1"/>
  <c r="Q486" i="16"/>
  <c r="S486" i="16" s="1"/>
  <c r="R306" i="16"/>
  <c r="P306" i="16" s="1"/>
  <c r="T306" i="16" s="1"/>
  <c r="R236" i="16"/>
  <c r="P236" i="16" s="1"/>
  <c r="R827" i="16"/>
  <c r="P827" i="16" s="1"/>
  <c r="R1355" i="16"/>
  <c r="P1355" i="16" s="1"/>
  <c r="Q1547" i="16"/>
  <c r="S1547" i="16" s="1"/>
  <c r="R1867" i="16"/>
  <c r="P1867" i="16" s="1"/>
  <c r="Q902" i="16"/>
  <c r="S902" i="16" s="1"/>
  <c r="Q1165" i="16"/>
  <c r="S1165" i="16" s="1"/>
  <c r="R38" i="16"/>
  <c r="P38" i="16" s="1"/>
  <c r="T38" i="16" s="1"/>
  <c r="R748" i="16"/>
  <c r="P748" i="16" s="1"/>
  <c r="Q1670" i="16"/>
  <c r="S1670" i="16" s="1"/>
  <c r="R1990" i="16"/>
  <c r="P1990" i="16" s="1"/>
  <c r="Q44" i="16"/>
  <c r="S44" i="16" s="1"/>
  <c r="R676" i="16"/>
  <c r="P676" i="16" s="1"/>
  <c r="Q1415" i="16"/>
  <c r="S1415" i="16" s="1"/>
  <c r="Q2119" i="16"/>
  <c r="S2119" i="16" s="1"/>
  <c r="R1201" i="16"/>
  <c r="P1201" i="16" s="1"/>
  <c r="R2052" i="16"/>
  <c r="P2052" i="16" s="1"/>
  <c r="R1336" i="16"/>
  <c r="P1336" i="16" s="1"/>
  <c r="R715" i="16"/>
  <c r="P715" i="16" s="1"/>
  <c r="R1312" i="16"/>
  <c r="P1312" i="16" s="1"/>
  <c r="Q1913" i="16"/>
  <c r="S1913" i="16" s="1"/>
  <c r="Q908" i="16"/>
  <c r="S908" i="16" s="1"/>
  <c r="Q102" i="16"/>
  <c r="S102" i="16" s="1"/>
  <c r="Q1961" i="16"/>
  <c r="S1961" i="16" s="1"/>
  <c r="R88" i="16"/>
  <c r="P88" i="16" s="1"/>
  <c r="R234" i="16"/>
  <c r="P234" i="16" s="1"/>
  <c r="Q1227" i="16"/>
  <c r="S1227" i="16" s="1"/>
  <c r="R1547" i="16"/>
  <c r="P1547" i="16" s="1"/>
  <c r="T1547" i="16" s="1"/>
  <c r="Q60" i="16"/>
  <c r="S60" i="16" s="1"/>
  <c r="R902" i="16"/>
  <c r="P902" i="16" s="1"/>
  <c r="T902" i="16" s="1"/>
  <c r="R1165" i="16"/>
  <c r="P1165" i="16" s="1"/>
  <c r="T1165" i="16" s="1"/>
  <c r="Q221" i="16"/>
  <c r="S221" i="16" s="1"/>
  <c r="Q821" i="16"/>
  <c r="S821" i="16" s="1"/>
  <c r="Q1350" i="16"/>
  <c r="S1350" i="16" s="1"/>
  <c r="R1670" i="16"/>
  <c r="P1670" i="16" s="1"/>
  <c r="R44" i="16"/>
  <c r="P44" i="16" s="1"/>
  <c r="T44" i="16" s="1"/>
  <c r="Q502" i="16"/>
  <c r="S502" i="16" s="1"/>
  <c r="R1287" i="16"/>
  <c r="P1287" i="16" s="1"/>
  <c r="R2119" i="16"/>
  <c r="P2119" i="16" s="1"/>
  <c r="T2119" i="16" s="1"/>
  <c r="Q943" i="16"/>
  <c r="S943" i="16" s="1"/>
  <c r="Q1946" i="16"/>
  <c r="S1946" i="16" s="1"/>
  <c r="Q172" i="16"/>
  <c r="S172" i="16" s="1"/>
  <c r="Q1460" i="16"/>
  <c r="S1460" i="16" s="1"/>
  <c r="Q1080" i="16"/>
  <c r="S1080" i="16" s="1"/>
  <c r="Q861" i="16"/>
  <c r="S861" i="16" s="1"/>
  <c r="Q599" i="16"/>
  <c r="S599" i="16" s="1"/>
  <c r="R1913" i="16"/>
  <c r="P1913" i="16" s="1"/>
  <c r="R908" i="16"/>
  <c r="P908" i="16" s="1"/>
  <c r="Q1674" i="16"/>
  <c r="S1674" i="16" s="1"/>
  <c r="Q817" i="16"/>
  <c r="S817" i="16" s="1"/>
  <c r="Q725" i="16"/>
  <c r="S725" i="16" s="1"/>
  <c r="R1961" i="16"/>
  <c r="P1961" i="16" s="1"/>
  <c r="Q2069" i="16"/>
  <c r="S2069" i="16" s="1"/>
  <c r="R994" i="16"/>
  <c r="P994" i="16" s="1"/>
  <c r="Q1164" i="16"/>
  <c r="S1164" i="16" s="1"/>
  <c r="Q1786" i="16"/>
  <c r="S1786" i="16" s="1"/>
  <c r="R2133" i="16"/>
  <c r="P2133" i="16" s="1"/>
  <c r="Q1018" i="16"/>
  <c r="S1018" i="16" s="1"/>
  <c r="Q1658" i="16"/>
  <c r="S1658" i="16" s="1"/>
  <c r="R2169" i="16"/>
  <c r="P2169" i="16" s="1"/>
  <c r="Q412" i="16"/>
  <c r="S412" i="16" s="1"/>
  <c r="R387" i="16"/>
  <c r="P387" i="16" s="1"/>
  <c r="R1227" i="16"/>
  <c r="P1227" i="16" s="1"/>
  <c r="Q1419" i="16"/>
  <c r="S1419" i="16" s="1"/>
  <c r="R60" i="16"/>
  <c r="P60" i="16" s="1"/>
  <c r="Q973" i="16"/>
  <c r="S973" i="16" s="1"/>
  <c r="Q1229" i="16"/>
  <c r="S1229" i="16" s="1"/>
  <c r="Q1485" i="16"/>
  <c r="S1485" i="16" s="1"/>
  <c r="R221" i="16"/>
  <c r="P221" i="16" s="1"/>
  <c r="R821" i="16"/>
  <c r="P821" i="16" s="1"/>
  <c r="R1350" i="16"/>
  <c r="P1350" i="16" s="1"/>
  <c r="Q2054" i="16"/>
  <c r="S2054" i="16" s="1"/>
  <c r="R502" i="16"/>
  <c r="P502" i="16" s="1"/>
  <c r="Q1287" i="16"/>
  <c r="S1287" i="16" s="1"/>
  <c r="Q1479" i="16"/>
  <c r="S1479" i="16" s="1"/>
  <c r="R943" i="16"/>
  <c r="P943" i="16" s="1"/>
  <c r="R1946" i="16"/>
  <c r="P1946" i="16" s="1"/>
  <c r="Q2236" i="16"/>
  <c r="S2236" i="16" s="1"/>
  <c r="R172" i="16"/>
  <c r="P172" i="16" s="1"/>
  <c r="R1460" i="16"/>
  <c r="P1460" i="16" s="1"/>
  <c r="Q1844" i="16"/>
  <c r="S1844" i="16" s="1"/>
  <c r="R1080" i="16"/>
  <c r="P1080" i="16" s="1"/>
  <c r="R861" i="16"/>
  <c r="P861" i="16" s="1"/>
  <c r="R599" i="16"/>
  <c r="P599" i="16" s="1"/>
  <c r="Q1514" i="16"/>
  <c r="S1514" i="16" s="1"/>
  <c r="R1674" i="16"/>
  <c r="P1674" i="16" s="1"/>
  <c r="Q2161" i="16"/>
  <c r="S2161" i="16" s="1"/>
  <c r="R817" i="16"/>
  <c r="P817" i="16" s="1"/>
  <c r="Q1626" i="16"/>
  <c r="S1626" i="16" s="1"/>
  <c r="R725" i="16"/>
  <c r="P725" i="16" s="1"/>
  <c r="R1578" i="16"/>
  <c r="P1578" i="16" s="1"/>
  <c r="R2069" i="16"/>
  <c r="P2069" i="16" s="1"/>
  <c r="Q1020" i="16"/>
  <c r="S1020" i="16" s="1"/>
  <c r="Q2169" i="16"/>
  <c r="S2169" i="16" s="1"/>
  <c r="R1164" i="16"/>
  <c r="P1164" i="16" s="1"/>
  <c r="R1786" i="16"/>
  <c r="P1786" i="16" s="1"/>
  <c r="T1786" i="16" s="1"/>
  <c r="R1018" i="16"/>
  <c r="P1018" i="16" s="1"/>
  <c r="Q1578" i="16"/>
  <c r="S1578" i="16" s="1"/>
  <c r="R2454" i="16"/>
  <c r="P2454" i="16" s="1"/>
  <c r="R2275" i="16"/>
  <c r="P2275" i="16" s="1"/>
  <c r="R2289" i="16"/>
  <c r="P2289" i="16" s="1"/>
  <c r="Q2460" i="16"/>
  <c r="S2460" i="16" s="1"/>
  <c r="R2404" i="16"/>
  <c r="P2404" i="16" s="1"/>
  <c r="Q2406" i="16"/>
  <c r="S2406" i="16" s="1"/>
  <c r="Q2297" i="16"/>
  <c r="S2297" i="16" s="1"/>
  <c r="R2448" i="16"/>
  <c r="P2448" i="16" s="1"/>
  <c r="Q2432" i="16"/>
  <c r="S2432" i="16" s="1"/>
  <c r="V2640" i="16"/>
  <c r="Y2640" i="16" s="1"/>
  <c r="Z2640" i="16" s="1"/>
  <c r="Q2374" i="16"/>
  <c r="S2374" i="16" s="1"/>
  <c r="Q2293" i="16"/>
  <c r="S2293" i="16" s="1"/>
  <c r="Q2446" i="16"/>
  <c r="S2446" i="16" s="1"/>
  <c r="V2639" i="16"/>
  <c r="Y2639" i="16" s="1"/>
  <c r="Z2639" i="16" s="1"/>
  <c r="V2648" i="16"/>
  <c r="Y2648" i="16" s="1"/>
  <c r="Z2648" i="16" s="1"/>
  <c r="V2650" i="16"/>
  <c r="Y2650" i="16" s="1"/>
  <c r="Z2650" i="16" s="1"/>
  <c r="R2374" i="16"/>
  <c r="P2374" i="16" s="1"/>
  <c r="R2293" i="16"/>
  <c r="P2293" i="16" s="1"/>
  <c r="R2446" i="16"/>
  <c r="P2446" i="16" s="1"/>
  <c r="Q2475" i="16"/>
  <c r="S2475" i="16" s="1"/>
  <c r="Q2400" i="16"/>
  <c r="S2400" i="16" s="1"/>
  <c r="Q2361" i="16"/>
  <c r="S2361" i="16" s="1"/>
  <c r="Q2301" i="16"/>
  <c r="S2301" i="16" s="1"/>
  <c r="Q2332" i="16"/>
  <c r="S2332" i="16" s="1"/>
  <c r="Q2334" i="16"/>
  <c r="S2334" i="16" s="1"/>
  <c r="Q2410" i="16"/>
  <c r="S2410" i="16" s="1"/>
  <c r="Q2419" i="16"/>
  <c r="S2419" i="16" s="1"/>
  <c r="R2311" i="16"/>
  <c r="P2311" i="16" s="1"/>
  <c r="Q2363" i="16"/>
  <c r="S2363" i="16" s="1"/>
  <c r="Q2333" i="16"/>
  <c r="S2333" i="16" s="1"/>
  <c r="R2336" i="16"/>
  <c r="P2336" i="16" s="1"/>
  <c r="R2277" i="16"/>
  <c r="P2277" i="16" s="1"/>
  <c r="Q2283" i="16"/>
  <c r="S2283" i="16" s="1"/>
  <c r="R2348" i="16"/>
  <c r="P2348" i="16" s="1"/>
  <c r="V2644" i="16"/>
  <c r="Y2644" i="16" s="1"/>
  <c r="Z2644" i="16" s="1"/>
  <c r="V2647" i="16"/>
  <c r="Y2647" i="16" s="1"/>
  <c r="Z2647" i="16" s="1"/>
  <c r="V2656" i="16"/>
  <c r="Y2656" i="16" s="1"/>
  <c r="Z2656" i="16" s="1"/>
  <c r="Q2372" i="16"/>
  <c r="S2372" i="16" s="1"/>
  <c r="Q2444" i="16"/>
  <c r="S2444" i="16" s="1"/>
  <c r="R2475" i="16"/>
  <c r="P2475" i="16" s="1"/>
  <c r="Q2388" i="16"/>
  <c r="S2388" i="16" s="1"/>
  <c r="R2400" i="16"/>
  <c r="P2400" i="16" s="1"/>
  <c r="R2361" i="16"/>
  <c r="P2361" i="16" s="1"/>
  <c r="R2301" i="16"/>
  <c r="P2301" i="16" s="1"/>
  <c r="R2332" i="16"/>
  <c r="P2332" i="16" s="1"/>
  <c r="R2334" i="16"/>
  <c r="P2334" i="16" s="1"/>
  <c r="R2410" i="16"/>
  <c r="P2410" i="16" s="1"/>
  <c r="Q2392" i="16"/>
  <c r="S2392" i="16" s="1"/>
  <c r="R2419" i="16"/>
  <c r="P2419" i="16" s="1"/>
  <c r="R2363" i="16"/>
  <c r="P2363" i="16" s="1"/>
  <c r="R2333" i="16"/>
  <c r="P2333" i="16" s="1"/>
  <c r="V2652" i="16"/>
  <c r="Y2652" i="16" s="1"/>
  <c r="Z2652" i="16" s="1"/>
  <c r="V2655" i="16"/>
  <c r="Y2655" i="16" s="1"/>
  <c r="Z2655" i="16" s="1"/>
  <c r="V2646" i="16"/>
  <c r="Y2646" i="16" s="1"/>
  <c r="Z2646" i="16" s="1"/>
  <c r="R2372" i="16"/>
  <c r="P2372" i="16" s="1"/>
  <c r="Q2378" i="16"/>
  <c r="S2378" i="16" s="1"/>
  <c r="Q2473" i="16"/>
  <c r="S2473" i="16" s="1"/>
  <c r="Q2450" i="16"/>
  <c r="S2450" i="16" s="1"/>
  <c r="R2444" i="16"/>
  <c r="P2444" i="16" s="1"/>
  <c r="Q2344" i="16"/>
  <c r="S2344" i="16" s="1"/>
  <c r="R2388" i="16"/>
  <c r="P2388" i="16" s="1"/>
  <c r="R2390" i="16"/>
  <c r="P2390" i="16" s="1"/>
  <c r="Q2323" i="16"/>
  <c r="S2323" i="16" s="1"/>
  <c r="R2392" i="16"/>
  <c r="P2392" i="16" s="1"/>
  <c r="T2392" i="16" s="1"/>
  <c r="R2378" i="16"/>
  <c r="P2378" i="16" s="1"/>
  <c r="R2473" i="16"/>
  <c r="P2473" i="16" s="1"/>
  <c r="R2450" i="16"/>
  <c r="P2450" i="16" s="1"/>
  <c r="Q2456" i="16"/>
  <c r="S2456" i="16" s="1"/>
  <c r="Q2471" i="16"/>
  <c r="S2471" i="16" s="1"/>
  <c r="R2344" i="16"/>
  <c r="P2344" i="16" s="1"/>
  <c r="Q2390" i="16"/>
  <c r="S2390" i="16" s="1"/>
  <c r="R2323" i="16"/>
  <c r="P2323" i="16" s="1"/>
  <c r="Q2386" i="16"/>
  <c r="S2386" i="16" s="1"/>
  <c r="Q2396" i="16"/>
  <c r="S2396" i="16" s="1"/>
  <c r="Q2398" i="16"/>
  <c r="S2398" i="16" s="1"/>
  <c r="Q2287" i="16"/>
  <c r="S2287" i="16" s="1"/>
  <c r="R2299" i="16"/>
  <c r="P2299" i="16" s="1"/>
  <c r="V2643" i="16"/>
  <c r="Y2643" i="16" s="1"/>
  <c r="Z2643" i="16" s="1"/>
  <c r="V2641" i="16"/>
  <c r="Y2641" i="16" s="1"/>
  <c r="Z2641" i="16" s="1"/>
  <c r="V2642" i="16"/>
  <c r="Y2642" i="16" s="1"/>
  <c r="Z2642" i="16" s="1"/>
  <c r="V2645" i="16"/>
  <c r="Y2645" i="16" s="1"/>
  <c r="Z2645" i="16" s="1"/>
  <c r="Q2436" i="16"/>
  <c r="S2436" i="16" s="1"/>
  <c r="R2303" i="16"/>
  <c r="P2303" i="16" s="1"/>
  <c r="Q2315" i="16"/>
  <c r="S2315" i="16" s="1"/>
  <c r="Q2382" i="16"/>
  <c r="S2382" i="16" s="1"/>
  <c r="R2456" i="16"/>
  <c r="P2456" i="16" s="1"/>
  <c r="Q2313" i="16"/>
  <c r="S2313" i="16" s="1"/>
  <c r="Q2465" i="16"/>
  <c r="S2465" i="16" s="1"/>
  <c r="R2471" i="16"/>
  <c r="P2471" i="16" s="1"/>
  <c r="Q2305" i="16"/>
  <c r="S2305" i="16" s="1"/>
  <c r="Q2452" i="16"/>
  <c r="S2452" i="16" s="1"/>
  <c r="R2386" i="16"/>
  <c r="P2386" i="16" s="1"/>
  <c r="R2396" i="16"/>
  <c r="P2396" i="16" s="1"/>
  <c r="R2398" i="16"/>
  <c r="P2398" i="16" s="1"/>
  <c r="R2287" i="16"/>
  <c r="P2287" i="16" s="1"/>
  <c r="Q2295" i="16"/>
  <c r="S2295" i="16" s="1"/>
  <c r="V2651" i="16"/>
  <c r="Y2651" i="16" s="1"/>
  <c r="Z2651" i="16" s="1"/>
  <c r="V2653" i="16"/>
  <c r="Y2653" i="16" s="1"/>
  <c r="Z2653" i="16" s="1"/>
  <c r="V2654" i="16"/>
  <c r="Y2654" i="16" s="1"/>
  <c r="Z2654" i="16" s="1"/>
  <c r="V2657" i="16"/>
  <c r="Y2657" i="16" s="1"/>
  <c r="Z2657" i="16" s="1"/>
  <c r="V2658" i="16"/>
  <c r="Y2658" i="16" s="1"/>
  <c r="Z2658" i="16" s="1"/>
  <c r="V2649" i="16"/>
  <c r="Y2649" i="16" s="1"/>
  <c r="Z2649" i="16" s="1"/>
  <c r="R2436" i="16"/>
  <c r="P2436" i="16" s="1"/>
  <c r="Q2303" i="16"/>
  <c r="S2303" i="16" s="1"/>
  <c r="R2315" i="16"/>
  <c r="P2315" i="16" s="1"/>
  <c r="R2382" i="16"/>
  <c r="P2382" i="16" s="1"/>
  <c r="R2313" i="16"/>
  <c r="P2313" i="16" s="1"/>
  <c r="R2465" i="16"/>
  <c r="P2465" i="16" s="1"/>
  <c r="R2305" i="16"/>
  <c r="P2305" i="16" s="1"/>
  <c r="R2452" i="16"/>
  <c r="P2452" i="16" s="1"/>
  <c r="Q2454" i="16"/>
  <c r="S2454" i="16" s="1"/>
  <c r="Q2275" i="16"/>
  <c r="S2275" i="16" s="1"/>
  <c r="Q2289" i="16"/>
  <c r="S2289" i="16" s="1"/>
  <c r="R2295" i="16"/>
  <c r="P2295" i="16" s="1"/>
  <c r="Q2404" i="16"/>
  <c r="S2404" i="16" s="1"/>
  <c r="R2406" i="16"/>
  <c r="P2406" i="16" s="1"/>
  <c r="R2402" i="16"/>
  <c r="P2402" i="16" s="1"/>
  <c r="R2467" i="16"/>
  <c r="P2467" i="16" s="1"/>
  <c r="Q2402" i="16"/>
  <c r="S2402" i="16" s="1"/>
  <c r="Q2277" i="16"/>
  <c r="S2277" i="16" s="1"/>
  <c r="Q2327" i="16"/>
  <c r="S2327" i="16" s="1"/>
  <c r="R2412" i="16"/>
  <c r="P2412" i="16" s="1"/>
  <c r="Q2346" i="16"/>
  <c r="S2346" i="16" s="1"/>
  <c r="R2458" i="16"/>
  <c r="P2458" i="16" s="1"/>
  <c r="Q2271" i="16"/>
  <c r="S2271" i="16" s="1"/>
  <c r="Q2365" i="16"/>
  <c r="S2365" i="16" s="1"/>
  <c r="Q2319" i="16"/>
  <c r="S2319" i="16" s="1"/>
  <c r="R2281" i="16"/>
  <c r="P2281" i="16" s="1"/>
  <c r="Q2299" i="16"/>
  <c r="S2299" i="16" s="1"/>
  <c r="Q2342" i="16"/>
  <c r="S2342" i="16" s="1"/>
  <c r="R2297" i="16"/>
  <c r="P2297" i="16" s="1"/>
  <c r="R2327" i="16"/>
  <c r="P2327" i="16" s="1"/>
  <c r="R2346" i="16"/>
  <c r="P2346" i="16" s="1"/>
  <c r="Q2458" i="16"/>
  <c r="S2458" i="16" s="1"/>
  <c r="R2271" i="16"/>
  <c r="P2271" i="16" s="1"/>
  <c r="R2365" i="16"/>
  <c r="P2365" i="16" s="1"/>
  <c r="Q2357" i="16"/>
  <c r="S2357" i="16" s="1"/>
  <c r="R2319" i="16"/>
  <c r="P2319" i="16" s="1"/>
  <c r="Q2384" i="16"/>
  <c r="S2384" i="16" s="1"/>
  <c r="R2434" i="16"/>
  <c r="P2434" i="16" s="1"/>
  <c r="Q2329" i="16"/>
  <c r="S2329" i="16" s="1"/>
  <c r="R2342" i="16"/>
  <c r="P2342" i="16" s="1"/>
  <c r="R2357" i="16"/>
  <c r="P2357" i="16" s="1"/>
  <c r="R2384" i="16"/>
  <c r="P2384" i="16" s="1"/>
  <c r="R2367" i="16"/>
  <c r="P2367" i="16" s="1"/>
  <c r="Q2359" i="16"/>
  <c r="S2359" i="16" s="1"/>
  <c r="Q2430" i="16"/>
  <c r="S2430" i="16" s="1"/>
  <c r="R2329" i="16"/>
  <c r="P2329" i="16" s="1"/>
  <c r="R2376" i="16"/>
  <c r="P2376" i="16" s="1"/>
  <c r="Q2340" i="16"/>
  <c r="S2340" i="16" s="1"/>
  <c r="R2432" i="16"/>
  <c r="P2432" i="16" s="1"/>
  <c r="Q2355" i="16"/>
  <c r="S2355" i="16" s="1"/>
  <c r="Q2367" i="16"/>
  <c r="S2367" i="16" s="1"/>
  <c r="R2359" i="16"/>
  <c r="P2359" i="16" s="1"/>
  <c r="T2359" i="16" s="1"/>
  <c r="R2430" i="16"/>
  <c r="P2430" i="16" s="1"/>
  <c r="T2430" i="16" s="1"/>
  <c r="Q2376" i="16"/>
  <c r="S2376" i="16" s="1"/>
  <c r="R2460" i="16"/>
  <c r="P2460" i="16" s="1"/>
  <c r="R2340" i="16"/>
  <c r="P2340" i="16" s="1"/>
  <c r="Q2336" i="16"/>
  <c r="S2336" i="16" s="1"/>
  <c r="R2355" i="16"/>
  <c r="P2355" i="16" s="1"/>
  <c r="Q2338" i="16"/>
  <c r="S2338" i="16" s="1"/>
  <c r="Q2415" i="16"/>
  <c r="S2415" i="16" s="1"/>
  <c r="Q2309" i="16"/>
  <c r="S2309" i="16" s="1"/>
  <c r="Q2369" i="16"/>
  <c r="S2369" i="16" s="1"/>
  <c r="Q2417" i="16"/>
  <c r="S2417" i="16" s="1"/>
  <c r="Q2311" i="16"/>
  <c r="S2311" i="16" s="1"/>
  <c r="Q2317" i="16"/>
  <c r="S2317" i="16" s="1"/>
  <c r="Q2448" i="16"/>
  <c r="S2448" i="16" s="1"/>
  <c r="Q2348" i="16"/>
  <c r="S2348" i="16" s="1"/>
  <c r="R2338" i="16"/>
  <c r="P2338" i="16" s="1"/>
  <c r="Q2273" i="16"/>
  <c r="S2273" i="16" s="1"/>
  <c r="Q2428" i="16"/>
  <c r="S2428" i="16" s="1"/>
  <c r="R2415" i="16"/>
  <c r="P2415" i="16" s="1"/>
  <c r="R2309" i="16"/>
  <c r="P2309" i="16" s="1"/>
  <c r="Q2463" i="16"/>
  <c r="S2463" i="16" s="1"/>
  <c r="R2369" i="16"/>
  <c r="P2369" i="16" s="1"/>
  <c r="Q2408" i="16"/>
  <c r="S2408" i="16" s="1"/>
  <c r="R2417" i="16"/>
  <c r="P2417" i="16" s="1"/>
  <c r="R2317" i="16"/>
  <c r="P2317" i="16" s="1"/>
  <c r="Q2467" i="16"/>
  <c r="S2467" i="16" s="1"/>
  <c r="Q2414" i="16"/>
  <c r="S2414" i="16" s="1"/>
  <c r="Q2307" i="16"/>
  <c r="S2307" i="16" s="1"/>
  <c r="Q2321" i="16"/>
  <c r="S2321" i="16" s="1"/>
  <c r="Q2279" i="16"/>
  <c r="S2279" i="16" s="1"/>
  <c r="R2273" i="16"/>
  <c r="P2273" i="16" s="1"/>
  <c r="R2428" i="16"/>
  <c r="P2428" i="16" s="1"/>
  <c r="R2463" i="16"/>
  <c r="P2463" i="16" s="1"/>
  <c r="R2408" i="16"/>
  <c r="P2408" i="16" s="1"/>
  <c r="Q2331" i="16"/>
  <c r="S2331" i="16" s="1"/>
  <c r="Q2394" i="16"/>
  <c r="S2394" i="16" s="1"/>
  <c r="Q2434" i="16"/>
  <c r="S2434" i="16" s="1"/>
  <c r="R2291" i="16"/>
  <c r="P2291" i="16" s="1"/>
  <c r="R2283" i="16"/>
  <c r="P2283" i="16" s="1"/>
  <c r="T2283" i="16" s="1"/>
  <c r="Q2412" i="16"/>
  <c r="S2412" i="16" s="1"/>
  <c r="R2414" i="16"/>
  <c r="P2414" i="16" s="1"/>
  <c r="R2307" i="16"/>
  <c r="P2307" i="16" s="1"/>
  <c r="R2321" i="16"/>
  <c r="P2321" i="16" s="1"/>
  <c r="R2279" i="16"/>
  <c r="P2279" i="16" s="1"/>
  <c r="Q2281" i="16"/>
  <c r="S2281" i="16" s="1"/>
  <c r="Q2291" i="16"/>
  <c r="S2291" i="16" s="1"/>
  <c r="R2331" i="16"/>
  <c r="P2331" i="16" s="1"/>
  <c r="R2394" i="16"/>
  <c r="P2394" i="16" s="1"/>
  <c r="V2659" i="16"/>
  <c r="Q2628" i="16"/>
  <c r="S2628" i="16" s="1"/>
  <c r="Q2566" i="16"/>
  <c r="S2566" i="16" s="1"/>
  <c r="R2634" i="16"/>
  <c r="P2634" i="16" s="1"/>
  <c r="Q2541" i="16"/>
  <c r="S2541" i="16" s="1"/>
  <c r="R2655" i="16"/>
  <c r="P2655" i="16" s="1"/>
  <c r="Q2545" i="16"/>
  <c r="S2545" i="16" s="1"/>
  <c r="R2478" i="16"/>
  <c r="P2478" i="16" s="1"/>
  <c r="Q2649" i="16"/>
  <c r="S2649" i="16" s="1"/>
  <c r="R2486" i="16"/>
  <c r="P2486" i="16" s="1"/>
  <c r="Q2509" i="16"/>
  <c r="S2509" i="16" s="1"/>
  <c r="R2554" i="16"/>
  <c r="P2554" i="16" s="1"/>
  <c r="Q2603" i="16"/>
  <c r="S2603" i="16" s="1"/>
  <c r="R2628" i="16"/>
  <c r="P2628" i="16" s="1"/>
  <c r="Q2511" i="16"/>
  <c r="S2511" i="16" s="1"/>
  <c r="Q2643" i="16"/>
  <c r="S2643" i="16" s="1"/>
  <c r="Q2636" i="16"/>
  <c r="S2636" i="16" s="1"/>
  <c r="R2541" i="16"/>
  <c r="P2541" i="16" s="1"/>
  <c r="Q2587" i="16"/>
  <c r="S2587" i="16" s="1"/>
  <c r="Q2543" i="16"/>
  <c r="S2543" i="16" s="1"/>
  <c r="Q2506" i="16"/>
  <c r="S2506" i="16" s="1"/>
  <c r="Q2515" i="16"/>
  <c r="S2515" i="16" s="1"/>
  <c r="R2509" i="16"/>
  <c r="P2509" i="16" s="1"/>
  <c r="Q2547" i="16"/>
  <c r="S2547" i="16" s="1"/>
  <c r="R2603" i="16"/>
  <c r="P2603" i="16" s="1"/>
  <c r="Q2500" i="16"/>
  <c r="S2500" i="16" s="1"/>
  <c r="Q2630" i="16"/>
  <c r="S2630" i="16" s="1"/>
  <c r="R2511" i="16"/>
  <c r="P2511" i="16" s="1"/>
  <c r="R2643" i="16"/>
  <c r="P2643" i="16" s="1"/>
  <c r="R2636" i="16"/>
  <c r="P2636" i="16" s="1"/>
  <c r="R2587" i="16"/>
  <c r="P2587" i="16" s="1"/>
  <c r="R2543" i="16"/>
  <c r="P2543" i="16" s="1"/>
  <c r="R2506" i="16"/>
  <c r="P2506" i="16" s="1"/>
  <c r="R2515" i="16"/>
  <c r="P2515" i="16" s="1"/>
  <c r="Q2513" i="16"/>
  <c r="S2513" i="16" s="1"/>
  <c r="R2500" i="16"/>
  <c r="P2500" i="16" s="1"/>
  <c r="R2630" i="16"/>
  <c r="P2630" i="16" s="1"/>
  <c r="Q2626" i="16"/>
  <c r="S2626" i="16" s="1"/>
  <c r="Q2639" i="16"/>
  <c r="S2639" i="16" s="1"/>
  <c r="R2513" i="16"/>
  <c r="P2513" i="16" s="1"/>
  <c r="Q2498" i="16"/>
  <c r="S2498" i="16" s="1"/>
  <c r="Q2624" i="16"/>
  <c r="S2624" i="16" s="1"/>
  <c r="R2599" i="16"/>
  <c r="P2599" i="16" s="1"/>
  <c r="R2624" i="16"/>
  <c r="P2624" i="16" s="1"/>
  <c r="Q2585" i="16"/>
  <c r="S2585" i="16" s="1"/>
  <c r="Q2480" i="16"/>
  <c r="S2480" i="16" s="1"/>
  <c r="Q2599" i="16"/>
  <c r="S2599" i="16" s="1"/>
  <c r="R2502" i="16"/>
  <c r="P2502" i="16" s="1"/>
  <c r="R2626" i="16"/>
  <c r="P2626" i="16" s="1"/>
  <c r="Q2570" i="16"/>
  <c r="S2570" i="16" s="1"/>
  <c r="Q2579" i="16"/>
  <c r="S2579" i="16" s="1"/>
  <c r="Q2524" i="16"/>
  <c r="S2524" i="16" s="1"/>
  <c r="Q2654" i="16"/>
  <c r="S2654" i="16" s="1"/>
  <c r="Q2496" i="16"/>
  <c r="S2496" i="16" s="1"/>
  <c r="R2639" i="16"/>
  <c r="P2639" i="16" s="1"/>
  <c r="T2639" i="16" s="1"/>
  <c r="Q2601" i="16"/>
  <c r="S2601" i="16" s="1"/>
  <c r="R2498" i="16"/>
  <c r="P2498" i="16" s="1"/>
  <c r="T2498" i="16" s="1"/>
  <c r="Q2528" i="16"/>
  <c r="S2528" i="16" s="1"/>
  <c r="R2577" i="16"/>
  <c r="P2577" i="16" s="1"/>
  <c r="Q2556" i="16"/>
  <c r="S2556" i="16" s="1"/>
  <c r="R2480" i="16"/>
  <c r="P2480" i="16" s="1"/>
  <c r="Q2502" i="16"/>
  <c r="S2502" i="16" s="1"/>
  <c r="Q2632" i="16"/>
  <c r="S2632" i="16" s="1"/>
  <c r="Q2504" i="16"/>
  <c r="S2504" i="16" s="1"/>
  <c r="Q2653" i="16"/>
  <c r="S2653" i="16" s="1"/>
  <c r="Q2518" i="16"/>
  <c r="S2518" i="16" s="1"/>
  <c r="R2570" i="16"/>
  <c r="P2570" i="16" s="1"/>
  <c r="R2579" i="16"/>
  <c r="P2579" i="16" s="1"/>
  <c r="R2524" i="16"/>
  <c r="P2524" i="16" s="1"/>
  <c r="R2654" i="16"/>
  <c r="P2654" i="16" s="1"/>
  <c r="R2496" i="16"/>
  <c r="P2496" i="16" s="1"/>
  <c r="Q2522" i="16"/>
  <c r="S2522" i="16" s="1"/>
  <c r="R2601" i="16"/>
  <c r="P2601" i="16" s="1"/>
  <c r="Q2517" i="16"/>
  <c r="S2517" i="16" s="1"/>
  <c r="R2528" i="16"/>
  <c r="P2528" i="16" s="1"/>
  <c r="Q2568" i="16"/>
  <c r="S2568" i="16" s="1"/>
  <c r="Q2577" i="16"/>
  <c r="S2577" i="16" s="1"/>
  <c r="Q2647" i="16"/>
  <c r="S2647" i="16" s="1"/>
  <c r="R2556" i="16"/>
  <c r="P2556" i="16" s="1"/>
  <c r="Q2558" i="16"/>
  <c r="S2558" i="16" s="1"/>
  <c r="Q2651" i="16"/>
  <c r="S2651" i="16" s="1"/>
  <c r="R2641" i="16"/>
  <c r="P2641" i="16" s="1"/>
  <c r="R2632" i="16"/>
  <c r="P2632" i="16" s="1"/>
  <c r="R2504" i="16"/>
  <c r="P2504" i="16" s="1"/>
  <c r="Q2645" i="16"/>
  <c r="S2645" i="16" s="1"/>
  <c r="R2653" i="16"/>
  <c r="P2653" i="16" s="1"/>
  <c r="R2518" i="16"/>
  <c r="P2518" i="16" s="1"/>
  <c r="Q2526" i="16"/>
  <c r="S2526" i="16" s="1"/>
  <c r="Q2581" i="16"/>
  <c r="S2581" i="16" s="1"/>
  <c r="R2522" i="16"/>
  <c r="P2522" i="16" s="1"/>
  <c r="Q2482" i="16"/>
  <c r="S2482" i="16" s="1"/>
  <c r="Q2488" i="16"/>
  <c r="S2488" i="16" s="1"/>
  <c r="Q2476" i="16"/>
  <c r="S2476" i="16" s="1"/>
  <c r="R2517" i="16"/>
  <c r="P2517" i="16" s="1"/>
  <c r="Q2583" i="16"/>
  <c r="S2583" i="16" s="1"/>
  <c r="Q2484" i="16"/>
  <c r="S2484" i="16" s="1"/>
  <c r="R2568" i="16"/>
  <c r="P2568" i="16" s="1"/>
  <c r="R2647" i="16"/>
  <c r="P2647" i="16" s="1"/>
  <c r="R2558" i="16"/>
  <c r="P2558" i="16" s="1"/>
  <c r="Q2520" i="16"/>
  <c r="S2520" i="16" s="1"/>
  <c r="Q2641" i="16"/>
  <c r="S2641" i="16" s="1"/>
  <c r="R2651" i="16"/>
  <c r="P2651" i="16" s="1"/>
  <c r="R2520" i="16"/>
  <c r="P2520" i="16" s="1"/>
  <c r="R2620" i="16"/>
  <c r="P2620" i="16" s="1"/>
  <c r="R2622" i="16"/>
  <c r="P2622" i="16" s="1"/>
  <c r="R2547" i="16"/>
  <c r="P2547" i="16" s="1"/>
  <c r="R2566" i="16"/>
  <c r="P2566" i="16" s="1"/>
  <c r="T2566" i="16" s="1"/>
  <c r="Q2634" i="16"/>
  <c r="S2634" i="16" s="1"/>
  <c r="R2645" i="16"/>
  <c r="P2645" i="16" s="1"/>
  <c r="T2645" i="16" s="1"/>
  <c r="Q2655" i="16"/>
  <c r="S2655" i="16" s="1"/>
  <c r="R2526" i="16"/>
  <c r="P2526" i="16" s="1"/>
  <c r="R2581" i="16"/>
  <c r="P2581" i="16" s="1"/>
  <c r="R2482" i="16"/>
  <c r="P2482" i="16" s="1"/>
  <c r="R2545" i="16"/>
  <c r="P2545" i="16" s="1"/>
  <c r="R2488" i="16"/>
  <c r="P2488" i="16" s="1"/>
  <c r="R2476" i="16"/>
  <c r="P2476" i="16" s="1"/>
  <c r="Q2478" i="16"/>
  <c r="S2478" i="16" s="1"/>
  <c r="R2649" i="16"/>
  <c r="P2649" i="16" s="1"/>
  <c r="R2583" i="16"/>
  <c r="P2583" i="16" s="1"/>
  <c r="T2583" i="16" s="1"/>
  <c r="R2484" i="16"/>
  <c r="P2484" i="16" s="1"/>
  <c r="T2484" i="16" s="1"/>
  <c r="Q2486" i="16"/>
  <c r="S2486" i="16" s="1"/>
  <c r="Q2554" i="16"/>
  <c r="S2554" i="16" s="1"/>
  <c r="Q2620" i="16"/>
  <c r="S2620" i="16" s="1"/>
  <c r="R2585" i="16"/>
  <c r="P2585" i="16" s="1"/>
  <c r="Q2622" i="16"/>
  <c r="S2622" i="16" s="1"/>
  <c r="C4" i="11"/>
  <c r="E4" i="11"/>
  <c r="T2052" i="16" l="1"/>
  <c r="T1155" i="16"/>
  <c r="T1767" i="16"/>
  <c r="T1998" i="16"/>
  <c r="T152" i="16"/>
  <c r="T188" i="16"/>
  <c r="T374" i="16"/>
  <c r="W3" i="16"/>
  <c r="Y3" i="16"/>
  <c r="Z3" i="16" s="1"/>
  <c r="T1624" i="16"/>
  <c r="T1428" i="16"/>
  <c r="T1040" i="16"/>
  <c r="T2185" i="16"/>
  <c r="T1164" i="16"/>
  <c r="T1990" i="16"/>
  <c r="T1106" i="16"/>
  <c r="T2355" i="16"/>
  <c r="T2147" i="16"/>
  <c r="W4" i="16"/>
  <c r="AB4" i="16"/>
  <c r="AC4" i="16" s="1"/>
  <c r="AD4" i="16"/>
  <c r="AE4" i="16" s="1"/>
  <c r="AF4" i="16" s="1"/>
  <c r="AD7" i="16"/>
  <c r="AE7" i="16" s="1"/>
  <c r="AF7" i="16" s="1"/>
  <c r="AD5" i="16"/>
  <c r="AE5" i="16" s="1"/>
  <c r="AF5" i="16" s="1"/>
  <c r="AD6" i="16"/>
  <c r="AE6" i="16" s="1"/>
  <c r="AF6" i="16" s="1"/>
  <c r="AD8" i="16"/>
  <c r="AE8" i="16" s="1"/>
  <c r="AF8" i="16" s="1"/>
  <c r="AD9" i="16"/>
  <c r="AE9" i="16" s="1"/>
  <c r="AF9" i="16" s="1"/>
  <c r="T404" i="16"/>
  <c r="T2157" i="16"/>
  <c r="T892" i="16"/>
  <c r="T95" i="16"/>
  <c r="T1868" i="16"/>
  <c r="T1703" i="16"/>
  <c r="T543" i="16"/>
  <c r="T2084" i="16"/>
  <c r="T2042" i="16"/>
  <c r="T192" i="16"/>
  <c r="T2406" i="16"/>
  <c r="T297" i="16"/>
  <c r="T2058" i="16"/>
  <c r="T421" i="16"/>
  <c r="T984" i="16"/>
  <c r="T1562" i="16"/>
  <c r="T2100" i="16"/>
  <c r="T2460" i="16"/>
  <c r="T539" i="16"/>
  <c r="T997" i="16"/>
  <c r="AD13" i="16"/>
  <c r="AE13" i="16" s="1"/>
  <c r="AF13" i="16" s="1"/>
  <c r="AD12" i="16"/>
  <c r="AE12" i="16" s="1"/>
  <c r="AF12" i="16" s="1"/>
  <c r="AD15" i="16"/>
  <c r="AE15" i="16" s="1"/>
  <c r="AF15" i="16" s="1"/>
  <c r="AD14" i="16"/>
  <c r="AE14" i="16" s="1"/>
  <c r="AF14" i="16" s="1"/>
  <c r="AD10" i="16"/>
  <c r="AE10" i="16" s="1"/>
  <c r="AF10" i="16" s="1"/>
  <c r="AD11" i="16"/>
  <c r="AE11" i="16" s="1"/>
  <c r="AF11" i="16" s="1"/>
  <c r="T20" i="16"/>
  <c r="T798" i="16"/>
  <c r="AD27" i="16"/>
  <c r="AE27" i="16" s="1"/>
  <c r="AF27" i="16" s="1"/>
  <c r="AD28" i="16"/>
  <c r="AE28" i="16" s="1"/>
  <c r="AF28" i="16" s="1"/>
  <c r="AD20" i="16"/>
  <c r="AE20" i="16" s="1"/>
  <c r="AF20" i="16" s="1"/>
  <c r="AD35" i="16"/>
  <c r="AE35" i="16" s="1"/>
  <c r="AF35" i="16" s="1"/>
  <c r="AD22" i="16"/>
  <c r="AE22" i="16" s="1"/>
  <c r="AF22" i="16" s="1"/>
  <c r="AD17" i="16"/>
  <c r="AE17" i="16" s="1"/>
  <c r="AF17" i="16" s="1"/>
  <c r="AD31" i="16"/>
  <c r="AE31" i="16" s="1"/>
  <c r="AF31" i="16" s="1"/>
  <c r="AD23" i="16"/>
  <c r="AE23" i="16" s="1"/>
  <c r="AF23" i="16" s="1"/>
  <c r="AD30" i="16"/>
  <c r="AE30" i="16" s="1"/>
  <c r="AF30" i="16" s="1"/>
  <c r="AD25" i="16"/>
  <c r="AE25" i="16" s="1"/>
  <c r="AF25" i="16" s="1"/>
  <c r="AD38" i="16"/>
  <c r="AE38" i="16" s="1"/>
  <c r="AF38" i="16" s="1"/>
  <c r="AD33" i="16"/>
  <c r="AE33" i="16" s="1"/>
  <c r="AF33" i="16" s="1"/>
  <c r="AD36" i="16"/>
  <c r="AE36" i="16" s="1"/>
  <c r="AF36" i="16" s="1"/>
  <c r="AD21" i="16"/>
  <c r="AE21" i="16" s="1"/>
  <c r="AF21" i="16" s="1"/>
  <c r="AD29" i="16"/>
  <c r="AE29" i="16" s="1"/>
  <c r="AF29" i="16" s="1"/>
  <c r="AD16" i="16"/>
  <c r="AE16" i="16" s="1"/>
  <c r="AF16" i="16" s="1"/>
  <c r="AD18" i="16"/>
  <c r="AE18" i="16" s="1"/>
  <c r="AF18" i="16" s="1"/>
  <c r="AD39" i="16"/>
  <c r="AE39" i="16" s="1"/>
  <c r="AF39" i="16" s="1"/>
  <c r="AD37" i="16"/>
  <c r="AE37" i="16" s="1"/>
  <c r="AF37" i="16" s="1"/>
  <c r="AD24" i="16"/>
  <c r="AE24" i="16" s="1"/>
  <c r="AF24" i="16" s="1"/>
  <c r="AD26" i="16"/>
  <c r="AE26" i="16" s="1"/>
  <c r="AF26" i="16" s="1"/>
  <c r="AD19" i="16"/>
  <c r="AE19" i="16" s="1"/>
  <c r="AF19" i="16" s="1"/>
  <c r="AD32" i="16"/>
  <c r="AE32" i="16" s="1"/>
  <c r="AF32" i="16" s="1"/>
  <c r="AD34" i="16"/>
  <c r="AE34" i="16" s="1"/>
  <c r="AF34" i="16" s="1"/>
  <c r="T2432" i="16"/>
  <c r="T1191" i="16"/>
  <c r="T2452" i="16"/>
  <c r="T2398" i="16"/>
  <c r="T748" i="16"/>
  <c r="T2177" i="16"/>
  <c r="T1123" i="16"/>
  <c r="T250" i="16"/>
  <c r="T2068" i="16"/>
  <c r="T387" i="16"/>
  <c r="T782" i="16"/>
  <c r="T2000" i="16"/>
  <c r="T735" i="16"/>
  <c r="T124" i="16"/>
  <c r="T853" i="16"/>
  <c r="T2228" i="16"/>
  <c r="T1391" i="16"/>
  <c r="T431" i="16"/>
  <c r="T2040" i="16"/>
  <c r="T1661" i="16"/>
  <c r="T1554" i="16"/>
  <c r="T658" i="16"/>
  <c r="T1445" i="16"/>
  <c r="T674" i="16"/>
  <c r="T1574" i="16"/>
  <c r="T454" i="16"/>
  <c r="T78" i="16"/>
  <c r="T1029" i="16"/>
  <c r="T802" i="16"/>
  <c r="T1001" i="16"/>
  <c r="T336" i="16"/>
  <c r="T68" i="16"/>
  <c r="T1859" i="16"/>
  <c r="T1011" i="16"/>
  <c r="T1832" i="16"/>
  <c r="T764" i="16"/>
  <c r="T771" i="16"/>
  <c r="T1917" i="16"/>
  <c r="T363" i="16"/>
  <c r="T1911" i="16"/>
  <c r="T660" i="16"/>
  <c r="T87" i="16"/>
  <c r="T427" i="16"/>
  <c r="T1114" i="16"/>
  <c r="T1632" i="16"/>
  <c r="T1715" i="16"/>
  <c r="T2096" i="16"/>
  <c r="T731" i="16"/>
  <c r="T945" i="16"/>
  <c r="T194" i="16"/>
  <c r="T2163" i="16"/>
  <c r="T367" i="16"/>
  <c r="T1279" i="16"/>
  <c r="T2030" i="16"/>
  <c r="T1088" i="16"/>
  <c r="T88" i="16"/>
  <c r="T933" i="16"/>
  <c r="T1545" i="16"/>
  <c r="T110" i="16"/>
  <c r="T1268" i="16"/>
  <c r="T996" i="16"/>
  <c r="T591" i="16"/>
  <c r="T2002" i="16"/>
  <c r="T1132" i="16"/>
  <c r="T138" i="16"/>
  <c r="T1711" i="16"/>
  <c r="T1901" i="16"/>
  <c r="T1818" i="16"/>
  <c r="T58" i="16"/>
  <c r="T1091" i="16"/>
  <c r="T1792" i="16"/>
  <c r="T1558" i="16"/>
  <c r="T924" i="16"/>
  <c r="T24" i="16"/>
  <c r="T1852" i="16"/>
  <c r="T1398" i="16"/>
  <c r="T72" i="16"/>
  <c r="T1893" i="16"/>
  <c r="T2155" i="16"/>
  <c r="T1136" i="16"/>
  <c r="T134" i="16"/>
  <c r="T2218" i="16"/>
  <c r="T1289" i="16"/>
  <c r="T806" i="16"/>
  <c r="T1650" i="16"/>
  <c r="T978" i="16"/>
  <c r="T2159" i="16"/>
  <c r="T641" i="16"/>
  <c r="T277" i="16"/>
  <c r="T1782" i="16"/>
  <c r="T56" i="16"/>
  <c r="T1128" i="16"/>
  <c r="T1338" i="16"/>
  <c r="T1082" i="16"/>
  <c r="T488" i="16"/>
  <c r="T46" i="16"/>
  <c r="T1826" i="16"/>
  <c r="T100" i="16"/>
  <c r="T1800" i="16"/>
  <c r="T1535" i="16"/>
  <c r="T666" i="16"/>
  <c r="T397" i="16"/>
  <c r="T452" i="16"/>
  <c r="T1371" i="16"/>
  <c r="T2072" i="16"/>
  <c r="T1861" i="16"/>
  <c r="T140" i="16"/>
  <c r="T774" i="16"/>
  <c r="T2006" i="16"/>
  <c r="T1634" i="16"/>
  <c r="T369" i="16"/>
  <c r="T1086" i="16"/>
  <c r="T1903" i="16"/>
  <c r="T562" i="16"/>
  <c r="T985" i="16"/>
  <c r="T2175" i="16"/>
  <c r="T1589" i="16"/>
  <c r="T656" i="16"/>
  <c r="T957" i="16"/>
  <c r="T1493" i="16"/>
  <c r="T2020" i="16"/>
  <c r="T418" i="16"/>
  <c r="T1104" i="16"/>
  <c r="T48" i="16"/>
  <c r="T1188" i="16"/>
  <c r="T1077" i="16"/>
  <c r="T30" i="16"/>
  <c r="T999" i="16"/>
  <c r="T137" i="16"/>
  <c r="T1032" i="16"/>
  <c r="T1865" i="16"/>
  <c r="T313" i="16"/>
  <c r="T62" i="16"/>
  <c r="T42" i="16"/>
  <c r="T2141" i="16"/>
  <c r="T91" i="16"/>
  <c r="T629" i="16"/>
  <c r="T2206" i="16"/>
  <c r="T2008" i="16"/>
  <c r="T1974" i="16"/>
  <c r="T1548" i="16"/>
  <c r="T647" i="16"/>
  <c r="T344" i="16"/>
  <c r="T593" i="16"/>
  <c r="T1591" i="16"/>
  <c r="T744" i="16"/>
  <c r="T1560" i="16"/>
  <c r="T1520" i="16"/>
  <c r="T144" i="16"/>
  <c r="T1209" i="16"/>
  <c r="T1199" i="16"/>
  <c r="T1940" i="16"/>
  <c r="T750" i="16"/>
  <c r="T2173" i="16"/>
  <c r="T475" i="16"/>
  <c r="T2010" i="16"/>
  <c r="T338" i="16"/>
  <c r="T1152" i="16"/>
  <c r="T1150" i="16"/>
  <c r="T672" i="16"/>
  <c r="T22" i="16"/>
  <c r="T920" i="16"/>
  <c r="T1018" i="16"/>
  <c r="T1330" i="16"/>
  <c r="T484" i="16"/>
  <c r="T1413" i="16"/>
  <c r="T2034" i="16"/>
  <c r="T1736" i="16"/>
  <c r="T266" i="16"/>
  <c r="T2193" i="16"/>
  <c r="T983" i="16"/>
  <c r="T1707" i="16"/>
  <c r="T817" i="16"/>
  <c r="T179" i="16"/>
  <c r="T1642" i="16"/>
  <c r="T1812" i="16"/>
  <c r="T1526" i="16"/>
  <c r="T317" i="16"/>
  <c r="T573" i="16"/>
  <c r="T1403" i="16"/>
  <c r="T97" i="16"/>
  <c r="T1451" i="16"/>
  <c r="T1497" i="16"/>
  <c r="T581" i="16"/>
  <c r="T2078" i="16"/>
  <c r="T389" i="16"/>
  <c r="T859" i="16"/>
  <c r="T113" i="16"/>
  <c r="T172" i="16"/>
  <c r="T1350" i="16"/>
  <c r="T585" i="16"/>
  <c r="T570" i="16"/>
  <c r="T308" i="16"/>
  <c r="T289" i="16"/>
  <c r="T1180" i="16"/>
  <c r="T1324" i="16"/>
  <c r="T610" i="16"/>
  <c r="T99" i="16"/>
  <c r="T1397" i="16"/>
  <c r="T1690" i="16"/>
  <c r="T1580" i="16"/>
  <c r="T1552" i="16"/>
  <c r="T1802" i="16"/>
  <c r="T1264" i="16"/>
  <c r="T2165" i="16"/>
  <c r="T1950" i="16"/>
  <c r="T733" i="16"/>
  <c r="T2117" i="16"/>
  <c r="T1101" i="16"/>
  <c r="T1734" i="16"/>
  <c r="T442" i="16"/>
  <c r="T1007" i="16"/>
  <c r="T959" i="16"/>
  <c r="T1883" i="16"/>
  <c r="T870" i="16"/>
  <c r="T1510" i="16"/>
  <c r="T159" i="16"/>
  <c r="T139" i="16"/>
  <c r="T1174" i="16"/>
  <c r="T1359" i="16"/>
  <c r="T1487" i="16"/>
  <c r="T1576" i="16"/>
  <c r="T1375" i="16"/>
  <c r="T441" i="16"/>
  <c r="T1746" i="16"/>
  <c r="T1578" i="16"/>
  <c r="T1670" i="16"/>
  <c r="T1355" i="16"/>
  <c r="T1073" i="16"/>
  <c r="T1842" i="16"/>
  <c r="T448" i="16"/>
  <c r="T1320" i="16"/>
  <c r="T737" i="16"/>
  <c r="T183" i="16"/>
  <c r="T1723" i="16"/>
  <c r="T311" i="16"/>
  <c r="T2232" i="16"/>
  <c r="T1221" i="16"/>
  <c r="T912" i="16"/>
  <c r="T170" i="16"/>
  <c r="T1899" i="16"/>
  <c r="T2029" i="16"/>
  <c r="T2065" i="16"/>
  <c r="T492" i="16"/>
  <c r="T1365" i="16"/>
  <c r="T838" i="16"/>
  <c r="T92" i="16"/>
  <c r="T40" i="16"/>
  <c r="AD43" i="16"/>
  <c r="AE43" i="16" s="1"/>
  <c r="AF43" i="16" s="1"/>
  <c r="AD73" i="16"/>
  <c r="AE73" i="16" s="1"/>
  <c r="AF73" i="16" s="1"/>
  <c r="AD66" i="16"/>
  <c r="AE66" i="16" s="1"/>
  <c r="AF66" i="16" s="1"/>
  <c r="AD68" i="16"/>
  <c r="AE68" i="16" s="1"/>
  <c r="AF68" i="16" s="1"/>
  <c r="AD51" i="16"/>
  <c r="AE51" i="16" s="1"/>
  <c r="AF51" i="16" s="1"/>
  <c r="AD74" i="16"/>
  <c r="AE74" i="16" s="1"/>
  <c r="AF74" i="16" s="1"/>
  <c r="AD52" i="16"/>
  <c r="AE52" i="16" s="1"/>
  <c r="AF52" i="16" s="1"/>
  <c r="AD59" i="16"/>
  <c r="AE59" i="16" s="1"/>
  <c r="AF59" i="16" s="1"/>
  <c r="AD45" i="16"/>
  <c r="AE45" i="16" s="1"/>
  <c r="AF45" i="16" s="1"/>
  <c r="AD67" i="16"/>
  <c r="AE67" i="16" s="1"/>
  <c r="AF67" i="16" s="1"/>
  <c r="AD53" i="16"/>
  <c r="AE53" i="16" s="1"/>
  <c r="AF53" i="16" s="1"/>
  <c r="AD46" i="16"/>
  <c r="AE46" i="16" s="1"/>
  <c r="AF46" i="16" s="1"/>
  <c r="AD40" i="16"/>
  <c r="AE40" i="16" s="1"/>
  <c r="AF40" i="16" s="1"/>
  <c r="AD60" i="16"/>
  <c r="AE60" i="16" s="1"/>
  <c r="AF60" i="16" s="1"/>
  <c r="AD71" i="16"/>
  <c r="AE71" i="16" s="1"/>
  <c r="AF71" i="16" s="1"/>
  <c r="AD55" i="16"/>
  <c r="AE55" i="16" s="1"/>
  <c r="AF55" i="16" s="1"/>
  <c r="AD75" i="16"/>
  <c r="AE75" i="16" s="1"/>
  <c r="AF75" i="16" s="1"/>
  <c r="AD61" i="16"/>
  <c r="AE61" i="16" s="1"/>
  <c r="AF61" i="16" s="1"/>
  <c r="AD54" i="16"/>
  <c r="AE54" i="16" s="1"/>
  <c r="AF54" i="16" s="1"/>
  <c r="AD48" i="16"/>
  <c r="AE48" i="16" s="1"/>
  <c r="AF48" i="16" s="1"/>
  <c r="AD41" i="16"/>
  <c r="AE41" i="16" s="1"/>
  <c r="AF41" i="16" s="1"/>
  <c r="AD69" i="16"/>
  <c r="AE69" i="16" s="1"/>
  <c r="AF69" i="16" s="1"/>
  <c r="AD62" i="16"/>
  <c r="AE62" i="16" s="1"/>
  <c r="AF62" i="16" s="1"/>
  <c r="AD56" i="16"/>
  <c r="AE56" i="16" s="1"/>
  <c r="AF56" i="16" s="1"/>
  <c r="AD49" i="16"/>
  <c r="AE49" i="16" s="1"/>
  <c r="AF49" i="16" s="1"/>
  <c r="AD42" i="16"/>
  <c r="AE42" i="16" s="1"/>
  <c r="AF42" i="16" s="1"/>
  <c r="AD63" i="16"/>
  <c r="AE63" i="16" s="1"/>
  <c r="AF63" i="16" s="1"/>
  <c r="AD44" i="16"/>
  <c r="AE44" i="16" s="1"/>
  <c r="AF44" i="16" s="1"/>
  <c r="AD70" i="16"/>
  <c r="AE70" i="16" s="1"/>
  <c r="AF70" i="16" s="1"/>
  <c r="AD64" i="16"/>
  <c r="AE64" i="16" s="1"/>
  <c r="AF64" i="16" s="1"/>
  <c r="AD57" i="16"/>
  <c r="AE57" i="16" s="1"/>
  <c r="AF57" i="16" s="1"/>
  <c r="AD50" i="16"/>
  <c r="AE50" i="16" s="1"/>
  <c r="AF50" i="16" s="1"/>
  <c r="AD72" i="16"/>
  <c r="AE72" i="16" s="1"/>
  <c r="AF72" i="16" s="1"/>
  <c r="AD65" i="16"/>
  <c r="AE65" i="16" s="1"/>
  <c r="AF65" i="16" s="1"/>
  <c r="AD58" i="16"/>
  <c r="AE58" i="16" s="1"/>
  <c r="AF58" i="16" s="1"/>
  <c r="AD47" i="16"/>
  <c r="AE47" i="16" s="1"/>
  <c r="AF47" i="16" s="1"/>
  <c r="T2475" i="16"/>
  <c r="T1326" i="16"/>
  <c r="T1340" i="16"/>
  <c r="T1387" i="16"/>
  <c r="T633" i="16"/>
  <c r="T2133" i="16"/>
  <c r="T1644" i="16"/>
  <c r="T86" i="16"/>
  <c r="T879" i="16"/>
  <c r="T1744" i="16"/>
  <c r="T1567" i="16"/>
  <c r="T617" i="16"/>
  <c r="T104" i="16"/>
  <c r="T1913" i="16"/>
  <c r="T1075" i="16"/>
  <c r="T1512" i="16"/>
  <c r="T1702" i="16"/>
  <c r="T130" i="16"/>
  <c r="T1193" i="16"/>
  <c r="T1522" i="16"/>
  <c r="T649" i="16"/>
  <c r="T643" i="16"/>
  <c r="T1761" i="16"/>
  <c r="T267" i="16"/>
  <c r="T1186" i="16"/>
  <c r="T992" i="16"/>
  <c r="T529" i="16"/>
  <c r="T709" i="16"/>
  <c r="T414" i="16"/>
  <c r="T477" i="16"/>
  <c r="T861" i="16"/>
  <c r="T1788" i="16"/>
  <c r="T922" i="16"/>
  <c r="T1695" i="16"/>
  <c r="T857" i="16"/>
  <c r="T494" i="16"/>
  <c r="T1196" i="16"/>
  <c r="T1065" i="16"/>
  <c r="T2027" i="16"/>
  <c r="T517" i="16"/>
  <c r="T1045" i="16"/>
  <c r="T2309" i="16"/>
  <c r="T18" i="16"/>
  <c r="W6" i="16"/>
  <c r="Y6" i="16"/>
  <c r="Z6" i="16" s="1"/>
  <c r="W31" i="16"/>
  <c r="Y31" i="16"/>
  <c r="Z31" i="16" s="1"/>
  <c r="W29" i="16"/>
  <c r="Y29" i="16"/>
  <c r="Z29" i="16" s="1"/>
  <c r="W51" i="16"/>
  <c r="Y51" i="16"/>
  <c r="Z51" i="16" s="1"/>
  <c r="W41" i="16"/>
  <c r="Y41" i="16"/>
  <c r="Z41" i="16" s="1"/>
  <c r="W65" i="16"/>
  <c r="Y65" i="16"/>
  <c r="Z65" i="16" s="1"/>
  <c r="W5" i="16"/>
  <c r="Y5" i="16"/>
  <c r="Z5" i="16" s="1"/>
  <c r="W27" i="16"/>
  <c r="Y27" i="16"/>
  <c r="Z27" i="16" s="1"/>
  <c r="W34" i="16"/>
  <c r="Y34" i="16"/>
  <c r="Z34" i="16" s="1"/>
  <c r="W17" i="16"/>
  <c r="Y17" i="16"/>
  <c r="Z17" i="16" s="1"/>
  <c r="T1938" i="16"/>
  <c r="T1385" i="16"/>
  <c r="W12" i="16"/>
  <c r="Y12" i="16"/>
  <c r="Z12" i="16" s="1"/>
  <c r="W9" i="16"/>
  <c r="Y9" i="16"/>
  <c r="Z9" i="16" s="1"/>
  <c r="W28" i="16"/>
  <c r="Y28" i="16"/>
  <c r="Z28" i="16" s="1"/>
  <c r="W23" i="16"/>
  <c r="Y23" i="16"/>
  <c r="Z23" i="16" s="1"/>
  <c r="W16" i="16"/>
  <c r="Y16" i="16"/>
  <c r="Z16" i="16" s="1"/>
  <c r="W46" i="16"/>
  <c r="Y46" i="16"/>
  <c r="Z46" i="16" s="1"/>
  <c r="W22" i="16"/>
  <c r="Y22" i="16"/>
  <c r="Z22" i="16" s="1"/>
  <c r="W67" i="16"/>
  <c r="Y67" i="16"/>
  <c r="Z67" i="16" s="1"/>
  <c r="W64" i="16"/>
  <c r="Y64" i="16"/>
  <c r="Z64" i="16" s="1"/>
  <c r="W8" i="16"/>
  <c r="Y8" i="16"/>
  <c r="Z8" i="16" s="1"/>
  <c r="W49" i="16"/>
  <c r="Y49" i="16"/>
  <c r="Z49" i="16" s="1"/>
  <c r="W39" i="16"/>
  <c r="Y39" i="16"/>
  <c r="Z39" i="16" s="1"/>
  <c r="W40" i="16"/>
  <c r="Y40" i="16"/>
  <c r="Z40" i="16" s="1"/>
  <c r="W56" i="16"/>
  <c r="Y56" i="16"/>
  <c r="Z56" i="16" s="1"/>
  <c r="W25" i="16"/>
  <c r="Y25" i="16"/>
  <c r="Z25" i="16" s="1"/>
  <c r="W52" i="16"/>
  <c r="Y52" i="16"/>
  <c r="Z52" i="16" s="1"/>
  <c r="W53" i="16"/>
  <c r="Y53" i="16"/>
  <c r="Z53" i="16" s="1"/>
  <c r="T1769" i="16"/>
  <c r="T1748" i="16"/>
  <c r="T385" i="16"/>
  <c r="W32" i="16"/>
  <c r="Y32" i="16"/>
  <c r="Z32" i="16" s="1"/>
  <c r="W45" i="16"/>
  <c r="Y45" i="16"/>
  <c r="Z45" i="16" s="1"/>
  <c r="W58" i="16"/>
  <c r="Y58" i="16"/>
  <c r="Z58" i="16" s="1"/>
  <c r="W48" i="16"/>
  <c r="Y48" i="16"/>
  <c r="Z48" i="16" s="1"/>
  <c r="W62" i="16"/>
  <c r="Y62" i="16"/>
  <c r="Z62" i="16" s="1"/>
  <c r="W59" i="16"/>
  <c r="Y59" i="16"/>
  <c r="Z59" i="16" s="1"/>
  <c r="W60" i="16"/>
  <c r="Y60" i="16"/>
  <c r="Z60" i="16" s="1"/>
  <c r="W18" i="16"/>
  <c r="Y18" i="16"/>
  <c r="Z18" i="16" s="1"/>
  <c r="W13" i="16"/>
  <c r="Y13" i="16"/>
  <c r="Z13" i="16" s="1"/>
  <c r="W35" i="16"/>
  <c r="Y35" i="16"/>
  <c r="Z35" i="16" s="1"/>
  <c r="W24" i="16"/>
  <c r="Y24" i="16"/>
  <c r="Z24" i="16" s="1"/>
  <c r="W55" i="16"/>
  <c r="Y55" i="16"/>
  <c r="Z55" i="16" s="1"/>
  <c r="T504" i="16"/>
  <c r="T1742" i="16"/>
  <c r="T690" i="16"/>
  <c r="W47" i="16"/>
  <c r="Y47" i="16"/>
  <c r="Z47" i="16" s="1"/>
  <c r="W36" i="16"/>
  <c r="Y36" i="16"/>
  <c r="Z36" i="16" s="1"/>
  <c r="W26" i="16"/>
  <c r="Y26" i="16"/>
  <c r="Z26" i="16" s="1"/>
  <c r="W54" i="16"/>
  <c r="Y54" i="16"/>
  <c r="Z54" i="16" s="1"/>
  <c r="W63" i="16"/>
  <c r="Y63" i="16"/>
  <c r="Z63" i="16" s="1"/>
  <c r="W7" i="16"/>
  <c r="Y7" i="16"/>
  <c r="Z7" i="16" s="1"/>
  <c r="W30" i="16"/>
  <c r="Y30" i="16"/>
  <c r="Z30" i="16" s="1"/>
  <c r="W72" i="16"/>
  <c r="Y72" i="16"/>
  <c r="Z72" i="16" s="1"/>
  <c r="W61" i="16"/>
  <c r="Y61" i="16"/>
  <c r="Z61" i="16" s="1"/>
  <c r="W68" i="16"/>
  <c r="Y68" i="16"/>
  <c r="Z68" i="16" s="1"/>
  <c r="T582" i="16"/>
  <c r="T150" i="16"/>
  <c r="T2189" i="16"/>
  <c r="W50" i="16"/>
  <c r="Y50" i="16"/>
  <c r="Z50" i="16" s="1"/>
  <c r="W57" i="16"/>
  <c r="Y57" i="16"/>
  <c r="Z57" i="16" s="1"/>
  <c r="W21" i="16"/>
  <c r="Y21" i="16"/>
  <c r="Z21" i="16" s="1"/>
  <c r="W20" i="16"/>
  <c r="Y20" i="16"/>
  <c r="Z20" i="16" s="1"/>
  <c r="W33" i="16"/>
  <c r="Y33" i="16"/>
  <c r="Z33" i="16" s="1"/>
  <c r="W44" i="16"/>
  <c r="Y44" i="16"/>
  <c r="Z44" i="16" s="1"/>
  <c r="W71" i="16"/>
  <c r="Y71" i="16"/>
  <c r="Z71" i="16" s="1"/>
  <c r="T635" i="16"/>
  <c r="W15" i="16"/>
  <c r="Y15" i="16"/>
  <c r="Z15" i="16" s="1"/>
  <c r="W43" i="16"/>
  <c r="Y43" i="16"/>
  <c r="Z43" i="16" s="1"/>
  <c r="W19" i="16"/>
  <c r="Y19" i="16"/>
  <c r="Z19" i="16" s="1"/>
  <c r="W66" i="16"/>
  <c r="Y66" i="16"/>
  <c r="Z66" i="16" s="1"/>
  <c r="W70" i="16"/>
  <c r="Y70" i="16"/>
  <c r="Z70" i="16" s="1"/>
  <c r="W11" i="16"/>
  <c r="Y11" i="16"/>
  <c r="Z11" i="16" s="1"/>
  <c r="W10" i="16"/>
  <c r="Y10" i="16"/>
  <c r="Z10" i="16" s="1"/>
  <c r="W37" i="16"/>
  <c r="Y37" i="16"/>
  <c r="Z37" i="16" s="1"/>
  <c r="W42" i="16"/>
  <c r="Y42" i="16"/>
  <c r="Z42" i="16" s="1"/>
  <c r="W38" i="16"/>
  <c r="Y38" i="16"/>
  <c r="Z38" i="16" s="1"/>
  <c r="W69" i="16"/>
  <c r="Y69" i="16"/>
  <c r="Z69" i="16" s="1"/>
  <c r="W14" i="16"/>
  <c r="Y14" i="16"/>
  <c r="Z14" i="16" s="1"/>
  <c r="T399" i="16"/>
  <c r="T1102" i="16"/>
  <c r="T831" i="16"/>
  <c r="T961" i="16"/>
  <c r="T951" i="16"/>
  <c r="T756" i="16"/>
  <c r="T371" i="16"/>
  <c r="T955" i="16"/>
  <c r="T2242" i="16"/>
  <c r="T1597" i="16"/>
  <c r="T621" i="16"/>
  <c r="T1121" i="16"/>
  <c r="T108" i="16"/>
  <c r="T1508" i="16"/>
  <c r="T1794" i="16"/>
  <c r="T1140" i="16"/>
  <c r="T1638" i="16"/>
  <c r="T502" i="16"/>
  <c r="T60" i="16"/>
  <c r="T236" i="16"/>
  <c r="T1163" i="16"/>
  <c r="T1872" i="16"/>
  <c r="T1203" i="16"/>
  <c r="T631" i="16"/>
  <c r="T2038" i="16"/>
  <c r="T1458" i="16"/>
  <c r="T1986" i="16"/>
  <c r="T10" i="16"/>
  <c r="T1691" i="16"/>
  <c r="T142" i="16"/>
  <c r="T1758" i="16"/>
  <c r="T154" i="16"/>
  <c r="T1628" i="16"/>
  <c r="T1309" i="16"/>
  <c r="T232" i="16"/>
  <c r="T508" i="16"/>
  <c r="T1886" i="16"/>
  <c r="T1816" i="16"/>
  <c r="T1240" i="16"/>
  <c r="T198" i="16"/>
  <c r="T2511" i="16"/>
  <c r="T2456" i="16"/>
  <c r="T2344" i="16"/>
  <c r="T2334" i="16"/>
  <c r="T908" i="16"/>
  <c r="T1201" i="16"/>
  <c r="T1291" i="16"/>
  <c r="T1824" i="16"/>
  <c r="T2123" i="16"/>
  <c r="T490" i="16"/>
  <c r="T1411" i="16"/>
  <c r="T460" i="16"/>
  <c r="T717" i="16"/>
  <c r="T1189" i="16"/>
  <c r="T1942" i="16"/>
  <c r="T1709" i="16"/>
  <c r="T625" i="16"/>
  <c r="T122" i="16"/>
  <c r="T252" i="16"/>
  <c r="T2050" i="16"/>
  <c r="W73" i="16"/>
  <c r="Y73" i="16"/>
  <c r="Z73" i="16" s="1"/>
  <c r="T2363" i="16"/>
  <c r="T2400" i="16"/>
  <c r="T2293" i="16"/>
  <c r="T2069" i="16"/>
  <c r="T599" i="16"/>
  <c r="T1312" i="16"/>
  <c r="T2187" i="16"/>
  <c r="T1836" i="16"/>
  <c r="T971" i="16"/>
  <c r="T1178" i="16"/>
  <c r="T319" i="16"/>
  <c r="T1172" i="16"/>
  <c r="T867" i="16"/>
  <c r="T1213" i="16"/>
  <c r="T1346" i="16"/>
  <c r="T1808" i="16"/>
  <c r="T1654" i="16"/>
  <c r="T1838" i="16"/>
  <c r="T1719" i="16"/>
  <c r="T1270" i="16"/>
  <c r="T126" i="16"/>
  <c r="T1134" i="16"/>
  <c r="T262" i="16"/>
  <c r="T2121" i="16"/>
  <c r="T2216" i="16"/>
  <c r="T118" i="16"/>
  <c r="T2044" i="16"/>
  <c r="T1571" i="16"/>
  <c r="T2226" i="16"/>
  <c r="T1928" i="16"/>
  <c r="T1524" i="16"/>
  <c r="T2252" i="16"/>
  <c r="T1238" i="16"/>
  <c r="T1377" i="16"/>
  <c r="T2028" i="16"/>
  <c r="T1972" i="16"/>
  <c r="T541" i="16"/>
  <c r="T1895" i="16"/>
  <c r="T287" i="16"/>
  <c r="T1308" i="16"/>
  <c r="T2265" i="16"/>
  <c r="T1449" i="16"/>
  <c r="T94" i="16"/>
  <c r="T1953" i="16"/>
  <c r="T2254" i="16"/>
  <c r="T26" i="16"/>
  <c r="T70" i="16"/>
  <c r="T1729" i="16"/>
  <c r="W75" i="16"/>
  <c r="Y75" i="16"/>
  <c r="Z75" i="16" s="1"/>
  <c r="T1622" i="16"/>
  <c r="T1944" i="16"/>
  <c r="T1225" i="16"/>
  <c r="T285" i="16"/>
  <c r="T1431" i="16"/>
  <c r="T707" i="16"/>
  <c r="W74" i="16"/>
  <c r="Y74" i="16"/>
  <c r="Z74" i="16" s="1"/>
  <c r="T2603" i="16"/>
  <c r="T234" i="16"/>
  <c r="T243" i="16"/>
  <c r="T786" i="16"/>
  <c r="T1595" i="16"/>
  <c r="T2026" i="16"/>
  <c r="T433" i="16"/>
  <c r="T877" i="16"/>
  <c r="T315" i="16"/>
  <c r="T965" i="16"/>
  <c r="T372" i="16"/>
  <c r="T1127" i="16"/>
  <c r="T1701" i="16"/>
  <c r="T283" i="16"/>
  <c r="T559" i="16"/>
  <c r="T1565" i="16"/>
  <c r="T2585" i="16"/>
  <c r="T1721" i="16"/>
  <c r="T988" i="16"/>
  <c r="T1157" i="16"/>
  <c r="T2086" i="16"/>
  <c r="T2259" i="16"/>
  <c r="T1541" i="16"/>
  <c r="T1198" i="16"/>
  <c r="T1285" i="16"/>
  <c r="T80" i="16"/>
  <c r="T1957" i="16"/>
  <c r="T1013" i="16"/>
  <c r="T383" i="16"/>
  <c r="T1684" i="16"/>
  <c r="T1996" i="16"/>
  <c r="T1300" i="16"/>
  <c r="T439" i="16"/>
  <c r="T1834" i="16"/>
  <c r="T1067" i="16"/>
  <c r="T1730" i="16"/>
  <c r="T863" i="16"/>
  <c r="T299" i="16"/>
  <c r="T1126" i="16"/>
  <c r="T93" i="16"/>
  <c r="T896" i="16"/>
  <c r="T74" i="16"/>
  <c r="T1148" i="16"/>
  <c r="T574" i="16"/>
  <c r="T2113" i="16"/>
  <c r="T34" i="16"/>
  <c r="T2115" i="16"/>
  <c r="T572" i="16"/>
  <c r="T342" i="16"/>
  <c r="T1442" i="16"/>
  <c r="T279" i="16"/>
  <c r="T1453" i="16"/>
  <c r="T1195" i="16"/>
  <c r="T1820" i="16"/>
  <c r="T393" i="16"/>
  <c r="T1994" i="16"/>
  <c r="T450" i="16"/>
  <c r="T187" i="16"/>
  <c r="T2063" i="16"/>
  <c r="T496" i="16"/>
  <c r="T32" i="16"/>
  <c r="T1674" i="16"/>
  <c r="T821" i="16"/>
  <c r="T1483" i="16"/>
  <c r="T762" i="16"/>
  <c r="T2129" i="16"/>
  <c r="T166" i="16"/>
  <c r="T941" i="16"/>
  <c r="T1676" i="16"/>
  <c r="T727" i="16"/>
  <c r="T2463" i="16"/>
  <c r="T2317" i="16"/>
  <c r="T2297" i="16"/>
  <c r="T2313" i="16"/>
  <c r="T2444" i="16"/>
  <c r="T1946" i="16"/>
  <c r="T885" i="16"/>
  <c r="T1922" i="16"/>
  <c r="T2032" i="16"/>
  <c r="T937" i="16"/>
  <c r="T788" i="16"/>
  <c r="T1984" i="16"/>
  <c r="T531" i="16"/>
  <c r="T1389" i="16"/>
  <c r="T1275" i="16"/>
  <c r="T1441" i="16"/>
  <c r="T740" i="16"/>
  <c r="T990" i="16"/>
  <c r="T1373" i="16"/>
  <c r="T295" i="16"/>
  <c r="T2104" i="16"/>
  <c r="T238" i="16"/>
  <c r="T2506" i="16"/>
  <c r="T136" i="16"/>
  <c r="T1316" i="16"/>
  <c r="T1771" i="16"/>
  <c r="T855" i="16"/>
  <c r="T106" i="16"/>
  <c r="T2204" i="16"/>
  <c r="T209" i="16"/>
  <c r="T1728" i="16"/>
  <c r="T1976" i="16"/>
  <c r="T437" i="16"/>
  <c r="T1034" i="16"/>
  <c r="T96" i="16"/>
  <c r="T1806" i="16"/>
  <c r="T2191" i="16"/>
  <c r="T605" i="16"/>
  <c r="T752" i="16"/>
  <c r="T2579" i="16"/>
  <c r="T2382" i="16"/>
  <c r="T1699" i="16"/>
  <c r="T2048" i="16"/>
  <c r="T2089" i="16"/>
  <c r="T767" i="16"/>
  <c r="T2340" i="16"/>
  <c r="T515" i="16"/>
  <c r="T2067" i="16"/>
  <c r="T1250" i="16"/>
  <c r="T269" i="16"/>
  <c r="T1231" i="16"/>
  <c r="T1348" i="16"/>
  <c r="T82" i="16"/>
  <c r="T1244" i="16"/>
  <c r="T1713" i="16"/>
  <c r="T2390" i="16"/>
  <c r="T156" i="16"/>
  <c r="T1304" i="16"/>
  <c r="T583" i="16"/>
  <c r="T1518" i="16"/>
  <c r="T202" i="16"/>
  <c r="T165" i="16"/>
  <c r="T208" i="16"/>
  <c r="T1409" i="16"/>
  <c r="T645" i="16"/>
  <c r="T1168" i="16"/>
  <c r="T812" i="16"/>
  <c r="T1334" i="16"/>
  <c r="T52" i="16"/>
  <c r="T1796" i="16"/>
  <c r="T1460" i="16"/>
  <c r="T1332" i="16"/>
  <c r="T603" i="16"/>
  <c r="T178" i="16"/>
  <c r="T2208" i="16"/>
  <c r="T2388" i="16"/>
  <c r="T1227" i="16"/>
  <c r="T186" i="16"/>
  <c r="T458" i="16"/>
  <c r="T1697" i="16"/>
  <c r="T1079" i="16"/>
  <c r="T949" i="16"/>
  <c r="T1982" i="16"/>
  <c r="T14" i="16"/>
  <c r="T2473" i="16"/>
  <c r="T943" i="16"/>
  <c r="T1961" i="16"/>
  <c r="T181" i="16"/>
  <c r="T1036" i="16"/>
  <c r="T1399" i="16"/>
  <c r="T1754" i="16"/>
  <c r="T1874" i="16"/>
  <c r="T456" i="16"/>
  <c r="T1205" i="16"/>
  <c r="T1495" i="16"/>
  <c r="T410" i="16"/>
  <c r="T1656" i="16"/>
  <c r="T340" i="16"/>
  <c r="T204" i="16"/>
  <c r="T527" i="16"/>
  <c r="W2595" i="16"/>
  <c r="AB2595" i="16"/>
  <c r="AC2595" i="16" s="1"/>
  <c r="Y2595" i="16"/>
  <c r="Z2595" i="16" s="1"/>
  <c r="W2327" i="16"/>
  <c r="AB2327" i="16"/>
  <c r="AC2327" i="16" s="1"/>
  <c r="Y2327" i="16"/>
  <c r="Z2327" i="16" s="1"/>
  <c r="W2479" i="16"/>
  <c r="AB2479" i="16"/>
  <c r="AC2479" i="16" s="1"/>
  <c r="Y2479" i="16"/>
  <c r="Z2479" i="16" s="1"/>
  <c r="W1492" i="16"/>
  <c r="Y1492" i="16"/>
  <c r="Z1492" i="16" s="1"/>
  <c r="W2380" i="16"/>
  <c r="AB2380" i="16"/>
  <c r="AC2380" i="16" s="1"/>
  <c r="Y2380" i="16"/>
  <c r="Z2380" i="16" s="1"/>
  <c r="W1335" i="16"/>
  <c r="Y1335" i="16"/>
  <c r="Z1335" i="16" s="1"/>
  <c r="W2411" i="16"/>
  <c r="AB2411" i="16"/>
  <c r="AC2411" i="16" s="1"/>
  <c r="Y2411" i="16"/>
  <c r="Z2411" i="16" s="1"/>
  <c r="W2568" i="16"/>
  <c r="AB2568" i="16"/>
  <c r="AC2568" i="16" s="1"/>
  <c r="Y2568" i="16"/>
  <c r="Z2568" i="16" s="1"/>
  <c r="W2305" i="16"/>
  <c r="AB2305" i="16"/>
  <c r="AC2305" i="16" s="1"/>
  <c r="Y2305" i="16"/>
  <c r="Z2305" i="16" s="1"/>
  <c r="W2461" i="16"/>
  <c r="AB2461" i="16"/>
  <c r="AC2461" i="16" s="1"/>
  <c r="Y2461" i="16"/>
  <c r="Z2461" i="16" s="1"/>
  <c r="W2333" i="16"/>
  <c r="AB2333" i="16"/>
  <c r="AC2333" i="16" s="1"/>
  <c r="Y2333" i="16"/>
  <c r="Z2333" i="16" s="1"/>
  <c r="W2563" i="16"/>
  <c r="AB2563" i="16"/>
  <c r="AC2563" i="16" s="1"/>
  <c r="Y2563" i="16"/>
  <c r="Z2563" i="16" s="1"/>
  <c r="W2308" i="16"/>
  <c r="AB2308" i="16"/>
  <c r="AC2308" i="16" s="1"/>
  <c r="Y2308" i="16"/>
  <c r="Z2308" i="16" s="1"/>
  <c r="W2463" i="16"/>
  <c r="AB2463" i="16"/>
  <c r="AC2463" i="16" s="1"/>
  <c r="Y2463" i="16"/>
  <c r="Z2463" i="16" s="1"/>
  <c r="W2613" i="16"/>
  <c r="AB2613" i="16"/>
  <c r="AC2613" i="16" s="1"/>
  <c r="Y2613" i="16"/>
  <c r="Z2613" i="16" s="1"/>
  <c r="W2364" i="16"/>
  <c r="AB2364" i="16"/>
  <c r="AC2364" i="16" s="1"/>
  <c r="Y2364" i="16"/>
  <c r="Z2364" i="16" s="1"/>
  <c r="W2465" i="16"/>
  <c r="AB2465" i="16"/>
  <c r="AC2465" i="16" s="1"/>
  <c r="Y2465" i="16"/>
  <c r="Z2465" i="16" s="1"/>
  <c r="W1060" i="16"/>
  <c r="Y1060" i="16"/>
  <c r="Z1060" i="16" s="1"/>
  <c r="W2376" i="16"/>
  <c r="AB2376" i="16"/>
  <c r="AC2376" i="16" s="1"/>
  <c r="Y2376" i="16"/>
  <c r="Z2376" i="16" s="1"/>
  <c r="W2542" i="16"/>
  <c r="AB2542" i="16"/>
  <c r="AC2542" i="16" s="1"/>
  <c r="Y2542" i="16"/>
  <c r="Z2542" i="16" s="1"/>
  <c r="W2043" i="16"/>
  <c r="Y2043" i="16"/>
  <c r="Z2043" i="16" s="1"/>
  <c r="W2109" i="16"/>
  <c r="Y2109" i="16"/>
  <c r="Z2109" i="16" s="1"/>
  <c r="W2627" i="16"/>
  <c r="AB2627" i="16"/>
  <c r="AC2627" i="16" s="1"/>
  <c r="Y2627" i="16"/>
  <c r="Z2627" i="16" s="1"/>
  <c r="W2378" i="16"/>
  <c r="AB2378" i="16"/>
  <c r="AC2378" i="16" s="1"/>
  <c r="Y2378" i="16"/>
  <c r="Z2378" i="16" s="1"/>
  <c r="W2527" i="16"/>
  <c r="AB2527" i="16"/>
  <c r="AC2527" i="16" s="1"/>
  <c r="Y2527" i="16"/>
  <c r="Z2527" i="16" s="1"/>
  <c r="W1987" i="16"/>
  <c r="Y1987" i="16"/>
  <c r="Z1987" i="16" s="1"/>
  <c r="W2428" i="16"/>
  <c r="AB2428" i="16"/>
  <c r="AC2428" i="16" s="1"/>
  <c r="Y2428" i="16"/>
  <c r="Z2428" i="16" s="1"/>
  <c r="W1345" i="16"/>
  <c r="Y1345" i="16"/>
  <c r="Z1345" i="16" s="1"/>
  <c r="W2335" i="16"/>
  <c r="AB2335" i="16"/>
  <c r="AC2335" i="16" s="1"/>
  <c r="Y2335" i="16"/>
  <c r="Z2335" i="16" s="1"/>
  <c r="W2626" i="16"/>
  <c r="AB2626" i="16"/>
  <c r="AC2626" i="16" s="1"/>
  <c r="Y2626" i="16"/>
  <c r="Z2626" i="16" s="1"/>
  <c r="W2360" i="16"/>
  <c r="AB2360" i="16"/>
  <c r="AC2360" i="16" s="1"/>
  <c r="Y2360" i="16"/>
  <c r="Z2360" i="16" s="1"/>
  <c r="W2510" i="16"/>
  <c r="AB2510" i="16"/>
  <c r="AC2510" i="16" s="1"/>
  <c r="Y2510" i="16"/>
  <c r="Z2510" i="16" s="1"/>
  <c r="W1905" i="16"/>
  <c r="Y1905" i="16"/>
  <c r="Z1905" i="16" s="1"/>
  <c r="W2069" i="16"/>
  <c r="Y2069" i="16"/>
  <c r="Z2069" i="16" s="1"/>
  <c r="W2577" i="16"/>
  <c r="AB2577" i="16"/>
  <c r="AC2577" i="16" s="1"/>
  <c r="Y2577" i="16"/>
  <c r="Z2577" i="16" s="1"/>
  <c r="W2522" i="16"/>
  <c r="AB2522" i="16"/>
  <c r="AC2522" i="16" s="1"/>
  <c r="Y2522" i="16"/>
  <c r="Z2522" i="16" s="1"/>
  <c r="W1936" i="16"/>
  <c r="Y1936" i="16"/>
  <c r="Z1936" i="16" s="1"/>
  <c r="W2422" i="16"/>
  <c r="AB2422" i="16"/>
  <c r="AC2422" i="16" s="1"/>
  <c r="Y2422" i="16"/>
  <c r="Z2422" i="16" s="1"/>
  <c r="W2572" i="16"/>
  <c r="AB2572" i="16"/>
  <c r="AC2572" i="16" s="1"/>
  <c r="Y2572" i="16"/>
  <c r="Z2572" i="16" s="1"/>
  <c r="W1929" i="16"/>
  <c r="Y1929" i="16"/>
  <c r="Z1929" i="16" s="1"/>
  <c r="W2298" i="16"/>
  <c r="Y2298" i="16"/>
  <c r="Z2298" i="16" s="1"/>
  <c r="W2346" i="16"/>
  <c r="AB2346" i="16"/>
  <c r="AC2346" i="16" s="1"/>
  <c r="Y2346" i="16"/>
  <c r="Z2346" i="16" s="1"/>
  <c r="W2504" i="16"/>
  <c r="AB2504" i="16"/>
  <c r="AC2504" i="16" s="1"/>
  <c r="Y2504" i="16"/>
  <c r="Z2504" i="16" s="1"/>
  <c r="W1841" i="16"/>
  <c r="Y1841" i="16"/>
  <c r="Z1841" i="16" s="1"/>
  <c r="W2397" i="16"/>
  <c r="AB2397" i="16"/>
  <c r="AC2397" i="16" s="1"/>
  <c r="Y2397" i="16"/>
  <c r="Z2397" i="16" s="1"/>
  <c r="W2269" i="16"/>
  <c r="Y2269" i="16"/>
  <c r="Z2269" i="16" s="1"/>
  <c r="W2451" i="16"/>
  <c r="AB2451" i="16"/>
  <c r="AC2451" i="16" s="1"/>
  <c r="Y2451" i="16"/>
  <c r="Z2451" i="16" s="1"/>
  <c r="W2362" i="16"/>
  <c r="AB2362" i="16"/>
  <c r="AC2362" i="16" s="1"/>
  <c r="Y2362" i="16"/>
  <c r="Z2362" i="16" s="1"/>
  <c r="W2067" i="16"/>
  <c r="Y2067" i="16"/>
  <c r="Z2067" i="16" s="1"/>
  <c r="W2598" i="16"/>
  <c r="AB2598" i="16"/>
  <c r="AC2598" i="16" s="1"/>
  <c r="Y2598" i="16"/>
  <c r="Z2598" i="16" s="1"/>
  <c r="W2501" i="16"/>
  <c r="AB2501" i="16"/>
  <c r="AC2501" i="16" s="1"/>
  <c r="Y2501" i="16"/>
  <c r="Z2501" i="16" s="1"/>
  <c r="W2412" i="16"/>
  <c r="AB2412" i="16"/>
  <c r="AC2412" i="16" s="1"/>
  <c r="Y2412" i="16"/>
  <c r="Z2412" i="16" s="1"/>
  <c r="W2037" i="16"/>
  <c r="Y2037" i="16"/>
  <c r="Z2037" i="16" s="1"/>
  <c r="W2188" i="16"/>
  <c r="Y2188" i="16"/>
  <c r="Z2188" i="16" s="1"/>
  <c r="W1271" i="16"/>
  <c r="Y1271" i="16"/>
  <c r="Z1271" i="16" s="1"/>
  <c r="W1767" i="16"/>
  <c r="Y1767" i="16"/>
  <c r="Z1767" i="16" s="1"/>
  <c r="W1985" i="16"/>
  <c r="Y1985" i="16"/>
  <c r="Z1985" i="16" s="1"/>
  <c r="W2128" i="16"/>
  <c r="Y2128" i="16"/>
  <c r="Z2128" i="16" s="1"/>
  <c r="W2095" i="16"/>
  <c r="Y2095" i="16"/>
  <c r="Z2095" i="16" s="1"/>
  <c r="W1503" i="16"/>
  <c r="Y1503" i="16"/>
  <c r="Z1503" i="16" s="1"/>
  <c r="W1638" i="16"/>
  <c r="Y1638" i="16"/>
  <c r="Z1638" i="16" s="1"/>
  <c r="W1328" i="16"/>
  <c r="Y1328" i="16"/>
  <c r="Z1328" i="16" s="1"/>
  <c r="W1549" i="16"/>
  <c r="Y1549" i="16"/>
  <c r="Z1549" i="16" s="1"/>
  <c r="W2610" i="16"/>
  <c r="AB2610" i="16"/>
  <c r="AC2610" i="16" s="1"/>
  <c r="Y2610" i="16"/>
  <c r="Z2610" i="16" s="1"/>
  <c r="W2520" i="16"/>
  <c r="AB2520" i="16"/>
  <c r="AC2520" i="16" s="1"/>
  <c r="Y2520" i="16"/>
  <c r="Z2520" i="16" s="1"/>
  <c r="W2423" i="16"/>
  <c r="AB2423" i="16"/>
  <c r="AC2423" i="16" s="1"/>
  <c r="Y2423" i="16"/>
  <c r="Z2423" i="16" s="1"/>
  <c r="W2331" i="16"/>
  <c r="AB2331" i="16"/>
  <c r="AC2331" i="16" s="1"/>
  <c r="Y2331" i="16"/>
  <c r="Z2331" i="16" s="1"/>
  <c r="W1692" i="16"/>
  <c r="Y1692" i="16"/>
  <c r="Z1692" i="16" s="1"/>
  <c r="W2285" i="16"/>
  <c r="Y2285" i="16"/>
  <c r="Z2285" i="16" s="1"/>
  <c r="W1641" i="16"/>
  <c r="Y1641" i="16"/>
  <c r="Z1641" i="16" s="1"/>
  <c r="W1918" i="16"/>
  <c r="Y1918" i="16"/>
  <c r="Z1918" i="16" s="1"/>
  <c r="W2066" i="16"/>
  <c r="Y2066" i="16"/>
  <c r="Z2066" i="16" s="1"/>
  <c r="W2233" i="16"/>
  <c r="Y2233" i="16"/>
  <c r="Z2233" i="16" s="1"/>
  <c r="W1458" i="16"/>
  <c r="Y1458" i="16"/>
  <c r="Z1458" i="16" s="1"/>
  <c r="W1838" i="16"/>
  <c r="Y1838" i="16"/>
  <c r="Z1838" i="16" s="1"/>
  <c r="W2238" i="16"/>
  <c r="Y2238" i="16"/>
  <c r="Z2238" i="16" s="1"/>
  <c r="W1200" i="16"/>
  <c r="Y1200" i="16"/>
  <c r="Z1200" i="16" s="1"/>
  <c r="W1647" i="16"/>
  <c r="Y1647" i="16"/>
  <c r="Z1647" i="16" s="1"/>
  <c r="W1064" i="16"/>
  <c r="Y1064" i="16"/>
  <c r="Z1064" i="16" s="1"/>
  <c r="W2085" i="16"/>
  <c r="Y2085" i="16"/>
  <c r="Z2085" i="16" s="1"/>
  <c r="W2236" i="16"/>
  <c r="Y2236" i="16"/>
  <c r="Z2236" i="16" s="1"/>
  <c r="W1470" i="16"/>
  <c r="Y1470" i="16"/>
  <c r="Z1470" i="16" s="1"/>
  <c r="W1840" i="16"/>
  <c r="Y1840" i="16"/>
  <c r="Z1840" i="16" s="1"/>
  <c r="W2033" i="16"/>
  <c r="Y2033" i="16"/>
  <c r="Z2033" i="16" s="1"/>
  <c r="W2176" i="16"/>
  <c r="Y2176" i="16"/>
  <c r="Z2176" i="16" s="1"/>
  <c r="W2207" i="16"/>
  <c r="Y2207" i="16"/>
  <c r="Z2207" i="16" s="1"/>
  <c r="W1814" i="16"/>
  <c r="Y1814" i="16"/>
  <c r="Z1814" i="16" s="1"/>
  <c r="W1786" i="16"/>
  <c r="Y1786" i="16"/>
  <c r="Z1786" i="16" s="1"/>
  <c r="W1560" i="16"/>
  <c r="Y1560" i="16"/>
  <c r="Z1560" i="16" s="1"/>
  <c r="W1741" i="16"/>
  <c r="Y1741" i="16"/>
  <c r="Z1741" i="16" s="1"/>
  <c r="W1972" i="16"/>
  <c r="Y1972" i="16"/>
  <c r="Z1972" i="16" s="1"/>
  <c r="W2114" i="16"/>
  <c r="Y2114" i="16"/>
  <c r="Z2114" i="16" s="1"/>
  <c r="W2281" i="16"/>
  <c r="Y2281" i="16"/>
  <c r="Z2281" i="16" s="1"/>
  <c r="W1630" i="16"/>
  <c r="Y1630" i="16"/>
  <c r="Z1630" i="16" s="1"/>
  <c r="W1902" i="16"/>
  <c r="Y1902" i="16"/>
  <c r="Z1902" i="16" s="1"/>
  <c r="W1282" i="16"/>
  <c r="Y1282" i="16"/>
  <c r="Z1282" i="16" s="1"/>
  <c r="W1376" i="16"/>
  <c r="Y1376" i="16"/>
  <c r="Z1376" i="16" s="1"/>
  <c r="W816" i="16"/>
  <c r="Y816" i="16"/>
  <c r="Z816" i="16" s="1"/>
  <c r="W1327" i="16"/>
  <c r="Y1327" i="16"/>
  <c r="Z1327" i="16" s="1"/>
  <c r="W2220" i="16"/>
  <c r="Y2220" i="16"/>
  <c r="Z2220" i="16" s="1"/>
  <c r="W1409" i="16"/>
  <c r="Y1409" i="16"/>
  <c r="Z1409" i="16" s="1"/>
  <c r="W1818" i="16"/>
  <c r="Y1818" i="16"/>
  <c r="Z1818" i="16" s="1"/>
  <c r="W2017" i="16"/>
  <c r="Y2017" i="16"/>
  <c r="Z2017" i="16" s="1"/>
  <c r="W2160" i="16"/>
  <c r="Y2160" i="16"/>
  <c r="Z2160" i="16" s="1"/>
  <c r="W2159" i="16"/>
  <c r="Y2159" i="16"/>
  <c r="Z2159" i="16" s="1"/>
  <c r="W1720" i="16"/>
  <c r="Y1720" i="16"/>
  <c r="Z1720" i="16" s="1"/>
  <c r="W1722" i="16"/>
  <c r="Y1722" i="16"/>
  <c r="Z1722" i="16" s="1"/>
  <c r="W1474" i="16"/>
  <c r="Y1474" i="16"/>
  <c r="Z1474" i="16" s="1"/>
  <c r="W1645" i="16"/>
  <c r="Y1645" i="16"/>
  <c r="Z1645" i="16" s="1"/>
  <c r="W1955" i="16"/>
  <c r="Y1955" i="16"/>
  <c r="Z1955" i="16" s="1"/>
  <c r="W2098" i="16"/>
  <c r="Y2098" i="16"/>
  <c r="Z2098" i="16" s="1"/>
  <c r="W2265" i="16"/>
  <c r="Y2265" i="16"/>
  <c r="Z2265" i="16" s="1"/>
  <c r="W1575" i="16"/>
  <c r="Y1575" i="16"/>
  <c r="Z1575" i="16" s="1"/>
  <c r="W1880" i="16"/>
  <c r="Y1880" i="16"/>
  <c r="Z1880" i="16" s="1"/>
  <c r="W994" i="16"/>
  <c r="Y994" i="16"/>
  <c r="Z994" i="16" s="1"/>
  <c r="W1312" i="16"/>
  <c r="Y1312" i="16"/>
  <c r="Z1312" i="16" s="1"/>
  <c r="W344" i="16"/>
  <c r="Y344" i="16"/>
  <c r="Z344" i="16" s="1"/>
  <c r="W1234" i="16"/>
  <c r="Y1234" i="16"/>
  <c r="Z1234" i="16" s="1"/>
  <c r="W2117" i="16"/>
  <c r="Y2117" i="16"/>
  <c r="Z2117" i="16" s="1"/>
  <c r="W2268" i="16"/>
  <c r="Y2268" i="16"/>
  <c r="Z2268" i="16" s="1"/>
  <c r="W1585" i="16"/>
  <c r="Y1585" i="16"/>
  <c r="Z1585" i="16" s="1"/>
  <c r="W1882" i="16"/>
  <c r="Y1882" i="16"/>
  <c r="Z1882" i="16" s="1"/>
  <c r="W2065" i="16"/>
  <c r="Y2065" i="16"/>
  <c r="Z2065" i="16" s="1"/>
  <c r="W2208" i="16"/>
  <c r="Y2208" i="16"/>
  <c r="Z2208" i="16" s="1"/>
  <c r="W2271" i="16"/>
  <c r="Y2271" i="16"/>
  <c r="Z2271" i="16" s="1"/>
  <c r="W1898" i="16"/>
  <c r="Y1898" i="16"/>
  <c r="Z1898" i="16" s="1"/>
  <c r="W1010" i="16"/>
  <c r="Y1010" i="16"/>
  <c r="Z1010" i="16" s="1"/>
  <c r="W1666" i="16"/>
  <c r="Y1666" i="16"/>
  <c r="Z1666" i="16" s="1"/>
  <c r="W1869" i="16"/>
  <c r="Y1869" i="16"/>
  <c r="Z1869" i="16" s="1"/>
  <c r="W2004" i="16"/>
  <c r="Y2004" i="16"/>
  <c r="Z2004" i="16" s="1"/>
  <c r="W2146" i="16"/>
  <c r="Y2146" i="16"/>
  <c r="Z2146" i="16" s="1"/>
  <c r="W869" i="16"/>
  <c r="Y869" i="16"/>
  <c r="Z869" i="16" s="1"/>
  <c r="W1727" i="16"/>
  <c r="Y1727" i="16"/>
  <c r="Z1727" i="16" s="1"/>
  <c r="W1942" i="16"/>
  <c r="Y1942" i="16"/>
  <c r="Z1942" i="16" s="1"/>
  <c r="W1535" i="16"/>
  <c r="Y1535" i="16"/>
  <c r="Z1535" i="16" s="1"/>
  <c r="W1472" i="16"/>
  <c r="Y1472" i="16"/>
  <c r="Z1472" i="16" s="1"/>
  <c r="W1072" i="16"/>
  <c r="Y1072" i="16"/>
  <c r="Z1072" i="16" s="1"/>
  <c r="W1452" i="16"/>
  <c r="Y1452" i="16"/>
  <c r="Z1452" i="16" s="1"/>
  <c r="W1682" i="16"/>
  <c r="Y1682" i="16"/>
  <c r="Z1682" i="16" s="1"/>
  <c r="W1921" i="16"/>
  <c r="Y1921" i="16"/>
  <c r="Z1921" i="16" s="1"/>
  <c r="W2078" i="16"/>
  <c r="Y2078" i="16"/>
  <c r="Z2078" i="16" s="1"/>
  <c r="W1718" i="16"/>
  <c r="Y1718" i="16"/>
  <c r="Z1718" i="16" s="1"/>
  <c r="W376" i="16"/>
  <c r="Y376" i="16"/>
  <c r="Z376" i="16" s="1"/>
  <c r="W1408" i="16"/>
  <c r="Y1408" i="16"/>
  <c r="Z1408" i="16" s="1"/>
  <c r="W1354" i="16"/>
  <c r="Y1354" i="16"/>
  <c r="Z1354" i="16" s="1"/>
  <c r="W248" i="16"/>
  <c r="Y248" i="16"/>
  <c r="Z248" i="16" s="1"/>
  <c r="W1095" i="16"/>
  <c r="Y1095" i="16"/>
  <c r="Z1095" i="16" s="1"/>
  <c r="W1253" i="16"/>
  <c r="Y1253" i="16"/>
  <c r="Z1253" i="16" s="1"/>
  <c r="W1883" i="16"/>
  <c r="Y1883" i="16"/>
  <c r="Z1883" i="16" s="1"/>
  <c r="W2175" i="16"/>
  <c r="Y2175" i="16"/>
  <c r="Z2175" i="16" s="1"/>
  <c r="W1210" i="16"/>
  <c r="Y1210" i="16"/>
  <c r="Z1210" i="16" s="1"/>
  <c r="W1758" i="16"/>
  <c r="Y1758" i="16"/>
  <c r="Z1758" i="16" s="1"/>
  <c r="W1351" i="16"/>
  <c r="Y1351" i="16"/>
  <c r="Z1351" i="16" s="1"/>
  <c r="W1744" i="16"/>
  <c r="Y1744" i="16"/>
  <c r="Z1744" i="16" s="1"/>
  <c r="W744" i="16"/>
  <c r="Y744" i="16"/>
  <c r="Z744" i="16" s="1"/>
  <c r="W1496" i="16"/>
  <c r="Y1496" i="16"/>
  <c r="Z1496" i="16" s="1"/>
  <c r="W1274" i="16"/>
  <c r="Y1274" i="16"/>
  <c r="Z1274" i="16" s="1"/>
  <c r="W1693" i="16"/>
  <c r="Y1693" i="16"/>
  <c r="Z1693" i="16" s="1"/>
  <c r="W1308" i="16"/>
  <c r="Y1308" i="16"/>
  <c r="Z1308" i="16" s="1"/>
  <c r="W1395" i="16"/>
  <c r="Y1395" i="16"/>
  <c r="Z1395" i="16" s="1"/>
  <c r="W1975" i="16"/>
  <c r="Y1975" i="16"/>
  <c r="Z1975" i="16" s="1"/>
  <c r="W2126" i="16"/>
  <c r="Y2126" i="16"/>
  <c r="Z2126" i="16" s="1"/>
  <c r="W1782" i="16"/>
  <c r="Y1782" i="16"/>
  <c r="Z1782" i="16" s="1"/>
  <c r="W925" i="16"/>
  <c r="Y925" i="16"/>
  <c r="Z925" i="16" s="1"/>
  <c r="W1478" i="16"/>
  <c r="Y1478" i="16"/>
  <c r="Z1478" i="16" s="1"/>
  <c r="W1455" i="16"/>
  <c r="Y1455" i="16"/>
  <c r="Z1455" i="16" s="1"/>
  <c r="W1026" i="16"/>
  <c r="Y1026" i="16"/>
  <c r="Z1026" i="16" s="1"/>
  <c r="W1161" i="16"/>
  <c r="Y1161" i="16"/>
  <c r="Z1161" i="16" s="1"/>
  <c r="W1349" i="16"/>
  <c r="Y1349" i="16"/>
  <c r="Z1349" i="16" s="1"/>
  <c r="W712" i="16"/>
  <c r="Y712" i="16"/>
  <c r="Z712" i="16" s="1"/>
  <c r="W1388" i="16"/>
  <c r="Y1388" i="16"/>
  <c r="Z1388" i="16" s="1"/>
  <c r="W1491" i="16"/>
  <c r="Y1491" i="16"/>
  <c r="Z1491" i="16" s="1"/>
  <c r="W271" i="16"/>
  <c r="Y271" i="16"/>
  <c r="Z271" i="16" s="1"/>
  <c r="W1372" i="16"/>
  <c r="Y1372" i="16"/>
  <c r="Z1372" i="16" s="1"/>
  <c r="W1459" i="16"/>
  <c r="Y1459" i="16"/>
  <c r="Z1459" i="16" s="1"/>
  <c r="W2007" i="16"/>
  <c r="Y2007" i="16"/>
  <c r="Z2007" i="16" s="1"/>
  <c r="W2158" i="16"/>
  <c r="Y2158" i="16"/>
  <c r="Z2158" i="16" s="1"/>
  <c r="W1100" i="16"/>
  <c r="Y1100" i="16"/>
  <c r="Z1100" i="16" s="1"/>
  <c r="W1018" i="16"/>
  <c r="Y1018" i="16"/>
  <c r="Z1018" i="16" s="1"/>
  <c r="W1520" i="16"/>
  <c r="Y1520" i="16"/>
  <c r="Z1520" i="16" s="1"/>
  <c r="W1497" i="16"/>
  <c r="Y1497" i="16"/>
  <c r="Z1497" i="16" s="1"/>
  <c r="W1142" i="16"/>
  <c r="Y1142" i="16"/>
  <c r="Z1142" i="16" s="1"/>
  <c r="W1209" i="16"/>
  <c r="Y1209" i="16"/>
  <c r="Z1209" i="16" s="1"/>
  <c r="W1381" i="16"/>
  <c r="Y1381" i="16"/>
  <c r="Z1381" i="16" s="1"/>
  <c r="W980" i="16"/>
  <c r="Y980" i="16"/>
  <c r="Z980" i="16" s="1"/>
  <c r="W258" i="16"/>
  <c r="Y258" i="16"/>
  <c r="Z258" i="16" s="1"/>
  <c r="W1555" i="16"/>
  <c r="Y1555" i="16"/>
  <c r="Z1555" i="16" s="1"/>
  <c r="W1343" i="16"/>
  <c r="Y1343" i="16"/>
  <c r="Z1343" i="16" s="1"/>
  <c r="W1250" i="16"/>
  <c r="Y1250" i="16"/>
  <c r="Z1250" i="16" s="1"/>
  <c r="W1302" i="16"/>
  <c r="Y1302" i="16"/>
  <c r="Z1302" i="16" s="1"/>
  <c r="W1933" i="16"/>
  <c r="Y1933" i="16"/>
  <c r="Z1933" i="16" s="1"/>
  <c r="W1245" i="16"/>
  <c r="Y1245" i="16"/>
  <c r="Z1245" i="16" s="1"/>
  <c r="W1078" i="16"/>
  <c r="Y1078" i="16"/>
  <c r="Z1078" i="16" s="1"/>
  <c r="W1427" i="16"/>
  <c r="Y1427" i="16"/>
  <c r="Z1427" i="16" s="1"/>
  <c r="W1053" i="16"/>
  <c r="Y1053" i="16"/>
  <c r="Z1053" i="16" s="1"/>
  <c r="W464" i="16"/>
  <c r="Y464" i="16"/>
  <c r="Z464" i="16" s="1"/>
  <c r="W601" i="16"/>
  <c r="Y601" i="16"/>
  <c r="Z601" i="16" s="1"/>
  <c r="W937" i="16"/>
  <c r="Y937" i="16"/>
  <c r="Z937" i="16" s="1"/>
  <c r="W1092" i="16"/>
  <c r="Y1092" i="16"/>
  <c r="Z1092" i="16" s="1"/>
  <c r="W909" i="16"/>
  <c r="Y909" i="16"/>
  <c r="Z909" i="16" s="1"/>
  <c r="W1022" i="16"/>
  <c r="Y1022" i="16"/>
  <c r="Z1022" i="16" s="1"/>
  <c r="W1749" i="16"/>
  <c r="Y1749" i="16"/>
  <c r="Z1749" i="16" s="1"/>
  <c r="W1047" i="16"/>
  <c r="Y1047" i="16"/>
  <c r="Z1047" i="16" s="1"/>
  <c r="W241" i="16"/>
  <c r="Y241" i="16"/>
  <c r="Z241" i="16" s="1"/>
  <c r="W1243" i="16"/>
  <c r="Y1243" i="16"/>
  <c r="Z1243" i="16" s="1"/>
  <c r="W288" i="16"/>
  <c r="Y288" i="16"/>
  <c r="Z288" i="16" s="1"/>
  <c r="W362" i="16"/>
  <c r="Y362" i="16"/>
  <c r="Z362" i="16" s="1"/>
  <c r="W915" i="16"/>
  <c r="Y915" i="16"/>
  <c r="Z915" i="16" s="1"/>
  <c r="W255" i="16"/>
  <c r="Y255" i="16"/>
  <c r="Z255" i="16" s="1"/>
  <c r="W320" i="16"/>
  <c r="Y320" i="16"/>
  <c r="Z320" i="16" s="1"/>
  <c r="W678" i="16"/>
  <c r="Y678" i="16"/>
  <c r="Z678" i="16" s="1"/>
  <c r="W539" i="16"/>
  <c r="Y539" i="16"/>
  <c r="Z539" i="16" s="1"/>
  <c r="W239" i="16"/>
  <c r="Y239" i="16"/>
  <c r="Z239" i="16" s="1"/>
  <c r="W265" i="16"/>
  <c r="Y265" i="16"/>
  <c r="Z265" i="16" s="1"/>
  <c r="W742" i="16"/>
  <c r="Y742" i="16"/>
  <c r="Z742" i="16" s="1"/>
  <c r="W795" i="16"/>
  <c r="Y795" i="16"/>
  <c r="Z795" i="16" s="1"/>
  <c r="W861" i="16"/>
  <c r="Y861" i="16"/>
  <c r="Z861" i="16" s="1"/>
  <c r="W238" i="16"/>
  <c r="Y238" i="16"/>
  <c r="Z238" i="16" s="1"/>
  <c r="W806" i="16"/>
  <c r="Y806" i="16"/>
  <c r="Z806" i="16" s="1"/>
  <c r="W380" i="16"/>
  <c r="Y380" i="16"/>
  <c r="Z380" i="16" s="1"/>
  <c r="W792" i="16"/>
  <c r="Y792" i="16"/>
  <c r="Z792" i="16" s="1"/>
  <c r="W991" i="16"/>
  <c r="Y991" i="16"/>
  <c r="Z991" i="16" s="1"/>
  <c r="W870" i="16"/>
  <c r="Y870" i="16"/>
  <c r="Z870" i="16" s="1"/>
  <c r="W508" i="16"/>
  <c r="Y508" i="16"/>
  <c r="Z508" i="16" s="1"/>
  <c r="W760" i="16"/>
  <c r="Y760" i="16"/>
  <c r="Z760" i="16" s="1"/>
  <c r="W657" i="16"/>
  <c r="Y657" i="16"/>
  <c r="Z657" i="16" s="1"/>
  <c r="W723" i="16"/>
  <c r="Y723" i="16"/>
  <c r="Z723" i="16" s="1"/>
  <c r="W1259" i="16"/>
  <c r="Y1259" i="16"/>
  <c r="Z1259" i="16" s="1"/>
  <c r="W728" i="16"/>
  <c r="Y728" i="16"/>
  <c r="Z728" i="16" s="1"/>
  <c r="W721" i="16"/>
  <c r="Y721" i="16"/>
  <c r="Z721" i="16" s="1"/>
  <c r="W787" i="16"/>
  <c r="Y787" i="16"/>
  <c r="Z787" i="16" s="1"/>
  <c r="W901" i="16"/>
  <c r="Y901" i="16"/>
  <c r="Z901" i="16" s="1"/>
  <c r="W1533" i="16"/>
  <c r="Y1533" i="16"/>
  <c r="Z1533" i="16" s="1"/>
  <c r="W993" i="16"/>
  <c r="Y993" i="16"/>
  <c r="Z993" i="16" s="1"/>
  <c r="W1014" i="16"/>
  <c r="Y1014" i="16"/>
  <c r="Z1014" i="16" s="1"/>
  <c r="W1539" i="16"/>
  <c r="Y1539" i="16"/>
  <c r="Z1539" i="16" s="1"/>
  <c r="W1001" i="16"/>
  <c r="Y1001" i="16"/>
  <c r="Z1001" i="16" s="1"/>
  <c r="W1083" i="16"/>
  <c r="Y1083" i="16"/>
  <c r="Z1083" i="16" s="1"/>
  <c r="W245" i="16"/>
  <c r="Y245" i="16"/>
  <c r="Z245" i="16" s="1"/>
  <c r="W934" i="16"/>
  <c r="Y934" i="16"/>
  <c r="Z934" i="16" s="1"/>
  <c r="W583" i="16"/>
  <c r="Y583" i="16"/>
  <c r="Z583" i="16" s="1"/>
  <c r="W739" i="16"/>
  <c r="Y739" i="16"/>
  <c r="Z739" i="16" s="1"/>
  <c r="W1845" i="16"/>
  <c r="Y1845" i="16"/>
  <c r="Z1845" i="16" s="1"/>
  <c r="W1333" i="16"/>
  <c r="Y1333" i="16"/>
  <c r="Z1333" i="16" s="1"/>
  <c r="W1348" i="16"/>
  <c r="Y1348" i="16"/>
  <c r="Z1348" i="16" s="1"/>
  <c r="W1851" i="16"/>
  <c r="Y1851" i="16"/>
  <c r="Z1851" i="16" s="1"/>
  <c r="W1339" i="16"/>
  <c r="Y1339" i="16"/>
  <c r="Z1339" i="16" s="1"/>
  <c r="W568" i="16"/>
  <c r="Y568" i="16"/>
  <c r="Z568" i="16" s="1"/>
  <c r="W736" i="16"/>
  <c r="Y736" i="16"/>
  <c r="Z736" i="16" s="1"/>
  <c r="W331" i="16"/>
  <c r="Y331" i="16"/>
  <c r="Z331" i="16" s="1"/>
  <c r="W818" i="16"/>
  <c r="Y818" i="16"/>
  <c r="Z818" i="16" s="1"/>
  <c r="W923" i="16"/>
  <c r="Y923" i="16"/>
  <c r="Z923" i="16" s="1"/>
  <c r="W689" i="16"/>
  <c r="Y689" i="16"/>
  <c r="Z689" i="16" s="1"/>
  <c r="W388" i="16"/>
  <c r="Y388" i="16"/>
  <c r="Z388" i="16" s="1"/>
  <c r="W663" i="16"/>
  <c r="Y663" i="16"/>
  <c r="Z663" i="16" s="1"/>
  <c r="W489" i="16"/>
  <c r="Y489" i="16"/>
  <c r="Z489" i="16" s="1"/>
  <c r="W700" i="16"/>
  <c r="Y700" i="16"/>
  <c r="Z700" i="16" s="1"/>
  <c r="W363" i="16"/>
  <c r="Y363" i="16"/>
  <c r="Z363" i="16" s="1"/>
  <c r="W425" i="16"/>
  <c r="Y425" i="16"/>
  <c r="Z425" i="16" s="1"/>
  <c r="W791" i="16"/>
  <c r="Y791" i="16"/>
  <c r="Z791" i="16" s="1"/>
  <c r="W479" i="16"/>
  <c r="Y479" i="16"/>
  <c r="Z479" i="16" s="1"/>
  <c r="W846" i="16"/>
  <c r="Y846" i="16"/>
  <c r="Z846" i="16" s="1"/>
  <c r="W534" i="16"/>
  <c r="Y534" i="16"/>
  <c r="Z534" i="16" s="1"/>
  <c r="W781" i="16"/>
  <c r="Y781" i="16"/>
  <c r="Z781" i="16" s="1"/>
  <c r="W153" i="16"/>
  <c r="Y153" i="16"/>
  <c r="Z153" i="16" s="1"/>
  <c r="W129" i="16"/>
  <c r="Y129" i="16"/>
  <c r="Z129" i="16" s="1"/>
  <c r="W396" i="16"/>
  <c r="Y396" i="16"/>
  <c r="Z396" i="16" s="1"/>
  <c r="W755" i="16"/>
  <c r="Y755" i="16"/>
  <c r="Z755" i="16" s="1"/>
  <c r="W443" i="16"/>
  <c r="Y443" i="16"/>
  <c r="Z443" i="16" s="1"/>
  <c r="W802" i="16"/>
  <c r="Y802" i="16"/>
  <c r="Z802" i="16" s="1"/>
  <c r="W208" i="16"/>
  <c r="Y208" i="16"/>
  <c r="Z208" i="16" s="1"/>
  <c r="W164" i="16"/>
  <c r="Y164" i="16"/>
  <c r="Z164" i="16" s="1"/>
  <c r="W195" i="16"/>
  <c r="Y195" i="16"/>
  <c r="Z195" i="16" s="1"/>
  <c r="W931" i="16"/>
  <c r="Y931" i="16"/>
  <c r="Z931" i="16" s="1"/>
  <c r="W619" i="16"/>
  <c r="Y619" i="16"/>
  <c r="Z619" i="16" s="1"/>
  <c r="W307" i="16"/>
  <c r="Y307" i="16"/>
  <c r="Z307" i="16" s="1"/>
  <c r="W666" i="16"/>
  <c r="Y666" i="16"/>
  <c r="Z666" i="16" s="1"/>
  <c r="W354" i="16"/>
  <c r="Y354" i="16"/>
  <c r="Z354" i="16" s="1"/>
  <c r="W145" i="16"/>
  <c r="Y145" i="16"/>
  <c r="Z145" i="16" s="1"/>
  <c r="W156" i="16"/>
  <c r="Y156" i="16"/>
  <c r="Z156" i="16" s="1"/>
  <c r="W135" i="16"/>
  <c r="Y135" i="16"/>
  <c r="Z135" i="16" s="1"/>
  <c r="W327" i="16"/>
  <c r="Y327" i="16"/>
  <c r="Z327" i="16" s="1"/>
  <c r="W758" i="16"/>
  <c r="Y758" i="16"/>
  <c r="Z758" i="16" s="1"/>
  <c r="W638" i="16"/>
  <c r="Y638" i="16"/>
  <c r="Z638" i="16" s="1"/>
  <c r="W326" i="16"/>
  <c r="Y326" i="16"/>
  <c r="Z326" i="16" s="1"/>
  <c r="W573" i="16"/>
  <c r="Y573" i="16"/>
  <c r="Z573" i="16" s="1"/>
  <c r="W924" i="16"/>
  <c r="Y924" i="16"/>
  <c r="Z924" i="16" s="1"/>
  <c r="W612" i="16"/>
  <c r="Y612" i="16"/>
  <c r="Z612" i="16" s="1"/>
  <c r="W154" i="16"/>
  <c r="Y154" i="16"/>
  <c r="Z154" i="16" s="1"/>
  <c r="W146" i="16"/>
  <c r="Y146" i="16"/>
  <c r="Z146" i="16" s="1"/>
  <c r="W110" i="16"/>
  <c r="Y110" i="16"/>
  <c r="Z110" i="16" s="1"/>
  <c r="W735" i="16"/>
  <c r="Y735" i="16"/>
  <c r="Z735" i="16" s="1"/>
  <c r="W423" i="16"/>
  <c r="Y423" i="16"/>
  <c r="Z423" i="16" s="1"/>
  <c r="W790" i="16"/>
  <c r="Y790" i="16"/>
  <c r="Z790" i="16" s="1"/>
  <c r="W478" i="16"/>
  <c r="Y478" i="16"/>
  <c r="Z478" i="16" s="1"/>
  <c r="W89" i="16"/>
  <c r="Y89" i="16"/>
  <c r="Z89" i="16" s="1"/>
  <c r="W205" i="16"/>
  <c r="Y205" i="16"/>
  <c r="Z205" i="16" s="1"/>
  <c r="W820" i="16"/>
  <c r="Y820" i="16"/>
  <c r="Z820" i="16" s="1"/>
  <c r="W572" i="16"/>
  <c r="Y572" i="16"/>
  <c r="Z572" i="16" s="1"/>
  <c r="W452" i="16"/>
  <c r="Y452" i="16"/>
  <c r="Z452" i="16" s="1"/>
  <c r="W811" i="16"/>
  <c r="Y811" i="16"/>
  <c r="Z811" i="16" s="1"/>
  <c r="W499" i="16"/>
  <c r="Y499" i="16"/>
  <c r="Z499" i="16" s="1"/>
  <c r="W858" i="16"/>
  <c r="Y858" i="16"/>
  <c r="Z858" i="16" s="1"/>
  <c r="W546" i="16"/>
  <c r="Y546" i="16"/>
  <c r="Z546" i="16" s="1"/>
  <c r="W227" i="16"/>
  <c r="Y227" i="16"/>
  <c r="Z227" i="16" s="1"/>
  <c r="W87" i="16"/>
  <c r="Y87" i="16"/>
  <c r="Z87" i="16" s="1"/>
  <c r="W518" i="16"/>
  <c r="Y518" i="16"/>
  <c r="Z518" i="16" s="1"/>
  <c r="W765" i="16"/>
  <c r="Y765" i="16"/>
  <c r="Z765" i="16" s="1"/>
  <c r="W453" i="16"/>
  <c r="Y453" i="16"/>
  <c r="Z453" i="16" s="1"/>
  <c r="W804" i="16"/>
  <c r="Y804" i="16"/>
  <c r="Z804" i="16" s="1"/>
  <c r="W106" i="16"/>
  <c r="Y106" i="16"/>
  <c r="Z106" i="16" s="1"/>
  <c r="W98" i="16"/>
  <c r="Y98" i="16"/>
  <c r="Z98" i="16" s="1"/>
  <c r="W86" i="16"/>
  <c r="Y86" i="16"/>
  <c r="Z86" i="16" s="1"/>
  <c r="W927" i="16"/>
  <c r="Y927" i="16"/>
  <c r="Z927" i="16" s="1"/>
  <c r="W615" i="16"/>
  <c r="Y615" i="16"/>
  <c r="Z615" i="16" s="1"/>
  <c r="W303" i="16"/>
  <c r="Y303" i="16"/>
  <c r="Z303" i="16" s="1"/>
  <c r="W670" i="16"/>
  <c r="Y670" i="16"/>
  <c r="Z670" i="16" s="1"/>
  <c r="W181" i="16"/>
  <c r="Y181" i="16"/>
  <c r="Z181" i="16" s="1"/>
  <c r="T2287" i="16"/>
  <c r="T566" i="16"/>
  <c r="T833" i="16"/>
  <c r="W2417" i="16"/>
  <c r="AB2417" i="16"/>
  <c r="AC2417" i="16" s="1"/>
  <c r="Y2417" i="16"/>
  <c r="Z2417" i="16" s="1"/>
  <c r="W2499" i="16"/>
  <c r="AB2499" i="16"/>
  <c r="AC2499" i="16" s="1"/>
  <c r="Y2499" i="16"/>
  <c r="Z2499" i="16" s="1"/>
  <c r="W1873" i="16"/>
  <c r="Y1873" i="16"/>
  <c r="Z1873" i="16" s="1"/>
  <c r="W2399" i="16"/>
  <c r="AB2399" i="16"/>
  <c r="AC2399" i="16" s="1"/>
  <c r="Y2399" i="16"/>
  <c r="Z2399" i="16" s="1"/>
  <c r="W2549" i="16"/>
  <c r="AB2549" i="16"/>
  <c r="AC2549" i="16" s="1"/>
  <c r="Y2549" i="16"/>
  <c r="Z2549" i="16" s="1"/>
  <c r="W2290" i="16"/>
  <c r="Y2290" i="16"/>
  <c r="Z2290" i="16" s="1"/>
  <c r="W2481" i="16"/>
  <c r="AB2481" i="16"/>
  <c r="AC2481" i="16" s="1"/>
  <c r="Y2481" i="16"/>
  <c r="Z2481" i="16" s="1"/>
  <c r="W2328" i="16"/>
  <c r="AB2328" i="16"/>
  <c r="AC2328" i="16" s="1"/>
  <c r="Y2328" i="16"/>
  <c r="Z2328" i="16" s="1"/>
  <c r="W2488" i="16"/>
  <c r="AB2488" i="16"/>
  <c r="AC2488" i="16" s="1"/>
  <c r="Y2488" i="16"/>
  <c r="Z2488" i="16" s="1"/>
  <c r="W2638" i="16"/>
  <c r="AB2638" i="16"/>
  <c r="AC2638" i="16" s="1"/>
  <c r="Y2638" i="16"/>
  <c r="Z2638" i="16" s="1"/>
  <c r="W2381" i="16"/>
  <c r="AB2381" i="16"/>
  <c r="AC2381" i="16" s="1"/>
  <c r="Y2381" i="16"/>
  <c r="Z2381" i="16" s="1"/>
  <c r="W2253" i="16"/>
  <c r="Y2253" i="16"/>
  <c r="Z2253" i="16" s="1"/>
  <c r="W2609" i="16"/>
  <c r="AB2609" i="16"/>
  <c r="AC2609" i="16" s="1"/>
  <c r="Y2609" i="16"/>
  <c r="Z2609" i="16" s="1"/>
  <c r="W2483" i="16"/>
  <c r="AB2483" i="16"/>
  <c r="AC2483" i="16" s="1"/>
  <c r="Y2483" i="16"/>
  <c r="Z2483" i="16" s="1"/>
  <c r="W897" i="16"/>
  <c r="Y897" i="16"/>
  <c r="Z897" i="16" s="1"/>
  <c r="W2383" i="16"/>
  <c r="AB2383" i="16"/>
  <c r="AC2383" i="16" s="1"/>
  <c r="Y2383" i="16"/>
  <c r="Z2383" i="16" s="1"/>
  <c r="W2533" i="16"/>
  <c r="AB2533" i="16"/>
  <c r="AC2533" i="16" s="1"/>
  <c r="Y2533" i="16"/>
  <c r="Z2533" i="16" s="1"/>
  <c r="W2035" i="16"/>
  <c r="Y2035" i="16"/>
  <c r="Z2035" i="16" s="1"/>
  <c r="W2326" i="16"/>
  <c r="AB2326" i="16"/>
  <c r="AC2326" i="16" s="1"/>
  <c r="Y2326" i="16"/>
  <c r="Z2326" i="16" s="1"/>
  <c r="W2562" i="16"/>
  <c r="AB2562" i="16"/>
  <c r="AC2562" i="16" s="1"/>
  <c r="Y2562" i="16"/>
  <c r="Z2562" i="16" s="1"/>
  <c r="W2259" i="16"/>
  <c r="Y2259" i="16"/>
  <c r="Z2259" i="16" s="1"/>
  <c r="W2446" i="16"/>
  <c r="AB2446" i="16"/>
  <c r="AC2446" i="16" s="1"/>
  <c r="Y2446" i="16"/>
  <c r="Z2446" i="16" s="1"/>
  <c r="W2612" i="16"/>
  <c r="AB2612" i="16"/>
  <c r="AC2612" i="16" s="1"/>
  <c r="Y2612" i="16"/>
  <c r="Z2612" i="16" s="1"/>
  <c r="W1981" i="16"/>
  <c r="Y1981" i="16"/>
  <c r="Z1981" i="16" s="1"/>
  <c r="W2547" i="16"/>
  <c r="AB2547" i="16"/>
  <c r="AC2547" i="16" s="1"/>
  <c r="Y2547" i="16"/>
  <c r="Z2547" i="16" s="1"/>
  <c r="W2147" i="16"/>
  <c r="Y2147" i="16"/>
  <c r="Z2147" i="16" s="1"/>
  <c r="W2447" i="16"/>
  <c r="AB2447" i="16"/>
  <c r="AC2447" i="16" s="1"/>
  <c r="Y2447" i="16"/>
  <c r="Z2447" i="16" s="1"/>
  <c r="W2597" i="16"/>
  <c r="AB2597" i="16"/>
  <c r="AC2597" i="16" s="1"/>
  <c r="Y2597" i="16"/>
  <c r="Z2597" i="16" s="1"/>
  <c r="W2329" i="16"/>
  <c r="AB2329" i="16"/>
  <c r="AC2329" i="16" s="1"/>
  <c r="Y2329" i="16"/>
  <c r="Z2329" i="16" s="1"/>
  <c r="W2637" i="16"/>
  <c r="AB2637" i="16"/>
  <c r="AC2637" i="16" s="1"/>
  <c r="Y2637" i="16"/>
  <c r="Z2637" i="16" s="1"/>
  <c r="W2530" i="16"/>
  <c r="AB2530" i="16"/>
  <c r="AC2530" i="16" s="1"/>
  <c r="Y2530" i="16"/>
  <c r="Z2530" i="16" s="1"/>
  <c r="W2131" i="16"/>
  <c r="Y2131" i="16"/>
  <c r="Z2131" i="16" s="1"/>
  <c r="W2430" i="16"/>
  <c r="AB2430" i="16"/>
  <c r="AC2430" i="16" s="1"/>
  <c r="Y2430" i="16"/>
  <c r="Z2430" i="16" s="1"/>
  <c r="W2580" i="16"/>
  <c r="AB2580" i="16"/>
  <c r="AC2580" i="16" s="1"/>
  <c r="Y2580" i="16"/>
  <c r="Z2580" i="16" s="1"/>
  <c r="W1938" i="16"/>
  <c r="Y1938" i="16"/>
  <c r="Z1938" i="16" s="1"/>
  <c r="W2505" i="16"/>
  <c r="AB2505" i="16"/>
  <c r="AC2505" i="16" s="1"/>
  <c r="Y2505" i="16"/>
  <c r="Z2505" i="16" s="1"/>
  <c r="W2442" i="16"/>
  <c r="AB2442" i="16"/>
  <c r="AC2442" i="16" s="1"/>
  <c r="Y2442" i="16"/>
  <c r="Z2442" i="16" s="1"/>
  <c r="W2591" i="16"/>
  <c r="AB2591" i="16"/>
  <c r="AC2591" i="16" s="1"/>
  <c r="Y2591" i="16"/>
  <c r="Z2591" i="16" s="1"/>
  <c r="W2322" i="16"/>
  <c r="AB2322" i="16"/>
  <c r="AC2322" i="16" s="1"/>
  <c r="Y2322" i="16"/>
  <c r="Z2322" i="16" s="1"/>
  <c r="W2492" i="16"/>
  <c r="AB2492" i="16"/>
  <c r="AC2492" i="16" s="1"/>
  <c r="Y2492" i="16"/>
  <c r="Z2492" i="16" s="1"/>
  <c r="W1737" i="16"/>
  <c r="Y1737" i="16"/>
  <c r="Z1737" i="16" s="1"/>
  <c r="W2344" i="16"/>
  <c r="AB2344" i="16"/>
  <c r="AC2344" i="16" s="1"/>
  <c r="Y2344" i="16"/>
  <c r="Z2344" i="16" s="1"/>
  <c r="W2027" i="16"/>
  <c r="Y2027" i="16"/>
  <c r="Z2027" i="16" s="1"/>
  <c r="W2424" i="16"/>
  <c r="AB2424" i="16"/>
  <c r="AC2424" i="16" s="1"/>
  <c r="Y2424" i="16"/>
  <c r="Z2424" i="16" s="1"/>
  <c r="W2574" i="16"/>
  <c r="AB2574" i="16"/>
  <c r="AC2574" i="16" s="1"/>
  <c r="Y2574" i="16"/>
  <c r="Z2574" i="16" s="1"/>
  <c r="W2312" i="16"/>
  <c r="AB2312" i="16"/>
  <c r="AC2312" i="16" s="1"/>
  <c r="Y2312" i="16"/>
  <c r="Z2312" i="16" s="1"/>
  <c r="W2173" i="16"/>
  <c r="Y2173" i="16"/>
  <c r="Z2173" i="16" s="1"/>
  <c r="W2387" i="16"/>
  <c r="AB2387" i="16"/>
  <c r="AC2387" i="16" s="1"/>
  <c r="Y2387" i="16"/>
  <c r="Z2387" i="16" s="1"/>
  <c r="W2275" i="16"/>
  <c r="Y2275" i="16"/>
  <c r="Z2275" i="16" s="1"/>
  <c r="W2623" i="16"/>
  <c r="AB2623" i="16"/>
  <c r="AC2623" i="16" s="1"/>
  <c r="Y2623" i="16"/>
  <c r="Z2623" i="16" s="1"/>
  <c r="W2534" i="16"/>
  <c r="AB2534" i="16"/>
  <c r="AC2534" i="16" s="1"/>
  <c r="Y2534" i="16"/>
  <c r="Z2534" i="16" s="1"/>
  <c r="W2437" i="16"/>
  <c r="AB2437" i="16"/>
  <c r="AC2437" i="16" s="1"/>
  <c r="Y2437" i="16"/>
  <c r="Z2437" i="16" s="1"/>
  <c r="W2347" i="16"/>
  <c r="AB2347" i="16"/>
  <c r="AC2347" i="16" s="1"/>
  <c r="Y2347" i="16"/>
  <c r="Z2347" i="16" s="1"/>
  <c r="W1973" i="16"/>
  <c r="Y1973" i="16"/>
  <c r="Z1973" i="16" s="1"/>
  <c r="W2124" i="16"/>
  <c r="Y2124" i="16"/>
  <c r="Z2124" i="16" s="1"/>
  <c r="W2266" i="16"/>
  <c r="Y2266" i="16"/>
  <c r="Z2266" i="16" s="1"/>
  <c r="W1576" i="16"/>
  <c r="Y1576" i="16"/>
  <c r="Z1576" i="16" s="1"/>
  <c r="W1913" i="16"/>
  <c r="Y1913" i="16"/>
  <c r="Z1913" i="16" s="1"/>
  <c r="W2064" i="16"/>
  <c r="Y2064" i="16"/>
  <c r="Z2064" i="16" s="1"/>
  <c r="W1967" i="16"/>
  <c r="Y1967" i="16"/>
  <c r="Z1967" i="16" s="1"/>
  <c r="W1770" i="16"/>
  <c r="Y1770" i="16"/>
  <c r="Z1770" i="16" s="1"/>
  <c r="W1466" i="16"/>
  <c r="Y1466" i="16"/>
  <c r="Z1466" i="16" s="1"/>
  <c r="W1006" i="16"/>
  <c r="Y1006" i="16"/>
  <c r="Z1006" i="16" s="1"/>
  <c r="W1309" i="16"/>
  <c r="Y1309" i="16"/>
  <c r="Z1309" i="16" s="1"/>
  <c r="W2546" i="16"/>
  <c r="AB2546" i="16"/>
  <c r="AC2546" i="16" s="1"/>
  <c r="Y2546" i="16"/>
  <c r="Z2546" i="16" s="1"/>
  <c r="W2456" i="16"/>
  <c r="AB2456" i="16"/>
  <c r="AC2456" i="16" s="1"/>
  <c r="Y2456" i="16"/>
  <c r="Z2456" i="16" s="1"/>
  <c r="W2359" i="16"/>
  <c r="AB2359" i="16"/>
  <c r="AC2359" i="16" s="1"/>
  <c r="Y2359" i="16"/>
  <c r="Z2359" i="16" s="1"/>
  <c r="W2051" i="16"/>
  <c r="Y2051" i="16"/>
  <c r="Z2051" i="16" s="1"/>
  <c r="W2596" i="16"/>
  <c r="AB2596" i="16"/>
  <c r="AC2596" i="16" s="1"/>
  <c r="Y2596" i="16"/>
  <c r="Z2596" i="16" s="1"/>
  <c r="W2221" i="16"/>
  <c r="Y2221" i="16"/>
  <c r="Z2221" i="16" s="1"/>
  <c r="W1410" i="16"/>
  <c r="Y1410" i="16"/>
  <c r="Z1410" i="16" s="1"/>
  <c r="W1832" i="16"/>
  <c r="Y1832" i="16"/>
  <c r="Z1832" i="16" s="1"/>
  <c r="W2002" i="16"/>
  <c r="Y2002" i="16"/>
  <c r="Z2002" i="16" s="1"/>
  <c r="W2169" i="16"/>
  <c r="Y2169" i="16"/>
  <c r="Z2169" i="16" s="1"/>
  <c r="W1178" i="16"/>
  <c r="Y1178" i="16"/>
  <c r="Z1178" i="16" s="1"/>
  <c r="W1726" i="16"/>
  <c r="Y1726" i="16"/>
  <c r="Z1726" i="16" s="1"/>
  <c r="W2110" i="16"/>
  <c r="Y2110" i="16"/>
  <c r="Z2110" i="16" s="1"/>
  <c r="W800" i="16"/>
  <c r="Y800" i="16"/>
  <c r="Z800" i="16" s="1"/>
  <c r="W1407" i="16"/>
  <c r="Y1407" i="16"/>
  <c r="Z1407" i="16" s="1"/>
  <c r="W1145" i="16"/>
  <c r="Y1145" i="16"/>
  <c r="Z1145" i="16" s="1"/>
  <c r="W2021" i="16"/>
  <c r="Y2021" i="16"/>
  <c r="Z2021" i="16" s="1"/>
  <c r="W2172" i="16"/>
  <c r="Y2172" i="16"/>
  <c r="Z2172" i="16" s="1"/>
  <c r="W1194" i="16"/>
  <c r="Y1194" i="16"/>
  <c r="Z1194" i="16" s="1"/>
  <c r="W1730" i="16"/>
  <c r="Y1730" i="16"/>
  <c r="Z1730" i="16" s="1"/>
  <c r="W1969" i="16"/>
  <c r="Y1969" i="16"/>
  <c r="Z1969" i="16" s="1"/>
  <c r="W2112" i="16"/>
  <c r="Y2112" i="16"/>
  <c r="Z2112" i="16" s="1"/>
  <c r="W2079" i="16"/>
  <c r="Y2079" i="16"/>
  <c r="Z2079" i="16" s="1"/>
  <c r="W1448" i="16"/>
  <c r="Y1448" i="16"/>
  <c r="Z1448" i="16" s="1"/>
  <c r="W1616" i="16"/>
  <c r="Y1616" i="16"/>
  <c r="Z1616" i="16" s="1"/>
  <c r="W1303" i="16"/>
  <c r="Y1303" i="16"/>
  <c r="Z1303" i="16" s="1"/>
  <c r="W1517" i="16"/>
  <c r="Y1517" i="16"/>
  <c r="Z1517" i="16" s="1"/>
  <c r="W1896" i="16"/>
  <c r="Y1896" i="16"/>
  <c r="Z1896" i="16" s="1"/>
  <c r="W2050" i="16"/>
  <c r="Y2050" i="16"/>
  <c r="Z2050" i="16" s="1"/>
  <c r="W2217" i="16"/>
  <c r="Y2217" i="16"/>
  <c r="Z2217" i="16" s="1"/>
  <c r="W1398" i="16"/>
  <c r="Y1398" i="16"/>
  <c r="Z1398" i="16" s="1"/>
  <c r="W1816" i="16"/>
  <c r="Y1816" i="16"/>
  <c r="Z1816" i="16" s="1"/>
  <c r="W2214" i="16"/>
  <c r="Y2214" i="16"/>
  <c r="Z2214" i="16" s="1"/>
  <c r="W1152" i="16"/>
  <c r="Y1152" i="16"/>
  <c r="Z1152" i="16" s="1"/>
  <c r="W1593" i="16"/>
  <c r="Y1593" i="16"/>
  <c r="Z1593" i="16" s="1"/>
  <c r="W953" i="16"/>
  <c r="Y953" i="16"/>
  <c r="Z953" i="16" s="1"/>
  <c r="W2156" i="16"/>
  <c r="Y2156" i="16"/>
  <c r="Z2156" i="16" s="1"/>
  <c r="W1080" i="16"/>
  <c r="Y1080" i="16"/>
  <c r="Z1080" i="16" s="1"/>
  <c r="W1688" i="16"/>
  <c r="Y1688" i="16"/>
  <c r="Z1688" i="16" s="1"/>
  <c r="W1952" i="16"/>
  <c r="Y1952" i="16"/>
  <c r="Z1952" i="16" s="1"/>
  <c r="W2096" i="16"/>
  <c r="Y2096" i="16"/>
  <c r="Z2096" i="16" s="1"/>
  <c r="W2031" i="16"/>
  <c r="Y2031" i="16"/>
  <c r="Z2031" i="16" s="1"/>
  <c r="W1246" i="16"/>
  <c r="Y1246" i="16"/>
  <c r="Z1246" i="16" s="1"/>
  <c r="W1552" i="16"/>
  <c r="Y1552" i="16"/>
  <c r="Z1552" i="16" s="1"/>
  <c r="W1190" i="16"/>
  <c r="Y1190" i="16"/>
  <c r="Z1190" i="16" s="1"/>
  <c r="W1437" i="16"/>
  <c r="Y1437" i="16"/>
  <c r="Z1437" i="16" s="1"/>
  <c r="W1874" i="16"/>
  <c r="Y1874" i="16"/>
  <c r="Z1874" i="16" s="1"/>
  <c r="W2034" i="16"/>
  <c r="Y2034" i="16"/>
  <c r="Z2034" i="16" s="1"/>
  <c r="W2201" i="16"/>
  <c r="Y2201" i="16"/>
  <c r="Z2201" i="16" s="1"/>
  <c r="W1322" i="16"/>
  <c r="Y1322" i="16"/>
  <c r="Z1322" i="16" s="1"/>
  <c r="W1793" i="16"/>
  <c r="Y1793" i="16"/>
  <c r="Z1793" i="16" s="1"/>
  <c r="W2174" i="16"/>
  <c r="Y2174" i="16"/>
  <c r="Z2174" i="16" s="1"/>
  <c r="W1062" i="16"/>
  <c r="Y1062" i="16"/>
  <c r="Z1062" i="16" s="1"/>
  <c r="W1540" i="16"/>
  <c r="Y1540" i="16"/>
  <c r="Z1540" i="16" s="1"/>
  <c r="W1225" i="16"/>
  <c r="Y1225" i="16"/>
  <c r="Z1225" i="16" s="1"/>
  <c r="W2053" i="16"/>
  <c r="Y2053" i="16"/>
  <c r="Z2053" i="16" s="1"/>
  <c r="W2204" i="16"/>
  <c r="Y2204" i="16"/>
  <c r="Z2204" i="16" s="1"/>
  <c r="W1336" i="16"/>
  <c r="Y1336" i="16"/>
  <c r="Z1336" i="16" s="1"/>
  <c r="W1796" i="16"/>
  <c r="Y1796" i="16"/>
  <c r="Z1796" i="16" s="1"/>
  <c r="W2001" i="16"/>
  <c r="Y2001" i="16"/>
  <c r="Z2001" i="16" s="1"/>
  <c r="W2144" i="16"/>
  <c r="Y2144" i="16"/>
  <c r="Z2144" i="16" s="1"/>
  <c r="W2143" i="16"/>
  <c r="Y2143" i="16"/>
  <c r="Z2143" i="16" s="1"/>
  <c r="W1673" i="16"/>
  <c r="Y1673" i="16"/>
  <c r="Z1673" i="16" s="1"/>
  <c r="W1702" i="16"/>
  <c r="Y1702" i="16"/>
  <c r="Z1702" i="16" s="1"/>
  <c r="W1431" i="16"/>
  <c r="Y1431" i="16"/>
  <c r="Z1431" i="16" s="1"/>
  <c r="W1629" i="16"/>
  <c r="Y1629" i="16"/>
  <c r="Z1629" i="16" s="1"/>
  <c r="W1937" i="16"/>
  <c r="Y1937" i="16"/>
  <c r="Z1937" i="16" s="1"/>
  <c r="W2082" i="16"/>
  <c r="Y2082" i="16"/>
  <c r="Z2082" i="16" s="1"/>
  <c r="W2249" i="16"/>
  <c r="Y2249" i="16"/>
  <c r="Z2249" i="16" s="1"/>
  <c r="W1513" i="16"/>
  <c r="Y1513" i="16"/>
  <c r="Z1513" i="16" s="1"/>
  <c r="W1858" i="16"/>
  <c r="Y1858" i="16"/>
  <c r="Z1858" i="16" s="1"/>
  <c r="W2278" i="16"/>
  <c r="Y2278" i="16"/>
  <c r="Z2278" i="16" s="1"/>
  <c r="W1273" i="16"/>
  <c r="Y1273" i="16"/>
  <c r="Z1273" i="16" s="1"/>
  <c r="W1721" i="16"/>
  <c r="Y1721" i="16"/>
  <c r="Z1721" i="16" s="1"/>
  <c r="W1154" i="16"/>
  <c r="Y1154" i="16"/>
  <c r="Z1154" i="16" s="1"/>
  <c r="W1457" i="16"/>
  <c r="Y1457" i="16"/>
  <c r="Z1457" i="16" s="1"/>
  <c r="W1836" i="16"/>
  <c r="Y1836" i="16"/>
  <c r="Z1836" i="16" s="1"/>
  <c r="W2014" i="16"/>
  <c r="Y2014" i="16"/>
  <c r="Z2014" i="16" s="1"/>
  <c r="W1632" i="16"/>
  <c r="Y1632" i="16"/>
  <c r="Z1632" i="16" s="1"/>
  <c r="W947" i="16"/>
  <c r="Y947" i="16"/>
  <c r="Z947" i="16" s="1"/>
  <c r="W1305" i="16"/>
  <c r="Y1305" i="16"/>
  <c r="Z1305" i="16" s="1"/>
  <c r="W1191" i="16"/>
  <c r="Y1191" i="16"/>
  <c r="Z1191" i="16" s="1"/>
  <c r="W1676" i="16"/>
  <c r="Y1676" i="16"/>
  <c r="Z1676" i="16" s="1"/>
  <c r="W963" i="16"/>
  <c r="Y963" i="16"/>
  <c r="Z963" i="16" s="1"/>
  <c r="W1125" i="16"/>
  <c r="Y1125" i="16"/>
  <c r="Z1125" i="16" s="1"/>
  <c r="W1771" i="16"/>
  <c r="Y1771" i="16"/>
  <c r="Z1771" i="16" s="1"/>
  <c r="W2111" i="16"/>
  <c r="Y2111" i="16"/>
  <c r="Z2111" i="16" s="1"/>
  <c r="W2262" i="16"/>
  <c r="Y2262" i="16"/>
  <c r="Z2262" i="16" s="1"/>
  <c r="W1564" i="16"/>
  <c r="Y1564" i="16"/>
  <c r="Z1564" i="16" s="1"/>
  <c r="W1248" i="16"/>
  <c r="Y1248" i="16"/>
  <c r="Z1248" i="16" s="1"/>
  <c r="W1658" i="16"/>
  <c r="Y1658" i="16"/>
  <c r="Z1658" i="16" s="1"/>
  <c r="W1679" i="16"/>
  <c r="Y1679" i="16"/>
  <c r="Z1679" i="16" s="1"/>
  <c r="W1378" i="16"/>
  <c r="Y1378" i="16"/>
  <c r="Z1378" i="16" s="1"/>
  <c r="W1122" i="16"/>
  <c r="Y1122" i="16"/>
  <c r="Z1122" i="16" s="1"/>
  <c r="W1565" i="16"/>
  <c r="Y1565" i="16"/>
  <c r="Z1565" i="16" s="1"/>
  <c r="W1196" i="16"/>
  <c r="Y1196" i="16"/>
  <c r="Z1196" i="16" s="1"/>
  <c r="W1628" i="16"/>
  <c r="Y1628" i="16"/>
  <c r="Z1628" i="16" s="1"/>
  <c r="W1900" i="16"/>
  <c r="Y1900" i="16"/>
  <c r="Z1900" i="16" s="1"/>
  <c r="W2062" i="16"/>
  <c r="Y2062" i="16"/>
  <c r="Z2062" i="16" s="1"/>
  <c r="W1696" i="16"/>
  <c r="Y1696" i="16"/>
  <c r="Z1696" i="16" s="1"/>
  <c r="W280" i="16"/>
  <c r="Y280" i="16"/>
  <c r="Z280" i="16" s="1"/>
  <c r="W1383" i="16"/>
  <c r="Y1383" i="16"/>
  <c r="Z1383" i="16" s="1"/>
  <c r="W1304" i="16"/>
  <c r="Y1304" i="16"/>
  <c r="Z1304" i="16" s="1"/>
  <c r="W1761" i="16"/>
  <c r="Y1761" i="16"/>
  <c r="Z1761" i="16" s="1"/>
  <c r="W1073" i="16"/>
  <c r="Y1073" i="16"/>
  <c r="Z1073" i="16" s="1"/>
  <c r="W1221" i="16"/>
  <c r="Y1221" i="16"/>
  <c r="Z1221" i="16" s="1"/>
  <c r="W1867" i="16"/>
  <c r="Y1867" i="16"/>
  <c r="Z1867" i="16" s="1"/>
  <c r="W1276" i="16"/>
  <c r="Y1276" i="16"/>
  <c r="Z1276" i="16" s="1"/>
  <c r="W1315" i="16"/>
  <c r="Y1315" i="16"/>
  <c r="Z1315" i="16" s="1"/>
  <c r="W1819" i="16"/>
  <c r="Y1819" i="16"/>
  <c r="Z1819" i="16" s="1"/>
  <c r="W1244" i="16"/>
  <c r="Y1244" i="16"/>
  <c r="Z1244" i="16" s="1"/>
  <c r="W1235" i="16"/>
  <c r="Y1235" i="16"/>
  <c r="Z1235" i="16" s="1"/>
  <c r="W1940" i="16"/>
  <c r="Y1940" i="16"/>
  <c r="Z1940" i="16" s="1"/>
  <c r="W2094" i="16"/>
  <c r="Y2094" i="16"/>
  <c r="Z2094" i="16" s="1"/>
  <c r="W1738" i="16"/>
  <c r="Y1738" i="16"/>
  <c r="Z1738" i="16" s="1"/>
  <c r="W536" i="16"/>
  <c r="Y536" i="16"/>
  <c r="Z536" i="16" s="1"/>
  <c r="W1433" i="16"/>
  <c r="Y1433" i="16"/>
  <c r="Z1433" i="16" s="1"/>
  <c r="W1382" i="16"/>
  <c r="Y1382" i="16"/>
  <c r="Z1382" i="16" s="1"/>
  <c r="W845" i="16"/>
  <c r="Y845" i="16"/>
  <c r="Z845" i="16" s="1"/>
  <c r="W1129" i="16"/>
  <c r="Y1129" i="16"/>
  <c r="Z1129" i="16" s="1"/>
  <c r="W1285" i="16"/>
  <c r="Y1285" i="16"/>
  <c r="Z1285" i="16" s="1"/>
  <c r="W1899" i="16"/>
  <c r="Y1899" i="16"/>
  <c r="Z1899" i="16" s="1"/>
  <c r="W1324" i="16"/>
  <c r="Y1324" i="16"/>
  <c r="Z1324" i="16" s="1"/>
  <c r="W1443" i="16"/>
  <c r="Y1443" i="16"/>
  <c r="Z1443" i="16" s="1"/>
  <c r="W1239" i="16"/>
  <c r="Y1239" i="16"/>
  <c r="Z1239" i="16" s="1"/>
  <c r="W1126" i="16"/>
  <c r="Y1126" i="16"/>
  <c r="Z1126" i="16" s="1"/>
  <c r="W1186" i="16"/>
  <c r="Y1186" i="16"/>
  <c r="Z1186" i="16" s="1"/>
  <c r="W1837" i="16"/>
  <c r="Y1837" i="16"/>
  <c r="Z1837" i="16" s="1"/>
  <c r="W1165" i="16"/>
  <c r="Y1165" i="16"/>
  <c r="Z1165" i="16" s="1"/>
  <c r="W966" i="16"/>
  <c r="Y966" i="16"/>
  <c r="Z966" i="16" s="1"/>
  <c r="W1331" i="16"/>
  <c r="Y1331" i="16"/>
  <c r="Z1331" i="16" s="1"/>
  <c r="W970" i="16"/>
  <c r="Y970" i="16"/>
  <c r="Z970" i="16" s="1"/>
  <c r="W251" i="16"/>
  <c r="Y251" i="16"/>
  <c r="Z251" i="16" s="1"/>
  <c r="W882" i="16"/>
  <c r="Y882" i="16"/>
  <c r="Z882" i="16" s="1"/>
  <c r="W440" i="16"/>
  <c r="Y440" i="16"/>
  <c r="Z440" i="16" s="1"/>
  <c r="W552" i="16"/>
  <c r="Y552" i="16"/>
  <c r="Z552" i="16" s="1"/>
  <c r="W1740" i="16"/>
  <c r="Y1740" i="16"/>
  <c r="Z1740" i="16" s="1"/>
  <c r="W1241" i="16"/>
  <c r="Y1241" i="16"/>
  <c r="Z1241" i="16" s="1"/>
  <c r="W1669" i="16"/>
  <c r="Y1669" i="16"/>
  <c r="Z1669" i="16" s="1"/>
  <c r="W920" i="16"/>
  <c r="Y920" i="16"/>
  <c r="Z920" i="16" s="1"/>
  <c r="W1835" i="16"/>
  <c r="Y1835" i="16"/>
  <c r="Z1835" i="16" s="1"/>
  <c r="W1163" i="16"/>
  <c r="Y1163" i="16"/>
  <c r="Z1163" i="16" s="1"/>
  <c r="W1043" i="16"/>
  <c r="Y1043" i="16"/>
  <c r="Z1043" i="16" s="1"/>
  <c r="W459" i="16"/>
  <c r="Y459" i="16"/>
  <c r="Z459" i="16" s="1"/>
  <c r="W349" i="16"/>
  <c r="Y349" i="16"/>
  <c r="Z349" i="16" s="1"/>
  <c r="W234" i="16"/>
  <c r="Y234" i="16"/>
  <c r="Z234" i="16" s="1"/>
  <c r="W857" i="16"/>
  <c r="Y857" i="16"/>
  <c r="Z857" i="16" s="1"/>
  <c r="W639" i="16"/>
  <c r="Y639" i="16"/>
  <c r="Z639" i="16" s="1"/>
  <c r="W613" i="16"/>
  <c r="Y613" i="16"/>
  <c r="Z613" i="16" s="1"/>
  <c r="W1109" i="16"/>
  <c r="Y1109" i="16"/>
  <c r="Z1109" i="16" s="1"/>
  <c r="W848" i="16"/>
  <c r="Y848" i="16"/>
  <c r="Z848" i="16" s="1"/>
  <c r="W703" i="16"/>
  <c r="Y703" i="16"/>
  <c r="Z703" i="16" s="1"/>
  <c r="W741" i="16"/>
  <c r="Y741" i="16"/>
  <c r="Z741" i="16" s="1"/>
  <c r="W1101" i="16"/>
  <c r="Y1101" i="16"/>
  <c r="Z1101" i="16" s="1"/>
  <c r="W793" i="16"/>
  <c r="Y793" i="16"/>
  <c r="Z793" i="16" s="1"/>
  <c r="W345" i="16"/>
  <c r="Y345" i="16"/>
  <c r="Z345" i="16" s="1"/>
  <c r="W566" i="16"/>
  <c r="Y566" i="16"/>
  <c r="Z566" i="16" s="1"/>
  <c r="W1093" i="16"/>
  <c r="Y1093" i="16"/>
  <c r="Z1093" i="16" s="1"/>
  <c r="W784" i="16"/>
  <c r="Y784" i="16"/>
  <c r="Z784" i="16" s="1"/>
  <c r="W409" i="16"/>
  <c r="Y409" i="16"/>
  <c r="Z409" i="16" s="1"/>
  <c r="W630" i="16"/>
  <c r="Y630" i="16"/>
  <c r="Z630" i="16" s="1"/>
  <c r="W1067" i="16"/>
  <c r="Y1067" i="16"/>
  <c r="Z1067" i="16" s="1"/>
  <c r="W810" i="16"/>
  <c r="Y810" i="16"/>
  <c r="Z810" i="16" s="1"/>
  <c r="W756" i="16"/>
  <c r="Y756" i="16"/>
  <c r="Z756" i="16" s="1"/>
  <c r="W1179" i="16"/>
  <c r="Y1179" i="16"/>
  <c r="Z1179" i="16" s="1"/>
  <c r="W1059" i="16"/>
  <c r="Y1059" i="16"/>
  <c r="Z1059" i="16" s="1"/>
  <c r="W874" i="16"/>
  <c r="Y874" i="16"/>
  <c r="Z874" i="16" s="1"/>
  <c r="W884" i="16"/>
  <c r="Y884" i="16"/>
  <c r="Z884" i="16" s="1"/>
  <c r="W268" i="16"/>
  <c r="Y268" i="16"/>
  <c r="Z268" i="16" s="1"/>
  <c r="W1469" i="16"/>
  <c r="Y1469" i="16"/>
  <c r="Z1469" i="16" s="1"/>
  <c r="W825" i="16"/>
  <c r="Y825" i="16"/>
  <c r="Z825" i="16" s="1"/>
  <c r="W837" i="16"/>
  <c r="Y837" i="16"/>
  <c r="Z837" i="16" s="1"/>
  <c r="W1475" i="16"/>
  <c r="Y1475" i="16"/>
  <c r="Z1475" i="16" s="1"/>
  <c r="W905" i="16"/>
  <c r="Y905" i="16"/>
  <c r="Z905" i="16" s="1"/>
  <c r="W1019" i="16"/>
  <c r="Y1019" i="16"/>
  <c r="Z1019" i="16" s="1"/>
  <c r="W401" i="16"/>
  <c r="Y401" i="16"/>
  <c r="Z401" i="16" s="1"/>
  <c r="W767" i="16"/>
  <c r="Y767" i="16"/>
  <c r="Z767" i="16" s="1"/>
  <c r="W609" i="16"/>
  <c r="Y609" i="16"/>
  <c r="Z609" i="16" s="1"/>
  <c r="W429" i="16"/>
  <c r="Y429" i="16"/>
  <c r="Z429" i="16" s="1"/>
  <c r="W1781" i="16"/>
  <c r="Y1781" i="16"/>
  <c r="Z1781" i="16" s="1"/>
  <c r="W1269" i="16"/>
  <c r="Y1269" i="16"/>
  <c r="Z1269" i="16" s="1"/>
  <c r="W1284" i="16"/>
  <c r="Y1284" i="16"/>
  <c r="Z1284" i="16" s="1"/>
  <c r="W1787" i="16"/>
  <c r="Y1787" i="16"/>
  <c r="Z1787" i="16" s="1"/>
  <c r="W1275" i="16"/>
  <c r="Y1275" i="16"/>
  <c r="Z1275" i="16" s="1"/>
  <c r="W1077" i="16"/>
  <c r="Y1077" i="16"/>
  <c r="Z1077" i="16" s="1"/>
  <c r="W249" i="16"/>
  <c r="Y249" i="16"/>
  <c r="Z249" i="16" s="1"/>
  <c r="W843" i="16"/>
  <c r="Y843" i="16"/>
  <c r="Z843" i="16" s="1"/>
  <c r="W659" i="16"/>
  <c r="Y659" i="16"/>
  <c r="Z659" i="16" s="1"/>
  <c r="W892" i="16"/>
  <c r="Y892" i="16"/>
  <c r="Z892" i="16" s="1"/>
  <c r="W314" i="16"/>
  <c r="Y314" i="16"/>
  <c r="Z314" i="16" s="1"/>
  <c r="W749" i="16"/>
  <c r="Y749" i="16"/>
  <c r="Z749" i="16" s="1"/>
  <c r="W522" i="16"/>
  <c r="Y522" i="16"/>
  <c r="Z522" i="16" s="1"/>
  <c r="W355" i="16"/>
  <c r="Y355" i="16"/>
  <c r="Z355" i="16" s="1"/>
  <c r="W677" i="16"/>
  <c r="Y677" i="16"/>
  <c r="Z677" i="16" s="1"/>
  <c r="W322" i="16"/>
  <c r="Y322" i="16"/>
  <c r="Z322" i="16" s="1"/>
  <c r="W450" i="16"/>
  <c r="Y450" i="16"/>
  <c r="Z450" i="16" s="1"/>
  <c r="W625" i="16"/>
  <c r="Y625" i="16"/>
  <c r="Z625" i="16" s="1"/>
  <c r="W313" i="16"/>
  <c r="Y313" i="16"/>
  <c r="Z313" i="16" s="1"/>
  <c r="W679" i="16"/>
  <c r="Y679" i="16"/>
  <c r="Z679" i="16" s="1"/>
  <c r="W367" i="16"/>
  <c r="Y367" i="16"/>
  <c r="Z367" i="16" s="1"/>
  <c r="W734" i="16"/>
  <c r="Y734" i="16"/>
  <c r="Z734" i="16" s="1"/>
  <c r="W173" i="16"/>
  <c r="Y173" i="16"/>
  <c r="Z173" i="16" s="1"/>
  <c r="W908" i="16"/>
  <c r="Y908" i="16"/>
  <c r="Z908" i="16" s="1"/>
  <c r="W596" i="16"/>
  <c r="Y596" i="16"/>
  <c r="Z596" i="16" s="1"/>
  <c r="W284" i="16"/>
  <c r="Y284" i="16"/>
  <c r="Z284" i="16" s="1"/>
  <c r="W643" i="16"/>
  <c r="Y643" i="16"/>
  <c r="Z643" i="16" s="1"/>
  <c r="W80" i="16"/>
  <c r="Y80" i="16"/>
  <c r="Z80" i="16" s="1"/>
  <c r="W190" i="16"/>
  <c r="Y190" i="16"/>
  <c r="Z190" i="16" s="1"/>
  <c r="W131" i="16"/>
  <c r="Y131" i="16"/>
  <c r="Z131" i="16" s="1"/>
  <c r="W772" i="16"/>
  <c r="Y772" i="16"/>
  <c r="Z772" i="16" s="1"/>
  <c r="W460" i="16"/>
  <c r="Y460" i="16"/>
  <c r="Z460" i="16" s="1"/>
  <c r="W819" i="16"/>
  <c r="Y819" i="16"/>
  <c r="Z819" i="16" s="1"/>
  <c r="W507" i="16"/>
  <c r="Y507" i="16"/>
  <c r="Z507" i="16" s="1"/>
  <c r="W866" i="16"/>
  <c r="Y866" i="16"/>
  <c r="Z866" i="16" s="1"/>
  <c r="W192" i="16"/>
  <c r="Y192" i="16"/>
  <c r="Z192" i="16" s="1"/>
  <c r="W148" i="16"/>
  <c r="Y148" i="16"/>
  <c r="Z148" i="16" s="1"/>
  <c r="W187" i="16"/>
  <c r="Y187" i="16"/>
  <c r="Z187" i="16" s="1"/>
  <c r="W903" i="16"/>
  <c r="Y903" i="16"/>
  <c r="Z903" i="16" s="1"/>
  <c r="W591" i="16"/>
  <c r="Y591" i="16"/>
  <c r="Z591" i="16" s="1"/>
  <c r="W471" i="16"/>
  <c r="Y471" i="16"/>
  <c r="Z471" i="16" s="1"/>
  <c r="W838" i="16"/>
  <c r="Y838" i="16"/>
  <c r="Z838" i="16" s="1"/>
  <c r="W526" i="16"/>
  <c r="Y526" i="16"/>
  <c r="Z526" i="16" s="1"/>
  <c r="W773" i="16"/>
  <c r="Y773" i="16"/>
  <c r="Z773" i="16" s="1"/>
  <c r="W461" i="16"/>
  <c r="Y461" i="16"/>
  <c r="Z461" i="16" s="1"/>
  <c r="W839" i="16"/>
  <c r="Y839" i="16"/>
  <c r="Z839" i="16" s="1"/>
  <c r="W569" i="16"/>
  <c r="Y569" i="16"/>
  <c r="Z569" i="16" s="1"/>
  <c r="W935" i="16"/>
  <c r="Y935" i="16"/>
  <c r="Z935" i="16" s="1"/>
  <c r="W623" i="16"/>
  <c r="Y623" i="16"/>
  <c r="Z623" i="16" s="1"/>
  <c r="W311" i="16"/>
  <c r="Y311" i="16"/>
  <c r="Z311" i="16" s="1"/>
  <c r="W228" i="16"/>
  <c r="Y228" i="16"/>
  <c r="Z228" i="16" s="1"/>
  <c r="W175" i="16"/>
  <c r="Y175" i="16"/>
  <c r="Z175" i="16" s="1"/>
  <c r="W141" i="16"/>
  <c r="Y141" i="16"/>
  <c r="Z141" i="16" s="1"/>
  <c r="W669" i="16"/>
  <c r="Y669" i="16"/>
  <c r="Z669" i="16" s="1"/>
  <c r="W421" i="16"/>
  <c r="Y421" i="16"/>
  <c r="Z421" i="16" s="1"/>
  <c r="W301" i="16"/>
  <c r="Y301" i="16"/>
  <c r="Z301" i="16" s="1"/>
  <c r="W652" i="16"/>
  <c r="Y652" i="16"/>
  <c r="Z652" i="16" s="1"/>
  <c r="W340" i="16"/>
  <c r="Y340" i="16"/>
  <c r="Z340" i="16" s="1"/>
  <c r="W699" i="16"/>
  <c r="Y699" i="16"/>
  <c r="Z699" i="16" s="1"/>
  <c r="W387" i="16"/>
  <c r="Y387" i="16"/>
  <c r="Z387" i="16" s="1"/>
  <c r="W144" i="16"/>
  <c r="Y144" i="16"/>
  <c r="Z144" i="16" s="1"/>
  <c r="W100" i="16"/>
  <c r="Y100" i="16"/>
  <c r="Z100" i="16" s="1"/>
  <c r="W222" i="16"/>
  <c r="Y222" i="16"/>
  <c r="Z222" i="16" s="1"/>
  <c r="W163" i="16"/>
  <c r="Y163" i="16"/>
  <c r="Z163" i="16" s="1"/>
  <c r="W351" i="16"/>
  <c r="Y351" i="16"/>
  <c r="Z351" i="16" s="1"/>
  <c r="W718" i="16"/>
  <c r="Y718" i="16"/>
  <c r="Z718" i="16" s="1"/>
  <c r="W406" i="16"/>
  <c r="Y406" i="16"/>
  <c r="Z406" i="16" s="1"/>
  <c r="W653" i="16"/>
  <c r="Y653" i="16"/>
  <c r="Z653" i="16" s="1"/>
  <c r="W185" i="16"/>
  <c r="Y185" i="16"/>
  <c r="Z185" i="16" s="1"/>
  <c r="W193" i="16"/>
  <c r="Y193" i="16"/>
  <c r="Z193" i="16" s="1"/>
  <c r="W911" i="16"/>
  <c r="Y911" i="16"/>
  <c r="Z911" i="16" s="1"/>
  <c r="W274" i="16"/>
  <c r="Y274" i="16"/>
  <c r="Z274" i="16" s="1"/>
  <c r="W449" i="16"/>
  <c r="Y449" i="16"/>
  <c r="Z449" i="16" s="1"/>
  <c r="W815" i="16"/>
  <c r="Y815" i="16"/>
  <c r="Z815" i="16" s="1"/>
  <c r="W503" i="16"/>
  <c r="Y503" i="16"/>
  <c r="Z503" i="16" s="1"/>
  <c r="W184" i="16"/>
  <c r="Y184" i="16"/>
  <c r="Z184" i="16" s="1"/>
  <c r="W127" i="16"/>
  <c r="Y127" i="16"/>
  <c r="Z127" i="16" s="1"/>
  <c r="W117" i="16"/>
  <c r="Y117" i="16"/>
  <c r="Z117" i="16" s="1"/>
  <c r="T1055" i="16"/>
  <c r="T1930" i="16"/>
  <c r="T1780" i="16"/>
  <c r="T554" i="16"/>
  <c r="T235" i="16"/>
  <c r="T1878" i="16"/>
  <c r="T89" i="16"/>
  <c r="T699" i="16"/>
  <c r="W2369" i="16"/>
  <c r="AB2369" i="16"/>
  <c r="AC2369" i="16" s="1"/>
  <c r="Y2369" i="16"/>
  <c r="Z2369" i="16" s="1"/>
  <c r="W2419" i="16"/>
  <c r="AB2419" i="16"/>
  <c r="AC2419" i="16" s="1"/>
  <c r="Y2419" i="16"/>
  <c r="Z2419" i="16" s="1"/>
  <c r="W2576" i="16"/>
  <c r="AB2576" i="16"/>
  <c r="AC2576" i="16" s="1"/>
  <c r="Y2576" i="16"/>
  <c r="Z2576" i="16" s="1"/>
  <c r="W2314" i="16"/>
  <c r="AB2314" i="16"/>
  <c r="AC2314" i="16" s="1"/>
  <c r="Y2314" i="16"/>
  <c r="Z2314" i="16" s="1"/>
  <c r="W2469" i="16"/>
  <c r="AB2469" i="16"/>
  <c r="AC2469" i="16" s="1"/>
  <c r="Y2469" i="16"/>
  <c r="Z2469" i="16" s="1"/>
  <c r="W2341" i="16"/>
  <c r="AB2341" i="16"/>
  <c r="AC2341" i="16" s="1"/>
  <c r="Y2341" i="16"/>
  <c r="Z2341" i="16" s="1"/>
  <c r="T217" i="16"/>
  <c r="T614" i="16"/>
  <c r="W2593" i="16"/>
  <c r="AB2593" i="16"/>
  <c r="AC2593" i="16" s="1"/>
  <c r="Y2593" i="16"/>
  <c r="Z2593" i="16" s="1"/>
  <c r="W1639" i="16"/>
  <c r="Y1639" i="16"/>
  <c r="Z1639" i="16" s="1"/>
  <c r="W2408" i="16"/>
  <c r="AB2408" i="16"/>
  <c r="AC2408" i="16" s="1"/>
  <c r="Y2408" i="16"/>
  <c r="Z2408" i="16" s="1"/>
  <c r="W2558" i="16"/>
  <c r="AB2558" i="16"/>
  <c r="AC2558" i="16" s="1"/>
  <c r="Y2558" i="16"/>
  <c r="Z2558" i="16" s="1"/>
  <c r="W2171" i="16"/>
  <c r="Y2171" i="16"/>
  <c r="Z2171" i="16" s="1"/>
  <c r="W2133" i="16"/>
  <c r="Y2133" i="16"/>
  <c r="Z2133" i="16" s="1"/>
  <c r="W2545" i="16"/>
  <c r="AB2545" i="16"/>
  <c r="AC2545" i="16" s="1"/>
  <c r="Y2545" i="16"/>
  <c r="Z2545" i="16" s="1"/>
  <c r="W2403" i="16"/>
  <c r="AB2403" i="16"/>
  <c r="AC2403" i="16" s="1"/>
  <c r="Y2403" i="16"/>
  <c r="Z2403" i="16" s="1"/>
  <c r="W2560" i="16"/>
  <c r="AB2560" i="16"/>
  <c r="AC2560" i="16" s="1"/>
  <c r="Y2560" i="16"/>
  <c r="Z2560" i="16" s="1"/>
  <c r="W2187" i="16"/>
  <c r="Y2187" i="16"/>
  <c r="Z2187" i="16" s="1"/>
  <c r="W2453" i="16"/>
  <c r="AB2453" i="16"/>
  <c r="AC2453" i="16" s="1"/>
  <c r="Y2453" i="16"/>
  <c r="Z2453" i="16" s="1"/>
  <c r="W2325" i="16"/>
  <c r="AB2325" i="16"/>
  <c r="AC2325" i="16" s="1"/>
  <c r="Y2325" i="16"/>
  <c r="Z2325" i="16" s="1"/>
  <c r="W1945" i="16"/>
  <c r="Y1945" i="16"/>
  <c r="Z1945" i="16" s="1"/>
  <c r="W2466" i="16"/>
  <c r="AB2466" i="16"/>
  <c r="AC2466" i="16" s="1"/>
  <c r="Y2466" i="16"/>
  <c r="Z2466" i="16" s="1"/>
  <c r="W2631" i="16"/>
  <c r="AB2631" i="16"/>
  <c r="AC2631" i="16" s="1"/>
  <c r="Y2631" i="16"/>
  <c r="Z2631" i="16" s="1"/>
  <c r="W2366" i="16"/>
  <c r="AB2366" i="16"/>
  <c r="AC2366" i="16" s="1"/>
  <c r="Y2366" i="16"/>
  <c r="Z2366" i="16" s="1"/>
  <c r="W2516" i="16"/>
  <c r="AB2516" i="16"/>
  <c r="AC2516" i="16" s="1"/>
  <c r="Y2516" i="16"/>
  <c r="Z2516" i="16" s="1"/>
  <c r="W1823" i="16"/>
  <c r="Y1823" i="16"/>
  <c r="Z1823" i="16" s="1"/>
  <c r="W2617" i="16"/>
  <c r="AB2617" i="16"/>
  <c r="AC2617" i="16" s="1"/>
  <c r="Y2617" i="16"/>
  <c r="Z2617" i="16" s="1"/>
  <c r="W2467" i="16"/>
  <c r="AB2467" i="16"/>
  <c r="AC2467" i="16" s="1"/>
  <c r="Y2467" i="16"/>
  <c r="Z2467" i="16" s="1"/>
  <c r="W2624" i="16"/>
  <c r="AB2624" i="16"/>
  <c r="AC2624" i="16" s="1"/>
  <c r="Y2624" i="16"/>
  <c r="Z2624" i="16" s="1"/>
  <c r="W2351" i="16"/>
  <c r="AB2351" i="16"/>
  <c r="AC2351" i="16" s="1"/>
  <c r="Y2351" i="16"/>
  <c r="Z2351" i="16" s="1"/>
  <c r="W2517" i="16"/>
  <c r="AB2517" i="16"/>
  <c r="AC2517" i="16" s="1"/>
  <c r="Y2517" i="16"/>
  <c r="Z2517" i="16" s="1"/>
  <c r="W1895" i="16"/>
  <c r="Y1895" i="16"/>
  <c r="Z1895" i="16" s="1"/>
  <c r="W2569" i="16"/>
  <c r="AB2569" i="16"/>
  <c r="AC2569" i="16" s="1"/>
  <c r="Y2569" i="16"/>
  <c r="Z2569" i="16" s="1"/>
  <c r="W2450" i="16"/>
  <c r="AB2450" i="16"/>
  <c r="AC2450" i="16" s="1"/>
  <c r="Y2450" i="16"/>
  <c r="Z2450" i="16" s="1"/>
  <c r="W2599" i="16"/>
  <c r="AB2599" i="16"/>
  <c r="AC2599" i="16" s="1"/>
  <c r="Y2599" i="16"/>
  <c r="Z2599" i="16" s="1"/>
  <c r="W2350" i="16"/>
  <c r="AB2350" i="16"/>
  <c r="AC2350" i="16" s="1"/>
  <c r="Y2350" i="16"/>
  <c r="Z2350" i="16" s="1"/>
  <c r="W2500" i="16"/>
  <c r="AB2500" i="16"/>
  <c r="AC2500" i="16" s="1"/>
  <c r="Y2500" i="16"/>
  <c r="Z2500" i="16" s="1"/>
  <c r="W1756" i="16"/>
  <c r="Y1756" i="16"/>
  <c r="Z1756" i="16" s="1"/>
  <c r="T273" i="16"/>
  <c r="W2611" i="16"/>
  <c r="AB2611" i="16"/>
  <c r="AC2611" i="16" s="1"/>
  <c r="Y2611" i="16"/>
  <c r="Z2611" i="16" s="1"/>
  <c r="W2345" i="16"/>
  <c r="AB2345" i="16"/>
  <c r="AC2345" i="16" s="1"/>
  <c r="Y2345" i="16"/>
  <c r="Z2345" i="16" s="1"/>
  <c r="W2511" i="16"/>
  <c r="AB2511" i="16"/>
  <c r="AC2511" i="16" s="1"/>
  <c r="Y2511" i="16"/>
  <c r="Z2511" i="16" s="1"/>
  <c r="W1831" i="16"/>
  <c r="Y1831" i="16"/>
  <c r="Z1831" i="16" s="1"/>
  <c r="W2396" i="16"/>
  <c r="AB2396" i="16"/>
  <c r="AC2396" i="16" s="1"/>
  <c r="Y2396" i="16"/>
  <c r="Z2396" i="16" s="1"/>
  <c r="W1272" i="16"/>
  <c r="Y1272" i="16"/>
  <c r="Z1272" i="16" s="1"/>
  <c r="W2585" i="16"/>
  <c r="AB2585" i="16"/>
  <c r="AC2585" i="16" s="1"/>
  <c r="Y2585" i="16"/>
  <c r="Z2585" i="16" s="1"/>
  <c r="W2594" i="16"/>
  <c r="AB2594" i="16"/>
  <c r="AC2594" i="16" s="1"/>
  <c r="Y2594" i="16"/>
  <c r="Z2594" i="16" s="1"/>
  <c r="W2343" i="16"/>
  <c r="AB2343" i="16"/>
  <c r="AC2343" i="16" s="1"/>
  <c r="Y2343" i="16"/>
  <c r="Z2343" i="16" s="1"/>
  <c r="W2494" i="16"/>
  <c r="AB2494" i="16"/>
  <c r="AC2494" i="16" s="1"/>
  <c r="Y2494" i="16"/>
  <c r="Z2494" i="16" s="1"/>
  <c r="W1183" i="16"/>
  <c r="Y1183" i="16"/>
  <c r="Z1183" i="16" s="1"/>
  <c r="W2045" i="16"/>
  <c r="Y2045" i="16"/>
  <c r="Z2045" i="16" s="1"/>
  <c r="W2319" i="16"/>
  <c r="AB2319" i="16"/>
  <c r="AC2319" i="16" s="1"/>
  <c r="Y2319" i="16"/>
  <c r="Z2319" i="16" s="1"/>
  <c r="W1608" i="16"/>
  <c r="Y1608" i="16"/>
  <c r="Z1608" i="16" s="1"/>
  <c r="W2559" i="16"/>
  <c r="AB2559" i="16"/>
  <c r="AC2559" i="16" s="1"/>
  <c r="Y2559" i="16"/>
  <c r="Z2559" i="16" s="1"/>
  <c r="W2470" i="16"/>
  <c r="AB2470" i="16"/>
  <c r="AC2470" i="16" s="1"/>
  <c r="Y2470" i="16"/>
  <c r="Z2470" i="16" s="1"/>
  <c r="W2373" i="16"/>
  <c r="AB2373" i="16"/>
  <c r="AC2373" i="16" s="1"/>
  <c r="Y2373" i="16"/>
  <c r="Z2373" i="16" s="1"/>
  <c r="W2163" i="16"/>
  <c r="Y2163" i="16"/>
  <c r="Z2163" i="16" s="1"/>
  <c r="W1897" i="16"/>
  <c r="Y1897" i="16"/>
  <c r="Z1897" i="16" s="1"/>
  <c r="W2060" i="16"/>
  <c r="Y2060" i="16"/>
  <c r="Z2060" i="16" s="1"/>
  <c r="W2202" i="16"/>
  <c r="Y2202" i="16"/>
  <c r="Z2202" i="16" s="1"/>
  <c r="W1334" i="16"/>
  <c r="Y1334" i="16"/>
  <c r="Z1334" i="16" s="1"/>
  <c r="W1828" i="16"/>
  <c r="Y1828" i="16"/>
  <c r="Z1828" i="16" s="1"/>
  <c r="W2000" i="16"/>
  <c r="Y2000" i="16"/>
  <c r="Z2000" i="16" s="1"/>
  <c r="W1804" i="16"/>
  <c r="Y1804" i="16"/>
  <c r="Z1804" i="16" s="1"/>
  <c r="W1600" i="16"/>
  <c r="Y1600" i="16"/>
  <c r="Z1600" i="16" s="1"/>
  <c r="W1266" i="16"/>
  <c r="Y1266" i="16"/>
  <c r="Z1266" i="16" s="1"/>
  <c r="W1623" i="16"/>
  <c r="Y1623" i="16"/>
  <c r="Z1623" i="16" s="1"/>
  <c r="W2571" i="16"/>
  <c r="AB2571" i="16"/>
  <c r="AC2571" i="16" s="1"/>
  <c r="Y2571" i="16"/>
  <c r="Z2571" i="16" s="1"/>
  <c r="W2482" i="16"/>
  <c r="AB2482" i="16"/>
  <c r="AC2482" i="16" s="1"/>
  <c r="Y2482" i="16"/>
  <c r="Z2482" i="16" s="1"/>
  <c r="W2392" i="16"/>
  <c r="AB2392" i="16"/>
  <c r="AC2392" i="16" s="1"/>
  <c r="Y2392" i="16"/>
  <c r="Z2392" i="16" s="1"/>
  <c r="W2251" i="16"/>
  <c r="Y2251" i="16"/>
  <c r="Z2251" i="16" s="1"/>
  <c r="W2621" i="16"/>
  <c r="AB2621" i="16"/>
  <c r="AC2621" i="16" s="1"/>
  <c r="Y2621" i="16"/>
  <c r="Z2621" i="16" s="1"/>
  <c r="W2532" i="16"/>
  <c r="AB2532" i="16"/>
  <c r="AC2532" i="16" s="1"/>
  <c r="Y2532" i="16"/>
  <c r="Z2532" i="16" s="1"/>
  <c r="W2157" i="16"/>
  <c r="Y2157" i="16"/>
  <c r="Z2157" i="16" s="1"/>
  <c r="W1081" i="16"/>
  <c r="Y1081" i="16"/>
  <c r="Z1081" i="16" s="1"/>
  <c r="W1714" i="16"/>
  <c r="Y1714" i="16"/>
  <c r="Z1714" i="16" s="1"/>
  <c r="W1935" i="16"/>
  <c r="Y1935" i="16"/>
  <c r="Z1935" i="16" s="1"/>
  <c r="W2105" i="16"/>
  <c r="Y2105" i="16"/>
  <c r="Z2105" i="16" s="1"/>
  <c r="W2248" i="16"/>
  <c r="Y2248" i="16"/>
  <c r="Z2248" i="16" s="1"/>
  <c r="W1321" i="16"/>
  <c r="Y1321" i="16"/>
  <c r="Z1321" i="16" s="1"/>
  <c r="W1982" i="16"/>
  <c r="Y1982" i="16"/>
  <c r="Z1982" i="16" s="1"/>
  <c r="W408" i="16"/>
  <c r="Y408" i="16"/>
  <c r="Z408" i="16" s="1"/>
  <c r="W1127" i="16"/>
  <c r="Y1127" i="16"/>
  <c r="Z1127" i="16" s="1"/>
  <c r="W608" i="16"/>
  <c r="Y608" i="16"/>
  <c r="Z608" i="16" s="1"/>
  <c r="W1956" i="16"/>
  <c r="Y1956" i="16"/>
  <c r="Z1956" i="16" s="1"/>
  <c r="W2108" i="16"/>
  <c r="Y2108" i="16"/>
  <c r="Z2108" i="16" s="1"/>
  <c r="W2250" i="16"/>
  <c r="Y2250" i="16"/>
  <c r="Z2250" i="16" s="1"/>
  <c r="W1521" i="16"/>
  <c r="Y1521" i="16"/>
  <c r="Z1521" i="16" s="1"/>
  <c r="W1892" i="16"/>
  <c r="Y1892" i="16"/>
  <c r="Z1892" i="16" s="1"/>
  <c r="W2048" i="16"/>
  <c r="Y2048" i="16"/>
  <c r="Z2048" i="16" s="1"/>
  <c r="W1950" i="16"/>
  <c r="Y1950" i="16"/>
  <c r="Z1950" i="16" s="1"/>
  <c r="W1750" i="16"/>
  <c r="Y1750" i="16"/>
  <c r="Z1750" i="16" s="1"/>
  <c r="W1446" i="16"/>
  <c r="Y1446" i="16"/>
  <c r="Z1446" i="16" s="1"/>
  <c r="W881" i="16"/>
  <c r="Y881" i="16"/>
  <c r="Z881" i="16" s="1"/>
  <c r="W1293" i="16"/>
  <c r="Y1293" i="16"/>
  <c r="Z1293" i="16" s="1"/>
  <c r="W1810" i="16"/>
  <c r="Y1810" i="16"/>
  <c r="Z1810" i="16" s="1"/>
  <c r="W1986" i="16"/>
  <c r="Y1986" i="16"/>
  <c r="Z1986" i="16" s="1"/>
  <c r="W2153" i="16"/>
  <c r="Y2153" i="16"/>
  <c r="Z2153" i="16" s="1"/>
  <c r="W1038" i="16"/>
  <c r="Y1038" i="16"/>
  <c r="Z1038" i="16" s="1"/>
  <c r="W1652" i="16"/>
  <c r="Y1652" i="16"/>
  <c r="Z1652" i="16" s="1"/>
  <c r="W2086" i="16"/>
  <c r="Y2086" i="16"/>
  <c r="Z2086" i="16" s="1"/>
  <c r="W504" i="16"/>
  <c r="Y504" i="16"/>
  <c r="Z504" i="16" s="1"/>
  <c r="W1368" i="16"/>
  <c r="Y1368" i="16"/>
  <c r="Z1368" i="16" s="1"/>
  <c r="W1104" i="16"/>
  <c r="Y1104" i="16"/>
  <c r="Z1104" i="16" s="1"/>
  <c r="W2092" i="16"/>
  <c r="Y2092" i="16"/>
  <c r="Z2092" i="16" s="1"/>
  <c r="W2234" i="16"/>
  <c r="Y2234" i="16"/>
  <c r="Z2234" i="16" s="1"/>
  <c r="W1460" i="16"/>
  <c r="Y1460" i="16"/>
  <c r="Z1460" i="16" s="1"/>
  <c r="W1871" i="16"/>
  <c r="Y1871" i="16"/>
  <c r="Z1871" i="16" s="1"/>
  <c r="W2032" i="16"/>
  <c r="Y2032" i="16"/>
  <c r="Z2032" i="16" s="1"/>
  <c r="W1889" i="16"/>
  <c r="Y1889" i="16"/>
  <c r="Z1889" i="16" s="1"/>
  <c r="W1686" i="16"/>
  <c r="Y1686" i="16"/>
  <c r="Z1686" i="16" s="1"/>
  <c r="W1369" i="16"/>
  <c r="Y1369" i="16"/>
  <c r="Z1369" i="16" s="1"/>
  <c r="W1729" i="16"/>
  <c r="Y1729" i="16"/>
  <c r="Z1729" i="16" s="1"/>
  <c r="W1197" i="16"/>
  <c r="Y1197" i="16"/>
  <c r="Z1197" i="16" s="1"/>
  <c r="W1785" i="16"/>
  <c r="Y1785" i="16"/>
  <c r="Z1785" i="16" s="1"/>
  <c r="W1970" i="16"/>
  <c r="Y1970" i="16"/>
  <c r="Z1970" i="16" s="1"/>
  <c r="W2137" i="16"/>
  <c r="Y2137" i="16"/>
  <c r="Z2137" i="16" s="1"/>
  <c r="W2280" i="16"/>
  <c r="Y2280" i="16"/>
  <c r="Z2280" i="16" s="1"/>
  <c r="W1567" i="16"/>
  <c r="Y1567" i="16"/>
  <c r="Z1567" i="16" s="1"/>
  <c r="W2046" i="16"/>
  <c r="Y2046" i="16"/>
  <c r="Z2046" i="16" s="1"/>
  <c r="W1039" i="16"/>
  <c r="Y1039" i="16"/>
  <c r="Z1039" i="16" s="1"/>
  <c r="W1279" i="16"/>
  <c r="Y1279" i="16"/>
  <c r="Z1279" i="16" s="1"/>
  <c r="W1052" i="16"/>
  <c r="Y1052" i="16"/>
  <c r="Z1052" i="16" s="1"/>
  <c r="W1989" i="16"/>
  <c r="Y1989" i="16"/>
  <c r="Z1989" i="16" s="1"/>
  <c r="W2140" i="16"/>
  <c r="Y2140" i="16"/>
  <c r="Z2140" i="16" s="1"/>
  <c r="W2282" i="16"/>
  <c r="Y2282" i="16"/>
  <c r="Z2282" i="16" s="1"/>
  <c r="W1631" i="16"/>
  <c r="Y1631" i="16"/>
  <c r="Z1631" i="16" s="1"/>
  <c r="W1934" i="16"/>
  <c r="Y1934" i="16"/>
  <c r="Z1934" i="16" s="1"/>
  <c r="W2080" i="16"/>
  <c r="Y2080" i="16"/>
  <c r="Z2080" i="16" s="1"/>
  <c r="W2015" i="16"/>
  <c r="Y2015" i="16"/>
  <c r="Z2015" i="16" s="1"/>
  <c r="W1162" i="16"/>
  <c r="Y1162" i="16"/>
  <c r="Z1162" i="16" s="1"/>
  <c r="W1530" i="16"/>
  <c r="Y1530" i="16"/>
  <c r="Z1530" i="16" s="1"/>
  <c r="W1158" i="16"/>
  <c r="Y1158" i="16"/>
  <c r="Z1158" i="16" s="1"/>
  <c r="W1389" i="16"/>
  <c r="Y1389" i="16"/>
  <c r="Z1389" i="16" s="1"/>
  <c r="W1854" i="16"/>
  <c r="Y1854" i="16"/>
  <c r="Z1854" i="16" s="1"/>
  <c r="W2018" i="16"/>
  <c r="Y2018" i="16"/>
  <c r="Z2018" i="16" s="1"/>
  <c r="W2185" i="16"/>
  <c r="Y2185" i="16"/>
  <c r="Z2185" i="16" s="1"/>
  <c r="W1257" i="16"/>
  <c r="Y1257" i="16"/>
  <c r="Z1257" i="16" s="1"/>
  <c r="W1762" i="16"/>
  <c r="Y1762" i="16"/>
  <c r="Z1762" i="16" s="1"/>
  <c r="W2150" i="16"/>
  <c r="Y2150" i="16"/>
  <c r="Z2150" i="16" s="1"/>
  <c r="W998" i="16"/>
  <c r="Y998" i="16"/>
  <c r="Z998" i="16" s="1"/>
  <c r="W1487" i="16"/>
  <c r="Y1487" i="16"/>
  <c r="Z1487" i="16" s="1"/>
  <c r="W1201" i="16"/>
  <c r="Y1201" i="16"/>
  <c r="Z1201" i="16" s="1"/>
  <c r="W1167" i="16"/>
  <c r="Y1167" i="16"/>
  <c r="Z1167" i="16" s="1"/>
  <c r="W1724" i="16"/>
  <c r="Y1724" i="16"/>
  <c r="Z1724" i="16" s="1"/>
  <c r="W1948" i="16"/>
  <c r="Y1948" i="16"/>
  <c r="Z1948" i="16" s="1"/>
  <c r="W1546" i="16"/>
  <c r="Y1546" i="16"/>
  <c r="Z1546" i="16" s="1"/>
  <c r="W1114" i="16"/>
  <c r="Y1114" i="16"/>
  <c r="Z1114" i="16" s="1"/>
  <c r="W1192" i="16"/>
  <c r="Y1192" i="16"/>
  <c r="Z1192" i="16" s="1"/>
  <c r="W1007" i="16"/>
  <c r="Y1007" i="16"/>
  <c r="Z1007" i="16" s="1"/>
  <c r="W1548" i="16"/>
  <c r="Y1548" i="16"/>
  <c r="Z1548" i="16" s="1"/>
  <c r="W1941" i="16"/>
  <c r="Y1941" i="16"/>
  <c r="Z1941" i="16" s="1"/>
  <c r="W1004" i="16"/>
  <c r="Y1004" i="16"/>
  <c r="Z1004" i="16" s="1"/>
  <c r="W1643" i="16"/>
  <c r="Y1643" i="16"/>
  <c r="Z1643" i="16" s="1"/>
  <c r="W2047" i="16"/>
  <c r="Y2047" i="16"/>
  <c r="Z2047" i="16" s="1"/>
  <c r="W2198" i="16"/>
  <c r="Y2198" i="16"/>
  <c r="Z2198" i="16" s="1"/>
  <c r="W1311" i="16"/>
  <c r="Y1311" i="16"/>
  <c r="Z1311" i="16" s="1"/>
  <c r="W1120" i="16"/>
  <c r="Y1120" i="16"/>
  <c r="Z1120" i="16" s="1"/>
  <c r="W1574" i="16"/>
  <c r="Y1574" i="16"/>
  <c r="Z1574" i="16" s="1"/>
  <c r="W1572" i="16"/>
  <c r="Y1572" i="16"/>
  <c r="Z1572" i="16" s="1"/>
  <c r="W1222" i="16"/>
  <c r="Y1222" i="16"/>
  <c r="Z1222" i="16" s="1"/>
  <c r="W877" i="16"/>
  <c r="Y877" i="16"/>
  <c r="Z877" i="16" s="1"/>
  <c r="W1453" i="16"/>
  <c r="Y1453" i="16"/>
  <c r="Z1453" i="16" s="1"/>
  <c r="W1056" i="16"/>
  <c r="Y1056" i="16"/>
  <c r="Z1056" i="16" s="1"/>
  <c r="W1386" i="16"/>
  <c r="Y1386" i="16"/>
  <c r="Z1386" i="16" s="1"/>
  <c r="W1815" i="16"/>
  <c r="Y1815" i="16"/>
  <c r="Z1815" i="16" s="1"/>
  <c r="W1998" i="16"/>
  <c r="Y1998" i="16"/>
  <c r="Z1998" i="16" s="1"/>
  <c r="W1610" i="16"/>
  <c r="Y1610" i="16"/>
  <c r="Z1610" i="16" s="1"/>
  <c r="W648" i="16"/>
  <c r="Y648" i="16"/>
  <c r="Z648" i="16" s="1"/>
  <c r="W1280" i="16"/>
  <c r="Y1280" i="16"/>
  <c r="Z1280" i="16" s="1"/>
  <c r="W1159" i="16"/>
  <c r="Y1159" i="16"/>
  <c r="Z1159" i="16" s="1"/>
  <c r="W1633" i="16"/>
  <c r="Y1633" i="16"/>
  <c r="Z1633" i="16" s="1"/>
  <c r="W832" i="16"/>
  <c r="Y832" i="16"/>
  <c r="Z832" i="16" s="1"/>
  <c r="W1108" i="16"/>
  <c r="Y1108" i="16"/>
  <c r="Z1108" i="16" s="1"/>
  <c r="W1739" i="16"/>
  <c r="Y1739" i="16"/>
  <c r="Z1739" i="16" s="1"/>
  <c r="W1148" i="16"/>
  <c r="Y1148" i="16"/>
  <c r="Z1148" i="16" s="1"/>
  <c r="W1089" i="16"/>
  <c r="Y1089" i="16"/>
  <c r="Z1089" i="16" s="1"/>
  <c r="W1707" i="16"/>
  <c r="Y1707" i="16"/>
  <c r="Z1707" i="16" s="1"/>
  <c r="W1132" i="16"/>
  <c r="Y1132" i="16"/>
  <c r="Z1132" i="16" s="1"/>
  <c r="W1512" i="16"/>
  <c r="Y1512" i="16"/>
  <c r="Z1512" i="16" s="1"/>
  <c r="W1857" i="16"/>
  <c r="Y1857" i="16"/>
  <c r="Z1857" i="16" s="1"/>
  <c r="W2030" i="16"/>
  <c r="Y2030" i="16"/>
  <c r="Z2030" i="16" s="1"/>
  <c r="W1654" i="16"/>
  <c r="Y1654" i="16"/>
  <c r="Z1654" i="16" s="1"/>
  <c r="W996" i="16"/>
  <c r="Y996" i="16"/>
  <c r="Z996" i="16" s="1"/>
  <c r="W1330" i="16"/>
  <c r="Y1330" i="16"/>
  <c r="Z1330" i="16" s="1"/>
  <c r="W1254" i="16"/>
  <c r="Y1254" i="16"/>
  <c r="Z1254" i="16" s="1"/>
  <c r="W1697" i="16"/>
  <c r="Y1697" i="16"/>
  <c r="Z1697" i="16" s="1"/>
  <c r="W987" i="16"/>
  <c r="Y987" i="16"/>
  <c r="Z987" i="16" s="1"/>
  <c r="W1173" i="16"/>
  <c r="Y1173" i="16"/>
  <c r="Z1173" i="16" s="1"/>
  <c r="W1803" i="16"/>
  <c r="Y1803" i="16"/>
  <c r="Z1803" i="16" s="1"/>
  <c r="W1212" i="16"/>
  <c r="Y1212" i="16"/>
  <c r="Z1212" i="16" s="1"/>
  <c r="W1139" i="16"/>
  <c r="Y1139" i="16"/>
  <c r="Z1139" i="16" s="1"/>
  <c r="W1111" i="16"/>
  <c r="Y1111" i="16"/>
  <c r="Z1111" i="16" s="1"/>
  <c r="W957" i="16"/>
  <c r="Y957" i="16"/>
  <c r="Z957" i="16" s="1"/>
  <c r="W1042" i="16"/>
  <c r="Y1042" i="16"/>
  <c r="Z1042" i="16" s="1"/>
  <c r="W1757" i="16"/>
  <c r="Y1757" i="16"/>
  <c r="Z1757" i="16" s="1"/>
  <c r="W1057" i="16"/>
  <c r="Y1057" i="16"/>
  <c r="Z1057" i="16" s="1"/>
  <c r="W257" i="16"/>
  <c r="Y257" i="16"/>
  <c r="Z257" i="16" s="1"/>
  <c r="W1251" i="16"/>
  <c r="Y1251" i="16"/>
  <c r="Z1251" i="16" s="1"/>
  <c r="W496" i="16"/>
  <c r="Y496" i="16"/>
  <c r="Z496" i="16" s="1"/>
  <c r="W298" i="16"/>
  <c r="Y298" i="16"/>
  <c r="Z298" i="16" s="1"/>
  <c r="W851" i="16"/>
  <c r="Y851" i="16"/>
  <c r="Z851" i="16" s="1"/>
  <c r="W1689" i="16"/>
  <c r="Y1689" i="16"/>
  <c r="Z1689" i="16" s="1"/>
  <c r="W1614" i="16"/>
  <c r="Y1614" i="16"/>
  <c r="Z1614" i="16" s="1"/>
  <c r="W1655" i="16"/>
  <c r="Y1655" i="16"/>
  <c r="Z1655" i="16" s="1"/>
  <c r="W1177" i="16"/>
  <c r="Y1177" i="16"/>
  <c r="Z1177" i="16" s="1"/>
  <c r="W1573" i="16"/>
  <c r="Y1573" i="16"/>
  <c r="Z1573" i="16" s="1"/>
  <c r="W1428" i="16"/>
  <c r="Y1428" i="16"/>
  <c r="Z1428" i="16" s="1"/>
  <c r="W1755" i="16"/>
  <c r="Y1755" i="16"/>
  <c r="Z1755" i="16" s="1"/>
  <c r="W1055" i="16"/>
  <c r="Y1055" i="16"/>
  <c r="Z1055" i="16" s="1"/>
  <c r="W958" i="16"/>
  <c r="Y958" i="16"/>
  <c r="Z958" i="16" s="1"/>
  <c r="W428" i="16"/>
  <c r="Y428" i="16"/>
  <c r="Z428" i="16" s="1"/>
  <c r="W814" i="16"/>
  <c r="Y814" i="16"/>
  <c r="Z814" i="16" s="1"/>
  <c r="W1037" i="16"/>
  <c r="Y1037" i="16"/>
  <c r="Z1037" i="16" s="1"/>
  <c r="W336" i="16"/>
  <c r="Y336" i="16"/>
  <c r="Z336" i="16" s="1"/>
  <c r="W370" i="16"/>
  <c r="Y370" i="16"/>
  <c r="Z370" i="16" s="1"/>
  <c r="W1387" i="16"/>
  <c r="Y1387" i="16"/>
  <c r="Z1387" i="16" s="1"/>
  <c r="W1029" i="16"/>
  <c r="Y1029" i="16"/>
  <c r="Z1029" i="16" s="1"/>
  <c r="W272" i="16"/>
  <c r="Y272" i="16"/>
  <c r="Z272" i="16" s="1"/>
  <c r="W434" i="16"/>
  <c r="Y434" i="16"/>
  <c r="Z434" i="16" s="1"/>
  <c r="W1379" i="16"/>
  <c r="Y1379" i="16"/>
  <c r="Z1379" i="16" s="1"/>
  <c r="W1005" i="16"/>
  <c r="Y1005" i="16"/>
  <c r="Z1005" i="16" s="1"/>
  <c r="W263" i="16"/>
  <c r="Y263" i="16"/>
  <c r="Z263" i="16" s="1"/>
  <c r="W498" i="16"/>
  <c r="Y498" i="16"/>
  <c r="Z498" i="16" s="1"/>
  <c r="W1371" i="16"/>
  <c r="Y1371" i="16"/>
  <c r="Z1371" i="16" s="1"/>
  <c r="W997" i="16"/>
  <c r="Y997" i="16"/>
  <c r="Z997" i="16" s="1"/>
  <c r="W254" i="16"/>
  <c r="Y254" i="16"/>
  <c r="Z254" i="16" s="1"/>
  <c r="W562" i="16"/>
  <c r="Y562" i="16"/>
  <c r="Z562" i="16" s="1"/>
  <c r="W1106" i="16"/>
  <c r="Y1106" i="16"/>
  <c r="Z1106" i="16" s="1"/>
  <c r="W986" i="16"/>
  <c r="Y986" i="16"/>
  <c r="Z986" i="16" s="1"/>
  <c r="W907" i="16"/>
  <c r="Y907" i="16"/>
  <c r="Z907" i="16" s="1"/>
  <c r="W366" i="16"/>
  <c r="Y366" i="16"/>
  <c r="Z366" i="16" s="1"/>
  <c r="W1097" i="16"/>
  <c r="Y1097" i="16"/>
  <c r="Z1097" i="16" s="1"/>
  <c r="W977" i="16"/>
  <c r="Y977" i="16"/>
  <c r="Z977" i="16" s="1"/>
  <c r="W300" i="16"/>
  <c r="Y300" i="16"/>
  <c r="Z300" i="16" s="1"/>
  <c r="W430" i="16"/>
  <c r="Y430" i="16"/>
  <c r="Z430" i="16" s="1"/>
  <c r="W1917" i="16"/>
  <c r="Y1917" i="16"/>
  <c r="Z1917" i="16" s="1"/>
  <c r="W1405" i="16"/>
  <c r="Y1405" i="16"/>
  <c r="Z1405" i="16" s="1"/>
  <c r="W1420" i="16"/>
  <c r="Y1420" i="16"/>
  <c r="Z1420" i="16" s="1"/>
  <c r="W1923" i="16"/>
  <c r="Y1923" i="16"/>
  <c r="Z1923" i="16" s="1"/>
  <c r="W1411" i="16"/>
  <c r="Y1411" i="16"/>
  <c r="Z1411" i="16" s="1"/>
  <c r="W304" i="16"/>
  <c r="Y304" i="16"/>
  <c r="Z304" i="16" s="1"/>
  <c r="W949" i="16"/>
  <c r="Y949" i="16"/>
  <c r="Z949" i="16" s="1"/>
  <c r="W426" i="16"/>
  <c r="Y426" i="16"/>
  <c r="Z426" i="16" s="1"/>
  <c r="W729" i="16"/>
  <c r="Y729" i="16"/>
  <c r="Z729" i="16" s="1"/>
  <c r="W826" i="16"/>
  <c r="Y826" i="16"/>
  <c r="Z826" i="16" s="1"/>
  <c r="W894" i="16"/>
  <c r="Y894" i="16"/>
  <c r="Z894" i="16" s="1"/>
  <c r="W1717" i="16"/>
  <c r="Y1717" i="16"/>
  <c r="Z1717" i="16" s="1"/>
  <c r="W1205" i="16"/>
  <c r="Y1205" i="16"/>
  <c r="Z1205" i="16" s="1"/>
  <c r="W1220" i="16"/>
  <c r="Y1220" i="16"/>
  <c r="Z1220" i="16" s="1"/>
  <c r="W1723" i="16"/>
  <c r="Y1723" i="16"/>
  <c r="Z1723" i="16" s="1"/>
  <c r="W1211" i="16"/>
  <c r="Y1211" i="16"/>
  <c r="Z1211" i="16" s="1"/>
  <c r="W1013" i="16"/>
  <c r="Y1013" i="16"/>
  <c r="Z1013" i="16" s="1"/>
  <c r="W247" i="16"/>
  <c r="Y247" i="16"/>
  <c r="Z247" i="16" s="1"/>
  <c r="W684" i="16"/>
  <c r="Y684" i="16"/>
  <c r="Z684" i="16" s="1"/>
  <c r="W500" i="16"/>
  <c r="Y500" i="16"/>
  <c r="Z500" i="16" s="1"/>
  <c r="W438" i="16"/>
  <c r="Y438" i="16"/>
  <c r="Z438" i="16" s="1"/>
  <c r="W347" i="16"/>
  <c r="Y347" i="16"/>
  <c r="Z347" i="16" s="1"/>
  <c r="W535" i="16"/>
  <c r="Y535" i="16"/>
  <c r="Z535" i="16" s="1"/>
  <c r="W361" i="16"/>
  <c r="Y361" i="16"/>
  <c r="Z361" i="16" s="1"/>
  <c r="W708" i="16"/>
  <c r="Y708" i="16"/>
  <c r="Z708" i="16" s="1"/>
  <c r="W822" i="16"/>
  <c r="Y822" i="16"/>
  <c r="Z822" i="16" s="1"/>
  <c r="W675" i="16"/>
  <c r="Y675" i="16"/>
  <c r="Z675" i="16" s="1"/>
  <c r="W291" i="16"/>
  <c r="Y291" i="16"/>
  <c r="Z291" i="16" s="1"/>
  <c r="W650" i="16"/>
  <c r="Y650" i="16"/>
  <c r="Z650" i="16" s="1"/>
  <c r="W338" i="16"/>
  <c r="Y338" i="16"/>
  <c r="Z338" i="16" s="1"/>
  <c r="W513" i="16"/>
  <c r="Y513" i="16"/>
  <c r="Z513" i="16" s="1"/>
  <c r="W879" i="16"/>
  <c r="Y879" i="16"/>
  <c r="Z879" i="16" s="1"/>
  <c r="W567" i="16"/>
  <c r="Y567" i="16"/>
  <c r="Z567" i="16" s="1"/>
  <c r="W168" i="16"/>
  <c r="Y168" i="16"/>
  <c r="Z168" i="16" s="1"/>
  <c r="W111" i="16"/>
  <c r="Y111" i="16"/>
  <c r="Z111" i="16" s="1"/>
  <c r="W109" i="16"/>
  <c r="Y109" i="16"/>
  <c r="Z109" i="16" s="1"/>
  <c r="W757" i="16"/>
  <c r="Y757" i="16"/>
  <c r="Z757" i="16" s="1"/>
  <c r="W445" i="16"/>
  <c r="Y445" i="16"/>
  <c r="Z445" i="16" s="1"/>
  <c r="W796" i="16"/>
  <c r="Y796" i="16"/>
  <c r="Z796" i="16" s="1"/>
  <c r="W484" i="16"/>
  <c r="Y484" i="16"/>
  <c r="Z484" i="16" s="1"/>
  <c r="W186" i="16"/>
  <c r="Y186" i="16"/>
  <c r="Z186" i="16" s="1"/>
  <c r="W178" i="16"/>
  <c r="Y178" i="16"/>
  <c r="Z178" i="16" s="1"/>
  <c r="W126" i="16"/>
  <c r="Y126" i="16"/>
  <c r="Z126" i="16" s="1"/>
  <c r="W621" i="16"/>
  <c r="Y621" i="16"/>
  <c r="Z621" i="16" s="1"/>
  <c r="W309" i="16"/>
  <c r="Y309" i="16"/>
  <c r="Z309" i="16" s="1"/>
  <c r="W660" i="16"/>
  <c r="Y660" i="16"/>
  <c r="Z660" i="16" s="1"/>
  <c r="W348" i="16"/>
  <c r="Y348" i="16"/>
  <c r="Z348" i="16" s="1"/>
  <c r="W707" i="16"/>
  <c r="Y707" i="16"/>
  <c r="Z707" i="16" s="1"/>
  <c r="W182" i="16"/>
  <c r="Y182" i="16"/>
  <c r="Z182" i="16" s="1"/>
  <c r="W123" i="16"/>
  <c r="Y123" i="16"/>
  <c r="Z123" i="16" s="1"/>
  <c r="W737" i="16"/>
  <c r="Y737" i="16"/>
  <c r="Z737" i="16" s="1"/>
  <c r="W617" i="16"/>
  <c r="Y617" i="16"/>
  <c r="Z617" i="16" s="1"/>
  <c r="W305" i="16"/>
  <c r="Y305" i="16"/>
  <c r="Z305" i="16" s="1"/>
  <c r="W671" i="16"/>
  <c r="Y671" i="16"/>
  <c r="Z671" i="16" s="1"/>
  <c r="W359" i="16"/>
  <c r="Y359" i="16"/>
  <c r="Z359" i="16" s="1"/>
  <c r="W726" i="16"/>
  <c r="Y726" i="16"/>
  <c r="Z726" i="16" s="1"/>
  <c r="W414" i="16"/>
  <c r="Y414" i="16"/>
  <c r="Z414" i="16" s="1"/>
  <c r="W105" i="16"/>
  <c r="Y105" i="16"/>
  <c r="Z105" i="16" s="1"/>
  <c r="W213" i="16"/>
  <c r="Y213" i="16"/>
  <c r="Z213" i="16" s="1"/>
  <c r="W906" i="16"/>
  <c r="Y906" i="16"/>
  <c r="Z906" i="16" s="1"/>
  <c r="W594" i="16"/>
  <c r="Y594" i="16"/>
  <c r="Z594" i="16" s="1"/>
  <c r="W282" i="16"/>
  <c r="Y282" i="16"/>
  <c r="Z282" i="16" s="1"/>
  <c r="W457" i="16"/>
  <c r="Y457" i="16"/>
  <c r="Z457" i="16" s="1"/>
  <c r="W823" i="16"/>
  <c r="Y823" i="16"/>
  <c r="Z823" i="16" s="1"/>
  <c r="W104" i="16"/>
  <c r="Y104" i="16"/>
  <c r="Z104" i="16" s="1"/>
  <c r="W77" i="16"/>
  <c r="Y77" i="16"/>
  <c r="Z77" i="16" s="1"/>
  <c r="W622" i="16"/>
  <c r="Y622" i="16"/>
  <c r="Z622" i="16" s="1"/>
  <c r="W374" i="16"/>
  <c r="Y374" i="16"/>
  <c r="Z374" i="16" s="1"/>
  <c r="W813" i="16"/>
  <c r="Y813" i="16"/>
  <c r="Z813" i="16" s="1"/>
  <c r="W501" i="16"/>
  <c r="Y501" i="16"/>
  <c r="Z501" i="16" s="1"/>
  <c r="W852" i="16"/>
  <c r="Y852" i="16"/>
  <c r="Z852" i="16" s="1"/>
  <c r="W540" i="16"/>
  <c r="Y540" i="16"/>
  <c r="Z540" i="16" s="1"/>
  <c r="W899" i="16"/>
  <c r="Y899" i="16"/>
  <c r="Z899" i="16" s="1"/>
  <c r="W220" i="16"/>
  <c r="Y220" i="16"/>
  <c r="Z220" i="16" s="1"/>
  <c r="W158" i="16"/>
  <c r="Y158" i="16"/>
  <c r="Z158" i="16" s="1"/>
  <c r="W99" i="16"/>
  <c r="Y99" i="16"/>
  <c r="Z99" i="16" s="1"/>
  <c r="W863" i="16"/>
  <c r="Y863" i="16"/>
  <c r="Z863" i="16" s="1"/>
  <c r="W551" i="16"/>
  <c r="Y551" i="16"/>
  <c r="Z551" i="16" s="1"/>
  <c r="W918" i="16"/>
  <c r="Y918" i="16"/>
  <c r="Z918" i="16" s="1"/>
  <c r="W606" i="16"/>
  <c r="Y606" i="16"/>
  <c r="Z606" i="16" s="1"/>
  <c r="W189" i="16"/>
  <c r="Y189" i="16"/>
  <c r="Z189" i="16" s="1"/>
  <c r="W427" i="16"/>
  <c r="Y427" i="16"/>
  <c r="Z427" i="16" s="1"/>
  <c r="W786" i="16"/>
  <c r="Y786" i="16"/>
  <c r="Z786" i="16" s="1"/>
  <c r="W474" i="16"/>
  <c r="Y474" i="16"/>
  <c r="Z474" i="16" s="1"/>
  <c r="W649" i="16"/>
  <c r="Y649" i="16"/>
  <c r="Z649" i="16" s="1"/>
  <c r="W140" i="16"/>
  <c r="Y140" i="16"/>
  <c r="Z140" i="16" s="1"/>
  <c r="W183" i="16"/>
  <c r="Y183" i="16"/>
  <c r="Z183" i="16" s="1"/>
  <c r="T1506" i="16"/>
  <c r="W2625" i="16"/>
  <c r="AB2625" i="16"/>
  <c r="AC2625" i="16" s="1"/>
  <c r="Y2625" i="16"/>
  <c r="Z2625" i="16" s="1"/>
  <c r="W2337" i="16"/>
  <c r="AB2337" i="16"/>
  <c r="AC2337" i="16" s="1"/>
  <c r="Y2337" i="16"/>
  <c r="Z2337" i="16" s="1"/>
  <c r="W2496" i="16"/>
  <c r="AB2496" i="16"/>
  <c r="AC2496" i="16" s="1"/>
  <c r="Y2496" i="16"/>
  <c r="Z2496" i="16" s="1"/>
  <c r="W1270" i="16"/>
  <c r="Y1270" i="16"/>
  <c r="Z1270" i="16" s="1"/>
  <c r="W2389" i="16"/>
  <c r="AB2389" i="16"/>
  <c r="AC2389" i="16" s="1"/>
  <c r="Y2389" i="16"/>
  <c r="Z2389" i="16" s="1"/>
  <c r="W2261" i="16"/>
  <c r="Y2261" i="16"/>
  <c r="Z2261" i="16" s="1"/>
  <c r="W2457" i="16"/>
  <c r="AB2457" i="16"/>
  <c r="AC2457" i="16" s="1"/>
  <c r="Y2457" i="16"/>
  <c r="Z2457" i="16" s="1"/>
  <c r="W2578" i="16"/>
  <c r="AB2578" i="16"/>
  <c r="AC2578" i="16" s="1"/>
  <c r="Y2578" i="16"/>
  <c r="Z2578" i="16" s="1"/>
  <c r="W2306" i="16"/>
  <c r="AB2306" i="16"/>
  <c r="AC2306" i="16" s="1"/>
  <c r="Y2306" i="16"/>
  <c r="Z2306" i="16" s="1"/>
  <c r="W2478" i="16"/>
  <c r="AB2478" i="16"/>
  <c r="AC2478" i="16" s="1"/>
  <c r="Y2478" i="16"/>
  <c r="Z2478" i="16" s="1"/>
  <c r="W2628" i="16"/>
  <c r="AB2628" i="16"/>
  <c r="AC2628" i="16" s="1"/>
  <c r="Y2628" i="16"/>
  <c r="Z2628" i="16" s="1"/>
  <c r="W2005" i="16"/>
  <c r="Y2005" i="16"/>
  <c r="Z2005" i="16" s="1"/>
  <c r="W2267" i="16"/>
  <c r="Y2267" i="16"/>
  <c r="Z2267" i="16" s="1"/>
  <c r="W2300" i="16"/>
  <c r="Y2300" i="16"/>
  <c r="Z2300" i="16" s="1"/>
  <c r="W2480" i="16"/>
  <c r="AB2480" i="16"/>
  <c r="AC2480" i="16" s="1"/>
  <c r="Y2480" i="16"/>
  <c r="Z2480" i="16" s="1"/>
  <c r="W2630" i="16"/>
  <c r="AB2630" i="16"/>
  <c r="AC2630" i="16" s="1"/>
  <c r="Y2630" i="16"/>
  <c r="Z2630" i="16" s="1"/>
  <c r="W2357" i="16"/>
  <c r="AB2357" i="16"/>
  <c r="AC2357" i="16" s="1"/>
  <c r="Y2357" i="16"/>
  <c r="Z2357" i="16" s="1"/>
  <c r="W2245" i="16"/>
  <c r="Y2245" i="16"/>
  <c r="Z2245" i="16" s="1"/>
  <c r="W2635" i="16"/>
  <c r="AB2635" i="16"/>
  <c r="AC2635" i="16" s="1"/>
  <c r="Y2635" i="16"/>
  <c r="Z2635" i="16" s="1"/>
  <c r="W2386" i="16"/>
  <c r="AB2386" i="16"/>
  <c r="AC2386" i="16" s="1"/>
  <c r="Y2386" i="16"/>
  <c r="Z2386" i="16" s="1"/>
  <c r="W2535" i="16"/>
  <c r="AB2535" i="16"/>
  <c r="AC2535" i="16" s="1"/>
  <c r="Y2535" i="16"/>
  <c r="Z2535" i="16" s="1"/>
  <c r="W2179" i="16"/>
  <c r="Y2179" i="16"/>
  <c r="Z2179" i="16" s="1"/>
  <c r="W2436" i="16"/>
  <c r="AB2436" i="16"/>
  <c r="AC2436" i="16" s="1"/>
  <c r="Y2436" i="16"/>
  <c r="Z2436" i="16" s="1"/>
  <c r="W1471" i="16"/>
  <c r="Y1471" i="16"/>
  <c r="Z1471" i="16" s="1"/>
  <c r="T2246" i="16"/>
  <c r="T246" i="16"/>
  <c r="T1427" i="16"/>
  <c r="W2497" i="16"/>
  <c r="AB2497" i="16"/>
  <c r="AC2497" i="16" s="1"/>
  <c r="Y2497" i="16"/>
  <c r="Z2497" i="16" s="1"/>
  <c r="W2371" i="16"/>
  <c r="AB2371" i="16"/>
  <c r="AC2371" i="16" s="1"/>
  <c r="Y2371" i="16"/>
  <c r="Z2371" i="16" s="1"/>
  <c r="W2544" i="16"/>
  <c r="AB2544" i="16"/>
  <c r="AC2544" i="16" s="1"/>
  <c r="Y2544" i="16"/>
  <c r="Z2544" i="16" s="1"/>
  <c r="W2059" i="16"/>
  <c r="Y2059" i="16"/>
  <c r="Z2059" i="16" s="1"/>
  <c r="W2421" i="16"/>
  <c r="AB2421" i="16"/>
  <c r="AC2421" i="16" s="1"/>
  <c r="Y2421" i="16"/>
  <c r="Z2421" i="16" s="1"/>
  <c r="W2309" i="16"/>
  <c r="AB2309" i="16"/>
  <c r="AC2309" i="16" s="1"/>
  <c r="Y2309" i="16"/>
  <c r="Z2309" i="16" s="1"/>
  <c r="W2619" i="16"/>
  <c r="AB2619" i="16"/>
  <c r="AC2619" i="16" s="1"/>
  <c r="Y2619" i="16"/>
  <c r="Z2619" i="16" s="1"/>
  <c r="W2370" i="16"/>
  <c r="AB2370" i="16"/>
  <c r="AC2370" i="16" s="1"/>
  <c r="Y2370" i="16"/>
  <c r="Z2370" i="16" s="1"/>
  <c r="W2519" i="16"/>
  <c r="AB2519" i="16"/>
  <c r="AC2519" i="16" s="1"/>
  <c r="Y2519" i="16"/>
  <c r="Z2519" i="16" s="1"/>
  <c r="W1916" i="16"/>
  <c r="Y1916" i="16"/>
  <c r="Z1916" i="16" s="1"/>
  <c r="W2420" i="16"/>
  <c r="AB2420" i="16"/>
  <c r="AC2420" i="16" s="1"/>
  <c r="Y2420" i="16"/>
  <c r="Z2420" i="16" s="1"/>
  <c r="W1310" i="16"/>
  <c r="Y1310" i="16"/>
  <c r="Z1310" i="16" s="1"/>
  <c r="W1768" i="16"/>
  <c r="Y1768" i="16"/>
  <c r="Z1768" i="16" s="1"/>
  <c r="W2531" i="16"/>
  <c r="AB2531" i="16"/>
  <c r="AC2531" i="16" s="1"/>
  <c r="Y2531" i="16"/>
  <c r="Z2531" i="16" s="1"/>
  <c r="W2019" i="16"/>
  <c r="Y2019" i="16"/>
  <c r="Z2019" i="16" s="1"/>
  <c r="W2415" i="16"/>
  <c r="AB2415" i="16"/>
  <c r="AC2415" i="16" s="1"/>
  <c r="Y2415" i="16"/>
  <c r="Z2415" i="16" s="1"/>
  <c r="W2581" i="16"/>
  <c r="AB2581" i="16"/>
  <c r="AC2581" i="16" s="1"/>
  <c r="Y2581" i="16"/>
  <c r="Z2581" i="16" s="1"/>
  <c r="W2311" i="16"/>
  <c r="AB2311" i="16"/>
  <c r="AC2311" i="16" s="1"/>
  <c r="Y2311" i="16"/>
  <c r="Z2311" i="16" s="1"/>
  <c r="W2513" i="16"/>
  <c r="AB2513" i="16"/>
  <c r="AC2513" i="16" s="1"/>
  <c r="Y2513" i="16"/>
  <c r="Z2513" i="16" s="1"/>
  <c r="W2514" i="16"/>
  <c r="AB2514" i="16"/>
  <c r="AC2514" i="16" s="1"/>
  <c r="Y2514" i="16"/>
  <c r="Z2514" i="16" s="1"/>
  <c r="W1852" i="16"/>
  <c r="Y1852" i="16"/>
  <c r="Z1852" i="16" s="1"/>
  <c r="W2414" i="16"/>
  <c r="AB2414" i="16"/>
  <c r="AC2414" i="16" s="1"/>
  <c r="Y2414" i="16"/>
  <c r="Z2414" i="16" s="1"/>
  <c r="W2564" i="16"/>
  <c r="AB2564" i="16"/>
  <c r="AC2564" i="16" s="1"/>
  <c r="Y2564" i="16"/>
  <c r="Z2564" i="16" s="1"/>
  <c r="W1908" i="16"/>
  <c r="Y1908" i="16"/>
  <c r="Z1908" i="16" s="1"/>
  <c r="W1963" i="16"/>
  <c r="Y1963" i="16"/>
  <c r="Z1963" i="16" s="1"/>
  <c r="W2592" i="16"/>
  <c r="AB2592" i="16"/>
  <c r="AC2592" i="16" s="1"/>
  <c r="Y2592" i="16"/>
  <c r="Z2592" i="16" s="1"/>
  <c r="W2495" i="16"/>
  <c r="AB2495" i="16"/>
  <c r="AC2495" i="16" s="1"/>
  <c r="Y2495" i="16"/>
  <c r="Z2495" i="16" s="1"/>
  <c r="W2406" i="16"/>
  <c r="AB2406" i="16"/>
  <c r="AC2406" i="16" s="1"/>
  <c r="Y2406" i="16"/>
  <c r="Z2406" i="16" s="1"/>
  <c r="W2303" i="16"/>
  <c r="Y2303" i="16"/>
  <c r="Z2303" i="16" s="1"/>
  <c r="W1135" i="16"/>
  <c r="Y1135" i="16"/>
  <c r="Z1135" i="16" s="1"/>
  <c r="W1812" i="16"/>
  <c r="Y1812" i="16"/>
  <c r="Z1812" i="16" s="1"/>
  <c r="W1996" i="16"/>
  <c r="Y1996" i="16"/>
  <c r="Z1996" i="16" s="1"/>
  <c r="W2138" i="16"/>
  <c r="Y2138" i="16"/>
  <c r="Z2138" i="16" s="1"/>
  <c r="W231" i="16"/>
  <c r="Y231" i="16"/>
  <c r="Z231" i="16" s="1"/>
  <c r="W1705" i="16"/>
  <c r="Y1705" i="16"/>
  <c r="Z1705" i="16" s="1"/>
  <c r="W1932" i="16"/>
  <c r="Y1932" i="16"/>
  <c r="Z1932" i="16" s="1"/>
  <c r="W1423" i="16"/>
  <c r="Y1423" i="16"/>
  <c r="Z1423" i="16" s="1"/>
  <c r="W1426" i="16"/>
  <c r="Y1426" i="16"/>
  <c r="Z1426" i="16" s="1"/>
  <c r="W985" i="16"/>
  <c r="Y985" i="16"/>
  <c r="Z985" i="16" s="1"/>
  <c r="W1377" i="16"/>
  <c r="Y1377" i="16"/>
  <c r="Z1377" i="16" s="1"/>
  <c r="W2507" i="16"/>
  <c r="AB2507" i="16"/>
  <c r="AC2507" i="16" s="1"/>
  <c r="Y2507" i="16"/>
  <c r="Z2507" i="16" s="1"/>
  <c r="W2418" i="16"/>
  <c r="AB2418" i="16"/>
  <c r="AC2418" i="16" s="1"/>
  <c r="Y2418" i="16"/>
  <c r="Z2418" i="16" s="1"/>
  <c r="W2324" i="16"/>
  <c r="AB2324" i="16"/>
  <c r="AC2324" i="16" s="1"/>
  <c r="Y2324" i="16"/>
  <c r="Z2324" i="16" s="1"/>
  <c r="W1522" i="16"/>
  <c r="Y1522" i="16"/>
  <c r="Z1522" i="16" s="1"/>
  <c r="W2557" i="16"/>
  <c r="AB2557" i="16"/>
  <c r="AC2557" i="16" s="1"/>
  <c r="Y2557" i="16"/>
  <c r="Z2557" i="16" s="1"/>
  <c r="W2468" i="16"/>
  <c r="AB2468" i="16"/>
  <c r="AC2468" i="16" s="1"/>
  <c r="Y2468" i="16"/>
  <c r="Z2468" i="16" s="1"/>
  <c r="W2093" i="16"/>
  <c r="Y2093" i="16"/>
  <c r="Z2093" i="16" s="1"/>
  <c r="W2244" i="16"/>
  <c r="Y2244" i="16"/>
  <c r="Z2244" i="16" s="1"/>
  <c r="W1500" i="16"/>
  <c r="Y1500" i="16"/>
  <c r="Z1500" i="16" s="1"/>
  <c r="W1850" i="16"/>
  <c r="Y1850" i="16"/>
  <c r="Z1850" i="16" s="1"/>
  <c r="W2041" i="16"/>
  <c r="Y2041" i="16"/>
  <c r="Z2041" i="16" s="1"/>
  <c r="W2184" i="16"/>
  <c r="Y2184" i="16"/>
  <c r="Z2184" i="16" s="1"/>
  <c r="W2215" i="16"/>
  <c r="Y2215" i="16"/>
  <c r="Z2215" i="16" s="1"/>
  <c r="W1824" i="16"/>
  <c r="Y1824" i="16"/>
  <c r="Z1824" i="16" s="1"/>
  <c r="W230" i="16"/>
  <c r="Y230" i="16"/>
  <c r="Z230" i="16" s="1"/>
  <c r="W1570" i="16"/>
  <c r="Y1570" i="16"/>
  <c r="Z1570" i="16" s="1"/>
  <c r="W1765" i="16"/>
  <c r="Y1765" i="16"/>
  <c r="Z1765" i="16" s="1"/>
  <c r="W1876" i="16"/>
  <c r="Y1876" i="16"/>
  <c r="Z1876" i="16" s="1"/>
  <c r="W2044" i="16"/>
  <c r="Y2044" i="16"/>
  <c r="Z2044" i="16" s="1"/>
  <c r="W2186" i="16"/>
  <c r="Y2186" i="16"/>
  <c r="Z2186" i="16" s="1"/>
  <c r="W1258" i="16"/>
  <c r="Y1258" i="16"/>
  <c r="Z1258" i="16" s="1"/>
  <c r="W1807" i="16"/>
  <c r="Y1807" i="16"/>
  <c r="Z1807" i="16" s="1"/>
  <c r="W1984" i="16"/>
  <c r="Y1984" i="16"/>
  <c r="Z1984" i="16" s="1"/>
  <c r="W1777" i="16"/>
  <c r="Y1777" i="16"/>
  <c r="Z1777" i="16" s="1"/>
  <c r="W1578" i="16"/>
  <c r="Y1578" i="16"/>
  <c r="Z1578" i="16" s="1"/>
  <c r="W1240" i="16"/>
  <c r="Y1240" i="16"/>
  <c r="Z1240" i="16" s="1"/>
  <c r="W1601" i="16"/>
  <c r="Y1601" i="16"/>
  <c r="Z1601" i="16" s="1"/>
  <c r="W360" i="16"/>
  <c r="Y360" i="16"/>
  <c r="Z360" i="16" s="1"/>
  <c r="W1671" i="16"/>
  <c r="Y1671" i="16"/>
  <c r="Z1671" i="16" s="1"/>
  <c r="W1914" i="16"/>
  <c r="Y1914" i="16"/>
  <c r="Z1914" i="16" s="1"/>
  <c r="W2089" i="16"/>
  <c r="Y2089" i="16"/>
  <c r="Z2089" i="16" s="1"/>
  <c r="W2232" i="16"/>
  <c r="Y2232" i="16"/>
  <c r="Z2232" i="16" s="1"/>
  <c r="W1214" i="16"/>
  <c r="Y1214" i="16"/>
  <c r="Z1214" i="16" s="1"/>
  <c r="W1958" i="16"/>
  <c r="Y1958" i="16"/>
  <c r="Z1958" i="16" s="1"/>
  <c r="W1130" i="16"/>
  <c r="Y1130" i="16"/>
  <c r="Z1130" i="16" s="1"/>
  <c r="W1028" i="16"/>
  <c r="Y1028" i="16"/>
  <c r="Z1028" i="16" s="1"/>
  <c r="W1949" i="16"/>
  <c r="Y1949" i="16"/>
  <c r="Z1949" i="16" s="1"/>
  <c r="W2028" i="16"/>
  <c r="Y2028" i="16"/>
  <c r="Z2028" i="16" s="1"/>
  <c r="W2170" i="16"/>
  <c r="Y2170" i="16"/>
  <c r="Z2170" i="16" s="1"/>
  <c r="W1182" i="16"/>
  <c r="Y1182" i="16"/>
  <c r="Z1182" i="16" s="1"/>
  <c r="W1780" i="16"/>
  <c r="Y1780" i="16"/>
  <c r="Z1780" i="16" s="1"/>
  <c r="W1968" i="16"/>
  <c r="Y1968" i="16"/>
  <c r="Z1968" i="16" s="1"/>
  <c r="W1650" i="16"/>
  <c r="Y1650" i="16"/>
  <c r="Z1650" i="16" s="1"/>
  <c r="W1514" i="16"/>
  <c r="Y1514" i="16"/>
  <c r="Z1514" i="16" s="1"/>
  <c r="W1144" i="16"/>
  <c r="Y1144" i="16"/>
  <c r="Z1144" i="16" s="1"/>
  <c r="W1516" i="16"/>
  <c r="Y1516" i="16"/>
  <c r="Z1516" i="16" s="1"/>
  <c r="W2276" i="16"/>
  <c r="Y2276" i="16"/>
  <c r="Z2276" i="16" s="1"/>
  <c r="W1609" i="16"/>
  <c r="Y1609" i="16"/>
  <c r="Z1609" i="16" s="1"/>
  <c r="W1894" i="16"/>
  <c r="Y1894" i="16"/>
  <c r="Z1894" i="16" s="1"/>
  <c r="W2073" i="16"/>
  <c r="Y2073" i="16"/>
  <c r="Z2073" i="16" s="1"/>
  <c r="W2216" i="16"/>
  <c r="Y2216" i="16"/>
  <c r="Z2216" i="16" s="1"/>
  <c r="W2279" i="16"/>
  <c r="Y2279" i="16"/>
  <c r="Z2279" i="16" s="1"/>
  <c r="W1910" i="16"/>
  <c r="Y1910" i="16"/>
  <c r="Z1910" i="16" s="1"/>
  <c r="W1032" i="16"/>
  <c r="Y1032" i="16"/>
  <c r="Z1032" i="16" s="1"/>
  <c r="W1678" i="16"/>
  <c r="Y1678" i="16"/>
  <c r="Z1678" i="16" s="1"/>
  <c r="W1877" i="16"/>
  <c r="Y1877" i="16"/>
  <c r="Z1877" i="16" s="1"/>
  <c r="W1919" i="16"/>
  <c r="Y1919" i="16"/>
  <c r="Z1919" i="16" s="1"/>
  <c r="W2076" i="16"/>
  <c r="Y2076" i="16"/>
  <c r="Z2076" i="16" s="1"/>
  <c r="W2218" i="16"/>
  <c r="Y2218" i="16"/>
  <c r="Z2218" i="16" s="1"/>
  <c r="W1399" i="16"/>
  <c r="Y1399" i="16"/>
  <c r="Z1399" i="16" s="1"/>
  <c r="W1849" i="16"/>
  <c r="Y1849" i="16"/>
  <c r="Z1849" i="16" s="1"/>
  <c r="W2016" i="16"/>
  <c r="Y2016" i="16"/>
  <c r="Z2016" i="16" s="1"/>
  <c r="W1868" i="16"/>
  <c r="Y1868" i="16"/>
  <c r="Z1868" i="16" s="1"/>
  <c r="W1664" i="16"/>
  <c r="Y1664" i="16"/>
  <c r="Z1664" i="16" s="1"/>
  <c r="W1344" i="16"/>
  <c r="Y1344" i="16"/>
  <c r="Z1344" i="16" s="1"/>
  <c r="W1708" i="16"/>
  <c r="Y1708" i="16"/>
  <c r="Z1708" i="16" s="1"/>
  <c r="W1181" i="16"/>
  <c r="Y1181" i="16"/>
  <c r="Z1181" i="16" s="1"/>
  <c r="W1753" i="16"/>
  <c r="Y1753" i="16"/>
  <c r="Z1753" i="16" s="1"/>
  <c r="W1953" i="16"/>
  <c r="Y1953" i="16"/>
  <c r="Z1953" i="16" s="1"/>
  <c r="W2121" i="16"/>
  <c r="Y2121" i="16"/>
  <c r="Z2121" i="16" s="1"/>
  <c r="W2264" i="16"/>
  <c r="Y2264" i="16"/>
  <c r="Z2264" i="16" s="1"/>
  <c r="W1481" i="16"/>
  <c r="Y1481" i="16"/>
  <c r="Z1481" i="16" s="1"/>
  <c r="W2022" i="16"/>
  <c r="Y2022" i="16"/>
  <c r="Z2022" i="16" s="1"/>
  <c r="W972" i="16"/>
  <c r="Y972" i="16"/>
  <c r="Z972" i="16" s="1"/>
  <c r="W1207" i="16"/>
  <c r="Y1207" i="16"/>
  <c r="Z1207" i="16" s="1"/>
  <c r="W974" i="16"/>
  <c r="Y974" i="16"/>
  <c r="Z974" i="16" s="1"/>
  <c r="W2247" i="16"/>
  <c r="Y2247" i="16"/>
  <c r="Z2247" i="16" s="1"/>
  <c r="W1511" i="16"/>
  <c r="Y1511" i="16"/>
  <c r="Z1511" i="16" s="1"/>
  <c r="W1866" i="16"/>
  <c r="Y1866" i="16"/>
  <c r="Z1866" i="16" s="1"/>
  <c r="W1462" i="16"/>
  <c r="Y1462" i="16"/>
  <c r="Z1462" i="16" s="1"/>
  <c r="W889" i="16"/>
  <c r="Y889" i="16"/>
  <c r="Z889" i="16" s="1"/>
  <c r="W1050" i="16"/>
  <c r="Y1050" i="16"/>
  <c r="Z1050" i="16" s="1"/>
  <c r="W1634" i="16"/>
  <c r="Y1634" i="16"/>
  <c r="Z1634" i="16" s="1"/>
  <c r="W1441" i="16"/>
  <c r="Y1441" i="16"/>
  <c r="Z1441" i="16" s="1"/>
  <c r="W1813" i="16"/>
  <c r="Y1813" i="16"/>
  <c r="Z1813" i="16" s="1"/>
  <c r="W242" i="16"/>
  <c r="Y242" i="16"/>
  <c r="Z242" i="16" s="1"/>
  <c r="W1547" i="16"/>
  <c r="Y1547" i="16"/>
  <c r="Z1547" i="16" s="1"/>
  <c r="W1983" i="16"/>
  <c r="Y1983" i="16"/>
  <c r="Z1983" i="16" s="1"/>
  <c r="W2134" i="16"/>
  <c r="Y2134" i="16"/>
  <c r="Z2134" i="16" s="1"/>
  <c r="W1792" i="16"/>
  <c r="Y1792" i="16"/>
  <c r="Z1792" i="16" s="1"/>
  <c r="W948" i="16"/>
  <c r="Y948" i="16"/>
  <c r="Z948" i="16" s="1"/>
  <c r="W1488" i="16"/>
  <c r="Y1488" i="16"/>
  <c r="Z1488" i="16" s="1"/>
  <c r="W1465" i="16"/>
  <c r="Y1465" i="16"/>
  <c r="Z1465" i="16" s="1"/>
  <c r="W1048" i="16"/>
  <c r="Y1048" i="16"/>
  <c r="Z1048" i="16" s="1"/>
  <c r="W1169" i="16"/>
  <c r="Y1169" i="16"/>
  <c r="Z1169" i="16" s="1"/>
  <c r="W1357" i="16"/>
  <c r="Y1357" i="16"/>
  <c r="Z1357" i="16" s="1"/>
  <c r="W808" i="16"/>
  <c r="Y808" i="16"/>
  <c r="Z808" i="16" s="1"/>
  <c r="W1016" i="16"/>
  <c r="Y1016" i="16"/>
  <c r="Z1016" i="16" s="1"/>
  <c r="W1681" i="16"/>
  <c r="Y1681" i="16"/>
  <c r="Z1681" i="16" s="1"/>
  <c r="W1930" i="16"/>
  <c r="Y1930" i="16"/>
  <c r="Z1930" i="16" s="1"/>
  <c r="W1526" i="16"/>
  <c r="Y1526" i="16"/>
  <c r="Z1526" i="16" s="1"/>
  <c r="W1074" i="16"/>
  <c r="Y1074" i="16"/>
  <c r="Z1074" i="16" s="1"/>
  <c r="W1160" i="16"/>
  <c r="Y1160" i="16"/>
  <c r="Z1160" i="16" s="1"/>
  <c r="W960" i="16"/>
  <c r="Y960" i="16"/>
  <c r="Z960" i="16" s="1"/>
  <c r="W1527" i="16"/>
  <c r="Y1527" i="16"/>
  <c r="Z1527" i="16" s="1"/>
  <c r="W1893" i="16"/>
  <c r="Y1893" i="16"/>
  <c r="Z1893" i="16" s="1"/>
  <c r="W956" i="16"/>
  <c r="Y956" i="16"/>
  <c r="Z956" i="16" s="1"/>
  <c r="W1627" i="16"/>
  <c r="Y1627" i="16"/>
  <c r="Z1627" i="16" s="1"/>
  <c r="W1034" i="16"/>
  <c r="Y1034" i="16"/>
  <c r="Z1034" i="16" s="1"/>
  <c r="W853" i="16"/>
  <c r="Y853" i="16"/>
  <c r="Z853" i="16" s="1"/>
  <c r="W1611" i="16"/>
  <c r="Y1611" i="16"/>
  <c r="Z1611" i="16" s="1"/>
  <c r="W992" i="16"/>
  <c r="Y992" i="16"/>
  <c r="Z992" i="16" s="1"/>
  <c r="W1256" i="16"/>
  <c r="Y1256" i="16"/>
  <c r="Z1256" i="16" s="1"/>
  <c r="W1759" i="16"/>
  <c r="Y1759" i="16"/>
  <c r="Z1759" i="16" s="1"/>
  <c r="W1966" i="16"/>
  <c r="Y1966" i="16"/>
  <c r="Z1966" i="16" s="1"/>
  <c r="W1568" i="16"/>
  <c r="Y1568" i="16"/>
  <c r="Z1568" i="16" s="1"/>
  <c r="W1146" i="16"/>
  <c r="Y1146" i="16"/>
  <c r="Z1146" i="16" s="1"/>
  <c r="W1224" i="16"/>
  <c r="Y1224" i="16"/>
  <c r="Z1224" i="16" s="1"/>
  <c r="W1049" i="16"/>
  <c r="Y1049" i="16"/>
  <c r="Z1049" i="16" s="1"/>
  <c r="W1591" i="16"/>
  <c r="Y1591" i="16"/>
  <c r="Z1591" i="16" s="1"/>
  <c r="W1957" i="16"/>
  <c r="Y1957" i="16"/>
  <c r="Z1957" i="16" s="1"/>
  <c r="W1025" i="16"/>
  <c r="Y1025" i="16"/>
  <c r="Z1025" i="16" s="1"/>
  <c r="W1691" i="16"/>
  <c r="Y1691" i="16"/>
  <c r="Z1691" i="16" s="1"/>
  <c r="W1116" i="16"/>
  <c r="Y1116" i="16"/>
  <c r="Z1116" i="16" s="1"/>
  <c r="W672" i="16"/>
  <c r="Y672" i="16"/>
  <c r="Z672" i="16" s="1"/>
  <c r="W936" i="16"/>
  <c r="Y936" i="16"/>
  <c r="Z936" i="16" s="1"/>
  <c r="W1751" i="16"/>
  <c r="Y1751" i="16"/>
  <c r="Z1751" i="16" s="1"/>
  <c r="W246" i="16"/>
  <c r="Y246" i="16"/>
  <c r="Z246" i="16" s="1"/>
  <c r="W1677" i="16"/>
  <c r="Y1677" i="16"/>
  <c r="Z1677" i="16" s="1"/>
  <c r="W945" i="16"/>
  <c r="Y945" i="16"/>
  <c r="Z945" i="16" s="1"/>
  <c r="W1843" i="16"/>
  <c r="Y1843" i="16"/>
  <c r="Z1843" i="16" s="1"/>
  <c r="W1171" i="16"/>
  <c r="Y1171" i="16"/>
  <c r="Z1171" i="16" s="1"/>
  <c r="W1051" i="16"/>
  <c r="Y1051" i="16"/>
  <c r="Z1051" i="16" s="1"/>
  <c r="W395" i="16"/>
  <c r="Y395" i="16"/>
  <c r="Z395" i="16" s="1"/>
  <c r="W285" i="16"/>
  <c r="Y285" i="16"/>
  <c r="Z285" i="16" s="1"/>
  <c r="W1604" i="16"/>
  <c r="Y1604" i="16"/>
  <c r="Z1604" i="16" s="1"/>
  <c r="W1528" i="16"/>
  <c r="Y1528" i="16"/>
  <c r="Z1528" i="16" s="1"/>
  <c r="W1569" i="16"/>
  <c r="Y1569" i="16"/>
  <c r="Z1569" i="16" s="1"/>
  <c r="W1113" i="16"/>
  <c r="Y1113" i="16"/>
  <c r="Z1113" i="16" s="1"/>
  <c r="W1493" i="16"/>
  <c r="Y1493" i="16"/>
  <c r="Z1493" i="16" s="1"/>
  <c r="W1332" i="16"/>
  <c r="Y1332" i="16"/>
  <c r="Z1332" i="16" s="1"/>
  <c r="W1675" i="16"/>
  <c r="Y1675" i="16"/>
  <c r="Z1675" i="16" s="1"/>
  <c r="W941" i="16"/>
  <c r="Y941" i="16"/>
  <c r="Z941" i="16" s="1"/>
  <c r="W600" i="16"/>
  <c r="Y600" i="16"/>
  <c r="Z600" i="16" s="1"/>
  <c r="W405" i="16"/>
  <c r="Y405" i="16"/>
  <c r="Z405" i="16" s="1"/>
  <c r="W417" i="16"/>
  <c r="Y417" i="16"/>
  <c r="Z417" i="16" s="1"/>
  <c r="W896" i="16"/>
  <c r="Y896" i="16"/>
  <c r="Z896" i="16" s="1"/>
  <c r="W235" i="16"/>
  <c r="Y235" i="16"/>
  <c r="Z235" i="16" s="1"/>
  <c r="W339" i="16"/>
  <c r="Y339" i="16"/>
  <c r="Z339" i="16" s="1"/>
  <c r="W1307" i="16"/>
  <c r="Y1307" i="16"/>
  <c r="Z1307" i="16" s="1"/>
  <c r="W864" i="16"/>
  <c r="Y864" i="16"/>
  <c r="Z864" i="16" s="1"/>
  <c r="W337" i="16"/>
  <c r="Y337" i="16"/>
  <c r="Z337" i="16" s="1"/>
  <c r="W403" i="16"/>
  <c r="Y403" i="16"/>
  <c r="Z403" i="16" s="1"/>
  <c r="W1299" i="16"/>
  <c r="Y1299" i="16"/>
  <c r="Z1299" i="16" s="1"/>
  <c r="W833" i="16"/>
  <c r="Y833" i="16"/>
  <c r="Z833" i="16" s="1"/>
  <c r="W529" i="16"/>
  <c r="Y529" i="16"/>
  <c r="Z529" i="16" s="1"/>
  <c r="W467" i="16"/>
  <c r="Y467" i="16"/>
  <c r="Z467" i="16" s="1"/>
  <c r="W1291" i="16"/>
  <c r="Y1291" i="16"/>
  <c r="Z1291" i="16" s="1"/>
  <c r="W801" i="16"/>
  <c r="Y801" i="16"/>
  <c r="Z801" i="16" s="1"/>
  <c r="W593" i="16"/>
  <c r="Y593" i="16"/>
  <c r="Z593" i="16" s="1"/>
  <c r="W531" i="16"/>
  <c r="Y531" i="16"/>
  <c r="Z531" i="16" s="1"/>
  <c r="W978" i="16"/>
  <c r="Y978" i="16"/>
  <c r="Z978" i="16" s="1"/>
  <c r="W841" i="16"/>
  <c r="Y841" i="16"/>
  <c r="Z841" i="16" s="1"/>
  <c r="W876" i="16"/>
  <c r="Y876" i="16"/>
  <c r="Z876" i="16" s="1"/>
  <c r="W711" i="16"/>
  <c r="Y711" i="16"/>
  <c r="Z711" i="16" s="1"/>
  <c r="W965" i="16"/>
  <c r="Y965" i="16"/>
  <c r="Z965" i="16" s="1"/>
  <c r="W809" i="16"/>
  <c r="Y809" i="16"/>
  <c r="Z809" i="16" s="1"/>
  <c r="W277" i="16"/>
  <c r="Y277" i="16"/>
  <c r="Z277" i="16" s="1"/>
  <c r="W775" i="16"/>
  <c r="Y775" i="16"/>
  <c r="Z775" i="16" s="1"/>
  <c r="W1853" i="16"/>
  <c r="Y1853" i="16"/>
  <c r="Z1853" i="16" s="1"/>
  <c r="W1341" i="16"/>
  <c r="Y1341" i="16"/>
  <c r="Z1341" i="16" s="1"/>
  <c r="W1356" i="16"/>
  <c r="Y1356" i="16"/>
  <c r="Z1356" i="16" s="1"/>
  <c r="W1859" i="16"/>
  <c r="Y1859" i="16"/>
  <c r="Z1859" i="16" s="1"/>
  <c r="W1347" i="16"/>
  <c r="Y1347" i="16"/>
  <c r="Z1347" i="16" s="1"/>
  <c r="W584" i="16"/>
  <c r="Y584" i="16"/>
  <c r="Z584" i="16" s="1"/>
  <c r="W768" i="16"/>
  <c r="Y768" i="16"/>
  <c r="Z768" i="16" s="1"/>
  <c r="W938" i="16"/>
  <c r="Y938" i="16"/>
  <c r="Z938" i="16" s="1"/>
  <c r="W754" i="16"/>
  <c r="Y754" i="16"/>
  <c r="Z754" i="16" s="1"/>
  <c r="W859" i="16"/>
  <c r="Y859" i="16"/>
  <c r="Z859" i="16" s="1"/>
  <c r="W561" i="16"/>
  <c r="Y561" i="16"/>
  <c r="Z561" i="16" s="1"/>
  <c r="W1653" i="16"/>
  <c r="Y1653" i="16"/>
  <c r="Z1653" i="16" s="1"/>
  <c r="W1141" i="16"/>
  <c r="Y1141" i="16"/>
  <c r="Z1141" i="16" s="1"/>
  <c r="W1156" i="16"/>
  <c r="Y1156" i="16"/>
  <c r="Z1156" i="16" s="1"/>
  <c r="W1659" i="16"/>
  <c r="Y1659" i="16"/>
  <c r="Z1659" i="16" s="1"/>
  <c r="W1147" i="16"/>
  <c r="Y1147" i="16"/>
  <c r="Z1147" i="16" s="1"/>
  <c r="W933" i="16"/>
  <c r="Y933" i="16"/>
  <c r="Z933" i="16" s="1"/>
  <c r="W885" i="16"/>
  <c r="Y885" i="16"/>
  <c r="Z885" i="16" s="1"/>
  <c r="W533" i="16"/>
  <c r="Y533" i="16"/>
  <c r="Z533" i="16" s="1"/>
  <c r="W477" i="16"/>
  <c r="Y477" i="16"/>
  <c r="Z477" i="16" s="1"/>
  <c r="W463" i="16"/>
  <c r="Y463" i="16"/>
  <c r="Z463" i="16" s="1"/>
  <c r="W316" i="16"/>
  <c r="Y316" i="16"/>
  <c r="Z316" i="16" s="1"/>
  <c r="W394" i="16"/>
  <c r="Y394" i="16"/>
  <c r="Z394" i="16" s="1"/>
  <c r="W898" i="16"/>
  <c r="Y898" i="16"/>
  <c r="Z898" i="16" s="1"/>
  <c r="W510" i="16"/>
  <c r="Y510" i="16"/>
  <c r="Z510" i="16" s="1"/>
  <c r="W681" i="16"/>
  <c r="Y681" i="16"/>
  <c r="Z681" i="16" s="1"/>
  <c r="W365" i="16"/>
  <c r="Y365" i="16"/>
  <c r="Z365" i="16" s="1"/>
  <c r="W803" i="16"/>
  <c r="Y803" i="16"/>
  <c r="Z803" i="16" s="1"/>
  <c r="W491" i="16"/>
  <c r="Y491" i="16"/>
  <c r="Z491" i="16" s="1"/>
  <c r="W850" i="16"/>
  <c r="Y850" i="16"/>
  <c r="Z850" i="16" s="1"/>
  <c r="W538" i="16"/>
  <c r="Y538" i="16"/>
  <c r="Z538" i="16" s="1"/>
  <c r="W713" i="16"/>
  <c r="Y713" i="16"/>
  <c r="Z713" i="16" s="1"/>
  <c r="W209" i="16"/>
  <c r="Y209" i="16"/>
  <c r="Z209" i="16" s="1"/>
  <c r="W167" i="16"/>
  <c r="Y167" i="16"/>
  <c r="Z167" i="16" s="1"/>
  <c r="W710" i="16"/>
  <c r="Y710" i="16"/>
  <c r="Z710" i="16" s="1"/>
  <c r="W398" i="16"/>
  <c r="Y398" i="16"/>
  <c r="Z398" i="16" s="1"/>
  <c r="W645" i="16"/>
  <c r="Y645" i="16"/>
  <c r="Z645" i="16" s="1"/>
  <c r="W333" i="16"/>
  <c r="Y333" i="16"/>
  <c r="Z333" i="16" s="1"/>
  <c r="W574" i="16"/>
  <c r="Y574" i="16"/>
  <c r="Z574" i="16" s="1"/>
  <c r="W821" i="16"/>
  <c r="Y821" i="16"/>
  <c r="Z821" i="16" s="1"/>
  <c r="W509" i="16"/>
  <c r="Y509" i="16"/>
  <c r="Z509" i="16" s="1"/>
  <c r="W860" i="16"/>
  <c r="Y860" i="16"/>
  <c r="Z860" i="16" s="1"/>
  <c r="W548" i="16"/>
  <c r="Y548" i="16"/>
  <c r="Z548" i="16" s="1"/>
  <c r="W170" i="16"/>
  <c r="Y170" i="16"/>
  <c r="Z170" i="16" s="1"/>
  <c r="W162" i="16"/>
  <c r="Y162" i="16"/>
  <c r="Z162" i="16" s="1"/>
  <c r="W118" i="16"/>
  <c r="Y118" i="16"/>
  <c r="Z118" i="16" s="1"/>
  <c r="W762" i="16"/>
  <c r="Y762" i="16"/>
  <c r="Z762" i="16" s="1"/>
  <c r="W642" i="16"/>
  <c r="Y642" i="16"/>
  <c r="Z642" i="16" s="1"/>
  <c r="W330" i="16"/>
  <c r="Y330" i="16"/>
  <c r="Z330" i="16" s="1"/>
  <c r="W505" i="16"/>
  <c r="Y505" i="16"/>
  <c r="Z505" i="16" s="1"/>
  <c r="W871" i="16"/>
  <c r="Y871" i="16"/>
  <c r="Z871" i="16" s="1"/>
  <c r="W559" i="16"/>
  <c r="Y559" i="16"/>
  <c r="Z559" i="16" s="1"/>
  <c r="W926" i="16"/>
  <c r="Y926" i="16"/>
  <c r="Z926" i="16" s="1"/>
  <c r="W191" i="16"/>
  <c r="Y191" i="16"/>
  <c r="Z191" i="16" s="1"/>
  <c r="W149" i="16"/>
  <c r="Y149" i="16"/>
  <c r="Z149" i="16" s="1"/>
  <c r="W747" i="16"/>
  <c r="Y747" i="16"/>
  <c r="Z747" i="16" s="1"/>
  <c r="W435" i="16"/>
  <c r="Y435" i="16"/>
  <c r="Z435" i="16" s="1"/>
  <c r="W794" i="16"/>
  <c r="Y794" i="16"/>
  <c r="Z794" i="16" s="1"/>
  <c r="W482" i="16"/>
  <c r="Y482" i="16"/>
  <c r="Z482" i="16" s="1"/>
  <c r="W97" i="16"/>
  <c r="Y97" i="16"/>
  <c r="Z97" i="16" s="1"/>
  <c r="W103" i="16"/>
  <c r="Y103" i="16"/>
  <c r="Z103" i="16" s="1"/>
  <c r="W455" i="16"/>
  <c r="Y455" i="16"/>
  <c r="Z455" i="16" s="1"/>
  <c r="W886" i="16"/>
  <c r="Y886" i="16"/>
  <c r="Z886" i="16" s="1"/>
  <c r="W766" i="16"/>
  <c r="Y766" i="16"/>
  <c r="Z766" i="16" s="1"/>
  <c r="W454" i="16"/>
  <c r="Y454" i="16"/>
  <c r="Z454" i="16" s="1"/>
  <c r="W701" i="16"/>
  <c r="Y701" i="16"/>
  <c r="Z701" i="16" s="1"/>
  <c r="W389" i="16"/>
  <c r="Y389" i="16"/>
  <c r="Z389" i="16" s="1"/>
  <c r="W740" i="16"/>
  <c r="Y740" i="16"/>
  <c r="Z740" i="16" s="1"/>
  <c r="W122" i="16"/>
  <c r="Y122" i="16"/>
  <c r="Z122" i="16" s="1"/>
  <c r="W114" i="16"/>
  <c r="Y114" i="16"/>
  <c r="Z114" i="16" s="1"/>
  <c r="W94" i="16"/>
  <c r="Y94" i="16"/>
  <c r="Z94" i="16" s="1"/>
  <c r="W697" i="16"/>
  <c r="Y697" i="16"/>
  <c r="Z697" i="16" s="1"/>
  <c r="W385" i="16"/>
  <c r="Y385" i="16"/>
  <c r="Z385" i="16" s="1"/>
  <c r="W751" i="16"/>
  <c r="Y751" i="16"/>
  <c r="Z751" i="16" s="1"/>
  <c r="W439" i="16"/>
  <c r="Y439" i="16"/>
  <c r="Z439" i="16" s="1"/>
  <c r="W200" i="16"/>
  <c r="Y200" i="16"/>
  <c r="Z200" i="16" s="1"/>
  <c r="W143" i="16"/>
  <c r="Y143" i="16"/>
  <c r="Z143" i="16" s="1"/>
  <c r="W125" i="16"/>
  <c r="Y125" i="16"/>
  <c r="Z125" i="16" s="1"/>
  <c r="W939" i="16"/>
  <c r="Y939" i="16"/>
  <c r="Z939" i="16" s="1"/>
  <c r="W627" i="16"/>
  <c r="Y627" i="16"/>
  <c r="Z627" i="16" s="1"/>
  <c r="W315" i="16"/>
  <c r="Y315" i="16"/>
  <c r="Z315" i="16" s="1"/>
  <c r="W674" i="16"/>
  <c r="Y674" i="16"/>
  <c r="Z674" i="16" s="1"/>
  <c r="W196" i="16"/>
  <c r="Y196" i="16"/>
  <c r="Z196" i="16" s="1"/>
  <c r="W211" i="16"/>
  <c r="Y211" i="16"/>
  <c r="Z211" i="16" s="1"/>
  <c r="T2074" i="16"/>
  <c r="T701" i="16"/>
  <c r="T1430" i="16"/>
  <c r="T713" i="16"/>
  <c r="T1197" i="16"/>
  <c r="T1381" i="16"/>
  <c r="T176" i="16"/>
  <c r="T533" i="16"/>
  <c r="T281" i="16"/>
  <c r="T293" i="16"/>
  <c r="T84" i="16"/>
  <c r="T350" i="16"/>
  <c r="T258" i="16"/>
  <c r="W2139" i="16"/>
  <c r="Y2139" i="16"/>
  <c r="Z2139" i="16" s="1"/>
  <c r="W1798" i="16"/>
  <c r="Y1798" i="16"/>
  <c r="Z1798" i="16" s="1"/>
  <c r="W2416" i="16"/>
  <c r="AB2416" i="16"/>
  <c r="AC2416" i="16" s="1"/>
  <c r="Y2416" i="16"/>
  <c r="Z2416" i="16" s="1"/>
  <c r="W2566" i="16"/>
  <c r="AB2566" i="16"/>
  <c r="AC2566" i="16" s="1"/>
  <c r="Y2566" i="16"/>
  <c r="Z2566" i="16" s="1"/>
  <c r="W2235" i="16"/>
  <c r="Y2235" i="16"/>
  <c r="Z2235" i="16" s="1"/>
  <c r="W2141" i="16"/>
  <c r="Y2141" i="16"/>
  <c r="Z2141" i="16" s="1"/>
  <c r="W2385" i="16"/>
  <c r="AB2385" i="16"/>
  <c r="AC2385" i="16" s="1"/>
  <c r="Y2385" i="16"/>
  <c r="Z2385" i="16" s="1"/>
  <c r="W2498" i="16"/>
  <c r="AB2498" i="16"/>
  <c r="AC2498" i="16" s="1"/>
  <c r="Y2498" i="16"/>
  <c r="Z2498" i="16" s="1"/>
  <c r="W1553" i="16"/>
  <c r="Y1553" i="16"/>
  <c r="Z1553" i="16" s="1"/>
  <c r="W2382" i="16"/>
  <c r="AB2382" i="16"/>
  <c r="AC2382" i="16" s="1"/>
  <c r="Y2382" i="16"/>
  <c r="Z2382" i="16" s="1"/>
  <c r="W2548" i="16"/>
  <c r="AB2548" i="16"/>
  <c r="AC2548" i="16" s="1"/>
  <c r="Y2548" i="16"/>
  <c r="Z2548" i="16" s="1"/>
  <c r="W1855" i="16"/>
  <c r="Y1855" i="16"/>
  <c r="Z1855" i="16" s="1"/>
  <c r="T521" i="16"/>
  <c r="W2529" i="16"/>
  <c r="AB2529" i="16"/>
  <c r="AC2529" i="16" s="1"/>
  <c r="Y2529" i="16"/>
  <c r="Z2529" i="16" s="1"/>
  <c r="W1400" i="16"/>
  <c r="Y1400" i="16"/>
  <c r="Z1400" i="16" s="1"/>
  <c r="W2384" i="16"/>
  <c r="AB2384" i="16"/>
  <c r="AC2384" i="16" s="1"/>
  <c r="Y2384" i="16"/>
  <c r="Z2384" i="16" s="1"/>
  <c r="W2550" i="16"/>
  <c r="AB2550" i="16"/>
  <c r="AC2550" i="16" s="1"/>
  <c r="Y2550" i="16"/>
  <c r="Z2550" i="16" s="1"/>
  <c r="W2107" i="16"/>
  <c r="Y2107" i="16"/>
  <c r="Z2107" i="16" s="1"/>
  <c r="W2125" i="16"/>
  <c r="Y2125" i="16"/>
  <c r="Z2125" i="16" s="1"/>
  <c r="T2131" i="16"/>
  <c r="W2555" i="16"/>
  <c r="AB2555" i="16"/>
  <c r="AC2555" i="16" s="1"/>
  <c r="Y2555" i="16"/>
  <c r="Z2555" i="16" s="1"/>
  <c r="W2299" i="16"/>
  <c r="Y2299" i="16"/>
  <c r="Z2299" i="16" s="1"/>
  <c r="W2455" i="16"/>
  <c r="AB2455" i="16"/>
  <c r="AC2455" i="16" s="1"/>
  <c r="Y2455" i="16"/>
  <c r="Z2455" i="16" s="1"/>
  <c r="W2605" i="16"/>
  <c r="AB2605" i="16"/>
  <c r="AC2605" i="16" s="1"/>
  <c r="Y2605" i="16"/>
  <c r="Z2605" i="16" s="1"/>
  <c r="W2356" i="16"/>
  <c r="AB2356" i="16"/>
  <c r="AC2356" i="16" s="1"/>
  <c r="Y2356" i="16"/>
  <c r="Z2356" i="16" s="1"/>
  <c r="W2537" i="16"/>
  <c r="AB2537" i="16"/>
  <c r="AC2537" i="16" s="1"/>
  <c r="Y2537" i="16"/>
  <c r="Z2537" i="16" s="1"/>
  <c r="W2219" i="16"/>
  <c r="Y2219" i="16"/>
  <c r="Z2219" i="16" s="1"/>
  <c r="W2448" i="16"/>
  <c r="AB2448" i="16"/>
  <c r="AC2448" i="16" s="1"/>
  <c r="Y2448" i="16"/>
  <c r="Z2448" i="16" s="1"/>
  <c r="W2614" i="16"/>
  <c r="AB2614" i="16"/>
  <c r="AC2614" i="16" s="1"/>
  <c r="Y2614" i="16"/>
  <c r="Z2614" i="16" s="1"/>
  <c r="W2339" i="16"/>
  <c r="AB2339" i="16"/>
  <c r="AC2339" i="16" s="1"/>
  <c r="Y2339" i="16"/>
  <c r="Z2339" i="16" s="1"/>
  <c r="W2205" i="16"/>
  <c r="Y2205" i="16"/>
  <c r="Z2205" i="16" s="1"/>
  <c r="W2539" i="16"/>
  <c r="AB2539" i="16"/>
  <c r="AC2539" i="16" s="1"/>
  <c r="Y2539" i="16"/>
  <c r="Z2539" i="16" s="1"/>
  <c r="W2083" i="16"/>
  <c r="Y2083" i="16"/>
  <c r="Z2083" i="16" s="1"/>
  <c r="W2439" i="16"/>
  <c r="AB2439" i="16"/>
  <c r="AC2439" i="16" s="1"/>
  <c r="Y2439" i="16"/>
  <c r="Z2439" i="16" s="1"/>
  <c r="W2589" i="16"/>
  <c r="AB2589" i="16"/>
  <c r="AC2589" i="16" s="1"/>
  <c r="Y2589" i="16"/>
  <c r="Z2589" i="16" s="1"/>
  <c r="W2320" i="16"/>
  <c r="AB2320" i="16"/>
  <c r="AC2320" i="16" s="1"/>
  <c r="Y2320" i="16"/>
  <c r="Z2320" i="16" s="1"/>
  <c r="T1604" i="16"/>
  <c r="T1555" i="16"/>
  <c r="W2203" i="16"/>
  <c r="Y2203" i="16"/>
  <c r="Z2203" i="16" s="1"/>
  <c r="W2435" i="16"/>
  <c r="AB2435" i="16"/>
  <c r="AC2435" i="16" s="1"/>
  <c r="Y2435" i="16"/>
  <c r="Z2435" i="16" s="1"/>
  <c r="W2608" i="16"/>
  <c r="AB2608" i="16"/>
  <c r="AC2608" i="16" s="1"/>
  <c r="Y2608" i="16"/>
  <c r="Z2608" i="16" s="1"/>
  <c r="W2332" i="16"/>
  <c r="AB2332" i="16"/>
  <c r="AC2332" i="16" s="1"/>
  <c r="Y2332" i="16"/>
  <c r="Z2332" i="16" s="1"/>
  <c r="W2485" i="16"/>
  <c r="AB2485" i="16"/>
  <c r="AC2485" i="16" s="1"/>
  <c r="Y2485" i="16"/>
  <c r="Z2485" i="16" s="1"/>
  <c r="W1663" i="16"/>
  <c r="Y1663" i="16"/>
  <c r="Z1663" i="16" s="1"/>
  <c r="W2441" i="16"/>
  <c r="AB2441" i="16"/>
  <c r="AC2441" i="16" s="1"/>
  <c r="Y2441" i="16"/>
  <c r="Z2441" i="16" s="1"/>
  <c r="W2434" i="16"/>
  <c r="AB2434" i="16"/>
  <c r="AC2434" i="16" s="1"/>
  <c r="Y2434" i="16"/>
  <c r="Z2434" i="16" s="1"/>
  <c r="W2583" i="16"/>
  <c r="AB2583" i="16"/>
  <c r="AC2583" i="16" s="1"/>
  <c r="Y2583" i="16"/>
  <c r="Z2583" i="16" s="1"/>
  <c r="W2313" i="16"/>
  <c r="AB2313" i="16"/>
  <c r="AC2313" i="16" s="1"/>
  <c r="Y2313" i="16"/>
  <c r="Z2313" i="16" s="1"/>
  <c r="W2484" i="16"/>
  <c r="AB2484" i="16"/>
  <c r="AC2484" i="16" s="1"/>
  <c r="Y2484" i="16"/>
  <c r="Z2484" i="16" s="1"/>
  <c r="W1695" i="16"/>
  <c r="Y1695" i="16"/>
  <c r="Z1695" i="16" s="1"/>
  <c r="W2618" i="16"/>
  <c r="AB2618" i="16"/>
  <c r="AC2618" i="16" s="1"/>
  <c r="Y2618" i="16"/>
  <c r="Z2618" i="16" s="1"/>
  <c r="W2528" i="16"/>
  <c r="AB2528" i="16"/>
  <c r="AC2528" i="16" s="1"/>
  <c r="Y2528" i="16"/>
  <c r="Z2528" i="16" s="1"/>
  <c r="W2431" i="16"/>
  <c r="AB2431" i="16"/>
  <c r="AC2431" i="16" s="1"/>
  <c r="Y2431" i="16"/>
  <c r="Z2431" i="16" s="1"/>
  <c r="W2340" i="16"/>
  <c r="AB2340" i="16"/>
  <c r="AC2340" i="16" s="1"/>
  <c r="Y2340" i="16"/>
  <c r="Z2340" i="16" s="1"/>
  <c r="W1820" i="16"/>
  <c r="Y1820" i="16"/>
  <c r="Z1820" i="16" s="1"/>
  <c r="W2293" i="16"/>
  <c r="Y2293" i="16"/>
  <c r="Z2293" i="16" s="1"/>
  <c r="W1672" i="16"/>
  <c r="Y1672" i="16"/>
  <c r="Z1672" i="16" s="1"/>
  <c r="W1928" i="16"/>
  <c r="Y1928" i="16"/>
  <c r="Z1928" i="16" s="1"/>
  <c r="W2074" i="16"/>
  <c r="Y2074" i="16"/>
  <c r="Z2074" i="16" s="1"/>
  <c r="W2241" i="16"/>
  <c r="Y2241" i="16"/>
  <c r="Z2241" i="16" s="1"/>
  <c r="W1489" i="16"/>
  <c r="Y1489" i="16"/>
  <c r="Z1489" i="16" s="1"/>
  <c r="W1848" i="16"/>
  <c r="Y1848" i="16"/>
  <c r="Z1848" i="16" s="1"/>
  <c r="W2246" i="16"/>
  <c r="Y2246" i="16"/>
  <c r="Z2246" i="16" s="1"/>
  <c r="W1216" i="16"/>
  <c r="Y1216" i="16"/>
  <c r="Z1216" i="16" s="1"/>
  <c r="W1657" i="16"/>
  <c r="Y1657" i="16"/>
  <c r="Z1657" i="16" s="1"/>
  <c r="W1086" i="16"/>
  <c r="Y1086" i="16"/>
  <c r="Z1086" i="16" s="1"/>
  <c r="W2443" i="16"/>
  <c r="AB2443" i="16"/>
  <c r="AC2443" i="16" s="1"/>
  <c r="Y2443" i="16"/>
  <c r="Z2443" i="16" s="1"/>
  <c r="W2354" i="16"/>
  <c r="AB2354" i="16"/>
  <c r="AC2354" i="16" s="1"/>
  <c r="Y2354" i="16"/>
  <c r="Z2354" i="16" s="1"/>
  <c r="W2003" i="16"/>
  <c r="Y2003" i="16"/>
  <c r="Z2003" i="16" s="1"/>
  <c r="W2590" i="16"/>
  <c r="AB2590" i="16"/>
  <c r="AC2590" i="16" s="1"/>
  <c r="Y2590" i="16"/>
  <c r="Z2590" i="16" s="1"/>
  <c r="W2493" i="16"/>
  <c r="AB2493" i="16"/>
  <c r="AC2493" i="16" s="1"/>
  <c r="Y2493" i="16"/>
  <c r="Z2493" i="16" s="1"/>
  <c r="W2404" i="16"/>
  <c r="AB2404" i="16"/>
  <c r="AC2404" i="16" s="1"/>
  <c r="Y2404" i="16"/>
  <c r="Z2404" i="16" s="1"/>
  <c r="W2029" i="16"/>
  <c r="Y2029" i="16"/>
  <c r="Z2029" i="16" s="1"/>
  <c r="W2180" i="16"/>
  <c r="Y2180" i="16"/>
  <c r="Z2180" i="16" s="1"/>
  <c r="W1231" i="16"/>
  <c r="Y1231" i="16"/>
  <c r="Z1231" i="16" s="1"/>
  <c r="W1748" i="16"/>
  <c r="Y1748" i="16"/>
  <c r="Z1748" i="16" s="1"/>
  <c r="W1977" i="16"/>
  <c r="Y1977" i="16"/>
  <c r="Z1977" i="16" s="1"/>
  <c r="W2120" i="16"/>
  <c r="Y2120" i="16"/>
  <c r="Z2120" i="16" s="1"/>
  <c r="W2087" i="16"/>
  <c r="Y2087" i="16"/>
  <c r="Z2087" i="16" s="1"/>
  <c r="W1479" i="16"/>
  <c r="Y1479" i="16"/>
  <c r="Z1479" i="16" s="1"/>
  <c r="W1626" i="16"/>
  <c r="Y1626" i="16"/>
  <c r="Z1626" i="16" s="1"/>
  <c r="W1314" i="16"/>
  <c r="Y1314" i="16"/>
  <c r="Z1314" i="16" s="1"/>
  <c r="W1541" i="16"/>
  <c r="Y1541" i="16"/>
  <c r="Z1541" i="16" s="1"/>
  <c r="W1788" i="16"/>
  <c r="Y1788" i="16"/>
  <c r="Z1788" i="16" s="1"/>
  <c r="W1980" i="16"/>
  <c r="Y1980" i="16"/>
  <c r="Z1980" i="16" s="1"/>
  <c r="W2122" i="16"/>
  <c r="Y2122" i="16"/>
  <c r="Z2122" i="16" s="1"/>
  <c r="W2289" i="16"/>
  <c r="Y2289" i="16"/>
  <c r="Z2289" i="16" s="1"/>
  <c r="W1660" i="16"/>
  <c r="Y1660" i="16"/>
  <c r="Z1660" i="16" s="1"/>
  <c r="W1912" i="16"/>
  <c r="Y1912" i="16"/>
  <c r="Z1912" i="16" s="1"/>
  <c r="W1350" i="16"/>
  <c r="Y1350" i="16"/>
  <c r="Z1350" i="16" s="1"/>
  <c r="W1401" i="16"/>
  <c r="Y1401" i="16"/>
  <c r="Z1401" i="16" s="1"/>
  <c r="W912" i="16"/>
  <c r="Y912" i="16"/>
  <c r="Z912" i="16" s="1"/>
  <c r="W1352" i="16"/>
  <c r="Y1352" i="16"/>
  <c r="Z1352" i="16" s="1"/>
  <c r="W2228" i="16"/>
  <c r="Y2228" i="16"/>
  <c r="Z2228" i="16" s="1"/>
  <c r="W1439" i="16"/>
  <c r="Y1439" i="16"/>
  <c r="Z1439" i="16" s="1"/>
  <c r="W1830" i="16"/>
  <c r="Y1830" i="16"/>
  <c r="Z1830" i="16" s="1"/>
  <c r="W2025" i="16"/>
  <c r="Y2025" i="16"/>
  <c r="Z2025" i="16" s="1"/>
  <c r="W2168" i="16"/>
  <c r="Y2168" i="16"/>
  <c r="Z2168" i="16" s="1"/>
  <c r="W2191" i="16"/>
  <c r="Y2191" i="16"/>
  <c r="Z2191" i="16" s="1"/>
  <c r="W1790" i="16"/>
  <c r="Y1790" i="16"/>
  <c r="Z1790" i="16" s="1"/>
  <c r="W1766" i="16"/>
  <c r="Y1766" i="16"/>
  <c r="Z1766" i="16" s="1"/>
  <c r="W1518" i="16"/>
  <c r="Y1518" i="16"/>
  <c r="Z1518" i="16" s="1"/>
  <c r="W1709" i="16"/>
  <c r="Y1709" i="16"/>
  <c r="Z1709" i="16" s="1"/>
  <c r="W1964" i="16"/>
  <c r="Y1964" i="16"/>
  <c r="Z1964" i="16" s="1"/>
  <c r="W2106" i="16"/>
  <c r="Y2106" i="16"/>
  <c r="Z2106" i="16" s="1"/>
  <c r="W2273" i="16"/>
  <c r="Y2273" i="16"/>
  <c r="Z2273" i="16" s="1"/>
  <c r="W1599" i="16"/>
  <c r="Y1599" i="16"/>
  <c r="Z1599" i="16" s="1"/>
  <c r="W1890" i="16"/>
  <c r="Y1890" i="16"/>
  <c r="Z1890" i="16" s="1"/>
  <c r="W1102" i="16"/>
  <c r="Y1102" i="16"/>
  <c r="Z1102" i="16" s="1"/>
  <c r="W1326" i="16"/>
  <c r="Y1326" i="16"/>
  <c r="Z1326" i="16" s="1"/>
  <c r="W392" i="16"/>
  <c r="Y392" i="16"/>
  <c r="Z392" i="16" s="1"/>
  <c r="W1249" i="16"/>
  <c r="Y1249" i="16"/>
  <c r="Z1249" i="16" s="1"/>
  <c r="W2212" i="16"/>
  <c r="Y2212" i="16"/>
  <c r="Z2212" i="16" s="1"/>
  <c r="W1374" i="16"/>
  <c r="Y1374" i="16"/>
  <c r="Z1374" i="16" s="1"/>
  <c r="W1808" i="16"/>
  <c r="Y1808" i="16"/>
  <c r="Z1808" i="16" s="1"/>
  <c r="W2009" i="16"/>
  <c r="Y2009" i="16"/>
  <c r="Z2009" i="16" s="1"/>
  <c r="W2152" i="16"/>
  <c r="Y2152" i="16"/>
  <c r="Z2152" i="16" s="1"/>
  <c r="W2151" i="16"/>
  <c r="Y2151" i="16"/>
  <c r="Z2151" i="16" s="1"/>
  <c r="W1698" i="16"/>
  <c r="Y1698" i="16"/>
  <c r="Z1698" i="16" s="1"/>
  <c r="W1712" i="16"/>
  <c r="Y1712" i="16"/>
  <c r="Z1712" i="16" s="1"/>
  <c r="W1464" i="16"/>
  <c r="Y1464" i="16"/>
  <c r="Z1464" i="16" s="1"/>
  <c r="W1637" i="16"/>
  <c r="Y1637" i="16"/>
  <c r="Z1637" i="16" s="1"/>
  <c r="W1833" i="16"/>
  <c r="Y1833" i="16"/>
  <c r="Z1833" i="16" s="1"/>
  <c r="W2012" i="16"/>
  <c r="Y2012" i="16"/>
  <c r="Z2012" i="16" s="1"/>
  <c r="W2154" i="16"/>
  <c r="Y2154" i="16"/>
  <c r="Z2154" i="16" s="1"/>
  <c r="W1058" i="16"/>
  <c r="Y1058" i="16"/>
  <c r="Z1058" i="16" s="1"/>
  <c r="W1746" i="16"/>
  <c r="Y1746" i="16"/>
  <c r="Z1746" i="16" s="1"/>
  <c r="W1951" i="16"/>
  <c r="Y1951" i="16"/>
  <c r="Z1951" i="16" s="1"/>
  <c r="W1596" i="16"/>
  <c r="Y1596" i="16"/>
  <c r="Z1596" i="16" s="1"/>
  <c r="W1494" i="16"/>
  <c r="Y1494" i="16"/>
  <c r="Z1494" i="16" s="1"/>
  <c r="W1112" i="16"/>
  <c r="Y1112" i="16"/>
  <c r="Z1112" i="16" s="1"/>
  <c r="W1473" i="16"/>
  <c r="Y1473" i="16"/>
  <c r="Z1473" i="16" s="1"/>
  <c r="W2260" i="16"/>
  <c r="Y2260" i="16"/>
  <c r="Z2260" i="16" s="1"/>
  <c r="W1554" i="16"/>
  <c r="Y1554" i="16"/>
  <c r="Z1554" i="16" s="1"/>
  <c r="W1872" i="16"/>
  <c r="Y1872" i="16"/>
  <c r="Z1872" i="16" s="1"/>
  <c r="W2057" i="16"/>
  <c r="Y2057" i="16"/>
  <c r="Z2057" i="16" s="1"/>
  <c r="W2200" i="16"/>
  <c r="Y2200" i="16"/>
  <c r="Z2200" i="16" s="1"/>
  <c r="W2255" i="16"/>
  <c r="Y2255" i="16"/>
  <c r="Z2255" i="16" s="1"/>
  <c r="W1878" i="16"/>
  <c r="Y1878" i="16"/>
  <c r="Z1878" i="16" s="1"/>
  <c r="W964" i="16"/>
  <c r="Y964" i="16"/>
  <c r="Z964" i="16" s="1"/>
  <c r="W1646" i="16"/>
  <c r="Y1646" i="16"/>
  <c r="Z1646" i="16" s="1"/>
  <c r="W1821" i="16"/>
  <c r="Y1821" i="16"/>
  <c r="Z1821" i="16" s="1"/>
  <c r="W2183" i="16"/>
  <c r="Y2183" i="16"/>
  <c r="Z2183" i="16" s="1"/>
  <c r="W1247" i="16"/>
  <c r="Y1247" i="16"/>
  <c r="Z1247" i="16" s="1"/>
  <c r="W1775" i="16"/>
  <c r="Y1775" i="16"/>
  <c r="Z1775" i="16" s="1"/>
  <c r="W1362" i="16"/>
  <c r="Y1362" i="16"/>
  <c r="Z1362" i="16" s="1"/>
  <c r="W1754" i="16"/>
  <c r="Y1754" i="16"/>
  <c r="Z1754" i="16" s="1"/>
  <c r="W785" i="16"/>
  <c r="Y785" i="16"/>
  <c r="Z785" i="16" s="1"/>
  <c r="W1506" i="16"/>
  <c r="Y1506" i="16"/>
  <c r="Z1506" i="16" s="1"/>
  <c r="W1313" i="16"/>
  <c r="Y1313" i="16"/>
  <c r="Z1313" i="16" s="1"/>
  <c r="W1701" i="16"/>
  <c r="Y1701" i="16"/>
  <c r="Z1701" i="16" s="1"/>
  <c r="W1316" i="16"/>
  <c r="Y1316" i="16"/>
  <c r="Z1316" i="16" s="1"/>
  <c r="W1435" i="16"/>
  <c r="Y1435" i="16"/>
  <c r="Z1435" i="16" s="1"/>
  <c r="W1911" i="16"/>
  <c r="Y1911" i="16"/>
  <c r="Z1911" i="16" s="1"/>
  <c r="W2070" i="16"/>
  <c r="Y2070" i="16"/>
  <c r="Z2070" i="16" s="1"/>
  <c r="W1706" i="16"/>
  <c r="Y1706" i="16"/>
  <c r="Z1706" i="16" s="1"/>
  <c r="W328" i="16"/>
  <c r="Y328" i="16"/>
  <c r="Z328" i="16" s="1"/>
  <c r="W1394" i="16"/>
  <c r="Y1394" i="16"/>
  <c r="Z1394" i="16" s="1"/>
  <c r="W1318" i="16"/>
  <c r="Y1318" i="16"/>
  <c r="Z1318" i="16" s="1"/>
  <c r="W1772" i="16"/>
  <c r="Y1772" i="16"/>
  <c r="Z1772" i="16" s="1"/>
  <c r="W1084" i="16"/>
  <c r="Y1084" i="16"/>
  <c r="Z1084" i="16" s="1"/>
  <c r="W1229" i="16"/>
  <c r="Y1229" i="16"/>
  <c r="Z1229" i="16" s="1"/>
  <c r="W1875" i="16"/>
  <c r="Y1875" i="16"/>
  <c r="Z1875" i="16" s="1"/>
  <c r="W2231" i="16"/>
  <c r="Y2231" i="16"/>
  <c r="Z2231" i="16" s="1"/>
  <c r="W1449" i="16"/>
  <c r="Y1449" i="16"/>
  <c r="Z1449" i="16" s="1"/>
  <c r="W1846" i="16"/>
  <c r="Y1846" i="16"/>
  <c r="Z1846" i="16" s="1"/>
  <c r="W1440" i="16"/>
  <c r="Y1440" i="16"/>
  <c r="Z1440" i="16" s="1"/>
  <c r="W312" i="16"/>
  <c r="Y312" i="16"/>
  <c r="Z312" i="16" s="1"/>
  <c r="W1008" i="16"/>
  <c r="Y1008" i="16"/>
  <c r="Z1008" i="16" s="1"/>
  <c r="W1592" i="16"/>
  <c r="Y1592" i="16"/>
  <c r="Z1592" i="16" s="1"/>
  <c r="W1416" i="16"/>
  <c r="Y1416" i="16"/>
  <c r="Z1416" i="16" s="1"/>
  <c r="W1797" i="16"/>
  <c r="Y1797" i="16"/>
  <c r="Z1797" i="16" s="1"/>
  <c r="W1396" i="16"/>
  <c r="Y1396" i="16"/>
  <c r="Z1396" i="16" s="1"/>
  <c r="W1515" i="16"/>
  <c r="Y1515" i="16"/>
  <c r="Z1515" i="16" s="1"/>
  <c r="W544" i="16"/>
  <c r="Y544" i="16"/>
  <c r="Z544" i="16" s="1"/>
  <c r="W1380" i="16"/>
  <c r="Y1380" i="16"/>
  <c r="Z1380" i="16" s="1"/>
  <c r="W1483" i="16"/>
  <c r="Y1483" i="16"/>
  <c r="Z1483" i="16" s="1"/>
  <c r="W1907" i="16"/>
  <c r="Y1907" i="16"/>
  <c r="Z1907" i="16" s="1"/>
  <c r="W2263" i="16"/>
  <c r="Y2263" i="16"/>
  <c r="Z2263" i="16" s="1"/>
  <c r="W1566" i="16"/>
  <c r="Y1566" i="16"/>
  <c r="Z1566" i="16" s="1"/>
  <c r="W1888" i="16"/>
  <c r="Y1888" i="16"/>
  <c r="Z1888" i="16" s="1"/>
  <c r="W1482" i="16"/>
  <c r="Y1482" i="16"/>
  <c r="Z1482" i="16" s="1"/>
  <c r="W989" i="16"/>
  <c r="Y989" i="16"/>
  <c r="Z989" i="16" s="1"/>
  <c r="W1094" i="16"/>
  <c r="Y1094" i="16"/>
  <c r="Z1094" i="16" s="1"/>
  <c r="W1656" i="16"/>
  <c r="Y1656" i="16"/>
  <c r="Z1656" i="16" s="1"/>
  <c r="W1463" i="16"/>
  <c r="Y1463" i="16"/>
  <c r="Z1463" i="16" s="1"/>
  <c r="W1861" i="16"/>
  <c r="Y1861" i="16"/>
  <c r="Z1861" i="16" s="1"/>
  <c r="W560" i="16"/>
  <c r="Y560" i="16"/>
  <c r="Z560" i="16" s="1"/>
  <c r="W1563" i="16"/>
  <c r="Y1563" i="16"/>
  <c r="Z1563" i="16" s="1"/>
  <c r="W944" i="16"/>
  <c r="Y944" i="16"/>
  <c r="Z944" i="16" s="1"/>
  <c r="W1700" i="16"/>
  <c r="Y1700" i="16"/>
  <c r="Z1700" i="16" s="1"/>
  <c r="W1624" i="16"/>
  <c r="Y1624" i="16"/>
  <c r="Z1624" i="16" s="1"/>
  <c r="W1665" i="16"/>
  <c r="Y1665" i="16"/>
  <c r="Z1665" i="16" s="1"/>
  <c r="W1185" i="16"/>
  <c r="Y1185" i="16"/>
  <c r="Z1185" i="16" s="1"/>
  <c r="W1581" i="16"/>
  <c r="Y1581" i="16"/>
  <c r="Z1581" i="16" s="1"/>
  <c r="W1436" i="16"/>
  <c r="Y1436" i="16"/>
  <c r="Z1436" i="16" s="1"/>
  <c r="W1763" i="16"/>
  <c r="Y1763" i="16"/>
  <c r="Z1763" i="16" s="1"/>
  <c r="W1065" i="16"/>
  <c r="Y1065" i="16"/>
  <c r="Z1065" i="16" s="1"/>
  <c r="W968" i="16"/>
  <c r="Y968" i="16"/>
  <c r="Z968" i="16" s="1"/>
  <c r="W364" i="16"/>
  <c r="Y364" i="16"/>
  <c r="Z364" i="16" s="1"/>
  <c r="W750" i="16"/>
  <c r="Y750" i="16"/>
  <c r="Z750" i="16" s="1"/>
  <c r="W1519" i="16"/>
  <c r="Y1519" i="16"/>
  <c r="Z1519" i="16" s="1"/>
  <c r="W1442" i="16"/>
  <c r="Y1442" i="16"/>
  <c r="Z1442" i="16" s="1"/>
  <c r="W1484" i="16"/>
  <c r="Y1484" i="16"/>
  <c r="Z1484" i="16" s="1"/>
  <c r="W1009" i="16"/>
  <c r="Y1009" i="16"/>
  <c r="Z1009" i="16" s="1"/>
  <c r="W1413" i="16"/>
  <c r="Y1413" i="16"/>
  <c r="Z1413" i="16" s="1"/>
  <c r="W1252" i="16"/>
  <c r="Y1252" i="16"/>
  <c r="Z1252" i="16" s="1"/>
  <c r="W1579" i="16"/>
  <c r="Y1579" i="16"/>
  <c r="Z1579" i="16" s="1"/>
  <c r="W352" i="16"/>
  <c r="Y352" i="16"/>
  <c r="Z352" i="16" s="1"/>
  <c r="W384" i="16"/>
  <c r="Y384" i="16"/>
  <c r="Z384" i="16" s="1"/>
  <c r="W614" i="16"/>
  <c r="Y614" i="16"/>
  <c r="Z614" i="16" s="1"/>
  <c r="W475" i="16"/>
  <c r="Y475" i="16"/>
  <c r="Z475" i="16" s="1"/>
  <c r="W264" i="16"/>
  <c r="Y264" i="16"/>
  <c r="Z264" i="16" s="1"/>
  <c r="W554" i="16"/>
  <c r="Y554" i="16"/>
  <c r="Z554" i="16" s="1"/>
  <c r="W308" i="16"/>
  <c r="Y308" i="16"/>
  <c r="Z308" i="16" s="1"/>
  <c r="W1227" i="16"/>
  <c r="Y1227" i="16"/>
  <c r="Z1227" i="16" s="1"/>
  <c r="W252" i="16"/>
  <c r="Y252" i="16"/>
  <c r="Z252" i="16" s="1"/>
  <c r="W618" i="16"/>
  <c r="Y618" i="16"/>
  <c r="Z618" i="16" s="1"/>
  <c r="W372" i="16"/>
  <c r="Y372" i="16"/>
  <c r="Z372" i="16" s="1"/>
  <c r="W1203" i="16"/>
  <c r="Y1203" i="16"/>
  <c r="Z1203" i="16" s="1"/>
  <c r="W240" i="16"/>
  <c r="Y240" i="16"/>
  <c r="Z240" i="16" s="1"/>
  <c r="W682" i="16"/>
  <c r="Y682" i="16"/>
  <c r="Z682" i="16" s="1"/>
  <c r="W564" i="16"/>
  <c r="Y564" i="16"/>
  <c r="Z564" i="16" s="1"/>
  <c r="W1195" i="16"/>
  <c r="Y1195" i="16"/>
  <c r="Z1195" i="16" s="1"/>
  <c r="W1091" i="16"/>
  <c r="Y1091" i="16"/>
  <c r="Z1091" i="16" s="1"/>
  <c r="W746" i="16"/>
  <c r="Y746" i="16"/>
  <c r="Z746" i="16" s="1"/>
  <c r="W628" i="16"/>
  <c r="Y628" i="16"/>
  <c r="Z628" i="16" s="1"/>
  <c r="W640" i="16"/>
  <c r="Y640" i="16"/>
  <c r="Z640" i="16" s="1"/>
  <c r="W237" i="16"/>
  <c r="Y237" i="16"/>
  <c r="Z237" i="16" s="1"/>
  <c r="W294" i="16"/>
  <c r="Y294" i="16"/>
  <c r="Z294" i="16" s="1"/>
  <c r="W570" i="16"/>
  <c r="Y570" i="16"/>
  <c r="Z570" i="16" s="1"/>
  <c r="W416" i="16"/>
  <c r="Y416" i="16"/>
  <c r="Z416" i="16" s="1"/>
  <c r="W512" i="16"/>
  <c r="Y512" i="16"/>
  <c r="Z512" i="16" s="1"/>
  <c r="W358" i="16"/>
  <c r="Y358" i="16"/>
  <c r="Z358" i="16" s="1"/>
  <c r="W698" i="16"/>
  <c r="Y698" i="16"/>
  <c r="Z698" i="16" s="1"/>
  <c r="W1789" i="16"/>
  <c r="Y1789" i="16"/>
  <c r="Z1789" i="16" s="1"/>
  <c r="W1277" i="16"/>
  <c r="Y1277" i="16"/>
  <c r="Z1277" i="16" s="1"/>
  <c r="W1292" i="16"/>
  <c r="Y1292" i="16"/>
  <c r="Z1292" i="16" s="1"/>
  <c r="W1795" i="16"/>
  <c r="Y1795" i="16"/>
  <c r="Z1795" i="16" s="1"/>
  <c r="W1283" i="16"/>
  <c r="Y1283" i="16"/>
  <c r="Z1283" i="16" s="1"/>
  <c r="W1085" i="16"/>
  <c r="Y1085" i="16"/>
  <c r="Z1085" i="16" s="1"/>
  <c r="W261" i="16"/>
  <c r="Y261" i="16"/>
  <c r="Z261" i="16" s="1"/>
  <c r="W779" i="16"/>
  <c r="Y779" i="16"/>
  <c r="Z779" i="16" s="1"/>
  <c r="W595" i="16"/>
  <c r="Y595" i="16"/>
  <c r="Z595" i="16" s="1"/>
  <c r="W828" i="16"/>
  <c r="Y828" i="16"/>
  <c r="Z828" i="16" s="1"/>
  <c r="W1031" i="16"/>
  <c r="Y1031" i="16"/>
  <c r="Z1031" i="16" s="1"/>
  <c r="W1589" i="16"/>
  <c r="Y1589" i="16"/>
  <c r="Z1589" i="16" s="1"/>
  <c r="W1068" i="16"/>
  <c r="Y1068" i="16"/>
  <c r="Z1068" i="16" s="1"/>
  <c r="W1088" i="16"/>
  <c r="Y1088" i="16"/>
  <c r="Z1088" i="16" s="1"/>
  <c r="W1595" i="16"/>
  <c r="Y1595" i="16"/>
  <c r="Z1595" i="16" s="1"/>
  <c r="W1076" i="16"/>
  <c r="Y1076" i="16"/>
  <c r="Z1076" i="16" s="1"/>
  <c r="W520" i="16"/>
  <c r="Y520" i="16"/>
  <c r="Z520" i="16" s="1"/>
  <c r="W528" i="16"/>
  <c r="Y528" i="16"/>
  <c r="Z528" i="16" s="1"/>
  <c r="W486" i="16"/>
  <c r="Y486" i="16"/>
  <c r="Z486" i="16" s="1"/>
  <c r="W686" i="16"/>
  <c r="Y686" i="16"/>
  <c r="Z686" i="16" s="1"/>
  <c r="W514" i="16"/>
  <c r="Y514" i="16"/>
  <c r="Z514" i="16" s="1"/>
  <c r="W357" i="16"/>
  <c r="Y357" i="16"/>
  <c r="Z357" i="16" s="1"/>
  <c r="W297" i="16"/>
  <c r="Y297" i="16"/>
  <c r="Z297" i="16" s="1"/>
  <c r="W580" i="16"/>
  <c r="Y580" i="16"/>
  <c r="Z580" i="16" s="1"/>
  <c r="W855" i="16"/>
  <c r="Y855" i="16"/>
  <c r="Z855" i="16" s="1"/>
  <c r="W547" i="16"/>
  <c r="Y547" i="16"/>
  <c r="Z547" i="16" s="1"/>
  <c r="W830" i="16"/>
  <c r="Y830" i="16"/>
  <c r="Z830" i="16" s="1"/>
  <c r="W644" i="16"/>
  <c r="Y644" i="16"/>
  <c r="Z644" i="16" s="1"/>
  <c r="W332" i="16"/>
  <c r="Y332" i="16"/>
  <c r="Z332" i="16" s="1"/>
  <c r="W691" i="16"/>
  <c r="Y691" i="16"/>
  <c r="Z691" i="16" s="1"/>
  <c r="W379" i="16"/>
  <c r="Y379" i="16"/>
  <c r="Z379" i="16" s="1"/>
  <c r="W738" i="16"/>
  <c r="Y738" i="16"/>
  <c r="Z738" i="16" s="1"/>
  <c r="W224" i="16"/>
  <c r="Y224" i="16"/>
  <c r="Z224" i="16" s="1"/>
  <c r="W180" i="16"/>
  <c r="Y180" i="16"/>
  <c r="Z180" i="16" s="1"/>
  <c r="W203" i="16"/>
  <c r="Y203" i="16"/>
  <c r="Z203" i="16" s="1"/>
  <c r="W543" i="16"/>
  <c r="Y543" i="16"/>
  <c r="Z543" i="16" s="1"/>
  <c r="W910" i="16"/>
  <c r="Y910" i="16"/>
  <c r="Z910" i="16" s="1"/>
  <c r="W598" i="16"/>
  <c r="Y598" i="16"/>
  <c r="Z598" i="16" s="1"/>
  <c r="W286" i="16"/>
  <c r="Y286" i="16"/>
  <c r="Z286" i="16" s="1"/>
  <c r="W137" i="16"/>
  <c r="Y137" i="16"/>
  <c r="Z137" i="16" s="1"/>
  <c r="W81" i="16"/>
  <c r="Y81" i="16"/>
  <c r="Z81" i="16" s="1"/>
  <c r="W229" i="16"/>
  <c r="Y229" i="16"/>
  <c r="Z229" i="16" s="1"/>
  <c r="W527" i="16"/>
  <c r="Y527" i="16"/>
  <c r="Z527" i="16" s="1"/>
  <c r="W407" i="16"/>
  <c r="Y407" i="16"/>
  <c r="Z407" i="16" s="1"/>
  <c r="W774" i="16"/>
  <c r="Y774" i="16"/>
  <c r="Z774" i="16" s="1"/>
  <c r="W462" i="16"/>
  <c r="Y462" i="16"/>
  <c r="Z462" i="16" s="1"/>
  <c r="W709" i="16"/>
  <c r="Y709" i="16"/>
  <c r="Z709" i="16" s="1"/>
  <c r="W397" i="16"/>
  <c r="Y397" i="16"/>
  <c r="Z397" i="16" s="1"/>
  <c r="W831" i="16"/>
  <c r="Y831" i="16"/>
  <c r="Z831" i="16" s="1"/>
  <c r="W603" i="16"/>
  <c r="Y603" i="16"/>
  <c r="Z603" i="16" s="1"/>
  <c r="W483" i="16"/>
  <c r="Y483" i="16"/>
  <c r="Z483" i="16" s="1"/>
  <c r="W842" i="16"/>
  <c r="Y842" i="16"/>
  <c r="Z842" i="16" s="1"/>
  <c r="W530" i="16"/>
  <c r="Y530" i="16"/>
  <c r="Z530" i="16" s="1"/>
  <c r="W705" i="16"/>
  <c r="Y705" i="16"/>
  <c r="Z705" i="16" s="1"/>
  <c r="W393" i="16"/>
  <c r="Y393" i="16"/>
  <c r="Z393" i="16" s="1"/>
  <c r="W759" i="16"/>
  <c r="Y759" i="16"/>
  <c r="Z759" i="16" s="1"/>
  <c r="W120" i="16"/>
  <c r="Y120" i="16"/>
  <c r="Z120" i="16" s="1"/>
  <c r="W85" i="16"/>
  <c r="Y85" i="16"/>
  <c r="Z85" i="16" s="1"/>
  <c r="W588" i="16"/>
  <c r="Y588" i="16"/>
  <c r="Z588" i="16" s="1"/>
  <c r="W276" i="16"/>
  <c r="Y276" i="16"/>
  <c r="Z276" i="16" s="1"/>
  <c r="W635" i="16"/>
  <c r="Y635" i="16"/>
  <c r="Z635" i="16" s="1"/>
  <c r="W323" i="16"/>
  <c r="Y323" i="16"/>
  <c r="Z323" i="16" s="1"/>
  <c r="W160" i="16"/>
  <c r="Y160" i="16"/>
  <c r="Z160" i="16" s="1"/>
  <c r="W116" i="16"/>
  <c r="Y116" i="16"/>
  <c r="Z116" i="16" s="1"/>
  <c r="W171" i="16"/>
  <c r="Y171" i="16"/>
  <c r="Z171" i="16" s="1"/>
  <c r="W353" i="16"/>
  <c r="Y353" i="16"/>
  <c r="Z353" i="16" s="1"/>
  <c r="W719" i="16"/>
  <c r="Y719" i="16"/>
  <c r="Z719" i="16" s="1"/>
  <c r="W599" i="16"/>
  <c r="Y599" i="16"/>
  <c r="Z599" i="16" s="1"/>
  <c r="W287" i="16"/>
  <c r="Y287" i="16"/>
  <c r="Z287" i="16" s="1"/>
  <c r="W654" i="16"/>
  <c r="Y654" i="16"/>
  <c r="Z654" i="16" s="1"/>
  <c r="W342" i="16"/>
  <c r="Y342" i="16"/>
  <c r="Z342" i="16" s="1"/>
  <c r="W589" i="16"/>
  <c r="Y589" i="16"/>
  <c r="Z589" i="16" s="1"/>
  <c r="W201" i="16"/>
  <c r="Y201" i="16"/>
  <c r="Z201" i="16" s="1"/>
  <c r="W225" i="16"/>
  <c r="Y225" i="16"/>
  <c r="Z225" i="16" s="1"/>
  <c r="W847" i="16"/>
  <c r="Y847" i="16"/>
  <c r="Z847" i="16" s="1"/>
  <c r="W722" i="16"/>
  <c r="Y722" i="16"/>
  <c r="Z722" i="16" s="1"/>
  <c r="W410" i="16"/>
  <c r="Y410" i="16"/>
  <c r="Z410" i="16" s="1"/>
  <c r="W585" i="16"/>
  <c r="Y585" i="16"/>
  <c r="Z585" i="16" s="1"/>
  <c r="W895" i="16"/>
  <c r="Y895" i="16"/>
  <c r="Z895" i="16" s="1"/>
  <c r="W199" i="16"/>
  <c r="Y199" i="16"/>
  <c r="Z199" i="16" s="1"/>
  <c r="W780" i="16"/>
  <c r="Y780" i="16"/>
  <c r="Z780" i="16" s="1"/>
  <c r="W468" i="16"/>
  <c r="Y468" i="16"/>
  <c r="Z468" i="16" s="1"/>
  <c r="W827" i="16"/>
  <c r="Y827" i="16"/>
  <c r="Z827" i="16" s="1"/>
  <c r="W515" i="16"/>
  <c r="Y515" i="16"/>
  <c r="Z515" i="16" s="1"/>
  <c r="W112" i="16"/>
  <c r="Y112" i="16"/>
  <c r="Z112" i="16" s="1"/>
  <c r="W206" i="16"/>
  <c r="Y206" i="16"/>
  <c r="Z206" i="16" s="1"/>
  <c r="W147" i="16"/>
  <c r="Y147" i="16"/>
  <c r="Z147" i="16" s="1"/>
  <c r="T1314" i="16"/>
  <c r="T773" i="16"/>
  <c r="W2521" i="16"/>
  <c r="AB2521" i="16"/>
  <c r="AC2521" i="16" s="1"/>
  <c r="Y2521" i="16"/>
  <c r="Z2521" i="16" s="1"/>
  <c r="W2586" i="16"/>
  <c r="AB2586" i="16"/>
  <c r="AC2586" i="16" s="1"/>
  <c r="Y2586" i="16"/>
  <c r="Z2586" i="16" s="1"/>
  <c r="W2315" i="16"/>
  <c r="AB2315" i="16"/>
  <c r="AC2315" i="16" s="1"/>
  <c r="Y2315" i="16"/>
  <c r="Z2315" i="16" s="1"/>
  <c r="W2486" i="16"/>
  <c r="AB2486" i="16"/>
  <c r="AC2486" i="16" s="1"/>
  <c r="Y2486" i="16"/>
  <c r="Z2486" i="16" s="1"/>
  <c r="W2636" i="16"/>
  <c r="AB2636" i="16"/>
  <c r="AC2636" i="16" s="1"/>
  <c r="Y2636" i="16"/>
  <c r="Z2636" i="16" s="1"/>
  <c r="W2013" i="16"/>
  <c r="Y2013" i="16"/>
  <c r="Z2013" i="16" s="1"/>
  <c r="W2307" i="16"/>
  <c r="AB2307" i="16"/>
  <c r="AC2307" i="16" s="1"/>
  <c r="Y2307" i="16"/>
  <c r="Z2307" i="16" s="1"/>
  <c r="W2402" i="16"/>
  <c r="AB2402" i="16"/>
  <c r="AC2402" i="16" s="1"/>
  <c r="Y2402" i="16"/>
  <c r="Z2402" i="16" s="1"/>
  <c r="W2567" i="16"/>
  <c r="AB2567" i="16"/>
  <c r="AC2567" i="16" s="1"/>
  <c r="Y2567" i="16"/>
  <c r="Z2567" i="16" s="1"/>
  <c r="W2292" i="16"/>
  <c r="Y2292" i="16"/>
  <c r="Z2292" i="16" s="1"/>
  <c r="W2452" i="16"/>
  <c r="AB2452" i="16"/>
  <c r="AC2452" i="16" s="1"/>
  <c r="Y2452" i="16"/>
  <c r="Z2452" i="16" s="1"/>
  <c r="W1556" i="16"/>
  <c r="Y1556" i="16"/>
  <c r="Z1556" i="16" s="1"/>
  <c r="W2393" i="16"/>
  <c r="AB2393" i="16"/>
  <c r="AC2393" i="16" s="1"/>
  <c r="Y2393" i="16"/>
  <c r="Z2393" i="16" s="1"/>
  <c r="W2570" i="16"/>
  <c r="AB2570" i="16"/>
  <c r="AC2570" i="16" s="1"/>
  <c r="Y2570" i="16"/>
  <c r="Z2570" i="16" s="1"/>
  <c r="W2296" i="16"/>
  <c r="Y2296" i="16"/>
  <c r="Z2296" i="16" s="1"/>
  <c r="W2454" i="16"/>
  <c r="AB2454" i="16"/>
  <c r="AC2454" i="16" s="1"/>
  <c r="Y2454" i="16"/>
  <c r="Z2454" i="16" s="1"/>
  <c r="W2620" i="16"/>
  <c r="AB2620" i="16"/>
  <c r="AC2620" i="16" s="1"/>
  <c r="Y2620" i="16"/>
  <c r="Z2620" i="16" s="1"/>
  <c r="W1997" i="16"/>
  <c r="Y1997" i="16"/>
  <c r="Z1997" i="16" s="1"/>
  <c r="W2561" i="16"/>
  <c r="AB2561" i="16"/>
  <c r="AC2561" i="16" s="1"/>
  <c r="Y2561" i="16"/>
  <c r="Z2561" i="16" s="1"/>
  <c r="W2475" i="16"/>
  <c r="AB2475" i="16"/>
  <c r="AC2475" i="16" s="1"/>
  <c r="Y2475" i="16"/>
  <c r="Z2475" i="16" s="1"/>
  <c r="W2632" i="16"/>
  <c r="AB2632" i="16"/>
  <c r="AC2632" i="16" s="1"/>
  <c r="Y2632" i="16"/>
  <c r="Z2632" i="16" s="1"/>
  <c r="W2375" i="16"/>
  <c r="AB2375" i="16"/>
  <c r="AC2375" i="16" s="1"/>
  <c r="Y2375" i="16"/>
  <c r="Z2375" i="16" s="1"/>
  <c r="W2525" i="16"/>
  <c r="AB2525" i="16"/>
  <c r="AC2525" i="16" s="1"/>
  <c r="Y2525" i="16"/>
  <c r="Z2525" i="16" s="1"/>
  <c r="W1971" i="16"/>
  <c r="Y1971" i="16"/>
  <c r="Z1971" i="16" s="1"/>
  <c r="W2401" i="16"/>
  <c r="AB2401" i="16"/>
  <c r="AC2401" i="16" s="1"/>
  <c r="Y2401" i="16"/>
  <c r="Z2401" i="16" s="1"/>
  <c r="W2634" i="16"/>
  <c r="AB2634" i="16"/>
  <c r="AC2634" i="16" s="1"/>
  <c r="Y2634" i="16"/>
  <c r="Z2634" i="16" s="1"/>
  <c r="W2368" i="16"/>
  <c r="AB2368" i="16"/>
  <c r="AC2368" i="16" s="1"/>
  <c r="Y2368" i="16"/>
  <c r="Z2368" i="16" s="1"/>
  <c r="W2518" i="16"/>
  <c r="AB2518" i="16"/>
  <c r="AC2518" i="16" s="1"/>
  <c r="Y2518" i="16"/>
  <c r="Z2518" i="16" s="1"/>
  <c r="W1979" i="16"/>
  <c r="Y1979" i="16"/>
  <c r="Z1979" i="16" s="1"/>
  <c r="W2077" i="16"/>
  <c r="Y2077" i="16"/>
  <c r="Z2077" i="16" s="1"/>
  <c r="W2433" i="16"/>
  <c r="AB2433" i="16"/>
  <c r="AC2433" i="16" s="1"/>
  <c r="Y2433" i="16"/>
  <c r="Z2433" i="16" s="1"/>
  <c r="W2459" i="16"/>
  <c r="AB2459" i="16"/>
  <c r="AC2459" i="16" s="1"/>
  <c r="Y2459" i="16"/>
  <c r="Z2459" i="16" s="1"/>
  <c r="W2616" i="16"/>
  <c r="AB2616" i="16"/>
  <c r="AC2616" i="16" s="1"/>
  <c r="Y2616" i="16"/>
  <c r="Z2616" i="16" s="1"/>
  <c r="W2342" i="16"/>
  <c r="AB2342" i="16"/>
  <c r="AC2342" i="16" s="1"/>
  <c r="Y2342" i="16"/>
  <c r="Z2342" i="16" s="1"/>
  <c r="W2509" i="16"/>
  <c r="AB2509" i="16"/>
  <c r="AC2509" i="16" s="1"/>
  <c r="Y2509" i="16"/>
  <c r="Z2509" i="16" s="1"/>
  <c r="W1809" i="16"/>
  <c r="Y1809" i="16"/>
  <c r="Z1809" i="16" s="1"/>
  <c r="W2489" i="16"/>
  <c r="AB2489" i="16"/>
  <c r="AC2489" i="16" s="1"/>
  <c r="Y2489" i="16"/>
  <c r="Z2489" i="16" s="1"/>
  <c r="W2355" i="16"/>
  <c r="AB2355" i="16"/>
  <c r="AC2355" i="16" s="1"/>
  <c r="Y2355" i="16"/>
  <c r="Z2355" i="16" s="1"/>
  <c r="W2512" i="16"/>
  <c r="AB2512" i="16"/>
  <c r="AC2512" i="16" s="1"/>
  <c r="Y2512" i="16"/>
  <c r="Z2512" i="16" s="1"/>
  <c r="W1927" i="16"/>
  <c r="Y1927" i="16"/>
  <c r="Z1927" i="16" s="1"/>
  <c r="W2405" i="16"/>
  <c r="AB2405" i="16"/>
  <c r="AC2405" i="16" s="1"/>
  <c r="Y2405" i="16"/>
  <c r="Z2405" i="16" s="1"/>
  <c r="W2277" i="16"/>
  <c r="Y2277" i="16"/>
  <c r="Z2277" i="16" s="1"/>
  <c r="W2603" i="16"/>
  <c r="AB2603" i="16"/>
  <c r="AC2603" i="16" s="1"/>
  <c r="Y2603" i="16"/>
  <c r="Z2603" i="16" s="1"/>
  <c r="W2336" i="16"/>
  <c r="AB2336" i="16"/>
  <c r="AC2336" i="16" s="1"/>
  <c r="Y2336" i="16"/>
  <c r="Z2336" i="16" s="1"/>
  <c r="W2503" i="16"/>
  <c r="AB2503" i="16"/>
  <c r="AC2503" i="16" s="1"/>
  <c r="Y2503" i="16"/>
  <c r="Z2503" i="16" s="1"/>
  <c r="W1713" i="16"/>
  <c r="Y1713" i="16"/>
  <c r="Z1713" i="16" s="1"/>
  <c r="W2388" i="16"/>
  <c r="AB2388" i="16"/>
  <c r="AC2388" i="16" s="1"/>
  <c r="Y2388" i="16"/>
  <c r="Z2388" i="16" s="1"/>
  <c r="W1198" i="16"/>
  <c r="Y1198" i="16"/>
  <c r="Z1198" i="16" s="1"/>
  <c r="W2554" i="16"/>
  <c r="AB2554" i="16"/>
  <c r="AC2554" i="16" s="1"/>
  <c r="Y2554" i="16"/>
  <c r="Z2554" i="16" s="1"/>
  <c r="W2464" i="16"/>
  <c r="AB2464" i="16"/>
  <c r="AC2464" i="16" s="1"/>
  <c r="Y2464" i="16"/>
  <c r="Z2464" i="16" s="1"/>
  <c r="W2367" i="16"/>
  <c r="AB2367" i="16"/>
  <c r="AC2367" i="16" s="1"/>
  <c r="Y2367" i="16"/>
  <c r="Z2367" i="16" s="1"/>
  <c r="W2115" i="16"/>
  <c r="Y2115" i="16"/>
  <c r="Z2115" i="16" s="1"/>
  <c r="W2604" i="16"/>
  <c r="AB2604" i="16"/>
  <c r="AC2604" i="16" s="1"/>
  <c r="Y2604" i="16"/>
  <c r="Z2604" i="16" s="1"/>
  <c r="W2229" i="16"/>
  <c r="Y2229" i="16"/>
  <c r="Z2229" i="16" s="1"/>
  <c r="W1447" i="16"/>
  <c r="Y1447" i="16"/>
  <c r="Z1447" i="16" s="1"/>
  <c r="W1842" i="16"/>
  <c r="Y1842" i="16"/>
  <c r="Z1842" i="16" s="1"/>
  <c r="W2010" i="16"/>
  <c r="Y2010" i="16"/>
  <c r="Z2010" i="16" s="1"/>
  <c r="W2177" i="16"/>
  <c r="Y2177" i="16"/>
  <c r="Z2177" i="16" s="1"/>
  <c r="W1215" i="16"/>
  <c r="Y1215" i="16"/>
  <c r="Z1215" i="16" s="1"/>
  <c r="W1745" i="16"/>
  <c r="Y1745" i="16"/>
  <c r="Z1745" i="16" s="1"/>
  <c r="W2118" i="16"/>
  <c r="Y2118" i="16"/>
  <c r="Z2118" i="16" s="1"/>
  <c r="W840" i="16"/>
  <c r="Y840" i="16"/>
  <c r="Z840" i="16" s="1"/>
  <c r="W1418" i="16"/>
  <c r="Y1418" i="16"/>
  <c r="Z1418" i="16" s="1"/>
  <c r="W1153" i="16"/>
  <c r="Y1153" i="16"/>
  <c r="Z1153" i="16" s="1"/>
  <c r="W2379" i="16"/>
  <c r="AB2379" i="16"/>
  <c r="AC2379" i="16" s="1"/>
  <c r="Y2379" i="16"/>
  <c r="Z2379" i="16" s="1"/>
  <c r="W2211" i="16"/>
  <c r="Y2211" i="16"/>
  <c r="Z2211" i="16" s="1"/>
  <c r="W2615" i="16"/>
  <c r="AB2615" i="16"/>
  <c r="AC2615" i="16" s="1"/>
  <c r="Y2615" i="16"/>
  <c r="Z2615" i="16" s="1"/>
  <c r="W2526" i="16"/>
  <c r="AB2526" i="16"/>
  <c r="AC2526" i="16" s="1"/>
  <c r="Y2526" i="16"/>
  <c r="Z2526" i="16" s="1"/>
  <c r="W2429" i="16"/>
  <c r="AB2429" i="16"/>
  <c r="AC2429" i="16" s="1"/>
  <c r="Y2429" i="16"/>
  <c r="Z2429" i="16" s="1"/>
  <c r="W2338" i="16"/>
  <c r="AB2338" i="16"/>
  <c r="AC2338" i="16" s="1"/>
  <c r="Y2338" i="16"/>
  <c r="Z2338" i="16" s="1"/>
  <c r="W1965" i="16"/>
  <c r="Y1965" i="16"/>
  <c r="Z1965" i="16" s="1"/>
  <c r="W2116" i="16"/>
  <c r="Y2116" i="16"/>
  <c r="Z2116" i="16" s="1"/>
  <c r="W2258" i="16"/>
  <c r="Y2258" i="16"/>
  <c r="Z2258" i="16" s="1"/>
  <c r="W1545" i="16"/>
  <c r="Y1545" i="16"/>
  <c r="Z1545" i="16" s="1"/>
  <c r="W1903" i="16"/>
  <c r="Y1903" i="16"/>
  <c r="Z1903" i="16" s="1"/>
  <c r="W2056" i="16"/>
  <c r="Y2056" i="16"/>
  <c r="Z2056" i="16" s="1"/>
  <c r="W1959" i="16"/>
  <c r="Y1959" i="16"/>
  <c r="Z1959" i="16" s="1"/>
  <c r="W1760" i="16"/>
  <c r="Y1760" i="16"/>
  <c r="Z1760" i="16" s="1"/>
  <c r="W1456" i="16"/>
  <c r="Y1456" i="16"/>
  <c r="Z1456" i="16" s="1"/>
  <c r="W982" i="16"/>
  <c r="Y982" i="16"/>
  <c r="Z982" i="16" s="1"/>
  <c r="W1301" i="16"/>
  <c r="Y1301" i="16"/>
  <c r="Z1301" i="16" s="1"/>
  <c r="W1617" i="16"/>
  <c r="Y1617" i="16"/>
  <c r="Z1617" i="16" s="1"/>
  <c r="W1906" i="16"/>
  <c r="Y1906" i="16"/>
  <c r="Z1906" i="16" s="1"/>
  <c r="W2058" i="16"/>
  <c r="Y2058" i="16"/>
  <c r="Z2058" i="16" s="1"/>
  <c r="W2225" i="16"/>
  <c r="Y2225" i="16"/>
  <c r="Z2225" i="16" s="1"/>
  <c r="W1425" i="16"/>
  <c r="Y1425" i="16"/>
  <c r="Z1425" i="16" s="1"/>
  <c r="W1826" i="16"/>
  <c r="Y1826" i="16"/>
  <c r="Z1826" i="16" s="1"/>
  <c r="W2230" i="16"/>
  <c r="Y2230" i="16"/>
  <c r="Z2230" i="16" s="1"/>
  <c r="W1184" i="16"/>
  <c r="Y1184" i="16"/>
  <c r="Z1184" i="16" s="1"/>
  <c r="W1636" i="16"/>
  <c r="Y1636" i="16"/>
  <c r="Z1636" i="16" s="1"/>
  <c r="W1000" i="16"/>
  <c r="Y1000" i="16"/>
  <c r="Z1000" i="16" s="1"/>
  <c r="W2164" i="16"/>
  <c r="Y2164" i="16"/>
  <c r="Z2164" i="16" s="1"/>
  <c r="W1150" i="16"/>
  <c r="Y1150" i="16"/>
  <c r="Z1150" i="16" s="1"/>
  <c r="W1710" i="16"/>
  <c r="Y1710" i="16"/>
  <c r="Z1710" i="16" s="1"/>
  <c r="W1961" i="16"/>
  <c r="Y1961" i="16"/>
  <c r="Z1961" i="16" s="1"/>
  <c r="W2104" i="16"/>
  <c r="Y2104" i="16"/>
  <c r="Z2104" i="16" s="1"/>
  <c r="W2063" i="16"/>
  <c r="Y2063" i="16"/>
  <c r="Z2063" i="16" s="1"/>
  <c r="W1384" i="16"/>
  <c r="Y1384" i="16"/>
  <c r="Z1384" i="16" s="1"/>
  <c r="W1594" i="16"/>
  <c r="Y1594" i="16"/>
  <c r="Z1594" i="16" s="1"/>
  <c r="W1278" i="16"/>
  <c r="Y1278" i="16"/>
  <c r="Z1278" i="16" s="1"/>
  <c r="W1485" i="16"/>
  <c r="Y1485" i="16"/>
  <c r="Z1485" i="16" s="1"/>
  <c r="W1886" i="16"/>
  <c r="Y1886" i="16"/>
  <c r="Z1886" i="16" s="1"/>
  <c r="W2042" i="16"/>
  <c r="Y2042" i="16"/>
  <c r="Z2042" i="16" s="1"/>
  <c r="W2209" i="16"/>
  <c r="Y2209" i="16"/>
  <c r="Z2209" i="16" s="1"/>
  <c r="W1360" i="16"/>
  <c r="Y1360" i="16"/>
  <c r="Z1360" i="16" s="1"/>
  <c r="W1806" i="16"/>
  <c r="Y1806" i="16"/>
  <c r="Z1806" i="16" s="1"/>
  <c r="W2182" i="16"/>
  <c r="Y2182" i="16"/>
  <c r="Z2182" i="16" s="1"/>
  <c r="W1082" i="16"/>
  <c r="Y1082" i="16"/>
  <c r="Z1082" i="16" s="1"/>
  <c r="W1551" i="16"/>
  <c r="Y1551" i="16"/>
  <c r="Z1551" i="16" s="1"/>
  <c r="W1233" i="16"/>
  <c r="Y1233" i="16"/>
  <c r="Z1233" i="16" s="1"/>
  <c r="W2148" i="16"/>
  <c r="Y2148" i="16"/>
  <c r="Z2148" i="16" s="1"/>
  <c r="W921" i="16"/>
  <c r="Y921" i="16"/>
  <c r="Z921" i="16" s="1"/>
  <c r="W1662" i="16"/>
  <c r="Y1662" i="16"/>
  <c r="Z1662" i="16" s="1"/>
  <c r="W1943" i="16"/>
  <c r="Y1943" i="16"/>
  <c r="Z1943" i="16" s="1"/>
  <c r="W2088" i="16"/>
  <c r="Y2088" i="16"/>
  <c r="Z2088" i="16" s="1"/>
  <c r="W2023" i="16"/>
  <c r="Y2023" i="16"/>
  <c r="Z2023" i="16" s="1"/>
  <c r="W1199" i="16"/>
  <c r="Y1199" i="16"/>
  <c r="Z1199" i="16" s="1"/>
  <c r="W1542" i="16"/>
  <c r="Y1542" i="16"/>
  <c r="Z1542" i="16" s="1"/>
  <c r="W1174" i="16"/>
  <c r="Y1174" i="16"/>
  <c r="Z1174" i="16" s="1"/>
  <c r="W1429" i="16"/>
  <c r="Y1429" i="16"/>
  <c r="Z1429" i="16" s="1"/>
  <c r="W1716" i="16"/>
  <c r="Y1716" i="16"/>
  <c r="Z1716" i="16" s="1"/>
  <c r="W1946" i="16"/>
  <c r="Y1946" i="16"/>
  <c r="Z1946" i="16" s="1"/>
  <c r="W2090" i="16"/>
  <c r="Y2090" i="16"/>
  <c r="Z2090" i="16" s="1"/>
  <c r="W2257" i="16"/>
  <c r="Y2257" i="16"/>
  <c r="Z2257" i="16" s="1"/>
  <c r="W1544" i="16"/>
  <c r="Y1544" i="16"/>
  <c r="Z1544" i="16" s="1"/>
  <c r="W1870" i="16"/>
  <c r="Y1870" i="16"/>
  <c r="Z1870" i="16" s="1"/>
  <c r="W2294" i="16"/>
  <c r="Y2294" i="16"/>
  <c r="Z2294" i="16" s="1"/>
  <c r="W1298" i="16"/>
  <c r="Y1298" i="16"/>
  <c r="Z1298" i="16" s="1"/>
  <c r="W262" i="16"/>
  <c r="Y262" i="16"/>
  <c r="Z262" i="16" s="1"/>
  <c r="W1218" i="16"/>
  <c r="Y1218" i="16"/>
  <c r="Z1218" i="16" s="1"/>
  <c r="W2196" i="16"/>
  <c r="Y2196" i="16"/>
  <c r="Z2196" i="16" s="1"/>
  <c r="W1306" i="16"/>
  <c r="Y1306" i="16"/>
  <c r="Z1306" i="16" s="1"/>
  <c r="W1783" i="16"/>
  <c r="Y1783" i="16"/>
  <c r="Z1783" i="16" s="1"/>
  <c r="W1993" i="16"/>
  <c r="Y1993" i="16"/>
  <c r="Z1993" i="16" s="1"/>
  <c r="W2136" i="16"/>
  <c r="Y2136" i="16"/>
  <c r="Z2136" i="16" s="1"/>
  <c r="W2127" i="16"/>
  <c r="Y2127" i="16"/>
  <c r="Z2127" i="16" s="1"/>
  <c r="W1618" i="16"/>
  <c r="Y1618" i="16"/>
  <c r="Z1618" i="16" s="1"/>
  <c r="W1680" i="16"/>
  <c r="Y1680" i="16"/>
  <c r="Z1680" i="16" s="1"/>
  <c r="W1406" i="16"/>
  <c r="Y1406" i="16"/>
  <c r="Z1406" i="16" s="1"/>
  <c r="W1613" i="16"/>
  <c r="Y1613" i="16"/>
  <c r="Z1613" i="16" s="1"/>
  <c r="W2119" i="16"/>
  <c r="Y2119" i="16"/>
  <c r="Z2119" i="16" s="1"/>
  <c r="W2270" i="16"/>
  <c r="Y2270" i="16"/>
  <c r="Z2270" i="16" s="1"/>
  <c r="W1588" i="16"/>
  <c r="Y1588" i="16"/>
  <c r="Z1588" i="16" s="1"/>
  <c r="W1262" i="16"/>
  <c r="Y1262" i="16"/>
  <c r="Z1262" i="16" s="1"/>
  <c r="W1670" i="16"/>
  <c r="Y1670" i="16"/>
  <c r="Z1670" i="16" s="1"/>
  <c r="W1711" i="16"/>
  <c r="Y1711" i="16"/>
  <c r="Z1711" i="16" s="1"/>
  <c r="W1392" i="16"/>
  <c r="Y1392" i="16"/>
  <c r="Z1392" i="16" s="1"/>
  <c r="W1138" i="16"/>
  <c r="Y1138" i="16"/>
  <c r="Z1138" i="16" s="1"/>
  <c r="W1605" i="16"/>
  <c r="Y1605" i="16"/>
  <c r="Z1605" i="16" s="1"/>
  <c r="W1204" i="16"/>
  <c r="Y1204" i="16"/>
  <c r="Z1204" i="16" s="1"/>
  <c r="W1424" i="16"/>
  <c r="Y1424" i="16"/>
  <c r="Z1424" i="16" s="1"/>
  <c r="W1825" i="16"/>
  <c r="Y1825" i="16"/>
  <c r="Z1825" i="16" s="1"/>
  <c r="W2006" i="16"/>
  <c r="Y2006" i="16"/>
  <c r="Z2006" i="16" s="1"/>
  <c r="W1622" i="16"/>
  <c r="Y1622" i="16"/>
  <c r="Z1622" i="16" s="1"/>
  <c r="W688" i="16"/>
  <c r="Y688" i="16"/>
  <c r="Z688" i="16" s="1"/>
  <c r="W1294" i="16"/>
  <c r="Y1294" i="16"/>
  <c r="Z1294" i="16" s="1"/>
  <c r="W1175" i="16"/>
  <c r="Y1175" i="16"/>
  <c r="Z1175" i="16" s="1"/>
  <c r="W1644" i="16"/>
  <c r="Y1644" i="16"/>
  <c r="Z1644" i="16" s="1"/>
  <c r="W873" i="16"/>
  <c r="Y873" i="16"/>
  <c r="Z873" i="16" s="1"/>
  <c r="W1117" i="16"/>
  <c r="Y1117" i="16"/>
  <c r="Z1117" i="16" s="1"/>
  <c r="W1747" i="16"/>
  <c r="Y1747" i="16"/>
  <c r="Z1747" i="16" s="1"/>
  <c r="W2167" i="16"/>
  <c r="Y2167" i="16"/>
  <c r="Z2167" i="16" s="1"/>
  <c r="W1166" i="16"/>
  <c r="Y1166" i="16"/>
  <c r="Z1166" i="16" s="1"/>
  <c r="W1742" i="16"/>
  <c r="Y1742" i="16"/>
  <c r="Z1742" i="16" s="1"/>
  <c r="W1337" i="16"/>
  <c r="Y1337" i="16"/>
  <c r="Z1337" i="16" s="1"/>
  <c r="W1734" i="16"/>
  <c r="Y1734" i="16"/>
  <c r="Z1734" i="16" s="1"/>
  <c r="W704" i="16"/>
  <c r="Y704" i="16"/>
  <c r="Z704" i="16" s="1"/>
  <c r="W1486" i="16"/>
  <c r="Y1486" i="16"/>
  <c r="Z1486" i="16" s="1"/>
  <c r="W1263" i="16"/>
  <c r="Y1263" i="16"/>
  <c r="Z1263" i="16" s="1"/>
  <c r="W1685" i="16"/>
  <c r="Y1685" i="16"/>
  <c r="Z1685" i="16" s="1"/>
  <c r="W1300" i="16"/>
  <c r="Y1300" i="16"/>
  <c r="Z1300" i="16" s="1"/>
  <c r="W1363" i="16"/>
  <c r="Y1363" i="16"/>
  <c r="Z1363" i="16" s="1"/>
  <c r="W1827" i="16"/>
  <c r="Y1827" i="16"/>
  <c r="Z1827" i="16" s="1"/>
  <c r="W1268" i="16"/>
  <c r="Y1268" i="16"/>
  <c r="Z1268" i="16" s="1"/>
  <c r="W1267" i="16"/>
  <c r="Y1267" i="16"/>
  <c r="Z1267" i="16" s="1"/>
  <c r="W1811" i="16"/>
  <c r="Y1811" i="16"/>
  <c r="Z1811" i="16" s="1"/>
  <c r="W2199" i="16"/>
  <c r="Y2199" i="16"/>
  <c r="Z2199" i="16" s="1"/>
  <c r="W1320" i="16"/>
  <c r="Y1320" i="16"/>
  <c r="Z1320" i="16" s="1"/>
  <c r="W1801" i="16"/>
  <c r="Y1801" i="16"/>
  <c r="Z1801" i="16" s="1"/>
  <c r="W1390" i="16"/>
  <c r="Y1390" i="16"/>
  <c r="Z1390" i="16" s="1"/>
  <c r="W1776" i="16"/>
  <c r="Y1776" i="16"/>
  <c r="Z1776" i="16" s="1"/>
  <c r="W856" i="16"/>
  <c r="Y856" i="16"/>
  <c r="Z856" i="16" s="1"/>
  <c r="W1550" i="16"/>
  <c r="Y1550" i="16"/>
  <c r="Z1550" i="16" s="1"/>
  <c r="W1338" i="16"/>
  <c r="Y1338" i="16"/>
  <c r="Z1338" i="16" s="1"/>
  <c r="W1733" i="16"/>
  <c r="Y1733" i="16"/>
  <c r="Z1733" i="16" s="1"/>
  <c r="W1364" i="16"/>
  <c r="Y1364" i="16"/>
  <c r="Z1364" i="16" s="1"/>
  <c r="W1451" i="16"/>
  <c r="Y1451" i="16"/>
  <c r="Z1451" i="16" s="1"/>
  <c r="W1891" i="16"/>
  <c r="Y1891" i="16"/>
  <c r="Z1891" i="16" s="1"/>
  <c r="W1615" i="16"/>
  <c r="Y1615" i="16"/>
  <c r="Z1615" i="16" s="1"/>
  <c r="W1538" i="16"/>
  <c r="Y1538" i="16"/>
  <c r="Z1538" i="16" s="1"/>
  <c r="W1580" i="16"/>
  <c r="Y1580" i="16"/>
  <c r="Z1580" i="16" s="1"/>
  <c r="W1121" i="16"/>
  <c r="Y1121" i="16"/>
  <c r="Z1121" i="16" s="1"/>
  <c r="W1501" i="16"/>
  <c r="Y1501" i="16"/>
  <c r="Z1501" i="16" s="1"/>
  <c r="W1340" i="16"/>
  <c r="Y1340" i="16"/>
  <c r="Z1340" i="16" s="1"/>
  <c r="W1683" i="16"/>
  <c r="Y1683" i="16"/>
  <c r="Z1683" i="16" s="1"/>
  <c r="W954" i="16"/>
  <c r="Y954" i="16"/>
  <c r="Z954" i="16" s="1"/>
  <c r="W632" i="16"/>
  <c r="Y632" i="16"/>
  <c r="Z632" i="16" s="1"/>
  <c r="W341" i="16"/>
  <c r="Y341" i="16"/>
  <c r="Z341" i="16" s="1"/>
  <c r="W289" i="16"/>
  <c r="Y289" i="16"/>
  <c r="Z289" i="16" s="1"/>
  <c r="W1432" i="16"/>
  <c r="Y1432" i="16"/>
  <c r="Z1432" i="16" s="1"/>
  <c r="W1342" i="16"/>
  <c r="Y1342" i="16"/>
  <c r="Z1342" i="16" s="1"/>
  <c r="W1391" i="16"/>
  <c r="Y1391" i="16"/>
  <c r="Z1391" i="16" s="1"/>
  <c r="W776" i="16"/>
  <c r="Y776" i="16"/>
  <c r="Z776" i="16" s="1"/>
  <c r="W1317" i="16"/>
  <c r="Y1317" i="16"/>
  <c r="Z1317" i="16" s="1"/>
  <c r="W1172" i="16"/>
  <c r="Y1172" i="16"/>
  <c r="Z1172" i="16" s="1"/>
  <c r="W1499" i="16"/>
  <c r="Y1499" i="16"/>
  <c r="Z1499" i="16" s="1"/>
  <c r="W253" i="16"/>
  <c r="Y253" i="16"/>
  <c r="Z253" i="16" s="1"/>
  <c r="W959" i="16"/>
  <c r="Y959" i="16"/>
  <c r="Z959" i="16" s="1"/>
  <c r="W575" i="16"/>
  <c r="Y575" i="16"/>
  <c r="Z575" i="16" s="1"/>
  <c r="W549" i="16"/>
  <c r="Y549" i="16"/>
  <c r="Z549" i="16" s="1"/>
  <c r="W1035" i="16"/>
  <c r="Y1035" i="16"/>
  <c r="Z1035" i="16" s="1"/>
  <c r="W523" i="16"/>
  <c r="Y523" i="16"/>
  <c r="Z523" i="16" s="1"/>
  <c r="W605" i="16"/>
  <c r="Y605" i="16"/>
  <c r="Z605" i="16" s="1"/>
  <c r="W1131" i="16"/>
  <c r="Y1131" i="16"/>
  <c r="Z1131" i="16" s="1"/>
  <c r="W1027" i="16"/>
  <c r="Y1027" i="16"/>
  <c r="Z1027" i="16" s="1"/>
  <c r="W587" i="16"/>
  <c r="Y587" i="16"/>
  <c r="Z587" i="16" s="1"/>
  <c r="W733" i="16"/>
  <c r="Y733" i="16"/>
  <c r="Z733" i="16" s="1"/>
  <c r="W1123" i="16"/>
  <c r="Y1123" i="16"/>
  <c r="Z1123" i="16" s="1"/>
  <c r="W1003" i="16"/>
  <c r="Y1003" i="16"/>
  <c r="Z1003" i="16" s="1"/>
  <c r="W651" i="16"/>
  <c r="Y651" i="16"/>
  <c r="Z651" i="16" s="1"/>
  <c r="W797" i="16"/>
  <c r="Y797" i="16"/>
  <c r="Z797" i="16" s="1"/>
  <c r="W1115" i="16"/>
  <c r="Y1115" i="16"/>
  <c r="Z1115" i="16" s="1"/>
  <c r="W995" i="16"/>
  <c r="Y995" i="16"/>
  <c r="Z995" i="16" s="1"/>
  <c r="W715" i="16"/>
  <c r="Y715" i="16"/>
  <c r="Z715" i="16" s="1"/>
  <c r="W302" i="16"/>
  <c r="Y302" i="16"/>
  <c r="Z302" i="16" s="1"/>
  <c r="W777" i="16"/>
  <c r="Y777" i="16"/>
  <c r="Z777" i="16" s="1"/>
  <c r="W983" i="16"/>
  <c r="Y983" i="16"/>
  <c r="Z983" i="16" s="1"/>
  <c r="W383" i="16"/>
  <c r="Y383" i="16"/>
  <c r="Z383" i="16" s="1"/>
  <c r="W636" i="16"/>
  <c r="Y636" i="16"/>
  <c r="Z636" i="16" s="1"/>
  <c r="W680" i="16"/>
  <c r="Y680" i="16"/>
  <c r="Z680" i="16" s="1"/>
  <c r="W975" i="16"/>
  <c r="Y975" i="16"/>
  <c r="Z975" i="16" s="1"/>
  <c r="W447" i="16"/>
  <c r="Y447" i="16"/>
  <c r="Z447" i="16" s="1"/>
  <c r="W764" i="16"/>
  <c r="Y764" i="16"/>
  <c r="Z764" i="16" s="1"/>
  <c r="W1725" i="16"/>
  <c r="Y1725" i="16"/>
  <c r="Z1725" i="16" s="1"/>
  <c r="W1213" i="16"/>
  <c r="Y1213" i="16"/>
  <c r="Z1213" i="16" s="1"/>
  <c r="W1228" i="16"/>
  <c r="Y1228" i="16"/>
  <c r="Z1228" i="16" s="1"/>
  <c r="W1731" i="16"/>
  <c r="Y1731" i="16"/>
  <c r="Z1731" i="16" s="1"/>
  <c r="W1219" i="16"/>
  <c r="Y1219" i="16"/>
  <c r="Z1219" i="16" s="1"/>
  <c r="W1021" i="16"/>
  <c r="Y1021" i="16"/>
  <c r="Z1021" i="16" s="1"/>
  <c r="W256" i="16"/>
  <c r="Y256" i="16"/>
  <c r="Z256" i="16" s="1"/>
  <c r="W620" i="16"/>
  <c r="Y620" i="16"/>
  <c r="Z620" i="16" s="1"/>
  <c r="W436" i="16"/>
  <c r="Y436" i="16"/>
  <c r="Z436" i="16" s="1"/>
  <c r="W310" i="16"/>
  <c r="Y310" i="16"/>
  <c r="Z310" i="16" s="1"/>
  <c r="W888" i="16"/>
  <c r="Y888" i="16"/>
  <c r="Z888" i="16" s="1"/>
  <c r="W1525" i="16"/>
  <c r="Y1525" i="16"/>
  <c r="Z1525" i="16" s="1"/>
  <c r="W981" i="16"/>
  <c r="Y981" i="16"/>
  <c r="Z981" i="16" s="1"/>
  <c r="W1002" i="16"/>
  <c r="Y1002" i="16"/>
  <c r="Z1002" i="16" s="1"/>
  <c r="W1531" i="16"/>
  <c r="Y1531" i="16"/>
  <c r="Z1531" i="16" s="1"/>
  <c r="W990" i="16"/>
  <c r="Y990" i="16"/>
  <c r="Z990" i="16" s="1"/>
  <c r="W1075" i="16"/>
  <c r="Y1075" i="16"/>
  <c r="Z1075" i="16" s="1"/>
  <c r="W236" i="16"/>
  <c r="Y236" i="16"/>
  <c r="Z236" i="16" s="1"/>
  <c r="W319" i="16"/>
  <c r="Y319" i="16"/>
  <c r="Z319" i="16" s="1"/>
  <c r="W647" i="16"/>
  <c r="Y647" i="16"/>
  <c r="Z647" i="16" s="1"/>
  <c r="W867" i="16"/>
  <c r="Y867" i="16"/>
  <c r="Z867" i="16" s="1"/>
  <c r="W502" i="16"/>
  <c r="Y502" i="16"/>
  <c r="Z502" i="16" s="1"/>
  <c r="W834" i="16"/>
  <c r="Y834" i="16"/>
  <c r="Z834" i="16" s="1"/>
  <c r="W382" i="16"/>
  <c r="Y382" i="16"/>
  <c r="Z382" i="16" s="1"/>
  <c r="W714" i="16"/>
  <c r="Y714" i="16"/>
  <c r="Z714" i="16" s="1"/>
  <c r="W900" i="16"/>
  <c r="Y900" i="16"/>
  <c r="Z900" i="16" s="1"/>
  <c r="W497" i="16"/>
  <c r="Y497" i="16"/>
  <c r="Z497" i="16" s="1"/>
  <c r="W493" i="16"/>
  <c r="Y493" i="16"/>
  <c r="Z493" i="16" s="1"/>
  <c r="W844" i="16"/>
  <c r="Y844" i="16"/>
  <c r="Z844" i="16" s="1"/>
  <c r="W532" i="16"/>
  <c r="Y532" i="16"/>
  <c r="Z532" i="16" s="1"/>
  <c r="W891" i="16"/>
  <c r="Y891" i="16"/>
  <c r="Z891" i="16" s="1"/>
  <c r="W579" i="16"/>
  <c r="Y579" i="16"/>
  <c r="Z579" i="16" s="1"/>
  <c r="W96" i="16"/>
  <c r="Y96" i="16"/>
  <c r="Z96" i="16" s="1"/>
  <c r="W198" i="16"/>
  <c r="Y198" i="16"/>
  <c r="Z198" i="16" s="1"/>
  <c r="W139" i="16"/>
  <c r="Y139" i="16"/>
  <c r="Z139" i="16" s="1"/>
  <c r="W377" i="16"/>
  <c r="Y377" i="16"/>
  <c r="Z377" i="16" s="1"/>
  <c r="W743" i="16"/>
  <c r="Y743" i="16"/>
  <c r="Z743" i="16" s="1"/>
  <c r="W431" i="16"/>
  <c r="Y431" i="16"/>
  <c r="Z431" i="16" s="1"/>
  <c r="W798" i="16"/>
  <c r="Y798" i="16"/>
  <c r="Z798" i="16" s="1"/>
  <c r="W204" i="16"/>
  <c r="Y204" i="16"/>
  <c r="Z204" i="16" s="1"/>
  <c r="W223" i="16"/>
  <c r="Y223" i="16"/>
  <c r="Z223" i="16" s="1"/>
  <c r="W165" i="16"/>
  <c r="Y165" i="16"/>
  <c r="Z165" i="16" s="1"/>
  <c r="W553" i="16"/>
  <c r="Y553" i="16"/>
  <c r="Z553" i="16" s="1"/>
  <c r="W919" i="16"/>
  <c r="Y919" i="16"/>
  <c r="Z919" i="16" s="1"/>
  <c r="W607" i="16"/>
  <c r="Y607" i="16"/>
  <c r="Z607" i="16" s="1"/>
  <c r="W295" i="16"/>
  <c r="Y295" i="16"/>
  <c r="Z295" i="16" s="1"/>
  <c r="W662" i="16"/>
  <c r="Y662" i="16"/>
  <c r="Z662" i="16" s="1"/>
  <c r="W350" i="16"/>
  <c r="Y350" i="16"/>
  <c r="Z350" i="16" s="1"/>
  <c r="W121" i="16"/>
  <c r="Y121" i="16"/>
  <c r="Z121" i="16" s="1"/>
  <c r="W221" i="16"/>
  <c r="Y221" i="16"/>
  <c r="Z221" i="16" s="1"/>
  <c r="W692" i="16"/>
  <c r="Y692" i="16"/>
  <c r="Z692" i="16" s="1"/>
  <c r="W444" i="16"/>
  <c r="Y444" i="16"/>
  <c r="Z444" i="16" s="1"/>
  <c r="W324" i="16"/>
  <c r="Y324" i="16"/>
  <c r="Z324" i="16" s="1"/>
  <c r="W683" i="16"/>
  <c r="Y683" i="16"/>
  <c r="Z683" i="16" s="1"/>
  <c r="W371" i="16"/>
  <c r="Y371" i="16"/>
  <c r="Z371" i="16" s="1"/>
  <c r="W730" i="16"/>
  <c r="Y730" i="16"/>
  <c r="Z730" i="16" s="1"/>
  <c r="W418" i="16"/>
  <c r="Y418" i="16"/>
  <c r="Z418" i="16" s="1"/>
  <c r="W113" i="16"/>
  <c r="Y113" i="16"/>
  <c r="Z113" i="16" s="1"/>
  <c r="W76" i="16"/>
  <c r="Y76" i="16"/>
  <c r="Z76" i="16" s="1"/>
  <c r="W119" i="16"/>
  <c r="Y119" i="16"/>
  <c r="Z119" i="16" s="1"/>
  <c r="W437" i="16"/>
  <c r="Y437" i="16"/>
  <c r="Z437" i="16" s="1"/>
  <c r="W788" i="16"/>
  <c r="Y788" i="16"/>
  <c r="Z788" i="16" s="1"/>
  <c r="W476" i="16"/>
  <c r="Y476" i="16"/>
  <c r="Z476" i="16" s="1"/>
  <c r="W835" i="16"/>
  <c r="Y835" i="16"/>
  <c r="Z835" i="16" s="1"/>
  <c r="W92" i="16"/>
  <c r="Y92" i="16"/>
  <c r="Z92" i="16" s="1"/>
  <c r="W166" i="16"/>
  <c r="Y166" i="16"/>
  <c r="Z166" i="16" s="1"/>
  <c r="W107" i="16"/>
  <c r="Y107" i="16"/>
  <c r="Z107" i="16" s="1"/>
  <c r="W378" i="16"/>
  <c r="Y378" i="16"/>
  <c r="Z378" i="16" s="1"/>
  <c r="W745" i="16"/>
  <c r="Y745" i="16"/>
  <c r="Z745" i="16" s="1"/>
  <c r="W433" i="16"/>
  <c r="Y433" i="16"/>
  <c r="Z433" i="16" s="1"/>
  <c r="W799" i="16"/>
  <c r="Y799" i="16"/>
  <c r="Z799" i="16" s="1"/>
  <c r="W487" i="16"/>
  <c r="Y487" i="16"/>
  <c r="Z487" i="16" s="1"/>
  <c r="W854" i="16"/>
  <c r="Y854" i="16"/>
  <c r="Z854" i="16" s="1"/>
  <c r="W542" i="16"/>
  <c r="Y542" i="16"/>
  <c r="Z542" i="16" s="1"/>
  <c r="W197" i="16"/>
  <c r="Y197" i="16"/>
  <c r="Z197" i="16" s="1"/>
  <c r="W875" i="16"/>
  <c r="Y875" i="16"/>
  <c r="Z875" i="16" s="1"/>
  <c r="W563" i="16"/>
  <c r="Y563" i="16"/>
  <c r="Z563" i="16" s="1"/>
  <c r="W922" i="16"/>
  <c r="Y922" i="16"/>
  <c r="Z922" i="16" s="1"/>
  <c r="W610" i="16"/>
  <c r="Y610" i="16"/>
  <c r="Z610" i="16" s="1"/>
  <c r="W212" i="16"/>
  <c r="Y212" i="16"/>
  <c r="Z212" i="16" s="1"/>
  <c r="W219" i="16"/>
  <c r="Y219" i="16"/>
  <c r="Z219" i="16" s="1"/>
  <c r="W629" i="16"/>
  <c r="Y629" i="16"/>
  <c r="Z629" i="16" s="1"/>
  <c r="W317" i="16"/>
  <c r="Y317" i="16"/>
  <c r="Z317" i="16" s="1"/>
  <c r="W668" i="16"/>
  <c r="Y668" i="16"/>
  <c r="Z668" i="16" s="1"/>
  <c r="W356" i="16"/>
  <c r="Y356" i="16"/>
  <c r="Z356" i="16" s="1"/>
  <c r="W218" i="16"/>
  <c r="Y218" i="16"/>
  <c r="Z218" i="16" s="1"/>
  <c r="W210" i="16"/>
  <c r="Y210" i="16"/>
  <c r="Z210" i="16" s="1"/>
  <c r="W142" i="16"/>
  <c r="Y142" i="16"/>
  <c r="Z142" i="16" s="1"/>
  <c r="W83" i="16"/>
  <c r="Y83" i="16"/>
  <c r="Z83" i="16" s="1"/>
  <c r="W2449" i="16"/>
  <c r="AB2449" i="16"/>
  <c r="AC2449" i="16" s="1"/>
  <c r="Y2449" i="16"/>
  <c r="Z2449" i="16" s="1"/>
  <c r="W2506" i="16"/>
  <c r="AB2506" i="16"/>
  <c r="AC2506" i="16" s="1"/>
  <c r="Y2506" i="16"/>
  <c r="Z2506" i="16" s="1"/>
  <c r="W1752" i="16"/>
  <c r="Y1752" i="16"/>
  <c r="Z1752" i="16" s="1"/>
  <c r="W2390" i="16"/>
  <c r="AB2390" i="16"/>
  <c r="AC2390" i="16" s="1"/>
  <c r="Y2390" i="16"/>
  <c r="Z2390" i="16" s="1"/>
  <c r="W2556" i="16"/>
  <c r="AB2556" i="16"/>
  <c r="AC2556" i="16" s="1"/>
  <c r="Y2556" i="16"/>
  <c r="Z2556" i="16" s="1"/>
  <c r="W1865" i="16"/>
  <c r="Y1865" i="16"/>
  <c r="Z1865" i="16" s="1"/>
  <c r="W2587" i="16"/>
  <c r="AB2587" i="16"/>
  <c r="AC2587" i="16" s="1"/>
  <c r="Y2587" i="16"/>
  <c r="Z2587" i="16" s="1"/>
  <c r="W2318" i="16"/>
  <c r="AB2318" i="16"/>
  <c r="AC2318" i="16" s="1"/>
  <c r="Y2318" i="16"/>
  <c r="Z2318" i="16" s="1"/>
  <c r="W2471" i="16"/>
  <c r="AB2471" i="16"/>
  <c r="AC2471" i="16" s="1"/>
  <c r="Y2471" i="16"/>
  <c r="Z2471" i="16" s="1"/>
  <c r="W1230" i="16"/>
  <c r="Y1230" i="16"/>
  <c r="Z1230" i="16" s="1"/>
  <c r="W2372" i="16"/>
  <c r="AB2372" i="16"/>
  <c r="AC2372" i="16" s="1"/>
  <c r="Y2372" i="16"/>
  <c r="Z2372" i="16" s="1"/>
  <c r="W2316" i="16"/>
  <c r="AB2316" i="16"/>
  <c r="AC2316" i="16" s="1"/>
  <c r="Y2316" i="16"/>
  <c r="Z2316" i="16" s="1"/>
  <c r="W2474" i="16"/>
  <c r="AB2474" i="16"/>
  <c r="AC2474" i="16" s="1"/>
  <c r="Y2474" i="16"/>
  <c r="Z2474" i="16" s="1"/>
  <c r="W1297" i="16"/>
  <c r="Y1297" i="16"/>
  <c r="Z1297" i="16" s="1"/>
  <c r="W2374" i="16"/>
  <c r="AB2374" i="16"/>
  <c r="AC2374" i="16" s="1"/>
  <c r="Y2374" i="16"/>
  <c r="Z2374" i="16" s="1"/>
  <c r="W2524" i="16"/>
  <c r="AB2524" i="16"/>
  <c r="AC2524" i="16" s="1"/>
  <c r="Y2524" i="16"/>
  <c r="Z2524" i="16" s="1"/>
  <c r="W1844" i="16"/>
  <c r="Y1844" i="16"/>
  <c r="Z1844" i="16" s="1"/>
  <c r="T76" i="16"/>
  <c r="AD91" i="16"/>
  <c r="AE91" i="16" s="1"/>
  <c r="AF91" i="16" s="1"/>
  <c r="AD155" i="16"/>
  <c r="AE155" i="16" s="1"/>
  <c r="AF155" i="16" s="1"/>
  <c r="AD219" i="16"/>
  <c r="AE219" i="16" s="1"/>
  <c r="AF219" i="16" s="1"/>
  <c r="AD283" i="16"/>
  <c r="AE283" i="16" s="1"/>
  <c r="AF283" i="16" s="1"/>
  <c r="AD347" i="16"/>
  <c r="AE347" i="16" s="1"/>
  <c r="AF347" i="16" s="1"/>
  <c r="AD411" i="16"/>
  <c r="AE411" i="16" s="1"/>
  <c r="AF411" i="16" s="1"/>
  <c r="AD475" i="16"/>
  <c r="AE475" i="16" s="1"/>
  <c r="AF475" i="16" s="1"/>
  <c r="AD539" i="16"/>
  <c r="AE539" i="16" s="1"/>
  <c r="AF539" i="16" s="1"/>
  <c r="AD117" i="16"/>
  <c r="AE117" i="16" s="1"/>
  <c r="AF117" i="16" s="1"/>
  <c r="AD181" i="16"/>
  <c r="AE181" i="16" s="1"/>
  <c r="AF181" i="16" s="1"/>
  <c r="AD245" i="16"/>
  <c r="AE245" i="16" s="1"/>
  <c r="AF245" i="16" s="1"/>
  <c r="AD102" i="16"/>
  <c r="AE102" i="16" s="1"/>
  <c r="AF102" i="16" s="1"/>
  <c r="AD166" i="16"/>
  <c r="AE166" i="16" s="1"/>
  <c r="AF166" i="16" s="1"/>
  <c r="AD230" i="16"/>
  <c r="AE230" i="16" s="1"/>
  <c r="AF230" i="16" s="1"/>
  <c r="AD294" i="16"/>
  <c r="AE294" i="16" s="1"/>
  <c r="AF294" i="16" s="1"/>
  <c r="AD358" i="16"/>
  <c r="AE358" i="16" s="1"/>
  <c r="AF358" i="16" s="1"/>
  <c r="AD422" i="16"/>
  <c r="AE422" i="16" s="1"/>
  <c r="AF422" i="16" s="1"/>
  <c r="AD486" i="16"/>
  <c r="AE486" i="16" s="1"/>
  <c r="AF486" i="16" s="1"/>
  <c r="AD550" i="16"/>
  <c r="AE550" i="16" s="1"/>
  <c r="AF550" i="16" s="1"/>
  <c r="AD120" i="16"/>
  <c r="AE120" i="16" s="1"/>
  <c r="AF120" i="16" s="1"/>
  <c r="AD184" i="16"/>
  <c r="AE184" i="16" s="1"/>
  <c r="AF184" i="16" s="1"/>
  <c r="AD248" i="16"/>
  <c r="AE248" i="16" s="1"/>
  <c r="AF248" i="16" s="1"/>
  <c r="AD312" i="16"/>
  <c r="AE312" i="16" s="1"/>
  <c r="AF312" i="16" s="1"/>
  <c r="AD376" i="16"/>
  <c r="AE376" i="16" s="1"/>
  <c r="AF376" i="16" s="1"/>
  <c r="AD440" i="16"/>
  <c r="AE440" i="16" s="1"/>
  <c r="AF440" i="16" s="1"/>
  <c r="AD504" i="16"/>
  <c r="AE504" i="16" s="1"/>
  <c r="AF504" i="16" s="1"/>
  <c r="AD81" i="16"/>
  <c r="AE81" i="16" s="1"/>
  <c r="AF81" i="16" s="1"/>
  <c r="AD145" i="16"/>
  <c r="AE145" i="16" s="1"/>
  <c r="AF145" i="16" s="1"/>
  <c r="AD209" i="16"/>
  <c r="AE209" i="16" s="1"/>
  <c r="AF209" i="16" s="1"/>
  <c r="AD273" i="16"/>
  <c r="AE273" i="16" s="1"/>
  <c r="AF273" i="16" s="1"/>
  <c r="AD337" i="16"/>
  <c r="AE337" i="16" s="1"/>
  <c r="AF337" i="16" s="1"/>
  <c r="AD401" i="16"/>
  <c r="AE401" i="16" s="1"/>
  <c r="AF401" i="16" s="1"/>
  <c r="AD465" i="16"/>
  <c r="AE465" i="16" s="1"/>
  <c r="AF465" i="16" s="1"/>
  <c r="AD529" i="16"/>
  <c r="AE529" i="16" s="1"/>
  <c r="AF529" i="16" s="1"/>
  <c r="AD98" i="16"/>
  <c r="AE98" i="16" s="1"/>
  <c r="AF98" i="16" s="1"/>
  <c r="AD162" i="16"/>
  <c r="AE162" i="16" s="1"/>
  <c r="AF162" i="16" s="1"/>
  <c r="AD226" i="16"/>
  <c r="AE226" i="16" s="1"/>
  <c r="AF226" i="16" s="1"/>
  <c r="AD290" i="16"/>
  <c r="AE290" i="16" s="1"/>
  <c r="AF290" i="16" s="1"/>
  <c r="AD354" i="16"/>
  <c r="AE354" i="16" s="1"/>
  <c r="AF354" i="16" s="1"/>
  <c r="AD418" i="16"/>
  <c r="AE418" i="16" s="1"/>
  <c r="AF418" i="16" s="1"/>
  <c r="AD482" i="16"/>
  <c r="AE482" i="16" s="1"/>
  <c r="AF482" i="16" s="1"/>
  <c r="AD546" i="16"/>
  <c r="AE546" i="16" s="1"/>
  <c r="AF546" i="16" s="1"/>
  <c r="AD156" i="16"/>
  <c r="AE156" i="16" s="1"/>
  <c r="AF156" i="16" s="1"/>
  <c r="AD99" i="16"/>
  <c r="AE99" i="16" s="1"/>
  <c r="AF99" i="16" s="1"/>
  <c r="AD163" i="16"/>
  <c r="AE163" i="16" s="1"/>
  <c r="AF163" i="16" s="1"/>
  <c r="AD227" i="16"/>
  <c r="AE227" i="16" s="1"/>
  <c r="AF227" i="16" s="1"/>
  <c r="AD291" i="16"/>
  <c r="AE291" i="16" s="1"/>
  <c r="AF291" i="16" s="1"/>
  <c r="AD355" i="16"/>
  <c r="AE355" i="16" s="1"/>
  <c r="AF355" i="16" s="1"/>
  <c r="AD419" i="16"/>
  <c r="AE419" i="16" s="1"/>
  <c r="AF419" i="16" s="1"/>
  <c r="AD483" i="16"/>
  <c r="AE483" i="16" s="1"/>
  <c r="AF483" i="16" s="1"/>
  <c r="AD547" i="16"/>
  <c r="AE547" i="16" s="1"/>
  <c r="AF547" i="16" s="1"/>
  <c r="AD125" i="16"/>
  <c r="AE125" i="16" s="1"/>
  <c r="AF125" i="16" s="1"/>
  <c r="AD189" i="16"/>
  <c r="AE189" i="16" s="1"/>
  <c r="AF189" i="16" s="1"/>
  <c r="AD253" i="16"/>
  <c r="AE253" i="16" s="1"/>
  <c r="AF253" i="16" s="1"/>
  <c r="AD110" i="16"/>
  <c r="AE110" i="16" s="1"/>
  <c r="AF110" i="16" s="1"/>
  <c r="AD174" i="16"/>
  <c r="AE174" i="16" s="1"/>
  <c r="AF174" i="16" s="1"/>
  <c r="AD238" i="16"/>
  <c r="AE238" i="16" s="1"/>
  <c r="AF238" i="16" s="1"/>
  <c r="AD302" i="16"/>
  <c r="AE302" i="16" s="1"/>
  <c r="AF302" i="16" s="1"/>
  <c r="AD366" i="16"/>
  <c r="AE366" i="16" s="1"/>
  <c r="AF366" i="16" s="1"/>
  <c r="AD430" i="16"/>
  <c r="AE430" i="16" s="1"/>
  <c r="AF430" i="16" s="1"/>
  <c r="AD494" i="16"/>
  <c r="AE494" i="16" s="1"/>
  <c r="AF494" i="16" s="1"/>
  <c r="AD558" i="16"/>
  <c r="AE558" i="16" s="1"/>
  <c r="AF558" i="16" s="1"/>
  <c r="AD128" i="16"/>
  <c r="AE128" i="16" s="1"/>
  <c r="AF128" i="16" s="1"/>
  <c r="AD192" i="16"/>
  <c r="AE192" i="16" s="1"/>
  <c r="AF192" i="16" s="1"/>
  <c r="AD256" i="16"/>
  <c r="AE256" i="16" s="1"/>
  <c r="AF256" i="16" s="1"/>
  <c r="AD320" i="16"/>
  <c r="AE320" i="16" s="1"/>
  <c r="AF320" i="16" s="1"/>
  <c r="AD384" i="16"/>
  <c r="AE384" i="16" s="1"/>
  <c r="AF384" i="16" s="1"/>
  <c r="AD448" i="16"/>
  <c r="AE448" i="16" s="1"/>
  <c r="AF448" i="16" s="1"/>
  <c r="AD512" i="16"/>
  <c r="AE512" i="16" s="1"/>
  <c r="AF512" i="16" s="1"/>
  <c r="AD89" i="16"/>
  <c r="AE89" i="16" s="1"/>
  <c r="AF89" i="16" s="1"/>
  <c r="AD153" i="16"/>
  <c r="AE153" i="16" s="1"/>
  <c r="AF153" i="16" s="1"/>
  <c r="AD217" i="16"/>
  <c r="AE217" i="16" s="1"/>
  <c r="AF217" i="16" s="1"/>
  <c r="AD281" i="16"/>
  <c r="AE281" i="16" s="1"/>
  <c r="AF281" i="16" s="1"/>
  <c r="AD345" i="16"/>
  <c r="AE345" i="16" s="1"/>
  <c r="AF345" i="16" s="1"/>
  <c r="AD409" i="16"/>
  <c r="AE409" i="16" s="1"/>
  <c r="AF409" i="16" s="1"/>
  <c r="AD473" i="16"/>
  <c r="AE473" i="16" s="1"/>
  <c r="AF473" i="16" s="1"/>
  <c r="AD537" i="16"/>
  <c r="AE537" i="16" s="1"/>
  <c r="AF537" i="16" s="1"/>
  <c r="AD106" i="16"/>
  <c r="AE106" i="16" s="1"/>
  <c r="AF106" i="16" s="1"/>
  <c r="AD170" i="16"/>
  <c r="AE170" i="16" s="1"/>
  <c r="AF170" i="16" s="1"/>
  <c r="AD234" i="16"/>
  <c r="AE234" i="16" s="1"/>
  <c r="AF234" i="16" s="1"/>
  <c r="AD298" i="16"/>
  <c r="AE298" i="16" s="1"/>
  <c r="AF298" i="16" s="1"/>
  <c r="AD362" i="16"/>
  <c r="AE362" i="16" s="1"/>
  <c r="AF362" i="16" s="1"/>
  <c r="AD426" i="16"/>
  <c r="AE426" i="16" s="1"/>
  <c r="AF426" i="16" s="1"/>
  <c r="AD107" i="16"/>
  <c r="AE107" i="16" s="1"/>
  <c r="AF107" i="16" s="1"/>
  <c r="AD171" i="16"/>
  <c r="AE171" i="16" s="1"/>
  <c r="AF171" i="16" s="1"/>
  <c r="AD235" i="16"/>
  <c r="AE235" i="16" s="1"/>
  <c r="AF235" i="16" s="1"/>
  <c r="AD299" i="16"/>
  <c r="AE299" i="16" s="1"/>
  <c r="AF299" i="16" s="1"/>
  <c r="AD363" i="16"/>
  <c r="AE363" i="16" s="1"/>
  <c r="AF363" i="16" s="1"/>
  <c r="AD427" i="16"/>
  <c r="AE427" i="16" s="1"/>
  <c r="AF427" i="16" s="1"/>
  <c r="AD491" i="16"/>
  <c r="AE491" i="16" s="1"/>
  <c r="AF491" i="16" s="1"/>
  <c r="AD133" i="16"/>
  <c r="AE133" i="16" s="1"/>
  <c r="AF133" i="16" s="1"/>
  <c r="AD197" i="16"/>
  <c r="AE197" i="16" s="1"/>
  <c r="AF197" i="16" s="1"/>
  <c r="AD261" i="16"/>
  <c r="AE261" i="16" s="1"/>
  <c r="AF261" i="16" s="1"/>
  <c r="AD118" i="16"/>
  <c r="AE118" i="16" s="1"/>
  <c r="AF118" i="16" s="1"/>
  <c r="AD182" i="16"/>
  <c r="AE182" i="16" s="1"/>
  <c r="AF182" i="16" s="1"/>
  <c r="AD246" i="16"/>
  <c r="AE246" i="16" s="1"/>
  <c r="AF246" i="16" s="1"/>
  <c r="AD310" i="16"/>
  <c r="AE310" i="16" s="1"/>
  <c r="AF310" i="16" s="1"/>
  <c r="AD374" i="16"/>
  <c r="AE374" i="16" s="1"/>
  <c r="AF374" i="16" s="1"/>
  <c r="AD438" i="16"/>
  <c r="AE438" i="16" s="1"/>
  <c r="AF438" i="16" s="1"/>
  <c r="AD502" i="16"/>
  <c r="AE502" i="16" s="1"/>
  <c r="AF502" i="16" s="1"/>
  <c r="AD136" i="16"/>
  <c r="AE136" i="16" s="1"/>
  <c r="AF136" i="16" s="1"/>
  <c r="AD200" i="16"/>
  <c r="AE200" i="16" s="1"/>
  <c r="AF200" i="16" s="1"/>
  <c r="AD264" i="16"/>
  <c r="AE264" i="16" s="1"/>
  <c r="AF264" i="16" s="1"/>
  <c r="AD328" i="16"/>
  <c r="AE328" i="16" s="1"/>
  <c r="AF328" i="16" s="1"/>
  <c r="AD392" i="16"/>
  <c r="AE392" i="16" s="1"/>
  <c r="AF392" i="16" s="1"/>
  <c r="AD456" i="16"/>
  <c r="AE456" i="16" s="1"/>
  <c r="AF456" i="16" s="1"/>
  <c r="AD520" i="16"/>
  <c r="AE520" i="16" s="1"/>
  <c r="AF520" i="16" s="1"/>
  <c r="AD97" i="16"/>
  <c r="AE97" i="16" s="1"/>
  <c r="AF97" i="16" s="1"/>
  <c r="AD161" i="16"/>
  <c r="AE161" i="16" s="1"/>
  <c r="AF161" i="16" s="1"/>
  <c r="AD225" i="16"/>
  <c r="AE225" i="16" s="1"/>
  <c r="AF225" i="16" s="1"/>
  <c r="AD289" i="16"/>
  <c r="AE289" i="16" s="1"/>
  <c r="AF289" i="16" s="1"/>
  <c r="AD353" i="16"/>
  <c r="AE353" i="16" s="1"/>
  <c r="AF353" i="16" s="1"/>
  <c r="AD115" i="16"/>
  <c r="AE115" i="16" s="1"/>
  <c r="AF115" i="16" s="1"/>
  <c r="AD179" i="16"/>
  <c r="AE179" i="16" s="1"/>
  <c r="AF179" i="16" s="1"/>
  <c r="AD243" i="16"/>
  <c r="AE243" i="16" s="1"/>
  <c r="AF243" i="16" s="1"/>
  <c r="AD307" i="16"/>
  <c r="AE307" i="16" s="1"/>
  <c r="AF307" i="16" s="1"/>
  <c r="AD371" i="16"/>
  <c r="AE371" i="16" s="1"/>
  <c r="AF371" i="16" s="1"/>
  <c r="AD435" i="16"/>
  <c r="AE435" i="16" s="1"/>
  <c r="AF435" i="16" s="1"/>
  <c r="AD499" i="16"/>
  <c r="AE499" i="16" s="1"/>
  <c r="AF499" i="16" s="1"/>
  <c r="AD77" i="16"/>
  <c r="AE77" i="16" s="1"/>
  <c r="AF77" i="16" s="1"/>
  <c r="AD141" i="16"/>
  <c r="AE141" i="16" s="1"/>
  <c r="AF141" i="16" s="1"/>
  <c r="AD205" i="16"/>
  <c r="AE205" i="16" s="1"/>
  <c r="AF205" i="16" s="1"/>
  <c r="AD269" i="16"/>
  <c r="AE269" i="16" s="1"/>
  <c r="AF269" i="16" s="1"/>
  <c r="AD126" i="16"/>
  <c r="AE126" i="16" s="1"/>
  <c r="AF126" i="16" s="1"/>
  <c r="AD190" i="16"/>
  <c r="AE190" i="16" s="1"/>
  <c r="AF190" i="16" s="1"/>
  <c r="AD254" i="16"/>
  <c r="AE254" i="16" s="1"/>
  <c r="AF254" i="16" s="1"/>
  <c r="AD318" i="16"/>
  <c r="AE318" i="16" s="1"/>
  <c r="AF318" i="16" s="1"/>
  <c r="AD382" i="16"/>
  <c r="AE382" i="16" s="1"/>
  <c r="AF382" i="16" s="1"/>
  <c r="AD446" i="16"/>
  <c r="AE446" i="16" s="1"/>
  <c r="AF446" i="16" s="1"/>
  <c r="AD510" i="16"/>
  <c r="AE510" i="16" s="1"/>
  <c r="AF510" i="16" s="1"/>
  <c r="AD80" i="16"/>
  <c r="AE80" i="16" s="1"/>
  <c r="AF80" i="16" s="1"/>
  <c r="AD144" i="16"/>
  <c r="AE144" i="16" s="1"/>
  <c r="AF144" i="16" s="1"/>
  <c r="AD208" i="16"/>
  <c r="AE208" i="16" s="1"/>
  <c r="AF208" i="16" s="1"/>
  <c r="AD272" i="16"/>
  <c r="AE272" i="16" s="1"/>
  <c r="AF272" i="16" s="1"/>
  <c r="AD336" i="16"/>
  <c r="AE336" i="16" s="1"/>
  <c r="AF336" i="16" s="1"/>
  <c r="AD400" i="16"/>
  <c r="AE400" i="16" s="1"/>
  <c r="AF400" i="16" s="1"/>
  <c r="AD464" i="16"/>
  <c r="AE464" i="16" s="1"/>
  <c r="AF464" i="16" s="1"/>
  <c r="AD528" i="16"/>
  <c r="AE528" i="16" s="1"/>
  <c r="AF528" i="16" s="1"/>
  <c r="AD105" i="16"/>
  <c r="AE105" i="16" s="1"/>
  <c r="AF105" i="16" s="1"/>
  <c r="AD169" i="16"/>
  <c r="AE169" i="16" s="1"/>
  <c r="AF169" i="16" s="1"/>
  <c r="AD233" i="16"/>
  <c r="AE233" i="16" s="1"/>
  <c r="AF233" i="16" s="1"/>
  <c r="AD297" i="16"/>
  <c r="AE297" i="16" s="1"/>
  <c r="AF297" i="16" s="1"/>
  <c r="AD361" i="16"/>
  <c r="AE361" i="16" s="1"/>
  <c r="AF361" i="16" s="1"/>
  <c r="AD425" i="16"/>
  <c r="AE425" i="16" s="1"/>
  <c r="AF425" i="16" s="1"/>
  <c r="AD123" i="16"/>
  <c r="AE123" i="16" s="1"/>
  <c r="AF123" i="16" s="1"/>
  <c r="AD187" i="16"/>
  <c r="AE187" i="16" s="1"/>
  <c r="AF187" i="16" s="1"/>
  <c r="AD251" i="16"/>
  <c r="AE251" i="16" s="1"/>
  <c r="AF251" i="16" s="1"/>
  <c r="AD315" i="16"/>
  <c r="AE315" i="16" s="1"/>
  <c r="AF315" i="16" s="1"/>
  <c r="AD379" i="16"/>
  <c r="AE379" i="16" s="1"/>
  <c r="AF379" i="16" s="1"/>
  <c r="AD443" i="16"/>
  <c r="AE443" i="16" s="1"/>
  <c r="AF443" i="16" s="1"/>
  <c r="AD507" i="16"/>
  <c r="AE507" i="16" s="1"/>
  <c r="AF507" i="16" s="1"/>
  <c r="AD85" i="16"/>
  <c r="AE85" i="16" s="1"/>
  <c r="AF85" i="16" s="1"/>
  <c r="AD149" i="16"/>
  <c r="AE149" i="16" s="1"/>
  <c r="AF149" i="16" s="1"/>
  <c r="AD213" i="16"/>
  <c r="AE213" i="16" s="1"/>
  <c r="AF213" i="16" s="1"/>
  <c r="AD134" i="16"/>
  <c r="AE134" i="16" s="1"/>
  <c r="AF134" i="16" s="1"/>
  <c r="AD198" i="16"/>
  <c r="AE198" i="16" s="1"/>
  <c r="AF198" i="16" s="1"/>
  <c r="AD262" i="16"/>
  <c r="AE262" i="16" s="1"/>
  <c r="AF262" i="16" s="1"/>
  <c r="AD326" i="16"/>
  <c r="AE326" i="16" s="1"/>
  <c r="AF326" i="16" s="1"/>
  <c r="AD390" i="16"/>
  <c r="AE390" i="16" s="1"/>
  <c r="AF390" i="16" s="1"/>
  <c r="AD454" i="16"/>
  <c r="AE454" i="16" s="1"/>
  <c r="AF454" i="16" s="1"/>
  <c r="AD518" i="16"/>
  <c r="AE518" i="16" s="1"/>
  <c r="AF518" i="16" s="1"/>
  <c r="AD88" i="16"/>
  <c r="AE88" i="16" s="1"/>
  <c r="AF88" i="16" s="1"/>
  <c r="AD152" i="16"/>
  <c r="AE152" i="16" s="1"/>
  <c r="AF152" i="16" s="1"/>
  <c r="AD216" i="16"/>
  <c r="AE216" i="16" s="1"/>
  <c r="AF216" i="16" s="1"/>
  <c r="AD280" i="16"/>
  <c r="AE280" i="16" s="1"/>
  <c r="AF280" i="16" s="1"/>
  <c r="AD344" i="16"/>
  <c r="AE344" i="16" s="1"/>
  <c r="AF344" i="16" s="1"/>
  <c r="AD408" i="16"/>
  <c r="AE408" i="16" s="1"/>
  <c r="AF408" i="16" s="1"/>
  <c r="AD472" i="16"/>
  <c r="AE472" i="16" s="1"/>
  <c r="AF472" i="16" s="1"/>
  <c r="AD536" i="16"/>
  <c r="AE536" i="16" s="1"/>
  <c r="AF536" i="16" s="1"/>
  <c r="AD113" i="16"/>
  <c r="AE113" i="16" s="1"/>
  <c r="AF113" i="16" s="1"/>
  <c r="AD177" i="16"/>
  <c r="AE177" i="16" s="1"/>
  <c r="AF177" i="16" s="1"/>
  <c r="AD241" i="16"/>
  <c r="AE241" i="16" s="1"/>
  <c r="AF241" i="16" s="1"/>
  <c r="AD305" i="16"/>
  <c r="AE305" i="16" s="1"/>
  <c r="AF305" i="16" s="1"/>
  <c r="AD369" i="16"/>
  <c r="AE369" i="16" s="1"/>
  <c r="AF369" i="16" s="1"/>
  <c r="AD433" i="16"/>
  <c r="AE433" i="16" s="1"/>
  <c r="AF433" i="16" s="1"/>
  <c r="AD497" i="16"/>
  <c r="AE497" i="16" s="1"/>
  <c r="AF497" i="16" s="1"/>
  <c r="AD561" i="16"/>
  <c r="AE561" i="16" s="1"/>
  <c r="AF561" i="16" s="1"/>
  <c r="AD130" i="16"/>
  <c r="AE130" i="16" s="1"/>
  <c r="AF130" i="16" s="1"/>
  <c r="AD194" i="16"/>
  <c r="AE194" i="16" s="1"/>
  <c r="AF194" i="16" s="1"/>
  <c r="AD258" i="16"/>
  <c r="AE258" i="16" s="1"/>
  <c r="AF258" i="16" s="1"/>
  <c r="AD322" i="16"/>
  <c r="AE322" i="16" s="1"/>
  <c r="AF322" i="16" s="1"/>
  <c r="AD386" i="16"/>
  <c r="AE386" i="16" s="1"/>
  <c r="AF386" i="16" s="1"/>
  <c r="AD450" i="16"/>
  <c r="AE450" i="16" s="1"/>
  <c r="AF450" i="16" s="1"/>
  <c r="AD514" i="16"/>
  <c r="AE514" i="16" s="1"/>
  <c r="AF514" i="16" s="1"/>
  <c r="AD279" i="16"/>
  <c r="AE279" i="16" s="1"/>
  <c r="AF279" i="16" s="1"/>
  <c r="AD452" i="16"/>
  <c r="AE452" i="16" s="1"/>
  <c r="AF452" i="16" s="1"/>
  <c r="AD131" i="16"/>
  <c r="AE131" i="16" s="1"/>
  <c r="AF131" i="16" s="1"/>
  <c r="AD195" i="16"/>
  <c r="AE195" i="16" s="1"/>
  <c r="AF195" i="16" s="1"/>
  <c r="AD259" i="16"/>
  <c r="AE259" i="16" s="1"/>
  <c r="AF259" i="16" s="1"/>
  <c r="AD323" i="16"/>
  <c r="AE323" i="16" s="1"/>
  <c r="AF323" i="16" s="1"/>
  <c r="AD387" i="16"/>
  <c r="AE387" i="16" s="1"/>
  <c r="AF387" i="16" s="1"/>
  <c r="AD451" i="16"/>
  <c r="AE451" i="16" s="1"/>
  <c r="AF451" i="16" s="1"/>
  <c r="AD515" i="16"/>
  <c r="AE515" i="16" s="1"/>
  <c r="AF515" i="16" s="1"/>
  <c r="AD93" i="16"/>
  <c r="AE93" i="16" s="1"/>
  <c r="AF93" i="16" s="1"/>
  <c r="AD157" i="16"/>
  <c r="AE157" i="16" s="1"/>
  <c r="AF157" i="16" s="1"/>
  <c r="AD221" i="16"/>
  <c r="AE221" i="16" s="1"/>
  <c r="AF221" i="16" s="1"/>
  <c r="AD78" i="16"/>
  <c r="AE78" i="16" s="1"/>
  <c r="AF78" i="16" s="1"/>
  <c r="AD142" i="16"/>
  <c r="AE142" i="16" s="1"/>
  <c r="AF142" i="16" s="1"/>
  <c r="AD206" i="16"/>
  <c r="AE206" i="16" s="1"/>
  <c r="AF206" i="16" s="1"/>
  <c r="AD270" i="16"/>
  <c r="AE270" i="16" s="1"/>
  <c r="AF270" i="16" s="1"/>
  <c r="AD334" i="16"/>
  <c r="AE334" i="16" s="1"/>
  <c r="AF334" i="16" s="1"/>
  <c r="AD398" i="16"/>
  <c r="AE398" i="16" s="1"/>
  <c r="AF398" i="16" s="1"/>
  <c r="AD462" i="16"/>
  <c r="AE462" i="16" s="1"/>
  <c r="AF462" i="16" s="1"/>
  <c r="AD526" i="16"/>
  <c r="AE526" i="16" s="1"/>
  <c r="AF526" i="16" s="1"/>
  <c r="AD96" i="16"/>
  <c r="AE96" i="16" s="1"/>
  <c r="AF96" i="16" s="1"/>
  <c r="AD160" i="16"/>
  <c r="AE160" i="16" s="1"/>
  <c r="AF160" i="16" s="1"/>
  <c r="AD224" i="16"/>
  <c r="AE224" i="16" s="1"/>
  <c r="AF224" i="16" s="1"/>
  <c r="AD288" i="16"/>
  <c r="AE288" i="16" s="1"/>
  <c r="AF288" i="16" s="1"/>
  <c r="AD352" i="16"/>
  <c r="AE352" i="16" s="1"/>
  <c r="AF352" i="16" s="1"/>
  <c r="AD416" i="16"/>
  <c r="AE416" i="16" s="1"/>
  <c r="AF416" i="16" s="1"/>
  <c r="AD480" i="16"/>
  <c r="AE480" i="16" s="1"/>
  <c r="AF480" i="16" s="1"/>
  <c r="AD544" i="16"/>
  <c r="AE544" i="16" s="1"/>
  <c r="AF544" i="16" s="1"/>
  <c r="AD121" i="16"/>
  <c r="AE121" i="16" s="1"/>
  <c r="AF121" i="16" s="1"/>
  <c r="AD185" i="16"/>
  <c r="AE185" i="16" s="1"/>
  <c r="AF185" i="16" s="1"/>
  <c r="AD249" i="16"/>
  <c r="AE249" i="16" s="1"/>
  <c r="AF249" i="16" s="1"/>
  <c r="AD313" i="16"/>
  <c r="AE313" i="16" s="1"/>
  <c r="AF313" i="16" s="1"/>
  <c r="AD377" i="16"/>
  <c r="AE377" i="16" s="1"/>
  <c r="AF377" i="16" s="1"/>
  <c r="AD441" i="16"/>
  <c r="AE441" i="16" s="1"/>
  <c r="AF441" i="16" s="1"/>
  <c r="AD505" i="16"/>
  <c r="AE505" i="16" s="1"/>
  <c r="AF505" i="16" s="1"/>
  <c r="AD138" i="16"/>
  <c r="AE138" i="16" s="1"/>
  <c r="AF138" i="16" s="1"/>
  <c r="AD202" i="16"/>
  <c r="AE202" i="16" s="1"/>
  <c r="AF202" i="16" s="1"/>
  <c r="AD266" i="16"/>
  <c r="AE266" i="16" s="1"/>
  <c r="AF266" i="16" s="1"/>
  <c r="AD330" i="16"/>
  <c r="AE330" i="16" s="1"/>
  <c r="AF330" i="16" s="1"/>
  <c r="AD394" i="16"/>
  <c r="AE394" i="16" s="1"/>
  <c r="AF394" i="16" s="1"/>
  <c r="AD139" i="16"/>
  <c r="AE139" i="16" s="1"/>
  <c r="AF139" i="16" s="1"/>
  <c r="AD203" i="16"/>
  <c r="AE203" i="16" s="1"/>
  <c r="AF203" i="16" s="1"/>
  <c r="AD267" i="16"/>
  <c r="AE267" i="16" s="1"/>
  <c r="AF267" i="16" s="1"/>
  <c r="AD331" i="16"/>
  <c r="AE331" i="16" s="1"/>
  <c r="AF331" i="16" s="1"/>
  <c r="AD395" i="16"/>
  <c r="AE395" i="16" s="1"/>
  <c r="AF395" i="16" s="1"/>
  <c r="AD459" i="16"/>
  <c r="AE459" i="16" s="1"/>
  <c r="AF459" i="16" s="1"/>
  <c r="AD523" i="16"/>
  <c r="AE523" i="16" s="1"/>
  <c r="AF523" i="16" s="1"/>
  <c r="AD101" i="16"/>
  <c r="AE101" i="16" s="1"/>
  <c r="AF101" i="16" s="1"/>
  <c r="AD165" i="16"/>
  <c r="AE165" i="16" s="1"/>
  <c r="AF165" i="16" s="1"/>
  <c r="AD229" i="16"/>
  <c r="AE229" i="16" s="1"/>
  <c r="AF229" i="16" s="1"/>
  <c r="AD86" i="16"/>
  <c r="AE86" i="16" s="1"/>
  <c r="AF86" i="16" s="1"/>
  <c r="AD150" i="16"/>
  <c r="AE150" i="16" s="1"/>
  <c r="AF150" i="16" s="1"/>
  <c r="AD214" i="16"/>
  <c r="AE214" i="16" s="1"/>
  <c r="AF214" i="16" s="1"/>
  <c r="AD278" i="16"/>
  <c r="AE278" i="16" s="1"/>
  <c r="AF278" i="16" s="1"/>
  <c r="AD342" i="16"/>
  <c r="AE342" i="16" s="1"/>
  <c r="AF342" i="16" s="1"/>
  <c r="AD406" i="16"/>
  <c r="AE406" i="16" s="1"/>
  <c r="AF406" i="16" s="1"/>
  <c r="AD470" i="16"/>
  <c r="AE470" i="16" s="1"/>
  <c r="AF470" i="16" s="1"/>
  <c r="AD534" i="16"/>
  <c r="AE534" i="16" s="1"/>
  <c r="AF534" i="16" s="1"/>
  <c r="AD104" i="16"/>
  <c r="AE104" i="16" s="1"/>
  <c r="AF104" i="16" s="1"/>
  <c r="AD168" i="16"/>
  <c r="AE168" i="16" s="1"/>
  <c r="AF168" i="16" s="1"/>
  <c r="AD232" i="16"/>
  <c r="AE232" i="16" s="1"/>
  <c r="AF232" i="16" s="1"/>
  <c r="AD296" i="16"/>
  <c r="AE296" i="16" s="1"/>
  <c r="AF296" i="16" s="1"/>
  <c r="AD360" i="16"/>
  <c r="AE360" i="16" s="1"/>
  <c r="AF360" i="16" s="1"/>
  <c r="AD424" i="16"/>
  <c r="AE424" i="16" s="1"/>
  <c r="AF424" i="16" s="1"/>
  <c r="AD488" i="16"/>
  <c r="AE488" i="16" s="1"/>
  <c r="AF488" i="16" s="1"/>
  <c r="AD552" i="16"/>
  <c r="AE552" i="16" s="1"/>
  <c r="AF552" i="16" s="1"/>
  <c r="AD129" i="16"/>
  <c r="AE129" i="16" s="1"/>
  <c r="AF129" i="16" s="1"/>
  <c r="AD193" i="16"/>
  <c r="AE193" i="16" s="1"/>
  <c r="AF193" i="16" s="1"/>
  <c r="AD257" i="16"/>
  <c r="AE257" i="16" s="1"/>
  <c r="AF257" i="16" s="1"/>
  <c r="AD321" i="16"/>
  <c r="AE321" i="16" s="1"/>
  <c r="AF321" i="16" s="1"/>
  <c r="AD385" i="16"/>
  <c r="AE385" i="16" s="1"/>
  <c r="AF385" i="16" s="1"/>
  <c r="AD449" i="16"/>
  <c r="AE449" i="16" s="1"/>
  <c r="AF449" i="16" s="1"/>
  <c r="AD513" i="16"/>
  <c r="AE513" i="16" s="1"/>
  <c r="AF513" i="16" s="1"/>
  <c r="AD82" i="16"/>
  <c r="AE82" i="16" s="1"/>
  <c r="AF82" i="16" s="1"/>
  <c r="AD146" i="16"/>
  <c r="AE146" i="16" s="1"/>
  <c r="AF146" i="16" s="1"/>
  <c r="AD210" i="16"/>
  <c r="AE210" i="16" s="1"/>
  <c r="AF210" i="16" s="1"/>
  <c r="AD274" i="16"/>
  <c r="AE274" i="16" s="1"/>
  <c r="AF274" i="16" s="1"/>
  <c r="AD338" i="16"/>
  <c r="AE338" i="16" s="1"/>
  <c r="AF338" i="16" s="1"/>
  <c r="AD402" i="16"/>
  <c r="AE402" i="16" s="1"/>
  <c r="AF402" i="16" s="1"/>
  <c r="AD466" i="16"/>
  <c r="AE466" i="16" s="1"/>
  <c r="AF466" i="16" s="1"/>
  <c r="AD530" i="16"/>
  <c r="AE530" i="16" s="1"/>
  <c r="AF530" i="16" s="1"/>
  <c r="AD92" i="16"/>
  <c r="AE92" i="16" s="1"/>
  <c r="AF92" i="16" s="1"/>
  <c r="AD83" i="16"/>
  <c r="AE83" i="16" s="1"/>
  <c r="AF83" i="16" s="1"/>
  <c r="AD147" i="16"/>
  <c r="AE147" i="16" s="1"/>
  <c r="AF147" i="16" s="1"/>
  <c r="AD211" i="16"/>
  <c r="AE211" i="16" s="1"/>
  <c r="AF211" i="16" s="1"/>
  <c r="AD275" i="16"/>
  <c r="AE275" i="16" s="1"/>
  <c r="AF275" i="16" s="1"/>
  <c r="AD339" i="16"/>
  <c r="AE339" i="16" s="1"/>
  <c r="AF339" i="16" s="1"/>
  <c r="AD403" i="16"/>
  <c r="AE403" i="16" s="1"/>
  <c r="AF403" i="16" s="1"/>
  <c r="AD467" i="16"/>
  <c r="AE467" i="16" s="1"/>
  <c r="AF467" i="16" s="1"/>
  <c r="AD531" i="16"/>
  <c r="AE531" i="16" s="1"/>
  <c r="AF531" i="16" s="1"/>
  <c r="AD109" i="16"/>
  <c r="AE109" i="16" s="1"/>
  <c r="AF109" i="16" s="1"/>
  <c r="AD173" i="16"/>
  <c r="AE173" i="16" s="1"/>
  <c r="AF173" i="16" s="1"/>
  <c r="AD237" i="16"/>
  <c r="AE237" i="16" s="1"/>
  <c r="AF237" i="16" s="1"/>
  <c r="AD94" i="16"/>
  <c r="AE94" i="16" s="1"/>
  <c r="AF94" i="16" s="1"/>
  <c r="AD158" i="16"/>
  <c r="AE158" i="16" s="1"/>
  <c r="AF158" i="16" s="1"/>
  <c r="AD222" i="16"/>
  <c r="AE222" i="16" s="1"/>
  <c r="AF222" i="16" s="1"/>
  <c r="AD286" i="16"/>
  <c r="AE286" i="16" s="1"/>
  <c r="AF286" i="16" s="1"/>
  <c r="AD350" i="16"/>
  <c r="AE350" i="16" s="1"/>
  <c r="AF350" i="16" s="1"/>
  <c r="AD414" i="16"/>
  <c r="AE414" i="16" s="1"/>
  <c r="AF414" i="16" s="1"/>
  <c r="AD478" i="16"/>
  <c r="AE478" i="16" s="1"/>
  <c r="AF478" i="16" s="1"/>
  <c r="AD542" i="16"/>
  <c r="AE542" i="16" s="1"/>
  <c r="AF542" i="16" s="1"/>
  <c r="AD112" i="16"/>
  <c r="AE112" i="16" s="1"/>
  <c r="AF112" i="16" s="1"/>
  <c r="AD176" i="16"/>
  <c r="AE176" i="16" s="1"/>
  <c r="AF176" i="16" s="1"/>
  <c r="AD240" i="16"/>
  <c r="AE240" i="16" s="1"/>
  <c r="AF240" i="16" s="1"/>
  <c r="AD304" i="16"/>
  <c r="AE304" i="16" s="1"/>
  <c r="AF304" i="16" s="1"/>
  <c r="AD368" i="16"/>
  <c r="AE368" i="16" s="1"/>
  <c r="AF368" i="16" s="1"/>
  <c r="AD432" i="16"/>
  <c r="AE432" i="16" s="1"/>
  <c r="AF432" i="16" s="1"/>
  <c r="AD496" i="16"/>
  <c r="AE496" i="16" s="1"/>
  <c r="AF496" i="16" s="1"/>
  <c r="AD137" i="16"/>
  <c r="AE137" i="16" s="1"/>
  <c r="AF137" i="16" s="1"/>
  <c r="AD201" i="16"/>
  <c r="AE201" i="16" s="1"/>
  <c r="AF201" i="16" s="1"/>
  <c r="AD265" i="16"/>
  <c r="AE265" i="16" s="1"/>
  <c r="AF265" i="16" s="1"/>
  <c r="AD329" i="16"/>
  <c r="AE329" i="16" s="1"/>
  <c r="AF329" i="16" s="1"/>
  <c r="AD393" i="16"/>
  <c r="AE393" i="16" s="1"/>
  <c r="AF393" i="16" s="1"/>
  <c r="AD457" i="16"/>
  <c r="AE457" i="16" s="1"/>
  <c r="AF457" i="16" s="1"/>
  <c r="AD521" i="16"/>
  <c r="AE521" i="16" s="1"/>
  <c r="AF521" i="16" s="1"/>
  <c r="AD90" i="16"/>
  <c r="AE90" i="16" s="1"/>
  <c r="AF90" i="16" s="1"/>
  <c r="AD154" i="16"/>
  <c r="AE154" i="16" s="1"/>
  <c r="AF154" i="16" s="1"/>
  <c r="AD218" i="16"/>
  <c r="AE218" i="16" s="1"/>
  <c r="AF218" i="16" s="1"/>
  <c r="AD282" i="16"/>
  <c r="AE282" i="16" s="1"/>
  <c r="AF282" i="16" s="1"/>
  <c r="AD346" i="16"/>
  <c r="AE346" i="16" s="1"/>
  <c r="AF346" i="16" s="1"/>
  <c r="AD410" i="16"/>
  <c r="AE410" i="16" s="1"/>
  <c r="AF410" i="16" s="1"/>
  <c r="AD474" i="16"/>
  <c r="AE474" i="16" s="1"/>
  <c r="AF474" i="16" s="1"/>
  <c r="AD538" i="16"/>
  <c r="AE538" i="16" s="1"/>
  <c r="AF538" i="16" s="1"/>
  <c r="AD124" i="16"/>
  <c r="AE124" i="16" s="1"/>
  <c r="AF124" i="16" s="1"/>
  <c r="AD545" i="16"/>
  <c r="AE545" i="16" s="1"/>
  <c r="AF545" i="16" s="1"/>
  <c r="AD250" i="16"/>
  <c r="AE250" i="16" s="1"/>
  <c r="AF250" i="16" s="1"/>
  <c r="AD490" i="16"/>
  <c r="AE490" i="16" s="1"/>
  <c r="AF490" i="16" s="1"/>
  <c r="AD388" i="16"/>
  <c r="AE388" i="16" s="1"/>
  <c r="AF388" i="16" s="1"/>
  <c r="AD567" i="16"/>
  <c r="AE567" i="16" s="1"/>
  <c r="AF567" i="16" s="1"/>
  <c r="AD632" i="16"/>
  <c r="AE632" i="16" s="1"/>
  <c r="AF632" i="16" s="1"/>
  <c r="AD696" i="16"/>
  <c r="AE696" i="16" s="1"/>
  <c r="AF696" i="16" s="1"/>
  <c r="AD760" i="16"/>
  <c r="AE760" i="16" s="1"/>
  <c r="AF760" i="16" s="1"/>
  <c r="AD824" i="16"/>
  <c r="AE824" i="16" s="1"/>
  <c r="AF824" i="16" s="1"/>
  <c r="AD888" i="16"/>
  <c r="AE888" i="16" s="1"/>
  <c r="AF888" i="16" s="1"/>
  <c r="AD952" i="16"/>
  <c r="AE952" i="16" s="1"/>
  <c r="AF952" i="16" s="1"/>
  <c r="AD1016" i="16"/>
  <c r="AE1016" i="16" s="1"/>
  <c r="AF1016" i="16" s="1"/>
  <c r="AD1080" i="16"/>
  <c r="AE1080" i="16" s="1"/>
  <c r="AF1080" i="16" s="1"/>
  <c r="AD1144" i="16"/>
  <c r="AE1144" i="16" s="1"/>
  <c r="AF1144" i="16" s="1"/>
  <c r="AD1208" i="16"/>
  <c r="AE1208" i="16" s="1"/>
  <c r="AF1208" i="16" s="1"/>
  <c r="AD1272" i="16"/>
  <c r="AE1272" i="16" s="1"/>
  <c r="AF1272" i="16" s="1"/>
  <c r="AD1336" i="16"/>
  <c r="AE1336" i="16" s="1"/>
  <c r="AF1336" i="16" s="1"/>
  <c r="AD1400" i="16"/>
  <c r="AE1400" i="16" s="1"/>
  <c r="AF1400" i="16" s="1"/>
  <c r="AD1464" i="16"/>
  <c r="AE1464" i="16" s="1"/>
  <c r="AF1464" i="16" s="1"/>
  <c r="AD1528" i="16"/>
  <c r="AE1528" i="16" s="1"/>
  <c r="AF1528" i="16" s="1"/>
  <c r="AD1592" i="16"/>
  <c r="AE1592" i="16" s="1"/>
  <c r="AF1592" i="16" s="1"/>
  <c r="AD1656" i="16"/>
  <c r="AE1656" i="16" s="1"/>
  <c r="AF1656" i="16" s="1"/>
  <c r="AD1720" i="16"/>
  <c r="AE1720" i="16" s="1"/>
  <c r="AF1720" i="16" s="1"/>
  <c r="AD1784" i="16"/>
  <c r="AE1784" i="16" s="1"/>
  <c r="AF1784" i="16" s="1"/>
  <c r="AD1848" i="16"/>
  <c r="AE1848" i="16" s="1"/>
  <c r="AF1848" i="16" s="1"/>
  <c r="AD1912" i="16"/>
  <c r="AE1912" i="16" s="1"/>
  <c r="AF1912" i="16" s="1"/>
  <c r="AD1976" i="16"/>
  <c r="AE1976" i="16" s="1"/>
  <c r="AF1976" i="16" s="1"/>
  <c r="AD2040" i="16"/>
  <c r="AE2040" i="16" s="1"/>
  <c r="AF2040" i="16" s="1"/>
  <c r="AD2104" i="16"/>
  <c r="AE2104" i="16" s="1"/>
  <c r="AF2104" i="16" s="1"/>
  <c r="AD2168" i="16"/>
  <c r="AE2168" i="16" s="1"/>
  <c r="AF2168" i="16" s="1"/>
  <c r="AD2232" i="16"/>
  <c r="AE2232" i="16" s="1"/>
  <c r="AF2232" i="16" s="1"/>
  <c r="AD127" i="16"/>
  <c r="AE127" i="16" s="1"/>
  <c r="AF127" i="16" s="1"/>
  <c r="AD348" i="16"/>
  <c r="AE348" i="16" s="1"/>
  <c r="AF348" i="16" s="1"/>
  <c r="AD517" i="16"/>
  <c r="AE517" i="16" s="1"/>
  <c r="AF517" i="16" s="1"/>
  <c r="AD609" i="16"/>
  <c r="AE609" i="16" s="1"/>
  <c r="AF609" i="16" s="1"/>
  <c r="AD673" i="16"/>
  <c r="AE673" i="16" s="1"/>
  <c r="AF673" i="16" s="1"/>
  <c r="AD737" i="16"/>
  <c r="AE737" i="16" s="1"/>
  <c r="AF737" i="16" s="1"/>
  <c r="AD801" i="16"/>
  <c r="AE801" i="16" s="1"/>
  <c r="AF801" i="16" s="1"/>
  <c r="AD865" i="16"/>
  <c r="AE865" i="16" s="1"/>
  <c r="AF865" i="16" s="1"/>
  <c r="AD929" i="16"/>
  <c r="AE929" i="16" s="1"/>
  <c r="AF929" i="16" s="1"/>
  <c r="AD993" i="16"/>
  <c r="AE993" i="16" s="1"/>
  <c r="AF993" i="16" s="1"/>
  <c r="AD1057" i="16"/>
  <c r="AE1057" i="16" s="1"/>
  <c r="AF1057" i="16" s="1"/>
  <c r="AD1121" i="16"/>
  <c r="AE1121" i="16" s="1"/>
  <c r="AF1121" i="16" s="1"/>
  <c r="AD1185" i="16"/>
  <c r="AE1185" i="16" s="1"/>
  <c r="AF1185" i="16" s="1"/>
  <c r="AD1249" i="16"/>
  <c r="AE1249" i="16" s="1"/>
  <c r="AF1249" i="16" s="1"/>
  <c r="AD1313" i="16"/>
  <c r="AE1313" i="16" s="1"/>
  <c r="AF1313" i="16" s="1"/>
  <c r="AD1377" i="16"/>
  <c r="AE1377" i="16" s="1"/>
  <c r="AF1377" i="16" s="1"/>
  <c r="AD1441" i="16"/>
  <c r="AE1441" i="16" s="1"/>
  <c r="AF1441" i="16" s="1"/>
  <c r="AD1505" i="16"/>
  <c r="AE1505" i="16" s="1"/>
  <c r="AF1505" i="16" s="1"/>
  <c r="AD1569" i="16"/>
  <c r="AE1569" i="16" s="1"/>
  <c r="AF1569" i="16" s="1"/>
  <c r="AD1633" i="16"/>
  <c r="AE1633" i="16" s="1"/>
  <c r="AF1633" i="16" s="1"/>
  <c r="AD1697" i="16"/>
  <c r="AE1697" i="16" s="1"/>
  <c r="AF1697" i="16" s="1"/>
  <c r="AD132" i="16"/>
  <c r="AE132" i="16" s="1"/>
  <c r="AF132" i="16" s="1"/>
  <c r="AD349" i="16"/>
  <c r="AE349" i="16" s="1"/>
  <c r="AF349" i="16" s="1"/>
  <c r="AD519" i="16"/>
  <c r="AE519" i="16" s="1"/>
  <c r="AF519" i="16" s="1"/>
  <c r="AD610" i="16"/>
  <c r="AE610" i="16" s="1"/>
  <c r="AF610" i="16" s="1"/>
  <c r="AD674" i="16"/>
  <c r="AE674" i="16" s="1"/>
  <c r="AF674" i="16" s="1"/>
  <c r="AD738" i="16"/>
  <c r="AE738" i="16" s="1"/>
  <c r="AF738" i="16" s="1"/>
  <c r="AD802" i="16"/>
  <c r="AE802" i="16" s="1"/>
  <c r="AF802" i="16" s="1"/>
  <c r="AD866" i="16"/>
  <c r="AE866" i="16" s="1"/>
  <c r="AF866" i="16" s="1"/>
  <c r="AD930" i="16"/>
  <c r="AE930" i="16" s="1"/>
  <c r="AF930" i="16" s="1"/>
  <c r="AD994" i="16"/>
  <c r="AE994" i="16" s="1"/>
  <c r="AF994" i="16" s="1"/>
  <c r="AD1058" i="16"/>
  <c r="AE1058" i="16" s="1"/>
  <c r="AF1058" i="16" s="1"/>
  <c r="AD1122" i="16"/>
  <c r="AE1122" i="16" s="1"/>
  <c r="AF1122" i="16" s="1"/>
  <c r="AD1186" i="16"/>
  <c r="AE1186" i="16" s="1"/>
  <c r="AF1186" i="16" s="1"/>
  <c r="AD553" i="16"/>
  <c r="AE553" i="16" s="1"/>
  <c r="AF553" i="16" s="1"/>
  <c r="AD306" i="16"/>
  <c r="AE306" i="16" s="1"/>
  <c r="AF306" i="16" s="1"/>
  <c r="AD498" i="16"/>
  <c r="AE498" i="16" s="1"/>
  <c r="AF498" i="16" s="1"/>
  <c r="AD188" i="16"/>
  <c r="AE188" i="16" s="1"/>
  <c r="AF188" i="16" s="1"/>
  <c r="AD407" i="16"/>
  <c r="AE407" i="16" s="1"/>
  <c r="AF407" i="16" s="1"/>
  <c r="AD576" i="16"/>
  <c r="AE576" i="16" s="1"/>
  <c r="AF576" i="16" s="1"/>
  <c r="AD640" i="16"/>
  <c r="AE640" i="16" s="1"/>
  <c r="AF640" i="16" s="1"/>
  <c r="AD704" i="16"/>
  <c r="AE704" i="16" s="1"/>
  <c r="AF704" i="16" s="1"/>
  <c r="AD768" i="16"/>
  <c r="AE768" i="16" s="1"/>
  <c r="AF768" i="16" s="1"/>
  <c r="AD832" i="16"/>
  <c r="AE832" i="16" s="1"/>
  <c r="AF832" i="16" s="1"/>
  <c r="AD896" i="16"/>
  <c r="AE896" i="16" s="1"/>
  <c r="AF896" i="16" s="1"/>
  <c r="AD960" i="16"/>
  <c r="AE960" i="16" s="1"/>
  <c r="AF960" i="16" s="1"/>
  <c r="AD1024" i="16"/>
  <c r="AE1024" i="16" s="1"/>
  <c r="AF1024" i="16" s="1"/>
  <c r="AD1088" i="16"/>
  <c r="AE1088" i="16" s="1"/>
  <c r="AF1088" i="16" s="1"/>
  <c r="AD1152" i="16"/>
  <c r="AE1152" i="16" s="1"/>
  <c r="AF1152" i="16" s="1"/>
  <c r="AD1216" i="16"/>
  <c r="AE1216" i="16" s="1"/>
  <c r="AF1216" i="16" s="1"/>
  <c r="AD1280" i="16"/>
  <c r="AE1280" i="16" s="1"/>
  <c r="AF1280" i="16" s="1"/>
  <c r="AD1344" i="16"/>
  <c r="AE1344" i="16" s="1"/>
  <c r="AF1344" i="16" s="1"/>
  <c r="AD1408" i="16"/>
  <c r="AE1408" i="16" s="1"/>
  <c r="AF1408" i="16" s="1"/>
  <c r="AD1472" i="16"/>
  <c r="AE1472" i="16" s="1"/>
  <c r="AF1472" i="16" s="1"/>
  <c r="AD1536" i="16"/>
  <c r="AE1536" i="16" s="1"/>
  <c r="AF1536" i="16" s="1"/>
  <c r="AD1600" i="16"/>
  <c r="AE1600" i="16" s="1"/>
  <c r="AF1600" i="16" s="1"/>
  <c r="AD1664" i="16"/>
  <c r="AE1664" i="16" s="1"/>
  <c r="AF1664" i="16" s="1"/>
  <c r="AD1728" i="16"/>
  <c r="AE1728" i="16" s="1"/>
  <c r="AF1728" i="16" s="1"/>
  <c r="AD1792" i="16"/>
  <c r="AE1792" i="16" s="1"/>
  <c r="AF1792" i="16" s="1"/>
  <c r="AD1856" i="16"/>
  <c r="AE1856" i="16" s="1"/>
  <c r="AF1856" i="16" s="1"/>
  <c r="AD1920" i="16"/>
  <c r="AE1920" i="16" s="1"/>
  <c r="AF1920" i="16" s="1"/>
  <c r="AD1984" i="16"/>
  <c r="AE1984" i="16" s="1"/>
  <c r="AF1984" i="16" s="1"/>
  <c r="AD2048" i="16"/>
  <c r="AE2048" i="16" s="1"/>
  <c r="AF2048" i="16" s="1"/>
  <c r="AD2112" i="16"/>
  <c r="AE2112" i="16" s="1"/>
  <c r="AF2112" i="16" s="1"/>
  <c r="AD2176" i="16"/>
  <c r="AE2176" i="16" s="1"/>
  <c r="AF2176" i="16" s="1"/>
  <c r="AD2240" i="16"/>
  <c r="AE2240" i="16" s="1"/>
  <c r="AF2240" i="16" s="1"/>
  <c r="AD159" i="16"/>
  <c r="AE159" i="16" s="1"/>
  <c r="AF159" i="16" s="1"/>
  <c r="AD367" i="16"/>
  <c r="AE367" i="16" s="1"/>
  <c r="AF367" i="16" s="1"/>
  <c r="AD540" i="16"/>
  <c r="AE540" i="16" s="1"/>
  <c r="AF540" i="16" s="1"/>
  <c r="AD617" i="16"/>
  <c r="AE617" i="16" s="1"/>
  <c r="AF617" i="16" s="1"/>
  <c r="AD681" i="16"/>
  <c r="AE681" i="16" s="1"/>
  <c r="AF681" i="16" s="1"/>
  <c r="AD745" i="16"/>
  <c r="AE745" i="16" s="1"/>
  <c r="AF745" i="16" s="1"/>
  <c r="AD809" i="16"/>
  <c r="AE809" i="16" s="1"/>
  <c r="AF809" i="16" s="1"/>
  <c r="AD873" i="16"/>
  <c r="AE873" i="16" s="1"/>
  <c r="AF873" i="16" s="1"/>
  <c r="AD937" i="16"/>
  <c r="AE937" i="16" s="1"/>
  <c r="AF937" i="16" s="1"/>
  <c r="AD1001" i="16"/>
  <c r="AE1001" i="16" s="1"/>
  <c r="AF1001" i="16" s="1"/>
  <c r="AD1065" i="16"/>
  <c r="AE1065" i="16" s="1"/>
  <c r="AF1065" i="16" s="1"/>
  <c r="AD1129" i="16"/>
  <c r="AE1129" i="16" s="1"/>
  <c r="AF1129" i="16" s="1"/>
  <c r="AD1193" i="16"/>
  <c r="AE1193" i="16" s="1"/>
  <c r="AF1193" i="16" s="1"/>
  <c r="AD1257" i="16"/>
  <c r="AE1257" i="16" s="1"/>
  <c r="AF1257" i="16" s="1"/>
  <c r="AD1321" i="16"/>
  <c r="AE1321" i="16" s="1"/>
  <c r="AF1321" i="16" s="1"/>
  <c r="AD1385" i="16"/>
  <c r="AE1385" i="16" s="1"/>
  <c r="AF1385" i="16" s="1"/>
  <c r="AD1449" i="16"/>
  <c r="AE1449" i="16" s="1"/>
  <c r="AF1449" i="16" s="1"/>
  <c r="AD1513" i="16"/>
  <c r="AE1513" i="16" s="1"/>
  <c r="AF1513" i="16" s="1"/>
  <c r="AD1577" i="16"/>
  <c r="AE1577" i="16" s="1"/>
  <c r="AF1577" i="16" s="1"/>
  <c r="AD1641" i="16"/>
  <c r="AE1641" i="16" s="1"/>
  <c r="AF1641" i="16" s="1"/>
  <c r="AD1705" i="16"/>
  <c r="AE1705" i="16" s="1"/>
  <c r="AF1705" i="16" s="1"/>
  <c r="AD164" i="16"/>
  <c r="AE164" i="16" s="1"/>
  <c r="AF164" i="16" s="1"/>
  <c r="AD372" i="16"/>
  <c r="AE372" i="16" s="1"/>
  <c r="AF372" i="16" s="1"/>
  <c r="AD541" i="16"/>
  <c r="AE541" i="16" s="1"/>
  <c r="AF541" i="16" s="1"/>
  <c r="AD618" i="16"/>
  <c r="AE618" i="16" s="1"/>
  <c r="AF618" i="16" s="1"/>
  <c r="AD682" i="16"/>
  <c r="AE682" i="16" s="1"/>
  <c r="AF682" i="16" s="1"/>
  <c r="AD746" i="16"/>
  <c r="AE746" i="16" s="1"/>
  <c r="AF746" i="16" s="1"/>
  <c r="AD810" i="16"/>
  <c r="AE810" i="16" s="1"/>
  <c r="AF810" i="16" s="1"/>
  <c r="AD874" i="16"/>
  <c r="AE874" i="16" s="1"/>
  <c r="AF874" i="16" s="1"/>
  <c r="AD938" i="16"/>
  <c r="AE938" i="16" s="1"/>
  <c r="AF938" i="16" s="1"/>
  <c r="AD1002" i="16"/>
  <c r="AE1002" i="16" s="1"/>
  <c r="AF1002" i="16" s="1"/>
  <c r="AD1066" i="16"/>
  <c r="AE1066" i="16" s="1"/>
  <c r="AF1066" i="16" s="1"/>
  <c r="AD1130" i="16"/>
  <c r="AE1130" i="16" s="1"/>
  <c r="AF1130" i="16" s="1"/>
  <c r="AD1194" i="16"/>
  <c r="AE1194" i="16" s="1"/>
  <c r="AF1194" i="16" s="1"/>
  <c r="AD314" i="16"/>
  <c r="AE314" i="16" s="1"/>
  <c r="AF314" i="16" s="1"/>
  <c r="AD506" i="16"/>
  <c r="AE506" i="16" s="1"/>
  <c r="AF506" i="16" s="1"/>
  <c r="AD220" i="16"/>
  <c r="AE220" i="16" s="1"/>
  <c r="AF220" i="16" s="1"/>
  <c r="AD429" i="16"/>
  <c r="AE429" i="16" s="1"/>
  <c r="AF429" i="16" s="1"/>
  <c r="AD584" i="16"/>
  <c r="AE584" i="16" s="1"/>
  <c r="AF584" i="16" s="1"/>
  <c r="AD648" i="16"/>
  <c r="AE648" i="16" s="1"/>
  <c r="AF648" i="16" s="1"/>
  <c r="AD712" i="16"/>
  <c r="AE712" i="16" s="1"/>
  <c r="AF712" i="16" s="1"/>
  <c r="AD776" i="16"/>
  <c r="AE776" i="16" s="1"/>
  <c r="AF776" i="16" s="1"/>
  <c r="AD840" i="16"/>
  <c r="AE840" i="16" s="1"/>
  <c r="AF840" i="16" s="1"/>
  <c r="AD904" i="16"/>
  <c r="AE904" i="16" s="1"/>
  <c r="AF904" i="16" s="1"/>
  <c r="AD968" i="16"/>
  <c r="AE968" i="16" s="1"/>
  <c r="AF968" i="16" s="1"/>
  <c r="AD1032" i="16"/>
  <c r="AE1032" i="16" s="1"/>
  <c r="AF1032" i="16" s="1"/>
  <c r="AD1096" i="16"/>
  <c r="AE1096" i="16" s="1"/>
  <c r="AF1096" i="16" s="1"/>
  <c r="AD1160" i="16"/>
  <c r="AE1160" i="16" s="1"/>
  <c r="AF1160" i="16" s="1"/>
  <c r="AD1224" i="16"/>
  <c r="AE1224" i="16" s="1"/>
  <c r="AF1224" i="16" s="1"/>
  <c r="AD1288" i="16"/>
  <c r="AE1288" i="16" s="1"/>
  <c r="AF1288" i="16" s="1"/>
  <c r="AD1352" i="16"/>
  <c r="AE1352" i="16" s="1"/>
  <c r="AF1352" i="16" s="1"/>
  <c r="AD1416" i="16"/>
  <c r="AE1416" i="16" s="1"/>
  <c r="AF1416" i="16" s="1"/>
  <c r="AD1480" i="16"/>
  <c r="AE1480" i="16" s="1"/>
  <c r="AF1480" i="16" s="1"/>
  <c r="AD1544" i="16"/>
  <c r="AE1544" i="16" s="1"/>
  <c r="AF1544" i="16" s="1"/>
  <c r="AD1608" i="16"/>
  <c r="AE1608" i="16" s="1"/>
  <c r="AF1608" i="16" s="1"/>
  <c r="AD1672" i="16"/>
  <c r="AE1672" i="16" s="1"/>
  <c r="AF1672" i="16" s="1"/>
  <c r="AD1736" i="16"/>
  <c r="AE1736" i="16" s="1"/>
  <c r="AF1736" i="16" s="1"/>
  <c r="AD1800" i="16"/>
  <c r="AE1800" i="16" s="1"/>
  <c r="AF1800" i="16" s="1"/>
  <c r="AD1864" i="16"/>
  <c r="AE1864" i="16" s="1"/>
  <c r="AF1864" i="16" s="1"/>
  <c r="AD1928" i="16"/>
  <c r="AE1928" i="16" s="1"/>
  <c r="AF1928" i="16" s="1"/>
  <c r="AD1992" i="16"/>
  <c r="AE1992" i="16" s="1"/>
  <c r="AF1992" i="16" s="1"/>
  <c r="AD2056" i="16"/>
  <c r="AE2056" i="16" s="1"/>
  <c r="AF2056" i="16" s="1"/>
  <c r="AD2120" i="16"/>
  <c r="AE2120" i="16" s="1"/>
  <c r="AF2120" i="16" s="1"/>
  <c r="AD2184" i="16"/>
  <c r="AE2184" i="16" s="1"/>
  <c r="AF2184" i="16" s="1"/>
  <c r="AD2248" i="16"/>
  <c r="AE2248" i="16" s="1"/>
  <c r="AF2248" i="16" s="1"/>
  <c r="AD191" i="16"/>
  <c r="AE191" i="16" s="1"/>
  <c r="AF191" i="16" s="1"/>
  <c r="AD389" i="16"/>
  <c r="AE389" i="16" s="1"/>
  <c r="AF389" i="16" s="1"/>
  <c r="AD557" i="16"/>
  <c r="AE557" i="16" s="1"/>
  <c r="AF557" i="16" s="1"/>
  <c r="AD625" i="16"/>
  <c r="AE625" i="16" s="1"/>
  <c r="AF625" i="16" s="1"/>
  <c r="AD689" i="16"/>
  <c r="AE689" i="16" s="1"/>
  <c r="AF689" i="16" s="1"/>
  <c r="AD753" i="16"/>
  <c r="AE753" i="16" s="1"/>
  <c r="AF753" i="16" s="1"/>
  <c r="AD817" i="16"/>
  <c r="AE817" i="16" s="1"/>
  <c r="AF817" i="16" s="1"/>
  <c r="AD881" i="16"/>
  <c r="AE881" i="16" s="1"/>
  <c r="AF881" i="16" s="1"/>
  <c r="AD945" i="16"/>
  <c r="AE945" i="16" s="1"/>
  <c r="AF945" i="16" s="1"/>
  <c r="AD1009" i="16"/>
  <c r="AE1009" i="16" s="1"/>
  <c r="AF1009" i="16" s="1"/>
  <c r="AD1073" i="16"/>
  <c r="AE1073" i="16" s="1"/>
  <c r="AF1073" i="16" s="1"/>
  <c r="AD1137" i="16"/>
  <c r="AE1137" i="16" s="1"/>
  <c r="AF1137" i="16" s="1"/>
  <c r="AD1201" i="16"/>
  <c r="AE1201" i="16" s="1"/>
  <c r="AF1201" i="16" s="1"/>
  <c r="AD1265" i="16"/>
  <c r="AE1265" i="16" s="1"/>
  <c r="AF1265" i="16" s="1"/>
  <c r="AD1329" i="16"/>
  <c r="AE1329" i="16" s="1"/>
  <c r="AF1329" i="16" s="1"/>
  <c r="AD1393" i="16"/>
  <c r="AE1393" i="16" s="1"/>
  <c r="AF1393" i="16" s="1"/>
  <c r="AD1457" i="16"/>
  <c r="AE1457" i="16" s="1"/>
  <c r="AF1457" i="16" s="1"/>
  <c r="AD1521" i="16"/>
  <c r="AE1521" i="16" s="1"/>
  <c r="AF1521" i="16" s="1"/>
  <c r="AD1585" i="16"/>
  <c r="AE1585" i="16" s="1"/>
  <c r="AF1585" i="16" s="1"/>
  <c r="AD1649" i="16"/>
  <c r="AE1649" i="16" s="1"/>
  <c r="AF1649" i="16" s="1"/>
  <c r="AD1713" i="16"/>
  <c r="AE1713" i="16" s="1"/>
  <c r="AF1713" i="16" s="1"/>
  <c r="AD196" i="16"/>
  <c r="AE196" i="16" s="1"/>
  <c r="AF196" i="16" s="1"/>
  <c r="AD391" i="16"/>
  <c r="AE391" i="16" s="1"/>
  <c r="AF391" i="16" s="1"/>
  <c r="AD559" i="16"/>
  <c r="AE559" i="16" s="1"/>
  <c r="AF559" i="16" s="1"/>
  <c r="AD626" i="16"/>
  <c r="AE626" i="16" s="1"/>
  <c r="AF626" i="16" s="1"/>
  <c r="AD690" i="16"/>
  <c r="AE690" i="16" s="1"/>
  <c r="AF690" i="16" s="1"/>
  <c r="AD754" i="16"/>
  <c r="AE754" i="16" s="1"/>
  <c r="AF754" i="16" s="1"/>
  <c r="AD818" i="16"/>
  <c r="AE818" i="16" s="1"/>
  <c r="AF818" i="16" s="1"/>
  <c r="AD882" i="16"/>
  <c r="AE882" i="16" s="1"/>
  <c r="AF882" i="16" s="1"/>
  <c r="AD946" i="16"/>
  <c r="AE946" i="16" s="1"/>
  <c r="AF946" i="16" s="1"/>
  <c r="AD1010" i="16"/>
  <c r="AE1010" i="16" s="1"/>
  <c r="AF1010" i="16" s="1"/>
  <c r="AD1074" i="16"/>
  <c r="AE1074" i="16" s="1"/>
  <c r="AF1074" i="16" s="1"/>
  <c r="AD1138" i="16"/>
  <c r="AE1138" i="16" s="1"/>
  <c r="AF1138" i="16" s="1"/>
  <c r="AD1202" i="16"/>
  <c r="AE1202" i="16" s="1"/>
  <c r="AF1202" i="16" s="1"/>
  <c r="AD114" i="16"/>
  <c r="AE114" i="16" s="1"/>
  <c r="AF114" i="16" s="1"/>
  <c r="AD370" i="16"/>
  <c r="AE370" i="16" s="1"/>
  <c r="AF370" i="16" s="1"/>
  <c r="AD522" i="16"/>
  <c r="AE522" i="16" s="1"/>
  <c r="AF522" i="16" s="1"/>
  <c r="AD252" i="16"/>
  <c r="AE252" i="16" s="1"/>
  <c r="AF252" i="16" s="1"/>
  <c r="AD471" i="16"/>
  <c r="AE471" i="16" s="1"/>
  <c r="AF471" i="16" s="1"/>
  <c r="AD592" i="16"/>
  <c r="AE592" i="16" s="1"/>
  <c r="AF592" i="16" s="1"/>
  <c r="AD656" i="16"/>
  <c r="AE656" i="16" s="1"/>
  <c r="AF656" i="16" s="1"/>
  <c r="AD720" i="16"/>
  <c r="AE720" i="16" s="1"/>
  <c r="AF720" i="16" s="1"/>
  <c r="AD784" i="16"/>
  <c r="AE784" i="16" s="1"/>
  <c r="AF784" i="16" s="1"/>
  <c r="AD848" i="16"/>
  <c r="AE848" i="16" s="1"/>
  <c r="AF848" i="16" s="1"/>
  <c r="AD912" i="16"/>
  <c r="AE912" i="16" s="1"/>
  <c r="AF912" i="16" s="1"/>
  <c r="AD976" i="16"/>
  <c r="AE976" i="16" s="1"/>
  <c r="AF976" i="16" s="1"/>
  <c r="AD1040" i="16"/>
  <c r="AE1040" i="16" s="1"/>
  <c r="AF1040" i="16" s="1"/>
  <c r="AD1104" i="16"/>
  <c r="AE1104" i="16" s="1"/>
  <c r="AF1104" i="16" s="1"/>
  <c r="AD1168" i="16"/>
  <c r="AE1168" i="16" s="1"/>
  <c r="AF1168" i="16" s="1"/>
  <c r="AD1232" i="16"/>
  <c r="AE1232" i="16" s="1"/>
  <c r="AF1232" i="16" s="1"/>
  <c r="AD1296" i="16"/>
  <c r="AE1296" i="16" s="1"/>
  <c r="AF1296" i="16" s="1"/>
  <c r="AD1360" i="16"/>
  <c r="AE1360" i="16" s="1"/>
  <c r="AF1360" i="16" s="1"/>
  <c r="AD1424" i="16"/>
  <c r="AE1424" i="16" s="1"/>
  <c r="AF1424" i="16" s="1"/>
  <c r="AD1488" i="16"/>
  <c r="AE1488" i="16" s="1"/>
  <c r="AF1488" i="16" s="1"/>
  <c r="AD1552" i="16"/>
  <c r="AE1552" i="16" s="1"/>
  <c r="AF1552" i="16" s="1"/>
  <c r="AD1616" i="16"/>
  <c r="AE1616" i="16" s="1"/>
  <c r="AF1616" i="16" s="1"/>
  <c r="AD1680" i="16"/>
  <c r="AE1680" i="16" s="1"/>
  <c r="AF1680" i="16" s="1"/>
  <c r="AD1744" i="16"/>
  <c r="AE1744" i="16" s="1"/>
  <c r="AF1744" i="16" s="1"/>
  <c r="AD1808" i="16"/>
  <c r="AE1808" i="16" s="1"/>
  <c r="AF1808" i="16" s="1"/>
  <c r="AD1872" i="16"/>
  <c r="AE1872" i="16" s="1"/>
  <c r="AF1872" i="16" s="1"/>
  <c r="AD1936" i="16"/>
  <c r="AE1936" i="16" s="1"/>
  <c r="AF1936" i="16" s="1"/>
  <c r="AD2000" i="16"/>
  <c r="AE2000" i="16" s="1"/>
  <c r="AF2000" i="16" s="1"/>
  <c r="AD2064" i="16"/>
  <c r="AE2064" i="16" s="1"/>
  <c r="AF2064" i="16" s="1"/>
  <c r="AD2128" i="16"/>
  <c r="AE2128" i="16" s="1"/>
  <c r="AF2128" i="16" s="1"/>
  <c r="AD2192" i="16"/>
  <c r="AE2192" i="16" s="1"/>
  <c r="AF2192" i="16" s="1"/>
  <c r="AD2256" i="16"/>
  <c r="AE2256" i="16" s="1"/>
  <c r="AF2256" i="16" s="1"/>
  <c r="AD223" i="16"/>
  <c r="AE223" i="16" s="1"/>
  <c r="AF223" i="16" s="1"/>
  <c r="AD412" i="16"/>
  <c r="AE412" i="16" s="1"/>
  <c r="AF412" i="16" s="1"/>
  <c r="AD568" i="16"/>
  <c r="AE568" i="16" s="1"/>
  <c r="AF568" i="16" s="1"/>
  <c r="AD633" i="16"/>
  <c r="AE633" i="16" s="1"/>
  <c r="AF633" i="16" s="1"/>
  <c r="AD697" i="16"/>
  <c r="AE697" i="16" s="1"/>
  <c r="AF697" i="16" s="1"/>
  <c r="AD761" i="16"/>
  <c r="AE761" i="16" s="1"/>
  <c r="AF761" i="16" s="1"/>
  <c r="AD825" i="16"/>
  <c r="AE825" i="16" s="1"/>
  <c r="AF825" i="16" s="1"/>
  <c r="AD889" i="16"/>
  <c r="AE889" i="16" s="1"/>
  <c r="AF889" i="16" s="1"/>
  <c r="AD953" i="16"/>
  <c r="AE953" i="16" s="1"/>
  <c r="AF953" i="16" s="1"/>
  <c r="AD1017" i="16"/>
  <c r="AE1017" i="16" s="1"/>
  <c r="AF1017" i="16" s="1"/>
  <c r="AD1081" i="16"/>
  <c r="AE1081" i="16" s="1"/>
  <c r="AF1081" i="16" s="1"/>
  <c r="AD1145" i="16"/>
  <c r="AE1145" i="16" s="1"/>
  <c r="AF1145" i="16" s="1"/>
  <c r="AD1209" i="16"/>
  <c r="AE1209" i="16" s="1"/>
  <c r="AF1209" i="16" s="1"/>
  <c r="AD1273" i="16"/>
  <c r="AE1273" i="16" s="1"/>
  <c r="AF1273" i="16" s="1"/>
  <c r="AD1337" i="16"/>
  <c r="AE1337" i="16" s="1"/>
  <c r="AF1337" i="16" s="1"/>
  <c r="AD1401" i="16"/>
  <c r="AE1401" i="16" s="1"/>
  <c r="AF1401" i="16" s="1"/>
  <c r="AD1465" i="16"/>
  <c r="AE1465" i="16" s="1"/>
  <c r="AF1465" i="16" s="1"/>
  <c r="AD1529" i="16"/>
  <c r="AE1529" i="16" s="1"/>
  <c r="AF1529" i="16" s="1"/>
  <c r="AD1593" i="16"/>
  <c r="AE1593" i="16" s="1"/>
  <c r="AF1593" i="16" s="1"/>
  <c r="AD1657" i="16"/>
  <c r="AE1657" i="16" s="1"/>
  <c r="AF1657" i="16" s="1"/>
  <c r="AD1721" i="16"/>
  <c r="AE1721" i="16" s="1"/>
  <c r="AF1721" i="16" s="1"/>
  <c r="AD228" i="16"/>
  <c r="AE228" i="16" s="1"/>
  <c r="AF228" i="16" s="1"/>
  <c r="AD413" i="16"/>
  <c r="AE413" i="16" s="1"/>
  <c r="AF413" i="16" s="1"/>
  <c r="AD569" i="16"/>
  <c r="AE569" i="16" s="1"/>
  <c r="AF569" i="16" s="1"/>
  <c r="AD634" i="16"/>
  <c r="AE634" i="16" s="1"/>
  <c r="AF634" i="16" s="1"/>
  <c r="AD698" i="16"/>
  <c r="AE698" i="16" s="1"/>
  <c r="AF698" i="16" s="1"/>
  <c r="AD762" i="16"/>
  <c r="AE762" i="16" s="1"/>
  <c r="AF762" i="16" s="1"/>
  <c r="AD826" i="16"/>
  <c r="AE826" i="16" s="1"/>
  <c r="AF826" i="16" s="1"/>
  <c r="AD890" i="16"/>
  <c r="AE890" i="16" s="1"/>
  <c r="AF890" i="16" s="1"/>
  <c r="AD954" i="16"/>
  <c r="AE954" i="16" s="1"/>
  <c r="AF954" i="16" s="1"/>
  <c r="AD1018" i="16"/>
  <c r="AE1018" i="16" s="1"/>
  <c r="AF1018" i="16" s="1"/>
  <c r="AD1082" i="16"/>
  <c r="AE1082" i="16" s="1"/>
  <c r="AF1082" i="16" s="1"/>
  <c r="AD1146" i="16"/>
  <c r="AE1146" i="16" s="1"/>
  <c r="AF1146" i="16" s="1"/>
  <c r="AD1210" i="16"/>
  <c r="AE1210" i="16" s="1"/>
  <c r="AF1210" i="16" s="1"/>
  <c r="AD122" i="16"/>
  <c r="AE122" i="16" s="1"/>
  <c r="AF122" i="16" s="1"/>
  <c r="AD378" i="16"/>
  <c r="AE378" i="16" s="1"/>
  <c r="AF378" i="16" s="1"/>
  <c r="AD554" i="16"/>
  <c r="AE554" i="16" s="1"/>
  <c r="AF554" i="16" s="1"/>
  <c r="AD301" i="16"/>
  <c r="AE301" i="16" s="1"/>
  <c r="AF301" i="16" s="1"/>
  <c r="AD493" i="16"/>
  <c r="AE493" i="16" s="1"/>
  <c r="AF493" i="16" s="1"/>
  <c r="AD600" i="16"/>
  <c r="AE600" i="16" s="1"/>
  <c r="AF600" i="16" s="1"/>
  <c r="AD664" i="16"/>
  <c r="AE664" i="16" s="1"/>
  <c r="AF664" i="16" s="1"/>
  <c r="AD728" i="16"/>
  <c r="AE728" i="16" s="1"/>
  <c r="AF728" i="16" s="1"/>
  <c r="AD792" i="16"/>
  <c r="AE792" i="16" s="1"/>
  <c r="AF792" i="16" s="1"/>
  <c r="AD856" i="16"/>
  <c r="AE856" i="16" s="1"/>
  <c r="AF856" i="16" s="1"/>
  <c r="AD920" i="16"/>
  <c r="AE920" i="16" s="1"/>
  <c r="AF920" i="16" s="1"/>
  <c r="AD984" i="16"/>
  <c r="AE984" i="16" s="1"/>
  <c r="AF984" i="16" s="1"/>
  <c r="AD1048" i="16"/>
  <c r="AE1048" i="16" s="1"/>
  <c r="AF1048" i="16" s="1"/>
  <c r="AD1112" i="16"/>
  <c r="AE1112" i="16" s="1"/>
  <c r="AF1112" i="16" s="1"/>
  <c r="AD1176" i="16"/>
  <c r="AE1176" i="16" s="1"/>
  <c r="AF1176" i="16" s="1"/>
  <c r="AD1240" i="16"/>
  <c r="AE1240" i="16" s="1"/>
  <c r="AF1240" i="16" s="1"/>
  <c r="AD1304" i="16"/>
  <c r="AE1304" i="16" s="1"/>
  <c r="AF1304" i="16" s="1"/>
  <c r="AD1368" i="16"/>
  <c r="AE1368" i="16" s="1"/>
  <c r="AF1368" i="16" s="1"/>
  <c r="AD1432" i="16"/>
  <c r="AE1432" i="16" s="1"/>
  <c r="AF1432" i="16" s="1"/>
  <c r="AD1496" i="16"/>
  <c r="AE1496" i="16" s="1"/>
  <c r="AF1496" i="16" s="1"/>
  <c r="AD1560" i="16"/>
  <c r="AE1560" i="16" s="1"/>
  <c r="AF1560" i="16" s="1"/>
  <c r="AD1624" i="16"/>
  <c r="AE1624" i="16" s="1"/>
  <c r="AF1624" i="16" s="1"/>
  <c r="AD1688" i="16"/>
  <c r="AE1688" i="16" s="1"/>
  <c r="AF1688" i="16" s="1"/>
  <c r="AD1752" i="16"/>
  <c r="AE1752" i="16" s="1"/>
  <c r="AF1752" i="16" s="1"/>
  <c r="AD1816" i="16"/>
  <c r="AE1816" i="16" s="1"/>
  <c r="AF1816" i="16" s="1"/>
  <c r="AD1880" i="16"/>
  <c r="AE1880" i="16" s="1"/>
  <c r="AF1880" i="16" s="1"/>
  <c r="AD1944" i="16"/>
  <c r="AE1944" i="16" s="1"/>
  <c r="AF1944" i="16" s="1"/>
  <c r="AD2008" i="16"/>
  <c r="AE2008" i="16" s="1"/>
  <c r="AF2008" i="16" s="1"/>
  <c r="AD2072" i="16"/>
  <c r="AE2072" i="16" s="1"/>
  <c r="AF2072" i="16" s="1"/>
  <c r="AD2136" i="16"/>
  <c r="AE2136" i="16" s="1"/>
  <c r="AF2136" i="16" s="1"/>
  <c r="AD2200" i="16"/>
  <c r="AE2200" i="16" s="1"/>
  <c r="AF2200" i="16" s="1"/>
  <c r="AD2264" i="16"/>
  <c r="AE2264" i="16" s="1"/>
  <c r="AF2264" i="16" s="1"/>
  <c r="AD255" i="16"/>
  <c r="AE255" i="16" s="1"/>
  <c r="AF255" i="16" s="1"/>
  <c r="AD431" i="16"/>
  <c r="AE431" i="16" s="1"/>
  <c r="AF431" i="16" s="1"/>
  <c r="AD577" i="16"/>
  <c r="AE577" i="16" s="1"/>
  <c r="AF577" i="16" s="1"/>
  <c r="AD641" i="16"/>
  <c r="AE641" i="16" s="1"/>
  <c r="AF641" i="16" s="1"/>
  <c r="AD705" i="16"/>
  <c r="AE705" i="16" s="1"/>
  <c r="AF705" i="16" s="1"/>
  <c r="AD769" i="16"/>
  <c r="AE769" i="16" s="1"/>
  <c r="AF769" i="16" s="1"/>
  <c r="AD833" i="16"/>
  <c r="AE833" i="16" s="1"/>
  <c r="AF833" i="16" s="1"/>
  <c r="AD897" i="16"/>
  <c r="AE897" i="16" s="1"/>
  <c r="AF897" i="16" s="1"/>
  <c r="AD961" i="16"/>
  <c r="AE961" i="16" s="1"/>
  <c r="AF961" i="16" s="1"/>
  <c r="AD1025" i="16"/>
  <c r="AE1025" i="16" s="1"/>
  <c r="AF1025" i="16" s="1"/>
  <c r="AD1089" i="16"/>
  <c r="AE1089" i="16" s="1"/>
  <c r="AF1089" i="16" s="1"/>
  <c r="AD1153" i="16"/>
  <c r="AE1153" i="16" s="1"/>
  <c r="AF1153" i="16" s="1"/>
  <c r="AD1217" i="16"/>
  <c r="AE1217" i="16" s="1"/>
  <c r="AF1217" i="16" s="1"/>
  <c r="AD1281" i="16"/>
  <c r="AE1281" i="16" s="1"/>
  <c r="AF1281" i="16" s="1"/>
  <c r="AD1345" i="16"/>
  <c r="AE1345" i="16" s="1"/>
  <c r="AF1345" i="16" s="1"/>
  <c r="AD1409" i="16"/>
  <c r="AE1409" i="16" s="1"/>
  <c r="AF1409" i="16" s="1"/>
  <c r="AD1473" i="16"/>
  <c r="AE1473" i="16" s="1"/>
  <c r="AF1473" i="16" s="1"/>
  <c r="AD1537" i="16"/>
  <c r="AE1537" i="16" s="1"/>
  <c r="AF1537" i="16" s="1"/>
  <c r="AD1601" i="16"/>
  <c r="AE1601" i="16" s="1"/>
  <c r="AF1601" i="16" s="1"/>
  <c r="AD1665" i="16"/>
  <c r="AE1665" i="16" s="1"/>
  <c r="AF1665" i="16" s="1"/>
  <c r="AD260" i="16"/>
  <c r="AE260" i="16" s="1"/>
  <c r="AF260" i="16" s="1"/>
  <c r="AD436" i="16"/>
  <c r="AE436" i="16" s="1"/>
  <c r="AF436" i="16" s="1"/>
  <c r="AD578" i="16"/>
  <c r="AE578" i="16" s="1"/>
  <c r="AF578" i="16" s="1"/>
  <c r="AD642" i="16"/>
  <c r="AE642" i="16" s="1"/>
  <c r="AF642" i="16" s="1"/>
  <c r="AD706" i="16"/>
  <c r="AE706" i="16" s="1"/>
  <c r="AF706" i="16" s="1"/>
  <c r="AD770" i="16"/>
  <c r="AE770" i="16" s="1"/>
  <c r="AF770" i="16" s="1"/>
  <c r="AD834" i="16"/>
  <c r="AE834" i="16" s="1"/>
  <c r="AF834" i="16" s="1"/>
  <c r="AD898" i="16"/>
  <c r="AE898" i="16" s="1"/>
  <c r="AF898" i="16" s="1"/>
  <c r="AD962" i="16"/>
  <c r="AE962" i="16" s="1"/>
  <c r="AF962" i="16" s="1"/>
  <c r="AD1026" i="16"/>
  <c r="AE1026" i="16" s="1"/>
  <c r="AF1026" i="16" s="1"/>
  <c r="AD1090" i="16"/>
  <c r="AE1090" i="16" s="1"/>
  <c r="AF1090" i="16" s="1"/>
  <c r="AD1154" i="16"/>
  <c r="AE1154" i="16" s="1"/>
  <c r="AF1154" i="16" s="1"/>
  <c r="AD1218" i="16"/>
  <c r="AE1218" i="16" s="1"/>
  <c r="AF1218" i="16" s="1"/>
  <c r="AD1282" i="16"/>
  <c r="AE1282" i="16" s="1"/>
  <c r="AF1282" i="16" s="1"/>
  <c r="AD417" i="16"/>
  <c r="AE417" i="16" s="1"/>
  <c r="AF417" i="16" s="1"/>
  <c r="AD178" i="16"/>
  <c r="AE178" i="16" s="1"/>
  <c r="AF178" i="16" s="1"/>
  <c r="AD434" i="16"/>
  <c r="AE434" i="16" s="1"/>
  <c r="AF434" i="16" s="1"/>
  <c r="AD562" i="16"/>
  <c r="AE562" i="16" s="1"/>
  <c r="AF562" i="16" s="1"/>
  <c r="AD324" i="16"/>
  <c r="AE324" i="16" s="1"/>
  <c r="AF324" i="16" s="1"/>
  <c r="AD516" i="16"/>
  <c r="AE516" i="16" s="1"/>
  <c r="AF516" i="16" s="1"/>
  <c r="AD608" i="16"/>
  <c r="AE608" i="16" s="1"/>
  <c r="AF608" i="16" s="1"/>
  <c r="AD672" i="16"/>
  <c r="AE672" i="16" s="1"/>
  <c r="AF672" i="16" s="1"/>
  <c r="AD736" i="16"/>
  <c r="AE736" i="16" s="1"/>
  <c r="AF736" i="16" s="1"/>
  <c r="AD800" i="16"/>
  <c r="AE800" i="16" s="1"/>
  <c r="AF800" i="16" s="1"/>
  <c r="AD864" i="16"/>
  <c r="AE864" i="16" s="1"/>
  <c r="AF864" i="16" s="1"/>
  <c r="AD928" i="16"/>
  <c r="AE928" i="16" s="1"/>
  <c r="AF928" i="16" s="1"/>
  <c r="AD992" i="16"/>
  <c r="AE992" i="16" s="1"/>
  <c r="AF992" i="16" s="1"/>
  <c r="AD1056" i="16"/>
  <c r="AE1056" i="16" s="1"/>
  <c r="AF1056" i="16" s="1"/>
  <c r="AD1120" i="16"/>
  <c r="AE1120" i="16" s="1"/>
  <c r="AF1120" i="16" s="1"/>
  <c r="AD1184" i="16"/>
  <c r="AE1184" i="16" s="1"/>
  <c r="AF1184" i="16" s="1"/>
  <c r="AD1248" i="16"/>
  <c r="AE1248" i="16" s="1"/>
  <c r="AF1248" i="16" s="1"/>
  <c r="AD1312" i="16"/>
  <c r="AE1312" i="16" s="1"/>
  <c r="AF1312" i="16" s="1"/>
  <c r="AD1376" i="16"/>
  <c r="AE1376" i="16" s="1"/>
  <c r="AF1376" i="16" s="1"/>
  <c r="AD1440" i="16"/>
  <c r="AE1440" i="16" s="1"/>
  <c r="AF1440" i="16" s="1"/>
  <c r="AD1504" i="16"/>
  <c r="AE1504" i="16" s="1"/>
  <c r="AF1504" i="16" s="1"/>
  <c r="AD1568" i="16"/>
  <c r="AE1568" i="16" s="1"/>
  <c r="AF1568" i="16" s="1"/>
  <c r="AD1632" i="16"/>
  <c r="AE1632" i="16" s="1"/>
  <c r="AF1632" i="16" s="1"/>
  <c r="AD1696" i="16"/>
  <c r="AE1696" i="16" s="1"/>
  <c r="AF1696" i="16" s="1"/>
  <c r="AD1760" i="16"/>
  <c r="AE1760" i="16" s="1"/>
  <c r="AF1760" i="16" s="1"/>
  <c r="AD1824" i="16"/>
  <c r="AE1824" i="16" s="1"/>
  <c r="AF1824" i="16" s="1"/>
  <c r="AD1888" i="16"/>
  <c r="AE1888" i="16" s="1"/>
  <c r="AF1888" i="16" s="1"/>
  <c r="AD1952" i="16"/>
  <c r="AE1952" i="16" s="1"/>
  <c r="AF1952" i="16" s="1"/>
  <c r="AD2016" i="16"/>
  <c r="AE2016" i="16" s="1"/>
  <c r="AF2016" i="16" s="1"/>
  <c r="AD2080" i="16"/>
  <c r="AE2080" i="16" s="1"/>
  <c r="AF2080" i="16" s="1"/>
  <c r="AD2144" i="16"/>
  <c r="AE2144" i="16" s="1"/>
  <c r="AF2144" i="16" s="1"/>
  <c r="AD2208" i="16"/>
  <c r="AE2208" i="16" s="1"/>
  <c r="AF2208" i="16" s="1"/>
  <c r="AD284" i="16"/>
  <c r="AE284" i="16" s="1"/>
  <c r="AF284" i="16" s="1"/>
  <c r="AD453" i="16"/>
  <c r="AE453" i="16" s="1"/>
  <c r="AF453" i="16" s="1"/>
  <c r="AD585" i="16"/>
  <c r="AE585" i="16" s="1"/>
  <c r="AF585" i="16" s="1"/>
  <c r="AD649" i="16"/>
  <c r="AE649" i="16" s="1"/>
  <c r="AF649" i="16" s="1"/>
  <c r="AD713" i="16"/>
  <c r="AE713" i="16" s="1"/>
  <c r="AF713" i="16" s="1"/>
  <c r="AD777" i="16"/>
  <c r="AE777" i="16" s="1"/>
  <c r="AF777" i="16" s="1"/>
  <c r="AD841" i="16"/>
  <c r="AE841" i="16" s="1"/>
  <c r="AF841" i="16" s="1"/>
  <c r="AD905" i="16"/>
  <c r="AE905" i="16" s="1"/>
  <c r="AF905" i="16" s="1"/>
  <c r="AD969" i="16"/>
  <c r="AE969" i="16" s="1"/>
  <c r="AF969" i="16" s="1"/>
  <c r="AD1033" i="16"/>
  <c r="AE1033" i="16" s="1"/>
  <c r="AF1033" i="16" s="1"/>
  <c r="AD1097" i="16"/>
  <c r="AE1097" i="16" s="1"/>
  <c r="AF1097" i="16" s="1"/>
  <c r="AD1161" i="16"/>
  <c r="AE1161" i="16" s="1"/>
  <c r="AF1161" i="16" s="1"/>
  <c r="AD1225" i="16"/>
  <c r="AE1225" i="16" s="1"/>
  <c r="AF1225" i="16" s="1"/>
  <c r="AD1289" i="16"/>
  <c r="AE1289" i="16" s="1"/>
  <c r="AF1289" i="16" s="1"/>
  <c r="AD1353" i="16"/>
  <c r="AE1353" i="16" s="1"/>
  <c r="AF1353" i="16" s="1"/>
  <c r="AD1417" i="16"/>
  <c r="AE1417" i="16" s="1"/>
  <c r="AF1417" i="16" s="1"/>
  <c r="AD1481" i="16"/>
  <c r="AE1481" i="16" s="1"/>
  <c r="AF1481" i="16" s="1"/>
  <c r="AD1545" i="16"/>
  <c r="AE1545" i="16" s="1"/>
  <c r="AF1545" i="16" s="1"/>
  <c r="AD1609" i="16"/>
  <c r="AE1609" i="16" s="1"/>
  <c r="AF1609" i="16" s="1"/>
  <c r="AD1673" i="16"/>
  <c r="AE1673" i="16" s="1"/>
  <c r="AF1673" i="16" s="1"/>
  <c r="AD285" i="16"/>
  <c r="AE285" i="16" s="1"/>
  <c r="AF285" i="16" s="1"/>
  <c r="AD455" i="16"/>
  <c r="AE455" i="16" s="1"/>
  <c r="AF455" i="16" s="1"/>
  <c r="AD586" i="16"/>
  <c r="AE586" i="16" s="1"/>
  <c r="AF586" i="16" s="1"/>
  <c r="AD650" i="16"/>
  <c r="AE650" i="16" s="1"/>
  <c r="AF650" i="16" s="1"/>
  <c r="AD714" i="16"/>
  <c r="AE714" i="16" s="1"/>
  <c r="AF714" i="16" s="1"/>
  <c r="AD778" i="16"/>
  <c r="AE778" i="16" s="1"/>
  <c r="AF778" i="16" s="1"/>
  <c r="AD842" i="16"/>
  <c r="AE842" i="16" s="1"/>
  <c r="AF842" i="16" s="1"/>
  <c r="AD906" i="16"/>
  <c r="AE906" i="16" s="1"/>
  <c r="AF906" i="16" s="1"/>
  <c r="AD970" i="16"/>
  <c r="AE970" i="16" s="1"/>
  <c r="AF970" i="16" s="1"/>
  <c r="AD1034" i="16"/>
  <c r="AE1034" i="16" s="1"/>
  <c r="AF1034" i="16" s="1"/>
  <c r="AD1098" i="16"/>
  <c r="AE1098" i="16" s="1"/>
  <c r="AF1098" i="16" s="1"/>
  <c r="AD1162" i="16"/>
  <c r="AE1162" i="16" s="1"/>
  <c r="AF1162" i="16" s="1"/>
  <c r="AD481" i="16"/>
  <c r="AE481" i="16" s="1"/>
  <c r="AF481" i="16" s="1"/>
  <c r="AD186" i="16"/>
  <c r="AE186" i="16" s="1"/>
  <c r="AF186" i="16" s="1"/>
  <c r="AD442" i="16"/>
  <c r="AE442" i="16" s="1"/>
  <c r="AF442" i="16" s="1"/>
  <c r="AD570" i="16"/>
  <c r="AE570" i="16" s="1"/>
  <c r="AF570" i="16" s="1"/>
  <c r="AD343" i="16"/>
  <c r="AE343" i="16" s="1"/>
  <c r="AF343" i="16" s="1"/>
  <c r="AD535" i="16"/>
  <c r="AE535" i="16" s="1"/>
  <c r="AF535" i="16" s="1"/>
  <c r="AD616" i="16"/>
  <c r="AE616" i="16" s="1"/>
  <c r="AF616" i="16" s="1"/>
  <c r="AD680" i="16"/>
  <c r="AE680" i="16" s="1"/>
  <c r="AF680" i="16" s="1"/>
  <c r="AD744" i="16"/>
  <c r="AE744" i="16" s="1"/>
  <c r="AF744" i="16" s="1"/>
  <c r="AD808" i="16"/>
  <c r="AE808" i="16" s="1"/>
  <c r="AF808" i="16" s="1"/>
  <c r="AD872" i="16"/>
  <c r="AE872" i="16" s="1"/>
  <c r="AF872" i="16" s="1"/>
  <c r="AD936" i="16"/>
  <c r="AE936" i="16" s="1"/>
  <c r="AF936" i="16" s="1"/>
  <c r="AD1000" i="16"/>
  <c r="AE1000" i="16" s="1"/>
  <c r="AF1000" i="16" s="1"/>
  <c r="AD1064" i="16"/>
  <c r="AE1064" i="16" s="1"/>
  <c r="AF1064" i="16" s="1"/>
  <c r="AD1128" i="16"/>
  <c r="AE1128" i="16" s="1"/>
  <c r="AF1128" i="16" s="1"/>
  <c r="AD1192" i="16"/>
  <c r="AE1192" i="16" s="1"/>
  <c r="AF1192" i="16" s="1"/>
  <c r="AD1256" i="16"/>
  <c r="AE1256" i="16" s="1"/>
  <c r="AF1256" i="16" s="1"/>
  <c r="AD1320" i="16"/>
  <c r="AE1320" i="16" s="1"/>
  <c r="AF1320" i="16" s="1"/>
  <c r="AD1384" i="16"/>
  <c r="AE1384" i="16" s="1"/>
  <c r="AF1384" i="16" s="1"/>
  <c r="AD1448" i="16"/>
  <c r="AE1448" i="16" s="1"/>
  <c r="AF1448" i="16" s="1"/>
  <c r="AD1512" i="16"/>
  <c r="AE1512" i="16" s="1"/>
  <c r="AF1512" i="16" s="1"/>
  <c r="AD1576" i="16"/>
  <c r="AE1576" i="16" s="1"/>
  <c r="AF1576" i="16" s="1"/>
  <c r="AD1640" i="16"/>
  <c r="AE1640" i="16" s="1"/>
  <c r="AF1640" i="16" s="1"/>
  <c r="AD1704" i="16"/>
  <c r="AE1704" i="16" s="1"/>
  <c r="AF1704" i="16" s="1"/>
  <c r="AD1768" i="16"/>
  <c r="AE1768" i="16" s="1"/>
  <c r="AF1768" i="16" s="1"/>
  <c r="AD1832" i="16"/>
  <c r="AE1832" i="16" s="1"/>
  <c r="AF1832" i="16" s="1"/>
  <c r="AD1896" i="16"/>
  <c r="AE1896" i="16" s="1"/>
  <c r="AF1896" i="16" s="1"/>
  <c r="AD1960" i="16"/>
  <c r="AE1960" i="16" s="1"/>
  <c r="AF1960" i="16" s="1"/>
  <c r="AD2024" i="16"/>
  <c r="AE2024" i="16" s="1"/>
  <c r="AF2024" i="16" s="1"/>
  <c r="AD2088" i="16"/>
  <c r="AE2088" i="16" s="1"/>
  <c r="AF2088" i="16" s="1"/>
  <c r="AD2152" i="16"/>
  <c r="AE2152" i="16" s="1"/>
  <c r="AF2152" i="16" s="1"/>
  <c r="AD2216" i="16"/>
  <c r="AE2216" i="16" s="1"/>
  <c r="AF2216" i="16" s="1"/>
  <c r="AD303" i="16"/>
  <c r="AE303" i="16" s="1"/>
  <c r="AF303" i="16" s="1"/>
  <c r="AD476" i="16"/>
  <c r="AE476" i="16" s="1"/>
  <c r="AF476" i="16" s="1"/>
  <c r="AD593" i="16"/>
  <c r="AE593" i="16" s="1"/>
  <c r="AF593" i="16" s="1"/>
  <c r="AD657" i="16"/>
  <c r="AE657" i="16" s="1"/>
  <c r="AF657" i="16" s="1"/>
  <c r="AD721" i="16"/>
  <c r="AE721" i="16" s="1"/>
  <c r="AF721" i="16" s="1"/>
  <c r="AD785" i="16"/>
  <c r="AE785" i="16" s="1"/>
  <c r="AF785" i="16" s="1"/>
  <c r="AD849" i="16"/>
  <c r="AE849" i="16" s="1"/>
  <c r="AF849" i="16" s="1"/>
  <c r="AD913" i="16"/>
  <c r="AE913" i="16" s="1"/>
  <c r="AF913" i="16" s="1"/>
  <c r="AD977" i="16"/>
  <c r="AE977" i="16" s="1"/>
  <c r="AF977" i="16" s="1"/>
  <c r="AD1041" i="16"/>
  <c r="AE1041" i="16" s="1"/>
  <c r="AF1041" i="16" s="1"/>
  <c r="AD1105" i="16"/>
  <c r="AE1105" i="16" s="1"/>
  <c r="AF1105" i="16" s="1"/>
  <c r="AD1169" i="16"/>
  <c r="AE1169" i="16" s="1"/>
  <c r="AF1169" i="16" s="1"/>
  <c r="AD1233" i="16"/>
  <c r="AE1233" i="16" s="1"/>
  <c r="AF1233" i="16" s="1"/>
  <c r="AD1297" i="16"/>
  <c r="AE1297" i="16" s="1"/>
  <c r="AF1297" i="16" s="1"/>
  <c r="AD1361" i="16"/>
  <c r="AE1361" i="16" s="1"/>
  <c r="AF1361" i="16" s="1"/>
  <c r="AD1425" i="16"/>
  <c r="AE1425" i="16" s="1"/>
  <c r="AF1425" i="16" s="1"/>
  <c r="AD1489" i="16"/>
  <c r="AE1489" i="16" s="1"/>
  <c r="AF1489" i="16" s="1"/>
  <c r="AD1553" i="16"/>
  <c r="AE1553" i="16" s="1"/>
  <c r="AF1553" i="16" s="1"/>
  <c r="AD1617" i="16"/>
  <c r="AE1617" i="16" s="1"/>
  <c r="AF1617" i="16" s="1"/>
  <c r="AD1681" i="16"/>
  <c r="AE1681" i="16" s="1"/>
  <c r="AF1681" i="16" s="1"/>
  <c r="AD308" i="16"/>
  <c r="AE308" i="16" s="1"/>
  <c r="AF308" i="16" s="1"/>
  <c r="AD477" i="16"/>
  <c r="AE477" i="16" s="1"/>
  <c r="AF477" i="16" s="1"/>
  <c r="AD594" i="16"/>
  <c r="AE594" i="16" s="1"/>
  <c r="AF594" i="16" s="1"/>
  <c r="AD658" i="16"/>
  <c r="AE658" i="16" s="1"/>
  <c r="AF658" i="16" s="1"/>
  <c r="AD722" i="16"/>
  <c r="AE722" i="16" s="1"/>
  <c r="AF722" i="16" s="1"/>
  <c r="AD786" i="16"/>
  <c r="AE786" i="16" s="1"/>
  <c r="AF786" i="16" s="1"/>
  <c r="AD850" i="16"/>
  <c r="AE850" i="16" s="1"/>
  <c r="AF850" i="16" s="1"/>
  <c r="AD914" i="16"/>
  <c r="AE914" i="16" s="1"/>
  <c r="AF914" i="16" s="1"/>
  <c r="AD978" i="16"/>
  <c r="AE978" i="16" s="1"/>
  <c r="AF978" i="16" s="1"/>
  <c r="AD1042" i="16"/>
  <c r="AE1042" i="16" s="1"/>
  <c r="AF1042" i="16" s="1"/>
  <c r="AD1106" i="16"/>
  <c r="AE1106" i="16" s="1"/>
  <c r="AF1106" i="16" s="1"/>
  <c r="AD1170" i="16"/>
  <c r="AE1170" i="16" s="1"/>
  <c r="AF1170" i="16" s="1"/>
  <c r="AD1234" i="16"/>
  <c r="AE1234" i="16" s="1"/>
  <c r="AF1234" i="16" s="1"/>
  <c r="AD1298" i="16"/>
  <c r="AE1298" i="16" s="1"/>
  <c r="AF1298" i="16" s="1"/>
  <c r="AD1362" i="16"/>
  <c r="AE1362" i="16" s="1"/>
  <c r="AF1362" i="16" s="1"/>
  <c r="AD1426" i="16"/>
  <c r="AE1426" i="16" s="1"/>
  <c r="AF1426" i="16" s="1"/>
  <c r="AD1490" i="16"/>
  <c r="AE1490" i="16" s="1"/>
  <c r="AF1490" i="16" s="1"/>
  <c r="AD1554" i="16"/>
  <c r="AE1554" i="16" s="1"/>
  <c r="AF1554" i="16" s="1"/>
  <c r="AD1618" i="16"/>
  <c r="AE1618" i="16" s="1"/>
  <c r="AF1618" i="16" s="1"/>
  <c r="AD1682" i="16"/>
  <c r="AE1682" i="16" s="1"/>
  <c r="AF1682" i="16" s="1"/>
  <c r="AD1746" i="16"/>
  <c r="AE1746" i="16" s="1"/>
  <c r="AF1746" i="16" s="1"/>
  <c r="AD1810" i="16"/>
  <c r="AE1810" i="16" s="1"/>
  <c r="AF1810" i="16" s="1"/>
  <c r="AD1874" i="16"/>
  <c r="AE1874" i="16" s="1"/>
  <c r="AF1874" i="16" s="1"/>
  <c r="AD1938" i="16"/>
  <c r="AE1938" i="16" s="1"/>
  <c r="AF1938" i="16" s="1"/>
  <c r="AD2002" i="16"/>
  <c r="AE2002" i="16" s="1"/>
  <c r="AF2002" i="16" s="1"/>
  <c r="AD2066" i="16"/>
  <c r="AE2066" i="16" s="1"/>
  <c r="AF2066" i="16" s="1"/>
  <c r="AD2130" i="16"/>
  <c r="AE2130" i="16" s="1"/>
  <c r="AF2130" i="16" s="1"/>
  <c r="AD2194" i="16"/>
  <c r="AE2194" i="16" s="1"/>
  <c r="AF2194" i="16" s="1"/>
  <c r="AD2258" i="16"/>
  <c r="AE2258" i="16" s="1"/>
  <c r="AF2258" i="16" s="1"/>
  <c r="AD199" i="16"/>
  <c r="AE199" i="16" s="1"/>
  <c r="AF199" i="16" s="1"/>
  <c r="AD396" i="16"/>
  <c r="AE396" i="16" s="1"/>
  <c r="AF396" i="16" s="1"/>
  <c r="AD560" i="16"/>
  <c r="AE560" i="16" s="1"/>
  <c r="AF560" i="16" s="1"/>
  <c r="AD627" i="16"/>
  <c r="AE627" i="16" s="1"/>
  <c r="AF627" i="16" s="1"/>
  <c r="AD489" i="16"/>
  <c r="AE489" i="16" s="1"/>
  <c r="AF489" i="16" s="1"/>
  <c r="AD242" i="16"/>
  <c r="AE242" i="16" s="1"/>
  <c r="AF242" i="16" s="1"/>
  <c r="AD458" i="16"/>
  <c r="AE458" i="16" s="1"/>
  <c r="AF458" i="16" s="1"/>
  <c r="AD365" i="16"/>
  <c r="AE365" i="16" s="1"/>
  <c r="AF365" i="16" s="1"/>
  <c r="AD556" i="16"/>
  <c r="AE556" i="16" s="1"/>
  <c r="AF556" i="16" s="1"/>
  <c r="AD624" i="16"/>
  <c r="AE624" i="16" s="1"/>
  <c r="AF624" i="16" s="1"/>
  <c r="AD688" i="16"/>
  <c r="AE688" i="16" s="1"/>
  <c r="AF688" i="16" s="1"/>
  <c r="AD752" i="16"/>
  <c r="AE752" i="16" s="1"/>
  <c r="AF752" i="16" s="1"/>
  <c r="AD816" i="16"/>
  <c r="AE816" i="16" s="1"/>
  <c r="AF816" i="16" s="1"/>
  <c r="AD880" i="16"/>
  <c r="AE880" i="16" s="1"/>
  <c r="AF880" i="16" s="1"/>
  <c r="AD944" i="16"/>
  <c r="AE944" i="16" s="1"/>
  <c r="AF944" i="16" s="1"/>
  <c r="AD1008" i="16"/>
  <c r="AE1008" i="16" s="1"/>
  <c r="AF1008" i="16" s="1"/>
  <c r="AD1072" i="16"/>
  <c r="AE1072" i="16" s="1"/>
  <c r="AF1072" i="16" s="1"/>
  <c r="AD1136" i="16"/>
  <c r="AE1136" i="16" s="1"/>
  <c r="AF1136" i="16" s="1"/>
  <c r="AD1200" i="16"/>
  <c r="AE1200" i="16" s="1"/>
  <c r="AF1200" i="16" s="1"/>
  <c r="AD1264" i="16"/>
  <c r="AE1264" i="16" s="1"/>
  <c r="AF1264" i="16" s="1"/>
  <c r="AD1328" i="16"/>
  <c r="AE1328" i="16" s="1"/>
  <c r="AF1328" i="16" s="1"/>
  <c r="AD1392" i="16"/>
  <c r="AE1392" i="16" s="1"/>
  <c r="AF1392" i="16" s="1"/>
  <c r="AD1456" i="16"/>
  <c r="AE1456" i="16" s="1"/>
  <c r="AF1456" i="16" s="1"/>
  <c r="AD1520" i="16"/>
  <c r="AE1520" i="16" s="1"/>
  <c r="AF1520" i="16" s="1"/>
  <c r="AD1584" i="16"/>
  <c r="AE1584" i="16" s="1"/>
  <c r="AF1584" i="16" s="1"/>
  <c r="AD1648" i="16"/>
  <c r="AE1648" i="16" s="1"/>
  <c r="AF1648" i="16" s="1"/>
  <c r="AD1712" i="16"/>
  <c r="AE1712" i="16" s="1"/>
  <c r="AF1712" i="16" s="1"/>
  <c r="AD1776" i="16"/>
  <c r="AE1776" i="16" s="1"/>
  <c r="AF1776" i="16" s="1"/>
  <c r="AD1840" i="16"/>
  <c r="AE1840" i="16" s="1"/>
  <c r="AF1840" i="16" s="1"/>
  <c r="AD1904" i="16"/>
  <c r="AE1904" i="16" s="1"/>
  <c r="AF1904" i="16" s="1"/>
  <c r="AD1968" i="16"/>
  <c r="AE1968" i="16" s="1"/>
  <c r="AF1968" i="16" s="1"/>
  <c r="AD2032" i="16"/>
  <c r="AE2032" i="16" s="1"/>
  <c r="AF2032" i="16" s="1"/>
  <c r="AD2096" i="16"/>
  <c r="AE2096" i="16" s="1"/>
  <c r="AF2096" i="16" s="1"/>
  <c r="AD2160" i="16"/>
  <c r="AE2160" i="16" s="1"/>
  <c r="AF2160" i="16" s="1"/>
  <c r="AD2224" i="16"/>
  <c r="AE2224" i="16" s="1"/>
  <c r="AF2224" i="16" s="1"/>
  <c r="AD95" i="16"/>
  <c r="AE95" i="16" s="1"/>
  <c r="AF95" i="16" s="1"/>
  <c r="AD325" i="16"/>
  <c r="AE325" i="16" s="1"/>
  <c r="AF325" i="16" s="1"/>
  <c r="AD495" i="16"/>
  <c r="AE495" i="16" s="1"/>
  <c r="AF495" i="16" s="1"/>
  <c r="AD601" i="16"/>
  <c r="AE601" i="16" s="1"/>
  <c r="AF601" i="16" s="1"/>
  <c r="AD665" i="16"/>
  <c r="AE665" i="16" s="1"/>
  <c r="AF665" i="16" s="1"/>
  <c r="AD729" i="16"/>
  <c r="AE729" i="16" s="1"/>
  <c r="AF729" i="16" s="1"/>
  <c r="AD793" i="16"/>
  <c r="AE793" i="16" s="1"/>
  <c r="AF793" i="16" s="1"/>
  <c r="AD857" i="16"/>
  <c r="AE857" i="16" s="1"/>
  <c r="AF857" i="16" s="1"/>
  <c r="AD921" i="16"/>
  <c r="AE921" i="16" s="1"/>
  <c r="AF921" i="16" s="1"/>
  <c r="AD985" i="16"/>
  <c r="AE985" i="16" s="1"/>
  <c r="AF985" i="16" s="1"/>
  <c r="AD1049" i="16"/>
  <c r="AE1049" i="16" s="1"/>
  <c r="AF1049" i="16" s="1"/>
  <c r="AD1113" i="16"/>
  <c r="AE1113" i="16" s="1"/>
  <c r="AF1113" i="16" s="1"/>
  <c r="AD1177" i="16"/>
  <c r="AE1177" i="16" s="1"/>
  <c r="AF1177" i="16" s="1"/>
  <c r="AD1241" i="16"/>
  <c r="AE1241" i="16" s="1"/>
  <c r="AF1241" i="16" s="1"/>
  <c r="AD1305" i="16"/>
  <c r="AE1305" i="16" s="1"/>
  <c r="AF1305" i="16" s="1"/>
  <c r="AD1369" i="16"/>
  <c r="AE1369" i="16" s="1"/>
  <c r="AF1369" i="16" s="1"/>
  <c r="AD1433" i="16"/>
  <c r="AE1433" i="16" s="1"/>
  <c r="AF1433" i="16" s="1"/>
  <c r="AD1497" i="16"/>
  <c r="AE1497" i="16" s="1"/>
  <c r="AF1497" i="16" s="1"/>
  <c r="AD1561" i="16"/>
  <c r="AE1561" i="16" s="1"/>
  <c r="AF1561" i="16" s="1"/>
  <c r="AD1625" i="16"/>
  <c r="AE1625" i="16" s="1"/>
  <c r="AF1625" i="16" s="1"/>
  <c r="AD1689" i="16"/>
  <c r="AE1689" i="16" s="1"/>
  <c r="AF1689" i="16" s="1"/>
  <c r="AD100" i="16"/>
  <c r="AE100" i="16" s="1"/>
  <c r="AF100" i="16" s="1"/>
  <c r="AD327" i="16"/>
  <c r="AE327" i="16" s="1"/>
  <c r="AF327" i="16" s="1"/>
  <c r="AD500" i="16"/>
  <c r="AE500" i="16" s="1"/>
  <c r="AF500" i="16" s="1"/>
  <c r="AD602" i="16"/>
  <c r="AE602" i="16" s="1"/>
  <c r="AF602" i="16" s="1"/>
  <c r="AD666" i="16"/>
  <c r="AE666" i="16" s="1"/>
  <c r="AF666" i="16" s="1"/>
  <c r="AD730" i="16"/>
  <c r="AE730" i="16" s="1"/>
  <c r="AF730" i="16" s="1"/>
  <c r="AD794" i="16"/>
  <c r="AE794" i="16" s="1"/>
  <c r="AF794" i="16" s="1"/>
  <c r="AD858" i="16"/>
  <c r="AE858" i="16" s="1"/>
  <c r="AF858" i="16" s="1"/>
  <c r="AD922" i="16"/>
  <c r="AE922" i="16" s="1"/>
  <c r="AF922" i="16" s="1"/>
  <c r="AD986" i="16"/>
  <c r="AE986" i="16" s="1"/>
  <c r="AF986" i="16" s="1"/>
  <c r="AD1050" i="16"/>
  <c r="AE1050" i="16" s="1"/>
  <c r="AF1050" i="16" s="1"/>
  <c r="AD1114" i="16"/>
  <c r="AE1114" i="16" s="1"/>
  <c r="AF1114" i="16" s="1"/>
  <c r="AD1178" i="16"/>
  <c r="AE1178" i="16" s="1"/>
  <c r="AF1178" i="16" s="1"/>
  <c r="AD1242" i="16"/>
  <c r="AE1242" i="16" s="1"/>
  <c r="AF1242" i="16" s="1"/>
  <c r="AD1306" i="16"/>
  <c r="AE1306" i="16" s="1"/>
  <c r="AF1306" i="16" s="1"/>
  <c r="AD1370" i="16"/>
  <c r="AE1370" i="16" s="1"/>
  <c r="AF1370" i="16" s="1"/>
  <c r="AD1434" i="16"/>
  <c r="AE1434" i="16" s="1"/>
  <c r="AF1434" i="16" s="1"/>
  <c r="AD1498" i="16"/>
  <c r="AE1498" i="16" s="1"/>
  <c r="AF1498" i="16" s="1"/>
  <c r="AD1562" i="16"/>
  <c r="AE1562" i="16" s="1"/>
  <c r="AF1562" i="16" s="1"/>
  <c r="AD1626" i="16"/>
  <c r="AE1626" i="16" s="1"/>
  <c r="AF1626" i="16" s="1"/>
  <c r="AD1690" i="16"/>
  <c r="AE1690" i="16" s="1"/>
  <c r="AF1690" i="16" s="1"/>
  <c r="AD1754" i="16"/>
  <c r="AE1754" i="16" s="1"/>
  <c r="AF1754" i="16" s="1"/>
  <c r="AD1818" i="16"/>
  <c r="AE1818" i="16" s="1"/>
  <c r="AF1818" i="16" s="1"/>
  <c r="AD1882" i="16"/>
  <c r="AE1882" i="16" s="1"/>
  <c r="AF1882" i="16" s="1"/>
  <c r="AD1946" i="16"/>
  <c r="AE1946" i="16" s="1"/>
  <c r="AF1946" i="16" s="1"/>
  <c r="AD2010" i="16"/>
  <c r="AE2010" i="16" s="1"/>
  <c r="AF2010" i="16" s="1"/>
  <c r="AD2074" i="16"/>
  <c r="AE2074" i="16" s="1"/>
  <c r="AF2074" i="16" s="1"/>
  <c r="AD2138" i="16"/>
  <c r="AE2138" i="16" s="1"/>
  <c r="AF2138" i="16" s="1"/>
  <c r="AD2202" i="16"/>
  <c r="AE2202" i="16" s="1"/>
  <c r="AF2202" i="16" s="1"/>
  <c r="AD2266" i="16"/>
  <c r="AE2266" i="16" s="1"/>
  <c r="AF2266" i="16" s="1"/>
  <c r="AD231" i="16"/>
  <c r="AE231" i="16" s="1"/>
  <c r="AF231" i="16" s="1"/>
  <c r="AD415" i="16"/>
  <c r="AE415" i="16" s="1"/>
  <c r="AF415" i="16" s="1"/>
  <c r="AD571" i="16"/>
  <c r="AE571" i="16" s="1"/>
  <c r="AF571" i="16" s="1"/>
  <c r="AD1266" i="16"/>
  <c r="AE1266" i="16" s="1"/>
  <c r="AF1266" i="16" s="1"/>
  <c r="AD1354" i="16"/>
  <c r="AE1354" i="16" s="1"/>
  <c r="AF1354" i="16" s="1"/>
  <c r="AD1450" i="16"/>
  <c r="AE1450" i="16" s="1"/>
  <c r="AF1450" i="16" s="1"/>
  <c r="AD1530" i="16"/>
  <c r="AE1530" i="16" s="1"/>
  <c r="AF1530" i="16" s="1"/>
  <c r="AD1610" i="16"/>
  <c r="AE1610" i="16" s="1"/>
  <c r="AF1610" i="16" s="1"/>
  <c r="AD1706" i="16"/>
  <c r="AE1706" i="16" s="1"/>
  <c r="AF1706" i="16" s="1"/>
  <c r="AD1786" i="16"/>
  <c r="AE1786" i="16" s="1"/>
  <c r="AF1786" i="16" s="1"/>
  <c r="AD1866" i="16"/>
  <c r="AE1866" i="16" s="1"/>
  <c r="AF1866" i="16" s="1"/>
  <c r="AD1962" i="16"/>
  <c r="AE1962" i="16" s="1"/>
  <c r="AF1962" i="16" s="1"/>
  <c r="AD2042" i="16"/>
  <c r="AE2042" i="16" s="1"/>
  <c r="AF2042" i="16" s="1"/>
  <c r="AD2122" i="16"/>
  <c r="AE2122" i="16" s="1"/>
  <c r="AF2122" i="16" s="1"/>
  <c r="AD2218" i="16"/>
  <c r="AE2218" i="16" s="1"/>
  <c r="AF2218" i="16" s="1"/>
  <c r="AD103" i="16"/>
  <c r="AE103" i="16" s="1"/>
  <c r="AF103" i="16" s="1"/>
  <c r="AD373" i="16"/>
  <c r="AE373" i="16" s="1"/>
  <c r="AF373" i="16" s="1"/>
  <c r="AD587" i="16"/>
  <c r="AE587" i="16" s="1"/>
  <c r="AF587" i="16" s="1"/>
  <c r="AD659" i="16"/>
  <c r="AE659" i="16" s="1"/>
  <c r="AF659" i="16" s="1"/>
  <c r="AD723" i="16"/>
  <c r="AE723" i="16" s="1"/>
  <c r="AF723" i="16" s="1"/>
  <c r="AD787" i="16"/>
  <c r="AE787" i="16" s="1"/>
  <c r="AF787" i="16" s="1"/>
  <c r="AD851" i="16"/>
  <c r="AE851" i="16" s="1"/>
  <c r="AF851" i="16" s="1"/>
  <c r="AD915" i="16"/>
  <c r="AE915" i="16" s="1"/>
  <c r="AF915" i="16" s="1"/>
  <c r="AD979" i="16"/>
  <c r="AE979" i="16" s="1"/>
  <c r="AF979" i="16" s="1"/>
  <c r="AD1043" i="16"/>
  <c r="AE1043" i="16" s="1"/>
  <c r="AF1043" i="16" s="1"/>
  <c r="AD1107" i="16"/>
  <c r="AE1107" i="16" s="1"/>
  <c r="AF1107" i="16" s="1"/>
  <c r="AD1171" i="16"/>
  <c r="AE1171" i="16" s="1"/>
  <c r="AF1171" i="16" s="1"/>
  <c r="AD1235" i="16"/>
  <c r="AE1235" i="16" s="1"/>
  <c r="AF1235" i="16" s="1"/>
  <c r="AD1299" i="16"/>
  <c r="AE1299" i="16" s="1"/>
  <c r="AF1299" i="16" s="1"/>
  <c r="AD1363" i="16"/>
  <c r="AE1363" i="16" s="1"/>
  <c r="AF1363" i="16" s="1"/>
  <c r="AD1427" i="16"/>
  <c r="AE1427" i="16" s="1"/>
  <c r="AF1427" i="16" s="1"/>
  <c r="AD1491" i="16"/>
  <c r="AE1491" i="16" s="1"/>
  <c r="AF1491" i="16" s="1"/>
  <c r="AD1555" i="16"/>
  <c r="AE1555" i="16" s="1"/>
  <c r="AF1555" i="16" s="1"/>
  <c r="AD1619" i="16"/>
  <c r="AE1619" i="16" s="1"/>
  <c r="AF1619" i="16" s="1"/>
  <c r="AD1683" i="16"/>
  <c r="AE1683" i="16" s="1"/>
  <c r="AF1683" i="16" s="1"/>
  <c r="AD1747" i="16"/>
  <c r="AE1747" i="16" s="1"/>
  <c r="AF1747" i="16" s="1"/>
  <c r="AD1811" i="16"/>
  <c r="AE1811" i="16" s="1"/>
  <c r="AF1811" i="16" s="1"/>
  <c r="AD1875" i="16"/>
  <c r="AE1875" i="16" s="1"/>
  <c r="AF1875" i="16" s="1"/>
  <c r="AD1939" i="16"/>
  <c r="AE1939" i="16" s="1"/>
  <c r="AF1939" i="16" s="1"/>
  <c r="AD2003" i="16"/>
  <c r="AE2003" i="16" s="1"/>
  <c r="AF2003" i="16" s="1"/>
  <c r="AD2067" i="16"/>
  <c r="AE2067" i="16" s="1"/>
  <c r="AF2067" i="16" s="1"/>
  <c r="AD2131" i="16"/>
  <c r="AE2131" i="16" s="1"/>
  <c r="AF2131" i="16" s="1"/>
  <c r="AD2195" i="16"/>
  <c r="AE2195" i="16" s="1"/>
  <c r="AF2195" i="16" s="1"/>
  <c r="AD2259" i="16"/>
  <c r="AE2259" i="16" s="1"/>
  <c r="AF2259" i="16" s="1"/>
  <c r="AD204" i="16"/>
  <c r="AE204" i="16" s="1"/>
  <c r="AF204" i="16" s="1"/>
  <c r="AD397" i="16"/>
  <c r="AE397" i="16" s="1"/>
  <c r="AF397" i="16" s="1"/>
  <c r="AD563" i="16"/>
  <c r="AE563" i="16" s="1"/>
  <c r="AF563" i="16" s="1"/>
  <c r="AD628" i="16"/>
  <c r="AE628" i="16" s="1"/>
  <c r="AF628" i="16" s="1"/>
  <c r="AD692" i="16"/>
  <c r="AE692" i="16" s="1"/>
  <c r="AF692" i="16" s="1"/>
  <c r="AD756" i="16"/>
  <c r="AE756" i="16" s="1"/>
  <c r="AF756" i="16" s="1"/>
  <c r="AD820" i="16"/>
  <c r="AE820" i="16" s="1"/>
  <c r="AF820" i="16" s="1"/>
  <c r="AD884" i="16"/>
  <c r="AE884" i="16" s="1"/>
  <c r="AF884" i="16" s="1"/>
  <c r="AD948" i="16"/>
  <c r="AE948" i="16" s="1"/>
  <c r="AF948" i="16" s="1"/>
  <c r="AD1012" i="16"/>
  <c r="AE1012" i="16" s="1"/>
  <c r="AF1012" i="16" s="1"/>
  <c r="AD1076" i="16"/>
  <c r="AE1076" i="16" s="1"/>
  <c r="AF1076" i="16" s="1"/>
  <c r="AD1140" i="16"/>
  <c r="AE1140" i="16" s="1"/>
  <c r="AF1140" i="16" s="1"/>
  <c r="AD1204" i="16"/>
  <c r="AE1204" i="16" s="1"/>
  <c r="AF1204" i="16" s="1"/>
  <c r="AD1268" i="16"/>
  <c r="AE1268" i="16" s="1"/>
  <c r="AF1268" i="16" s="1"/>
  <c r="AD1332" i="16"/>
  <c r="AE1332" i="16" s="1"/>
  <c r="AF1332" i="16" s="1"/>
  <c r="AD1396" i="16"/>
  <c r="AE1396" i="16" s="1"/>
  <c r="AF1396" i="16" s="1"/>
  <c r="AD1460" i="16"/>
  <c r="AE1460" i="16" s="1"/>
  <c r="AF1460" i="16" s="1"/>
  <c r="AD1524" i="16"/>
  <c r="AE1524" i="16" s="1"/>
  <c r="AF1524" i="16" s="1"/>
  <c r="AD1588" i="16"/>
  <c r="AE1588" i="16" s="1"/>
  <c r="AF1588" i="16" s="1"/>
  <c r="AD1652" i="16"/>
  <c r="AE1652" i="16" s="1"/>
  <c r="AF1652" i="16" s="1"/>
  <c r="AD1716" i="16"/>
  <c r="AE1716" i="16" s="1"/>
  <c r="AF1716" i="16" s="1"/>
  <c r="AD1780" i="16"/>
  <c r="AE1780" i="16" s="1"/>
  <c r="AF1780" i="16" s="1"/>
  <c r="AD1844" i="16"/>
  <c r="AE1844" i="16" s="1"/>
  <c r="AF1844" i="16" s="1"/>
  <c r="AD1274" i="16"/>
  <c r="AE1274" i="16" s="1"/>
  <c r="AF1274" i="16" s="1"/>
  <c r="AD1378" i="16"/>
  <c r="AE1378" i="16" s="1"/>
  <c r="AF1378" i="16" s="1"/>
  <c r="AD1458" i="16"/>
  <c r="AE1458" i="16" s="1"/>
  <c r="AF1458" i="16" s="1"/>
  <c r="AD1538" i="16"/>
  <c r="AE1538" i="16" s="1"/>
  <c r="AF1538" i="16" s="1"/>
  <c r="AD1634" i="16"/>
  <c r="AE1634" i="16" s="1"/>
  <c r="AF1634" i="16" s="1"/>
  <c r="AD1714" i="16"/>
  <c r="AE1714" i="16" s="1"/>
  <c r="AF1714" i="16" s="1"/>
  <c r="AD1794" i="16"/>
  <c r="AE1794" i="16" s="1"/>
  <c r="AF1794" i="16" s="1"/>
  <c r="AD1890" i="16"/>
  <c r="AE1890" i="16" s="1"/>
  <c r="AF1890" i="16" s="1"/>
  <c r="AD1970" i="16"/>
  <c r="AE1970" i="16" s="1"/>
  <c r="AF1970" i="16" s="1"/>
  <c r="AD2050" i="16"/>
  <c r="AE2050" i="16" s="1"/>
  <c r="AF2050" i="16" s="1"/>
  <c r="AD2146" i="16"/>
  <c r="AE2146" i="16" s="1"/>
  <c r="AF2146" i="16" s="1"/>
  <c r="AD2226" i="16"/>
  <c r="AE2226" i="16" s="1"/>
  <c r="AF2226" i="16" s="1"/>
  <c r="AD135" i="16"/>
  <c r="AE135" i="16" s="1"/>
  <c r="AF135" i="16" s="1"/>
  <c r="AD437" i="16"/>
  <c r="AE437" i="16" s="1"/>
  <c r="AF437" i="16" s="1"/>
  <c r="AD595" i="16"/>
  <c r="AE595" i="16" s="1"/>
  <c r="AF595" i="16" s="1"/>
  <c r="AD667" i="16"/>
  <c r="AE667" i="16" s="1"/>
  <c r="AF667" i="16" s="1"/>
  <c r="AD731" i="16"/>
  <c r="AE731" i="16" s="1"/>
  <c r="AF731" i="16" s="1"/>
  <c r="AD795" i="16"/>
  <c r="AE795" i="16" s="1"/>
  <c r="AF795" i="16" s="1"/>
  <c r="AD859" i="16"/>
  <c r="AE859" i="16" s="1"/>
  <c r="AF859" i="16" s="1"/>
  <c r="AD923" i="16"/>
  <c r="AE923" i="16" s="1"/>
  <c r="AF923" i="16" s="1"/>
  <c r="AD987" i="16"/>
  <c r="AE987" i="16" s="1"/>
  <c r="AF987" i="16" s="1"/>
  <c r="AD1051" i="16"/>
  <c r="AE1051" i="16" s="1"/>
  <c r="AF1051" i="16" s="1"/>
  <c r="AD1115" i="16"/>
  <c r="AE1115" i="16" s="1"/>
  <c r="AF1115" i="16" s="1"/>
  <c r="AD1179" i="16"/>
  <c r="AE1179" i="16" s="1"/>
  <c r="AF1179" i="16" s="1"/>
  <c r="AD1243" i="16"/>
  <c r="AE1243" i="16" s="1"/>
  <c r="AF1243" i="16" s="1"/>
  <c r="AD1307" i="16"/>
  <c r="AE1307" i="16" s="1"/>
  <c r="AF1307" i="16" s="1"/>
  <c r="AD1371" i="16"/>
  <c r="AE1371" i="16" s="1"/>
  <c r="AF1371" i="16" s="1"/>
  <c r="AD1435" i="16"/>
  <c r="AE1435" i="16" s="1"/>
  <c r="AF1435" i="16" s="1"/>
  <c r="AD1499" i="16"/>
  <c r="AE1499" i="16" s="1"/>
  <c r="AF1499" i="16" s="1"/>
  <c r="AD1563" i="16"/>
  <c r="AE1563" i="16" s="1"/>
  <c r="AF1563" i="16" s="1"/>
  <c r="AD1627" i="16"/>
  <c r="AE1627" i="16" s="1"/>
  <c r="AF1627" i="16" s="1"/>
  <c r="AD1691" i="16"/>
  <c r="AE1691" i="16" s="1"/>
  <c r="AF1691" i="16" s="1"/>
  <c r="AD1755" i="16"/>
  <c r="AE1755" i="16" s="1"/>
  <c r="AF1755" i="16" s="1"/>
  <c r="AD1819" i="16"/>
  <c r="AE1819" i="16" s="1"/>
  <c r="AF1819" i="16" s="1"/>
  <c r="AD1883" i="16"/>
  <c r="AE1883" i="16" s="1"/>
  <c r="AF1883" i="16" s="1"/>
  <c r="AD1947" i="16"/>
  <c r="AE1947" i="16" s="1"/>
  <c r="AF1947" i="16" s="1"/>
  <c r="AD2011" i="16"/>
  <c r="AE2011" i="16" s="1"/>
  <c r="AF2011" i="16" s="1"/>
  <c r="AD2075" i="16"/>
  <c r="AE2075" i="16" s="1"/>
  <c r="AF2075" i="16" s="1"/>
  <c r="AD2139" i="16"/>
  <c r="AE2139" i="16" s="1"/>
  <c r="AF2139" i="16" s="1"/>
  <c r="AD2203" i="16"/>
  <c r="AE2203" i="16" s="1"/>
  <c r="AF2203" i="16" s="1"/>
  <c r="AD2267" i="16"/>
  <c r="AE2267" i="16" s="1"/>
  <c r="AF2267" i="16" s="1"/>
  <c r="AD236" i="16"/>
  <c r="AE236" i="16" s="1"/>
  <c r="AF236" i="16" s="1"/>
  <c r="AD420" i="16"/>
  <c r="AE420" i="16" s="1"/>
  <c r="AF420" i="16" s="1"/>
  <c r="AD572" i="16"/>
  <c r="AE572" i="16" s="1"/>
  <c r="AF572" i="16" s="1"/>
  <c r="AD636" i="16"/>
  <c r="AE636" i="16" s="1"/>
  <c r="AF636" i="16" s="1"/>
  <c r="AD700" i="16"/>
  <c r="AE700" i="16" s="1"/>
  <c r="AF700" i="16" s="1"/>
  <c r="AD764" i="16"/>
  <c r="AE764" i="16" s="1"/>
  <c r="AF764" i="16" s="1"/>
  <c r="AD828" i="16"/>
  <c r="AE828" i="16" s="1"/>
  <c r="AF828" i="16" s="1"/>
  <c r="AD892" i="16"/>
  <c r="AE892" i="16" s="1"/>
  <c r="AF892" i="16" s="1"/>
  <c r="AD956" i="16"/>
  <c r="AE956" i="16" s="1"/>
  <c r="AF956" i="16" s="1"/>
  <c r="AD1020" i="16"/>
  <c r="AE1020" i="16" s="1"/>
  <c r="AF1020" i="16" s="1"/>
  <c r="AD1084" i="16"/>
  <c r="AE1084" i="16" s="1"/>
  <c r="AF1084" i="16" s="1"/>
  <c r="AD1148" i="16"/>
  <c r="AE1148" i="16" s="1"/>
  <c r="AF1148" i="16" s="1"/>
  <c r="AD1212" i="16"/>
  <c r="AE1212" i="16" s="1"/>
  <c r="AF1212" i="16" s="1"/>
  <c r="AD1276" i="16"/>
  <c r="AE1276" i="16" s="1"/>
  <c r="AF1276" i="16" s="1"/>
  <c r="AD1340" i="16"/>
  <c r="AE1340" i="16" s="1"/>
  <c r="AF1340" i="16" s="1"/>
  <c r="AD1404" i="16"/>
  <c r="AE1404" i="16" s="1"/>
  <c r="AF1404" i="16" s="1"/>
  <c r="AD1468" i="16"/>
  <c r="AE1468" i="16" s="1"/>
  <c r="AF1468" i="16" s="1"/>
  <c r="AD1532" i="16"/>
  <c r="AE1532" i="16" s="1"/>
  <c r="AF1532" i="16" s="1"/>
  <c r="AD1596" i="16"/>
  <c r="AE1596" i="16" s="1"/>
  <c r="AF1596" i="16" s="1"/>
  <c r="AD1660" i="16"/>
  <c r="AE1660" i="16" s="1"/>
  <c r="AF1660" i="16" s="1"/>
  <c r="AD1724" i="16"/>
  <c r="AE1724" i="16" s="1"/>
  <c r="AF1724" i="16" s="1"/>
  <c r="AD1788" i="16"/>
  <c r="AE1788" i="16" s="1"/>
  <c r="AF1788" i="16" s="1"/>
  <c r="AD1852" i="16"/>
  <c r="AE1852" i="16" s="1"/>
  <c r="AF1852" i="16" s="1"/>
  <c r="AD1290" i="16"/>
  <c r="AE1290" i="16" s="1"/>
  <c r="AF1290" i="16" s="1"/>
  <c r="AD1386" i="16"/>
  <c r="AE1386" i="16" s="1"/>
  <c r="AF1386" i="16" s="1"/>
  <c r="AD1466" i="16"/>
  <c r="AE1466" i="16" s="1"/>
  <c r="AF1466" i="16" s="1"/>
  <c r="AD1546" i="16"/>
  <c r="AE1546" i="16" s="1"/>
  <c r="AF1546" i="16" s="1"/>
  <c r="AD1642" i="16"/>
  <c r="AE1642" i="16" s="1"/>
  <c r="AF1642" i="16" s="1"/>
  <c r="AD1722" i="16"/>
  <c r="AE1722" i="16" s="1"/>
  <c r="AF1722" i="16" s="1"/>
  <c r="AD1802" i="16"/>
  <c r="AE1802" i="16" s="1"/>
  <c r="AF1802" i="16" s="1"/>
  <c r="AD1898" i="16"/>
  <c r="AE1898" i="16" s="1"/>
  <c r="AF1898" i="16" s="1"/>
  <c r="AD1978" i="16"/>
  <c r="AE1978" i="16" s="1"/>
  <c r="AF1978" i="16" s="1"/>
  <c r="AD2058" i="16"/>
  <c r="AE2058" i="16" s="1"/>
  <c r="AF2058" i="16" s="1"/>
  <c r="AD2154" i="16"/>
  <c r="AE2154" i="16" s="1"/>
  <c r="AF2154" i="16" s="1"/>
  <c r="AD2234" i="16"/>
  <c r="AE2234" i="16" s="1"/>
  <c r="AF2234" i="16" s="1"/>
  <c r="AD167" i="16"/>
  <c r="AE167" i="16" s="1"/>
  <c r="AF167" i="16" s="1"/>
  <c r="AD460" i="16"/>
  <c r="AE460" i="16" s="1"/>
  <c r="AF460" i="16" s="1"/>
  <c r="AD603" i="16"/>
  <c r="AE603" i="16" s="1"/>
  <c r="AF603" i="16" s="1"/>
  <c r="AD675" i="16"/>
  <c r="AE675" i="16" s="1"/>
  <c r="AF675" i="16" s="1"/>
  <c r="AD739" i="16"/>
  <c r="AE739" i="16" s="1"/>
  <c r="AF739" i="16" s="1"/>
  <c r="AD803" i="16"/>
  <c r="AE803" i="16" s="1"/>
  <c r="AF803" i="16" s="1"/>
  <c r="AD867" i="16"/>
  <c r="AE867" i="16" s="1"/>
  <c r="AF867" i="16" s="1"/>
  <c r="AD931" i="16"/>
  <c r="AE931" i="16" s="1"/>
  <c r="AF931" i="16" s="1"/>
  <c r="AD995" i="16"/>
  <c r="AE995" i="16" s="1"/>
  <c r="AF995" i="16" s="1"/>
  <c r="AD1059" i="16"/>
  <c r="AE1059" i="16" s="1"/>
  <c r="AF1059" i="16" s="1"/>
  <c r="AD1123" i="16"/>
  <c r="AE1123" i="16" s="1"/>
  <c r="AF1123" i="16" s="1"/>
  <c r="AD1187" i="16"/>
  <c r="AE1187" i="16" s="1"/>
  <c r="AF1187" i="16" s="1"/>
  <c r="AD1251" i="16"/>
  <c r="AE1251" i="16" s="1"/>
  <c r="AF1251" i="16" s="1"/>
  <c r="AD1315" i="16"/>
  <c r="AE1315" i="16" s="1"/>
  <c r="AF1315" i="16" s="1"/>
  <c r="AD1379" i="16"/>
  <c r="AE1379" i="16" s="1"/>
  <c r="AF1379" i="16" s="1"/>
  <c r="AD1443" i="16"/>
  <c r="AE1443" i="16" s="1"/>
  <c r="AF1443" i="16" s="1"/>
  <c r="AD1507" i="16"/>
  <c r="AE1507" i="16" s="1"/>
  <c r="AF1507" i="16" s="1"/>
  <c r="AD1571" i="16"/>
  <c r="AE1571" i="16" s="1"/>
  <c r="AF1571" i="16" s="1"/>
  <c r="AD1635" i="16"/>
  <c r="AE1635" i="16" s="1"/>
  <c r="AF1635" i="16" s="1"/>
  <c r="AD1699" i="16"/>
  <c r="AE1699" i="16" s="1"/>
  <c r="AF1699" i="16" s="1"/>
  <c r="AD1763" i="16"/>
  <c r="AE1763" i="16" s="1"/>
  <c r="AF1763" i="16" s="1"/>
  <c r="AD1827" i="16"/>
  <c r="AE1827" i="16" s="1"/>
  <c r="AF1827" i="16" s="1"/>
  <c r="AD1891" i="16"/>
  <c r="AE1891" i="16" s="1"/>
  <c r="AF1891" i="16" s="1"/>
  <c r="AD1955" i="16"/>
  <c r="AE1955" i="16" s="1"/>
  <c r="AF1955" i="16" s="1"/>
  <c r="AD2019" i="16"/>
  <c r="AE2019" i="16" s="1"/>
  <c r="AF2019" i="16" s="1"/>
  <c r="AD2083" i="16"/>
  <c r="AE2083" i="16" s="1"/>
  <c r="AF2083" i="16" s="1"/>
  <c r="AD2147" i="16"/>
  <c r="AE2147" i="16" s="1"/>
  <c r="AF2147" i="16" s="1"/>
  <c r="AD2211" i="16"/>
  <c r="AE2211" i="16" s="1"/>
  <c r="AF2211" i="16" s="1"/>
  <c r="AD268" i="16"/>
  <c r="AE268" i="16" s="1"/>
  <c r="AF268" i="16" s="1"/>
  <c r="AD439" i="16"/>
  <c r="AE439" i="16" s="1"/>
  <c r="AF439" i="16" s="1"/>
  <c r="AD580" i="16"/>
  <c r="AE580" i="16" s="1"/>
  <c r="AF580" i="16" s="1"/>
  <c r="AD644" i="16"/>
  <c r="AE644" i="16" s="1"/>
  <c r="AF644" i="16" s="1"/>
  <c r="AD708" i="16"/>
  <c r="AE708" i="16" s="1"/>
  <c r="AF708" i="16" s="1"/>
  <c r="AD772" i="16"/>
  <c r="AE772" i="16" s="1"/>
  <c r="AF772" i="16" s="1"/>
  <c r="AD836" i="16"/>
  <c r="AE836" i="16" s="1"/>
  <c r="AF836" i="16" s="1"/>
  <c r="AD900" i="16"/>
  <c r="AE900" i="16" s="1"/>
  <c r="AF900" i="16" s="1"/>
  <c r="AD964" i="16"/>
  <c r="AE964" i="16" s="1"/>
  <c r="AF964" i="16" s="1"/>
  <c r="AD1028" i="16"/>
  <c r="AE1028" i="16" s="1"/>
  <c r="AF1028" i="16" s="1"/>
  <c r="AD1092" i="16"/>
  <c r="AE1092" i="16" s="1"/>
  <c r="AF1092" i="16" s="1"/>
  <c r="AD1156" i="16"/>
  <c r="AE1156" i="16" s="1"/>
  <c r="AF1156" i="16" s="1"/>
  <c r="AD1220" i="16"/>
  <c r="AE1220" i="16" s="1"/>
  <c r="AF1220" i="16" s="1"/>
  <c r="AD1284" i="16"/>
  <c r="AE1284" i="16" s="1"/>
  <c r="AF1284" i="16" s="1"/>
  <c r="AD1348" i="16"/>
  <c r="AE1348" i="16" s="1"/>
  <c r="AF1348" i="16" s="1"/>
  <c r="AD1412" i="16"/>
  <c r="AE1412" i="16" s="1"/>
  <c r="AF1412" i="16" s="1"/>
  <c r="AD1476" i="16"/>
  <c r="AE1476" i="16" s="1"/>
  <c r="AF1476" i="16" s="1"/>
  <c r="AD1540" i="16"/>
  <c r="AE1540" i="16" s="1"/>
  <c r="AF1540" i="16" s="1"/>
  <c r="AD1604" i="16"/>
  <c r="AE1604" i="16" s="1"/>
  <c r="AF1604" i="16" s="1"/>
  <c r="AD1668" i="16"/>
  <c r="AE1668" i="16" s="1"/>
  <c r="AF1668" i="16" s="1"/>
  <c r="AD1732" i="16"/>
  <c r="AE1732" i="16" s="1"/>
  <c r="AF1732" i="16" s="1"/>
  <c r="AD1796" i="16"/>
  <c r="AE1796" i="16" s="1"/>
  <c r="AF1796" i="16" s="1"/>
  <c r="AD1314" i="16"/>
  <c r="AE1314" i="16" s="1"/>
  <c r="AF1314" i="16" s="1"/>
  <c r="AD1394" i="16"/>
  <c r="AE1394" i="16" s="1"/>
  <c r="AF1394" i="16" s="1"/>
  <c r="AD1474" i="16"/>
  <c r="AE1474" i="16" s="1"/>
  <c r="AF1474" i="16" s="1"/>
  <c r="AD1570" i="16"/>
  <c r="AE1570" i="16" s="1"/>
  <c r="AF1570" i="16" s="1"/>
  <c r="AD1650" i="16"/>
  <c r="AE1650" i="16" s="1"/>
  <c r="AF1650" i="16" s="1"/>
  <c r="AD1730" i="16"/>
  <c r="AE1730" i="16" s="1"/>
  <c r="AF1730" i="16" s="1"/>
  <c r="AD1826" i="16"/>
  <c r="AE1826" i="16" s="1"/>
  <c r="AF1826" i="16" s="1"/>
  <c r="AD1906" i="16"/>
  <c r="AE1906" i="16" s="1"/>
  <c r="AF1906" i="16" s="1"/>
  <c r="AD1986" i="16"/>
  <c r="AE1986" i="16" s="1"/>
  <c r="AF1986" i="16" s="1"/>
  <c r="AD2082" i="16"/>
  <c r="AE2082" i="16" s="1"/>
  <c r="AF2082" i="16" s="1"/>
  <c r="AD2162" i="16"/>
  <c r="AE2162" i="16" s="1"/>
  <c r="AF2162" i="16" s="1"/>
  <c r="AD2242" i="16"/>
  <c r="AE2242" i="16" s="1"/>
  <c r="AF2242" i="16" s="1"/>
  <c r="AD263" i="16"/>
  <c r="AE263" i="16" s="1"/>
  <c r="AF263" i="16" s="1"/>
  <c r="AD479" i="16"/>
  <c r="AE479" i="16" s="1"/>
  <c r="AF479" i="16" s="1"/>
  <c r="AD611" i="16"/>
  <c r="AE611" i="16" s="1"/>
  <c r="AF611" i="16" s="1"/>
  <c r="AD683" i="16"/>
  <c r="AE683" i="16" s="1"/>
  <c r="AF683" i="16" s="1"/>
  <c r="AD747" i="16"/>
  <c r="AE747" i="16" s="1"/>
  <c r="AF747" i="16" s="1"/>
  <c r="AD811" i="16"/>
  <c r="AE811" i="16" s="1"/>
  <c r="AF811" i="16" s="1"/>
  <c r="AD875" i="16"/>
  <c r="AE875" i="16" s="1"/>
  <c r="AF875" i="16" s="1"/>
  <c r="AD939" i="16"/>
  <c r="AE939" i="16" s="1"/>
  <c r="AF939" i="16" s="1"/>
  <c r="AD1003" i="16"/>
  <c r="AE1003" i="16" s="1"/>
  <c r="AF1003" i="16" s="1"/>
  <c r="AD1067" i="16"/>
  <c r="AE1067" i="16" s="1"/>
  <c r="AF1067" i="16" s="1"/>
  <c r="AD1131" i="16"/>
  <c r="AE1131" i="16" s="1"/>
  <c r="AF1131" i="16" s="1"/>
  <c r="AD1195" i="16"/>
  <c r="AE1195" i="16" s="1"/>
  <c r="AF1195" i="16" s="1"/>
  <c r="AD1259" i="16"/>
  <c r="AE1259" i="16" s="1"/>
  <c r="AF1259" i="16" s="1"/>
  <c r="AD1323" i="16"/>
  <c r="AE1323" i="16" s="1"/>
  <c r="AF1323" i="16" s="1"/>
  <c r="AD1387" i="16"/>
  <c r="AE1387" i="16" s="1"/>
  <c r="AF1387" i="16" s="1"/>
  <c r="AD1451" i="16"/>
  <c r="AE1451" i="16" s="1"/>
  <c r="AF1451" i="16" s="1"/>
  <c r="AD1515" i="16"/>
  <c r="AE1515" i="16" s="1"/>
  <c r="AF1515" i="16" s="1"/>
  <c r="AD1579" i="16"/>
  <c r="AE1579" i="16" s="1"/>
  <c r="AF1579" i="16" s="1"/>
  <c r="AD1643" i="16"/>
  <c r="AE1643" i="16" s="1"/>
  <c r="AF1643" i="16" s="1"/>
  <c r="AD1707" i="16"/>
  <c r="AE1707" i="16" s="1"/>
  <c r="AF1707" i="16" s="1"/>
  <c r="AD1771" i="16"/>
  <c r="AE1771" i="16" s="1"/>
  <c r="AF1771" i="16" s="1"/>
  <c r="AD1835" i="16"/>
  <c r="AE1835" i="16" s="1"/>
  <c r="AF1835" i="16" s="1"/>
  <c r="AD1899" i="16"/>
  <c r="AE1899" i="16" s="1"/>
  <c r="AF1899" i="16" s="1"/>
  <c r="AD1963" i="16"/>
  <c r="AE1963" i="16" s="1"/>
  <c r="AF1963" i="16" s="1"/>
  <c r="AD2027" i="16"/>
  <c r="AE2027" i="16" s="1"/>
  <c r="AF2027" i="16" s="1"/>
  <c r="AD2091" i="16"/>
  <c r="AE2091" i="16" s="1"/>
  <c r="AF2091" i="16" s="1"/>
  <c r="AD2155" i="16"/>
  <c r="AE2155" i="16" s="1"/>
  <c r="AF2155" i="16" s="1"/>
  <c r="AD2219" i="16"/>
  <c r="AE2219" i="16" s="1"/>
  <c r="AF2219" i="16" s="1"/>
  <c r="AD292" i="16"/>
  <c r="AE292" i="16" s="1"/>
  <c r="AF292" i="16" s="1"/>
  <c r="AD461" i="16"/>
  <c r="AE461" i="16" s="1"/>
  <c r="AF461" i="16" s="1"/>
  <c r="AD588" i="16"/>
  <c r="AE588" i="16" s="1"/>
  <c r="AF588" i="16" s="1"/>
  <c r="AD652" i="16"/>
  <c r="AE652" i="16" s="1"/>
  <c r="AF652" i="16" s="1"/>
  <c r="AD716" i="16"/>
  <c r="AE716" i="16" s="1"/>
  <c r="AF716" i="16" s="1"/>
  <c r="AD780" i="16"/>
  <c r="AE780" i="16" s="1"/>
  <c r="AF780" i="16" s="1"/>
  <c r="AD844" i="16"/>
  <c r="AE844" i="16" s="1"/>
  <c r="AF844" i="16" s="1"/>
  <c r="AD908" i="16"/>
  <c r="AE908" i="16" s="1"/>
  <c r="AF908" i="16" s="1"/>
  <c r="AD972" i="16"/>
  <c r="AE972" i="16" s="1"/>
  <c r="AF972" i="16" s="1"/>
  <c r="AD1036" i="16"/>
  <c r="AE1036" i="16" s="1"/>
  <c r="AF1036" i="16" s="1"/>
  <c r="AD1100" i="16"/>
  <c r="AE1100" i="16" s="1"/>
  <c r="AF1100" i="16" s="1"/>
  <c r="AD1164" i="16"/>
  <c r="AE1164" i="16" s="1"/>
  <c r="AF1164" i="16" s="1"/>
  <c r="AD1228" i="16"/>
  <c r="AE1228" i="16" s="1"/>
  <c r="AF1228" i="16" s="1"/>
  <c r="AD1292" i="16"/>
  <c r="AE1292" i="16" s="1"/>
  <c r="AF1292" i="16" s="1"/>
  <c r="AD1356" i="16"/>
  <c r="AE1356" i="16" s="1"/>
  <c r="AF1356" i="16" s="1"/>
  <c r="AD1420" i="16"/>
  <c r="AE1420" i="16" s="1"/>
  <c r="AF1420" i="16" s="1"/>
  <c r="AD1484" i="16"/>
  <c r="AE1484" i="16" s="1"/>
  <c r="AF1484" i="16" s="1"/>
  <c r="AD1548" i="16"/>
  <c r="AE1548" i="16" s="1"/>
  <c r="AF1548" i="16" s="1"/>
  <c r="AD1612" i="16"/>
  <c r="AE1612" i="16" s="1"/>
  <c r="AF1612" i="16" s="1"/>
  <c r="AD1676" i="16"/>
  <c r="AE1676" i="16" s="1"/>
  <c r="AF1676" i="16" s="1"/>
  <c r="AD1740" i="16"/>
  <c r="AE1740" i="16" s="1"/>
  <c r="AF1740" i="16" s="1"/>
  <c r="AD1804" i="16"/>
  <c r="AE1804" i="16" s="1"/>
  <c r="AF1804" i="16" s="1"/>
  <c r="AD1868" i="16"/>
  <c r="AE1868" i="16" s="1"/>
  <c r="AF1868" i="16" s="1"/>
  <c r="AD1932" i="16"/>
  <c r="AE1932" i="16" s="1"/>
  <c r="AF1932" i="16" s="1"/>
  <c r="AD1996" i="16"/>
  <c r="AE1996" i="16" s="1"/>
  <c r="AF1996" i="16" s="1"/>
  <c r="AD2060" i="16"/>
  <c r="AE2060" i="16" s="1"/>
  <c r="AF2060" i="16" s="1"/>
  <c r="AD2124" i="16"/>
  <c r="AE2124" i="16" s="1"/>
  <c r="AF2124" i="16" s="1"/>
  <c r="AD2188" i="16"/>
  <c r="AE2188" i="16" s="1"/>
  <c r="AF2188" i="16" s="1"/>
  <c r="AD2252" i="16"/>
  <c r="AE2252" i="16" s="1"/>
  <c r="AF2252" i="16" s="1"/>
  <c r="AD175" i="16"/>
  <c r="AE175" i="16" s="1"/>
  <c r="AF175" i="16" s="1"/>
  <c r="AD380" i="16"/>
  <c r="AE380" i="16" s="1"/>
  <c r="AF380" i="16" s="1"/>
  <c r="AD549" i="16"/>
  <c r="AE549" i="16" s="1"/>
  <c r="AF549" i="16" s="1"/>
  <c r="AD621" i="16"/>
  <c r="AE621" i="16" s="1"/>
  <c r="AF621" i="16" s="1"/>
  <c r="AD685" i="16"/>
  <c r="AE685" i="16" s="1"/>
  <c r="AF685" i="16" s="1"/>
  <c r="AD749" i="16"/>
  <c r="AE749" i="16" s="1"/>
  <c r="AF749" i="16" s="1"/>
  <c r="AD813" i="16"/>
  <c r="AE813" i="16" s="1"/>
  <c r="AF813" i="16" s="1"/>
  <c r="AD877" i="16"/>
  <c r="AE877" i="16" s="1"/>
  <c r="AF877" i="16" s="1"/>
  <c r="AD941" i="16"/>
  <c r="AE941" i="16" s="1"/>
  <c r="AF941" i="16" s="1"/>
  <c r="AD1005" i="16"/>
  <c r="AE1005" i="16" s="1"/>
  <c r="AF1005" i="16" s="1"/>
  <c r="AD1069" i="16"/>
  <c r="AE1069" i="16" s="1"/>
  <c r="AF1069" i="16" s="1"/>
  <c r="AD1133" i="16"/>
  <c r="AE1133" i="16" s="1"/>
  <c r="AF1133" i="16" s="1"/>
  <c r="AD1197" i="16"/>
  <c r="AE1197" i="16" s="1"/>
  <c r="AF1197" i="16" s="1"/>
  <c r="AD1261" i="16"/>
  <c r="AE1261" i="16" s="1"/>
  <c r="AF1261" i="16" s="1"/>
  <c r="AD1325" i="16"/>
  <c r="AE1325" i="16" s="1"/>
  <c r="AF1325" i="16" s="1"/>
  <c r="AD1389" i="16"/>
  <c r="AE1389" i="16" s="1"/>
  <c r="AF1389" i="16" s="1"/>
  <c r="AD1322" i="16"/>
  <c r="AE1322" i="16" s="1"/>
  <c r="AF1322" i="16" s="1"/>
  <c r="AD1402" i="16"/>
  <c r="AE1402" i="16" s="1"/>
  <c r="AF1402" i="16" s="1"/>
  <c r="AD1482" i="16"/>
  <c r="AE1482" i="16" s="1"/>
  <c r="AF1482" i="16" s="1"/>
  <c r="AD1578" i="16"/>
  <c r="AE1578" i="16" s="1"/>
  <c r="AF1578" i="16" s="1"/>
  <c r="AD1658" i="16"/>
  <c r="AE1658" i="16" s="1"/>
  <c r="AF1658" i="16" s="1"/>
  <c r="AD1738" i="16"/>
  <c r="AE1738" i="16" s="1"/>
  <c r="AF1738" i="16" s="1"/>
  <c r="AD1834" i="16"/>
  <c r="AE1834" i="16" s="1"/>
  <c r="AF1834" i="16" s="1"/>
  <c r="AD1914" i="16"/>
  <c r="AE1914" i="16" s="1"/>
  <c r="AF1914" i="16" s="1"/>
  <c r="AD1994" i="16"/>
  <c r="AE1994" i="16" s="1"/>
  <c r="AF1994" i="16" s="1"/>
  <c r="AD2090" i="16"/>
  <c r="AE2090" i="16" s="1"/>
  <c r="AF2090" i="16" s="1"/>
  <c r="AD2170" i="16"/>
  <c r="AE2170" i="16" s="1"/>
  <c r="AF2170" i="16" s="1"/>
  <c r="AD2250" i="16"/>
  <c r="AE2250" i="16" s="1"/>
  <c r="AF2250" i="16" s="1"/>
  <c r="AD287" i="16"/>
  <c r="AE287" i="16" s="1"/>
  <c r="AF287" i="16" s="1"/>
  <c r="AD501" i="16"/>
  <c r="AE501" i="16" s="1"/>
  <c r="AF501" i="16" s="1"/>
  <c r="AD619" i="16"/>
  <c r="AE619" i="16" s="1"/>
  <c r="AF619" i="16" s="1"/>
  <c r="AD691" i="16"/>
  <c r="AE691" i="16" s="1"/>
  <c r="AF691" i="16" s="1"/>
  <c r="AD755" i="16"/>
  <c r="AE755" i="16" s="1"/>
  <c r="AF755" i="16" s="1"/>
  <c r="AD819" i="16"/>
  <c r="AE819" i="16" s="1"/>
  <c r="AF819" i="16" s="1"/>
  <c r="AD883" i="16"/>
  <c r="AE883" i="16" s="1"/>
  <c r="AF883" i="16" s="1"/>
  <c r="AD947" i="16"/>
  <c r="AE947" i="16" s="1"/>
  <c r="AF947" i="16" s="1"/>
  <c r="AD1011" i="16"/>
  <c r="AE1011" i="16" s="1"/>
  <c r="AF1011" i="16" s="1"/>
  <c r="AD1075" i="16"/>
  <c r="AE1075" i="16" s="1"/>
  <c r="AF1075" i="16" s="1"/>
  <c r="AD1139" i="16"/>
  <c r="AE1139" i="16" s="1"/>
  <c r="AF1139" i="16" s="1"/>
  <c r="AD1203" i="16"/>
  <c r="AE1203" i="16" s="1"/>
  <c r="AF1203" i="16" s="1"/>
  <c r="AD1267" i="16"/>
  <c r="AE1267" i="16" s="1"/>
  <c r="AF1267" i="16" s="1"/>
  <c r="AD1331" i="16"/>
  <c r="AE1331" i="16" s="1"/>
  <c r="AF1331" i="16" s="1"/>
  <c r="AD1395" i="16"/>
  <c r="AE1395" i="16" s="1"/>
  <c r="AF1395" i="16" s="1"/>
  <c r="AD1459" i="16"/>
  <c r="AE1459" i="16" s="1"/>
  <c r="AF1459" i="16" s="1"/>
  <c r="AD1523" i="16"/>
  <c r="AE1523" i="16" s="1"/>
  <c r="AF1523" i="16" s="1"/>
  <c r="AD1587" i="16"/>
  <c r="AE1587" i="16" s="1"/>
  <c r="AF1587" i="16" s="1"/>
  <c r="AD1651" i="16"/>
  <c r="AE1651" i="16" s="1"/>
  <c r="AF1651" i="16" s="1"/>
  <c r="AD1715" i="16"/>
  <c r="AE1715" i="16" s="1"/>
  <c r="AF1715" i="16" s="1"/>
  <c r="AD1779" i="16"/>
  <c r="AE1779" i="16" s="1"/>
  <c r="AF1779" i="16" s="1"/>
  <c r="AD1843" i="16"/>
  <c r="AE1843" i="16" s="1"/>
  <c r="AF1843" i="16" s="1"/>
  <c r="AD1907" i="16"/>
  <c r="AE1907" i="16" s="1"/>
  <c r="AF1907" i="16" s="1"/>
  <c r="AD1971" i="16"/>
  <c r="AE1971" i="16" s="1"/>
  <c r="AF1971" i="16" s="1"/>
  <c r="AD2035" i="16"/>
  <c r="AE2035" i="16" s="1"/>
  <c r="AF2035" i="16" s="1"/>
  <c r="AD2099" i="16"/>
  <c r="AE2099" i="16" s="1"/>
  <c r="AF2099" i="16" s="1"/>
  <c r="AD2163" i="16"/>
  <c r="AE2163" i="16" s="1"/>
  <c r="AF2163" i="16" s="1"/>
  <c r="AD2227" i="16"/>
  <c r="AE2227" i="16" s="1"/>
  <c r="AF2227" i="16" s="1"/>
  <c r="AD76" i="16"/>
  <c r="AE76" i="16" s="1"/>
  <c r="AF76" i="16" s="1"/>
  <c r="AD311" i="16"/>
  <c r="AE311" i="16" s="1"/>
  <c r="AF311" i="16" s="1"/>
  <c r="AD484" i="16"/>
  <c r="AE484" i="16" s="1"/>
  <c r="AF484" i="16" s="1"/>
  <c r="AD596" i="16"/>
  <c r="AE596" i="16" s="1"/>
  <c r="AF596" i="16" s="1"/>
  <c r="AD660" i="16"/>
  <c r="AE660" i="16" s="1"/>
  <c r="AF660" i="16" s="1"/>
  <c r="AD724" i="16"/>
  <c r="AE724" i="16" s="1"/>
  <c r="AF724" i="16" s="1"/>
  <c r="AD788" i="16"/>
  <c r="AE788" i="16" s="1"/>
  <c r="AF788" i="16" s="1"/>
  <c r="AD852" i="16"/>
  <c r="AE852" i="16" s="1"/>
  <c r="AF852" i="16" s="1"/>
  <c r="AD916" i="16"/>
  <c r="AE916" i="16" s="1"/>
  <c r="AF916" i="16" s="1"/>
  <c r="AD980" i="16"/>
  <c r="AE980" i="16" s="1"/>
  <c r="AF980" i="16" s="1"/>
  <c r="AD1044" i="16"/>
  <c r="AE1044" i="16" s="1"/>
  <c r="AF1044" i="16" s="1"/>
  <c r="AD1108" i="16"/>
  <c r="AE1108" i="16" s="1"/>
  <c r="AF1108" i="16" s="1"/>
  <c r="AD1172" i="16"/>
  <c r="AE1172" i="16" s="1"/>
  <c r="AF1172" i="16" s="1"/>
  <c r="AD1236" i="16"/>
  <c r="AE1236" i="16" s="1"/>
  <c r="AF1236" i="16" s="1"/>
  <c r="AD1300" i="16"/>
  <c r="AE1300" i="16" s="1"/>
  <c r="AF1300" i="16" s="1"/>
  <c r="AD1364" i="16"/>
  <c r="AE1364" i="16" s="1"/>
  <c r="AF1364" i="16" s="1"/>
  <c r="AD1428" i="16"/>
  <c r="AE1428" i="16" s="1"/>
  <c r="AF1428" i="16" s="1"/>
  <c r="AD1492" i="16"/>
  <c r="AE1492" i="16" s="1"/>
  <c r="AF1492" i="16" s="1"/>
  <c r="AD1556" i="16"/>
  <c r="AE1556" i="16" s="1"/>
  <c r="AF1556" i="16" s="1"/>
  <c r="AD1620" i="16"/>
  <c r="AE1620" i="16" s="1"/>
  <c r="AF1620" i="16" s="1"/>
  <c r="AD1684" i="16"/>
  <c r="AE1684" i="16" s="1"/>
  <c r="AF1684" i="16" s="1"/>
  <c r="AD1748" i="16"/>
  <c r="AE1748" i="16" s="1"/>
  <c r="AF1748" i="16" s="1"/>
  <c r="AD1812" i="16"/>
  <c r="AE1812" i="16" s="1"/>
  <c r="AF1812" i="16" s="1"/>
  <c r="AD1226" i="16"/>
  <c r="AE1226" i="16" s="1"/>
  <c r="AF1226" i="16" s="1"/>
  <c r="AD1330" i="16"/>
  <c r="AE1330" i="16" s="1"/>
  <c r="AF1330" i="16" s="1"/>
  <c r="AD1410" i="16"/>
  <c r="AE1410" i="16" s="1"/>
  <c r="AF1410" i="16" s="1"/>
  <c r="AD1506" i="16"/>
  <c r="AE1506" i="16" s="1"/>
  <c r="AF1506" i="16" s="1"/>
  <c r="AD1586" i="16"/>
  <c r="AE1586" i="16" s="1"/>
  <c r="AF1586" i="16" s="1"/>
  <c r="AD1666" i="16"/>
  <c r="AE1666" i="16" s="1"/>
  <c r="AF1666" i="16" s="1"/>
  <c r="AD1762" i="16"/>
  <c r="AE1762" i="16" s="1"/>
  <c r="AF1762" i="16" s="1"/>
  <c r="AD1842" i="16"/>
  <c r="AE1842" i="16" s="1"/>
  <c r="AF1842" i="16" s="1"/>
  <c r="AD1922" i="16"/>
  <c r="AE1922" i="16" s="1"/>
  <c r="AF1922" i="16" s="1"/>
  <c r="AD2018" i="16"/>
  <c r="AE2018" i="16" s="1"/>
  <c r="AF2018" i="16" s="1"/>
  <c r="AD2098" i="16"/>
  <c r="AE2098" i="16" s="1"/>
  <c r="AF2098" i="16" s="1"/>
  <c r="AD2178" i="16"/>
  <c r="AE2178" i="16" s="1"/>
  <c r="AF2178" i="16" s="1"/>
  <c r="AD309" i="16"/>
  <c r="AE309" i="16" s="1"/>
  <c r="AF309" i="16" s="1"/>
  <c r="AD524" i="16"/>
  <c r="AE524" i="16" s="1"/>
  <c r="AF524" i="16" s="1"/>
  <c r="AD635" i="16"/>
  <c r="AE635" i="16" s="1"/>
  <c r="AF635" i="16" s="1"/>
  <c r="AD699" i="16"/>
  <c r="AE699" i="16" s="1"/>
  <c r="AF699" i="16" s="1"/>
  <c r="AD763" i="16"/>
  <c r="AE763" i="16" s="1"/>
  <c r="AF763" i="16" s="1"/>
  <c r="AD827" i="16"/>
  <c r="AE827" i="16" s="1"/>
  <c r="AF827" i="16" s="1"/>
  <c r="AD891" i="16"/>
  <c r="AE891" i="16" s="1"/>
  <c r="AF891" i="16" s="1"/>
  <c r="AD955" i="16"/>
  <c r="AE955" i="16" s="1"/>
  <c r="AF955" i="16" s="1"/>
  <c r="AD1019" i="16"/>
  <c r="AE1019" i="16" s="1"/>
  <c r="AF1019" i="16" s="1"/>
  <c r="AD1083" i="16"/>
  <c r="AE1083" i="16" s="1"/>
  <c r="AF1083" i="16" s="1"/>
  <c r="AD1147" i="16"/>
  <c r="AE1147" i="16" s="1"/>
  <c r="AF1147" i="16" s="1"/>
  <c r="AD1211" i="16"/>
  <c r="AE1211" i="16" s="1"/>
  <c r="AF1211" i="16" s="1"/>
  <c r="AD1275" i="16"/>
  <c r="AE1275" i="16" s="1"/>
  <c r="AF1275" i="16" s="1"/>
  <c r="AD1339" i="16"/>
  <c r="AE1339" i="16" s="1"/>
  <c r="AF1339" i="16" s="1"/>
  <c r="AD1403" i="16"/>
  <c r="AE1403" i="16" s="1"/>
  <c r="AF1403" i="16" s="1"/>
  <c r="AD1467" i="16"/>
  <c r="AE1467" i="16" s="1"/>
  <c r="AF1467" i="16" s="1"/>
  <c r="AD1531" i="16"/>
  <c r="AE1531" i="16" s="1"/>
  <c r="AF1531" i="16" s="1"/>
  <c r="AD1595" i="16"/>
  <c r="AE1595" i="16" s="1"/>
  <c r="AF1595" i="16" s="1"/>
  <c r="AD1659" i="16"/>
  <c r="AE1659" i="16" s="1"/>
  <c r="AF1659" i="16" s="1"/>
  <c r="AD1723" i="16"/>
  <c r="AE1723" i="16" s="1"/>
  <c r="AF1723" i="16" s="1"/>
  <c r="AD1787" i="16"/>
  <c r="AE1787" i="16" s="1"/>
  <c r="AF1787" i="16" s="1"/>
  <c r="AD1851" i="16"/>
  <c r="AE1851" i="16" s="1"/>
  <c r="AF1851" i="16" s="1"/>
  <c r="AD1915" i="16"/>
  <c r="AE1915" i="16" s="1"/>
  <c r="AF1915" i="16" s="1"/>
  <c r="AD1979" i="16"/>
  <c r="AE1979" i="16" s="1"/>
  <c r="AF1979" i="16" s="1"/>
  <c r="AD2043" i="16"/>
  <c r="AE2043" i="16" s="1"/>
  <c r="AF2043" i="16" s="1"/>
  <c r="AD2107" i="16"/>
  <c r="AE2107" i="16" s="1"/>
  <c r="AF2107" i="16" s="1"/>
  <c r="AD2171" i="16"/>
  <c r="AE2171" i="16" s="1"/>
  <c r="AF2171" i="16" s="1"/>
  <c r="AD2235" i="16"/>
  <c r="AE2235" i="16" s="1"/>
  <c r="AF2235" i="16" s="1"/>
  <c r="AD108" i="16"/>
  <c r="AE108" i="16" s="1"/>
  <c r="AF108" i="16" s="1"/>
  <c r="AD333" i="16"/>
  <c r="AE333" i="16" s="1"/>
  <c r="AF333" i="16" s="1"/>
  <c r="AD503" i="16"/>
  <c r="AE503" i="16" s="1"/>
  <c r="AF503" i="16" s="1"/>
  <c r="AD604" i="16"/>
  <c r="AE604" i="16" s="1"/>
  <c r="AF604" i="16" s="1"/>
  <c r="AD668" i="16"/>
  <c r="AE668" i="16" s="1"/>
  <c r="AF668" i="16" s="1"/>
  <c r="AD732" i="16"/>
  <c r="AE732" i="16" s="1"/>
  <c r="AF732" i="16" s="1"/>
  <c r="AD796" i="16"/>
  <c r="AE796" i="16" s="1"/>
  <c r="AF796" i="16" s="1"/>
  <c r="AD860" i="16"/>
  <c r="AE860" i="16" s="1"/>
  <c r="AF860" i="16" s="1"/>
  <c r="AD924" i="16"/>
  <c r="AE924" i="16" s="1"/>
  <c r="AF924" i="16" s="1"/>
  <c r="AD988" i="16"/>
  <c r="AE988" i="16" s="1"/>
  <c r="AF988" i="16" s="1"/>
  <c r="AD1052" i="16"/>
  <c r="AE1052" i="16" s="1"/>
  <c r="AF1052" i="16" s="1"/>
  <c r="AD1116" i="16"/>
  <c r="AE1116" i="16" s="1"/>
  <c r="AF1116" i="16" s="1"/>
  <c r="AD1180" i="16"/>
  <c r="AE1180" i="16" s="1"/>
  <c r="AF1180" i="16" s="1"/>
  <c r="AD1244" i="16"/>
  <c r="AE1244" i="16" s="1"/>
  <c r="AF1244" i="16" s="1"/>
  <c r="AD1308" i="16"/>
  <c r="AE1308" i="16" s="1"/>
  <c r="AF1308" i="16" s="1"/>
  <c r="AD1372" i="16"/>
  <c r="AE1372" i="16" s="1"/>
  <c r="AF1372" i="16" s="1"/>
  <c r="AD1436" i="16"/>
  <c r="AE1436" i="16" s="1"/>
  <c r="AF1436" i="16" s="1"/>
  <c r="AD1500" i="16"/>
  <c r="AE1500" i="16" s="1"/>
  <c r="AF1500" i="16" s="1"/>
  <c r="AD1564" i="16"/>
  <c r="AE1564" i="16" s="1"/>
  <c r="AF1564" i="16" s="1"/>
  <c r="AD1628" i="16"/>
  <c r="AE1628" i="16" s="1"/>
  <c r="AF1628" i="16" s="1"/>
  <c r="AD1692" i="16"/>
  <c r="AE1692" i="16" s="1"/>
  <c r="AF1692" i="16" s="1"/>
  <c r="AD1756" i="16"/>
  <c r="AE1756" i="16" s="1"/>
  <c r="AF1756" i="16" s="1"/>
  <c r="AD1820" i="16"/>
  <c r="AE1820" i="16" s="1"/>
  <c r="AF1820" i="16" s="1"/>
  <c r="AD1250" i="16"/>
  <c r="AE1250" i="16" s="1"/>
  <c r="AF1250" i="16" s="1"/>
  <c r="AD1338" i="16"/>
  <c r="AE1338" i="16" s="1"/>
  <c r="AF1338" i="16" s="1"/>
  <c r="AD1418" i="16"/>
  <c r="AE1418" i="16" s="1"/>
  <c r="AF1418" i="16" s="1"/>
  <c r="AD1514" i="16"/>
  <c r="AE1514" i="16" s="1"/>
  <c r="AF1514" i="16" s="1"/>
  <c r="AD1594" i="16"/>
  <c r="AE1594" i="16" s="1"/>
  <c r="AF1594" i="16" s="1"/>
  <c r="AD1674" i="16"/>
  <c r="AE1674" i="16" s="1"/>
  <c r="AF1674" i="16" s="1"/>
  <c r="AD1770" i="16"/>
  <c r="AE1770" i="16" s="1"/>
  <c r="AF1770" i="16" s="1"/>
  <c r="AD1850" i="16"/>
  <c r="AE1850" i="16" s="1"/>
  <c r="AF1850" i="16" s="1"/>
  <c r="AD1930" i="16"/>
  <c r="AE1930" i="16" s="1"/>
  <c r="AF1930" i="16" s="1"/>
  <c r="AD2026" i="16"/>
  <c r="AE2026" i="16" s="1"/>
  <c r="AF2026" i="16" s="1"/>
  <c r="AD2106" i="16"/>
  <c r="AE2106" i="16" s="1"/>
  <c r="AF2106" i="16" s="1"/>
  <c r="AD2186" i="16"/>
  <c r="AE2186" i="16" s="1"/>
  <c r="AF2186" i="16" s="1"/>
  <c r="AD332" i="16"/>
  <c r="AE332" i="16" s="1"/>
  <c r="AF332" i="16" s="1"/>
  <c r="AD543" i="16"/>
  <c r="AE543" i="16" s="1"/>
  <c r="AF543" i="16" s="1"/>
  <c r="AD643" i="16"/>
  <c r="AE643" i="16" s="1"/>
  <c r="AF643" i="16" s="1"/>
  <c r="AD707" i="16"/>
  <c r="AE707" i="16" s="1"/>
  <c r="AF707" i="16" s="1"/>
  <c r="AD771" i="16"/>
  <c r="AE771" i="16" s="1"/>
  <c r="AF771" i="16" s="1"/>
  <c r="AD835" i="16"/>
  <c r="AE835" i="16" s="1"/>
  <c r="AF835" i="16" s="1"/>
  <c r="AD899" i="16"/>
  <c r="AE899" i="16" s="1"/>
  <c r="AF899" i="16" s="1"/>
  <c r="AD963" i="16"/>
  <c r="AE963" i="16" s="1"/>
  <c r="AF963" i="16" s="1"/>
  <c r="AD1027" i="16"/>
  <c r="AE1027" i="16" s="1"/>
  <c r="AF1027" i="16" s="1"/>
  <c r="AD1091" i="16"/>
  <c r="AE1091" i="16" s="1"/>
  <c r="AF1091" i="16" s="1"/>
  <c r="AD1155" i="16"/>
  <c r="AE1155" i="16" s="1"/>
  <c r="AF1155" i="16" s="1"/>
  <c r="AD1219" i="16"/>
  <c r="AE1219" i="16" s="1"/>
  <c r="AF1219" i="16" s="1"/>
  <c r="AD1283" i="16"/>
  <c r="AE1283" i="16" s="1"/>
  <c r="AF1283" i="16" s="1"/>
  <c r="AD1347" i="16"/>
  <c r="AE1347" i="16" s="1"/>
  <c r="AF1347" i="16" s="1"/>
  <c r="AD1411" i="16"/>
  <c r="AE1411" i="16" s="1"/>
  <c r="AF1411" i="16" s="1"/>
  <c r="AD1475" i="16"/>
  <c r="AE1475" i="16" s="1"/>
  <c r="AF1475" i="16" s="1"/>
  <c r="AD1539" i="16"/>
  <c r="AE1539" i="16" s="1"/>
  <c r="AF1539" i="16" s="1"/>
  <c r="AD1603" i="16"/>
  <c r="AE1603" i="16" s="1"/>
  <c r="AF1603" i="16" s="1"/>
  <c r="AD1667" i="16"/>
  <c r="AE1667" i="16" s="1"/>
  <c r="AF1667" i="16" s="1"/>
  <c r="AD1731" i="16"/>
  <c r="AE1731" i="16" s="1"/>
  <c r="AF1731" i="16" s="1"/>
  <c r="AD1795" i="16"/>
  <c r="AE1795" i="16" s="1"/>
  <c r="AF1795" i="16" s="1"/>
  <c r="AD1859" i="16"/>
  <c r="AE1859" i="16" s="1"/>
  <c r="AF1859" i="16" s="1"/>
  <c r="AD1923" i="16"/>
  <c r="AE1923" i="16" s="1"/>
  <c r="AF1923" i="16" s="1"/>
  <c r="AD1987" i="16"/>
  <c r="AE1987" i="16" s="1"/>
  <c r="AF1987" i="16" s="1"/>
  <c r="AD2051" i="16"/>
  <c r="AE2051" i="16" s="1"/>
  <c r="AF2051" i="16" s="1"/>
  <c r="AD2115" i="16"/>
  <c r="AE2115" i="16" s="1"/>
  <c r="AF2115" i="16" s="1"/>
  <c r="AD2179" i="16"/>
  <c r="AE2179" i="16" s="1"/>
  <c r="AF2179" i="16" s="1"/>
  <c r="AD2243" i="16"/>
  <c r="AE2243" i="16" s="1"/>
  <c r="AF2243" i="16" s="1"/>
  <c r="AD140" i="16"/>
  <c r="AE140" i="16" s="1"/>
  <c r="AF140" i="16" s="1"/>
  <c r="AD356" i="16"/>
  <c r="AE356" i="16" s="1"/>
  <c r="AF356" i="16" s="1"/>
  <c r="AD525" i="16"/>
  <c r="AE525" i="16" s="1"/>
  <c r="AF525" i="16" s="1"/>
  <c r="AD612" i="16"/>
  <c r="AE612" i="16" s="1"/>
  <c r="AF612" i="16" s="1"/>
  <c r="AD676" i="16"/>
  <c r="AE676" i="16" s="1"/>
  <c r="AF676" i="16" s="1"/>
  <c r="AD740" i="16"/>
  <c r="AE740" i="16" s="1"/>
  <c r="AF740" i="16" s="1"/>
  <c r="AD804" i="16"/>
  <c r="AE804" i="16" s="1"/>
  <c r="AF804" i="16" s="1"/>
  <c r="AD868" i="16"/>
  <c r="AE868" i="16" s="1"/>
  <c r="AF868" i="16" s="1"/>
  <c r="AD932" i="16"/>
  <c r="AE932" i="16" s="1"/>
  <c r="AF932" i="16" s="1"/>
  <c r="AD996" i="16"/>
  <c r="AE996" i="16" s="1"/>
  <c r="AF996" i="16" s="1"/>
  <c r="AD1060" i="16"/>
  <c r="AE1060" i="16" s="1"/>
  <c r="AF1060" i="16" s="1"/>
  <c r="AD1124" i="16"/>
  <c r="AE1124" i="16" s="1"/>
  <c r="AF1124" i="16" s="1"/>
  <c r="AD1188" i="16"/>
  <c r="AE1188" i="16" s="1"/>
  <c r="AF1188" i="16" s="1"/>
  <c r="AD1252" i="16"/>
  <c r="AE1252" i="16" s="1"/>
  <c r="AF1252" i="16" s="1"/>
  <c r="AD1316" i="16"/>
  <c r="AE1316" i="16" s="1"/>
  <c r="AF1316" i="16" s="1"/>
  <c r="AD1380" i="16"/>
  <c r="AE1380" i="16" s="1"/>
  <c r="AF1380" i="16" s="1"/>
  <c r="AD1444" i="16"/>
  <c r="AE1444" i="16" s="1"/>
  <c r="AF1444" i="16" s="1"/>
  <c r="AD1508" i="16"/>
  <c r="AE1508" i="16" s="1"/>
  <c r="AF1508" i="16" s="1"/>
  <c r="AD1572" i="16"/>
  <c r="AE1572" i="16" s="1"/>
  <c r="AF1572" i="16" s="1"/>
  <c r="AD1636" i="16"/>
  <c r="AE1636" i="16" s="1"/>
  <c r="AF1636" i="16" s="1"/>
  <c r="AD1700" i="16"/>
  <c r="AE1700" i="16" s="1"/>
  <c r="AF1700" i="16" s="1"/>
  <c r="AD1764" i="16"/>
  <c r="AE1764" i="16" s="1"/>
  <c r="AF1764" i="16" s="1"/>
  <c r="AD1828" i="16"/>
  <c r="AE1828" i="16" s="1"/>
  <c r="AF1828" i="16" s="1"/>
  <c r="AD1258" i="16"/>
  <c r="AE1258" i="16" s="1"/>
  <c r="AF1258" i="16" s="1"/>
  <c r="AD1346" i="16"/>
  <c r="AE1346" i="16" s="1"/>
  <c r="AF1346" i="16" s="1"/>
  <c r="AD1442" i="16"/>
  <c r="AE1442" i="16" s="1"/>
  <c r="AF1442" i="16" s="1"/>
  <c r="AD1522" i="16"/>
  <c r="AE1522" i="16" s="1"/>
  <c r="AF1522" i="16" s="1"/>
  <c r="AD1602" i="16"/>
  <c r="AE1602" i="16" s="1"/>
  <c r="AF1602" i="16" s="1"/>
  <c r="AD1698" i="16"/>
  <c r="AE1698" i="16" s="1"/>
  <c r="AF1698" i="16" s="1"/>
  <c r="AD1778" i="16"/>
  <c r="AE1778" i="16" s="1"/>
  <c r="AF1778" i="16" s="1"/>
  <c r="AD1858" i="16"/>
  <c r="AE1858" i="16" s="1"/>
  <c r="AF1858" i="16" s="1"/>
  <c r="AD1954" i="16"/>
  <c r="AE1954" i="16" s="1"/>
  <c r="AF1954" i="16" s="1"/>
  <c r="AD2034" i="16"/>
  <c r="AE2034" i="16" s="1"/>
  <c r="AF2034" i="16" s="1"/>
  <c r="AD2114" i="16"/>
  <c r="AE2114" i="16" s="1"/>
  <c r="AF2114" i="16" s="1"/>
  <c r="AD2210" i="16"/>
  <c r="AE2210" i="16" s="1"/>
  <c r="AF2210" i="16" s="1"/>
  <c r="AD351" i="16"/>
  <c r="AE351" i="16" s="1"/>
  <c r="AF351" i="16" s="1"/>
  <c r="AD579" i="16"/>
  <c r="AE579" i="16" s="1"/>
  <c r="AF579" i="16" s="1"/>
  <c r="AD651" i="16"/>
  <c r="AE651" i="16" s="1"/>
  <c r="AF651" i="16" s="1"/>
  <c r="AD715" i="16"/>
  <c r="AE715" i="16" s="1"/>
  <c r="AF715" i="16" s="1"/>
  <c r="AD779" i="16"/>
  <c r="AE779" i="16" s="1"/>
  <c r="AF779" i="16" s="1"/>
  <c r="AD843" i="16"/>
  <c r="AE843" i="16" s="1"/>
  <c r="AF843" i="16" s="1"/>
  <c r="AD907" i="16"/>
  <c r="AE907" i="16" s="1"/>
  <c r="AF907" i="16" s="1"/>
  <c r="AD971" i="16"/>
  <c r="AE971" i="16" s="1"/>
  <c r="AF971" i="16" s="1"/>
  <c r="AD1035" i="16"/>
  <c r="AE1035" i="16" s="1"/>
  <c r="AF1035" i="16" s="1"/>
  <c r="AD1099" i="16"/>
  <c r="AE1099" i="16" s="1"/>
  <c r="AF1099" i="16" s="1"/>
  <c r="AD1163" i="16"/>
  <c r="AE1163" i="16" s="1"/>
  <c r="AF1163" i="16" s="1"/>
  <c r="AD1227" i="16"/>
  <c r="AE1227" i="16" s="1"/>
  <c r="AF1227" i="16" s="1"/>
  <c r="AD1291" i="16"/>
  <c r="AE1291" i="16" s="1"/>
  <c r="AF1291" i="16" s="1"/>
  <c r="AD1355" i="16"/>
  <c r="AE1355" i="16" s="1"/>
  <c r="AF1355" i="16" s="1"/>
  <c r="AD1419" i="16"/>
  <c r="AE1419" i="16" s="1"/>
  <c r="AF1419" i="16" s="1"/>
  <c r="AD1483" i="16"/>
  <c r="AE1483" i="16" s="1"/>
  <c r="AF1483" i="16" s="1"/>
  <c r="AD1547" i="16"/>
  <c r="AE1547" i="16" s="1"/>
  <c r="AF1547" i="16" s="1"/>
  <c r="AD1611" i="16"/>
  <c r="AE1611" i="16" s="1"/>
  <c r="AF1611" i="16" s="1"/>
  <c r="AD1675" i="16"/>
  <c r="AE1675" i="16" s="1"/>
  <c r="AF1675" i="16" s="1"/>
  <c r="AD1739" i="16"/>
  <c r="AE1739" i="16" s="1"/>
  <c r="AF1739" i="16" s="1"/>
  <c r="AD1803" i="16"/>
  <c r="AE1803" i="16" s="1"/>
  <c r="AF1803" i="16" s="1"/>
  <c r="AD1867" i="16"/>
  <c r="AE1867" i="16" s="1"/>
  <c r="AF1867" i="16" s="1"/>
  <c r="AD1931" i="16"/>
  <c r="AE1931" i="16" s="1"/>
  <c r="AF1931" i="16" s="1"/>
  <c r="AD1995" i="16"/>
  <c r="AE1995" i="16" s="1"/>
  <c r="AF1995" i="16" s="1"/>
  <c r="AD2059" i="16"/>
  <c r="AE2059" i="16" s="1"/>
  <c r="AF2059" i="16" s="1"/>
  <c r="AD2123" i="16"/>
  <c r="AE2123" i="16" s="1"/>
  <c r="AF2123" i="16" s="1"/>
  <c r="AD2187" i="16"/>
  <c r="AE2187" i="16" s="1"/>
  <c r="AF2187" i="16" s="1"/>
  <c r="AD2251" i="16"/>
  <c r="AE2251" i="16" s="1"/>
  <c r="AF2251" i="16" s="1"/>
  <c r="AD172" i="16"/>
  <c r="AE172" i="16" s="1"/>
  <c r="AF172" i="16" s="1"/>
  <c r="AD375" i="16"/>
  <c r="AE375" i="16" s="1"/>
  <c r="AF375" i="16" s="1"/>
  <c r="AD548" i="16"/>
  <c r="AE548" i="16" s="1"/>
  <c r="AF548" i="16" s="1"/>
  <c r="AD620" i="16"/>
  <c r="AE620" i="16" s="1"/>
  <c r="AF620" i="16" s="1"/>
  <c r="AD684" i="16"/>
  <c r="AE684" i="16" s="1"/>
  <c r="AF684" i="16" s="1"/>
  <c r="AD748" i="16"/>
  <c r="AE748" i="16" s="1"/>
  <c r="AF748" i="16" s="1"/>
  <c r="AD812" i="16"/>
  <c r="AE812" i="16" s="1"/>
  <c r="AF812" i="16" s="1"/>
  <c r="AD876" i="16"/>
  <c r="AE876" i="16" s="1"/>
  <c r="AF876" i="16" s="1"/>
  <c r="AD940" i="16"/>
  <c r="AE940" i="16" s="1"/>
  <c r="AF940" i="16" s="1"/>
  <c r="AD1004" i="16"/>
  <c r="AE1004" i="16" s="1"/>
  <c r="AF1004" i="16" s="1"/>
  <c r="AD1068" i="16"/>
  <c r="AE1068" i="16" s="1"/>
  <c r="AF1068" i="16" s="1"/>
  <c r="AD1132" i="16"/>
  <c r="AE1132" i="16" s="1"/>
  <c r="AF1132" i="16" s="1"/>
  <c r="AD1196" i="16"/>
  <c r="AE1196" i="16" s="1"/>
  <c r="AF1196" i="16" s="1"/>
  <c r="AD1260" i="16"/>
  <c r="AE1260" i="16" s="1"/>
  <c r="AF1260" i="16" s="1"/>
  <c r="AD1324" i="16"/>
  <c r="AE1324" i="16" s="1"/>
  <c r="AF1324" i="16" s="1"/>
  <c r="AD1388" i="16"/>
  <c r="AE1388" i="16" s="1"/>
  <c r="AF1388" i="16" s="1"/>
  <c r="AD1452" i="16"/>
  <c r="AE1452" i="16" s="1"/>
  <c r="AF1452" i="16" s="1"/>
  <c r="AD1516" i="16"/>
  <c r="AE1516" i="16" s="1"/>
  <c r="AF1516" i="16" s="1"/>
  <c r="AD1580" i="16"/>
  <c r="AE1580" i="16" s="1"/>
  <c r="AF1580" i="16" s="1"/>
  <c r="AD1644" i="16"/>
  <c r="AE1644" i="16" s="1"/>
  <c r="AF1644" i="16" s="1"/>
  <c r="AD1708" i="16"/>
  <c r="AE1708" i="16" s="1"/>
  <c r="AF1708" i="16" s="1"/>
  <c r="AD1772" i="16"/>
  <c r="AE1772" i="16" s="1"/>
  <c r="AF1772" i="16" s="1"/>
  <c r="AD1836" i="16"/>
  <c r="AE1836" i="16" s="1"/>
  <c r="AF1836" i="16" s="1"/>
  <c r="AD1900" i="16"/>
  <c r="AE1900" i="16" s="1"/>
  <c r="AF1900" i="16" s="1"/>
  <c r="AD1964" i="16"/>
  <c r="AE1964" i="16" s="1"/>
  <c r="AF1964" i="16" s="1"/>
  <c r="AD2028" i="16"/>
  <c r="AE2028" i="16" s="1"/>
  <c r="AF2028" i="16" s="1"/>
  <c r="AD2092" i="16"/>
  <c r="AE2092" i="16" s="1"/>
  <c r="AF2092" i="16" s="1"/>
  <c r="AD2156" i="16"/>
  <c r="AE2156" i="16" s="1"/>
  <c r="AF2156" i="16" s="1"/>
  <c r="AD2220" i="16"/>
  <c r="AE2220" i="16" s="1"/>
  <c r="AF2220" i="16" s="1"/>
  <c r="AD293" i="16"/>
  <c r="AE293" i="16" s="1"/>
  <c r="AF293" i="16" s="1"/>
  <c r="AD463" i="16"/>
  <c r="AE463" i="16" s="1"/>
  <c r="AF463" i="16" s="1"/>
  <c r="AD589" i="16"/>
  <c r="AE589" i="16" s="1"/>
  <c r="AF589" i="16" s="1"/>
  <c r="AD653" i="16"/>
  <c r="AE653" i="16" s="1"/>
  <c r="AF653" i="16" s="1"/>
  <c r="AD717" i="16"/>
  <c r="AE717" i="16" s="1"/>
  <c r="AF717" i="16" s="1"/>
  <c r="AD781" i="16"/>
  <c r="AE781" i="16" s="1"/>
  <c r="AF781" i="16" s="1"/>
  <c r="AD845" i="16"/>
  <c r="AE845" i="16" s="1"/>
  <c r="AF845" i="16" s="1"/>
  <c r="AD909" i="16"/>
  <c r="AE909" i="16" s="1"/>
  <c r="AF909" i="16" s="1"/>
  <c r="AD973" i="16"/>
  <c r="AE973" i="16" s="1"/>
  <c r="AF973" i="16" s="1"/>
  <c r="AD1037" i="16"/>
  <c r="AE1037" i="16" s="1"/>
  <c r="AF1037" i="16" s="1"/>
  <c r="AD1101" i="16"/>
  <c r="AE1101" i="16" s="1"/>
  <c r="AF1101" i="16" s="1"/>
  <c r="AD1165" i="16"/>
  <c r="AE1165" i="16" s="1"/>
  <c r="AF1165" i="16" s="1"/>
  <c r="AD1229" i="16"/>
  <c r="AE1229" i="16" s="1"/>
  <c r="AF1229" i="16" s="1"/>
  <c r="AD1293" i="16"/>
  <c r="AE1293" i="16" s="1"/>
  <c r="AF1293" i="16" s="1"/>
  <c r="AD1357" i="16"/>
  <c r="AE1357" i="16" s="1"/>
  <c r="AF1357" i="16" s="1"/>
  <c r="AD1924" i="16"/>
  <c r="AE1924" i="16" s="1"/>
  <c r="AF1924" i="16" s="1"/>
  <c r="AD2012" i="16"/>
  <c r="AE2012" i="16" s="1"/>
  <c r="AF2012" i="16" s="1"/>
  <c r="AD2100" i="16"/>
  <c r="AE2100" i="16" s="1"/>
  <c r="AF2100" i="16" s="1"/>
  <c r="AD2180" i="16"/>
  <c r="AE2180" i="16" s="1"/>
  <c r="AF2180" i="16" s="1"/>
  <c r="AD2268" i="16"/>
  <c r="AE2268" i="16" s="1"/>
  <c r="AF2268" i="16" s="1"/>
  <c r="AD271" i="16"/>
  <c r="AE271" i="16" s="1"/>
  <c r="AF271" i="16" s="1"/>
  <c r="AD508" i="16"/>
  <c r="AE508" i="16" s="1"/>
  <c r="AF508" i="16" s="1"/>
  <c r="AD629" i="16"/>
  <c r="AE629" i="16" s="1"/>
  <c r="AF629" i="16" s="1"/>
  <c r="AD709" i="16"/>
  <c r="AE709" i="16" s="1"/>
  <c r="AF709" i="16" s="1"/>
  <c r="AD797" i="16"/>
  <c r="AE797" i="16" s="1"/>
  <c r="AF797" i="16" s="1"/>
  <c r="AD885" i="16"/>
  <c r="AE885" i="16" s="1"/>
  <c r="AF885" i="16" s="1"/>
  <c r="AD965" i="16"/>
  <c r="AE965" i="16" s="1"/>
  <c r="AF965" i="16" s="1"/>
  <c r="AD1053" i="16"/>
  <c r="AE1053" i="16" s="1"/>
  <c r="AF1053" i="16" s="1"/>
  <c r="AD1141" i="16"/>
  <c r="AE1141" i="16" s="1"/>
  <c r="AF1141" i="16" s="1"/>
  <c r="AD1221" i="16"/>
  <c r="AE1221" i="16" s="1"/>
  <c r="AF1221" i="16" s="1"/>
  <c r="AD1309" i="16"/>
  <c r="AE1309" i="16" s="1"/>
  <c r="AF1309" i="16" s="1"/>
  <c r="AD1397" i="16"/>
  <c r="AE1397" i="16" s="1"/>
  <c r="AF1397" i="16" s="1"/>
  <c r="AD1461" i="16"/>
  <c r="AE1461" i="16" s="1"/>
  <c r="AF1461" i="16" s="1"/>
  <c r="AD1525" i="16"/>
  <c r="AE1525" i="16" s="1"/>
  <c r="AF1525" i="16" s="1"/>
  <c r="AD1589" i="16"/>
  <c r="AE1589" i="16" s="1"/>
  <c r="AF1589" i="16" s="1"/>
  <c r="AD1653" i="16"/>
  <c r="AE1653" i="16" s="1"/>
  <c r="AF1653" i="16" s="1"/>
  <c r="AD1717" i="16"/>
  <c r="AE1717" i="16" s="1"/>
  <c r="AF1717" i="16" s="1"/>
  <c r="AD1781" i="16"/>
  <c r="AE1781" i="16" s="1"/>
  <c r="AF1781" i="16" s="1"/>
  <c r="AD1845" i="16"/>
  <c r="AE1845" i="16" s="1"/>
  <c r="AF1845" i="16" s="1"/>
  <c r="AD1909" i="16"/>
  <c r="AE1909" i="16" s="1"/>
  <c r="AF1909" i="16" s="1"/>
  <c r="AD1973" i="16"/>
  <c r="AE1973" i="16" s="1"/>
  <c r="AF1973" i="16" s="1"/>
  <c r="AD2037" i="16"/>
  <c r="AE2037" i="16" s="1"/>
  <c r="AF2037" i="16" s="1"/>
  <c r="AD2101" i="16"/>
  <c r="AE2101" i="16" s="1"/>
  <c r="AF2101" i="16" s="1"/>
  <c r="AD2165" i="16"/>
  <c r="AE2165" i="16" s="1"/>
  <c r="AF2165" i="16" s="1"/>
  <c r="AD2229" i="16"/>
  <c r="AE2229" i="16" s="1"/>
  <c r="AF2229" i="16" s="1"/>
  <c r="AD84" i="16"/>
  <c r="AE84" i="16" s="1"/>
  <c r="AF84" i="16" s="1"/>
  <c r="AD317" i="16"/>
  <c r="AE317" i="16" s="1"/>
  <c r="AF317" i="16" s="1"/>
  <c r="AD487" i="16"/>
  <c r="AE487" i="16" s="1"/>
  <c r="AF487" i="16" s="1"/>
  <c r="AD598" i="16"/>
  <c r="AE598" i="16" s="1"/>
  <c r="AF598" i="16" s="1"/>
  <c r="AD662" i="16"/>
  <c r="AE662" i="16" s="1"/>
  <c r="AF662" i="16" s="1"/>
  <c r="AD726" i="16"/>
  <c r="AE726" i="16" s="1"/>
  <c r="AF726" i="16" s="1"/>
  <c r="AD790" i="16"/>
  <c r="AE790" i="16" s="1"/>
  <c r="AF790" i="16" s="1"/>
  <c r="AD854" i="16"/>
  <c r="AE854" i="16" s="1"/>
  <c r="AF854" i="16" s="1"/>
  <c r="AD918" i="16"/>
  <c r="AE918" i="16" s="1"/>
  <c r="AF918" i="16" s="1"/>
  <c r="AD982" i="16"/>
  <c r="AE982" i="16" s="1"/>
  <c r="AF982" i="16" s="1"/>
  <c r="AD1046" i="16"/>
  <c r="AE1046" i="16" s="1"/>
  <c r="AF1046" i="16" s="1"/>
  <c r="AD1110" i="16"/>
  <c r="AE1110" i="16" s="1"/>
  <c r="AF1110" i="16" s="1"/>
  <c r="AD1174" i="16"/>
  <c r="AE1174" i="16" s="1"/>
  <c r="AF1174" i="16" s="1"/>
  <c r="AD1238" i="16"/>
  <c r="AE1238" i="16" s="1"/>
  <c r="AF1238" i="16" s="1"/>
  <c r="AD1302" i="16"/>
  <c r="AE1302" i="16" s="1"/>
  <c r="AF1302" i="16" s="1"/>
  <c r="AD1366" i="16"/>
  <c r="AE1366" i="16" s="1"/>
  <c r="AF1366" i="16" s="1"/>
  <c r="AD1430" i="16"/>
  <c r="AE1430" i="16" s="1"/>
  <c r="AF1430" i="16" s="1"/>
  <c r="AD1494" i="16"/>
  <c r="AE1494" i="16" s="1"/>
  <c r="AF1494" i="16" s="1"/>
  <c r="AD1558" i="16"/>
  <c r="AE1558" i="16" s="1"/>
  <c r="AF1558" i="16" s="1"/>
  <c r="AD1622" i="16"/>
  <c r="AE1622" i="16" s="1"/>
  <c r="AF1622" i="16" s="1"/>
  <c r="AD1686" i="16"/>
  <c r="AE1686" i="16" s="1"/>
  <c r="AF1686" i="16" s="1"/>
  <c r="AD1750" i="16"/>
  <c r="AE1750" i="16" s="1"/>
  <c r="AF1750" i="16" s="1"/>
  <c r="AD1814" i="16"/>
  <c r="AE1814" i="16" s="1"/>
  <c r="AF1814" i="16" s="1"/>
  <c r="AD1878" i="16"/>
  <c r="AE1878" i="16" s="1"/>
  <c r="AF1878" i="16" s="1"/>
  <c r="AD1942" i="16"/>
  <c r="AE1942" i="16" s="1"/>
  <c r="AF1942" i="16" s="1"/>
  <c r="AD2006" i="16"/>
  <c r="AE2006" i="16" s="1"/>
  <c r="AF2006" i="16" s="1"/>
  <c r="AD2070" i="16"/>
  <c r="AE2070" i="16" s="1"/>
  <c r="AF2070" i="16" s="1"/>
  <c r="AD2134" i="16"/>
  <c r="AE2134" i="16" s="1"/>
  <c r="AF2134" i="16" s="1"/>
  <c r="AD2198" i="16"/>
  <c r="AE2198" i="16" s="1"/>
  <c r="AF2198" i="16" s="1"/>
  <c r="AD2262" i="16"/>
  <c r="AE2262" i="16" s="1"/>
  <c r="AF2262" i="16" s="1"/>
  <c r="AD215" i="16"/>
  <c r="AE215" i="16" s="1"/>
  <c r="AF215" i="16" s="1"/>
  <c r="AD405" i="16"/>
  <c r="AE405" i="16" s="1"/>
  <c r="AF405" i="16" s="1"/>
  <c r="AD1940" i="16"/>
  <c r="AE1940" i="16" s="1"/>
  <c r="AF1940" i="16" s="1"/>
  <c r="AD2020" i="16"/>
  <c r="AE2020" i="16" s="1"/>
  <c r="AF2020" i="16" s="1"/>
  <c r="AD2108" i="16"/>
  <c r="AE2108" i="16" s="1"/>
  <c r="AF2108" i="16" s="1"/>
  <c r="AD2196" i="16"/>
  <c r="AE2196" i="16" s="1"/>
  <c r="AF2196" i="16" s="1"/>
  <c r="AD316" i="16"/>
  <c r="AE316" i="16" s="1"/>
  <c r="AF316" i="16" s="1"/>
  <c r="AD527" i="16"/>
  <c r="AE527" i="16" s="1"/>
  <c r="AF527" i="16" s="1"/>
  <c r="AD637" i="16"/>
  <c r="AE637" i="16" s="1"/>
  <c r="AF637" i="16" s="1"/>
  <c r="AD725" i="16"/>
  <c r="AE725" i="16" s="1"/>
  <c r="AF725" i="16" s="1"/>
  <c r="AD805" i="16"/>
  <c r="AE805" i="16" s="1"/>
  <c r="AF805" i="16" s="1"/>
  <c r="AD893" i="16"/>
  <c r="AE893" i="16" s="1"/>
  <c r="AF893" i="16" s="1"/>
  <c r="AD981" i="16"/>
  <c r="AE981" i="16" s="1"/>
  <c r="AF981" i="16" s="1"/>
  <c r="AD1061" i="16"/>
  <c r="AE1061" i="16" s="1"/>
  <c r="AF1061" i="16" s="1"/>
  <c r="AD1149" i="16"/>
  <c r="AE1149" i="16" s="1"/>
  <c r="AF1149" i="16" s="1"/>
  <c r="AD1237" i="16"/>
  <c r="AE1237" i="16" s="1"/>
  <c r="AF1237" i="16" s="1"/>
  <c r="AD1317" i="16"/>
  <c r="AE1317" i="16" s="1"/>
  <c r="AF1317" i="16" s="1"/>
  <c r="AD1405" i="16"/>
  <c r="AE1405" i="16" s="1"/>
  <c r="AF1405" i="16" s="1"/>
  <c r="AD1469" i="16"/>
  <c r="AE1469" i="16" s="1"/>
  <c r="AF1469" i="16" s="1"/>
  <c r="AD1533" i="16"/>
  <c r="AE1533" i="16" s="1"/>
  <c r="AF1533" i="16" s="1"/>
  <c r="AD1597" i="16"/>
  <c r="AE1597" i="16" s="1"/>
  <c r="AF1597" i="16" s="1"/>
  <c r="AD1661" i="16"/>
  <c r="AE1661" i="16" s="1"/>
  <c r="AF1661" i="16" s="1"/>
  <c r="AD1725" i="16"/>
  <c r="AE1725" i="16" s="1"/>
  <c r="AF1725" i="16" s="1"/>
  <c r="AD1789" i="16"/>
  <c r="AE1789" i="16" s="1"/>
  <c r="AF1789" i="16" s="1"/>
  <c r="AD1853" i="16"/>
  <c r="AE1853" i="16" s="1"/>
  <c r="AF1853" i="16" s="1"/>
  <c r="AD1917" i="16"/>
  <c r="AE1917" i="16" s="1"/>
  <c r="AF1917" i="16" s="1"/>
  <c r="AD1981" i="16"/>
  <c r="AE1981" i="16" s="1"/>
  <c r="AF1981" i="16" s="1"/>
  <c r="AD2045" i="16"/>
  <c r="AE2045" i="16" s="1"/>
  <c r="AF2045" i="16" s="1"/>
  <c r="AD2109" i="16"/>
  <c r="AE2109" i="16" s="1"/>
  <c r="AF2109" i="16" s="1"/>
  <c r="AD2173" i="16"/>
  <c r="AE2173" i="16" s="1"/>
  <c r="AF2173" i="16" s="1"/>
  <c r="AD2237" i="16"/>
  <c r="AE2237" i="16" s="1"/>
  <c r="AF2237" i="16" s="1"/>
  <c r="AD116" i="16"/>
  <c r="AE116" i="16" s="1"/>
  <c r="AF116" i="16" s="1"/>
  <c r="AD340" i="16"/>
  <c r="AE340" i="16" s="1"/>
  <c r="AF340" i="16" s="1"/>
  <c r="AD509" i="16"/>
  <c r="AE509" i="16" s="1"/>
  <c r="AF509" i="16" s="1"/>
  <c r="AD606" i="16"/>
  <c r="AE606" i="16" s="1"/>
  <c r="AF606" i="16" s="1"/>
  <c r="AD670" i="16"/>
  <c r="AE670" i="16" s="1"/>
  <c r="AF670" i="16" s="1"/>
  <c r="AD734" i="16"/>
  <c r="AE734" i="16" s="1"/>
  <c r="AF734" i="16" s="1"/>
  <c r="AD798" i="16"/>
  <c r="AE798" i="16" s="1"/>
  <c r="AF798" i="16" s="1"/>
  <c r="AD862" i="16"/>
  <c r="AE862" i="16" s="1"/>
  <c r="AF862" i="16" s="1"/>
  <c r="AD926" i="16"/>
  <c r="AE926" i="16" s="1"/>
  <c r="AF926" i="16" s="1"/>
  <c r="AD990" i="16"/>
  <c r="AE990" i="16" s="1"/>
  <c r="AF990" i="16" s="1"/>
  <c r="AD1054" i="16"/>
  <c r="AE1054" i="16" s="1"/>
  <c r="AF1054" i="16" s="1"/>
  <c r="AD1118" i="16"/>
  <c r="AE1118" i="16" s="1"/>
  <c r="AF1118" i="16" s="1"/>
  <c r="AD1182" i="16"/>
  <c r="AE1182" i="16" s="1"/>
  <c r="AF1182" i="16" s="1"/>
  <c r="AD1246" i="16"/>
  <c r="AE1246" i="16" s="1"/>
  <c r="AF1246" i="16" s="1"/>
  <c r="AD1310" i="16"/>
  <c r="AE1310" i="16" s="1"/>
  <c r="AF1310" i="16" s="1"/>
  <c r="AD1374" i="16"/>
  <c r="AE1374" i="16" s="1"/>
  <c r="AF1374" i="16" s="1"/>
  <c r="AD1438" i="16"/>
  <c r="AE1438" i="16" s="1"/>
  <c r="AF1438" i="16" s="1"/>
  <c r="AD1502" i="16"/>
  <c r="AE1502" i="16" s="1"/>
  <c r="AF1502" i="16" s="1"/>
  <c r="AD1566" i="16"/>
  <c r="AE1566" i="16" s="1"/>
  <c r="AF1566" i="16" s="1"/>
  <c r="AD1630" i="16"/>
  <c r="AE1630" i="16" s="1"/>
  <c r="AF1630" i="16" s="1"/>
  <c r="AD1694" i="16"/>
  <c r="AE1694" i="16" s="1"/>
  <c r="AF1694" i="16" s="1"/>
  <c r="AD1758" i="16"/>
  <c r="AE1758" i="16" s="1"/>
  <c r="AF1758" i="16" s="1"/>
  <c r="AD1822" i="16"/>
  <c r="AE1822" i="16" s="1"/>
  <c r="AF1822" i="16" s="1"/>
  <c r="AD1886" i="16"/>
  <c r="AE1886" i="16" s="1"/>
  <c r="AF1886" i="16" s="1"/>
  <c r="AD1950" i="16"/>
  <c r="AE1950" i="16" s="1"/>
  <c r="AF1950" i="16" s="1"/>
  <c r="AD2014" i="16"/>
  <c r="AE2014" i="16" s="1"/>
  <c r="AF2014" i="16" s="1"/>
  <c r="AD2078" i="16"/>
  <c r="AE2078" i="16" s="1"/>
  <c r="AF2078" i="16" s="1"/>
  <c r="AD2142" i="16"/>
  <c r="AE2142" i="16" s="1"/>
  <c r="AF2142" i="16" s="1"/>
  <c r="AD2206" i="16"/>
  <c r="AE2206" i="16" s="1"/>
  <c r="AF2206" i="16" s="1"/>
  <c r="AD2270" i="16"/>
  <c r="AE2270" i="16" s="1"/>
  <c r="AF2270" i="16" s="1"/>
  <c r="AD247" i="16"/>
  <c r="AE247" i="16" s="1"/>
  <c r="AF247" i="16" s="1"/>
  <c r="AD428" i="16"/>
  <c r="AE428" i="16" s="1"/>
  <c r="AF428" i="16" s="1"/>
  <c r="AD575" i="16"/>
  <c r="AE575" i="16" s="1"/>
  <c r="AF575" i="16" s="1"/>
  <c r="AD639" i="16"/>
  <c r="AE639" i="16" s="1"/>
  <c r="AF639" i="16" s="1"/>
  <c r="AD1860" i="16"/>
  <c r="AE1860" i="16" s="1"/>
  <c r="AF1860" i="16" s="1"/>
  <c r="AD1948" i="16"/>
  <c r="AE1948" i="16" s="1"/>
  <c r="AF1948" i="16" s="1"/>
  <c r="AD2036" i="16"/>
  <c r="AE2036" i="16" s="1"/>
  <c r="AF2036" i="16" s="1"/>
  <c r="AD2116" i="16"/>
  <c r="AE2116" i="16" s="1"/>
  <c r="AF2116" i="16" s="1"/>
  <c r="AD2204" i="16"/>
  <c r="AE2204" i="16" s="1"/>
  <c r="AF2204" i="16" s="1"/>
  <c r="AD335" i="16"/>
  <c r="AE335" i="16" s="1"/>
  <c r="AF335" i="16" s="1"/>
  <c r="AD564" i="16"/>
  <c r="AE564" i="16" s="1"/>
  <c r="AF564" i="16" s="1"/>
  <c r="AD645" i="16"/>
  <c r="AE645" i="16" s="1"/>
  <c r="AF645" i="16" s="1"/>
  <c r="AD733" i="16"/>
  <c r="AE733" i="16" s="1"/>
  <c r="AF733" i="16" s="1"/>
  <c r="AD821" i="16"/>
  <c r="AE821" i="16" s="1"/>
  <c r="AF821" i="16" s="1"/>
  <c r="AD901" i="16"/>
  <c r="AE901" i="16" s="1"/>
  <c r="AF901" i="16" s="1"/>
  <c r="AD989" i="16"/>
  <c r="AE989" i="16" s="1"/>
  <c r="AF989" i="16" s="1"/>
  <c r="AD1077" i="16"/>
  <c r="AE1077" i="16" s="1"/>
  <c r="AF1077" i="16" s="1"/>
  <c r="AD1157" i="16"/>
  <c r="AE1157" i="16" s="1"/>
  <c r="AF1157" i="16" s="1"/>
  <c r="AD1245" i="16"/>
  <c r="AE1245" i="16" s="1"/>
  <c r="AF1245" i="16" s="1"/>
  <c r="AD1333" i="16"/>
  <c r="AE1333" i="16" s="1"/>
  <c r="AF1333" i="16" s="1"/>
  <c r="AD1413" i="16"/>
  <c r="AE1413" i="16" s="1"/>
  <c r="AF1413" i="16" s="1"/>
  <c r="AD1477" i="16"/>
  <c r="AE1477" i="16" s="1"/>
  <c r="AF1477" i="16" s="1"/>
  <c r="AD1541" i="16"/>
  <c r="AE1541" i="16" s="1"/>
  <c r="AF1541" i="16" s="1"/>
  <c r="AD1605" i="16"/>
  <c r="AE1605" i="16" s="1"/>
  <c r="AF1605" i="16" s="1"/>
  <c r="AD1669" i="16"/>
  <c r="AE1669" i="16" s="1"/>
  <c r="AF1669" i="16" s="1"/>
  <c r="AD1733" i="16"/>
  <c r="AE1733" i="16" s="1"/>
  <c r="AF1733" i="16" s="1"/>
  <c r="AD1797" i="16"/>
  <c r="AE1797" i="16" s="1"/>
  <c r="AF1797" i="16" s="1"/>
  <c r="AD1861" i="16"/>
  <c r="AE1861" i="16" s="1"/>
  <c r="AF1861" i="16" s="1"/>
  <c r="AD1925" i="16"/>
  <c r="AE1925" i="16" s="1"/>
  <c r="AF1925" i="16" s="1"/>
  <c r="AD1989" i="16"/>
  <c r="AE1989" i="16" s="1"/>
  <c r="AF1989" i="16" s="1"/>
  <c r="AD2053" i="16"/>
  <c r="AE2053" i="16" s="1"/>
  <c r="AF2053" i="16" s="1"/>
  <c r="AD2117" i="16"/>
  <c r="AE2117" i="16" s="1"/>
  <c r="AF2117" i="16" s="1"/>
  <c r="AD2181" i="16"/>
  <c r="AE2181" i="16" s="1"/>
  <c r="AF2181" i="16" s="1"/>
  <c r="AD2245" i="16"/>
  <c r="AE2245" i="16" s="1"/>
  <c r="AF2245" i="16" s="1"/>
  <c r="AD148" i="16"/>
  <c r="AE148" i="16" s="1"/>
  <c r="AF148" i="16" s="1"/>
  <c r="AD359" i="16"/>
  <c r="AE359" i="16" s="1"/>
  <c r="AF359" i="16" s="1"/>
  <c r="AD532" i="16"/>
  <c r="AE532" i="16" s="1"/>
  <c r="AF532" i="16" s="1"/>
  <c r="AD614" i="16"/>
  <c r="AE614" i="16" s="1"/>
  <c r="AF614" i="16" s="1"/>
  <c r="AD678" i="16"/>
  <c r="AE678" i="16" s="1"/>
  <c r="AF678" i="16" s="1"/>
  <c r="AD742" i="16"/>
  <c r="AE742" i="16" s="1"/>
  <c r="AF742" i="16" s="1"/>
  <c r="AD806" i="16"/>
  <c r="AE806" i="16" s="1"/>
  <c r="AF806" i="16" s="1"/>
  <c r="AD870" i="16"/>
  <c r="AE870" i="16" s="1"/>
  <c r="AF870" i="16" s="1"/>
  <c r="AD934" i="16"/>
  <c r="AE934" i="16" s="1"/>
  <c r="AF934" i="16" s="1"/>
  <c r="AD998" i="16"/>
  <c r="AE998" i="16" s="1"/>
  <c r="AF998" i="16" s="1"/>
  <c r="AD1062" i="16"/>
  <c r="AE1062" i="16" s="1"/>
  <c r="AF1062" i="16" s="1"/>
  <c r="AD1126" i="16"/>
  <c r="AE1126" i="16" s="1"/>
  <c r="AF1126" i="16" s="1"/>
  <c r="AD1190" i="16"/>
  <c r="AE1190" i="16" s="1"/>
  <c r="AF1190" i="16" s="1"/>
  <c r="AD1254" i="16"/>
  <c r="AE1254" i="16" s="1"/>
  <c r="AF1254" i="16" s="1"/>
  <c r="AD1318" i="16"/>
  <c r="AE1318" i="16" s="1"/>
  <c r="AF1318" i="16" s="1"/>
  <c r="AD1382" i="16"/>
  <c r="AE1382" i="16" s="1"/>
  <c r="AF1382" i="16" s="1"/>
  <c r="AD1446" i="16"/>
  <c r="AE1446" i="16" s="1"/>
  <c r="AF1446" i="16" s="1"/>
  <c r="AD1510" i="16"/>
  <c r="AE1510" i="16" s="1"/>
  <c r="AF1510" i="16" s="1"/>
  <c r="AD1574" i="16"/>
  <c r="AE1574" i="16" s="1"/>
  <c r="AF1574" i="16" s="1"/>
  <c r="AD1638" i="16"/>
  <c r="AE1638" i="16" s="1"/>
  <c r="AF1638" i="16" s="1"/>
  <c r="AD1702" i="16"/>
  <c r="AE1702" i="16" s="1"/>
  <c r="AF1702" i="16" s="1"/>
  <c r="AD1766" i="16"/>
  <c r="AE1766" i="16" s="1"/>
  <c r="AF1766" i="16" s="1"/>
  <c r="AD1830" i="16"/>
  <c r="AE1830" i="16" s="1"/>
  <c r="AF1830" i="16" s="1"/>
  <c r="AD1894" i="16"/>
  <c r="AE1894" i="16" s="1"/>
  <c r="AF1894" i="16" s="1"/>
  <c r="AD1958" i="16"/>
  <c r="AE1958" i="16" s="1"/>
  <c r="AF1958" i="16" s="1"/>
  <c r="AD2022" i="16"/>
  <c r="AE2022" i="16" s="1"/>
  <c r="AF2022" i="16" s="1"/>
  <c r="AD2086" i="16"/>
  <c r="AE2086" i="16" s="1"/>
  <c r="AF2086" i="16" s="1"/>
  <c r="AD2150" i="16"/>
  <c r="AE2150" i="16" s="1"/>
  <c r="AF2150" i="16" s="1"/>
  <c r="AD2214" i="16"/>
  <c r="AE2214" i="16" s="1"/>
  <c r="AF2214" i="16" s="1"/>
  <c r="AD277" i="16"/>
  <c r="AE277" i="16" s="1"/>
  <c r="AF277" i="16" s="1"/>
  <c r="AD447" i="16"/>
  <c r="AE447" i="16" s="1"/>
  <c r="AF447" i="16" s="1"/>
  <c r="AD1876" i="16"/>
  <c r="AE1876" i="16" s="1"/>
  <c r="AF1876" i="16" s="1"/>
  <c r="AD1956" i="16"/>
  <c r="AE1956" i="16" s="1"/>
  <c r="AF1956" i="16" s="1"/>
  <c r="AD2044" i="16"/>
  <c r="AE2044" i="16" s="1"/>
  <c r="AF2044" i="16" s="1"/>
  <c r="AD2132" i="16"/>
  <c r="AE2132" i="16" s="1"/>
  <c r="AF2132" i="16" s="1"/>
  <c r="AD2212" i="16"/>
  <c r="AE2212" i="16" s="1"/>
  <c r="AF2212" i="16" s="1"/>
  <c r="AD79" i="16"/>
  <c r="AE79" i="16" s="1"/>
  <c r="AF79" i="16" s="1"/>
  <c r="AD357" i="16"/>
  <c r="AE357" i="16" s="1"/>
  <c r="AF357" i="16" s="1"/>
  <c r="AD573" i="16"/>
  <c r="AE573" i="16" s="1"/>
  <c r="AF573" i="16" s="1"/>
  <c r="AD661" i="16"/>
  <c r="AE661" i="16" s="1"/>
  <c r="AF661" i="16" s="1"/>
  <c r="AD741" i="16"/>
  <c r="AE741" i="16" s="1"/>
  <c r="AF741" i="16" s="1"/>
  <c r="AD829" i="16"/>
  <c r="AE829" i="16" s="1"/>
  <c r="AF829" i="16" s="1"/>
  <c r="AD917" i="16"/>
  <c r="AE917" i="16" s="1"/>
  <c r="AF917" i="16" s="1"/>
  <c r="AD997" i="16"/>
  <c r="AE997" i="16" s="1"/>
  <c r="AF997" i="16" s="1"/>
  <c r="AD1085" i="16"/>
  <c r="AE1085" i="16" s="1"/>
  <c r="AF1085" i="16" s="1"/>
  <c r="AD1173" i="16"/>
  <c r="AE1173" i="16" s="1"/>
  <c r="AF1173" i="16" s="1"/>
  <c r="AD1253" i="16"/>
  <c r="AE1253" i="16" s="1"/>
  <c r="AF1253" i="16" s="1"/>
  <c r="AD1341" i="16"/>
  <c r="AE1341" i="16" s="1"/>
  <c r="AF1341" i="16" s="1"/>
  <c r="AD1421" i="16"/>
  <c r="AE1421" i="16" s="1"/>
  <c r="AF1421" i="16" s="1"/>
  <c r="AD1485" i="16"/>
  <c r="AE1485" i="16" s="1"/>
  <c r="AF1485" i="16" s="1"/>
  <c r="AD1549" i="16"/>
  <c r="AE1549" i="16" s="1"/>
  <c r="AF1549" i="16" s="1"/>
  <c r="AD1613" i="16"/>
  <c r="AE1613" i="16" s="1"/>
  <c r="AF1613" i="16" s="1"/>
  <c r="AD1677" i="16"/>
  <c r="AE1677" i="16" s="1"/>
  <c r="AF1677" i="16" s="1"/>
  <c r="AD1741" i="16"/>
  <c r="AE1741" i="16" s="1"/>
  <c r="AF1741" i="16" s="1"/>
  <c r="AD1805" i="16"/>
  <c r="AE1805" i="16" s="1"/>
  <c r="AF1805" i="16" s="1"/>
  <c r="AD1869" i="16"/>
  <c r="AE1869" i="16" s="1"/>
  <c r="AF1869" i="16" s="1"/>
  <c r="AD1933" i="16"/>
  <c r="AE1933" i="16" s="1"/>
  <c r="AF1933" i="16" s="1"/>
  <c r="AD1997" i="16"/>
  <c r="AE1997" i="16" s="1"/>
  <c r="AF1997" i="16" s="1"/>
  <c r="AD2061" i="16"/>
  <c r="AE2061" i="16" s="1"/>
  <c r="AF2061" i="16" s="1"/>
  <c r="AD2125" i="16"/>
  <c r="AE2125" i="16" s="1"/>
  <c r="AF2125" i="16" s="1"/>
  <c r="AD2189" i="16"/>
  <c r="AE2189" i="16" s="1"/>
  <c r="AF2189" i="16" s="1"/>
  <c r="AD2253" i="16"/>
  <c r="AE2253" i="16" s="1"/>
  <c r="AF2253" i="16" s="1"/>
  <c r="AD180" i="16"/>
  <c r="AE180" i="16" s="1"/>
  <c r="AF180" i="16" s="1"/>
  <c r="AD381" i="16"/>
  <c r="AE381" i="16" s="1"/>
  <c r="AF381" i="16" s="1"/>
  <c r="AD551" i="16"/>
  <c r="AE551" i="16" s="1"/>
  <c r="AF551" i="16" s="1"/>
  <c r="AD622" i="16"/>
  <c r="AE622" i="16" s="1"/>
  <c r="AF622" i="16" s="1"/>
  <c r="AD686" i="16"/>
  <c r="AE686" i="16" s="1"/>
  <c r="AF686" i="16" s="1"/>
  <c r="AD750" i="16"/>
  <c r="AE750" i="16" s="1"/>
  <c r="AF750" i="16" s="1"/>
  <c r="AD814" i="16"/>
  <c r="AE814" i="16" s="1"/>
  <c r="AF814" i="16" s="1"/>
  <c r="AD878" i="16"/>
  <c r="AE878" i="16" s="1"/>
  <c r="AF878" i="16" s="1"/>
  <c r="AD942" i="16"/>
  <c r="AE942" i="16" s="1"/>
  <c r="AF942" i="16" s="1"/>
  <c r="AD1006" i="16"/>
  <c r="AE1006" i="16" s="1"/>
  <c r="AF1006" i="16" s="1"/>
  <c r="AD1070" i="16"/>
  <c r="AE1070" i="16" s="1"/>
  <c r="AF1070" i="16" s="1"/>
  <c r="AD1134" i="16"/>
  <c r="AE1134" i="16" s="1"/>
  <c r="AF1134" i="16" s="1"/>
  <c r="AD1198" i="16"/>
  <c r="AE1198" i="16" s="1"/>
  <c r="AF1198" i="16" s="1"/>
  <c r="AD1262" i="16"/>
  <c r="AE1262" i="16" s="1"/>
  <c r="AF1262" i="16" s="1"/>
  <c r="AD1326" i="16"/>
  <c r="AE1326" i="16" s="1"/>
  <c r="AF1326" i="16" s="1"/>
  <c r="AD1390" i="16"/>
  <c r="AE1390" i="16" s="1"/>
  <c r="AF1390" i="16" s="1"/>
  <c r="AD1454" i="16"/>
  <c r="AE1454" i="16" s="1"/>
  <c r="AF1454" i="16" s="1"/>
  <c r="AD1518" i="16"/>
  <c r="AE1518" i="16" s="1"/>
  <c r="AF1518" i="16" s="1"/>
  <c r="AD1582" i="16"/>
  <c r="AE1582" i="16" s="1"/>
  <c r="AF1582" i="16" s="1"/>
  <c r="AD1646" i="16"/>
  <c r="AE1646" i="16" s="1"/>
  <c r="AF1646" i="16" s="1"/>
  <c r="AD1710" i="16"/>
  <c r="AE1710" i="16" s="1"/>
  <c r="AF1710" i="16" s="1"/>
  <c r="AD1774" i="16"/>
  <c r="AE1774" i="16" s="1"/>
  <c r="AF1774" i="16" s="1"/>
  <c r="AD1838" i="16"/>
  <c r="AE1838" i="16" s="1"/>
  <c r="AF1838" i="16" s="1"/>
  <c r="AD1902" i="16"/>
  <c r="AE1902" i="16" s="1"/>
  <c r="AF1902" i="16" s="1"/>
  <c r="AD1966" i="16"/>
  <c r="AE1966" i="16" s="1"/>
  <c r="AF1966" i="16" s="1"/>
  <c r="AD2030" i="16"/>
  <c r="AE2030" i="16" s="1"/>
  <c r="AF2030" i="16" s="1"/>
  <c r="AD2094" i="16"/>
  <c r="AE2094" i="16" s="1"/>
  <c r="AF2094" i="16" s="1"/>
  <c r="AD2158" i="16"/>
  <c r="AE2158" i="16" s="1"/>
  <c r="AF2158" i="16" s="1"/>
  <c r="AD2222" i="16"/>
  <c r="AE2222" i="16" s="1"/>
  <c r="AF2222" i="16" s="1"/>
  <c r="AD300" i="16"/>
  <c r="AE300" i="16" s="1"/>
  <c r="AF300" i="16" s="1"/>
  <c r="AD469" i="16"/>
  <c r="AE469" i="16" s="1"/>
  <c r="AF469" i="16" s="1"/>
  <c r="AD1884" i="16"/>
  <c r="AE1884" i="16" s="1"/>
  <c r="AF1884" i="16" s="1"/>
  <c r="AD1972" i="16"/>
  <c r="AE1972" i="16" s="1"/>
  <c r="AF1972" i="16" s="1"/>
  <c r="AD2052" i="16"/>
  <c r="AE2052" i="16" s="1"/>
  <c r="AF2052" i="16" s="1"/>
  <c r="AD2140" i="16"/>
  <c r="AE2140" i="16" s="1"/>
  <c r="AF2140" i="16" s="1"/>
  <c r="AD2228" i="16"/>
  <c r="AE2228" i="16" s="1"/>
  <c r="AF2228" i="16" s="1"/>
  <c r="AD111" i="16"/>
  <c r="AE111" i="16" s="1"/>
  <c r="AF111" i="16" s="1"/>
  <c r="AD399" i="16"/>
  <c r="AE399" i="16" s="1"/>
  <c r="AF399" i="16" s="1"/>
  <c r="AD581" i="16"/>
  <c r="AE581" i="16" s="1"/>
  <c r="AF581" i="16" s="1"/>
  <c r="AD669" i="16"/>
  <c r="AE669" i="16" s="1"/>
  <c r="AF669" i="16" s="1"/>
  <c r="AD757" i="16"/>
  <c r="AE757" i="16" s="1"/>
  <c r="AF757" i="16" s="1"/>
  <c r="AD837" i="16"/>
  <c r="AE837" i="16" s="1"/>
  <c r="AF837" i="16" s="1"/>
  <c r="AD925" i="16"/>
  <c r="AE925" i="16" s="1"/>
  <c r="AF925" i="16" s="1"/>
  <c r="AD1013" i="16"/>
  <c r="AE1013" i="16" s="1"/>
  <c r="AF1013" i="16" s="1"/>
  <c r="AD1093" i="16"/>
  <c r="AE1093" i="16" s="1"/>
  <c r="AF1093" i="16" s="1"/>
  <c r="AD1181" i="16"/>
  <c r="AE1181" i="16" s="1"/>
  <c r="AF1181" i="16" s="1"/>
  <c r="AD1269" i="16"/>
  <c r="AE1269" i="16" s="1"/>
  <c r="AF1269" i="16" s="1"/>
  <c r="AD1349" i="16"/>
  <c r="AE1349" i="16" s="1"/>
  <c r="AF1349" i="16" s="1"/>
  <c r="AD1429" i="16"/>
  <c r="AE1429" i="16" s="1"/>
  <c r="AF1429" i="16" s="1"/>
  <c r="AD1493" i="16"/>
  <c r="AE1493" i="16" s="1"/>
  <c r="AF1493" i="16" s="1"/>
  <c r="AD1557" i="16"/>
  <c r="AE1557" i="16" s="1"/>
  <c r="AF1557" i="16" s="1"/>
  <c r="AD1621" i="16"/>
  <c r="AE1621" i="16" s="1"/>
  <c r="AF1621" i="16" s="1"/>
  <c r="AD1685" i="16"/>
  <c r="AE1685" i="16" s="1"/>
  <c r="AF1685" i="16" s="1"/>
  <c r="AD1749" i="16"/>
  <c r="AE1749" i="16" s="1"/>
  <c r="AF1749" i="16" s="1"/>
  <c r="AD1813" i="16"/>
  <c r="AE1813" i="16" s="1"/>
  <c r="AF1813" i="16" s="1"/>
  <c r="AD1877" i="16"/>
  <c r="AE1877" i="16" s="1"/>
  <c r="AF1877" i="16" s="1"/>
  <c r="AD1941" i="16"/>
  <c r="AE1941" i="16" s="1"/>
  <c r="AF1941" i="16" s="1"/>
  <c r="AD2005" i="16"/>
  <c r="AE2005" i="16" s="1"/>
  <c r="AF2005" i="16" s="1"/>
  <c r="AD2069" i="16"/>
  <c r="AE2069" i="16" s="1"/>
  <c r="AF2069" i="16" s="1"/>
  <c r="AD2133" i="16"/>
  <c r="AE2133" i="16" s="1"/>
  <c r="AF2133" i="16" s="1"/>
  <c r="AD2197" i="16"/>
  <c r="AE2197" i="16" s="1"/>
  <c r="AF2197" i="16" s="1"/>
  <c r="AD2261" i="16"/>
  <c r="AE2261" i="16" s="1"/>
  <c r="AF2261" i="16" s="1"/>
  <c r="AD212" i="16"/>
  <c r="AE212" i="16" s="1"/>
  <c r="AF212" i="16" s="1"/>
  <c r="AD404" i="16"/>
  <c r="AE404" i="16" s="1"/>
  <c r="AF404" i="16" s="1"/>
  <c r="AD565" i="16"/>
  <c r="AE565" i="16" s="1"/>
  <c r="AF565" i="16" s="1"/>
  <c r="AD630" i="16"/>
  <c r="AE630" i="16" s="1"/>
  <c r="AF630" i="16" s="1"/>
  <c r="AD694" i="16"/>
  <c r="AE694" i="16" s="1"/>
  <c r="AF694" i="16" s="1"/>
  <c r="AD758" i="16"/>
  <c r="AE758" i="16" s="1"/>
  <c r="AF758" i="16" s="1"/>
  <c r="AD822" i="16"/>
  <c r="AE822" i="16" s="1"/>
  <c r="AF822" i="16" s="1"/>
  <c r="AD886" i="16"/>
  <c r="AE886" i="16" s="1"/>
  <c r="AF886" i="16" s="1"/>
  <c r="AD950" i="16"/>
  <c r="AE950" i="16" s="1"/>
  <c r="AF950" i="16" s="1"/>
  <c r="AD1014" i="16"/>
  <c r="AE1014" i="16" s="1"/>
  <c r="AF1014" i="16" s="1"/>
  <c r="AD1078" i="16"/>
  <c r="AE1078" i="16" s="1"/>
  <c r="AF1078" i="16" s="1"/>
  <c r="AD1142" i="16"/>
  <c r="AE1142" i="16" s="1"/>
  <c r="AF1142" i="16" s="1"/>
  <c r="AD1206" i="16"/>
  <c r="AE1206" i="16" s="1"/>
  <c r="AF1206" i="16" s="1"/>
  <c r="AD1270" i="16"/>
  <c r="AE1270" i="16" s="1"/>
  <c r="AF1270" i="16" s="1"/>
  <c r="AD1334" i="16"/>
  <c r="AE1334" i="16" s="1"/>
  <c r="AF1334" i="16" s="1"/>
  <c r="AD1398" i="16"/>
  <c r="AE1398" i="16" s="1"/>
  <c r="AF1398" i="16" s="1"/>
  <c r="AD1462" i="16"/>
  <c r="AE1462" i="16" s="1"/>
  <c r="AF1462" i="16" s="1"/>
  <c r="AD1526" i="16"/>
  <c r="AE1526" i="16" s="1"/>
  <c r="AF1526" i="16" s="1"/>
  <c r="AD1590" i="16"/>
  <c r="AE1590" i="16" s="1"/>
  <c r="AF1590" i="16" s="1"/>
  <c r="AD1654" i="16"/>
  <c r="AE1654" i="16" s="1"/>
  <c r="AF1654" i="16" s="1"/>
  <c r="AD1718" i="16"/>
  <c r="AE1718" i="16" s="1"/>
  <c r="AF1718" i="16" s="1"/>
  <c r="AD1782" i="16"/>
  <c r="AE1782" i="16" s="1"/>
  <c r="AF1782" i="16" s="1"/>
  <c r="AD1846" i="16"/>
  <c r="AE1846" i="16" s="1"/>
  <c r="AF1846" i="16" s="1"/>
  <c r="AD1910" i="16"/>
  <c r="AE1910" i="16" s="1"/>
  <c r="AF1910" i="16" s="1"/>
  <c r="AD1974" i="16"/>
  <c r="AE1974" i="16" s="1"/>
  <c r="AF1974" i="16" s="1"/>
  <c r="AD2038" i="16"/>
  <c r="AE2038" i="16" s="1"/>
  <c r="AF2038" i="16" s="1"/>
  <c r="AD2102" i="16"/>
  <c r="AE2102" i="16" s="1"/>
  <c r="AF2102" i="16" s="1"/>
  <c r="AD2166" i="16"/>
  <c r="AE2166" i="16" s="1"/>
  <c r="AF2166" i="16" s="1"/>
  <c r="AD2230" i="16"/>
  <c r="AE2230" i="16" s="1"/>
  <c r="AF2230" i="16" s="1"/>
  <c r="AD87" i="16"/>
  <c r="AE87" i="16" s="1"/>
  <c r="AF87" i="16" s="1"/>
  <c r="AD319" i="16"/>
  <c r="AE319" i="16" s="1"/>
  <c r="AF319" i="16" s="1"/>
  <c r="AD1892" i="16"/>
  <c r="AE1892" i="16" s="1"/>
  <c r="AF1892" i="16" s="1"/>
  <c r="AD1980" i="16"/>
  <c r="AE1980" i="16" s="1"/>
  <c r="AF1980" i="16" s="1"/>
  <c r="AD2068" i="16"/>
  <c r="AE2068" i="16" s="1"/>
  <c r="AF2068" i="16" s="1"/>
  <c r="AD2148" i="16"/>
  <c r="AE2148" i="16" s="1"/>
  <c r="AF2148" i="16" s="1"/>
  <c r="AD2236" i="16"/>
  <c r="AE2236" i="16" s="1"/>
  <c r="AF2236" i="16" s="1"/>
  <c r="AD143" i="16"/>
  <c r="AE143" i="16" s="1"/>
  <c r="AF143" i="16" s="1"/>
  <c r="AD421" i="16"/>
  <c r="AE421" i="16" s="1"/>
  <c r="AF421" i="16" s="1"/>
  <c r="AD597" i="16"/>
  <c r="AE597" i="16" s="1"/>
  <c r="AF597" i="16" s="1"/>
  <c r="AD677" i="16"/>
  <c r="AE677" i="16" s="1"/>
  <c r="AF677" i="16" s="1"/>
  <c r="AD765" i="16"/>
  <c r="AE765" i="16" s="1"/>
  <c r="AF765" i="16" s="1"/>
  <c r="AD853" i="16"/>
  <c r="AE853" i="16" s="1"/>
  <c r="AF853" i="16" s="1"/>
  <c r="AD933" i="16"/>
  <c r="AE933" i="16" s="1"/>
  <c r="AF933" i="16" s="1"/>
  <c r="AD1021" i="16"/>
  <c r="AE1021" i="16" s="1"/>
  <c r="AF1021" i="16" s="1"/>
  <c r="AD1109" i="16"/>
  <c r="AE1109" i="16" s="1"/>
  <c r="AF1109" i="16" s="1"/>
  <c r="AD1189" i="16"/>
  <c r="AE1189" i="16" s="1"/>
  <c r="AF1189" i="16" s="1"/>
  <c r="AD1277" i="16"/>
  <c r="AE1277" i="16" s="1"/>
  <c r="AF1277" i="16" s="1"/>
  <c r="AD1365" i="16"/>
  <c r="AE1365" i="16" s="1"/>
  <c r="AF1365" i="16" s="1"/>
  <c r="AD1437" i="16"/>
  <c r="AE1437" i="16" s="1"/>
  <c r="AF1437" i="16" s="1"/>
  <c r="AD1501" i="16"/>
  <c r="AE1501" i="16" s="1"/>
  <c r="AF1501" i="16" s="1"/>
  <c r="AD1565" i="16"/>
  <c r="AE1565" i="16" s="1"/>
  <c r="AF1565" i="16" s="1"/>
  <c r="AD1629" i="16"/>
  <c r="AE1629" i="16" s="1"/>
  <c r="AF1629" i="16" s="1"/>
  <c r="AD1693" i="16"/>
  <c r="AE1693" i="16" s="1"/>
  <c r="AF1693" i="16" s="1"/>
  <c r="AD1757" i="16"/>
  <c r="AE1757" i="16" s="1"/>
  <c r="AF1757" i="16" s="1"/>
  <c r="AD1821" i="16"/>
  <c r="AE1821" i="16" s="1"/>
  <c r="AF1821" i="16" s="1"/>
  <c r="AD1885" i="16"/>
  <c r="AE1885" i="16" s="1"/>
  <c r="AF1885" i="16" s="1"/>
  <c r="AD1949" i="16"/>
  <c r="AE1949" i="16" s="1"/>
  <c r="AF1949" i="16" s="1"/>
  <c r="AD2013" i="16"/>
  <c r="AE2013" i="16" s="1"/>
  <c r="AF2013" i="16" s="1"/>
  <c r="AD2077" i="16"/>
  <c r="AE2077" i="16" s="1"/>
  <c r="AF2077" i="16" s="1"/>
  <c r="AD2141" i="16"/>
  <c r="AE2141" i="16" s="1"/>
  <c r="AF2141" i="16" s="1"/>
  <c r="AD2205" i="16"/>
  <c r="AE2205" i="16" s="1"/>
  <c r="AF2205" i="16" s="1"/>
  <c r="AD2269" i="16"/>
  <c r="AE2269" i="16" s="1"/>
  <c r="AF2269" i="16" s="1"/>
  <c r="AD244" i="16"/>
  <c r="AE244" i="16" s="1"/>
  <c r="AF244" i="16" s="1"/>
  <c r="AD423" i="16"/>
  <c r="AE423" i="16" s="1"/>
  <c r="AF423" i="16" s="1"/>
  <c r="AD574" i="16"/>
  <c r="AE574" i="16" s="1"/>
  <c r="AF574" i="16" s="1"/>
  <c r="AD638" i="16"/>
  <c r="AE638" i="16" s="1"/>
  <c r="AF638" i="16" s="1"/>
  <c r="AD702" i="16"/>
  <c r="AE702" i="16" s="1"/>
  <c r="AF702" i="16" s="1"/>
  <c r="AD766" i="16"/>
  <c r="AE766" i="16" s="1"/>
  <c r="AF766" i="16" s="1"/>
  <c r="AD830" i="16"/>
  <c r="AE830" i="16" s="1"/>
  <c r="AF830" i="16" s="1"/>
  <c r="AD894" i="16"/>
  <c r="AE894" i="16" s="1"/>
  <c r="AF894" i="16" s="1"/>
  <c r="AD958" i="16"/>
  <c r="AE958" i="16" s="1"/>
  <c r="AF958" i="16" s="1"/>
  <c r="AD1022" i="16"/>
  <c r="AE1022" i="16" s="1"/>
  <c r="AF1022" i="16" s="1"/>
  <c r="AD1086" i="16"/>
  <c r="AE1086" i="16" s="1"/>
  <c r="AF1086" i="16" s="1"/>
  <c r="AD1150" i="16"/>
  <c r="AE1150" i="16" s="1"/>
  <c r="AF1150" i="16" s="1"/>
  <c r="AD1214" i="16"/>
  <c r="AE1214" i="16" s="1"/>
  <c r="AF1214" i="16" s="1"/>
  <c r="AD1278" i="16"/>
  <c r="AE1278" i="16" s="1"/>
  <c r="AF1278" i="16" s="1"/>
  <c r="AD1342" i="16"/>
  <c r="AE1342" i="16" s="1"/>
  <c r="AF1342" i="16" s="1"/>
  <c r="AD1406" i="16"/>
  <c r="AE1406" i="16" s="1"/>
  <c r="AF1406" i="16" s="1"/>
  <c r="AD1470" i="16"/>
  <c r="AE1470" i="16" s="1"/>
  <c r="AF1470" i="16" s="1"/>
  <c r="AD1534" i="16"/>
  <c r="AE1534" i="16" s="1"/>
  <c r="AF1534" i="16" s="1"/>
  <c r="AD1598" i="16"/>
  <c r="AE1598" i="16" s="1"/>
  <c r="AF1598" i="16" s="1"/>
  <c r="AD1662" i="16"/>
  <c r="AE1662" i="16" s="1"/>
  <c r="AF1662" i="16" s="1"/>
  <c r="AD1726" i="16"/>
  <c r="AE1726" i="16" s="1"/>
  <c r="AF1726" i="16" s="1"/>
  <c r="AD1790" i="16"/>
  <c r="AE1790" i="16" s="1"/>
  <c r="AF1790" i="16" s="1"/>
  <c r="AD1854" i="16"/>
  <c r="AE1854" i="16" s="1"/>
  <c r="AF1854" i="16" s="1"/>
  <c r="AD1918" i="16"/>
  <c r="AE1918" i="16" s="1"/>
  <c r="AF1918" i="16" s="1"/>
  <c r="AD1982" i="16"/>
  <c r="AE1982" i="16" s="1"/>
  <c r="AF1982" i="16" s="1"/>
  <c r="AD2046" i="16"/>
  <c r="AE2046" i="16" s="1"/>
  <c r="AF2046" i="16" s="1"/>
  <c r="AD2110" i="16"/>
  <c r="AE2110" i="16" s="1"/>
  <c r="AF2110" i="16" s="1"/>
  <c r="AD2174" i="16"/>
  <c r="AE2174" i="16" s="1"/>
  <c r="AF2174" i="16" s="1"/>
  <c r="AD2238" i="16"/>
  <c r="AE2238" i="16" s="1"/>
  <c r="AF2238" i="16" s="1"/>
  <c r="AD119" i="16"/>
  <c r="AE119" i="16" s="1"/>
  <c r="AF119" i="16" s="1"/>
  <c r="AD341" i="16"/>
  <c r="AE341" i="16" s="1"/>
  <c r="AF341" i="16" s="1"/>
  <c r="AD511" i="16"/>
  <c r="AE511" i="16" s="1"/>
  <c r="AF511" i="16" s="1"/>
  <c r="AD607" i="16"/>
  <c r="AE607" i="16" s="1"/>
  <c r="AF607" i="16" s="1"/>
  <c r="AD671" i="16"/>
  <c r="AE671" i="16" s="1"/>
  <c r="AF671" i="16" s="1"/>
  <c r="AD1908" i="16"/>
  <c r="AE1908" i="16" s="1"/>
  <c r="AF1908" i="16" s="1"/>
  <c r="AD1988" i="16"/>
  <c r="AE1988" i="16" s="1"/>
  <c r="AF1988" i="16" s="1"/>
  <c r="AD2076" i="16"/>
  <c r="AE2076" i="16" s="1"/>
  <c r="AF2076" i="16" s="1"/>
  <c r="AD2164" i="16"/>
  <c r="AE2164" i="16" s="1"/>
  <c r="AF2164" i="16" s="1"/>
  <c r="AD2244" i="16"/>
  <c r="AE2244" i="16" s="1"/>
  <c r="AF2244" i="16" s="1"/>
  <c r="AD207" i="16"/>
  <c r="AE207" i="16" s="1"/>
  <c r="AF207" i="16" s="1"/>
  <c r="AD444" i="16"/>
  <c r="AE444" i="16" s="1"/>
  <c r="AF444" i="16" s="1"/>
  <c r="AD605" i="16"/>
  <c r="AE605" i="16" s="1"/>
  <c r="AF605" i="16" s="1"/>
  <c r="AD693" i="16"/>
  <c r="AE693" i="16" s="1"/>
  <c r="AF693" i="16" s="1"/>
  <c r="AD773" i="16"/>
  <c r="AE773" i="16" s="1"/>
  <c r="AF773" i="16" s="1"/>
  <c r="AD861" i="16"/>
  <c r="AE861" i="16" s="1"/>
  <c r="AF861" i="16" s="1"/>
  <c r="AD949" i="16"/>
  <c r="AE949" i="16" s="1"/>
  <c r="AF949" i="16" s="1"/>
  <c r="AD1029" i="16"/>
  <c r="AE1029" i="16" s="1"/>
  <c r="AF1029" i="16" s="1"/>
  <c r="AD1117" i="16"/>
  <c r="AE1117" i="16" s="1"/>
  <c r="AF1117" i="16" s="1"/>
  <c r="AD1205" i="16"/>
  <c r="AE1205" i="16" s="1"/>
  <c r="AF1205" i="16" s="1"/>
  <c r="AD1285" i="16"/>
  <c r="AE1285" i="16" s="1"/>
  <c r="AF1285" i="16" s="1"/>
  <c r="AD1373" i="16"/>
  <c r="AE1373" i="16" s="1"/>
  <c r="AF1373" i="16" s="1"/>
  <c r="AD1445" i="16"/>
  <c r="AE1445" i="16" s="1"/>
  <c r="AF1445" i="16" s="1"/>
  <c r="AD1509" i="16"/>
  <c r="AE1509" i="16" s="1"/>
  <c r="AF1509" i="16" s="1"/>
  <c r="AD1573" i="16"/>
  <c r="AE1573" i="16" s="1"/>
  <c r="AF1573" i="16" s="1"/>
  <c r="AD1637" i="16"/>
  <c r="AE1637" i="16" s="1"/>
  <c r="AF1637" i="16" s="1"/>
  <c r="AD1701" i="16"/>
  <c r="AE1701" i="16" s="1"/>
  <c r="AF1701" i="16" s="1"/>
  <c r="AD1765" i="16"/>
  <c r="AE1765" i="16" s="1"/>
  <c r="AF1765" i="16" s="1"/>
  <c r="AD1829" i="16"/>
  <c r="AE1829" i="16" s="1"/>
  <c r="AF1829" i="16" s="1"/>
  <c r="AD1893" i="16"/>
  <c r="AE1893" i="16" s="1"/>
  <c r="AF1893" i="16" s="1"/>
  <c r="AD1957" i="16"/>
  <c r="AE1957" i="16" s="1"/>
  <c r="AF1957" i="16" s="1"/>
  <c r="AD2021" i="16"/>
  <c r="AE2021" i="16" s="1"/>
  <c r="AF2021" i="16" s="1"/>
  <c r="AD2085" i="16"/>
  <c r="AE2085" i="16" s="1"/>
  <c r="AF2085" i="16" s="1"/>
  <c r="AD2149" i="16"/>
  <c r="AE2149" i="16" s="1"/>
  <c r="AF2149" i="16" s="1"/>
  <c r="AD2213" i="16"/>
  <c r="AE2213" i="16" s="1"/>
  <c r="AF2213" i="16" s="1"/>
  <c r="AD276" i="16"/>
  <c r="AE276" i="16" s="1"/>
  <c r="AF276" i="16" s="1"/>
  <c r="AD445" i="16"/>
  <c r="AE445" i="16" s="1"/>
  <c r="AF445" i="16" s="1"/>
  <c r="AD582" i="16"/>
  <c r="AE582" i="16" s="1"/>
  <c r="AF582" i="16" s="1"/>
  <c r="AD646" i="16"/>
  <c r="AE646" i="16" s="1"/>
  <c r="AF646" i="16" s="1"/>
  <c r="AD710" i="16"/>
  <c r="AE710" i="16" s="1"/>
  <c r="AF710" i="16" s="1"/>
  <c r="AD774" i="16"/>
  <c r="AE774" i="16" s="1"/>
  <c r="AF774" i="16" s="1"/>
  <c r="AD838" i="16"/>
  <c r="AE838" i="16" s="1"/>
  <c r="AF838" i="16" s="1"/>
  <c r="AD902" i="16"/>
  <c r="AE902" i="16" s="1"/>
  <c r="AF902" i="16" s="1"/>
  <c r="AD966" i="16"/>
  <c r="AE966" i="16" s="1"/>
  <c r="AF966" i="16" s="1"/>
  <c r="AD1030" i="16"/>
  <c r="AE1030" i="16" s="1"/>
  <c r="AF1030" i="16" s="1"/>
  <c r="AD1094" i="16"/>
  <c r="AE1094" i="16" s="1"/>
  <c r="AF1094" i="16" s="1"/>
  <c r="AD1158" i="16"/>
  <c r="AE1158" i="16" s="1"/>
  <c r="AF1158" i="16" s="1"/>
  <c r="AD1222" i="16"/>
  <c r="AE1222" i="16" s="1"/>
  <c r="AF1222" i="16" s="1"/>
  <c r="AD1286" i="16"/>
  <c r="AE1286" i="16" s="1"/>
  <c r="AF1286" i="16" s="1"/>
  <c r="AD1350" i="16"/>
  <c r="AE1350" i="16" s="1"/>
  <c r="AF1350" i="16" s="1"/>
  <c r="AD1414" i="16"/>
  <c r="AE1414" i="16" s="1"/>
  <c r="AF1414" i="16" s="1"/>
  <c r="AD1478" i="16"/>
  <c r="AE1478" i="16" s="1"/>
  <c r="AF1478" i="16" s="1"/>
  <c r="AD1542" i="16"/>
  <c r="AE1542" i="16" s="1"/>
  <c r="AF1542" i="16" s="1"/>
  <c r="AD1606" i="16"/>
  <c r="AE1606" i="16" s="1"/>
  <c r="AF1606" i="16" s="1"/>
  <c r="AD1670" i="16"/>
  <c r="AE1670" i="16" s="1"/>
  <c r="AF1670" i="16" s="1"/>
  <c r="AD1734" i="16"/>
  <c r="AE1734" i="16" s="1"/>
  <c r="AF1734" i="16" s="1"/>
  <c r="AD1798" i="16"/>
  <c r="AE1798" i="16" s="1"/>
  <c r="AF1798" i="16" s="1"/>
  <c r="AD1862" i="16"/>
  <c r="AE1862" i="16" s="1"/>
  <c r="AF1862" i="16" s="1"/>
  <c r="AD1926" i="16"/>
  <c r="AE1926" i="16" s="1"/>
  <c r="AF1926" i="16" s="1"/>
  <c r="AD1990" i="16"/>
  <c r="AE1990" i="16" s="1"/>
  <c r="AF1990" i="16" s="1"/>
  <c r="AD2054" i="16"/>
  <c r="AE2054" i="16" s="1"/>
  <c r="AF2054" i="16" s="1"/>
  <c r="AD2118" i="16"/>
  <c r="AE2118" i="16" s="1"/>
  <c r="AF2118" i="16" s="1"/>
  <c r="AD2182" i="16"/>
  <c r="AE2182" i="16" s="1"/>
  <c r="AF2182" i="16" s="1"/>
  <c r="AD2246" i="16"/>
  <c r="AE2246" i="16" s="1"/>
  <c r="AF2246" i="16" s="1"/>
  <c r="AD151" i="16"/>
  <c r="AE151" i="16" s="1"/>
  <c r="AF151" i="16" s="1"/>
  <c r="AD364" i="16"/>
  <c r="AE364" i="16" s="1"/>
  <c r="AF364" i="16" s="1"/>
  <c r="AD533" i="16"/>
  <c r="AE533" i="16" s="1"/>
  <c r="AF533" i="16" s="1"/>
  <c r="AD615" i="16"/>
  <c r="AE615" i="16" s="1"/>
  <c r="AF615" i="16" s="1"/>
  <c r="AD679" i="16"/>
  <c r="AE679" i="16" s="1"/>
  <c r="AF679" i="16" s="1"/>
  <c r="AD743" i="16"/>
  <c r="AE743" i="16" s="1"/>
  <c r="AF743" i="16" s="1"/>
  <c r="AD807" i="16"/>
  <c r="AE807" i="16" s="1"/>
  <c r="AF807" i="16" s="1"/>
  <c r="AD871" i="16"/>
  <c r="AE871" i="16" s="1"/>
  <c r="AF871" i="16" s="1"/>
  <c r="AD935" i="16"/>
  <c r="AE935" i="16" s="1"/>
  <c r="AF935" i="16" s="1"/>
  <c r="AD999" i="16"/>
  <c r="AE999" i="16" s="1"/>
  <c r="AF999" i="16" s="1"/>
  <c r="AD1063" i="16"/>
  <c r="AE1063" i="16" s="1"/>
  <c r="AF1063" i="16" s="1"/>
  <c r="AD1127" i="16"/>
  <c r="AE1127" i="16" s="1"/>
  <c r="AF1127" i="16" s="1"/>
  <c r="AD1191" i="16"/>
  <c r="AE1191" i="16" s="1"/>
  <c r="AF1191" i="16" s="1"/>
  <c r="AD1255" i="16"/>
  <c r="AE1255" i="16" s="1"/>
  <c r="AF1255" i="16" s="1"/>
  <c r="AD1319" i="16"/>
  <c r="AE1319" i="16" s="1"/>
  <c r="AF1319" i="16" s="1"/>
  <c r="AD1383" i="16"/>
  <c r="AE1383" i="16" s="1"/>
  <c r="AF1383" i="16" s="1"/>
  <c r="AD1447" i="16"/>
  <c r="AE1447" i="16" s="1"/>
  <c r="AF1447" i="16" s="1"/>
  <c r="AD1511" i="16"/>
  <c r="AE1511" i="16" s="1"/>
  <c r="AF1511" i="16" s="1"/>
  <c r="AD1575" i="16"/>
  <c r="AE1575" i="16" s="1"/>
  <c r="AF1575" i="16" s="1"/>
  <c r="AD1639" i="16"/>
  <c r="AE1639" i="16" s="1"/>
  <c r="AF1639" i="16" s="1"/>
  <c r="AD1703" i="16"/>
  <c r="AE1703" i="16" s="1"/>
  <c r="AF1703" i="16" s="1"/>
  <c r="AD1767" i="16"/>
  <c r="AE1767" i="16" s="1"/>
  <c r="AF1767" i="16" s="1"/>
  <c r="AD1831" i="16"/>
  <c r="AE1831" i="16" s="1"/>
  <c r="AF1831" i="16" s="1"/>
  <c r="AD1895" i="16"/>
  <c r="AE1895" i="16" s="1"/>
  <c r="AF1895" i="16" s="1"/>
  <c r="AD1959" i="16"/>
  <c r="AE1959" i="16" s="1"/>
  <c r="AF1959" i="16" s="1"/>
  <c r="AD2023" i="16"/>
  <c r="AE2023" i="16" s="1"/>
  <c r="AF2023" i="16" s="1"/>
  <c r="AD1916" i="16"/>
  <c r="AE1916" i="16" s="1"/>
  <c r="AF1916" i="16" s="1"/>
  <c r="AD2004" i="16"/>
  <c r="AE2004" i="16" s="1"/>
  <c r="AF2004" i="16" s="1"/>
  <c r="AD2084" i="16"/>
  <c r="AE2084" i="16" s="1"/>
  <c r="AF2084" i="16" s="1"/>
  <c r="AD2172" i="16"/>
  <c r="AE2172" i="16" s="1"/>
  <c r="AF2172" i="16" s="1"/>
  <c r="AD2260" i="16"/>
  <c r="AE2260" i="16" s="1"/>
  <c r="AF2260" i="16" s="1"/>
  <c r="AD239" i="16"/>
  <c r="AE239" i="16" s="1"/>
  <c r="AF239" i="16" s="1"/>
  <c r="AD485" i="16"/>
  <c r="AE485" i="16" s="1"/>
  <c r="AF485" i="16" s="1"/>
  <c r="AD613" i="16"/>
  <c r="AE613" i="16" s="1"/>
  <c r="AF613" i="16" s="1"/>
  <c r="AD701" i="16"/>
  <c r="AE701" i="16" s="1"/>
  <c r="AF701" i="16" s="1"/>
  <c r="AD789" i="16"/>
  <c r="AE789" i="16" s="1"/>
  <c r="AF789" i="16" s="1"/>
  <c r="AD869" i="16"/>
  <c r="AE869" i="16" s="1"/>
  <c r="AF869" i="16" s="1"/>
  <c r="AD957" i="16"/>
  <c r="AE957" i="16" s="1"/>
  <c r="AF957" i="16" s="1"/>
  <c r="AD1045" i="16"/>
  <c r="AE1045" i="16" s="1"/>
  <c r="AF1045" i="16" s="1"/>
  <c r="AD1125" i="16"/>
  <c r="AE1125" i="16" s="1"/>
  <c r="AF1125" i="16" s="1"/>
  <c r="AD1213" i="16"/>
  <c r="AE1213" i="16" s="1"/>
  <c r="AF1213" i="16" s="1"/>
  <c r="AD1301" i="16"/>
  <c r="AE1301" i="16" s="1"/>
  <c r="AF1301" i="16" s="1"/>
  <c r="AD1381" i="16"/>
  <c r="AE1381" i="16" s="1"/>
  <c r="AF1381" i="16" s="1"/>
  <c r="AD1453" i="16"/>
  <c r="AE1453" i="16" s="1"/>
  <c r="AF1453" i="16" s="1"/>
  <c r="AD1517" i="16"/>
  <c r="AE1517" i="16" s="1"/>
  <c r="AF1517" i="16" s="1"/>
  <c r="AD1581" i="16"/>
  <c r="AE1581" i="16" s="1"/>
  <c r="AF1581" i="16" s="1"/>
  <c r="AD1645" i="16"/>
  <c r="AE1645" i="16" s="1"/>
  <c r="AF1645" i="16" s="1"/>
  <c r="AD1709" i="16"/>
  <c r="AE1709" i="16" s="1"/>
  <c r="AF1709" i="16" s="1"/>
  <c r="AD1773" i="16"/>
  <c r="AE1773" i="16" s="1"/>
  <c r="AF1773" i="16" s="1"/>
  <c r="AD1837" i="16"/>
  <c r="AE1837" i="16" s="1"/>
  <c r="AF1837" i="16" s="1"/>
  <c r="AD1901" i="16"/>
  <c r="AE1901" i="16" s="1"/>
  <c r="AF1901" i="16" s="1"/>
  <c r="AD1965" i="16"/>
  <c r="AE1965" i="16" s="1"/>
  <c r="AF1965" i="16" s="1"/>
  <c r="AD2029" i="16"/>
  <c r="AE2029" i="16" s="1"/>
  <c r="AF2029" i="16" s="1"/>
  <c r="AD2093" i="16"/>
  <c r="AE2093" i="16" s="1"/>
  <c r="AF2093" i="16" s="1"/>
  <c r="AD2157" i="16"/>
  <c r="AE2157" i="16" s="1"/>
  <c r="AF2157" i="16" s="1"/>
  <c r="AD2221" i="16"/>
  <c r="AE2221" i="16" s="1"/>
  <c r="AF2221" i="16" s="1"/>
  <c r="AD295" i="16"/>
  <c r="AE295" i="16" s="1"/>
  <c r="AF295" i="16" s="1"/>
  <c r="AD468" i="16"/>
  <c r="AE468" i="16" s="1"/>
  <c r="AF468" i="16" s="1"/>
  <c r="AD590" i="16"/>
  <c r="AE590" i="16" s="1"/>
  <c r="AF590" i="16" s="1"/>
  <c r="AD654" i="16"/>
  <c r="AE654" i="16" s="1"/>
  <c r="AF654" i="16" s="1"/>
  <c r="AD718" i="16"/>
  <c r="AE718" i="16" s="1"/>
  <c r="AF718" i="16" s="1"/>
  <c r="AD782" i="16"/>
  <c r="AE782" i="16" s="1"/>
  <c r="AF782" i="16" s="1"/>
  <c r="AD846" i="16"/>
  <c r="AE846" i="16" s="1"/>
  <c r="AF846" i="16" s="1"/>
  <c r="AD910" i="16"/>
  <c r="AE910" i="16" s="1"/>
  <c r="AF910" i="16" s="1"/>
  <c r="AD974" i="16"/>
  <c r="AE974" i="16" s="1"/>
  <c r="AF974" i="16" s="1"/>
  <c r="AD1038" i="16"/>
  <c r="AE1038" i="16" s="1"/>
  <c r="AF1038" i="16" s="1"/>
  <c r="AD1102" i="16"/>
  <c r="AE1102" i="16" s="1"/>
  <c r="AF1102" i="16" s="1"/>
  <c r="AD1166" i="16"/>
  <c r="AE1166" i="16" s="1"/>
  <c r="AF1166" i="16" s="1"/>
  <c r="AD1230" i="16"/>
  <c r="AE1230" i="16" s="1"/>
  <c r="AF1230" i="16" s="1"/>
  <c r="AD1294" i="16"/>
  <c r="AE1294" i="16" s="1"/>
  <c r="AF1294" i="16" s="1"/>
  <c r="AD1358" i="16"/>
  <c r="AE1358" i="16" s="1"/>
  <c r="AF1358" i="16" s="1"/>
  <c r="AD1422" i="16"/>
  <c r="AE1422" i="16" s="1"/>
  <c r="AF1422" i="16" s="1"/>
  <c r="AD1486" i="16"/>
  <c r="AE1486" i="16" s="1"/>
  <c r="AF1486" i="16" s="1"/>
  <c r="AD1550" i="16"/>
  <c r="AE1550" i="16" s="1"/>
  <c r="AF1550" i="16" s="1"/>
  <c r="AD1614" i="16"/>
  <c r="AE1614" i="16" s="1"/>
  <c r="AF1614" i="16" s="1"/>
  <c r="AD1678" i="16"/>
  <c r="AE1678" i="16" s="1"/>
  <c r="AF1678" i="16" s="1"/>
  <c r="AD1742" i="16"/>
  <c r="AE1742" i="16" s="1"/>
  <c r="AF1742" i="16" s="1"/>
  <c r="AD1806" i="16"/>
  <c r="AE1806" i="16" s="1"/>
  <c r="AF1806" i="16" s="1"/>
  <c r="AD1870" i="16"/>
  <c r="AE1870" i="16" s="1"/>
  <c r="AF1870" i="16" s="1"/>
  <c r="AD1934" i="16"/>
  <c r="AE1934" i="16" s="1"/>
  <c r="AF1934" i="16" s="1"/>
  <c r="AD1998" i="16"/>
  <c r="AE1998" i="16" s="1"/>
  <c r="AF1998" i="16" s="1"/>
  <c r="AD2062" i="16"/>
  <c r="AE2062" i="16" s="1"/>
  <c r="AF2062" i="16" s="1"/>
  <c r="AD2126" i="16"/>
  <c r="AE2126" i="16" s="1"/>
  <c r="AF2126" i="16" s="1"/>
  <c r="AD2190" i="16"/>
  <c r="AE2190" i="16" s="1"/>
  <c r="AF2190" i="16" s="1"/>
  <c r="AD2254" i="16"/>
  <c r="AE2254" i="16" s="1"/>
  <c r="AF2254" i="16" s="1"/>
  <c r="AD183" i="16"/>
  <c r="AE183" i="16" s="1"/>
  <c r="AF183" i="16" s="1"/>
  <c r="AD383" i="16"/>
  <c r="AE383" i="16" s="1"/>
  <c r="AF383" i="16" s="1"/>
  <c r="AD555" i="16"/>
  <c r="AE555" i="16" s="1"/>
  <c r="AF555" i="16" s="1"/>
  <c r="AD623" i="16"/>
  <c r="AE623" i="16" s="1"/>
  <c r="AF623" i="16" s="1"/>
  <c r="AD687" i="16"/>
  <c r="AE687" i="16" s="1"/>
  <c r="AF687" i="16" s="1"/>
  <c r="AD751" i="16"/>
  <c r="AE751" i="16" s="1"/>
  <c r="AF751" i="16" s="1"/>
  <c r="AD815" i="16"/>
  <c r="AE815" i="16" s="1"/>
  <c r="AF815" i="16" s="1"/>
  <c r="AD879" i="16"/>
  <c r="AE879" i="16" s="1"/>
  <c r="AF879" i="16" s="1"/>
  <c r="AD943" i="16"/>
  <c r="AE943" i="16" s="1"/>
  <c r="AF943" i="16" s="1"/>
  <c r="AD1007" i="16"/>
  <c r="AE1007" i="16" s="1"/>
  <c r="AF1007" i="16" s="1"/>
  <c r="AD1071" i="16"/>
  <c r="AE1071" i="16" s="1"/>
  <c r="AF1071" i="16" s="1"/>
  <c r="AD1135" i="16"/>
  <c r="AE1135" i="16" s="1"/>
  <c r="AF1135" i="16" s="1"/>
  <c r="AD1199" i="16"/>
  <c r="AE1199" i="16" s="1"/>
  <c r="AF1199" i="16" s="1"/>
  <c r="AD1263" i="16"/>
  <c r="AE1263" i="16" s="1"/>
  <c r="AF1263" i="16" s="1"/>
  <c r="AD1327" i="16"/>
  <c r="AE1327" i="16" s="1"/>
  <c r="AF1327" i="16" s="1"/>
  <c r="AD1391" i="16"/>
  <c r="AE1391" i="16" s="1"/>
  <c r="AF1391" i="16" s="1"/>
  <c r="AD1455" i="16"/>
  <c r="AE1455" i="16" s="1"/>
  <c r="AF1455" i="16" s="1"/>
  <c r="AD1519" i="16"/>
  <c r="AE1519" i="16" s="1"/>
  <c r="AF1519" i="16" s="1"/>
  <c r="AD1583" i="16"/>
  <c r="AE1583" i="16" s="1"/>
  <c r="AF1583" i="16" s="1"/>
  <c r="AD1647" i="16"/>
  <c r="AE1647" i="16" s="1"/>
  <c r="AF1647" i="16" s="1"/>
  <c r="AD1711" i="16"/>
  <c r="AE1711" i="16" s="1"/>
  <c r="AF1711" i="16" s="1"/>
  <c r="AD1775" i="16"/>
  <c r="AE1775" i="16" s="1"/>
  <c r="AF1775" i="16" s="1"/>
  <c r="AD1839" i="16"/>
  <c r="AE1839" i="16" s="1"/>
  <c r="AF1839" i="16" s="1"/>
  <c r="AD1903" i="16"/>
  <c r="AE1903" i="16" s="1"/>
  <c r="AF1903" i="16" s="1"/>
  <c r="AD1967" i="16"/>
  <c r="AE1967" i="16" s="1"/>
  <c r="AF1967" i="16" s="1"/>
  <c r="AD2031" i="16"/>
  <c r="AE2031" i="16" s="1"/>
  <c r="AF2031" i="16" s="1"/>
  <c r="AD492" i="16"/>
  <c r="AE492" i="16" s="1"/>
  <c r="AF492" i="16" s="1"/>
  <c r="AD663" i="16"/>
  <c r="AE663" i="16" s="1"/>
  <c r="AF663" i="16" s="1"/>
  <c r="AD767" i="16"/>
  <c r="AE767" i="16" s="1"/>
  <c r="AF767" i="16" s="1"/>
  <c r="AD847" i="16"/>
  <c r="AE847" i="16" s="1"/>
  <c r="AF847" i="16" s="1"/>
  <c r="AD927" i="16"/>
  <c r="AE927" i="16" s="1"/>
  <c r="AF927" i="16" s="1"/>
  <c r="AD1023" i="16"/>
  <c r="AE1023" i="16" s="1"/>
  <c r="AF1023" i="16" s="1"/>
  <c r="AD1103" i="16"/>
  <c r="AE1103" i="16" s="1"/>
  <c r="AF1103" i="16" s="1"/>
  <c r="AD1183" i="16"/>
  <c r="AE1183" i="16" s="1"/>
  <c r="AF1183" i="16" s="1"/>
  <c r="AD1279" i="16"/>
  <c r="AE1279" i="16" s="1"/>
  <c r="AF1279" i="16" s="1"/>
  <c r="AD1359" i="16"/>
  <c r="AE1359" i="16" s="1"/>
  <c r="AF1359" i="16" s="1"/>
  <c r="AD1439" i="16"/>
  <c r="AE1439" i="16" s="1"/>
  <c r="AF1439" i="16" s="1"/>
  <c r="AD1535" i="16"/>
  <c r="AE1535" i="16" s="1"/>
  <c r="AF1535" i="16" s="1"/>
  <c r="AD1615" i="16"/>
  <c r="AE1615" i="16" s="1"/>
  <c r="AF1615" i="16" s="1"/>
  <c r="AD1695" i="16"/>
  <c r="AE1695" i="16" s="1"/>
  <c r="AF1695" i="16" s="1"/>
  <c r="AD1791" i="16"/>
  <c r="AE1791" i="16" s="1"/>
  <c r="AF1791" i="16" s="1"/>
  <c r="AD1871" i="16"/>
  <c r="AE1871" i="16" s="1"/>
  <c r="AF1871" i="16" s="1"/>
  <c r="AD1951" i="16"/>
  <c r="AE1951" i="16" s="1"/>
  <c r="AF1951" i="16" s="1"/>
  <c r="AD2047" i="16"/>
  <c r="AE2047" i="16" s="1"/>
  <c r="AF2047" i="16" s="1"/>
  <c r="AD2111" i="16"/>
  <c r="AE2111" i="16" s="1"/>
  <c r="AF2111" i="16" s="1"/>
  <c r="AD2175" i="16"/>
  <c r="AE2175" i="16" s="1"/>
  <c r="AF2175" i="16" s="1"/>
  <c r="AD2239" i="16"/>
  <c r="AE2239" i="16" s="1"/>
  <c r="AF2239" i="16" s="1"/>
  <c r="AD2129" i="16"/>
  <c r="AE2129" i="16" s="1"/>
  <c r="AF2129" i="16" s="1"/>
  <c r="AD2073" i="16"/>
  <c r="AE2073" i="16" s="1"/>
  <c r="AF2073" i="16" s="1"/>
  <c r="AD2017" i="16"/>
  <c r="AE2017" i="16" s="1"/>
  <c r="AF2017" i="16" s="1"/>
  <c r="AD2025" i="16"/>
  <c r="AE2025" i="16" s="1"/>
  <c r="AF2025" i="16" s="1"/>
  <c r="AD2033" i="16"/>
  <c r="AE2033" i="16" s="1"/>
  <c r="AF2033" i="16" s="1"/>
  <c r="AD2041" i="16"/>
  <c r="AE2041" i="16" s="1"/>
  <c r="AF2041" i="16" s="1"/>
  <c r="AD1985" i="16"/>
  <c r="AE1985" i="16" s="1"/>
  <c r="AF1985" i="16" s="1"/>
  <c r="AD1865" i="16"/>
  <c r="AE1865" i="16" s="1"/>
  <c r="AF1865" i="16" s="1"/>
  <c r="AD566" i="16"/>
  <c r="AE566" i="16" s="1"/>
  <c r="AF566" i="16" s="1"/>
  <c r="AD695" i="16"/>
  <c r="AE695" i="16" s="1"/>
  <c r="AF695" i="16" s="1"/>
  <c r="AD775" i="16"/>
  <c r="AE775" i="16" s="1"/>
  <c r="AF775" i="16" s="1"/>
  <c r="AD855" i="16"/>
  <c r="AE855" i="16" s="1"/>
  <c r="AF855" i="16" s="1"/>
  <c r="AD951" i="16"/>
  <c r="AE951" i="16" s="1"/>
  <c r="AF951" i="16" s="1"/>
  <c r="AD1031" i="16"/>
  <c r="AE1031" i="16" s="1"/>
  <c r="AF1031" i="16" s="1"/>
  <c r="AD1111" i="16"/>
  <c r="AE1111" i="16" s="1"/>
  <c r="AF1111" i="16" s="1"/>
  <c r="AD1207" i="16"/>
  <c r="AE1207" i="16" s="1"/>
  <c r="AF1207" i="16" s="1"/>
  <c r="AD1287" i="16"/>
  <c r="AE1287" i="16" s="1"/>
  <c r="AF1287" i="16" s="1"/>
  <c r="AD1367" i="16"/>
  <c r="AE1367" i="16" s="1"/>
  <c r="AF1367" i="16" s="1"/>
  <c r="AD1463" i="16"/>
  <c r="AE1463" i="16" s="1"/>
  <c r="AF1463" i="16" s="1"/>
  <c r="AD1543" i="16"/>
  <c r="AE1543" i="16" s="1"/>
  <c r="AF1543" i="16" s="1"/>
  <c r="AD1623" i="16"/>
  <c r="AE1623" i="16" s="1"/>
  <c r="AF1623" i="16" s="1"/>
  <c r="AD1719" i="16"/>
  <c r="AE1719" i="16" s="1"/>
  <c r="AF1719" i="16" s="1"/>
  <c r="AD1799" i="16"/>
  <c r="AE1799" i="16" s="1"/>
  <c r="AF1799" i="16" s="1"/>
  <c r="AD1879" i="16"/>
  <c r="AE1879" i="16" s="1"/>
  <c r="AF1879" i="16" s="1"/>
  <c r="AD1975" i="16"/>
  <c r="AE1975" i="16" s="1"/>
  <c r="AF1975" i="16" s="1"/>
  <c r="AD2055" i="16"/>
  <c r="AE2055" i="16" s="1"/>
  <c r="AF2055" i="16" s="1"/>
  <c r="AD2119" i="16"/>
  <c r="AE2119" i="16" s="1"/>
  <c r="AF2119" i="16" s="1"/>
  <c r="AD2183" i="16"/>
  <c r="AE2183" i="16" s="1"/>
  <c r="AF2183" i="16" s="1"/>
  <c r="AD2247" i="16"/>
  <c r="AE2247" i="16" s="1"/>
  <c r="AF2247" i="16" s="1"/>
  <c r="AD2193" i="16"/>
  <c r="AE2193" i="16" s="1"/>
  <c r="AF2193" i="16" s="1"/>
  <c r="AD2137" i="16"/>
  <c r="AE2137" i="16" s="1"/>
  <c r="AF2137" i="16" s="1"/>
  <c r="AD2081" i="16"/>
  <c r="AE2081" i="16" s="1"/>
  <c r="AF2081" i="16" s="1"/>
  <c r="AD2089" i="16"/>
  <c r="AE2089" i="16" s="1"/>
  <c r="AF2089" i="16" s="1"/>
  <c r="AD2097" i="16"/>
  <c r="AE2097" i="16" s="1"/>
  <c r="AF2097" i="16" s="1"/>
  <c r="AD2105" i="16"/>
  <c r="AE2105" i="16" s="1"/>
  <c r="AF2105" i="16" s="1"/>
  <c r="AD2049" i="16"/>
  <c r="AE2049" i="16" s="1"/>
  <c r="AF2049" i="16" s="1"/>
  <c r="AD1929" i="16"/>
  <c r="AE1929" i="16" s="1"/>
  <c r="AF1929" i="16" s="1"/>
  <c r="AD583" i="16"/>
  <c r="AE583" i="16" s="1"/>
  <c r="AF583" i="16" s="1"/>
  <c r="AD703" i="16"/>
  <c r="AE703" i="16" s="1"/>
  <c r="AF703" i="16" s="1"/>
  <c r="AD783" i="16"/>
  <c r="AE783" i="16" s="1"/>
  <c r="AF783" i="16" s="1"/>
  <c r="AD863" i="16"/>
  <c r="AE863" i="16" s="1"/>
  <c r="AF863" i="16" s="1"/>
  <c r="AD959" i="16"/>
  <c r="AE959" i="16" s="1"/>
  <c r="AF959" i="16" s="1"/>
  <c r="AD1039" i="16"/>
  <c r="AE1039" i="16" s="1"/>
  <c r="AF1039" i="16" s="1"/>
  <c r="AD1119" i="16"/>
  <c r="AE1119" i="16" s="1"/>
  <c r="AF1119" i="16" s="1"/>
  <c r="AD1215" i="16"/>
  <c r="AE1215" i="16" s="1"/>
  <c r="AF1215" i="16" s="1"/>
  <c r="AD1295" i="16"/>
  <c r="AE1295" i="16" s="1"/>
  <c r="AF1295" i="16" s="1"/>
  <c r="AD1375" i="16"/>
  <c r="AE1375" i="16" s="1"/>
  <c r="AF1375" i="16" s="1"/>
  <c r="AD1471" i="16"/>
  <c r="AE1471" i="16" s="1"/>
  <c r="AF1471" i="16" s="1"/>
  <c r="AD1551" i="16"/>
  <c r="AE1551" i="16" s="1"/>
  <c r="AF1551" i="16" s="1"/>
  <c r="AD1631" i="16"/>
  <c r="AE1631" i="16" s="1"/>
  <c r="AF1631" i="16" s="1"/>
  <c r="AD1727" i="16"/>
  <c r="AE1727" i="16" s="1"/>
  <c r="AF1727" i="16" s="1"/>
  <c r="AD1807" i="16"/>
  <c r="AE1807" i="16" s="1"/>
  <c r="AF1807" i="16" s="1"/>
  <c r="AD1887" i="16"/>
  <c r="AE1887" i="16" s="1"/>
  <c r="AF1887" i="16" s="1"/>
  <c r="AD1983" i="16"/>
  <c r="AE1983" i="16" s="1"/>
  <c r="AF1983" i="16" s="1"/>
  <c r="AD2063" i="16"/>
  <c r="AE2063" i="16" s="1"/>
  <c r="AF2063" i="16" s="1"/>
  <c r="AD2127" i="16"/>
  <c r="AE2127" i="16" s="1"/>
  <c r="AF2127" i="16" s="1"/>
  <c r="AD2191" i="16"/>
  <c r="AE2191" i="16" s="1"/>
  <c r="AF2191" i="16" s="1"/>
  <c r="AD2255" i="16"/>
  <c r="AE2255" i="16" s="1"/>
  <c r="AF2255" i="16" s="1"/>
  <c r="AD2257" i="16"/>
  <c r="AE2257" i="16" s="1"/>
  <c r="AF2257" i="16" s="1"/>
  <c r="AD2201" i="16"/>
  <c r="AE2201" i="16" s="1"/>
  <c r="AF2201" i="16" s="1"/>
  <c r="AD2145" i="16"/>
  <c r="AE2145" i="16" s="1"/>
  <c r="AF2145" i="16" s="1"/>
  <c r="AD2153" i="16"/>
  <c r="AE2153" i="16" s="1"/>
  <c r="AF2153" i="16" s="1"/>
  <c r="AD2161" i="16"/>
  <c r="AE2161" i="16" s="1"/>
  <c r="AF2161" i="16" s="1"/>
  <c r="AD2169" i="16"/>
  <c r="AE2169" i="16" s="1"/>
  <c r="AF2169" i="16" s="1"/>
  <c r="AD2113" i="16"/>
  <c r="AE2113" i="16" s="1"/>
  <c r="AF2113" i="16" s="1"/>
  <c r="AD1993" i="16"/>
  <c r="AE1993" i="16" s="1"/>
  <c r="AF1993" i="16" s="1"/>
  <c r="AD591" i="16"/>
  <c r="AE591" i="16" s="1"/>
  <c r="AF591" i="16" s="1"/>
  <c r="AD711" i="16"/>
  <c r="AE711" i="16" s="1"/>
  <c r="AF711" i="16" s="1"/>
  <c r="AD791" i="16"/>
  <c r="AE791" i="16" s="1"/>
  <c r="AF791" i="16" s="1"/>
  <c r="AD887" i="16"/>
  <c r="AE887" i="16" s="1"/>
  <c r="AF887" i="16" s="1"/>
  <c r="AD967" i="16"/>
  <c r="AE967" i="16" s="1"/>
  <c r="AF967" i="16" s="1"/>
  <c r="AD1047" i="16"/>
  <c r="AE1047" i="16" s="1"/>
  <c r="AF1047" i="16" s="1"/>
  <c r="AD1143" i="16"/>
  <c r="AE1143" i="16" s="1"/>
  <c r="AF1143" i="16" s="1"/>
  <c r="AD1223" i="16"/>
  <c r="AE1223" i="16" s="1"/>
  <c r="AF1223" i="16" s="1"/>
  <c r="AD1303" i="16"/>
  <c r="AE1303" i="16" s="1"/>
  <c r="AF1303" i="16" s="1"/>
  <c r="AD1399" i="16"/>
  <c r="AE1399" i="16" s="1"/>
  <c r="AF1399" i="16" s="1"/>
  <c r="AD1479" i="16"/>
  <c r="AE1479" i="16" s="1"/>
  <c r="AF1479" i="16" s="1"/>
  <c r="AD1559" i="16"/>
  <c r="AE1559" i="16" s="1"/>
  <c r="AF1559" i="16" s="1"/>
  <c r="AD1655" i="16"/>
  <c r="AE1655" i="16" s="1"/>
  <c r="AF1655" i="16" s="1"/>
  <c r="AD1735" i="16"/>
  <c r="AE1735" i="16" s="1"/>
  <c r="AF1735" i="16" s="1"/>
  <c r="AD1815" i="16"/>
  <c r="AE1815" i="16" s="1"/>
  <c r="AF1815" i="16" s="1"/>
  <c r="AD1911" i="16"/>
  <c r="AE1911" i="16" s="1"/>
  <c r="AF1911" i="16" s="1"/>
  <c r="AD1991" i="16"/>
  <c r="AE1991" i="16" s="1"/>
  <c r="AF1991" i="16" s="1"/>
  <c r="AD2071" i="16"/>
  <c r="AE2071" i="16" s="1"/>
  <c r="AF2071" i="16" s="1"/>
  <c r="AD2135" i="16"/>
  <c r="AE2135" i="16" s="1"/>
  <c r="AF2135" i="16" s="1"/>
  <c r="AD2199" i="16"/>
  <c r="AE2199" i="16" s="1"/>
  <c r="AF2199" i="16" s="1"/>
  <c r="AD2263" i="16"/>
  <c r="AE2263" i="16" s="1"/>
  <c r="AF2263" i="16" s="1"/>
  <c r="AD1753" i="16"/>
  <c r="AE1753" i="16" s="1"/>
  <c r="AF1753" i="16" s="1"/>
  <c r="AD2265" i="16"/>
  <c r="AE2265" i="16" s="1"/>
  <c r="AF2265" i="16" s="1"/>
  <c r="AD2209" i="16"/>
  <c r="AE2209" i="16" s="1"/>
  <c r="AF2209" i="16" s="1"/>
  <c r="AD2217" i="16"/>
  <c r="AE2217" i="16" s="1"/>
  <c r="AF2217" i="16" s="1"/>
  <c r="AD2225" i="16"/>
  <c r="AE2225" i="16" s="1"/>
  <c r="AF2225" i="16" s="1"/>
  <c r="AD2233" i="16"/>
  <c r="AE2233" i="16" s="1"/>
  <c r="AF2233" i="16" s="1"/>
  <c r="AD2177" i="16"/>
  <c r="AE2177" i="16" s="1"/>
  <c r="AF2177" i="16" s="1"/>
  <c r="AD2057" i="16"/>
  <c r="AE2057" i="16" s="1"/>
  <c r="AF2057" i="16" s="1"/>
  <c r="AD599" i="16"/>
  <c r="AE599" i="16" s="1"/>
  <c r="AF599" i="16" s="1"/>
  <c r="AD719" i="16"/>
  <c r="AE719" i="16" s="1"/>
  <c r="AF719" i="16" s="1"/>
  <c r="AD799" i="16"/>
  <c r="AE799" i="16" s="1"/>
  <c r="AF799" i="16" s="1"/>
  <c r="AD895" i="16"/>
  <c r="AE895" i="16" s="1"/>
  <c r="AF895" i="16" s="1"/>
  <c r="AD975" i="16"/>
  <c r="AE975" i="16" s="1"/>
  <c r="AF975" i="16" s="1"/>
  <c r="AD1055" i="16"/>
  <c r="AE1055" i="16" s="1"/>
  <c r="AF1055" i="16" s="1"/>
  <c r="AD1151" i="16"/>
  <c r="AE1151" i="16" s="1"/>
  <c r="AF1151" i="16" s="1"/>
  <c r="AD1231" i="16"/>
  <c r="AE1231" i="16" s="1"/>
  <c r="AF1231" i="16" s="1"/>
  <c r="AD1311" i="16"/>
  <c r="AE1311" i="16" s="1"/>
  <c r="AF1311" i="16" s="1"/>
  <c r="AD1407" i="16"/>
  <c r="AE1407" i="16" s="1"/>
  <c r="AF1407" i="16" s="1"/>
  <c r="AD1487" i="16"/>
  <c r="AE1487" i="16" s="1"/>
  <c r="AF1487" i="16" s="1"/>
  <c r="AD1567" i="16"/>
  <c r="AE1567" i="16" s="1"/>
  <c r="AF1567" i="16" s="1"/>
  <c r="AD1663" i="16"/>
  <c r="AE1663" i="16" s="1"/>
  <c r="AF1663" i="16" s="1"/>
  <c r="AD1743" i="16"/>
  <c r="AE1743" i="16" s="1"/>
  <c r="AF1743" i="16" s="1"/>
  <c r="AD1823" i="16"/>
  <c r="AE1823" i="16" s="1"/>
  <c r="AF1823" i="16" s="1"/>
  <c r="AD1919" i="16"/>
  <c r="AE1919" i="16" s="1"/>
  <c r="AF1919" i="16" s="1"/>
  <c r="AD1999" i="16"/>
  <c r="AE1999" i="16" s="1"/>
  <c r="AF1999" i="16" s="1"/>
  <c r="AD2079" i="16"/>
  <c r="AE2079" i="16" s="1"/>
  <c r="AF2079" i="16" s="1"/>
  <c r="AD2143" i="16"/>
  <c r="AE2143" i="16" s="1"/>
  <c r="AF2143" i="16" s="1"/>
  <c r="AD2207" i="16"/>
  <c r="AE2207" i="16" s="1"/>
  <c r="AF2207" i="16" s="1"/>
  <c r="AD1745" i="16"/>
  <c r="AE1745" i="16" s="1"/>
  <c r="AF1745" i="16" s="1"/>
  <c r="AD1817" i="16"/>
  <c r="AE1817" i="16" s="1"/>
  <c r="AF1817" i="16" s="1"/>
  <c r="AD1761" i="16"/>
  <c r="AE1761" i="16" s="1"/>
  <c r="AF1761" i="16" s="1"/>
  <c r="AD1769" i="16"/>
  <c r="AE1769" i="16" s="1"/>
  <c r="AF1769" i="16" s="1"/>
  <c r="AD1777" i="16"/>
  <c r="AE1777" i="16" s="1"/>
  <c r="AF1777" i="16" s="1"/>
  <c r="AD1785" i="16"/>
  <c r="AE1785" i="16" s="1"/>
  <c r="AF1785" i="16" s="1"/>
  <c r="AD1729" i="16"/>
  <c r="AE1729" i="16" s="1"/>
  <c r="AF1729" i="16" s="1"/>
  <c r="AD2241" i="16"/>
  <c r="AE2241" i="16" s="1"/>
  <c r="AF2241" i="16" s="1"/>
  <c r="AD2121" i="16"/>
  <c r="AE2121" i="16" s="1"/>
  <c r="AF2121" i="16" s="1"/>
  <c r="AD631" i="16"/>
  <c r="AE631" i="16" s="1"/>
  <c r="AF631" i="16" s="1"/>
  <c r="AD727" i="16"/>
  <c r="AE727" i="16" s="1"/>
  <c r="AF727" i="16" s="1"/>
  <c r="AD823" i="16"/>
  <c r="AE823" i="16" s="1"/>
  <c r="AF823" i="16" s="1"/>
  <c r="AD903" i="16"/>
  <c r="AE903" i="16" s="1"/>
  <c r="AF903" i="16" s="1"/>
  <c r="AD983" i="16"/>
  <c r="AE983" i="16" s="1"/>
  <c r="AF983" i="16" s="1"/>
  <c r="AD1079" i="16"/>
  <c r="AE1079" i="16" s="1"/>
  <c r="AF1079" i="16" s="1"/>
  <c r="AD1159" i="16"/>
  <c r="AE1159" i="16" s="1"/>
  <c r="AF1159" i="16" s="1"/>
  <c r="AD1239" i="16"/>
  <c r="AE1239" i="16" s="1"/>
  <c r="AF1239" i="16" s="1"/>
  <c r="AD1335" i="16"/>
  <c r="AE1335" i="16" s="1"/>
  <c r="AF1335" i="16" s="1"/>
  <c r="AD1415" i="16"/>
  <c r="AE1415" i="16" s="1"/>
  <c r="AF1415" i="16" s="1"/>
  <c r="AD1495" i="16"/>
  <c r="AE1495" i="16" s="1"/>
  <c r="AF1495" i="16" s="1"/>
  <c r="AD1591" i="16"/>
  <c r="AE1591" i="16" s="1"/>
  <c r="AF1591" i="16" s="1"/>
  <c r="AD1671" i="16"/>
  <c r="AE1671" i="16" s="1"/>
  <c r="AF1671" i="16" s="1"/>
  <c r="AD1751" i="16"/>
  <c r="AE1751" i="16" s="1"/>
  <c r="AF1751" i="16" s="1"/>
  <c r="AD1847" i="16"/>
  <c r="AE1847" i="16" s="1"/>
  <c r="AF1847" i="16" s="1"/>
  <c r="AD1927" i="16"/>
  <c r="AE1927" i="16" s="1"/>
  <c r="AF1927" i="16" s="1"/>
  <c r="AD2007" i="16"/>
  <c r="AE2007" i="16" s="1"/>
  <c r="AF2007" i="16" s="1"/>
  <c r="AD2087" i="16"/>
  <c r="AE2087" i="16" s="1"/>
  <c r="AF2087" i="16" s="1"/>
  <c r="AD2151" i="16"/>
  <c r="AE2151" i="16" s="1"/>
  <c r="AF2151" i="16" s="1"/>
  <c r="AD2215" i="16"/>
  <c r="AE2215" i="16" s="1"/>
  <c r="AF2215" i="16" s="1"/>
  <c r="AD1937" i="16"/>
  <c r="AE1937" i="16" s="1"/>
  <c r="AF1937" i="16" s="1"/>
  <c r="AD1881" i="16"/>
  <c r="AE1881" i="16" s="1"/>
  <c r="AF1881" i="16" s="1"/>
  <c r="AD1825" i="16"/>
  <c r="AE1825" i="16" s="1"/>
  <c r="AF1825" i="16" s="1"/>
  <c r="AD1833" i="16"/>
  <c r="AE1833" i="16" s="1"/>
  <c r="AF1833" i="16" s="1"/>
  <c r="AD1841" i="16"/>
  <c r="AE1841" i="16" s="1"/>
  <c r="AF1841" i="16" s="1"/>
  <c r="AD1849" i="16"/>
  <c r="AE1849" i="16" s="1"/>
  <c r="AF1849" i="16" s="1"/>
  <c r="AD1793" i="16"/>
  <c r="AE1793" i="16" s="1"/>
  <c r="AF1793" i="16" s="1"/>
  <c r="AD1873" i="16"/>
  <c r="AE1873" i="16" s="1"/>
  <c r="AF1873" i="16" s="1"/>
  <c r="AD2185" i="16"/>
  <c r="AE2185" i="16" s="1"/>
  <c r="AF2185" i="16" s="1"/>
  <c r="AD647" i="16"/>
  <c r="AE647" i="16" s="1"/>
  <c r="AF647" i="16" s="1"/>
  <c r="AD735" i="16"/>
  <c r="AE735" i="16" s="1"/>
  <c r="AF735" i="16" s="1"/>
  <c r="AD831" i="16"/>
  <c r="AE831" i="16" s="1"/>
  <c r="AF831" i="16" s="1"/>
  <c r="AD911" i="16"/>
  <c r="AE911" i="16" s="1"/>
  <c r="AF911" i="16" s="1"/>
  <c r="AD991" i="16"/>
  <c r="AE991" i="16" s="1"/>
  <c r="AF991" i="16" s="1"/>
  <c r="AD1087" i="16"/>
  <c r="AE1087" i="16" s="1"/>
  <c r="AF1087" i="16" s="1"/>
  <c r="AD1167" i="16"/>
  <c r="AE1167" i="16" s="1"/>
  <c r="AF1167" i="16" s="1"/>
  <c r="AD1247" i="16"/>
  <c r="AE1247" i="16" s="1"/>
  <c r="AF1247" i="16" s="1"/>
  <c r="AD1343" i="16"/>
  <c r="AE1343" i="16" s="1"/>
  <c r="AF1343" i="16" s="1"/>
  <c r="AD1423" i="16"/>
  <c r="AE1423" i="16" s="1"/>
  <c r="AF1423" i="16" s="1"/>
  <c r="AD1503" i="16"/>
  <c r="AE1503" i="16" s="1"/>
  <c r="AF1503" i="16" s="1"/>
  <c r="AD1599" i="16"/>
  <c r="AE1599" i="16" s="1"/>
  <c r="AF1599" i="16" s="1"/>
  <c r="AD1679" i="16"/>
  <c r="AE1679" i="16" s="1"/>
  <c r="AF1679" i="16" s="1"/>
  <c r="AD1759" i="16"/>
  <c r="AE1759" i="16" s="1"/>
  <c r="AF1759" i="16" s="1"/>
  <c r="AD1855" i="16"/>
  <c r="AE1855" i="16" s="1"/>
  <c r="AF1855" i="16" s="1"/>
  <c r="AD1935" i="16"/>
  <c r="AE1935" i="16" s="1"/>
  <c r="AF1935" i="16" s="1"/>
  <c r="AD2015" i="16"/>
  <c r="AE2015" i="16" s="1"/>
  <c r="AF2015" i="16" s="1"/>
  <c r="AD2095" i="16"/>
  <c r="AE2095" i="16" s="1"/>
  <c r="AF2095" i="16" s="1"/>
  <c r="AD2159" i="16"/>
  <c r="AE2159" i="16" s="1"/>
  <c r="AF2159" i="16" s="1"/>
  <c r="AD2223" i="16"/>
  <c r="AE2223" i="16" s="1"/>
  <c r="AF2223" i="16" s="1"/>
  <c r="AD2001" i="16"/>
  <c r="AE2001" i="16" s="1"/>
  <c r="AF2001" i="16" s="1"/>
  <c r="AD1945" i="16"/>
  <c r="AE1945" i="16" s="1"/>
  <c r="AF1945" i="16" s="1"/>
  <c r="AD1889" i="16"/>
  <c r="AE1889" i="16" s="1"/>
  <c r="AF1889" i="16" s="1"/>
  <c r="AD1897" i="16"/>
  <c r="AE1897" i="16" s="1"/>
  <c r="AF1897" i="16" s="1"/>
  <c r="AD1905" i="16"/>
  <c r="AE1905" i="16" s="1"/>
  <c r="AF1905" i="16" s="1"/>
  <c r="AD1913" i="16"/>
  <c r="AE1913" i="16" s="1"/>
  <c r="AF1913" i="16" s="1"/>
  <c r="AD1857" i="16"/>
  <c r="AE1857" i="16" s="1"/>
  <c r="AF1857" i="16" s="1"/>
  <c r="AD1737" i="16"/>
  <c r="AE1737" i="16" s="1"/>
  <c r="AF1737" i="16" s="1"/>
  <c r="AD2249" i="16"/>
  <c r="AE2249" i="16" s="1"/>
  <c r="AF2249" i="16" s="1"/>
  <c r="AD655" i="16"/>
  <c r="AE655" i="16" s="1"/>
  <c r="AF655" i="16" s="1"/>
  <c r="AD759" i="16"/>
  <c r="AE759" i="16" s="1"/>
  <c r="AF759" i="16" s="1"/>
  <c r="AD839" i="16"/>
  <c r="AE839" i="16" s="1"/>
  <c r="AF839" i="16" s="1"/>
  <c r="AD919" i="16"/>
  <c r="AE919" i="16" s="1"/>
  <c r="AF919" i="16" s="1"/>
  <c r="AD1015" i="16"/>
  <c r="AE1015" i="16" s="1"/>
  <c r="AF1015" i="16" s="1"/>
  <c r="AD1095" i="16"/>
  <c r="AE1095" i="16" s="1"/>
  <c r="AF1095" i="16" s="1"/>
  <c r="AD1175" i="16"/>
  <c r="AE1175" i="16" s="1"/>
  <c r="AF1175" i="16" s="1"/>
  <c r="AD1271" i="16"/>
  <c r="AE1271" i="16" s="1"/>
  <c r="AF1271" i="16" s="1"/>
  <c r="AD1351" i="16"/>
  <c r="AE1351" i="16" s="1"/>
  <c r="AF1351" i="16" s="1"/>
  <c r="AD1431" i="16"/>
  <c r="AE1431" i="16" s="1"/>
  <c r="AF1431" i="16" s="1"/>
  <c r="AD1527" i="16"/>
  <c r="AE1527" i="16" s="1"/>
  <c r="AF1527" i="16" s="1"/>
  <c r="AD1607" i="16"/>
  <c r="AE1607" i="16" s="1"/>
  <c r="AF1607" i="16" s="1"/>
  <c r="AD1687" i="16"/>
  <c r="AE1687" i="16" s="1"/>
  <c r="AF1687" i="16" s="1"/>
  <c r="AD1783" i="16"/>
  <c r="AE1783" i="16" s="1"/>
  <c r="AF1783" i="16" s="1"/>
  <c r="AD1863" i="16"/>
  <c r="AE1863" i="16" s="1"/>
  <c r="AF1863" i="16" s="1"/>
  <c r="AD1943" i="16"/>
  <c r="AE1943" i="16" s="1"/>
  <c r="AF1943" i="16" s="1"/>
  <c r="AD2039" i="16"/>
  <c r="AE2039" i="16" s="1"/>
  <c r="AF2039" i="16" s="1"/>
  <c r="AD2103" i="16"/>
  <c r="AE2103" i="16" s="1"/>
  <c r="AF2103" i="16" s="1"/>
  <c r="AD2167" i="16"/>
  <c r="AE2167" i="16" s="1"/>
  <c r="AF2167" i="16" s="1"/>
  <c r="AD2231" i="16"/>
  <c r="AE2231" i="16" s="1"/>
  <c r="AF2231" i="16" s="1"/>
  <c r="AD2065" i="16"/>
  <c r="AE2065" i="16" s="1"/>
  <c r="AF2065" i="16" s="1"/>
  <c r="AD2009" i="16"/>
  <c r="AE2009" i="16" s="1"/>
  <c r="AF2009" i="16" s="1"/>
  <c r="AD1953" i="16"/>
  <c r="AE1953" i="16" s="1"/>
  <c r="AF1953" i="16" s="1"/>
  <c r="AD1961" i="16"/>
  <c r="AE1961" i="16" s="1"/>
  <c r="AF1961" i="16" s="1"/>
  <c r="AD1969" i="16"/>
  <c r="AE1969" i="16" s="1"/>
  <c r="AF1969" i="16" s="1"/>
  <c r="AD1977" i="16"/>
  <c r="AE1977" i="16" s="1"/>
  <c r="AF1977" i="16" s="1"/>
  <c r="AD1921" i="16"/>
  <c r="AE1921" i="16" s="1"/>
  <c r="AF1921" i="16" s="1"/>
  <c r="AD1801" i="16"/>
  <c r="AE1801" i="16" s="1"/>
  <c r="AF1801" i="16" s="1"/>
  <c r="AD1809" i="16"/>
  <c r="AE1809" i="16" s="1"/>
  <c r="AF1809" i="16" s="1"/>
  <c r="W2361" i="16"/>
  <c r="AB2361" i="16"/>
  <c r="AC2361" i="16" s="1"/>
  <c r="Y2361" i="16"/>
  <c r="Z2361" i="16" s="1"/>
  <c r="W2395" i="16"/>
  <c r="AB2395" i="16"/>
  <c r="AC2395" i="16" s="1"/>
  <c r="Y2395" i="16"/>
  <c r="Z2395" i="16" s="1"/>
  <c r="W2552" i="16"/>
  <c r="AB2552" i="16"/>
  <c r="AC2552" i="16" s="1"/>
  <c r="Y2552" i="16"/>
  <c r="Z2552" i="16" s="1"/>
  <c r="W2123" i="16"/>
  <c r="Y2123" i="16"/>
  <c r="Z2123" i="16" s="1"/>
  <c r="W2445" i="16"/>
  <c r="AB2445" i="16"/>
  <c r="AC2445" i="16" s="1"/>
  <c r="Y2445" i="16"/>
  <c r="Z2445" i="16" s="1"/>
  <c r="W2317" i="16"/>
  <c r="AB2317" i="16"/>
  <c r="AC2317" i="16" s="1"/>
  <c r="Y2317" i="16"/>
  <c r="Z2317" i="16" s="1"/>
  <c r="W2011" i="16"/>
  <c r="Y2011" i="16"/>
  <c r="Z2011" i="16" s="1"/>
  <c r="W2538" i="16"/>
  <c r="AB2538" i="16"/>
  <c r="AC2538" i="16" s="1"/>
  <c r="Y2538" i="16"/>
  <c r="Z2538" i="16" s="1"/>
  <c r="W2195" i="16"/>
  <c r="Y2195" i="16"/>
  <c r="Z2195" i="16" s="1"/>
  <c r="W2438" i="16"/>
  <c r="AB2438" i="16"/>
  <c r="AC2438" i="16" s="1"/>
  <c r="Y2438" i="16"/>
  <c r="Z2438" i="16" s="1"/>
  <c r="W2588" i="16"/>
  <c r="AB2588" i="16"/>
  <c r="AC2588" i="16" s="1"/>
  <c r="Y2588" i="16"/>
  <c r="Z2588" i="16" s="1"/>
  <c r="W1947" i="16"/>
  <c r="Y1947" i="16"/>
  <c r="Z1947" i="16" s="1"/>
  <c r="W2353" i="16"/>
  <c r="AB2353" i="16"/>
  <c r="AC2353" i="16" s="1"/>
  <c r="Y2353" i="16"/>
  <c r="Z2353" i="16" s="1"/>
  <c r="W2363" i="16"/>
  <c r="AB2363" i="16"/>
  <c r="AC2363" i="16" s="1"/>
  <c r="Y2363" i="16"/>
  <c r="Z2363" i="16" s="1"/>
  <c r="W2536" i="16"/>
  <c r="AB2536" i="16"/>
  <c r="AC2536" i="16" s="1"/>
  <c r="Y2536" i="16"/>
  <c r="Z2536" i="16" s="1"/>
  <c r="W1995" i="16"/>
  <c r="Y1995" i="16"/>
  <c r="Z1995" i="16" s="1"/>
  <c r="W2413" i="16"/>
  <c r="AB2413" i="16"/>
  <c r="AC2413" i="16" s="1"/>
  <c r="Y2413" i="16"/>
  <c r="Z2413" i="16" s="1"/>
  <c r="W2301" i="16"/>
  <c r="Y2301" i="16"/>
  <c r="Z2301" i="16" s="1"/>
  <c r="W2409" i="16"/>
  <c r="AB2409" i="16"/>
  <c r="AC2409" i="16" s="1"/>
  <c r="Y2409" i="16"/>
  <c r="Z2409" i="16" s="1"/>
  <c r="W2091" i="16"/>
  <c r="Y2091" i="16"/>
  <c r="Z2091" i="16" s="1"/>
  <c r="W2432" i="16"/>
  <c r="AB2432" i="16"/>
  <c r="AC2432" i="16" s="1"/>
  <c r="Y2432" i="16"/>
  <c r="Z2432" i="16" s="1"/>
  <c r="W2582" i="16"/>
  <c r="AB2582" i="16"/>
  <c r="AC2582" i="16" s="1"/>
  <c r="Y2582" i="16"/>
  <c r="Z2582" i="16" s="1"/>
  <c r="W2321" i="16"/>
  <c r="AB2321" i="16"/>
  <c r="AC2321" i="16" s="1"/>
  <c r="Y2321" i="16"/>
  <c r="Z2321" i="16" s="1"/>
  <c r="W2189" i="16"/>
  <c r="Y2189" i="16"/>
  <c r="Z2189" i="16" s="1"/>
  <c r="W2425" i="16"/>
  <c r="AB2425" i="16"/>
  <c r="AC2425" i="16" s="1"/>
  <c r="Y2425" i="16"/>
  <c r="Z2425" i="16" s="1"/>
  <c r="W2523" i="16"/>
  <c r="AB2523" i="16"/>
  <c r="AC2523" i="16" s="1"/>
  <c r="Y2523" i="16"/>
  <c r="Z2523" i="16" s="1"/>
  <c r="W1954" i="16"/>
  <c r="Y1954" i="16"/>
  <c r="Z1954" i="16" s="1"/>
  <c r="W2407" i="16"/>
  <c r="AB2407" i="16"/>
  <c r="AC2407" i="16" s="1"/>
  <c r="Y2407" i="16"/>
  <c r="Z2407" i="16" s="1"/>
  <c r="W2573" i="16"/>
  <c r="AB2573" i="16"/>
  <c r="AC2573" i="16" s="1"/>
  <c r="Y2573" i="16"/>
  <c r="Z2573" i="16" s="1"/>
  <c r="W2302" i="16"/>
  <c r="Y2302" i="16"/>
  <c r="Z2302" i="16" s="1"/>
  <c r="W2579" i="16"/>
  <c r="AB2579" i="16"/>
  <c r="AC2579" i="16" s="1"/>
  <c r="Y2579" i="16"/>
  <c r="Z2579" i="16" s="1"/>
  <c r="W2490" i="16"/>
  <c r="AB2490" i="16"/>
  <c r="AC2490" i="16" s="1"/>
  <c r="Y2490" i="16"/>
  <c r="Z2490" i="16" s="1"/>
  <c r="W2400" i="16"/>
  <c r="AB2400" i="16"/>
  <c r="AC2400" i="16" s="1"/>
  <c r="Y2400" i="16"/>
  <c r="Z2400" i="16" s="1"/>
  <c r="W2295" i="16"/>
  <c r="Y2295" i="16"/>
  <c r="Z2295" i="16" s="1"/>
  <c r="W2629" i="16"/>
  <c r="AB2629" i="16"/>
  <c r="AC2629" i="16" s="1"/>
  <c r="Y2629" i="16"/>
  <c r="Z2629" i="16" s="1"/>
  <c r="W2540" i="16"/>
  <c r="AB2540" i="16"/>
  <c r="AC2540" i="16" s="1"/>
  <c r="Y2540" i="16"/>
  <c r="Z2540" i="16" s="1"/>
  <c r="W2165" i="16"/>
  <c r="Y2165" i="16"/>
  <c r="Z2165" i="16" s="1"/>
  <c r="W1151" i="16"/>
  <c r="Y1151" i="16"/>
  <c r="Z1151" i="16" s="1"/>
  <c r="W1736" i="16"/>
  <c r="Y1736" i="16"/>
  <c r="Z1736" i="16" s="1"/>
  <c r="W1944" i="16"/>
  <c r="Y1944" i="16"/>
  <c r="Z1944" i="16" s="1"/>
  <c r="W2113" i="16"/>
  <c r="Y2113" i="16"/>
  <c r="Z2113" i="16" s="1"/>
  <c r="W2256" i="16"/>
  <c r="Y2256" i="16"/>
  <c r="Z2256" i="16" s="1"/>
  <c r="W1359" i="16"/>
  <c r="Y1359" i="16"/>
  <c r="Z1359" i="16" s="1"/>
  <c r="W1990" i="16"/>
  <c r="Y1990" i="16"/>
  <c r="Z1990" i="16" s="1"/>
  <c r="W576" i="16"/>
  <c r="Y576" i="16"/>
  <c r="Z576" i="16" s="1"/>
  <c r="W1143" i="16"/>
  <c r="Y1143" i="16"/>
  <c r="Z1143" i="16" s="1"/>
  <c r="W664" i="16"/>
  <c r="Y664" i="16"/>
  <c r="Z664" i="16" s="1"/>
  <c r="W2310" i="16"/>
  <c r="AB2310" i="16"/>
  <c r="AC2310" i="16" s="1"/>
  <c r="Y2310" i="16"/>
  <c r="Z2310" i="16" s="1"/>
  <c r="W1370" i="16"/>
  <c r="Y1370" i="16"/>
  <c r="Z1370" i="16" s="1"/>
  <c r="W2551" i="16"/>
  <c r="AB2551" i="16"/>
  <c r="AC2551" i="16" s="1"/>
  <c r="Y2551" i="16"/>
  <c r="Z2551" i="16" s="1"/>
  <c r="W2462" i="16"/>
  <c r="AB2462" i="16"/>
  <c r="AC2462" i="16" s="1"/>
  <c r="Y2462" i="16"/>
  <c r="Z2462" i="16" s="1"/>
  <c r="W2365" i="16"/>
  <c r="AB2365" i="16"/>
  <c r="AC2365" i="16" s="1"/>
  <c r="Y2365" i="16"/>
  <c r="Z2365" i="16" s="1"/>
  <c r="W2099" i="16"/>
  <c r="Y2099" i="16"/>
  <c r="Z2099" i="16" s="1"/>
  <c r="W1887" i="16"/>
  <c r="Y1887" i="16"/>
  <c r="Z1887" i="16" s="1"/>
  <c r="W2052" i="16"/>
  <c r="Y2052" i="16"/>
  <c r="Z2052" i="16" s="1"/>
  <c r="W2194" i="16"/>
  <c r="Y2194" i="16"/>
  <c r="Z2194" i="16" s="1"/>
  <c r="W1296" i="16"/>
  <c r="Y1296" i="16"/>
  <c r="Z1296" i="16" s="1"/>
  <c r="W1817" i="16"/>
  <c r="Y1817" i="16"/>
  <c r="Z1817" i="16" s="1"/>
  <c r="W1992" i="16"/>
  <c r="Y1992" i="16"/>
  <c r="Z1992" i="16" s="1"/>
  <c r="W1791" i="16"/>
  <c r="Y1791" i="16"/>
  <c r="Z1791" i="16" s="1"/>
  <c r="W1590" i="16"/>
  <c r="Y1590" i="16"/>
  <c r="Z1590" i="16" s="1"/>
  <c r="W1255" i="16"/>
  <c r="Y1255" i="16"/>
  <c r="Z1255" i="16" s="1"/>
  <c r="W1612" i="16"/>
  <c r="Y1612" i="16"/>
  <c r="Z1612" i="16" s="1"/>
  <c r="W2213" i="16"/>
  <c r="Y2213" i="16"/>
  <c r="Z2213" i="16" s="1"/>
  <c r="W1375" i="16"/>
  <c r="Y1375" i="16"/>
  <c r="Z1375" i="16" s="1"/>
  <c r="W1822" i="16"/>
  <c r="Y1822" i="16"/>
  <c r="Z1822" i="16" s="1"/>
  <c r="W1994" i="16"/>
  <c r="Y1994" i="16"/>
  <c r="Z1994" i="16" s="1"/>
  <c r="W2161" i="16"/>
  <c r="Y2161" i="16"/>
  <c r="Z2161" i="16" s="1"/>
  <c r="W1119" i="16"/>
  <c r="Y1119" i="16"/>
  <c r="Z1119" i="16" s="1"/>
  <c r="W1704" i="16"/>
  <c r="Y1704" i="16"/>
  <c r="Z1704" i="16" s="1"/>
  <c r="W2102" i="16"/>
  <c r="Y2102" i="16"/>
  <c r="Z2102" i="16" s="1"/>
  <c r="W761" i="16"/>
  <c r="Y761" i="16"/>
  <c r="Z761" i="16" s="1"/>
  <c r="W1393" i="16"/>
  <c r="Y1393" i="16"/>
  <c r="Z1393" i="16" s="1"/>
  <c r="W1137" i="16"/>
  <c r="Y1137" i="16"/>
  <c r="Z1137" i="16" s="1"/>
  <c r="W2100" i="16"/>
  <c r="Y2100" i="16"/>
  <c r="Z2100" i="16" s="1"/>
  <c r="W2242" i="16"/>
  <c r="Y2242" i="16"/>
  <c r="Z2242" i="16" s="1"/>
  <c r="W1490" i="16"/>
  <c r="Y1490" i="16"/>
  <c r="Z1490" i="16" s="1"/>
  <c r="W1881" i="16"/>
  <c r="Y1881" i="16"/>
  <c r="Z1881" i="16" s="1"/>
  <c r="W2040" i="16"/>
  <c r="Y2040" i="16"/>
  <c r="Z2040" i="16" s="1"/>
  <c r="W1931" i="16"/>
  <c r="Y1931" i="16"/>
  <c r="Z1931" i="16" s="1"/>
  <c r="W1728" i="16"/>
  <c r="Y1728" i="16"/>
  <c r="Z1728" i="16" s="1"/>
  <c r="W1422" i="16"/>
  <c r="Y1422" i="16"/>
  <c r="Z1422" i="16" s="1"/>
  <c r="W472" i="16"/>
  <c r="Y472" i="16"/>
  <c r="Z472" i="16" s="1"/>
  <c r="W1261" i="16"/>
  <c r="Y1261" i="16"/>
  <c r="Z1261" i="16" s="1"/>
  <c r="W1799" i="16"/>
  <c r="Y1799" i="16"/>
  <c r="Z1799" i="16" s="1"/>
  <c r="W1978" i="16"/>
  <c r="Y1978" i="16"/>
  <c r="Z1978" i="16" s="1"/>
  <c r="W2145" i="16"/>
  <c r="Y2145" i="16"/>
  <c r="Z2145" i="16" s="1"/>
  <c r="W2288" i="16"/>
  <c r="Y2288" i="16"/>
  <c r="Z2288" i="16" s="1"/>
  <c r="W1598" i="16"/>
  <c r="Y1598" i="16"/>
  <c r="Z1598" i="16" s="1"/>
  <c r="W2054" i="16"/>
  <c r="Y2054" i="16"/>
  <c r="Z2054" i="16" s="1"/>
  <c r="W244" i="16"/>
  <c r="Y244" i="16"/>
  <c r="Z244" i="16" s="1"/>
  <c r="W1290" i="16"/>
  <c r="Y1290" i="16"/>
  <c r="Z1290" i="16" s="1"/>
  <c r="W1063" i="16"/>
  <c r="Y1063" i="16"/>
  <c r="Z1063" i="16" s="1"/>
  <c r="W2084" i="16"/>
  <c r="Y2084" i="16"/>
  <c r="Z2084" i="16" s="1"/>
  <c r="W2226" i="16"/>
  <c r="Y2226" i="16"/>
  <c r="Z2226" i="16" s="1"/>
  <c r="W1434" i="16"/>
  <c r="Y1434" i="16"/>
  <c r="Z1434" i="16" s="1"/>
  <c r="W1860" i="16"/>
  <c r="Y1860" i="16"/>
  <c r="Z1860" i="16" s="1"/>
  <c r="W2024" i="16"/>
  <c r="Y2024" i="16"/>
  <c r="Z2024" i="16" s="1"/>
  <c r="W1879" i="16"/>
  <c r="Y1879" i="16"/>
  <c r="Z1879" i="16" s="1"/>
  <c r="W1674" i="16"/>
  <c r="Y1674" i="16"/>
  <c r="Z1674" i="16" s="1"/>
  <c r="W1358" i="16"/>
  <c r="Y1358" i="16"/>
  <c r="Z1358" i="16" s="1"/>
  <c r="W1719" i="16"/>
  <c r="Y1719" i="16"/>
  <c r="Z1719" i="16" s="1"/>
  <c r="W1189" i="16"/>
  <c r="Y1189" i="16"/>
  <c r="Z1189" i="16" s="1"/>
  <c r="W1502" i="16"/>
  <c r="Y1502" i="16"/>
  <c r="Z1502" i="16" s="1"/>
  <c r="W1864" i="16"/>
  <c r="Y1864" i="16"/>
  <c r="Z1864" i="16" s="1"/>
  <c r="W2026" i="16"/>
  <c r="Y2026" i="16"/>
  <c r="Z2026" i="16" s="1"/>
  <c r="W2193" i="16"/>
  <c r="Y2193" i="16"/>
  <c r="Z2193" i="16" s="1"/>
  <c r="W1295" i="16"/>
  <c r="Y1295" i="16"/>
  <c r="Z1295" i="16" s="1"/>
  <c r="W1778" i="16"/>
  <c r="Y1778" i="16"/>
  <c r="Z1778" i="16" s="1"/>
  <c r="W2166" i="16"/>
  <c r="Y2166" i="16"/>
  <c r="Z2166" i="16" s="1"/>
  <c r="W1040" i="16"/>
  <c r="Y1040" i="16"/>
  <c r="Z1040" i="16" s="1"/>
  <c r="W1508" i="16"/>
  <c r="Y1508" i="16"/>
  <c r="Z1508" i="16" s="1"/>
  <c r="W1217" i="16"/>
  <c r="Y1217" i="16"/>
  <c r="Z1217" i="16" s="1"/>
  <c r="W2132" i="16"/>
  <c r="Y2132" i="16"/>
  <c r="Z2132" i="16" s="1"/>
  <c r="W2274" i="16"/>
  <c r="Y2274" i="16"/>
  <c r="Z2274" i="16" s="1"/>
  <c r="W1607" i="16"/>
  <c r="Y1607" i="16"/>
  <c r="Z1607" i="16" s="1"/>
  <c r="W1924" i="16"/>
  <c r="Y1924" i="16"/>
  <c r="Z1924" i="16" s="1"/>
  <c r="W2072" i="16"/>
  <c r="Y2072" i="16"/>
  <c r="Z2072" i="16" s="1"/>
  <c r="W1999" i="16"/>
  <c r="Y1999" i="16"/>
  <c r="Z1999" i="16" s="1"/>
  <c r="W971" i="16"/>
  <c r="Y971" i="16"/>
  <c r="Z971" i="16" s="1"/>
  <c r="W1510" i="16"/>
  <c r="Y1510" i="16"/>
  <c r="Z1510" i="16" s="1"/>
  <c r="W1090" i="16"/>
  <c r="Y1090" i="16"/>
  <c r="Z1090" i="16" s="1"/>
  <c r="W1373" i="16"/>
  <c r="Y1373" i="16"/>
  <c r="Z1373" i="16" s="1"/>
  <c r="W2055" i="16"/>
  <c r="Y2055" i="16"/>
  <c r="Z2055" i="16" s="1"/>
  <c r="W2206" i="16"/>
  <c r="Y2206" i="16"/>
  <c r="Z2206" i="16" s="1"/>
  <c r="W1346" i="16"/>
  <c r="Y1346" i="16"/>
  <c r="Z1346" i="16" s="1"/>
  <c r="W1136" i="16"/>
  <c r="Y1136" i="16"/>
  <c r="Z1136" i="16" s="1"/>
  <c r="W1584" i="16"/>
  <c r="Y1584" i="16"/>
  <c r="Z1584" i="16" s="1"/>
  <c r="W1583" i="16"/>
  <c r="Y1583" i="16"/>
  <c r="Z1583" i="16" s="1"/>
  <c r="W1264" i="16"/>
  <c r="Y1264" i="16"/>
  <c r="Z1264" i="16" s="1"/>
  <c r="W928" i="16"/>
  <c r="Y928" i="16"/>
  <c r="Z928" i="16" s="1"/>
  <c r="W1477" i="16"/>
  <c r="Y1477" i="16"/>
  <c r="Z1477" i="16" s="1"/>
  <c r="W1107" i="16"/>
  <c r="Y1107" i="16"/>
  <c r="Z1107" i="16" s="1"/>
  <c r="W1118" i="16"/>
  <c r="Y1118" i="16"/>
  <c r="Z1118" i="16" s="1"/>
  <c r="W1703" i="16"/>
  <c r="Y1703" i="16"/>
  <c r="Z1703" i="16" s="1"/>
  <c r="W1939" i="16"/>
  <c r="Y1939" i="16"/>
  <c r="Z1939" i="16" s="1"/>
  <c r="W1536" i="16"/>
  <c r="Y1536" i="16"/>
  <c r="Z1536" i="16" s="1"/>
  <c r="W1096" i="16"/>
  <c r="Y1096" i="16"/>
  <c r="Z1096" i="16" s="1"/>
  <c r="W1176" i="16"/>
  <c r="Y1176" i="16"/>
  <c r="Z1176" i="16" s="1"/>
  <c r="W984" i="16"/>
  <c r="Y984" i="16"/>
  <c r="Z984" i="16" s="1"/>
  <c r="W1537" i="16"/>
  <c r="Y1537" i="16"/>
  <c r="Z1537" i="16" s="1"/>
  <c r="W1901" i="16"/>
  <c r="Y1901" i="16"/>
  <c r="Z1901" i="16" s="1"/>
  <c r="W969" i="16"/>
  <c r="Y969" i="16"/>
  <c r="Z969" i="16" s="1"/>
  <c r="W1635" i="16"/>
  <c r="Y1635" i="16"/>
  <c r="Z1635" i="16" s="1"/>
  <c r="W2103" i="16"/>
  <c r="Y2103" i="16"/>
  <c r="Z2103" i="16" s="1"/>
  <c r="W2254" i="16"/>
  <c r="Y2254" i="16"/>
  <c r="Z2254" i="16" s="1"/>
  <c r="W1534" i="16"/>
  <c r="Y1534" i="16"/>
  <c r="Z1534" i="16" s="1"/>
  <c r="W1232" i="16"/>
  <c r="Y1232" i="16"/>
  <c r="Z1232" i="16" s="1"/>
  <c r="W1648" i="16"/>
  <c r="Y1648" i="16"/>
  <c r="Z1648" i="16" s="1"/>
  <c r="W1668" i="16"/>
  <c r="Y1668" i="16"/>
  <c r="Z1668" i="16" s="1"/>
  <c r="W1367" i="16"/>
  <c r="Y1367" i="16"/>
  <c r="Z1367" i="16" s="1"/>
  <c r="W1105" i="16"/>
  <c r="Y1105" i="16"/>
  <c r="Z1105" i="16" s="1"/>
  <c r="W1557" i="16"/>
  <c r="Y1557" i="16"/>
  <c r="Z1557" i="16" s="1"/>
  <c r="W1188" i="16"/>
  <c r="Y1188" i="16"/>
  <c r="Z1188" i="16" s="1"/>
  <c r="W1099" i="16"/>
  <c r="Y1099" i="16"/>
  <c r="Z1099" i="16" s="1"/>
  <c r="W1715" i="16"/>
  <c r="Y1715" i="16"/>
  <c r="Z1715" i="16" s="1"/>
  <c r="W1140" i="16"/>
  <c r="Y1140" i="16"/>
  <c r="Z1140" i="16" s="1"/>
  <c r="W1036" i="16"/>
  <c r="Y1036" i="16"/>
  <c r="Z1036" i="16" s="1"/>
  <c r="W1699" i="16"/>
  <c r="Y1699" i="16"/>
  <c r="Z1699" i="16" s="1"/>
  <c r="W2135" i="16"/>
  <c r="Y2135" i="16"/>
  <c r="Z2135" i="16" s="1"/>
  <c r="W2286" i="16"/>
  <c r="Y2286" i="16"/>
  <c r="Z2286" i="16" s="1"/>
  <c r="W1649" i="16"/>
  <c r="Y1649" i="16"/>
  <c r="Z1649" i="16" s="1"/>
  <c r="W1287" i="16"/>
  <c r="Y1287" i="16"/>
  <c r="Z1287" i="16" s="1"/>
  <c r="W1690" i="16"/>
  <c r="Y1690" i="16"/>
  <c r="Z1690" i="16" s="1"/>
  <c r="W1732" i="16"/>
  <c r="Y1732" i="16"/>
  <c r="Z1732" i="16" s="1"/>
  <c r="W1417" i="16"/>
  <c r="Y1417" i="16"/>
  <c r="Z1417" i="16" s="1"/>
  <c r="W1202" i="16"/>
  <c r="Y1202" i="16"/>
  <c r="Z1202" i="16" s="1"/>
  <c r="W1621" i="16"/>
  <c r="Y1621" i="16"/>
  <c r="Z1621" i="16" s="1"/>
  <c r="W1236" i="16"/>
  <c r="Y1236" i="16"/>
  <c r="Z1236" i="16" s="1"/>
  <c r="W1187" i="16"/>
  <c r="Y1187" i="16"/>
  <c r="Z1187" i="16" s="1"/>
  <c r="W1779" i="16"/>
  <c r="Y1779" i="16"/>
  <c r="Z1779" i="16" s="1"/>
  <c r="W1529" i="16"/>
  <c r="Y1529" i="16"/>
  <c r="Z1529" i="16" s="1"/>
  <c r="W1454" i="16"/>
  <c r="Y1454" i="16"/>
  <c r="Z1454" i="16" s="1"/>
  <c r="W1495" i="16"/>
  <c r="Y1495" i="16"/>
  <c r="Z1495" i="16" s="1"/>
  <c r="W1020" i="16"/>
  <c r="Y1020" i="16"/>
  <c r="Z1020" i="16" s="1"/>
  <c r="W1421" i="16"/>
  <c r="Y1421" i="16"/>
  <c r="Z1421" i="16" s="1"/>
  <c r="W1260" i="16"/>
  <c r="Y1260" i="16"/>
  <c r="Z1260" i="16" s="1"/>
  <c r="W1587" i="16"/>
  <c r="Y1587" i="16"/>
  <c r="Z1587" i="16" s="1"/>
  <c r="W368" i="16"/>
  <c r="Y368" i="16"/>
  <c r="Z368" i="16" s="1"/>
  <c r="W448" i="16"/>
  <c r="Y448" i="16"/>
  <c r="Z448" i="16" s="1"/>
  <c r="W550" i="16"/>
  <c r="Y550" i="16"/>
  <c r="Z550" i="16" s="1"/>
  <c r="W411" i="16"/>
  <c r="Y411" i="16"/>
  <c r="Z411" i="16" s="1"/>
  <c r="W1329" i="16"/>
  <c r="Y1329" i="16"/>
  <c r="Z1329" i="16" s="1"/>
  <c r="W1238" i="16"/>
  <c r="Y1238" i="16"/>
  <c r="Z1238" i="16" s="1"/>
  <c r="W1288" i="16"/>
  <c r="Y1288" i="16"/>
  <c r="Z1288" i="16" s="1"/>
  <c r="W1925" i="16"/>
  <c r="Y1925" i="16"/>
  <c r="Z1925" i="16" s="1"/>
  <c r="W1237" i="16"/>
  <c r="Y1237" i="16"/>
  <c r="Z1237" i="16" s="1"/>
  <c r="W1066" i="16"/>
  <c r="Y1066" i="16"/>
  <c r="Z1066" i="16" s="1"/>
  <c r="W1419" i="16"/>
  <c r="Y1419" i="16"/>
  <c r="Z1419" i="16" s="1"/>
  <c r="W1045" i="16"/>
  <c r="Y1045" i="16"/>
  <c r="Z1045" i="16" s="1"/>
  <c r="W400" i="16"/>
  <c r="Y400" i="16"/>
  <c r="Z400" i="16" s="1"/>
  <c r="W665" i="16"/>
  <c r="Y665" i="16"/>
  <c r="Z665" i="16" s="1"/>
  <c r="W1044" i="16"/>
  <c r="Y1044" i="16"/>
  <c r="Z1044" i="16" s="1"/>
  <c r="W913" i="16"/>
  <c r="Y913" i="16"/>
  <c r="Z913" i="16" s="1"/>
  <c r="W492" i="16"/>
  <c r="Y492" i="16"/>
  <c r="Z492" i="16" s="1"/>
  <c r="W878" i="16"/>
  <c r="Y878" i="16"/>
  <c r="Z878" i="16" s="1"/>
  <c r="W1033" i="16"/>
  <c r="Y1033" i="16"/>
  <c r="Z1033" i="16" s="1"/>
  <c r="W904" i="16"/>
  <c r="Y904" i="16"/>
  <c r="Z904" i="16" s="1"/>
  <c r="W556" i="16"/>
  <c r="Y556" i="16"/>
  <c r="Z556" i="16" s="1"/>
  <c r="W942" i="16"/>
  <c r="Y942" i="16"/>
  <c r="Z942" i="16" s="1"/>
  <c r="W1023" i="16"/>
  <c r="Y1023" i="16"/>
  <c r="Z1023" i="16" s="1"/>
  <c r="W893" i="16"/>
  <c r="Y893" i="16"/>
  <c r="Z893" i="16" s="1"/>
  <c r="W748" i="16"/>
  <c r="Y748" i="16"/>
  <c r="Z748" i="16" s="1"/>
  <c r="W391" i="16"/>
  <c r="Y391" i="16"/>
  <c r="Z391" i="16" s="1"/>
  <c r="W1012" i="16"/>
  <c r="Y1012" i="16"/>
  <c r="Z1012" i="16" s="1"/>
  <c r="W872" i="16"/>
  <c r="Y872" i="16"/>
  <c r="Z872" i="16" s="1"/>
  <c r="W812" i="16"/>
  <c r="Y812" i="16"/>
  <c r="Z812" i="16" s="1"/>
  <c r="W519" i="16"/>
  <c r="Y519" i="16"/>
  <c r="Z519" i="16" s="1"/>
  <c r="W1069" i="16"/>
  <c r="Y1069" i="16"/>
  <c r="Z1069" i="16" s="1"/>
  <c r="W720" i="16"/>
  <c r="Y720" i="16"/>
  <c r="Z720" i="16" s="1"/>
  <c r="W473" i="16"/>
  <c r="Y473" i="16"/>
  <c r="Z473" i="16" s="1"/>
  <c r="W694" i="16"/>
  <c r="Y694" i="16"/>
  <c r="Z694" i="16" s="1"/>
  <c r="W1061" i="16"/>
  <c r="Y1061" i="16"/>
  <c r="Z1061" i="16" s="1"/>
  <c r="W656" i="16"/>
  <c r="Y656" i="16"/>
  <c r="Z656" i="16" s="1"/>
  <c r="W537" i="16"/>
  <c r="Y537" i="16"/>
  <c r="Z537" i="16" s="1"/>
  <c r="W950" i="16"/>
  <c r="Y950" i="16"/>
  <c r="Z950" i="16" s="1"/>
  <c r="W1661" i="16"/>
  <c r="Y1661" i="16"/>
  <c r="Z1661" i="16" s="1"/>
  <c r="W1149" i="16"/>
  <c r="Y1149" i="16"/>
  <c r="Z1149" i="16" s="1"/>
  <c r="W1164" i="16"/>
  <c r="Y1164" i="16"/>
  <c r="Z1164" i="16" s="1"/>
  <c r="W1667" i="16"/>
  <c r="Y1667" i="16"/>
  <c r="Z1667" i="16" s="1"/>
  <c r="W1155" i="16"/>
  <c r="Y1155" i="16"/>
  <c r="Z1155" i="16" s="1"/>
  <c r="W952" i="16"/>
  <c r="Y952" i="16"/>
  <c r="Z952" i="16" s="1"/>
  <c r="W951" i="16"/>
  <c r="Y951" i="16"/>
  <c r="Z951" i="16" s="1"/>
  <c r="W469" i="16"/>
  <c r="Y469" i="16"/>
  <c r="Z469" i="16" s="1"/>
  <c r="W413" i="16"/>
  <c r="Y413" i="16"/>
  <c r="Z413" i="16" s="1"/>
  <c r="W335" i="16"/>
  <c r="Y335" i="16"/>
  <c r="Z335" i="16" s="1"/>
  <c r="W250" i="16"/>
  <c r="Y250" i="16"/>
  <c r="Z250" i="16" s="1"/>
  <c r="W1461" i="16"/>
  <c r="Y1461" i="16"/>
  <c r="Z1461" i="16" s="1"/>
  <c r="W769" i="16"/>
  <c r="Y769" i="16"/>
  <c r="Z769" i="16" s="1"/>
  <c r="W824" i="16"/>
  <c r="Y824" i="16"/>
  <c r="Z824" i="16" s="1"/>
  <c r="W1467" i="16"/>
  <c r="Y1467" i="16"/>
  <c r="Z1467" i="16" s="1"/>
  <c r="W849" i="16"/>
  <c r="Y849" i="16"/>
  <c r="Z849" i="16" s="1"/>
  <c r="W1011" i="16"/>
  <c r="Y1011" i="16"/>
  <c r="Z1011" i="16" s="1"/>
  <c r="W465" i="16"/>
  <c r="Y465" i="16"/>
  <c r="Z465" i="16" s="1"/>
  <c r="W281" i="16"/>
  <c r="Y281" i="16"/>
  <c r="Z281" i="16" s="1"/>
  <c r="W673" i="16"/>
  <c r="Y673" i="16"/>
  <c r="Z673" i="16" s="1"/>
  <c r="W557" i="16"/>
  <c r="Y557" i="16"/>
  <c r="Z557" i="16" s="1"/>
  <c r="W655" i="16"/>
  <c r="Y655" i="16"/>
  <c r="Z655" i="16" s="1"/>
  <c r="W516" i="16"/>
  <c r="Y516" i="16"/>
  <c r="Z516" i="16" s="1"/>
  <c r="W727" i="16"/>
  <c r="Y727" i="16"/>
  <c r="Z727" i="16" s="1"/>
  <c r="W634" i="16"/>
  <c r="Y634" i="16"/>
  <c r="Z634" i="16" s="1"/>
  <c r="W702" i="16"/>
  <c r="Y702" i="16"/>
  <c r="Z702" i="16" s="1"/>
  <c r="W555" i="16"/>
  <c r="Y555" i="16"/>
  <c r="Z555" i="16" s="1"/>
  <c r="W446" i="16"/>
  <c r="Y446" i="16"/>
  <c r="Z446" i="16" s="1"/>
  <c r="W693" i="16"/>
  <c r="Y693" i="16"/>
  <c r="Z693" i="16" s="1"/>
  <c r="W381" i="16"/>
  <c r="Y381" i="16"/>
  <c r="Z381" i="16" s="1"/>
  <c r="W732" i="16"/>
  <c r="Y732" i="16"/>
  <c r="Z732" i="16" s="1"/>
  <c r="W420" i="16"/>
  <c r="Y420" i="16"/>
  <c r="Z420" i="16" s="1"/>
  <c r="W202" i="16"/>
  <c r="Y202" i="16"/>
  <c r="Z202" i="16" s="1"/>
  <c r="W194" i="16"/>
  <c r="Y194" i="16"/>
  <c r="Z194" i="16" s="1"/>
  <c r="W134" i="16"/>
  <c r="Y134" i="16"/>
  <c r="Z134" i="16" s="1"/>
  <c r="W402" i="16"/>
  <c r="Y402" i="16"/>
  <c r="Z402" i="16" s="1"/>
  <c r="W577" i="16"/>
  <c r="Y577" i="16"/>
  <c r="Z577" i="16" s="1"/>
  <c r="W943" i="16"/>
  <c r="Y943" i="16"/>
  <c r="Z943" i="16" s="1"/>
  <c r="W631" i="16"/>
  <c r="Y631" i="16"/>
  <c r="Z631" i="16" s="1"/>
  <c r="W152" i="16"/>
  <c r="Y152" i="16"/>
  <c r="Z152" i="16" s="1"/>
  <c r="W95" i="16"/>
  <c r="Y95" i="16"/>
  <c r="Z95" i="16" s="1"/>
  <c r="W101" i="16"/>
  <c r="Y101" i="16"/>
  <c r="Z101" i="16" s="1"/>
  <c r="W578" i="16"/>
  <c r="Y578" i="16"/>
  <c r="Z578" i="16" s="1"/>
  <c r="W753" i="16"/>
  <c r="Y753" i="16"/>
  <c r="Z753" i="16" s="1"/>
  <c r="W441" i="16"/>
  <c r="Y441" i="16"/>
  <c r="Z441" i="16" s="1"/>
  <c r="W807" i="16"/>
  <c r="Y807" i="16"/>
  <c r="Z807" i="16" s="1"/>
  <c r="W495" i="16"/>
  <c r="Y495" i="16"/>
  <c r="Z495" i="16" s="1"/>
  <c r="W862" i="16"/>
  <c r="Y862" i="16"/>
  <c r="Z862" i="16" s="1"/>
  <c r="W108" i="16"/>
  <c r="Y108" i="16"/>
  <c r="Z108" i="16" s="1"/>
  <c r="W207" i="16"/>
  <c r="Y207" i="16"/>
  <c r="Z207" i="16" s="1"/>
  <c r="W157" i="16"/>
  <c r="Y157" i="16"/>
  <c r="Z157" i="16" s="1"/>
  <c r="W541" i="16"/>
  <c r="Y541" i="16"/>
  <c r="Z541" i="16" s="1"/>
  <c r="W293" i="16"/>
  <c r="Y293" i="16"/>
  <c r="Z293" i="16" s="1"/>
  <c r="W836" i="16"/>
  <c r="Y836" i="16"/>
  <c r="Z836" i="16" s="1"/>
  <c r="W524" i="16"/>
  <c r="Y524" i="16"/>
  <c r="Z524" i="16" s="1"/>
  <c r="W883" i="16"/>
  <c r="Y883" i="16"/>
  <c r="Z883" i="16" s="1"/>
  <c r="W571" i="16"/>
  <c r="Y571" i="16"/>
  <c r="Z571" i="16" s="1"/>
  <c r="W930" i="16"/>
  <c r="Y930" i="16"/>
  <c r="Z930" i="16" s="1"/>
  <c r="W176" i="16"/>
  <c r="Y176" i="16"/>
  <c r="Z176" i="16" s="1"/>
  <c r="W132" i="16"/>
  <c r="Y132" i="16"/>
  <c r="Z132" i="16" s="1"/>
  <c r="W179" i="16"/>
  <c r="Y179" i="16"/>
  <c r="Z179" i="16" s="1"/>
  <c r="W390" i="16"/>
  <c r="Y390" i="16"/>
  <c r="Z390" i="16" s="1"/>
  <c r="W637" i="16"/>
  <c r="Y637" i="16"/>
  <c r="Z637" i="16" s="1"/>
  <c r="W325" i="16"/>
  <c r="Y325" i="16"/>
  <c r="Z325" i="16" s="1"/>
  <c r="W676" i="16"/>
  <c r="Y676" i="16"/>
  <c r="Z676" i="16" s="1"/>
  <c r="W138" i="16"/>
  <c r="Y138" i="16"/>
  <c r="Z138" i="16" s="1"/>
  <c r="W130" i="16"/>
  <c r="Y130" i="16"/>
  <c r="Z130" i="16" s="1"/>
  <c r="W102" i="16"/>
  <c r="Y102" i="16"/>
  <c r="Z102" i="16" s="1"/>
  <c r="W890" i="16"/>
  <c r="Y890" i="16"/>
  <c r="Z890" i="16" s="1"/>
  <c r="W770" i="16"/>
  <c r="Y770" i="16"/>
  <c r="Z770" i="16" s="1"/>
  <c r="W458" i="16"/>
  <c r="Y458" i="16"/>
  <c r="Z458" i="16" s="1"/>
  <c r="W633" i="16"/>
  <c r="Y633" i="16"/>
  <c r="Z633" i="16" s="1"/>
  <c r="W321" i="16"/>
  <c r="Y321" i="16"/>
  <c r="Z321" i="16" s="1"/>
  <c r="W687" i="16"/>
  <c r="Y687" i="16"/>
  <c r="Z687" i="16" s="1"/>
  <c r="W375" i="16"/>
  <c r="Y375" i="16"/>
  <c r="Z375" i="16" s="1"/>
  <c r="W216" i="16"/>
  <c r="Y216" i="16"/>
  <c r="Z216" i="16" s="1"/>
  <c r="W159" i="16"/>
  <c r="Y159" i="16"/>
  <c r="Z159" i="16" s="1"/>
  <c r="W133" i="16"/>
  <c r="Y133" i="16"/>
  <c r="Z133" i="16" s="1"/>
  <c r="W716" i="16"/>
  <c r="Y716" i="16"/>
  <c r="Z716" i="16" s="1"/>
  <c r="W404" i="16"/>
  <c r="Y404" i="16"/>
  <c r="Z404" i="16" s="1"/>
  <c r="W763" i="16"/>
  <c r="Y763" i="16"/>
  <c r="Z763" i="16" s="1"/>
  <c r="W451" i="16"/>
  <c r="Y451" i="16"/>
  <c r="Z451" i="16" s="1"/>
  <c r="W128" i="16"/>
  <c r="Y128" i="16"/>
  <c r="Z128" i="16" s="1"/>
  <c r="W84" i="16"/>
  <c r="Y84" i="16"/>
  <c r="Z84" i="16" s="1"/>
  <c r="W214" i="16"/>
  <c r="Y214" i="16"/>
  <c r="Z214" i="16" s="1"/>
  <c r="W155" i="16"/>
  <c r="Y155" i="16"/>
  <c r="Z155" i="16" s="1"/>
  <c r="W582" i="16"/>
  <c r="Y582" i="16"/>
  <c r="Z582" i="16" s="1"/>
  <c r="W829" i="16"/>
  <c r="Y829" i="16"/>
  <c r="Z829" i="16" s="1"/>
  <c r="W517" i="16"/>
  <c r="Y517" i="16"/>
  <c r="Z517" i="16" s="1"/>
  <c r="W868" i="16"/>
  <c r="Y868" i="16"/>
  <c r="Z868" i="16" s="1"/>
  <c r="W90" i="16"/>
  <c r="Y90" i="16"/>
  <c r="Z90" i="16" s="1"/>
  <c r="W82" i="16"/>
  <c r="Y82" i="16"/>
  <c r="Z82" i="16" s="1"/>
  <c r="W78" i="16"/>
  <c r="Y78" i="16"/>
  <c r="Z78" i="16" s="1"/>
  <c r="W2377" i="16"/>
  <c r="AB2377" i="16"/>
  <c r="AC2377" i="16" s="1"/>
  <c r="Y2377" i="16"/>
  <c r="Z2377" i="16" s="1"/>
  <c r="W2410" i="16"/>
  <c r="AB2410" i="16"/>
  <c r="AC2410" i="16" s="1"/>
  <c r="Y2410" i="16"/>
  <c r="Z2410" i="16" s="1"/>
  <c r="W2575" i="16"/>
  <c r="AB2575" i="16"/>
  <c r="AC2575" i="16" s="1"/>
  <c r="Y2575" i="16"/>
  <c r="Z2575" i="16" s="1"/>
  <c r="W2304" i="16"/>
  <c r="Y2304" i="16"/>
  <c r="Z2304" i="16" s="1"/>
  <c r="W2460" i="16"/>
  <c r="AB2460" i="16"/>
  <c r="AC2460" i="16" s="1"/>
  <c r="Y2460" i="16"/>
  <c r="Z2460" i="16" s="1"/>
  <c r="W1586" i="16"/>
  <c r="Y1586" i="16"/>
  <c r="Z1586" i="16" s="1"/>
  <c r="W1577" i="16"/>
  <c r="Y1577" i="16"/>
  <c r="Z1577" i="16" s="1"/>
  <c r="W2491" i="16"/>
  <c r="AB2491" i="16"/>
  <c r="AC2491" i="16" s="1"/>
  <c r="Y2491" i="16"/>
  <c r="Z2491" i="16" s="1"/>
  <c r="W1784" i="16"/>
  <c r="Y1784" i="16"/>
  <c r="Z1784" i="16" s="1"/>
  <c r="W2391" i="16"/>
  <c r="AB2391" i="16"/>
  <c r="AC2391" i="16" s="1"/>
  <c r="Y2391" i="16"/>
  <c r="Z2391" i="16" s="1"/>
  <c r="W2541" i="16"/>
  <c r="AB2541" i="16"/>
  <c r="AC2541" i="16" s="1"/>
  <c r="Y2541" i="16"/>
  <c r="Z2541" i="16" s="1"/>
  <c r="W2227" i="16"/>
  <c r="Y2227" i="16"/>
  <c r="Z2227" i="16" s="1"/>
  <c r="W1863" i="16"/>
  <c r="Y1863" i="16"/>
  <c r="Z1863" i="16" s="1"/>
  <c r="W2394" i="16"/>
  <c r="AB2394" i="16"/>
  <c r="AC2394" i="16" s="1"/>
  <c r="Y2394" i="16"/>
  <c r="Z2394" i="16" s="1"/>
  <c r="W2543" i="16"/>
  <c r="AB2543" i="16"/>
  <c r="AC2543" i="16" s="1"/>
  <c r="Y2543" i="16"/>
  <c r="Z2543" i="16" s="1"/>
  <c r="W2243" i="16"/>
  <c r="Y2243" i="16"/>
  <c r="Z2243" i="16" s="1"/>
  <c r="W2444" i="16"/>
  <c r="AB2444" i="16"/>
  <c r="AC2444" i="16" s="1"/>
  <c r="Y2444" i="16"/>
  <c r="Z2444" i="16" s="1"/>
  <c r="W1532" i="16"/>
  <c r="Y1532" i="16"/>
  <c r="Z1532" i="16" s="1"/>
  <c r="W2601" i="16"/>
  <c r="AB2601" i="16"/>
  <c r="AC2601" i="16" s="1"/>
  <c r="Y2601" i="16"/>
  <c r="Z2601" i="16" s="1"/>
  <c r="W2283" i="16"/>
  <c r="Y2283" i="16"/>
  <c r="Z2283" i="16" s="1"/>
  <c r="W2472" i="16"/>
  <c r="AB2472" i="16"/>
  <c r="AC2472" i="16" s="1"/>
  <c r="Y2472" i="16"/>
  <c r="Z2472" i="16" s="1"/>
  <c r="W2622" i="16"/>
  <c r="AB2622" i="16"/>
  <c r="AC2622" i="16" s="1"/>
  <c r="Y2622" i="16"/>
  <c r="Z2622" i="16" s="1"/>
  <c r="W2348" i="16"/>
  <c r="AB2348" i="16"/>
  <c r="AC2348" i="16" s="1"/>
  <c r="Y2348" i="16"/>
  <c r="Z2348" i="16" s="1"/>
  <c r="W2237" i="16"/>
  <c r="Y2237" i="16"/>
  <c r="Z2237" i="16" s="1"/>
  <c r="W2633" i="16"/>
  <c r="AB2633" i="16"/>
  <c r="AC2633" i="16" s="1"/>
  <c r="Y2633" i="16"/>
  <c r="Z2633" i="16" s="1"/>
  <c r="W2458" i="16"/>
  <c r="AB2458" i="16"/>
  <c r="AC2458" i="16" s="1"/>
  <c r="Y2458" i="16"/>
  <c r="Z2458" i="16" s="1"/>
  <c r="W2607" i="16"/>
  <c r="AB2607" i="16"/>
  <c r="AC2607" i="16" s="1"/>
  <c r="Y2607" i="16"/>
  <c r="Z2607" i="16" s="1"/>
  <c r="W2358" i="16"/>
  <c r="AB2358" i="16"/>
  <c r="AC2358" i="16" s="1"/>
  <c r="Y2358" i="16"/>
  <c r="Z2358" i="16" s="1"/>
  <c r="W2508" i="16"/>
  <c r="AB2508" i="16"/>
  <c r="AC2508" i="16" s="1"/>
  <c r="Y2508" i="16"/>
  <c r="Z2508" i="16" s="1"/>
  <c r="W1774" i="16"/>
  <c r="Y1774" i="16"/>
  <c r="Z1774" i="16" s="1"/>
  <c r="W2473" i="16"/>
  <c r="AB2473" i="16"/>
  <c r="AC2473" i="16" s="1"/>
  <c r="Y2473" i="16"/>
  <c r="Z2473" i="16" s="1"/>
  <c r="W2155" i="16"/>
  <c r="Y2155" i="16"/>
  <c r="Z2155" i="16" s="1"/>
  <c r="W2440" i="16"/>
  <c r="AB2440" i="16"/>
  <c r="AC2440" i="16" s="1"/>
  <c r="Y2440" i="16"/>
  <c r="Z2440" i="16" s="1"/>
  <c r="W2606" i="16"/>
  <c r="AB2606" i="16"/>
  <c r="AC2606" i="16" s="1"/>
  <c r="Y2606" i="16"/>
  <c r="Z2606" i="16" s="1"/>
  <c r="W2330" i="16"/>
  <c r="AB2330" i="16"/>
  <c r="AC2330" i="16" s="1"/>
  <c r="Y2330" i="16"/>
  <c r="Z2330" i="16" s="1"/>
  <c r="W2197" i="16"/>
  <c r="Y2197" i="16"/>
  <c r="Z2197" i="16" s="1"/>
  <c r="W2075" i="16"/>
  <c r="Y2075" i="16"/>
  <c r="Z2075" i="16" s="1"/>
  <c r="W2602" i="16"/>
  <c r="AB2602" i="16"/>
  <c r="AC2602" i="16" s="1"/>
  <c r="Y2602" i="16"/>
  <c r="Z2602" i="16" s="1"/>
  <c r="W2352" i="16"/>
  <c r="AB2352" i="16"/>
  <c r="AC2352" i="16" s="1"/>
  <c r="Y2352" i="16"/>
  <c r="Z2352" i="16" s="1"/>
  <c r="W2502" i="16"/>
  <c r="AB2502" i="16"/>
  <c r="AC2502" i="16" s="1"/>
  <c r="Y2502" i="16"/>
  <c r="Z2502" i="16" s="1"/>
  <c r="W1468" i="16"/>
  <c r="Y1468" i="16"/>
  <c r="Z1468" i="16" s="1"/>
  <c r="W2061" i="16"/>
  <c r="Y2061" i="16"/>
  <c r="Z2061" i="16" s="1"/>
  <c r="W2553" i="16"/>
  <c r="AB2553" i="16"/>
  <c r="AC2553" i="16" s="1"/>
  <c r="Y2553" i="16"/>
  <c r="Z2553" i="16" s="1"/>
  <c r="W2427" i="16"/>
  <c r="AB2427" i="16"/>
  <c r="AC2427" i="16" s="1"/>
  <c r="Y2427" i="16"/>
  <c r="Z2427" i="16" s="1"/>
  <c r="W2600" i="16"/>
  <c r="AB2600" i="16"/>
  <c r="AC2600" i="16" s="1"/>
  <c r="Y2600" i="16"/>
  <c r="Z2600" i="16" s="1"/>
  <c r="W2323" i="16"/>
  <c r="AB2323" i="16"/>
  <c r="AC2323" i="16" s="1"/>
  <c r="Y2323" i="16"/>
  <c r="Z2323" i="16" s="1"/>
  <c r="W2477" i="16"/>
  <c r="AB2477" i="16"/>
  <c r="AC2477" i="16" s="1"/>
  <c r="Y2477" i="16"/>
  <c r="Z2477" i="16" s="1"/>
  <c r="W1438" i="16"/>
  <c r="Y1438" i="16"/>
  <c r="Z1438" i="16" s="1"/>
  <c r="W2515" i="16"/>
  <c r="AB2515" i="16"/>
  <c r="AC2515" i="16" s="1"/>
  <c r="Y2515" i="16"/>
  <c r="Z2515" i="16" s="1"/>
  <c r="W2426" i="16"/>
  <c r="AB2426" i="16"/>
  <c r="AC2426" i="16" s="1"/>
  <c r="Y2426" i="16"/>
  <c r="Z2426" i="16" s="1"/>
  <c r="W2334" i="16"/>
  <c r="AB2334" i="16"/>
  <c r="AC2334" i="16" s="1"/>
  <c r="Y2334" i="16"/>
  <c r="Z2334" i="16" s="1"/>
  <c r="W1735" i="16"/>
  <c r="Y1735" i="16"/>
  <c r="Z1735" i="16" s="1"/>
  <c r="W2565" i="16"/>
  <c r="AB2565" i="16"/>
  <c r="AC2565" i="16" s="1"/>
  <c r="Y2565" i="16"/>
  <c r="Z2565" i="16" s="1"/>
  <c r="W2476" i="16"/>
  <c r="AB2476" i="16"/>
  <c r="AC2476" i="16" s="1"/>
  <c r="Y2476" i="16"/>
  <c r="Z2476" i="16" s="1"/>
  <c r="W2101" i="16"/>
  <c r="Y2101" i="16"/>
  <c r="Z2101" i="16" s="1"/>
  <c r="W2252" i="16"/>
  <c r="Y2252" i="16"/>
  <c r="Z2252" i="16" s="1"/>
  <c r="W1524" i="16"/>
  <c r="Y1524" i="16"/>
  <c r="Z1524" i="16" s="1"/>
  <c r="W1862" i="16"/>
  <c r="Y1862" i="16"/>
  <c r="Z1862" i="16" s="1"/>
  <c r="W2049" i="16"/>
  <c r="Y2049" i="16"/>
  <c r="Z2049" i="16" s="1"/>
  <c r="W2192" i="16"/>
  <c r="Y2192" i="16"/>
  <c r="Z2192" i="16" s="1"/>
  <c r="W2223" i="16"/>
  <c r="Y2223" i="16"/>
  <c r="Z2223" i="16" s="1"/>
  <c r="W1834" i="16"/>
  <c r="Y1834" i="16"/>
  <c r="Z1834" i="16" s="1"/>
  <c r="W266" i="16"/>
  <c r="Y266" i="16"/>
  <c r="Z266" i="16" s="1"/>
  <c r="W1582" i="16"/>
  <c r="Y1582" i="16"/>
  <c r="Z1582" i="16" s="1"/>
  <c r="W1773" i="16"/>
  <c r="Y1773" i="16"/>
  <c r="Z1773" i="16" s="1"/>
  <c r="W1884" i="16"/>
  <c r="Y1884" i="16"/>
  <c r="Z1884" i="16" s="1"/>
  <c r="W2584" i="16"/>
  <c r="AB2584" i="16"/>
  <c r="AC2584" i="16" s="1"/>
  <c r="Y2584" i="16"/>
  <c r="Z2584" i="16" s="1"/>
  <c r="W2487" i="16"/>
  <c r="AB2487" i="16"/>
  <c r="AC2487" i="16" s="1"/>
  <c r="Y2487" i="16"/>
  <c r="Z2487" i="16" s="1"/>
  <c r="W2398" i="16"/>
  <c r="AB2398" i="16"/>
  <c r="AC2398" i="16" s="1"/>
  <c r="Y2398" i="16"/>
  <c r="Z2398" i="16" s="1"/>
  <c r="W2291" i="16"/>
  <c r="Y2291" i="16"/>
  <c r="Z2291" i="16" s="1"/>
  <c r="W2349" i="16"/>
  <c r="AB2349" i="16"/>
  <c r="AC2349" i="16" s="1"/>
  <c r="Y2349" i="16"/>
  <c r="Z2349" i="16" s="1"/>
  <c r="W1800" i="16"/>
  <c r="Y1800" i="16"/>
  <c r="Z1800" i="16" s="1"/>
  <c r="W1988" i="16"/>
  <c r="Y1988" i="16"/>
  <c r="Z1988" i="16" s="1"/>
  <c r="W2130" i="16"/>
  <c r="Y2130" i="16"/>
  <c r="Z2130" i="16" s="1"/>
  <c r="W2297" i="16"/>
  <c r="Y2297" i="16"/>
  <c r="Z2297" i="16" s="1"/>
  <c r="W1684" i="16"/>
  <c r="Y1684" i="16"/>
  <c r="Z1684" i="16" s="1"/>
  <c r="W1922" i="16"/>
  <c r="Y1922" i="16"/>
  <c r="Z1922" i="16" s="1"/>
  <c r="W1385" i="16"/>
  <c r="Y1385" i="16"/>
  <c r="Z1385" i="16" s="1"/>
  <c r="W1415" i="16"/>
  <c r="Y1415" i="16"/>
  <c r="Z1415" i="16" s="1"/>
  <c r="W962" i="16"/>
  <c r="Y962" i="16"/>
  <c r="Z962" i="16" s="1"/>
  <c r="W1366" i="16"/>
  <c r="Y1366" i="16"/>
  <c r="Z1366" i="16" s="1"/>
  <c r="W2149" i="16"/>
  <c r="Y2149" i="16"/>
  <c r="Z2149" i="16" s="1"/>
  <c r="W946" i="16"/>
  <c r="Y946" i="16"/>
  <c r="Z946" i="16" s="1"/>
  <c r="W1694" i="16"/>
  <c r="Y1694" i="16"/>
  <c r="Z1694" i="16" s="1"/>
  <c r="W1926" i="16"/>
  <c r="Y1926" i="16"/>
  <c r="Z1926" i="16" s="1"/>
  <c r="W2097" i="16"/>
  <c r="Y2097" i="16"/>
  <c r="Z2097" i="16" s="1"/>
  <c r="W2240" i="16"/>
  <c r="Y2240" i="16"/>
  <c r="Z2240" i="16" s="1"/>
  <c r="W1286" i="16"/>
  <c r="Y1286" i="16"/>
  <c r="Z1286" i="16" s="1"/>
  <c r="W1974" i="16"/>
  <c r="Y1974" i="16"/>
  <c r="Z1974" i="16" s="1"/>
  <c r="W232" i="16"/>
  <c r="Y232" i="16"/>
  <c r="Z232" i="16" s="1"/>
  <c r="W1071" i="16"/>
  <c r="Y1071" i="16"/>
  <c r="Z1071" i="16" s="1"/>
  <c r="W233" i="16"/>
  <c r="Y233" i="16"/>
  <c r="Z233" i="16" s="1"/>
  <c r="W2036" i="16"/>
  <c r="Y2036" i="16"/>
  <c r="Z2036" i="16" s="1"/>
  <c r="W2178" i="16"/>
  <c r="Y2178" i="16"/>
  <c r="Z2178" i="16" s="1"/>
  <c r="W1226" i="16"/>
  <c r="Y1226" i="16"/>
  <c r="Z1226" i="16" s="1"/>
  <c r="W1794" i="16"/>
  <c r="Y1794" i="16"/>
  <c r="Z1794" i="16" s="1"/>
  <c r="W1976" i="16"/>
  <c r="Y1976" i="16"/>
  <c r="Z1976" i="16" s="1"/>
  <c r="W1743" i="16"/>
  <c r="Y1743" i="16"/>
  <c r="Z1743" i="16" s="1"/>
  <c r="W1558" i="16"/>
  <c r="Y1558" i="16"/>
  <c r="Z1558" i="16" s="1"/>
  <c r="W1208" i="16"/>
  <c r="Y1208" i="16"/>
  <c r="Z1208" i="16" s="1"/>
  <c r="W1559" i="16"/>
  <c r="Y1559" i="16"/>
  <c r="Z1559" i="16" s="1"/>
  <c r="W2284" i="16"/>
  <c r="Y2284" i="16"/>
  <c r="Z2284" i="16" s="1"/>
  <c r="W1640" i="16"/>
  <c r="Y1640" i="16"/>
  <c r="Z1640" i="16" s="1"/>
  <c r="W1904" i="16"/>
  <c r="Y1904" i="16"/>
  <c r="Z1904" i="16" s="1"/>
  <c r="W2081" i="16"/>
  <c r="Y2081" i="16"/>
  <c r="Z2081" i="16" s="1"/>
  <c r="W2224" i="16"/>
  <c r="Y2224" i="16"/>
  <c r="Z2224" i="16" s="1"/>
  <c r="W2287" i="16"/>
  <c r="Y2287" i="16"/>
  <c r="Z2287" i="16" s="1"/>
  <c r="W1920" i="16"/>
  <c r="Y1920" i="16"/>
  <c r="Z1920" i="16" s="1"/>
  <c r="W1054" i="16"/>
  <c r="Y1054" i="16"/>
  <c r="Z1054" i="16" s="1"/>
  <c r="W260" i="16"/>
  <c r="Y260" i="16"/>
  <c r="Z260" i="16" s="1"/>
  <c r="W1885" i="16"/>
  <c r="Y1885" i="16"/>
  <c r="Z1885" i="16" s="1"/>
  <c r="W2020" i="16"/>
  <c r="Y2020" i="16"/>
  <c r="Z2020" i="16" s="1"/>
  <c r="W2162" i="16"/>
  <c r="Y2162" i="16"/>
  <c r="Z2162" i="16" s="1"/>
  <c r="W1134" i="16"/>
  <c r="Y1134" i="16"/>
  <c r="Z1134" i="16" s="1"/>
  <c r="W1764" i="16"/>
  <c r="Y1764" i="16"/>
  <c r="Z1764" i="16" s="1"/>
  <c r="W1960" i="16"/>
  <c r="Y1960" i="16"/>
  <c r="Z1960" i="16" s="1"/>
  <c r="W1620" i="16"/>
  <c r="Y1620" i="16"/>
  <c r="Z1620" i="16" s="1"/>
  <c r="W1504" i="16"/>
  <c r="Y1504" i="16"/>
  <c r="Z1504" i="16" s="1"/>
  <c r="W1128" i="16"/>
  <c r="Y1128" i="16"/>
  <c r="Z1128" i="16" s="1"/>
  <c r="W1505" i="16"/>
  <c r="Y1505" i="16"/>
  <c r="Z1505" i="16" s="1"/>
  <c r="W2181" i="16"/>
  <c r="Y2181" i="16"/>
  <c r="Z2181" i="16" s="1"/>
  <c r="W1242" i="16"/>
  <c r="Y1242" i="16"/>
  <c r="Z1242" i="16" s="1"/>
  <c r="W1769" i="16"/>
  <c r="Y1769" i="16"/>
  <c r="Z1769" i="16" s="1"/>
  <c r="W1962" i="16"/>
  <c r="Y1962" i="16"/>
  <c r="Z1962" i="16" s="1"/>
  <c r="W2129" i="16"/>
  <c r="Y2129" i="16"/>
  <c r="Z2129" i="16" s="1"/>
  <c r="W2272" i="16"/>
  <c r="Y2272" i="16"/>
  <c r="Z2272" i="16" s="1"/>
  <c r="W1543" i="16"/>
  <c r="Y1543" i="16"/>
  <c r="Z1543" i="16" s="1"/>
  <c r="W2038" i="16"/>
  <c r="Y2038" i="16"/>
  <c r="Z2038" i="16" s="1"/>
  <c r="W1017" i="16"/>
  <c r="Y1017" i="16"/>
  <c r="Z1017" i="16" s="1"/>
  <c r="W1265" i="16"/>
  <c r="Y1265" i="16"/>
  <c r="Z1265" i="16" s="1"/>
  <c r="W999" i="16"/>
  <c r="Y999" i="16"/>
  <c r="Z999" i="16" s="1"/>
  <c r="W2068" i="16"/>
  <c r="Y2068" i="16"/>
  <c r="Z2068" i="16" s="1"/>
  <c r="W2210" i="16"/>
  <c r="Y2210" i="16"/>
  <c r="Z2210" i="16" s="1"/>
  <c r="W1361" i="16"/>
  <c r="Y1361" i="16"/>
  <c r="Z1361" i="16" s="1"/>
  <c r="W1839" i="16"/>
  <c r="Y1839" i="16"/>
  <c r="Z1839" i="16" s="1"/>
  <c r="W2008" i="16"/>
  <c r="Y2008" i="16"/>
  <c r="Z2008" i="16" s="1"/>
  <c r="W1847" i="16"/>
  <c r="Y1847" i="16"/>
  <c r="Z1847" i="16" s="1"/>
  <c r="W1642" i="16"/>
  <c r="Y1642" i="16"/>
  <c r="Z1642" i="16" s="1"/>
  <c r="W1319" i="16"/>
  <c r="Y1319" i="16"/>
  <c r="Z1319" i="16" s="1"/>
  <c r="W1687" i="16"/>
  <c r="Y1687" i="16"/>
  <c r="Z1687" i="16" s="1"/>
  <c r="W1133" i="16"/>
  <c r="Y1133" i="16"/>
  <c r="Z1133" i="16" s="1"/>
  <c r="W1991" i="16"/>
  <c r="Y1991" i="16"/>
  <c r="Z1991" i="16" s="1"/>
  <c r="W2142" i="16"/>
  <c r="Y2142" i="16"/>
  <c r="Z2142" i="16" s="1"/>
  <c r="W1802" i="16"/>
  <c r="Y1802" i="16"/>
  <c r="Z1802" i="16" s="1"/>
  <c r="W973" i="16"/>
  <c r="Y973" i="16"/>
  <c r="Z973" i="16" s="1"/>
  <c r="W1498" i="16"/>
  <c r="Y1498" i="16"/>
  <c r="Z1498" i="16" s="1"/>
  <c r="W1476" i="16"/>
  <c r="Y1476" i="16"/>
  <c r="Z1476" i="16" s="1"/>
  <c r="W1070" i="16"/>
  <c r="Y1070" i="16"/>
  <c r="Z1070" i="16" s="1"/>
  <c r="W1193" i="16"/>
  <c r="Y1193" i="16"/>
  <c r="Z1193" i="16" s="1"/>
  <c r="W1365" i="16"/>
  <c r="Y1365" i="16"/>
  <c r="Z1365" i="16" s="1"/>
  <c r="W865" i="16"/>
  <c r="Y865" i="16"/>
  <c r="Z865" i="16" s="1"/>
  <c r="W2239" i="16"/>
  <c r="Y2239" i="16"/>
  <c r="Z2239" i="16" s="1"/>
  <c r="W1480" i="16"/>
  <c r="Y1480" i="16"/>
  <c r="Z1480" i="16" s="1"/>
  <c r="W1856" i="16"/>
  <c r="Y1856" i="16"/>
  <c r="Z1856" i="16" s="1"/>
  <c r="W1450" i="16"/>
  <c r="Y1450" i="16"/>
  <c r="Z1450" i="16" s="1"/>
  <c r="W488" i="16"/>
  <c r="Y488" i="16"/>
  <c r="Z488" i="16" s="1"/>
  <c r="W1030" i="16"/>
  <c r="Y1030" i="16"/>
  <c r="Z1030" i="16" s="1"/>
  <c r="W1602" i="16"/>
  <c r="Y1602" i="16"/>
  <c r="Z1602" i="16" s="1"/>
  <c r="W1430" i="16"/>
  <c r="Y1430" i="16"/>
  <c r="Z1430" i="16" s="1"/>
  <c r="W1805" i="16"/>
  <c r="Y1805" i="16"/>
  <c r="Z1805" i="16" s="1"/>
  <c r="W1404" i="16"/>
  <c r="Y1404" i="16"/>
  <c r="Z1404" i="16" s="1"/>
  <c r="W1523" i="16"/>
  <c r="Y1523" i="16"/>
  <c r="Z1523" i="16" s="1"/>
  <c r="W2039" i="16"/>
  <c r="Y2039" i="16"/>
  <c r="Z2039" i="16" s="1"/>
  <c r="W2190" i="16"/>
  <c r="Y2190" i="16"/>
  <c r="Z2190" i="16" s="1"/>
  <c r="W1281" i="16"/>
  <c r="Y1281" i="16"/>
  <c r="Z1281" i="16" s="1"/>
  <c r="W1103" i="16"/>
  <c r="Y1103" i="16"/>
  <c r="Z1103" i="16" s="1"/>
  <c r="W1562" i="16"/>
  <c r="Y1562" i="16"/>
  <c r="Z1562" i="16" s="1"/>
  <c r="W1561" i="16"/>
  <c r="Y1561" i="16"/>
  <c r="Z1561" i="16" s="1"/>
  <c r="W1206" i="16"/>
  <c r="Y1206" i="16"/>
  <c r="Z1206" i="16" s="1"/>
  <c r="W424" i="16"/>
  <c r="Y424" i="16"/>
  <c r="Z424" i="16" s="1"/>
  <c r="W1445" i="16"/>
  <c r="Y1445" i="16"/>
  <c r="Z1445" i="16" s="1"/>
  <c r="W1046" i="16"/>
  <c r="Y1046" i="16"/>
  <c r="Z1046" i="16" s="1"/>
  <c r="W880" i="16"/>
  <c r="Y880" i="16"/>
  <c r="Z880" i="16" s="1"/>
  <c r="W1619" i="16"/>
  <c r="Y1619" i="16"/>
  <c r="Z1619" i="16" s="1"/>
  <c r="W1024" i="16"/>
  <c r="Y1024" i="16"/>
  <c r="Z1024" i="16" s="1"/>
  <c r="W616" i="16"/>
  <c r="Y616" i="16"/>
  <c r="Z616" i="16" s="1"/>
  <c r="W1571" i="16"/>
  <c r="Y1571" i="16"/>
  <c r="Z1571" i="16" s="1"/>
  <c r="W2071" i="16"/>
  <c r="Y2071" i="16"/>
  <c r="Z2071" i="16" s="1"/>
  <c r="W2222" i="16"/>
  <c r="Y2222" i="16"/>
  <c r="Z2222" i="16" s="1"/>
  <c r="W1414" i="16"/>
  <c r="Y1414" i="16"/>
  <c r="Z1414" i="16" s="1"/>
  <c r="W1168" i="16"/>
  <c r="Y1168" i="16"/>
  <c r="Z1168" i="16" s="1"/>
  <c r="W1606" i="16"/>
  <c r="Y1606" i="16"/>
  <c r="Z1606" i="16" s="1"/>
  <c r="W1625" i="16"/>
  <c r="Y1625" i="16"/>
  <c r="Z1625" i="16" s="1"/>
  <c r="W1289" i="16"/>
  <c r="Y1289" i="16"/>
  <c r="Z1289" i="16" s="1"/>
  <c r="W976" i="16"/>
  <c r="Y976" i="16"/>
  <c r="Z976" i="16" s="1"/>
  <c r="W1509" i="16"/>
  <c r="Y1509" i="16"/>
  <c r="Z1509" i="16" s="1"/>
  <c r="W1124" i="16"/>
  <c r="Y1124" i="16"/>
  <c r="Z1124" i="16" s="1"/>
  <c r="W1015" i="16"/>
  <c r="Y1015" i="16"/>
  <c r="Z1015" i="16" s="1"/>
  <c r="W1651" i="16"/>
  <c r="Y1651" i="16"/>
  <c r="Z1651" i="16" s="1"/>
  <c r="W1444" i="16"/>
  <c r="Y1444" i="16"/>
  <c r="Z1444" i="16" s="1"/>
  <c r="W1353" i="16"/>
  <c r="Y1353" i="16"/>
  <c r="Z1353" i="16" s="1"/>
  <c r="W1402" i="16"/>
  <c r="Y1402" i="16"/>
  <c r="Z1402" i="16" s="1"/>
  <c r="W817" i="16"/>
  <c r="Y817" i="16"/>
  <c r="Z817" i="16" s="1"/>
  <c r="W1325" i="16"/>
  <c r="Y1325" i="16"/>
  <c r="Z1325" i="16" s="1"/>
  <c r="W1180" i="16"/>
  <c r="Y1180" i="16"/>
  <c r="Z1180" i="16" s="1"/>
  <c r="W1507" i="16"/>
  <c r="Y1507" i="16"/>
  <c r="Z1507" i="16" s="1"/>
  <c r="W269" i="16"/>
  <c r="Y269" i="16"/>
  <c r="Z269" i="16" s="1"/>
  <c r="W967" i="16"/>
  <c r="Y967" i="16"/>
  <c r="Z967" i="16" s="1"/>
  <c r="W511" i="16"/>
  <c r="Y511" i="16"/>
  <c r="Z511" i="16" s="1"/>
  <c r="W485" i="16"/>
  <c r="Y485" i="16"/>
  <c r="Z485" i="16" s="1"/>
  <c r="W1223" i="16"/>
  <c r="Y1223" i="16"/>
  <c r="Z1223" i="16" s="1"/>
  <c r="W1110" i="16"/>
  <c r="Y1110" i="16"/>
  <c r="Z1110" i="16" s="1"/>
  <c r="W1170" i="16"/>
  <c r="Y1170" i="16"/>
  <c r="Z1170" i="16" s="1"/>
  <c r="W1829" i="16"/>
  <c r="Y1829" i="16"/>
  <c r="Z1829" i="16" s="1"/>
  <c r="W1157" i="16"/>
  <c r="Y1157" i="16"/>
  <c r="Z1157" i="16" s="1"/>
  <c r="W955" i="16"/>
  <c r="Y955" i="16"/>
  <c r="Z955" i="16" s="1"/>
  <c r="W1323" i="16"/>
  <c r="Y1323" i="16"/>
  <c r="Z1323" i="16" s="1"/>
  <c r="W961" i="16"/>
  <c r="Y961" i="16"/>
  <c r="Z961" i="16" s="1"/>
  <c r="W243" i="16"/>
  <c r="Y243" i="16"/>
  <c r="Z243" i="16" s="1"/>
  <c r="W275" i="16"/>
  <c r="Y275" i="16"/>
  <c r="Z275" i="16" s="1"/>
  <c r="W929" i="16"/>
  <c r="Y929" i="16"/>
  <c r="Z929" i="16" s="1"/>
  <c r="W480" i="16"/>
  <c r="Y480" i="16"/>
  <c r="Z480" i="16" s="1"/>
  <c r="W597" i="16"/>
  <c r="Y597" i="16"/>
  <c r="Z597" i="16" s="1"/>
  <c r="W481" i="16"/>
  <c r="Y481" i="16"/>
  <c r="Z481" i="16" s="1"/>
  <c r="W917" i="16"/>
  <c r="Y917" i="16"/>
  <c r="Z917" i="16" s="1"/>
  <c r="W456" i="16"/>
  <c r="Y456" i="16"/>
  <c r="Z456" i="16" s="1"/>
  <c r="W661" i="16"/>
  <c r="Y661" i="16"/>
  <c r="Z661" i="16" s="1"/>
  <c r="W545" i="16"/>
  <c r="Y545" i="16"/>
  <c r="Z545" i="16" s="1"/>
  <c r="W752" i="16"/>
  <c r="Y752" i="16"/>
  <c r="Z752" i="16" s="1"/>
  <c r="W432" i="16"/>
  <c r="Y432" i="16"/>
  <c r="Z432" i="16" s="1"/>
  <c r="W725" i="16"/>
  <c r="Y725" i="16"/>
  <c r="Z725" i="16" s="1"/>
  <c r="W442" i="16"/>
  <c r="Y442" i="16"/>
  <c r="Z442" i="16" s="1"/>
  <c r="W696" i="16"/>
  <c r="Y696" i="16"/>
  <c r="Z696" i="16" s="1"/>
  <c r="W273" i="16"/>
  <c r="Y273" i="16"/>
  <c r="Z273" i="16" s="1"/>
  <c r="W789" i="16"/>
  <c r="Y789" i="16"/>
  <c r="Z789" i="16" s="1"/>
  <c r="W506" i="16"/>
  <c r="Y506" i="16"/>
  <c r="Z506" i="16" s="1"/>
  <c r="W988" i="16"/>
  <c r="Y988" i="16"/>
  <c r="Z988" i="16" s="1"/>
  <c r="W267" i="16"/>
  <c r="Y267" i="16"/>
  <c r="Z267" i="16" s="1"/>
  <c r="W626" i="16"/>
  <c r="Y626" i="16"/>
  <c r="Z626" i="16" s="1"/>
  <c r="W1355" i="16"/>
  <c r="Y1355" i="16"/>
  <c r="Z1355" i="16" s="1"/>
  <c r="W979" i="16"/>
  <c r="Y979" i="16"/>
  <c r="Z979" i="16" s="1"/>
  <c r="W259" i="16"/>
  <c r="Y259" i="16"/>
  <c r="Z259" i="16" s="1"/>
  <c r="W690" i="16"/>
  <c r="Y690" i="16"/>
  <c r="Z690" i="16" s="1"/>
  <c r="W1041" i="16"/>
  <c r="Y1041" i="16"/>
  <c r="Z1041" i="16" s="1"/>
  <c r="W1597" i="16"/>
  <c r="Y1597" i="16"/>
  <c r="Z1597" i="16" s="1"/>
  <c r="W1079" i="16"/>
  <c r="Y1079" i="16"/>
  <c r="Z1079" i="16" s="1"/>
  <c r="W1098" i="16"/>
  <c r="Y1098" i="16"/>
  <c r="Z1098" i="16" s="1"/>
  <c r="W1603" i="16"/>
  <c r="Y1603" i="16"/>
  <c r="Z1603" i="16" s="1"/>
  <c r="W1087" i="16"/>
  <c r="Y1087" i="16"/>
  <c r="Z1087" i="16" s="1"/>
  <c r="W624" i="16"/>
  <c r="Y624" i="16"/>
  <c r="Z624" i="16" s="1"/>
  <c r="W592" i="16"/>
  <c r="Y592" i="16"/>
  <c r="Z592" i="16" s="1"/>
  <c r="W422" i="16"/>
  <c r="Y422" i="16"/>
  <c r="Z422" i="16" s="1"/>
  <c r="W558" i="16"/>
  <c r="Y558" i="16"/>
  <c r="Z558" i="16" s="1"/>
  <c r="W386" i="16"/>
  <c r="Y386" i="16"/>
  <c r="Z386" i="16" s="1"/>
  <c r="W1909" i="16"/>
  <c r="Y1909" i="16"/>
  <c r="Z1909" i="16" s="1"/>
  <c r="W1397" i="16"/>
  <c r="Y1397" i="16"/>
  <c r="Z1397" i="16" s="1"/>
  <c r="W1412" i="16"/>
  <c r="Y1412" i="16"/>
  <c r="Z1412" i="16" s="1"/>
  <c r="W1915" i="16"/>
  <c r="Y1915" i="16"/>
  <c r="Z1915" i="16" s="1"/>
  <c r="W1403" i="16"/>
  <c r="Y1403" i="16"/>
  <c r="Z1403" i="16" s="1"/>
  <c r="W270" i="16"/>
  <c r="Y270" i="16"/>
  <c r="Z270" i="16" s="1"/>
  <c r="W940" i="16"/>
  <c r="Y940" i="16"/>
  <c r="Z940" i="16" s="1"/>
  <c r="W490" i="16"/>
  <c r="Y490" i="16"/>
  <c r="Z490" i="16" s="1"/>
  <c r="W306" i="16"/>
  <c r="Y306" i="16"/>
  <c r="Z306" i="16" s="1"/>
  <c r="W283" i="16"/>
  <c r="Y283" i="16"/>
  <c r="Z283" i="16" s="1"/>
  <c r="W343" i="16"/>
  <c r="Y343" i="16"/>
  <c r="Z343" i="16" s="1"/>
  <c r="W706" i="16"/>
  <c r="Y706" i="16"/>
  <c r="Z706" i="16" s="1"/>
  <c r="W318" i="16"/>
  <c r="Y318" i="16"/>
  <c r="Z318" i="16" s="1"/>
  <c r="W586" i="16"/>
  <c r="Y586" i="16"/>
  <c r="Z586" i="16" s="1"/>
  <c r="W667" i="16"/>
  <c r="Y667" i="16"/>
  <c r="Z667" i="16" s="1"/>
  <c r="W369" i="16"/>
  <c r="Y369" i="16"/>
  <c r="Z369" i="16" s="1"/>
  <c r="W399" i="16"/>
  <c r="Y399" i="16"/>
  <c r="Z399" i="16" s="1"/>
  <c r="W279" i="16"/>
  <c r="Y279" i="16"/>
  <c r="Z279" i="16" s="1"/>
  <c r="W646" i="16"/>
  <c r="Y646" i="16"/>
  <c r="Z646" i="16" s="1"/>
  <c r="W334" i="16"/>
  <c r="Y334" i="16"/>
  <c r="Z334" i="16" s="1"/>
  <c r="W581" i="16"/>
  <c r="Y581" i="16"/>
  <c r="Z581" i="16" s="1"/>
  <c r="W932" i="16"/>
  <c r="Y932" i="16"/>
  <c r="Z932" i="16" s="1"/>
  <c r="W914" i="16"/>
  <c r="Y914" i="16"/>
  <c r="Z914" i="16" s="1"/>
  <c r="W602" i="16"/>
  <c r="Y602" i="16"/>
  <c r="Z602" i="16" s="1"/>
  <c r="W290" i="16"/>
  <c r="Y290" i="16"/>
  <c r="Z290" i="16" s="1"/>
  <c r="W177" i="16"/>
  <c r="Y177" i="16"/>
  <c r="Z177" i="16" s="1"/>
  <c r="W151" i="16"/>
  <c r="Y151" i="16"/>
  <c r="Z151" i="16" s="1"/>
  <c r="W419" i="16"/>
  <c r="Y419" i="16"/>
  <c r="Z419" i="16" s="1"/>
  <c r="W778" i="16"/>
  <c r="Y778" i="16"/>
  <c r="Z778" i="16" s="1"/>
  <c r="W466" i="16"/>
  <c r="Y466" i="16"/>
  <c r="Z466" i="16" s="1"/>
  <c r="W641" i="16"/>
  <c r="Y641" i="16"/>
  <c r="Z641" i="16" s="1"/>
  <c r="W329" i="16"/>
  <c r="Y329" i="16"/>
  <c r="Z329" i="16" s="1"/>
  <c r="W695" i="16"/>
  <c r="Y695" i="16"/>
  <c r="Z695" i="16" s="1"/>
  <c r="W136" i="16"/>
  <c r="Y136" i="16"/>
  <c r="Z136" i="16" s="1"/>
  <c r="W79" i="16"/>
  <c r="Y79" i="16"/>
  <c r="Z79" i="16" s="1"/>
  <c r="W93" i="16"/>
  <c r="Y93" i="16"/>
  <c r="Z93" i="16" s="1"/>
  <c r="W494" i="16"/>
  <c r="Y494" i="16"/>
  <c r="Z494" i="16" s="1"/>
  <c r="W805" i="16"/>
  <c r="Y805" i="16"/>
  <c r="Z805" i="16" s="1"/>
  <c r="W685" i="16"/>
  <c r="Y685" i="16"/>
  <c r="Z685" i="16" s="1"/>
  <c r="W373" i="16"/>
  <c r="Y373" i="16"/>
  <c r="Z373" i="16" s="1"/>
  <c r="W724" i="16"/>
  <c r="Y724" i="16"/>
  <c r="Z724" i="16" s="1"/>
  <c r="W412" i="16"/>
  <c r="Y412" i="16"/>
  <c r="Z412" i="16" s="1"/>
  <c r="W771" i="16"/>
  <c r="Y771" i="16"/>
  <c r="Z771" i="16" s="1"/>
  <c r="W188" i="16"/>
  <c r="Y188" i="16"/>
  <c r="Z188" i="16" s="1"/>
  <c r="W174" i="16"/>
  <c r="Y174" i="16"/>
  <c r="Z174" i="16" s="1"/>
  <c r="W115" i="16"/>
  <c r="Y115" i="16"/>
  <c r="Z115" i="16" s="1"/>
  <c r="W902" i="16"/>
  <c r="Y902" i="16"/>
  <c r="Z902" i="16" s="1"/>
  <c r="W590" i="16"/>
  <c r="Y590" i="16"/>
  <c r="Z590" i="16" s="1"/>
  <c r="W278" i="16"/>
  <c r="Y278" i="16"/>
  <c r="Z278" i="16" s="1"/>
  <c r="W525" i="16"/>
  <c r="Y525" i="16"/>
  <c r="Z525" i="16" s="1"/>
  <c r="W217" i="16"/>
  <c r="Y217" i="16"/>
  <c r="Z217" i="16" s="1"/>
  <c r="W172" i="16"/>
  <c r="Y172" i="16"/>
  <c r="Z172" i="16" s="1"/>
  <c r="W783" i="16"/>
  <c r="Y783" i="16"/>
  <c r="Z783" i="16" s="1"/>
  <c r="W731" i="16"/>
  <c r="Y731" i="16"/>
  <c r="Z731" i="16" s="1"/>
  <c r="W611" i="16"/>
  <c r="Y611" i="16"/>
  <c r="Z611" i="16" s="1"/>
  <c r="W299" i="16"/>
  <c r="Y299" i="16"/>
  <c r="Z299" i="16" s="1"/>
  <c r="W658" i="16"/>
  <c r="Y658" i="16"/>
  <c r="Z658" i="16" s="1"/>
  <c r="W346" i="16"/>
  <c r="Y346" i="16"/>
  <c r="Z346" i="16" s="1"/>
  <c r="W521" i="16"/>
  <c r="Y521" i="16"/>
  <c r="Z521" i="16" s="1"/>
  <c r="W887" i="16"/>
  <c r="Y887" i="16"/>
  <c r="Z887" i="16" s="1"/>
  <c r="W88" i="16"/>
  <c r="Y88" i="16"/>
  <c r="Z88" i="16" s="1"/>
  <c r="W215" i="16"/>
  <c r="Y215" i="16"/>
  <c r="Z215" i="16" s="1"/>
  <c r="W565" i="16"/>
  <c r="Y565" i="16"/>
  <c r="Z565" i="16" s="1"/>
  <c r="W916" i="16"/>
  <c r="Y916" i="16"/>
  <c r="Z916" i="16" s="1"/>
  <c r="W604" i="16"/>
  <c r="Y604" i="16"/>
  <c r="Z604" i="16" s="1"/>
  <c r="W292" i="16"/>
  <c r="Y292" i="16"/>
  <c r="Z292" i="16" s="1"/>
  <c r="W124" i="16"/>
  <c r="Y124" i="16"/>
  <c r="Z124" i="16" s="1"/>
  <c r="W226" i="16"/>
  <c r="Y226" i="16"/>
  <c r="Z226" i="16" s="1"/>
  <c r="W150" i="16"/>
  <c r="Y150" i="16"/>
  <c r="Z150" i="16" s="1"/>
  <c r="W91" i="16"/>
  <c r="Y91" i="16"/>
  <c r="Z91" i="16" s="1"/>
  <c r="W415" i="16"/>
  <c r="Y415" i="16"/>
  <c r="Z415" i="16" s="1"/>
  <c r="W782" i="16"/>
  <c r="Y782" i="16"/>
  <c r="Z782" i="16" s="1"/>
  <c r="W470" i="16"/>
  <c r="Y470" i="16"/>
  <c r="Z470" i="16" s="1"/>
  <c r="W717" i="16"/>
  <c r="Y717" i="16"/>
  <c r="Z717" i="16" s="1"/>
  <c r="W169" i="16"/>
  <c r="Y169" i="16"/>
  <c r="Z169" i="16" s="1"/>
  <c r="W161" i="16"/>
  <c r="Y161" i="16"/>
  <c r="Z161" i="16" s="1"/>
  <c r="W296" i="16"/>
  <c r="Y296" i="16"/>
  <c r="Z296" i="16" s="1"/>
  <c r="T725" i="16"/>
  <c r="T1080" i="16"/>
  <c r="T1336" i="16"/>
  <c r="T827" i="16"/>
  <c r="T1798" i="16"/>
  <c r="T947" i="16"/>
  <c r="T1863" i="16"/>
  <c r="T1970" i="16"/>
  <c r="T2056" i="16"/>
  <c r="T2018" i="16"/>
  <c r="T2167" i="16"/>
  <c r="T1022" i="16"/>
  <c r="T1915" i="16"/>
  <c r="T2004" i="16"/>
  <c r="T1477" i="16"/>
  <c r="T1176" i="16"/>
  <c r="T1207" i="16"/>
  <c r="T1252" i="16"/>
  <c r="T2091" i="16"/>
  <c r="T1361" i="16"/>
  <c r="T233" i="16"/>
  <c r="T120" i="16"/>
  <c r="T1383" i="16"/>
  <c r="T1049" i="16"/>
  <c r="T2139" i="16"/>
  <c r="T1435" i="16"/>
  <c r="T12" i="16"/>
  <c r="T425" i="16"/>
  <c r="T2436" i="16"/>
  <c r="T829" i="16"/>
  <c r="T2183" i="16"/>
  <c r="T564" i="16"/>
  <c r="T356" i="16"/>
  <c r="T976" i="16"/>
  <c r="T627" i="16"/>
  <c r="T556" i="16"/>
  <c r="T1489" i="16"/>
  <c r="T1429" i="16"/>
  <c r="T158" i="16"/>
  <c r="T2342" i="16"/>
  <c r="T2261" i="16"/>
  <c r="T64" i="16"/>
  <c r="T1405" i="16"/>
  <c r="T695" i="16"/>
  <c r="T2214" i="16"/>
  <c r="T1053" i="16"/>
  <c r="T1003" i="16"/>
  <c r="T1935" i="16"/>
  <c r="T2195" i="16"/>
  <c r="T1473" i="16"/>
  <c r="T260" i="16"/>
  <c r="T244" i="16"/>
  <c r="T1939" i="16"/>
  <c r="T1038" i="16"/>
  <c r="T321" i="16"/>
  <c r="T758" i="16"/>
  <c r="T1613" i="16"/>
  <c r="T601" i="16"/>
  <c r="T408" i="16"/>
  <c r="T1828" i="16"/>
  <c r="T2036" i="16"/>
  <c r="T1407" i="16"/>
  <c r="T2022" i="16"/>
  <c r="T686" i="16"/>
  <c r="T1888" i="16"/>
  <c r="T1573" i="16"/>
  <c r="T2558" i="16"/>
  <c r="T2547" i="16"/>
  <c r="T2386" i="16"/>
  <c r="T994" i="16"/>
  <c r="T1357" i="16"/>
  <c r="T1606" i="16"/>
  <c r="T1740" i="16"/>
  <c r="T894" i="16"/>
  <c r="T1277" i="16"/>
  <c r="T1471" i="16"/>
  <c r="T1963" i="16"/>
  <c r="T1773" i="16"/>
  <c r="T1061" i="16"/>
  <c r="T1686" i="16"/>
  <c r="T168" i="16"/>
  <c r="T1491" i="16"/>
  <c r="T416" i="16"/>
  <c r="T1870" i="16"/>
  <c r="T2504" i="16"/>
  <c r="T2601" i="16"/>
  <c r="T2446" i="16"/>
  <c r="T221" i="16"/>
  <c r="T676" i="16"/>
  <c r="T1867" i="16"/>
  <c r="T1223" i="16"/>
  <c r="T1094" i="16"/>
  <c r="T1293" i="16"/>
  <c r="T525" i="16"/>
  <c r="T473" i="16"/>
  <c r="T1504" i="16"/>
  <c r="T1610" i="16"/>
  <c r="T148" i="16"/>
  <c r="T444" i="16"/>
  <c r="T939" i="16"/>
  <c r="T904" i="16"/>
  <c r="T1125" i="16"/>
  <c r="T304" i="16"/>
  <c r="T1897" i="16"/>
  <c r="T1426" i="16"/>
  <c r="T1138" i="16"/>
  <c r="T2244" i="16"/>
  <c r="T185" i="16"/>
  <c r="T715" i="16"/>
  <c r="T1876" i="16"/>
  <c r="T2248" i="16"/>
  <c r="T697" i="16"/>
  <c r="T1027" i="16"/>
  <c r="T848" i="16"/>
  <c r="T887" i="16"/>
  <c r="T963" i="16"/>
  <c r="T780" i="16"/>
  <c r="T8" i="16"/>
  <c r="T1618" i="16"/>
  <c r="T241" i="16"/>
  <c r="T1717" i="16"/>
  <c r="T1118" i="16"/>
  <c r="T370" i="16"/>
  <c r="T693" i="16"/>
  <c r="T719" i="16"/>
  <c r="T1260" i="16"/>
  <c r="T354" i="16"/>
  <c r="T254" i="16"/>
  <c r="T778" i="16"/>
  <c r="T1626" i="16"/>
  <c r="T1844" i="16"/>
  <c r="T616" i="16"/>
  <c r="T746" i="16"/>
  <c r="T1937" i="16"/>
  <c r="T16" i="16"/>
  <c r="T1090" i="16"/>
  <c r="T804" i="16"/>
  <c r="T1659" i="16"/>
  <c r="T264" i="16"/>
  <c r="T729" i="16"/>
  <c r="T1084" i="16"/>
  <c r="T1322" i="16"/>
  <c r="T1778" i="16"/>
  <c r="T1396" i="16"/>
  <c r="T146" i="16"/>
  <c r="T1417" i="16"/>
  <c r="T1256" i="16"/>
  <c r="T914" i="16"/>
  <c r="T2202" i="16"/>
  <c r="T980" i="16"/>
  <c r="T2212" i="16"/>
  <c r="T1840" i="16"/>
  <c r="T916" i="16"/>
  <c r="T1310" i="16"/>
  <c r="T1968" i="16"/>
  <c r="T1051" i="16"/>
  <c r="T471" i="16"/>
  <c r="T1608" i="16"/>
  <c r="T1096" i="16"/>
  <c r="T1092" i="16"/>
  <c r="T207" i="16"/>
  <c r="T684" i="16"/>
  <c r="T765" i="16"/>
  <c r="T352" i="16"/>
  <c r="T245" i="16"/>
  <c r="T1166" i="16"/>
  <c r="T513" i="16"/>
  <c r="T1433" i="16"/>
  <c r="T1543" i="16"/>
  <c r="T2161" i="16"/>
  <c r="T2236" i="16"/>
  <c r="T1485" i="16"/>
  <c r="T2047" i="16"/>
  <c r="T1130" i="16"/>
  <c r="T1992" i="16"/>
  <c r="T580" i="16"/>
  <c r="T869" i="16"/>
  <c r="T1583" i="16"/>
  <c r="T1907" i="16"/>
  <c r="T1959" i="16"/>
  <c r="T334" i="16"/>
  <c r="T1063" i="16"/>
  <c r="T2070" i="16"/>
  <c r="T2137" i="16"/>
  <c r="T637" i="16"/>
  <c r="T2267" i="16"/>
  <c r="T918" i="16"/>
  <c r="T668" i="16"/>
  <c r="T982" i="16"/>
  <c r="T796" i="16"/>
  <c r="T1154" i="16"/>
  <c r="T1988" i="16"/>
  <c r="T1112" i="16"/>
  <c r="T1047" i="16"/>
  <c r="T275" i="16"/>
  <c r="T688" i="16"/>
  <c r="T1732" i="16"/>
  <c r="T395" i="16"/>
  <c r="T360" i="16"/>
  <c r="T1167" i="16"/>
  <c r="T1550" i="16"/>
  <c r="T1295" i="16"/>
  <c r="T1615" i="16"/>
  <c r="T2467" i="16"/>
  <c r="T102" i="16"/>
  <c r="T1658" i="16"/>
  <c r="T1229" i="16"/>
  <c r="T2111" i="16"/>
  <c r="T1804" i="16"/>
  <c r="T36" i="16"/>
  <c r="T1640" i="16"/>
  <c r="T810" i="16"/>
  <c r="T910" i="16"/>
  <c r="T2102" i="16"/>
  <c r="T28" i="16"/>
  <c r="T247" i="16"/>
  <c r="T953" i="16"/>
  <c r="T1071" i="16"/>
  <c r="T116" i="16"/>
  <c r="T1652" i="16"/>
  <c r="T519" i="16"/>
  <c r="T1254" i="16"/>
  <c r="T54" i="16"/>
  <c r="T2076" i="16"/>
  <c r="T871" i="16"/>
  <c r="T1636" i="16"/>
  <c r="T512" i="16"/>
  <c r="T85" i="16"/>
  <c r="T578" i="16"/>
  <c r="T560" i="16"/>
  <c r="T2376" i="16"/>
  <c r="T973" i="16"/>
  <c r="T412" i="16"/>
  <c r="T935" i="16"/>
  <c r="T2046" i="16"/>
  <c r="T1933" i="16"/>
  <c r="T926" i="16"/>
  <c r="T1024" i="16"/>
  <c r="T2024" i="16"/>
  <c r="T381" i="16"/>
  <c r="T1395" i="16"/>
  <c r="T128" i="16"/>
  <c r="T571" i="16"/>
  <c r="T1447" i="16"/>
  <c r="T1880" i="16"/>
  <c r="T1248" i="16"/>
  <c r="T1393" i="16"/>
  <c r="T711" i="16"/>
  <c r="T376" i="16"/>
  <c r="T1705" i="16"/>
  <c r="T1814" i="16"/>
  <c r="T1456" i="16"/>
  <c r="T823" i="16"/>
  <c r="T1287" i="16"/>
  <c r="T1415" i="16"/>
  <c r="T1098" i="16"/>
  <c r="T225" i="16"/>
  <c r="T1514" i="16"/>
  <c r="T1479" i="16"/>
  <c r="T486" i="16"/>
  <c r="T535" i="16"/>
  <c r="T1569" i="16"/>
  <c r="T1219" i="16"/>
  <c r="T1516" i="16"/>
  <c r="T587" i="16"/>
  <c r="T163" i="16"/>
  <c r="T1980" i="16"/>
  <c r="T111" i="16"/>
  <c r="T840" i="16"/>
  <c r="T1116" i="16"/>
  <c r="T842" i="16"/>
  <c r="T1593" i="16"/>
  <c r="T1882" i="16"/>
  <c r="T1302" i="16"/>
  <c r="T228" i="16"/>
  <c r="T2238" i="16"/>
  <c r="T1159" i="16"/>
  <c r="T906" i="16"/>
  <c r="T1680" i="16"/>
  <c r="T1727" i="16"/>
  <c r="T800" i="16"/>
  <c r="T1266" i="16"/>
  <c r="T890" i="16"/>
  <c r="T1537" i="16"/>
  <c r="T873" i="16"/>
  <c r="T1948" i="16"/>
  <c r="T2060" i="16"/>
  <c r="T1182" i="16"/>
  <c r="T510" i="16"/>
  <c r="T1439" i="16"/>
  <c r="T1955" i="16"/>
  <c r="T240" i="16"/>
  <c r="T1344" i="16"/>
  <c r="T1620" i="16"/>
  <c r="T4" i="16"/>
  <c r="T161" i="16"/>
  <c r="T1978" i="16"/>
  <c r="T66" i="16"/>
  <c r="T271" i="16"/>
  <c r="T2169" i="16"/>
  <c r="T1419" i="16"/>
  <c r="T623" i="16"/>
  <c r="T230" i="16"/>
  <c r="T365" i="16"/>
  <c r="T332" i="16"/>
  <c r="T844" i="16"/>
  <c r="T2151" i="16"/>
  <c r="T6" i="16"/>
  <c r="T1528" i="16"/>
  <c r="T639" i="16"/>
  <c r="T248" i="16"/>
  <c r="T1443" i="16"/>
  <c r="T223" i="16"/>
  <c r="T1693" i="16"/>
  <c r="T1146" i="16"/>
  <c r="T346" i="16"/>
  <c r="T595" i="16"/>
  <c r="T1363" i="16"/>
  <c r="T1020" i="16"/>
  <c r="T2054" i="16"/>
  <c r="T391" i="16"/>
  <c r="T670" i="16"/>
  <c r="T2230" i="16"/>
  <c r="T1015" i="16"/>
  <c r="T2171" i="16"/>
  <c r="T2080" i="16"/>
  <c r="T2095" i="16"/>
  <c r="T446" i="16"/>
  <c r="T190" i="16"/>
  <c r="T1575" i="16"/>
  <c r="T2220" i="16"/>
  <c r="T790" i="16"/>
  <c r="T619" i="16"/>
  <c r="T1306" i="16"/>
  <c r="T1822" i="16"/>
  <c r="T1242" i="16"/>
  <c r="T1161" i="16"/>
  <c r="T1437" i="16"/>
  <c r="T2149" i="16"/>
  <c r="T1678" i="16"/>
  <c r="T2332" i="16"/>
  <c r="T2465" i="16"/>
  <c r="T2279" i="16"/>
  <c r="T2295" i="16"/>
  <c r="T2647" i="16"/>
  <c r="T2515" i="16"/>
  <c r="T2513" i="16"/>
  <c r="T2649" i="16"/>
  <c r="T2517" i="16"/>
  <c r="T2628" i="16"/>
  <c r="T2369" i="16"/>
  <c r="T2630" i="16"/>
  <c r="T2643" i="16"/>
  <c r="T2410" i="16"/>
  <c r="T2414" i="16"/>
  <c r="T2303" i="16"/>
  <c r="T2450" i="16"/>
  <c r="T2482" i="16"/>
  <c r="T2428" i="16"/>
  <c r="T2417" i="16"/>
  <c r="T2526" i="16"/>
  <c r="T2587" i="16"/>
  <c r="T2509" i="16"/>
  <c r="T2331" i="16"/>
  <c r="T2273" i="16"/>
  <c r="T2315" i="16"/>
  <c r="T2471" i="16"/>
  <c r="T2378" i="16"/>
  <c r="T2556" i="16"/>
  <c r="T2651" i="16"/>
  <c r="T2653" i="16"/>
  <c r="T2654" i="16"/>
  <c r="T2636" i="16"/>
  <c r="T2291" i="16"/>
  <c r="T2384" i="16"/>
  <c r="T2365" i="16"/>
  <c r="T2281" i="16"/>
  <c r="W2642" i="16"/>
  <c r="AB2642" i="16"/>
  <c r="AC2642" i="16" s="1"/>
  <c r="T2323" i="16"/>
  <c r="T2277" i="16"/>
  <c r="W2650" i="16"/>
  <c r="AB2650" i="16"/>
  <c r="AC2650" i="16" s="1"/>
  <c r="T2448" i="16"/>
  <c r="T2524" i="16"/>
  <c r="T2357" i="16"/>
  <c r="T2271" i="16"/>
  <c r="AD2272" i="16"/>
  <c r="AE2272" i="16" s="1"/>
  <c r="AF2272" i="16" s="1"/>
  <c r="AD2336" i="16"/>
  <c r="AE2336" i="16" s="1"/>
  <c r="AF2336" i="16" s="1"/>
  <c r="AD2400" i="16"/>
  <c r="AE2400" i="16" s="1"/>
  <c r="AF2400" i="16" s="1"/>
  <c r="AD2464" i="16"/>
  <c r="AE2464" i="16" s="1"/>
  <c r="AF2464" i="16" s="1"/>
  <c r="AD2298" i="16"/>
  <c r="AE2298" i="16" s="1"/>
  <c r="AF2298" i="16" s="1"/>
  <c r="AD2362" i="16"/>
  <c r="AE2362" i="16" s="1"/>
  <c r="AF2362" i="16" s="1"/>
  <c r="AD2426" i="16"/>
  <c r="AE2426" i="16" s="1"/>
  <c r="AF2426" i="16" s="1"/>
  <c r="AD2315" i="16"/>
  <c r="AE2315" i="16" s="1"/>
  <c r="AF2315" i="16" s="1"/>
  <c r="AD2379" i="16"/>
  <c r="AE2379" i="16" s="1"/>
  <c r="AF2379" i="16" s="1"/>
  <c r="AD2443" i="16"/>
  <c r="AE2443" i="16" s="1"/>
  <c r="AF2443" i="16" s="1"/>
  <c r="AD2332" i="16"/>
  <c r="AE2332" i="16" s="1"/>
  <c r="AF2332" i="16" s="1"/>
  <c r="AD2396" i="16"/>
  <c r="AE2396" i="16" s="1"/>
  <c r="AF2396" i="16" s="1"/>
  <c r="AD2460" i="16"/>
  <c r="AE2460" i="16" s="1"/>
  <c r="AF2460" i="16" s="1"/>
  <c r="AD2293" i="16"/>
  <c r="AE2293" i="16" s="1"/>
  <c r="AF2293" i="16" s="1"/>
  <c r="AD2357" i="16"/>
  <c r="AE2357" i="16" s="1"/>
  <c r="AF2357" i="16" s="1"/>
  <c r="AD2421" i="16"/>
  <c r="AE2421" i="16" s="1"/>
  <c r="AF2421" i="16" s="1"/>
  <c r="AD2318" i="16"/>
  <c r="AE2318" i="16" s="1"/>
  <c r="AF2318" i="16" s="1"/>
  <c r="AD2382" i="16"/>
  <c r="AE2382" i="16" s="1"/>
  <c r="AF2382" i="16" s="1"/>
  <c r="AD2446" i="16"/>
  <c r="AE2446" i="16" s="1"/>
  <c r="AF2446" i="16" s="1"/>
  <c r="AD2279" i="16"/>
  <c r="AE2279" i="16" s="1"/>
  <c r="AF2279" i="16" s="1"/>
  <c r="AD2343" i="16"/>
  <c r="AE2343" i="16" s="1"/>
  <c r="AF2343" i="16" s="1"/>
  <c r="AD2407" i="16"/>
  <c r="AE2407" i="16" s="1"/>
  <c r="AF2407" i="16" s="1"/>
  <c r="AD2471" i="16"/>
  <c r="AE2471" i="16" s="1"/>
  <c r="AF2471" i="16" s="1"/>
  <c r="AD2321" i="16"/>
  <c r="AE2321" i="16" s="1"/>
  <c r="AF2321" i="16" s="1"/>
  <c r="AD2337" i="16"/>
  <c r="AE2337" i="16" s="1"/>
  <c r="AF2337" i="16" s="1"/>
  <c r="AD2353" i="16"/>
  <c r="AE2353" i="16" s="1"/>
  <c r="AF2353" i="16" s="1"/>
  <c r="AD2433" i="16"/>
  <c r="AE2433" i="16" s="1"/>
  <c r="AF2433" i="16" s="1"/>
  <c r="AD2280" i="16"/>
  <c r="AE2280" i="16" s="1"/>
  <c r="AF2280" i="16" s="1"/>
  <c r="AD2344" i="16"/>
  <c r="AE2344" i="16" s="1"/>
  <c r="AF2344" i="16" s="1"/>
  <c r="AD2408" i="16"/>
  <c r="AE2408" i="16" s="1"/>
  <c r="AF2408" i="16" s="1"/>
  <c r="AD2472" i="16"/>
  <c r="AE2472" i="16" s="1"/>
  <c r="AF2472" i="16" s="1"/>
  <c r="AD2306" i="16"/>
  <c r="AE2306" i="16" s="1"/>
  <c r="AF2306" i="16" s="1"/>
  <c r="AD2370" i="16"/>
  <c r="AE2370" i="16" s="1"/>
  <c r="AF2370" i="16" s="1"/>
  <c r="AD2434" i="16"/>
  <c r="AE2434" i="16" s="1"/>
  <c r="AF2434" i="16" s="1"/>
  <c r="AD2323" i="16"/>
  <c r="AE2323" i="16" s="1"/>
  <c r="AF2323" i="16" s="1"/>
  <c r="AD2387" i="16"/>
  <c r="AE2387" i="16" s="1"/>
  <c r="AF2387" i="16" s="1"/>
  <c r="AD2451" i="16"/>
  <c r="AE2451" i="16" s="1"/>
  <c r="AF2451" i="16" s="1"/>
  <c r="AD2276" i="16"/>
  <c r="AE2276" i="16" s="1"/>
  <c r="AF2276" i="16" s="1"/>
  <c r="AD2340" i="16"/>
  <c r="AE2340" i="16" s="1"/>
  <c r="AF2340" i="16" s="1"/>
  <c r="AD2404" i="16"/>
  <c r="AE2404" i="16" s="1"/>
  <c r="AF2404" i="16" s="1"/>
  <c r="AD2468" i="16"/>
  <c r="AE2468" i="16" s="1"/>
  <c r="AF2468" i="16" s="1"/>
  <c r="AD2301" i="16"/>
  <c r="AE2301" i="16" s="1"/>
  <c r="AF2301" i="16" s="1"/>
  <c r="AD2365" i="16"/>
  <c r="AE2365" i="16" s="1"/>
  <c r="AF2365" i="16" s="1"/>
  <c r="AD2429" i="16"/>
  <c r="AE2429" i="16" s="1"/>
  <c r="AF2429" i="16" s="1"/>
  <c r="AD2326" i="16"/>
  <c r="AE2326" i="16" s="1"/>
  <c r="AF2326" i="16" s="1"/>
  <c r="AD2390" i="16"/>
  <c r="AE2390" i="16" s="1"/>
  <c r="AF2390" i="16" s="1"/>
  <c r="AD2454" i="16"/>
  <c r="AE2454" i="16" s="1"/>
  <c r="AF2454" i="16" s="1"/>
  <c r="AD2287" i="16"/>
  <c r="AE2287" i="16" s="1"/>
  <c r="AF2287" i="16" s="1"/>
  <c r="AD2351" i="16"/>
  <c r="AE2351" i="16" s="1"/>
  <c r="AF2351" i="16" s="1"/>
  <c r="AD2415" i="16"/>
  <c r="AE2415" i="16" s="1"/>
  <c r="AF2415" i="16" s="1"/>
  <c r="AD2385" i="16"/>
  <c r="AE2385" i="16" s="1"/>
  <c r="AF2385" i="16" s="1"/>
  <c r="AD2401" i="16"/>
  <c r="AE2401" i="16" s="1"/>
  <c r="AF2401" i="16" s="1"/>
  <c r="AD2417" i="16"/>
  <c r="AE2417" i="16" s="1"/>
  <c r="AF2417" i="16" s="1"/>
  <c r="AD2288" i="16"/>
  <c r="AE2288" i="16" s="1"/>
  <c r="AF2288" i="16" s="1"/>
  <c r="AD2352" i="16"/>
  <c r="AE2352" i="16" s="1"/>
  <c r="AF2352" i="16" s="1"/>
  <c r="AD2416" i="16"/>
  <c r="AE2416" i="16" s="1"/>
  <c r="AF2416" i="16" s="1"/>
  <c r="AD2314" i="16"/>
  <c r="AE2314" i="16" s="1"/>
  <c r="AF2314" i="16" s="1"/>
  <c r="AD2378" i="16"/>
  <c r="AE2378" i="16" s="1"/>
  <c r="AF2378" i="16" s="1"/>
  <c r="AD2442" i="16"/>
  <c r="AE2442" i="16" s="1"/>
  <c r="AF2442" i="16" s="1"/>
  <c r="AD2331" i="16"/>
  <c r="AE2331" i="16" s="1"/>
  <c r="AF2331" i="16" s="1"/>
  <c r="AD2395" i="16"/>
  <c r="AE2395" i="16" s="1"/>
  <c r="AF2395" i="16" s="1"/>
  <c r="AD2459" i="16"/>
  <c r="AE2459" i="16" s="1"/>
  <c r="AF2459" i="16" s="1"/>
  <c r="AD2284" i="16"/>
  <c r="AE2284" i="16" s="1"/>
  <c r="AF2284" i="16" s="1"/>
  <c r="AD2348" i="16"/>
  <c r="AE2348" i="16" s="1"/>
  <c r="AF2348" i="16" s="1"/>
  <c r="AD2412" i="16"/>
  <c r="AE2412" i="16" s="1"/>
  <c r="AF2412" i="16" s="1"/>
  <c r="AD2309" i="16"/>
  <c r="AE2309" i="16" s="1"/>
  <c r="AF2309" i="16" s="1"/>
  <c r="AD2373" i="16"/>
  <c r="AE2373" i="16" s="1"/>
  <c r="AF2373" i="16" s="1"/>
  <c r="AD2437" i="16"/>
  <c r="AE2437" i="16" s="1"/>
  <c r="AF2437" i="16" s="1"/>
  <c r="AD2334" i="16"/>
  <c r="AE2334" i="16" s="1"/>
  <c r="AF2334" i="16" s="1"/>
  <c r="AD2398" i="16"/>
  <c r="AE2398" i="16" s="1"/>
  <c r="AF2398" i="16" s="1"/>
  <c r="AD2462" i="16"/>
  <c r="AE2462" i="16" s="1"/>
  <c r="AF2462" i="16" s="1"/>
  <c r="AD2295" i="16"/>
  <c r="AE2295" i="16" s="1"/>
  <c r="AF2295" i="16" s="1"/>
  <c r="AD2359" i="16"/>
  <c r="AE2359" i="16" s="1"/>
  <c r="AF2359" i="16" s="1"/>
  <c r="AD2423" i="16"/>
  <c r="AE2423" i="16" s="1"/>
  <c r="AF2423" i="16" s="1"/>
  <c r="AD2449" i="16"/>
  <c r="AE2449" i="16" s="1"/>
  <c r="AF2449" i="16" s="1"/>
  <c r="AD2465" i="16"/>
  <c r="AE2465" i="16" s="1"/>
  <c r="AF2465" i="16" s="1"/>
  <c r="AD2297" i="16"/>
  <c r="AE2297" i="16" s="1"/>
  <c r="AF2297" i="16" s="1"/>
  <c r="AD2296" i="16"/>
  <c r="AE2296" i="16" s="1"/>
  <c r="AF2296" i="16" s="1"/>
  <c r="AD2360" i="16"/>
  <c r="AE2360" i="16" s="1"/>
  <c r="AF2360" i="16" s="1"/>
  <c r="AD2424" i="16"/>
  <c r="AE2424" i="16" s="1"/>
  <c r="AF2424" i="16" s="1"/>
  <c r="AD2322" i="16"/>
  <c r="AE2322" i="16" s="1"/>
  <c r="AF2322" i="16" s="1"/>
  <c r="AD2386" i="16"/>
  <c r="AE2386" i="16" s="1"/>
  <c r="AF2386" i="16" s="1"/>
  <c r="AD2450" i="16"/>
  <c r="AE2450" i="16" s="1"/>
  <c r="AF2450" i="16" s="1"/>
  <c r="AD2275" i="16"/>
  <c r="AE2275" i="16" s="1"/>
  <c r="AF2275" i="16" s="1"/>
  <c r="AD2339" i="16"/>
  <c r="AE2339" i="16" s="1"/>
  <c r="AF2339" i="16" s="1"/>
  <c r="AD2403" i="16"/>
  <c r="AE2403" i="16" s="1"/>
  <c r="AF2403" i="16" s="1"/>
  <c r="AD2467" i="16"/>
  <c r="AE2467" i="16" s="1"/>
  <c r="AF2467" i="16" s="1"/>
  <c r="AD2292" i="16"/>
  <c r="AE2292" i="16" s="1"/>
  <c r="AF2292" i="16" s="1"/>
  <c r="AD2356" i="16"/>
  <c r="AE2356" i="16" s="1"/>
  <c r="AF2356" i="16" s="1"/>
  <c r="AD2420" i="16"/>
  <c r="AE2420" i="16" s="1"/>
  <c r="AF2420" i="16" s="1"/>
  <c r="AD2317" i="16"/>
  <c r="AE2317" i="16" s="1"/>
  <c r="AF2317" i="16" s="1"/>
  <c r="AD2381" i="16"/>
  <c r="AE2381" i="16" s="1"/>
  <c r="AF2381" i="16" s="1"/>
  <c r="AD2445" i="16"/>
  <c r="AE2445" i="16" s="1"/>
  <c r="AF2445" i="16" s="1"/>
  <c r="AD2278" i="16"/>
  <c r="AE2278" i="16" s="1"/>
  <c r="AF2278" i="16" s="1"/>
  <c r="AD2342" i="16"/>
  <c r="AE2342" i="16" s="1"/>
  <c r="AF2342" i="16" s="1"/>
  <c r="AD2406" i="16"/>
  <c r="AE2406" i="16" s="1"/>
  <c r="AF2406" i="16" s="1"/>
  <c r="AD2470" i="16"/>
  <c r="AE2470" i="16" s="1"/>
  <c r="AF2470" i="16" s="1"/>
  <c r="AD2303" i="16"/>
  <c r="AE2303" i="16" s="1"/>
  <c r="AF2303" i="16" s="1"/>
  <c r="AD2367" i="16"/>
  <c r="AE2367" i="16" s="1"/>
  <c r="AF2367" i="16" s="1"/>
  <c r="AD2431" i="16"/>
  <c r="AE2431" i="16" s="1"/>
  <c r="AF2431" i="16" s="1"/>
  <c r="AD2281" i="16"/>
  <c r="AE2281" i="16" s="1"/>
  <c r="AF2281" i="16" s="1"/>
  <c r="AD2361" i="16"/>
  <c r="AE2361" i="16" s="1"/>
  <c r="AF2361" i="16" s="1"/>
  <c r="AD2313" i="16"/>
  <c r="AE2313" i="16" s="1"/>
  <c r="AF2313" i="16" s="1"/>
  <c r="AD2304" i="16"/>
  <c r="AE2304" i="16" s="1"/>
  <c r="AF2304" i="16" s="1"/>
  <c r="AD2368" i="16"/>
  <c r="AE2368" i="16" s="1"/>
  <c r="AF2368" i="16" s="1"/>
  <c r="AD2432" i="16"/>
  <c r="AE2432" i="16" s="1"/>
  <c r="AF2432" i="16" s="1"/>
  <c r="AD2330" i="16"/>
  <c r="AE2330" i="16" s="1"/>
  <c r="AF2330" i="16" s="1"/>
  <c r="AD2394" i="16"/>
  <c r="AE2394" i="16" s="1"/>
  <c r="AF2394" i="16" s="1"/>
  <c r="AD2458" i="16"/>
  <c r="AE2458" i="16" s="1"/>
  <c r="AF2458" i="16" s="1"/>
  <c r="AD2283" i="16"/>
  <c r="AE2283" i="16" s="1"/>
  <c r="AF2283" i="16" s="1"/>
  <c r="AD2347" i="16"/>
  <c r="AE2347" i="16" s="1"/>
  <c r="AF2347" i="16" s="1"/>
  <c r="AD2411" i="16"/>
  <c r="AE2411" i="16" s="1"/>
  <c r="AF2411" i="16" s="1"/>
  <c r="AD2475" i="16"/>
  <c r="AE2475" i="16" s="1"/>
  <c r="AF2475" i="16" s="1"/>
  <c r="AD2300" i="16"/>
  <c r="AE2300" i="16" s="1"/>
  <c r="AF2300" i="16" s="1"/>
  <c r="AD2364" i="16"/>
  <c r="AE2364" i="16" s="1"/>
  <c r="AF2364" i="16" s="1"/>
  <c r="AD2428" i="16"/>
  <c r="AE2428" i="16" s="1"/>
  <c r="AF2428" i="16" s="1"/>
  <c r="AD2325" i="16"/>
  <c r="AE2325" i="16" s="1"/>
  <c r="AF2325" i="16" s="1"/>
  <c r="AD2389" i="16"/>
  <c r="AE2389" i="16" s="1"/>
  <c r="AF2389" i="16" s="1"/>
  <c r="AD2453" i="16"/>
  <c r="AE2453" i="16" s="1"/>
  <c r="AF2453" i="16" s="1"/>
  <c r="AD2286" i="16"/>
  <c r="AE2286" i="16" s="1"/>
  <c r="AF2286" i="16" s="1"/>
  <c r="AD2350" i="16"/>
  <c r="AE2350" i="16" s="1"/>
  <c r="AF2350" i="16" s="1"/>
  <c r="AD2414" i="16"/>
  <c r="AE2414" i="16" s="1"/>
  <c r="AF2414" i="16" s="1"/>
  <c r="AD2311" i="16"/>
  <c r="AE2311" i="16" s="1"/>
  <c r="AF2311" i="16" s="1"/>
  <c r="AD2375" i="16"/>
  <c r="AE2375" i="16" s="1"/>
  <c r="AF2375" i="16" s="1"/>
  <c r="AD2439" i="16"/>
  <c r="AE2439" i="16" s="1"/>
  <c r="AF2439" i="16" s="1"/>
  <c r="AD2329" i="16"/>
  <c r="AE2329" i="16" s="1"/>
  <c r="AF2329" i="16" s="1"/>
  <c r="AD2345" i="16"/>
  <c r="AE2345" i="16" s="1"/>
  <c r="AF2345" i="16" s="1"/>
  <c r="AD2425" i="16"/>
  <c r="AE2425" i="16" s="1"/>
  <c r="AF2425" i="16" s="1"/>
  <c r="AD2377" i="16"/>
  <c r="AE2377" i="16" s="1"/>
  <c r="AF2377" i="16" s="1"/>
  <c r="AD2312" i="16"/>
  <c r="AE2312" i="16" s="1"/>
  <c r="AF2312" i="16" s="1"/>
  <c r="AD2376" i="16"/>
  <c r="AE2376" i="16" s="1"/>
  <c r="AF2376" i="16" s="1"/>
  <c r="AD2440" i="16"/>
  <c r="AE2440" i="16" s="1"/>
  <c r="AF2440" i="16" s="1"/>
  <c r="AD2274" i="16"/>
  <c r="AE2274" i="16" s="1"/>
  <c r="AF2274" i="16" s="1"/>
  <c r="AD2338" i="16"/>
  <c r="AE2338" i="16" s="1"/>
  <c r="AF2338" i="16" s="1"/>
  <c r="AD2402" i="16"/>
  <c r="AE2402" i="16" s="1"/>
  <c r="AF2402" i="16" s="1"/>
  <c r="AD2466" i="16"/>
  <c r="AE2466" i="16" s="1"/>
  <c r="AF2466" i="16" s="1"/>
  <c r="AD2291" i="16"/>
  <c r="AE2291" i="16" s="1"/>
  <c r="AF2291" i="16" s="1"/>
  <c r="AD2355" i="16"/>
  <c r="AE2355" i="16" s="1"/>
  <c r="AF2355" i="16" s="1"/>
  <c r="AD2419" i="16"/>
  <c r="AE2419" i="16" s="1"/>
  <c r="AF2419" i="16" s="1"/>
  <c r="AD2308" i="16"/>
  <c r="AE2308" i="16" s="1"/>
  <c r="AF2308" i="16" s="1"/>
  <c r="AD2372" i="16"/>
  <c r="AE2372" i="16" s="1"/>
  <c r="AF2372" i="16" s="1"/>
  <c r="AD2436" i="16"/>
  <c r="AE2436" i="16" s="1"/>
  <c r="AF2436" i="16" s="1"/>
  <c r="AD2333" i="16"/>
  <c r="AE2333" i="16" s="1"/>
  <c r="AF2333" i="16" s="1"/>
  <c r="AD2397" i="16"/>
  <c r="AE2397" i="16" s="1"/>
  <c r="AF2397" i="16" s="1"/>
  <c r="AD2461" i="16"/>
  <c r="AE2461" i="16" s="1"/>
  <c r="AF2461" i="16" s="1"/>
  <c r="AD2294" i="16"/>
  <c r="AE2294" i="16" s="1"/>
  <c r="AF2294" i="16" s="1"/>
  <c r="AD2358" i="16"/>
  <c r="AE2358" i="16" s="1"/>
  <c r="AF2358" i="16" s="1"/>
  <c r="AD2422" i="16"/>
  <c r="AE2422" i="16" s="1"/>
  <c r="AF2422" i="16" s="1"/>
  <c r="AD2319" i="16"/>
  <c r="AE2319" i="16" s="1"/>
  <c r="AF2319" i="16" s="1"/>
  <c r="AD2383" i="16"/>
  <c r="AE2383" i="16" s="1"/>
  <c r="AF2383" i="16" s="1"/>
  <c r="AD2447" i="16"/>
  <c r="AE2447" i="16" s="1"/>
  <c r="AF2447" i="16" s="1"/>
  <c r="AD2393" i="16"/>
  <c r="AE2393" i="16" s="1"/>
  <c r="AF2393" i="16" s="1"/>
  <c r="AD2409" i="16"/>
  <c r="AE2409" i="16" s="1"/>
  <c r="AF2409" i="16" s="1"/>
  <c r="AD2441" i="16"/>
  <c r="AE2441" i="16" s="1"/>
  <c r="AF2441" i="16" s="1"/>
  <c r="AD2320" i="16"/>
  <c r="AE2320" i="16" s="1"/>
  <c r="AF2320" i="16" s="1"/>
  <c r="AD2384" i="16"/>
  <c r="AE2384" i="16" s="1"/>
  <c r="AF2384" i="16" s="1"/>
  <c r="AD2448" i="16"/>
  <c r="AE2448" i="16" s="1"/>
  <c r="AF2448" i="16" s="1"/>
  <c r="AD2282" i="16"/>
  <c r="AE2282" i="16" s="1"/>
  <c r="AF2282" i="16" s="1"/>
  <c r="AD2346" i="16"/>
  <c r="AE2346" i="16" s="1"/>
  <c r="AF2346" i="16" s="1"/>
  <c r="AD2410" i="16"/>
  <c r="AE2410" i="16" s="1"/>
  <c r="AF2410" i="16" s="1"/>
  <c r="AD2474" i="16"/>
  <c r="AE2474" i="16" s="1"/>
  <c r="AF2474" i="16" s="1"/>
  <c r="AD2299" i="16"/>
  <c r="AE2299" i="16" s="1"/>
  <c r="AF2299" i="16" s="1"/>
  <c r="AD2363" i="16"/>
  <c r="AE2363" i="16" s="1"/>
  <c r="AF2363" i="16" s="1"/>
  <c r="AD2427" i="16"/>
  <c r="AE2427" i="16" s="1"/>
  <c r="AF2427" i="16" s="1"/>
  <c r="AD2316" i="16"/>
  <c r="AE2316" i="16" s="1"/>
  <c r="AF2316" i="16" s="1"/>
  <c r="AD2380" i="16"/>
  <c r="AE2380" i="16" s="1"/>
  <c r="AF2380" i="16" s="1"/>
  <c r="AD2444" i="16"/>
  <c r="AE2444" i="16" s="1"/>
  <c r="AF2444" i="16" s="1"/>
  <c r="AD2277" i="16"/>
  <c r="AE2277" i="16" s="1"/>
  <c r="AF2277" i="16" s="1"/>
  <c r="AD2341" i="16"/>
  <c r="AE2341" i="16" s="1"/>
  <c r="AF2341" i="16" s="1"/>
  <c r="AD2405" i="16"/>
  <c r="AE2405" i="16" s="1"/>
  <c r="AF2405" i="16" s="1"/>
  <c r="AD2469" i="16"/>
  <c r="AE2469" i="16" s="1"/>
  <c r="AF2469" i="16" s="1"/>
  <c r="AD2302" i="16"/>
  <c r="AE2302" i="16" s="1"/>
  <c r="AF2302" i="16" s="1"/>
  <c r="AD2366" i="16"/>
  <c r="AE2366" i="16" s="1"/>
  <c r="AF2366" i="16" s="1"/>
  <c r="AD2430" i="16"/>
  <c r="AE2430" i="16" s="1"/>
  <c r="AF2430" i="16" s="1"/>
  <c r="AD2327" i="16"/>
  <c r="AE2327" i="16" s="1"/>
  <c r="AF2327" i="16" s="1"/>
  <c r="AD2391" i="16"/>
  <c r="AE2391" i="16" s="1"/>
  <c r="AF2391" i="16" s="1"/>
  <c r="AD2455" i="16"/>
  <c r="AE2455" i="16" s="1"/>
  <c r="AF2455" i="16" s="1"/>
  <c r="AD2457" i="16"/>
  <c r="AE2457" i="16" s="1"/>
  <c r="AF2457" i="16" s="1"/>
  <c r="AD2473" i="16"/>
  <c r="AE2473" i="16" s="1"/>
  <c r="AF2473" i="16" s="1"/>
  <c r="AD2305" i="16"/>
  <c r="AE2305" i="16" s="1"/>
  <c r="AF2305" i="16" s="1"/>
  <c r="AD2328" i="16"/>
  <c r="AE2328" i="16" s="1"/>
  <c r="AF2328" i="16" s="1"/>
  <c r="AD2392" i="16"/>
  <c r="AE2392" i="16" s="1"/>
  <c r="AF2392" i="16" s="1"/>
  <c r="AD2456" i="16"/>
  <c r="AE2456" i="16" s="1"/>
  <c r="AF2456" i="16" s="1"/>
  <c r="AD2290" i="16"/>
  <c r="AE2290" i="16" s="1"/>
  <c r="AF2290" i="16" s="1"/>
  <c r="AD2354" i="16"/>
  <c r="AE2354" i="16" s="1"/>
  <c r="AF2354" i="16" s="1"/>
  <c r="AD2418" i="16"/>
  <c r="AE2418" i="16" s="1"/>
  <c r="AF2418" i="16" s="1"/>
  <c r="AD2307" i="16"/>
  <c r="AE2307" i="16" s="1"/>
  <c r="AF2307" i="16" s="1"/>
  <c r="AD2371" i="16"/>
  <c r="AE2371" i="16" s="1"/>
  <c r="AF2371" i="16" s="1"/>
  <c r="AD2435" i="16"/>
  <c r="AE2435" i="16" s="1"/>
  <c r="AF2435" i="16" s="1"/>
  <c r="AD2324" i="16"/>
  <c r="AE2324" i="16" s="1"/>
  <c r="AF2324" i="16" s="1"/>
  <c r="AD2388" i="16"/>
  <c r="AE2388" i="16" s="1"/>
  <c r="AF2388" i="16" s="1"/>
  <c r="AD2452" i="16"/>
  <c r="AE2452" i="16" s="1"/>
  <c r="AF2452" i="16" s="1"/>
  <c r="AD2285" i="16"/>
  <c r="AE2285" i="16" s="1"/>
  <c r="AF2285" i="16" s="1"/>
  <c r="AD2349" i="16"/>
  <c r="AE2349" i="16" s="1"/>
  <c r="AF2349" i="16" s="1"/>
  <c r="AD2413" i="16"/>
  <c r="AE2413" i="16" s="1"/>
  <c r="AF2413" i="16" s="1"/>
  <c r="AD2310" i="16"/>
  <c r="AE2310" i="16" s="1"/>
  <c r="AF2310" i="16" s="1"/>
  <c r="AD2374" i="16"/>
  <c r="AE2374" i="16" s="1"/>
  <c r="AF2374" i="16" s="1"/>
  <c r="AD2438" i="16"/>
  <c r="AE2438" i="16" s="1"/>
  <c r="AF2438" i="16" s="1"/>
  <c r="AD2271" i="16"/>
  <c r="AE2271" i="16" s="1"/>
  <c r="AF2271" i="16" s="1"/>
  <c r="AD2335" i="16"/>
  <c r="AE2335" i="16" s="1"/>
  <c r="AF2335" i="16" s="1"/>
  <c r="AD2399" i="16"/>
  <c r="AE2399" i="16" s="1"/>
  <c r="AF2399" i="16" s="1"/>
  <c r="AD2463" i="16"/>
  <c r="AE2463" i="16" s="1"/>
  <c r="AF2463" i="16" s="1"/>
  <c r="AD2273" i="16"/>
  <c r="AE2273" i="16" s="1"/>
  <c r="AF2273" i="16" s="1"/>
  <c r="AD2289" i="16"/>
  <c r="AE2289" i="16" s="1"/>
  <c r="AF2289" i="16" s="1"/>
  <c r="AD2369" i="16"/>
  <c r="AE2369" i="16" s="1"/>
  <c r="AF2369" i="16" s="1"/>
  <c r="W2641" i="16"/>
  <c r="AB2641" i="16"/>
  <c r="AC2641" i="16" s="1"/>
  <c r="T2372" i="16"/>
  <c r="T2336" i="16"/>
  <c r="W2648" i="16"/>
  <c r="AB2648" i="16"/>
  <c r="AC2648" i="16" s="1"/>
  <c r="W2649" i="16"/>
  <c r="AB2649" i="16"/>
  <c r="AC2649" i="16" s="1"/>
  <c r="W2643" i="16"/>
  <c r="AB2643" i="16"/>
  <c r="AC2643" i="16" s="1"/>
  <c r="W2646" i="16"/>
  <c r="AB2646" i="16"/>
  <c r="AC2646" i="16" s="1"/>
  <c r="W2639" i="16"/>
  <c r="AB2639" i="16"/>
  <c r="AC2639" i="16" s="1"/>
  <c r="T2632" i="16"/>
  <c r="T2321" i="16"/>
  <c r="T2415" i="16"/>
  <c r="T2346" i="16"/>
  <c r="T2402" i="16"/>
  <c r="T2305" i="16"/>
  <c r="W2658" i="16"/>
  <c r="AB2658" i="16"/>
  <c r="AC2658" i="16" s="1"/>
  <c r="T2396" i="16"/>
  <c r="T2299" i="16"/>
  <c r="W2655" i="16"/>
  <c r="AB2655" i="16"/>
  <c r="AC2655" i="16" s="1"/>
  <c r="W2656" i="16"/>
  <c r="AB2656" i="16"/>
  <c r="AC2656" i="16" s="1"/>
  <c r="T2404" i="16"/>
  <c r="T2488" i="16"/>
  <c r="T2545" i="16"/>
  <c r="T2522" i="16"/>
  <c r="T2641" i="16"/>
  <c r="T2541" i="16"/>
  <c r="T2486" i="16"/>
  <c r="T2307" i="16"/>
  <c r="T2408" i="16"/>
  <c r="T2329" i="16"/>
  <c r="T2434" i="16"/>
  <c r="T2327" i="16"/>
  <c r="T2458" i="16"/>
  <c r="W2657" i="16"/>
  <c r="AB2657" i="16"/>
  <c r="AC2657" i="16" s="1"/>
  <c r="W2652" i="16"/>
  <c r="AB2652" i="16"/>
  <c r="AC2652" i="16" s="1"/>
  <c r="T2301" i="16"/>
  <c r="W2647" i="16"/>
  <c r="AB2647" i="16"/>
  <c r="AC2647" i="16" s="1"/>
  <c r="T2311" i="16"/>
  <c r="T2622" i="16"/>
  <c r="T2568" i="16"/>
  <c r="W2654" i="16"/>
  <c r="AB2654" i="16"/>
  <c r="AC2654" i="16" s="1"/>
  <c r="T2333" i="16"/>
  <c r="T2361" i="16"/>
  <c r="W2644" i="16"/>
  <c r="AB2644" i="16"/>
  <c r="AC2644" i="16" s="1"/>
  <c r="T2289" i="16"/>
  <c r="T2543" i="16"/>
  <c r="T2394" i="16"/>
  <c r="T2338" i="16"/>
  <c r="T2319" i="16"/>
  <c r="T2412" i="16"/>
  <c r="W2653" i="16"/>
  <c r="AB2653" i="16"/>
  <c r="AC2653" i="16" s="1"/>
  <c r="T2348" i="16"/>
  <c r="W2640" i="16"/>
  <c r="AB2640" i="16"/>
  <c r="AC2640" i="16" s="1"/>
  <c r="T2275" i="16"/>
  <c r="T2520" i="16"/>
  <c r="T2367" i="16"/>
  <c r="W2651" i="16"/>
  <c r="AB2651" i="16"/>
  <c r="AC2651" i="16" s="1"/>
  <c r="W2645" i="16"/>
  <c r="AB2645" i="16"/>
  <c r="AC2645" i="16" s="1"/>
  <c r="T2419" i="16"/>
  <c r="T2374" i="16"/>
  <c r="T2454" i="16"/>
  <c r="T2581" i="16"/>
  <c r="T2620" i="16"/>
  <c r="T2502" i="16"/>
  <c r="T2478" i="16"/>
  <c r="T2518" i="16"/>
  <c r="T2496" i="16"/>
  <c r="T2655" i="16"/>
  <c r="T2480" i="16"/>
  <c r="T2476" i="16"/>
  <c r="AD2480" i="16"/>
  <c r="AE2480" i="16" s="1"/>
  <c r="AF2480" i="16" s="1"/>
  <c r="AD2544" i="16"/>
  <c r="AE2544" i="16" s="1"/>
  <c r="AF2544" i="16" s="1"/>
  <c r="AD2608" i="16"/>
  <c r="AE2608" i="16" s="1"/>
  <c r="AF2608" i="16" s="1"/>
  <c r="AD2514" i="16"/>
  <c r="AE2514" i="16" s="1"/>
  <c r="AF2514" i="16" s="1"/>
  <c r="AD2578" i="16"/>
  <c r="AE2578" i="16" s="1"/>
  <c r="AF2578" i="16" s="1"/>
  <c r="AD2642" i="16"/>
  <c r="AE2642" i="16" s="1"/>
  <c r="AF2642" i="16" s="1"/>
  <c r="AD2539" i="16"/>
  <c r="AE2539" i="16" s="1"/>
  <c r="AF2539" i="16" s="1"/>
  <c r="AD2603" i="16"/>
  <c r="AE2603" i="16" s="1"/>
  <c r="AF2603" i="16" s="1"/>
  <c r="AD2500" i="16"/>
  <c r="AE2500" i="16" s="1"/>
  <c r="AF2500" i="16" s="1"/>
  <c r="AD2564" i="16"/>
  <c r="AE2564" i="16" s="1"/>
  <c r="AF2564" i="16" s="1"/>
  <c r="AD2628" i="16"/>
  <c r="AE2628" i="16" s="1"/>
  <c r="AF2628" i="16" s="1"/>
  <c r="AD2533" i="16"/>
  <c r="AE2533" i="16" s="1"/>
  <c r="AF2533" i="16" s="1"/>
  <c r="AD2597" i="16"/>
  <c r="AE2597" i="16" s="1"/>
  <c r="AF2597" i="16" s="1"/>
  <c r="AD2502" i="16"/>
  <c r="AE2502" i="16" s="1"/>
  <c r="AF2502" i="16" s="1"/>
  <c r="AD2566" i="16"/>
  <c r="AE2566" i="16" s="1"/>
  <c r="AF2566" i="16" s="1"/>
  <c r="AD2630" i="16"/>
  <c r="AE2630" i="16" s="1"/>
  <c r="AF2630" i="16" s="1"/>
  <c r="AD2535" i="16"/>
  <c r="AE2535" i="16" s="1"/>
  <c r="AF2535" i="16" s="1"/>
  <c r="AD2599" i="16"/>
  <c r="AE2599" i="16" s="1"/>
  <c r="AF2599" i="16" s="1"/>
  <c r="AD2529" i="16"/>
  <c r="AE2529" i="16" s="1"/>
  <c r="AF2529" i="16" s="1"/>
  <c r="AD2601" i="16"/>
  <c r="AE2601" i="16" s="1"/>
  <c r="AF2601" i="16" s="1"/>
  <c r="AD2488" i="16"/>
  <c r="AE2488" i="16" s="1"/>
  <c r="AF2488" i="16" s="1"/>
  <c r="AD2552" i="16"/>
  <c r="AE2552" i="16" s="1"/>
  <c r="AF2552" i="16" s="1"/>
  <c r="AD2616" i="16"/>
  <c r="AE2616" i="16" s="1"/>
  <c r="AF2616" i="16" s="1"/>
  <c r="AD2522" i="16"/>
  <c r="AE2522" i="16" s="1"/>
  <c r="AF2522" i="16" s="1"/>
  <c r="AD2586" i="16"/>
  <c r="AE2586" i="16" s="1"/>
  <c r="AF2586" i="16" s="1"/>
  <c r="AD2650" i="16"/>
  <c r="AE2650" i="16" s="1"/>
  <c r="AF2650" i="16" s="1"/>
  <c r="AD2483" i="16"/>
  <c r="AE2483" i="16" s="1"/>
  <c r="AF2483" i="16" s="1"/>
  <c r="AD2547" i="16"/>
  <c r="AE2547" i="16" s="1"/>
  <c r="AF2547" i="16" s="1"/>
  <c r="AD2611" i="16"/>
  <c r="AE2611" i="16" s="1"/>
  <c r="AF2611" i="16" s="1"/>
  <c r="AD2508" i="16"/>
  <c r="AE2508" i="16" s="1"/>
  <c r="AF2508" i="16" s="1"/>
  <c r="AD2572" i="16"/>
  <c r="AE2572" i="16" s="1"/>
  <c r="AF2572" i="16" s="1"/>
  <c r="AD2636" i="16"/>
  <c r="AE2636" i="16" s="1"/>
  <c r="AF2636" i="16" s="1"/>
  <c r="AD2477" i="16"/>
  <c r="AE2477" i="16" s="1"/>
  <c r="AF2477" i="16" s="1"/>
  <c r="AD2541" i="16"/>
  <c r="AE2541" i="16" s="1"/>
  <c r="AF2541" i="16" s="1"/>
  <c r="AD2605" i="16"/>
  <c r="AE2605" i="16" s="1"/>
  <c r="AF2605" i="16" s="1"/>
  <c r="AD2510" i="16"/>
  <c r="AE2510" i="16" s="1"/>
  <c r="AF2510" i="16" s="1"/>
  <c r="AD2574" i="16"/>
  <c r="AE2574" i="16" s="1"/>
  <c r="AF2574" i="16" s="1"/>
  <c r="AD2638" i="16"/>
  <c r="AE2638" i="16" s="1"/>
  <c r="AF2638" i="16" s="1"/>
  <c r="AD2479" i="16"/>
  <c r="AE2479" i="16" s="1"/>
  <c r="AF2479" i="16" s="1"/>
  <c r="AD2543" i="16"/>
  <c r="AE2543" i="16" s="1"/>
  <c r="AF2543" i="16" s="1"/>
  <c r="AD2607" i="16"/>
  <c r="AE2607" i="16" s="1"/>
  <c r="AF2607" i="16" s="1"/>
  <c r="AD2521" i="16"/>
  <c r="AE2521" i="16" s="1"/>
  <c r="AF2521" i="16" s="1"/>
  <c r="AD2593" i="16"/>
  <c r="AE2593" i="16" s="1"/>
  <c r="AF2593" i="16" s="1"/>
  <c r="AD2497" i="16"/>
  <c r="AE2497" i="16" s="1"/>
  <c r="AF2497" i="16" s="1"/>
  <c r="AD2505" i="16"/>
  <c r="AE2505" i="16" s="1"/>
  <c r="AF2505" i="16" s="1"/>
  <c r="AD2496" i="16"/>
  <c r="AE2496" i="16" s="1"/>
  <c r="AF2496" i="16" s="1"/>
  <c r="AD2560" i="16"/>
  <c r="AE2560" i="16" s="1"/>
  <c r="AF2560" i="16" s="1"/>
  <c r="AD2624" i="16"/>
  <c r="AE2624" i="16" s="1"/>
  <c r="AF2624" i="16" s="1"/>
  <c r="AD2530" i="16"/>
  <c r="AE2530" i="16" s="1"/>
  <c r="AF2530" i="16" s="1"/>
  <c r="AD2594" i="16"/>
  <c r="AE2594" i="16" s="1"/>
  <c r="AF2594" i="16" s="1"/>
  <c r="AD2658" i="16"/>
  <c r="AE2658" i="16" s="1"/>
  <c r="AF2658" i="16" s="1"/>
  <c r="AD2491" i="16"/>
  <c r="AE2491" i="16" s="1"/>
  <c r="AF2491" i="16" s="1"/>
  <c r="AD2555" i="16"/>
  <c r="AE2555" i="16" s="1"/>
  <c r="AF2555" i="16" s="1"/>
  <c r="AD2619" i="16"/>
  <c r="AE2619" i="16" s="1"/>
  <c r="AF2619" i="16" s="1"/>
  <c r="AD2516" i="16"/>
  <c r="AE2516" i="16" s="1"/>
  <c r="AF2516" i="16" s="1"/>
  <c r="AD2580" i="16"/>
  <c r="AE2580" i="16" s="1"/>
  <c r="AF2580" i="16" s="1"/>
  <c r="AD2644" i="16"/>
  <c r="AE2644" i="16" s="1"/>
  <c r="AF2644" i="16" s="1"/>
  <c r="AD2485" i="16"/>
  <c r="AE2485" i="16" s="1"/>
  <c r="AF2485" i="16" s="1"/>
  <c r="AD2549" i="16"/>
  <c r="AE2549" i="16" s="1"/>
  <c r="AF2549" i="16" s="1"/>
  <c r="AD2613" i="16"/>
  <c r="AE2613" i="16" s="1"/>
  <c r="AF2613" i="16" s="1"/>
  <c r="AD2518" i="16"/>
  <c r="AE2518" i="16" s="1"/>
  <c r="AF2518" i="16" s="1"/>
  <c r="AD2582" i="16"/>
  <c r="AE2582" i="16" s="1"/>
  <c r="AF2582" i="16" s="1"/>
  <c r="AD2646" i="16"/>
  <c r="AE2646" i="16" s="1"/>
  <c r="AF2646" i="16" s="1"/>
  <c r="AD2487" i="16"/>
  <c r="AE2487" i="16" s="1"/>
  <c r="AF2487" i="16" s="1"/>
  <c r="AD2551" i="16"/>
  <c r="AE2551" i="16" s="1"/>
  <c r="AF2551" i="16" s="1"/>
  <c r="AD2615" i="16"/>
  <c r="AE2615" i="16" s="1"/>
  <c r="AF2615" i="16" s="1"/>
  <c r="AD2513" i="16"/>
  <c r="AE2513" i="16" s="1"/>
  <c r="AF2513" i="16" s="1"/>
  <c r="AD2585" i="16"/>
  <c r="AE2585" i="16" s="1"/>
  <c r="AF2585" i="16" s="1"/>
  <c r="AD2657" i="16"/>
  <c r="AE2657" i="16" s="1"/>
  <c r="AF2657" i="16" s="1"/>
  <c r="AD2489" i="16"/>
  <c r="AE2489" i="16" s="1"/>
  <c r="AF2489" i="16" s="1"/>
  <c r="AD2561" i="16"/>
  <c r="AE2561" i="16" s="1"/>
  <c r="AF2561" i="16" s="1"/>
  <c r="AD2569" i="16"/>
  <c r="AE2569" i="16" s="1"/>
  <c r="AF2569" i="16" s="1"/>
  <c r="AD2504" i="16"/>
  <c r="AE2504" i="16" s="1"/>
  <c r="AF2504" i="16" s="1"/>
  <c r="AD2568" i="16"/>
  <c r="AE2568" i="16" s="1"/>
  <c r="AF2568" i="16" s="1"/>
  <c r="AD2632" i="16"/>
  <c r="AE2632" i="16" s="1"/>
  <c r="AF2632" i="16" s="1"/>
  <c r="AD2538" i="16"/>
  <c r="AE2538" i="16" s="1"/>
  <c r="AF2538" i="16" s="1"/>
  <c r="AD2602" i="16"/>
  <c r="AE2602" i="16" s="1"/>
  <c r="AF2602" i="16" s="1"/>
  <c r="AD2499" i="16"/>
  <c r="AE2499" i="16" s="1"/>
  <c r="AF2499" i="16" s="1"/>
  <c r="AD2563" i="16"/>
  <c r="AE2563" i="16" s="1"/>
  <c r="AF2563" i="16" s="1"/>
  <c r="AD2627" i="16"/>
  <c r="AE2627" i="16" s="1"/>
  <c r="AF2627" i="16" s="1"/>
  <c r="AD2524" i="16"/>
  <c r="AE2524" i="16" s="1"/>
  <c r="AF2524" i="16" s="1"/>
  <c r="AD2588" i="16"/>
  <c r="AE2588" i="16" s="1"/>
  <c r="AF2588" i="16" s="1"/>
  <c r="AD2652" i="16"/>
  <c r="AE2652" i="16" s="1"/>
  <c r="AF2652" i="16" s="1"/>
  <c r="AD2493" i="16"/>
  <c r="AE2493" i="16" s="1"/>
  <c r="AF2493" i="16" s="1"/>
  <c r="AD2557" i="16"/>
  <c r="AE2557" i="16" s="1"/>
  <c r="AF2557" i="16" s="1"/>
  <c r="AD2621" i="16"/>
  <c r="AE2621" i="16" s="1"/>
  <c r="AF2621" i="16" s="1"/>
  <c r="AD2526" i="16"/>
  <c r="AE2526" i="16" s="1"/>
  <c r="AF2526" i="16" s="1"/>
  <c r="AD2590" i="16"/>
  <c r="AE2590" i="16" s="1"/>
  <c r="AF2590" i="16" s="1"/>
  <c r="AD2654" i="16"/>
  <c r="AE2654" i="16" s="1"/>
  <c r="AF2654" i="16" s="1"/>
  <c r="AD2495" i="16"/>
  <c r="AE2495" i="16" s="1"/>
  <c r="AF2495" i="16" s="1"/>
  <c r="AD2559" i="16"/>
  <c r="AE2559" i="16" s="1"/>
  <c r="AF2559" i="16" s="1"/>
  <c r="AD2623" i="16"/>
  <c r="AE2623" i="16" s="1"/>
  <c r="AF2623" i="16" s="1"/>
  <c r="AD2577" i="16"/>
  <c r="AE2577" i="16" s="1"/>
  <c r="AF2577" i="16" s="1"/>
  <c r="AD2649" i="16"/>
  <c r="AE2649" i="16" s="1"/>
  <c r="AF2649" i="16" s="1"/>
  <c r="AD2553" i="16"/>
  <c r="AE2553" i="16" s="1"/>
  <c r="AF2553" i="16" s="1"/>
  <c r="AD2625" i="16"/>
  <c r="AE2625" i="16" s="1"/>
  <c r="AF2625" i="16" s="1"/>
  <c r="AD2633" i="16"/>
  <c r="AE2633" i="16" s="1"/>
  <c r="AF2633" i="16" s="1"/>
  <c r="AD2512" i="16"/>
  <c r="AE2512" i="16" s="1"/>
  <c r="AF2512" i="16" s="1"/>
  <c r="AD2576" i="16"/>
  <c r="AE2576" i="16" s="1"/>
  <c r="AF2576" i="16" s="1"/>
  <c r="AD2640" i="16"/>
  <c r="AE2640" i="16" s="1"/>
  <c r="AF2640" i="16" s="1"/>
  <c r="AD2482" i="16"/>
  <c r="AE2482" i="16" s="1"/>
  <c r="AF2482" i="16" s="1"/>
  <c r="AD2546" i="16"/>
  <c r="AE2546" i="16" s="1"/>
  <c r="AF2546" i="16" s="1"/>
  <c r="AD2610" i="16"/>
  <c r="AE2610" i="16" s="1"/>
  <c r="AF2610" i="16" s="1"/>
  <c r="AD2507" i="16"/>
  <c r="AE2507" i="16" s="1"/>
  <c r="AF2507" i="16" s="1"/>
  <c r="AD2571" i="16"/>
  <c r="AE2571" i="16" s="1"/>
  <c r="AF2571" i="16" s="1"/>
  <c r="AD2635" i="16"/>
  <c r="AE2635" i="16" s="1"/>
  <c r="AF2635" i="16" s="1"/>
  <c r="AD2532" i="16"/>
  <c r="AE2532" i="16" s="1"/>
  <c r="AF2532" i="16" s="1"/>
  <c r="AD2596" i="16"/>
  <c r="AE2596" i="16" s="1"/>
  <c r="AF2596" i="16" s="1"/>
  <c r="AD2501" i="16"/>
  <c r="AE2501" i="16" s="1"/>
  <c r="AF2501" i="16" s="1"/>
  <c r="AD2565" i="16"/>
  <c r="AE2565" i="16" s="1"/>
  <c r="AF2565" i="16" s="1"/>
  <c r="AD2629" i="16"/>
  <c r="AE2629" i="16" s="1"/>
  <c r="AF2629" i="16" s="1"/>
  <c r="AD2534" i="16"/>
  <c r="AE2534" i="16" s="1"/>
  <c r="AF2534" i="16" s="1"/>
  <c r="AD2598" i="16"/>
  <c r="AE2598" i="16" s="1"/>
  <c r="AF2598" i="16" s="1"/>
  <c r="AD2503" i="16"/>
  <c r="AE2503" i="16" s="1"/>
  <c r="AF2503" i="16" s="1"/>
  <c r="AD2567" i="16"/>
  <c r="AE2567" i="16" s="1"/>
  <c r="AF2567" i="16" s="1"/>
  <c r="AD2631" i="16"/>
  <c r="AE2631" i="16" s="1"/>
  <c r="AF2631" i="16" s="1"/>
  <c r="AD2641" i="16"/>
  <c r="AE2641" i="16" s="1"/>
  <c r="AF2641" i="16" s="1"/>
  <c r="AD2481" i="16"/>
  <c r="AE2481" i="16" s="1"/>
  <c r="AF2481" i="16" s="1"/>
  <c r="AD2617" i="16"/>
  <c r="AE2617" i="16" s="1"/>
  <c r="AF2617" i="16" s="1"/>
  <c r="AD2520" i="16"/>
  <c r="AE2520" i="16" s="1"/>
  <c r="AF2520" i="16" s="1"/>
  <c r="AD2584" i="16"/>
  <c r="AE2584" i="16" s="1"/>
  <c r="AF2584" i="16" s="1"/>
  <c r="AD2648" i="16"/>
  <c r="AE2648" i="16" s="1"/>
  <c r="AF2648" i="16" s="1"/>
  <c r="AD2490" i="16"/>
  <c r="AE2490" i="16" s="1"/>
  <c r="AF2490" i="16" s="1"/>
  <c r="AD2554" i="16"/>
  <c r="AE2554" i="16" s="1"/>
  <c r="AF2554" i="16" s="1"/>
  <c r="AD2618" i="16"/>
  <c r="AE2618" i="16" s="1"/>
  <c r="AF2618" i="16" s="1"/>
  <c r="AD2515" i="16"/>
  <c r="AE2515" i="16" s="1"/>
  <c r="AF2515" i="16" s="1"/>
  <c r="AD2579" i="16"/>
  <c r="AE2579" i="16" s="1"/>
  <c r="AF2579" i="16" s="1"/>
  <c r="AD2643" i="16"/>
  <c r="AE2643" i="16" s="1"/>
  <c r="AF2643" i="16" s="1"/>
  <c r="AD2476" i="16"/>
  <c r="AE2476" i="16" s="1"/>
  <c r="AF2476" i="16" s="1"/>
  <c r="AD2540" i="16"/>
  <c r="AE2540" i="16" s="1"/>
  <c r="AF2540" i="16" s="1"/>
  <c r="AD2604" i="16"/>
  <c r="AE2604" i="16" s="1"/>
  <c r="AF2604" i="16" s="1"/>
  <c r="AD2509" i="16"/>
  <c r="AE2509" i="16" s="1"/>
  <c r="AF2509" i="16" s="1"/>
  <c r="AD2573" i="16"/>
  <c r="AE2573" i="16" s="1"/>
  <c r="AF2573" i="16" s="1"/>
  <c r="AD2637" i="16"/>
  <c r="AE2637" i="16" s="1"/>
  <c r="AF2637" i="16" s="1"/>
  <c r="AD2478" i="16"/>
  <c r="AE2478" i="16" s="1"/>
  <c r="AF2478" i="16" s="1"/>
  <c r="AD2542" i="16"/>
  <c r="AE2542" i="16" s="1"/>
  <c r="AF2542" i="16" s="1"/>
  <c r="AD2606" i="16"/>
  <c r="AE2606" i="16" s="1"/>
  <c r="AF2606" i="16" s="1"/>
  <c r="AD2511" i="16"/>
  <c r="AE2511" i="16" s="1"/>
  <c r="AF2511" i="16" s="1"/>
  <c r="AD2575" i="16"/>
  <c r="AE2575" i="16" s="1"/>
  <c r="AF2575" i="16" s="1"/>
  <c r="AD2639" i="16"/>
  <c r="AE2639" i="16" s="1"/>
  <c r="AF2639" i="16" s="1"/>
  <c r="AD2545" i="16"/>
  <c r="AE2545" i="16" s="1"/>
  <c r="AF2545" i="16" s="1"/>
  <c r="AD2528" i="16"/>
  <c r="AE2528" i="16" s="1"/>
  <c r="AF2528" i="16" s="1"/>
  <c r="AD2592" i="16"/>
  <c r="AE2592" i="16" s="1"/>
  <c r="AF2592" i="16" s="1"/>
  <c r="AD2656" i="16"/>
  <c r="AE2656" i="16" s="1"/>
  <c r="AF2656" i="16" s="1"/>
  <c r="AD2498" i="16"/>
  <c r="AE2498" i="16" s="1"/>
  <c r="AF2498" i="16" s="1"/>
  <c r="AD2562" i="16"/>
  <c r="AE2562" i="16" s="1"/>
  <c r="AF2562" i="16" s="1"/>
  <c r="AD2626" i="16"/>
  <c r="AE2626" i="16" s="1"/>
  <c r="AF2626" i="16" s="1"/>
  <c r="AD2523" i="16"/>
  <c r="AE2523" i="16" s="1"/>
  <c r="AF2523" i="16" s="1"/>
  <c r="AD2587" i="16"/>
  <c r="AE2587" i="16" s="1"/>
  <c r="AF2587" i="16" s="1"/>
  <c r="AD2651" i="16"/>
  <c r="AE2651" i="16" s="1"/>
  <c r="AF2651" i="16" s="1"/>
  <c r="AD2484" i="16"/>
  <c r="AE2484" i="16" s="1"/>
  <c r="AF2484" i="16" s="1"/>
  <c r="AD2548" i="16"/>
  <c r="AE2548" i="16" s="1"/>
  <c r="AF2548" i="16" s="1"/>
  <c r="AD2612" i="16"/>
  <c r="AE2612" i="16" s="1"/>
  <c r="AF2612" i="16" s="1"/>
  <c r="AD2517" i="16"/>
  <c r="AE2517" i="16" s="1"/>
  <c r="AF2517" i="16" s="1"/>
  <c r="AD2581" i="16"/>
  <c r="AE2581" i="16" s="1"/>
  <c r="AF2581" i="16" s="1"/>
  <c r="AD2645" i="16"/>
  <c r="AE2645" i="16" s="1"/>
  <c r="AF2645" i="16" s="1"/>
  <c r="AD2486" i="16"/>
  <c r="AE2486" i="16" s="1"/>
  <c r="AF2486" i="16" s="1"/>
  <c r="AD2550" i="16"/>
  <c r="AE2550" i="16" s="1"/>
  <c r="AF2550" i="16" s="1"/>
  <c r="AD2614" i="16"/>
  <c r="AE2614" i="16" s="1"/>
  <c r="AF2614" i="16" s="1"/>
  <c r="AD2519" i="16"/>
  <c r="AE2519" i="16" s="1"/>
  <c r="AF2519" i="16" s="1"/>
  <c r="AD2583" i="16"/>
  <c r="AE2583" i="16" s="1"/>
  <c r="AF2583" i="16" s="1"/>
  <c r="AD2647" i="16"/>
  <c r="AE2647" i="16" s="1"/>
  <c r="AF2647" i="16" s="1"/>
  <c r="AD2609" i="16"/>
  <c r="AE2609" i="16" s="1"/>
  <c r="AF2609" i="16" s="1"/>
  <c r="AD2536" i="16"/>
  <c r="AE2536" i="16" s="1"/>
  <c r="AF2536" i="16" s="1"/>
  <c r="AD2600" i="16"/>
  <c r="AE2600" i="16" s="1"/>
  <c r="AF2600" i="16" s="1"/>
  <c r="AD2506" i="16"/>
  <c r="AE2506" i="16" s="1"/>
  <c r="AF2506" i="16" s="1"/>
  <c r="AD2570" i="16"/>
  <c r="AE2570" i="16" s="1"/>
  <c r="AF2570" i="16" s="1"/>
  <c r="AD2634" i="16"/>
  <c r="AE2634" i="16" s="1"/>
  <c r="AF2634" i="16" s="1"/>
  <c r="AD2531" i="16"/>
  <c r="AE2531" i="16" s="1"/>
  <c r="AF2531" i="16" s="1"/>
  <c r="AD2595" i="16"/>
  <c r="AE2595" i="16" s="1"/>
  <c r="AF2595" i="16" s="1"/>
  <c r="AD2492" i="16"/>
  <c r="AE2492" i="16" s="1"/>
  <c r="AF2492" i="16" s="1"/>
  <c r="AD2556" i="16"/>
  <c r="AE2556" i="16" s="1"/>
  <c r="AF2556" i="16" s="1"/>
  <c r="AD2620" i="16"/>
  <c r="AE2620" i="16" s="1"/>
  <c r="AF2620" i="16" s="1"/>
  <c r="AD2525" i="16"/>
  <c r="AE2525" i="16" s="1"/>
  <c r="AF2525" i="16" s="1"/>
  <c r="AD2589" i="16"/>
  <c r="AE2589" i="16" s="1"/>
  <c r="AF2589" i="16" s="1"/>
  <c r="AD2653" i="16"/>
  <c r="AE2653" i="16" s="1"/>
  <c r="AF2653" i="16" s="1"/>
  <c r="AD2494" i="16"/>
  <c r="AE2494" i="16" s="1"/>
  <c r="AF2494" i="16" s="1"/>
  <c r="AD2558" i="16"/>
  <c r="AE2558" i="16" s="1"/>
  <c r="AF2558" i="16" s="1"/>
  <c r="AD2622" i="16"/>
  <c r="AE2622" i="16" s="1"/>
  <c r="AF2622" i="16" s="1"/>
  <c r="AD2527" i="16"/>
  <c r="AE2527" i="16" s="1"/>
  <c r="AF2527" i="16" s="1"/>
  <c r="AD2591" i="16"/>
  <c r="AE2591" i="16" s="1"/>
  <c r="AF2591" i="16" s="1"/>
  <c r="AD2655" i="16"/>
  <c r="AE2655" i="16" s="1"/>
  <c r="AF2655" i="16" s="1"/>
  <c r="AD2537" i="16"/>
  <c r="AE2537" i="16" s="1"/>
  <c r="AF2537" i="16" s="1"/>
  <c r="T2624" i="16"/>
  <c r="T2500" i="16"/>
  <c r="T2554" i="16"/>
  <c r="T2634" i="16"/>
  <c r="T2528" i="16"/>
  <c r="T2570" i="16"/>
  <c r="T2577" i="16"/>
  <c r="T2599" i="16"/>
  <c r="T2626" i="16"/>
  <c r="W2659" i="16"/>
  <c r="A385" i="10"/>
  <c r="A384" i="10"/>
  <c r="C16" i="9" l="1"/>
  <c r="C17" i="9"/>
  <c r="C18" i="9"/>
  <c r="C19" i="9"/>
  <c r="A383" i="10" l="1"/>
  <c r="E2" i="11" l="1"/>
  <c r="A382" i="10"/>
  <c r="A381" i="10" l="1"/>
  <c r="L180" i="11" l="1"/>
  <c r="I180" i="11"/>
  <c r="F180" i="11"/>
  <c r="K2660" i="16" l="1"/>
  <c r="M2660" i="16"/>
  <c r="J2660" i="16"/>
  <c r="C4" i="9"/>
  <c r="C6" i="9"/>
  <c r="C7" i="9"/>
  <c r="C9" i="9"/>
  <c r="C10" i="9"/>
  <c r="C11" i="9"/>
  <c r="C12" i="9"/>
  <c r="C13" i="9"/>
  <c r="C14" i="9"/>
  <c r="C5" i="9"/>
  <c r="C8" i="9"/>
  <c r="L2659" i="16"/>
  <c r="O2659" i="16" l="1"/>
  <c r="AA2659" i="16" s="1"/>
  <c r="AB2659" i="16" s="1"/>
  <c r="AC2659" i="16" s="1"/>
  <c r="B4" i="6"/>
  <c r="B6" i="6"/>
  <c r="B5" i="6"/>
  <c r="N2659" i="16" l="1"/>
  <c r="I2659" i="16" s="1"/>
  <c r="X2659" i="16" s="1"/>
  <c r="Y2659" i="16" s="1"/>
  <c r="Z2659" i="16" s="1"/>
  <c r="Q2659" i="16"/>
  <c r="S2659" i="16" s="1"/>
  <c r="R2659" i="16"/>
  <c r="P2659" i="16" s="1"/>
  <c r="AD2659" i="16" s="1"/>
  <c r="AE2659" i="16" s="1"/>
  <c r="AF2659" i="16" s="1"/>
  <c r="P4" i="6"/>
  <c r="T2659" i="16" l="1"/>
  <c r="C15" i="9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O2" i="6" l="1"/>
  <c r="N2" i="6"/>
  <c r="O2660" i="16" l="1"/>
  <c r="F6" i="6" s="1"/>
  <c r="F4" i="6"/>
  <c r="B9" i="6"/>
  <c r="N2660" i="16" l="1"/>
  <c r="F5" i="6" s="1"/>
  <c r="N4" i="6"/>
  <c r="S2660" i="16" l="1"/>
  <c r="I6" i="6" s="1"/>
  <c r="P2660" i="16"/>
  <c r="F7" i="6" s="1"/>
  <c r="V2660" i="16"/>
  <c r="G4" i="6" s="1"/>
  <c r="I2660" i="16"/>
  <c r="O4" i="6"/>
  <c r="AC2660" i="16" l="1"/>
  <c r="W2660" i="16"/>
  <c r="I4" i="6" s="1"/>
  <c r="AB2660" i="16"/>
  <c r="G6" i="6" s="1"/>
  <c r="J4" i="6"/>
  <c r="T2660" i="16"/>
  <c r="I7" i="6" s="1"/>
  <c r="AF2660" i="16"/>
  <c r="AE2660" i="16"/>
  <c r="G7" i="6" s="1"/>
  <c r="Y2660" i="16"/>
  <c r="G5" i="6" s="1"/>
  <c r="Z2660" i="16"/>
  <c r="I5" i="6" s="1"/>
  <c r="S4" i="6"/>
  <c r="U4" i="6"/>
  <c r="H6" i="6" l="1"/>
  <c r="H4" i="6"/>
  <c r="H7" i="6"/>
  <c r="H5" i="6"/>
  <c r="V4" i="6"/>
  <c r="D20" i="9" l="1"/>
  <c r="D21" i="9"/>
  <c r="D18" i="9"/>
  <c r="D19" i="9"/>
  <c r="D16" i="9"/>
  <c r="D17" i="9"/>
  <c r="T4" i="6"/>
  <c r="J6" i="6"/>
  <c r="X4" i="6"/>
  <c r="W4" i="6" l="1"/>
  <c r="J5" i="6"/>
  <c r="J7" i="6" l="1"/>
  <c r="D7" i="9" l="1"/>
  <c r="D15" i="9"/>
  <c r="D6" i="9"/>
  <c r="D8" i="9"/>
  <c r="D11" i="9"/>
  <c r="D10" i="9"/>
  <c r="Q4" i="6"/>
  <c r="D5" i="9"/>
  <c r="R4" i="6"/>
  <c r="D4" i="9"/>
  <c r="D9" i="9"/>
  <c r="D14" i="9"/>
  <c r="D13" i="9"/>
  <c r="D1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39253B-2052-4A3A-869A-12921DEC546C}" odcFile="C:\Users\ASUS\Documents\Data Base\Zobaliazh\وصول مطالبات\متصل به سرور\192.168.2.100_Sepidar Sepidar01 Anbar Delivery.odc" keepAlive="1" name="192.168.2.100_Sepidar Sepidar01 Anbar Delivery" type="5" refreshedVersion="7" savePassword="1" saveData="1">
    <dbPr connection="Provider=SQLOLEDB.1;Password=damavand;Persist Security Info=True;User ID=damavand;Initial Catalog=Sepidar01;Data Source=192.168.2.100\Sepidar;Use Procedure for Prepare=1;Auto Translate=True;Packet Size=4096;Workstation ID=TORABI-PC;Use Encryption for Data=False;Tag with column collation when possible=False" command="&quot;Sepidar01&quot;.&quot;dbo&quot;.&quot;Anbar Delivery&quot;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B6EE6BC1-1485-4E96-B5CB-6E2C186B38B2}" odcFile="C:\Users\ASUS\Documents\Data Base\Zobaliazh\وصول مطالبات\متصل به سرور\192.168.2.100_Sepidar Sepidar01 Anbar_Receipt.odc" keepAlive="1" name="192.168.2.100_Sepidar Sepidar01 Anbar_Receipt" type="5" refreshedVersion="7" savePassword="1" saveData="1">
    <dbPr connection="Provider=SQLOLEDB.1;Password=damavand;Persist Security Info=True;User ID=damavand;Initial Catalog=Sepidar01;Data Source=192.168.2.100\Sepidar;Use Procedure for Prepare=1;Auto Translate=True;Packet Size=4096;Workstation ID=TORABI-PC;Use Encryption for Data=False;Tag with column collation when possible=False" command="&quot;Sepidar01&quot;.&quot;dbo&quot;.&quot;Anbar_Receipt&quot;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70F75363-D81D-45EB-8412-C28C72A05683}" keepAlive="1" name="Query - Collective" description="Connection to the 'Collective' query in the workbook." type="5" refreshedVersion="7" background="1" saveData="1">
    <dbPr connection="Provider=Microsoft.Mashup.OleDb.1;Data Source=$Workbook$;Location=Collective;Extended Properties=&quot;&quot;" command="SELECT * FROM [Collective]"/>
  </connection>
  <connection id="4" xr16:uid="{D59BB8AA-5363-4662-A000-3C9FEF673EF7}" keepAlive="1" name="Query - Delivery" description="Connection to the 'Delivery' query in the workbook." type="5" refreshedVersion="0" background="1">
    <dbPr connection="Provider=Microsoft.Mashup.OleDb.1;Data Source=$Workbook$;Location=Delivery;Extended Properties=&quot;&quot;" command="SELECT * FROM [Delivery]"/>
  </connection>
  <connection id="5" xr16:uid="{BE8DDC49-0C5B-4027-821F-5E7337623533}" keepAlive="1" name="Query - Receipt" description="Connection to the 'Receipt' query in the workbook." type="5" refreshedVersion="0" background="1">
    <dbPr connection="Provider=Microsoft.Mashup.OleDb.1;Data Source=$Workbook$;Location=Receipt;Extended Properties=&quot;&quot;" command="SELECT * FROM [Receipt]"/>
  </connection>
</connections>
</file>

<file path=xl/sharedStrings.xml><?xml version="1.0" encoding="utf-8"?>
<sst xmlns="http://schemas.openxmlformats.org/spreadsheetml/2006/main" count="9499" uniqueCount="825">
  <si>
    <t>تاريخ</t>
  </si>
  <si>
    <t>عنوان</t>
  </si>
  <si>
    <t>داده</t>
  </si>
  <si>
    <t>سررسید سفاله (روز)</t>
  </si>
  <si>
    <t>طول بازه محاسبه (روز)</t>
  </si>
  <si>
    <t>تاخیر از سررسید</t>
  </si>
  <si>
    <t>ردیف</t>
  </si>
  <si>
    <t>تاریخ ابتدای گزارش</t>
  </si>
  <si>
    <t>تاریخ انتهای گزارش</t>
  </si>
  <si>
    <t>تاریخ آخرین ارسال/دریافت</t>
  </si>
  <si>
    <t>تسویه نشده × روز از ارسال</t>
  </si>
  <si>
    <t>بدهی سررسید شده (کیلوگرم)</t>
  </si>
  <si>
    <t>تاریخ اولین ارسال/دریافت</t>
  </si>
  <si>
    <t>بدهی تسویه نشده (کیلوگرم)</t>
  </si>
  <si>
    <t>سفارش ارسال شده (کیلوگرم)</t>
  </si>
  <si>
    <t>مقدار (کیلوگرم)</t>
  </si>
  <si>
    <t>روز از ارسال سفارش</t>
  </si>
  <si>
    <t>بستانکار (کیلوگرم)</t>
  </si>
  <si>
    <t>بدهکار (کیلوگرم)</t>
  </si>
  <si>
    <t>بدهی تسویه شده (کیلوگرم)</t>
  </si>
  <si>
    <t>مانده در خط تسویه شده × وزن</t>
  </si>
  <si>
    <t>مانده در خط کل (کیلوگرم)</t>
  </si>
  <si>
    <t>مانده در خط کل × وزن</t>
  </si>
  <si>
    <t>مانده در خط تسویه شده (کیلوگرم)</t>
  </si>
  <si>
    <t>مقدار تسویه شده (کیلوگرم)</t>
  </si>
  <si>
    <t>سررسید شده × روز از ارسال</t>
  </si>
  <si>
    <t>تعداد کل روزهای بدهکار (روز)</t>
  </si>
  <si>
    <t>تعداد روزهای بدهکار تسویه شده (روز)</t>
  </si>
  <si>
    <t>طول دوره</t>
  </si>
  <si>
    <t>متوسط زمان تسویه سفارش (روز)</t>
  </si>
  <si>
    <t>متوسط بدهی ثابت (کیلوگرم)</t>
  </si>
  <si>
    <t>کل سفارش (کیلوگرم)</t>
  </si>
  <si>
    <t>متوسط ارسال بار روزانه (کیلوگرم)</t>
  </si>
  <si>
    <t>بدهی تسویه شده</t>
  </si>
  <si>
    <t>بدهی تسویه نشده</t>
  </si>
  <si>
    <t>بدهی سررسید شده</t>
  </si>
  <si>
    <t>مانده در خط تسویه نشده (کیلوگرم)</t>
  </si>
  <si>
    <t>کل بدهی</t>
  </si>
  <si>
    <t>تفکیک</t>
  </si>
  <si>
    <t>تاریخ</t>
  </si>
  <si>
    <t>مانده در خط (کیلوگرم)</t>
  </si>
  <si>
    <t>متوسط بدهی (کیلوگرم)</t>
  </si>
  <si>
    <t>تعداد روزهای بدهکار  تسویه نشده (روز)</t>
  </si>
  <si>
    <t>مانده در خط تسویه نشده × وزن</t>
  </si>
  <si>
    <t>مانده در خط سررسید شده (کیلوگرم)</t>
  </si>
  <si>
    <t>تعداد روزهای بدهکار سررسید شده (روز)</t>
  </si>
  <si>
    <t>مانده در خط سررسید شده × وزن</t>
  </si>
  <si>
    <t>شمارش</t>
  </si>
  <si>
    <t>کد</t>
  </si>
  <si>
    <t xml:space="preserve">علیپور </t>
  </si>
  <si>
    <t xml:space="preserve">موسوی اصفهان </t>
  </si>
  <si>
    <t>اصغر نورعلی</t>
  </si>
  <si>
    <t xml:space="preserve">محمد عباسی </t>
  </si>
  <si>
    <t>عسگری</t>
  </si>
  <si>
    <t xml:space="preserve">شمس </t>
  </si>
  <si>
    <t xml:space="preserve">محمدرضا شمسایی </t>
  </si>
  <si>
    <t xml:space="preserve">بهزاد چرخیان </t>
  </si>
  <si>
    <t>محمد نمازی</t>
  </si>
  <si>
    <t xml:space="preserve">فرید لواسانی  </t>
  </si>
  <si>
    <t xml:space="preserve">علی محمدی </t>
  </si>
  <si>
    <t>فدوی</t>
  </si>
  <si>
    <t xml:space="preserve">فرهاد سبحانی </t>
  </si>
  <si>
    <t xml:space="preserve">امامی </t>
  </si>
  <si>
    <t xml:space="preserve">مصدقی </t>
  </si>
  <si>
    <t xml:space="preserve">ظهیری </t>
  </si>
  <si>
    <t xml:space="preserve">سید جعفر توکلی  </t>
  </si>
  <si>
    <t xml:space="preserve">کوهی </t>
  </si>
  <si>
    <t>قدرت اله اورنگی</t>
  </si>
  <si>
    <t>فرزاد اسماعیل زاده</t>
  </si>
  <si>
    <t>ورطوری</t>
  </si>
  <si>
    <t xml:space="preserve">مرتضی جلالی </t>
  </si>
  <si>
    <t>علی شهریاری</t>
  </si>
  <si>
    <t xml:space="preserve">احسان شاهسوار </t>
  </si>
  <si>
    <t>عبدالمجید فیض آبادی</t>
  </si>
  <si>
    <t xml:space="preserve">محسن فیاض بخش </t>
  </si>
  <si>
    <t xml:space="preserve">مصطفی نورعلی </t>
  </si>
  <si>
    <t xml:space="preserve">احمد سنجری </t>
  </si>
  <si>
    <t>رضا شریعتی</t>
  </si>
  <si>
    <t>حسن منصفی راد</t>
  </si>
  <si>
    <t xml:space="preserve">حسن شاه گلدی </t>
  </si>
  <si>
    <t xml:space="preserve">علی میرطاهری </t>
  </si>
  <si>
    <t xml:space="preserve">محسن شجاع کهریز </t>
  </si>
  <si>
    <t xml:space="preserve">عباس شجاعی </t>
  </si>
  <si>
    <t xml:space="preserve">رستم شعبان زاده </t>
  </si>
  <si>
    <t xml:space="preserve">محمد میرزایی </t>
  </si>
  <si>
    <t xml:space="preserve">اصغر رحمتی  </t>
  </si>
  <si>
    <t xml:space="preserve">علی علیعلی </t>
  </si>
  <si>
    <t>محمدی علی</t>
  </si>
  <si>
    <t xml:space="preserve">محسن علیعلی  </t>
  </si>
  <si>
    <t xml:space="preserve">قهرمان -دربندی  </t>
  </si>
  <si>
    <t xml:space="preserve">حسین محمودی  </t>
  </si>
  <si>
    <t xml:space="preserve">میلاد محمدی  </t>
  </si>
  <si>
    <t>محسن طاهری</t>
  </si>
  <si>
    <t xml:space="preserve">علی خدمتکار </t>
  </si>
  <si>
    <t>سلیمان قاسمی</t>
  </si>
  <si>
    <t xml:space="preserve">محراب نجاتی  </t>
  </si>
  <si>
    <t xml:space="preserve">حسام کریمان  </t>
  </si>
  <si>
    <t>سینا نوربخش</t>
  </si>
  <si>
    <t>شهریاری علی</t>
  </si>
  <si>
    <t xml:space="preserve">مهرداد آقازاده  </t>
  </si>
  <si>
    <t xml:space="preserve">ابوالقاسم اصغری </t>
  </si>
  <si>
    <t xml:space="preserve">عباس سربندی  </t>
  </si>
  <si>
    <t>کاظمی محمد</t>
  </si>
  <si>
    <t xml:space="preserve">مریم فیض آبادی  </t>
  </si>
  <si>
    <t xml:space="preserve">محمد شاهسوار </t>
  </si>
  <si>
    <t xml:space="preserve">عبدالله یادگار </t>
  </si>
  <si>
    <t xml:space="preserve">علیرضا نیکپور </t>
  </si>
  <si>
    <t xml:space="preserve">صفر محمد داورپناه </t>
  </si>
  <si>
    <t>عباسعلی رضایی</t>
  </si>
  <si>
    <t xml:space="preserve">محمدرضا آفاقی </t>
  </si>
  <si>
    <t xml:space="preserve">مهدی حسینی  </t>
  </si>
  <si>
    <t xml:space="preserve">سیدعلی موثقی </t>
  </si>
  <si>
    <t>محمد شریفی</t>
  </si>
  <si>
    <t xml:space="preserve">رضا احمدآبادی </t>
  </si>
  <si>
    <t xml:space="preserve">حمید قشقائی </t>
  </si>
  <si>
    <t>سلوکی</t>
  </si>
  <si>
    <t xml:space="preserve">ابراهیم رضائی </t>
  </si>
  <si>
    <t xml:space="preserve">جواد عرب </t>
  </si>
  <si>
    <t xml:space="preserve">حمیدرضا شفیعی </t>
  </si>
  <si>
    <t xml:space="preserve">سعید طاهرزاده </t>
  </si>
  <si>
    <t xml:space="preserve">سیدناصر پورموسوی </t>
  </si>
  <si>
    <t xml:space="preserve">اصغر محمدی </t>
  </si>
  <si>
    <t>عابدینی ناصر</t>
  </si>
  <si>
    <t xml:space="preserve">گلاب گیران محسن </t>
  </si>
  <si>
    <t xml:space="preserve">چپر ایلخانی </t>
  </si>
  <si>
    <t xml:space="preserve">علی شریعتی </t>
  </si>
  <si>
    <t xml:space="preserve">شاهین مقدسی </t>
  </si>
  <si>
    <t>حسینی حسن</t>
  </si>
  <si>
    <t>افشین سرخابی</t>
  </si>
  <si>
    <t xml:space="preserve">حسین جمشیدی  </t>
  </si>
  <si>
    <t xml:space="preserve">حسین مرجانی </t>
  </si>
  <si>
    <t xml:space="preserve">حسن مرجانی </t>
  </si>
  <si>
    <t xml:space="preserve">سیدحمید کاظمی </t>
  </si>
  <si>
    <t xml:space="preserve">حامد جولائی </t>
  </si>
  <si>
    <t xml:space="preserve">غلامرضا کارگزارازغندی </t>
  </si>
  <si>
    <t xml:space="preserve">حسین رزقی </t>
  </si>
  <si>
    <t xml:space="preserve">رحیم فتوت </t>
  </si>
  <si>
    <t>خسروآبادی مهدی</t>
  </si>
  <si>
    <t>آقامرادی وحید</t>
  </si>
  <si>
    <t xml:space="preserve">کارخانه علی </t>
  </si>
  <si>
    <t xml:space="preserve">احمدی مهدی </t>
  </si>
  <si>
    <t>مهدوی علیرضا</t>
  </si>
  <si>
    <t xml:space="preserve">عالی  محمدرضا </t>
  </si>
  <si>
    <t xml:space="preserve">شریف موسوی سید مرتضی </t>
  </si>
  <si>
    <t>خسروآبادی محمد</t>
  </si>
  <si>
    <t>قورچیان مینا</t>
  </si>
  <si>
    <t xml:space="preserve">گلپایگانی </t>
  </si>
  <si>
    <t>تاجیک  صادق</t>
  </si>
  <si>
    <t>قهرمانی  محمدرضا</t>
  </si>
  <si>
    <t>محمدی منصور</t>
  </si>
  <si>
    <t>رنجوری حمید</t>
  </si>
  <si>
    <t xml:space="preserve">چاجائی وحید </t>
  </si>
  <si>
    <t>بهزادی فر اصغر</t>
  </si>
  <si>
    <t>خدیو زاد نادر</t>
  </si>
  <si>
    <t>ملاعلی هادی</t>
  </si>
  <si>
    <t>بی جفا بختیار</t>
  </si>
  <si>
    <t>قلیخانی علی</t>
  </si>
  <si>
    <t>فردی مجتبی</t>
  </si>
  <si>
    <t>محمدی مسعود</t>
  </si>
  <si>
    <t>رزمی دلاور</t>
  </si>
  <si>
    <t xml:space="preserve">بختیاری محمدرضا </t>
  </si>
  <si>
    <t xml:space="preserve">بخشی رسول </t>
  </si>
  <si>
    <t>آرمان دانا فرشاد</t>
  </si>
  <si>
    <t>میرصابری احمد</t>
  </si>
  <si>
    <t>آقای ایمانی</t>
  </si>
  <si>
    <t>آستارکی عارف</t>
  </si>
  <si>
    <t xml:space="preserve">علی رحیم آبادی </t>
  </si>
  <si>
    <t>سیف الله اکبری</t>
  </si>
  <si>
    <t>توکلی رضا</t>
  </si>
  <si>
    <t xml:space="preserve">غلامرضا کارگزار </t>
  </si>
  <si>
    <t xml:space="preserve">محمد کاوک پور </t>
  </si>
  <si>
    <t xml:space="preserve">فرزین اسماعیل زاده </t>
  </si>
  <si>
    <t>سعید خراطی</t>
  </si>
  <si>
    <t>علی بهمن آبادی (سری تراشی دقیق)</t>
  </si>
  <si>
    <t xml:space="preserve">کریم اسمعیلی </t>
  </si>
  <si>
    <t xml:space="preserve">عماد هاشمی </t>
  </si>
  <si>
    <t>ایران طلق</t>
  </si>
  <si>
    <t xml:space="preserve">رویا اصلانی </t>
  </si>
  <si>
    <t xml:space="preserve">جواد رستمی </t>
  </si>
  <si>
    <t xml:space="preserve">شرکت گسترش تک </t>
  </si>
  <si>
    <t xml:space="preserve">شرکت صنایع گاز ایران </t>
  </si>
  <si>
    <t xml:space="preserve">آریا صنعت گران شروین نو </t>
  </si>
  <si>
    <t xml:space="preserve">شهاب گاز سوز </t>
  </si>
  <si>
    <t>تولیدی صنعتی صفاشیر پارس</t>
  </si>
  <si>
    <t xml:space="preserve">سامفر </t>
  </si>
  <si>
    <t xml:space="preserve">توان جم </t>
  </si>
  <si>
    <t xml:space="preserve">آهارکو </t>
  </si>
  <si>
    <t>آرین کالا تک قومس</t>
  </si>
  <si>
    <t>شرکت ایمن تک پیشرو</t>
  </si>
  <si>
    <t xml:space="preserve">صنایع یکتا تهویه اروند </t>
  </si>
  <si>
    <t xml:space="preserve">پارسیان تراش صنعت </t>
  </si>
  <si>
    <t xml:space="preserve">پارس قفل </t>
  </si>
  <si>
    <t xml:space="preserve">پارا صنعت </t>
  </si>
  <si>
    <t>کلون</t>
  </si>
  <si>
    <t xml:space="preserve">شیرآلات بهداشتی شایان </t>
  </si>
  <si>
    <t xml:space="preserve">تولیدی شیر سازی سامین </t>
  </si>
  <si>
    <t xml:space="preserve">البرز یدک </t>
  </si>
  <si>
    <t xml:space="preserve">تولیدی شیر سازی غریب پویا </t>
  </si>
  <si>
    <t xml:space="preserve">گسترش ارتباطات بهداد </t>
  </si>
  <si>
    <t>شیرگاز لاله</t>
  </si>
  <si>
    <t xml:space="preserve">یراق سازان پرستو </t>
  </si>
  <si>
    <t xml:space="preserve">کلار پویا </t>
  </si>
  <si>
    <t xml:space="preserve">بهجوش آریا </t>
  </si>
  <si>
    <t xml:space="preserve">یراق گستر شبکه </t>
  </si>
  <si>
    <t xml:space="preserve">تکادو صنعت </t>
  </si>
  <si>
    <t>آبکامه</t>
  </si>
  <si>
    <t xml:space="preserve">سینا سازه </t>
  </si>
  <si>
    <t xml:space="preserve">اوج صنعت </t>
  </si>
  <si>
    <t xml:space="preserve">سامان صنعت بایا </t>
  </si>
  <si>
    <t xml:space="preserve">تراش پارس </t>
  </si>
  <si>
    <t xml:space="preserve">پارت سازان شرق </t>
  </si>
  <si>
    <t xml:space="preserve">گاز خودرو صنعت </t>
  </si>
  <si>
    <t>سیستمهای صنعتی تاکستان</t>
  </si>
  <si>
    <t xml:space="preserve">پیک افروز </t>
  </si>
  <si>
    <t xml:space="preserve">کنتور سازی ایران </t>
  </si>
  <si>
    <t xml:space="preserve">صنایع شهید دوران </t>
  </si>
  <si>
    <t xml:space="preserve">شیرآلات اورس گهر </t>
  </si>
  <si>
    <t xml:space="preserve">لاما الکترونیک </t>
  </si>
  <si>
    <t xml:space="preserve">آپادانا صنعت </t>
  </si>
  <si>
    <t xml:space="preserve">دنیای هنر </t>
  </si>
  <si>
    <t xml:space="preserve">گاز سوزان </t>
  </si>
  <si>
    <t xml:space="preserve">آب آرا </t>
  </si>
  <si>
    <t xml:space="preserve">دربندی </t>
  </si>
  <si>
    <t>شیرآلات ماعون</t>
  </si>
  <si>
    <t>رگلاتور سازی</t>
  </si>
  <si>
    <t>آذر پاد (کریمی)</t>
  </si>
  <si>
    <t xml:space="preserve">نیران شیر </t>
  </si>
  <si>
    <t>ایران شیر</t>
  </si>
  <si>
    <t xml:space="preserve">شیر آلات نگین </t>
  </si>
  <si>
    <t xml:space="preserve">کیهان شیر </t>
  </si>
  <si>
    <t xml:space="preserve">ستاره جوش </t>
  </si>
  <si>
    <t xml:space="preserve">کارگاه برادران حسینی  </t>
  </si>
  <si>
    <t xml:space="preserve">تامین کالای سبز ارس </t>
  </si>
  <si>
    <t xml:space="preserve">تکنو کار </t>
  </si>
  <si>
    <t xml:space="preserve">آلیاژ گستر نقش جهان </t>
  </si>
  <si>
    <t xml:space="preserve">نو آوران ابری </t>
  </si>
  <si>
    <t xml:space="preserve">پارس شیر </t>
  </si>
  <si>
    <t xml:space="preserve">کارگاه پارسا </t>
  </si>
  <si>
    <t xml:space="preserve">آریا تکنیک </t>
  </si>
  <si>
    <t xml:space="preserve">تکنو استیل </t>
  </si>
  <si>
    <t xml:space="preserve">شیر آلات نوین </t>
  </si>
  <si>
    <t>پترو دانیال کیش</t>
  </si>
  <si>
    <t>پایپکس</t>
  </si>
  <si>
    <t xml:space="preserve">اتحاد </t>
  </si>
  <si>
    <t xml:space="preserve">شیر آلات بهداشتی قهرمان </t>
  </si>
  <si>
    <t xml:space="preserve">شیرآلات صنعتی اصفهان </t>
  </si>
  <si>
    <t xml:space="preserve">شیرگاز ایران </t>
  </si>
  <si>
    <t xml:space="preserve"> تراشکاری ایلخانی </t>
  </si>
  <si>
    <t xml:space="preserve">تکنو تراش یادگار </t>
  </si>
  <si>
    <t xml:space="preserve">راک جاه  </t>
  </si>
  <si>
    <t>تولیدی صنعتی صالح</t>
  </si>
  <si>
    <t xml:space="preserve">دربان </t>
  </si>
  <si>
    <t>گاز کنترل پارس</t>
  </si>
  <si>
    <t>مهندس ملکی (مرکز تحقیقات مهندسی)</t>
  </si>
  <si>
    <t xml:space="preserve">بنیادترانس ایران </t>
  </si>
  <si>
    <t>تولیدی و صنعتی تهرانچیان</t>
  </si>
  <si>
    <t>صنایع سیمگون</t>
  </si>
  <si>
    <t>آریا صنعت</t>
  </si>
  <si>
    <t xml:space="preserve">تراب تراش </t>
  </si>
  <si>
    <t xml:space="preserve">شیرآلات بهداشتی راسان </t>
  </si>
  <si>
    <t>اتومات ابزار</t>
  </si>
  <si>
    <t>لوله سبز چابهار</t>
  </si>
  <si>
    <t>لوله پلیمر راوند</t>
  </si>
  <si>
    <t>سدید سازه پرشیا</t>
  </si>
  <si>
    <t>شرکت نوآوران آینده پویا</t>
  </si>
  <si>
    <t>شرکت درسا هود</t>
  </si>
  <si>
    <t xml:space="preserve">کارگاه بختیار مختاری </t>
  </si>
  <si>
    <t xml:space="preserve">سری تراشی شهران </t>
  </si>
  <si>
    <t>آژن کیله خاورمیانه</t>
  </si>
  <si>
    <t>شرکت پالمو</t>
  </si>
  <si>
    <t xml:space="preserve">کیزایران </t>
  </si>
  <si>
    <t>رنگین فلزشرق</t>
  </si>
  <si>
    <t xml:space="preserve">تراشکاری موسوی </t>
  </si>
  <si>
    <t>یزدبسپار</t>
  </si>
  <si>
    <t>شرکت صنعتی پیش آهنگ</t>
  </si>
  <si>
    <t>صنایع شیرسازی ایران گرمافر</t>
  </si>
  <si>
    <t>ایران شرق نیشابور</t>
  </si>
  <si>
    <t>رایان صنعت</t>
  </si>
  <si>
    <t>شرکت قاره سبز</t>
  </si>
  <si>
    <t>کامل پیوند</t>
  </si>
  <si>
    <t>رابط صنعت کوشا</t>
  </si>
  <si>
    <t>مس دمیرتبریز</t>
  </si>
  <si>
    <t>بوتان</t>
  </si>
  <si>
    <t>توسعه قطعات الیکا</t>
  </si>
  <si>
    <t>شرکت قفل پنج ستاره</t>
  </si>
  <si>
    <t>شیرآلات بهداشتی شودر</t>
  </si>
  <si>
    <t>شیرآلات ایرانیان</t>
  </si>
  <si>
    <t>آب بان صنعتگران</t>
  </si>
  <si>
    <t>جهان پاور</t>
  </si>
  <si>
    <t>منیرصنعت</t>
  </si>
  <si>
    <t>مهارمشعل</t>
  </si>
  <si>
    <t>قفل میلاک</t>
  </si>
  <si>
    <t>شیرآلات عالی</t>
  </si>
  <si>
    <t>شرکت کیزایران</t>
  </si>
  <si>
    <t>زرین فلز</t>
  </si>
  <si>
    <t>عمارت</t>
  </si>
  <si>
    <t>سمنان فرز</t>
  </si>
  <si>
    <t>پارس سوئیچ</t>
  </si>
  <si>
    <t>شرکت میراب</t>
  </si>
  <si>
    <t>شرکت فاراب</t>
  </si>
  <si>
    <t>قوی ساز نیرو</t>
  </si>
  <si>
    <t>شرکت لنگرمرواریدسبز</t>
  </si>
  <si>
    <t>شرکت ابزاربرقی ایران</t>
  </si>
  <si>
    <t>شرکت صباتولید</t>
  </si>
  <si>
    <t>شیر گاز آذران</t>
  </si>
  <si>
    <t xml:space="preserve">شرکت تهویه دماوندپارس </t>
  </si>
  <si>
    <t>بایا سیلندر</t>
  </si>
  <si>
    <t>شناور شبنم</t>
  </si>
  <si>
    <t>ادهم مس تبریز</t>
  </si>
  <si>
    <t>شرکت صبوران پلیمر</t>
  </si>
  <si>
    <t>شرکت آتا بای تبریز</t>
  </si>
  <si>
    <t>شرکت ذوب ریزان همدان</t>
  </si>
  <si>
    <t xml:space="preserve">شیرآلات اترس </t>
  </si>
  <si>
    <t>شرکت نیک</t>
  </si>
  <si>
    <t>شرکت آفتابگردان</t>
  </si>
  <si>
    <t>شرکت توتی</t>
  </si>
  <si>
    <t>شرکت مس رسانا</t>
  </si>
  <si>
    <t>شرکت سیتکو</t>
  </si>
  <si>
    <t>شرکت به تراش</t>
  </si>
  <si>
    <t>شرکت آوند امیرآب</t>
  </si>
  <si>
    <t>شرکت کارت اعتبار فارس</t>
  </si>
  <si>
    <t>شرکت توان کار</t>
  </si>
  <si>
    <t>شرکت سنادرب البرز</t>
  </si>
  <si>
    <t>شرکت آذرپاد</t>
  </si>
  <si>
    <t>توان اندیشان ایمن ساز فاخر</t>
  </si>
  <si>
    <t>شرکت آبی نسب</t>
  </si>
  <si>
    <t>شرکت قفل درکوب</t>
  </si>
  <si>
    <t xml:space="preserve">راصد فن </t>
  </si>
  <si>
    <t>دقیق تراش اصفهان</t>
  </si>
  <si>
    <t>بهران آسانبر</t>
  </si>
  <si>
    <t>شرکت سبزکوش</t>
  </si>
  <si>
    <t>شرکت تانیران</t>
  </si>
  <si>
    <t>سری تراشی طاهری</t>
  </si>
  <si>
    <t>شیرآلات گلپایگان</t>
  </si>
  <si>
    <t>آریا یراق صنعت</t>
  </si>
  <si>
    <t>پیشتاز صنعت</t>
  </si>
  <si>
    <t>شرکت قطعه سازان امیدوار</t>
  </si>
  <si>
    <t>کیان صنعت</t>
  </si>
  <si>
    <t xml:space="preserve">آلیاژ سازان زنجان </t>
  </si>
  <si>
    <t>شرکت الماس آریا</t>
  </si>
  <si>
    <t>مس آلیاژ (مهندس علی بیگی)</t>
  </si>
  <si>
    <t xml:space="preserve">پارت الکتریک </t>
  </si>
  <si>
    <t>تراشکاران صنعت ایل خانی</t>
  </si>
  <si>
    <t>ایران خودرو دیزل</t>
  </si>
  <si>
    <t>شرکت الیکا صنعت</t>
  </si>
  <si>
    <t>صنایع قفل گیرا</t>
  </si>
  <si>
    <t>شرکت هادرون توان</t>
  </si>
  <si>
    <t>شرکت صنعتی خوش فکر</t>
  </si>
  <si>
    <t>شرکت مگا پاور</t>
  </si>
  <si>
    <t>صنایع جوش و برش آسیا جوشا</t>
  </si>
  <si>
    <t>شیرآلات آویسا</t>
  </si>
  <si>
    <t>شیرآلات مهرآرا</t>
  </si>
  <si>
    <t>شرکت الماس آیلین البرز</t>
  </si>
  <si>
    <t>شرکت طوس وم تک</t>
  </si>
  <si>
    <t>شرکت پایدارسازه سپهر</t>
  </si>
  <si>
    <t>شیرآلات آتریسا</t>
  </si>
  <si>
    <t>شیرگاز پاسارگاد</t>
  </si>
  <si>
    <t>شرکت صنعت رایان پارس</t>
  </si>
  <si>
    <t>شرکت پرتو الماس البرز</t>
  </si>
  <si>
    <t>شرکت شریف تهران</t>
  </si>
  <si>
    <t>شرکت قفل مهدی</t>
  </si>
  <si>
    <t>شرکت هوم کو (هوشمند مبین کوشا)</t>
  </si>
  <si>
    <t>شرکت میرآب</t>
  </si>
  <si>
    <t>سارا گاز</t>
  </si>
  <si>
    <t>شرکت جام جم</t>
  </si>
  <si>
    <t>فروشگاه اتومات موسوی</t>
  </si>
  <si>
    <t xml:space="preserve">مجید مرادی </t>
  </si>
  <si>
    <t xml:space="preserve">حسین اسمی </t>
  </si>
  <si>
    <t xml:space="preserve">حبیب اله صمدی </t>
  </si>
  <si>
    <t xml:space="preserve">الله وردی نهادی فلاح  </t>
  </si>
  <si>
    <t xml:space="preserve">حسن شجاعی </t>
  </si>
  <si>
    <t xml:space="preserve">گل آقا تیموری </t>
  </si>
  <si>
    <t xml:space="preserve">رضا صالحی </t>
  </si>
  <si>
    <t xml:space="preserve">رضا اشتیاقی </t>
  </si>
  <si>
    <t xml:space="preserve">علی اکبری </t>
  </si>
  <si>
    <t xml:space="preserve">داود ملکی </t>
  </si>
  <si>
    <t xml:space="preserve">داوود عزیزی سلیمان  </t>
  </si>
  <si>
    <t xml:space="preserve">جعفر هوشمند </t>
  </si>
  <si>
    <t xml:space="preserve">کاظم لشنی </t>
  </si>
  <si>
    <t>رضا میرزایی</t>
  </si>
  <si>
    <t>حاتم صالحی</t>
  </si>
  <si>
    <t xml:space="preserve">علی توکلی  </t>
  </si>
  <si>
    <t xml:space="preserve">مهدی یوسفی  </t>
  </si>
  <si>
    <t xml:space="preserve">محمد مرزبان  </t>
  </si>
  <si>
    <t xml:space="preserve">طالب قهرمانی  </t>
  </si>
  <si>
    <t xml:space="preserve">بابا خان صالحی </t>
  </si>
  <si>
    <t>خسرو باقری</t>
  </si>
  <si>
    <t xml:space="preserve">حسین احمدی </t>
  </si>
  <si>
    <t>رضا اکبری</t>
  </si>
  <si>
    <t>میثم مرسلی</t>
  </si>
  <si>
    <t xml:space="preserve">عابدین قهرمانی  </t>
  </si>
  <si>
    <t xml:space="preserve">علی زارعی  </t>
  </si>
  <si>
    <t xml:space="preserve">جواد شریعتی </t>
  </si>
  <si>
    <t xml:space="preserve">حمید رضا شریعتی </t>
  </si>
  <si>
    <t xml:space="preserve">رسول ستاری </t>
  </si>
  <si>
    <t xml:space="preserve">آرمان فاطمی </t>
  </si>
  <si>
    <t xml:space="preserve">داود فلاح </t>
  </si>
  <si>
    <t xml:space="preserve">حمید دادگسترمقدم </t>
  </si>
  <si>
    <t xml:space="preserve">عباس بابایی </t>
  </si>
  <si>
    <t>آقامرادی احمد</t>
  </si>
  <si>
    <t>روحی اسرافیل</t>
  </si>
  <si>
    <t xml:space="preserve">تیموری مهدی </t>
  </si>
  <si>
    <t xml:space="preserve">احمدی حسن </t>
  </si>
  <si>
    <t>لشنی علیرضا</t>
  </si>
  <si>
    <t>محمدی اکبر</t>
  </si>
  <si>
    <t xml:space="preserve">نوروزی امیرحسین </t>
  </si>
  <si>
    <t xml:space="preserve">خزر جلیل </t>
  </si>
  <si>
    <t xml:space="preserve">کاظمی سعید </t>
  </si>
  <si>
    <t xml:space="preserve">عتیقه زاده  احسان </t>
  </si>
  <si>
    <t xml:space="preserve">احمدی مجید </t>
  </si>
  <si>
    <t>موسوی مهدی</t>
  </si>
  <si>
    <t xml:space="preserve">علی تیموری </t>
  </si>
  <si>
    <t xml:space="preserve">وحید موسوی </t>
  </si>
  <si>
    <t xml:space="preserve">مسعود صلاحی </t>
  </si>
  <si>
    <t xml:space="preserve">شرکت بتا </t>
  </si>
  <si>
    <t>ناصر شیخی</t>
  </si>
  <si>
    <t xml:space="preserve">گروه تولیدی صنعتی فدرال </t>
  </si>
  <si>
    <t>شرکت سارا (رودکی)</t>
  </si>
  <si>
    <t xml:space="preserve">علیرضا باقری </t>
  </si>
  <si>
    <t>حسن پورجهانی</t>
  </si>
  <si>
    <t>ایران گرما</t>
  </si>
  <si>
    <t>بهرام چرخیان</t>
  </si>
  <si>
    <t>شرکت بهین صنعت دانا</t>
  </si>
  <si>
    <t>شرکت فردوس</t>
  </si>
  <si>
    <t>صنایع قفل نیک</t>
  </si>
  <si>
    <t>قطعه سازی محراب</t>
  </si>
  <si>
    <t>مجید منصوری</t>
  </si>
  <si>
    <t>کد ردیابی</t>
  </si>
  <si>
    <t>نام مشتری</t>
  </si>
  <si>
    <t>کد تفصیلی</t>
  </si>
  <si>
    <t>متوسط زمان تسویه (روز)</t>
  </si>
  <si>
    <t>تسویه نشده (کیلوگرم)</t>
  </si>
  <si>
    <t>بازه تسویه نشده (روز)</t>
  </si>
  <si>
    <t>متوسط زمان تسویه نشده (روز)</t>
  </si>
  <si>
    <t>سررسید شده (کیلوگرم)</t>
  </si>
  <si>
    <t>متوسط زمان سررسید شده (روز)</t>
  </si>
  <si>
    <t>بازه سررسید شده (روز)</t>
  </si>
  <si>
    <t>مانده حساب (کیلوگرم)</t>
  </si>
  <si>
    <t>ابزار صنعت میلاد</t>
  </si>
  <si>
    <t>تاريخ میلادی</t>
  </si>
  <si>
    <t>00/01/14</t>
  </si>
  <si>
    <t>30009</t>
  </si>
  <si>
    <t>00/01/15</t>
  </si>
  <si>
    <t>10003</t>
  </si>
  <si>
    <t>10057</t>
  </si>
  <si>
    <t>00/01/16</t>
  </si>
  <si>
    <t>30146</t>
  </si>
  <si>
    <t>00/01/17</t>
  </si>
  <si>
    <t>00/01/18</t>
  </si>
  <si>
    <t>10026</t>
  </si>
  <si>
    <t>10027</t>
  </si>
  <si>
    <t>10069</t>
  </si>
  <si>
    <t>00/01/01</t>
  </si>
  <si>
    <t>30031</t>
  </si>
  <si>
    <t>10052</t>
  </si>
  <si>
    <t>30101</t>
  </si>
  <si>
    <t>30131</t>
  </si>
  <si>
    <t>30077</t>
  </si>
  <si>
    <t>30011</t>
  </si>
  <si>
    <t>30135</t>
  </si>
  <si>
    <t>10076</t>
  </si>
  <si>
    <t>10018</t>
  </si>
  <si>
    <t>30082</t>
  </si>
  <si>
    <t>30118</t>
  </si>
  <si>
    <t>30123</t>
  </si>
  <si>
    <t>30040</t>
  </si>
  <si>
    <t>10045</t>
  </si>
  <si>
    <t>10079</t>
  </si>
  <si>
    <t>30141</t>
  </si>
  <si>
    <t>10007</t>
  </si>
  <si>
    <t>30012</t>
  </si>
  <si>
    <t>30097</t>
  </si>
  <si>
    <t>50011</t>
  </si>
  <si>
    <t>30079</t>
  </si>
  <si>
    <t>10004</t>
  </si>
  <si>
    <t>79010</t>
  </si>
  <si>
    <t>30025</t>
  </si>
  <si>
    <t>30056</t>
  </si>
  <si>
    <t>30160</t>
  </si>
  <si>
    <t>10030</t>
  </si>
  <si>
    <t>30018</t>
  </si>
  <si>
    <t>30070</t>
  </si>
  <si>
    <t>30006</t>
  </si>
  <si>
    <t>30099</t>
  </si>
  <si>
    <t>10028</t>
  </si>
  <si>
    <t>30140</t>
  </si>
  <si>
    <t>10008</t>
  </si>
  <si>
    <t>30072</t>
  </si>
  <si>
    <t>30047</t>
  </si>
  <si>
    <t>10048</t>
  </si>
  <si>
    <t>30133</t>
  </si>
  <si>
    <t>30015</t>
  </si>
  <si>
    <t>10070</t>
  </si>
  <si>
    <t>10089</t>
  </si>
  <si>
    <t>50016</t>
  </si>
  <si>
    <t>10084</t>
  </si>
  <si>
    <t>30064</t>
  </si>
  <si>
    <t>30014</t>
  </si>
  <si>
    <t>30116</t>
  </si>
  <si>
    <t>30081</t>
  </si>
  <si>
    <t>30104</t>
  </si>
  <si>
    <t>30058</t>
  </si>
  <si>
    <t>30003</t>
  </si>
  <si>
    <t>50006</t>
  </si>
  <si>
    <t>30017</t>
  </si>
  <si>
    <t>10055</t>
  </si>
  <si>
    <t>30022</t>
  </si>
  <si>
    <t>30066</t>
  </si>
  <si>
    <t>00/01/19</t>
  </si>
  <si>
    <t>10029</t>
  </si>
  <si>
    <t>00/01/21</t>
  </si>
  <si>
    <t>10020</t>
  </si>
  <si>
    <t>00/01/22</t>
  </si>
  <si>
    <t>30055</t>
  </si>
  <si>
    <t>00/01/23</t>
  </si>
  <si>
    <t>30162</t>
  </si>
  <si>
    <t>00/01/24</t>
  </si>
  <si>
    <t>00/01/25</t>
  </si>
  <si>
    <t>00/01/26</t>
  </si>
  <si>
    <t>00/01/28</t>
  </si>
  <si>
    <t>10015</t>
  </si>
  <si>
    <t>00/01/29</t>
  </si>
  <si>
    <t>00/01/30</t>
  </si>
  <si>
    <t>00/01/31</t>
  </si>
  <si>
    <t>30174</t>
  </si>
  <si>
    <t>00/02/01</t>
  </si>
  <si>
    <t>30127</t>
  </si>
  <si>
    <t>00/02/02</t>
  </si>
  <si>
    <t>00/02/04</t>
  </si>
  <si>
    <t>00/02/05</t>
  </si>
  <si>
    <t>30004</t>
  </si>
  <si>
    <t>00/02/06</t>
  </si>
  <si>
    <t>00/02/07</t>
  </si>
  <si>
    <t>00/02/08</t>
  </si>
  <si>
    <t>10104</t>
  </si>
  <si>
    <t>00/02/09</t>
  </si>
  <si>
    <t>00/02/11</t>
  </si>
  <si>
    <t>10009</t>
  </si>
  <si>
    <t>00/02/12</t>
  </si>
  <si>
    <t>30137</t>
  </si>
  <si>
    <t>00/02/13</t>
  </si>
  <si>
    <t>00/02/14</t>
  </si>
  <si>
    <t>00/02/15</t>
  </si>
  <si>
    <t>10092</t>
  </si>
  <si>
    <t>00/02/16</t>
  </si>
  <si>
    <t>00/02/18</t>
  </si>
  <si>
    <t>30186</t>
  </si>
  <si>
    <t>00/02/19</t>
  </si>
  <si>
    <t>00/02/20</t>
  </si>
  <si>
    <t>00/02/21</t>
  </si>
  <si>
    <t>10127</t>
  </si>
  <si>
    <t>00/02/22</t>
  </si>
  <si>
    <t>10126</t>
  </si>
  <si>
    <t>30124</t>
  </si>
  <si>
    <t>30155</t>
  </si>
  <si>
    <t>30030</t>
  </si>
  <si>
    <t>00/02/25</t>
  </si>
  <si>
    <t>00/02/26</t>
  </si>
  <si>
    <t>00/02/27</t>
  </si>
  <si>
    <t>00/02/28</t>
  </si>
  <si>
    <t>10110</t>
  </si>
  <si>
    <t>00/02/29</t>
  </si>
  <si>
    <t>30113</t>
  </si>
  <si>
    <t>00/02/30</t>
  </si>
  <si>
    <t>00/03/01</t>
  </si>
  <si>
    <t>00/03/02</t>
  </si>
  <si>
    <t>10128</t>
  </si>
  <si>
    <t>00/03/03</t>
  </si>
  <si>
    <t>00/03/04</t>
  </si>
  <si>
    <t>00/03/05</t>
  </si>
  <si>
    <t>30184</t>
  </si>
  <si>
    <t>00/03/06</t>
  </si>
  <si>
    <t>00/03/08</t>
  </si>
  <si>
    <t>00/03/09</t>
  </si>
  <si>
    <t>00/03/10</t>
  </si>
  <si>
    <t>30026</t>
  </si>
  <si>
    <t>00/03/11</t>
  </si>
  <si>
    <t>10119</t>
  </si>
  <si>
    <t>00/03/12</t>
  </si>
  <si>
    <t>30190</t>
  </si>
  <si>
    <t>00/03/13</t>
  </si>
  <si>
    <t>10131</t>
  </si>
  <si>
    <t>00/03/17</t>
  </si>
  <si>
    <t>00/03/18</t>
  </si>
  <si>
    <t>00/03/19</t>
  </si>
  <si>
    <t>10101</t>
  </si>
  <si>
    <t>00/03/20</t>
  </si>
  <si>
    <t>00/03/22</t>
  </si>
  <si>
    <t>00/03/23</t>
  </si>
  <si>
    <t>00/03/24</t>
  </si>
  <si>
    <t>30191</t>
  </si>
  <si>
    <t>00/03/25</t>
  </si>
  <si>
    <t>00/03/26</t>
  </si>
  <si>
    <t>00/03/27</t>
  </si>
  <si>
    <t>00/03/29</t>
  </si>
  <si>
    <t>00/03/30</t>
  </si>
  <si>
    <t>00/03/31</t>
  </si>
  <si>
    <t>30138</t>
  </si>
  <si>
    <t>00/04/01</t>
  </si>
  <si>
    <t>00/04/02</t>
  </si>
  <si>
    <t>00/04/03</t>
  </si>
  <si>
    <t>00/04/05</t>
  </si>
  <si>
    <t>00/04/06</t>
  </si>
  <si>
    <t>00/04/07</t>
  </si>
  <si>
    <t>00/04/08</t>
  </si>
  <si>
    <t>00/04/09</t>
  </si>
  <si>
    <t>30001</t>
  </si>
  <si>
    <t>00/04/10</t>
  </si>
  <si>
    <t>00/04/12</t>
  </si>
  <si>
    <t>00/04/13</t>
  </si>
  <si>
    <t>00/04/14</t>
  </si>
  <si>
    <t>00/04/15</t>
  </si>
  <si>
    <t>00/04/16</t>
  </si>
  <si>
    <t>00/04/17</t>
  </si>
  <si>
    <t>00/04/19</t>
  </si>
  <si>
    <t>00/04/20</t>
  </si>
  <si>
    <t>00/04/21</t>
  </si>
  <si>
    <t>00/04/22</t>
  </si>
  <si>
    <t>00/04/23</t>
  </si>
  <si>
    <t>00/04/24</t>
  </si>
  <si>
    <t>00/04/26</t>
  </si>
  <si>
    <t>30187</t>
  </si>
  <si>
    <t>00/04/27</t>
  </si>
  <si>
    <t>10088</t>
  </si>
  <si>
    <t>00/04/28</t>
  </si>
  <si>
    <t>00/04/29</t>
  </si>
  <si>
    <t>00/04/31</t>
  </si>
  <si>
    <t>00/05/02</t>
  </si>
  <si>
    <t>00/05/03</t>
  </si>
  <si>
    <t>00/05/04</t>
  </si>
  <si>
    <t>00/05/05</t>
  </si>
  <si>
    <t>30013</t>
  </si>
  <si>
    <t>00/05/06</t>
  </si>
  <si>
    <t>00/05/09</t>
  </si>
  <si>
    <t>00/05/10</t>
  </si>
  <si>
    <t>00/05/11</t>
  </si>
  <si>
    <t>00/05/12</t>
  </si>
  <si>
    <t>00/05/13</t>
  </si>
  <si>
    <t>00/05/14</t>
  </si>
  <si>
    <t>00/05/16</t>
  </si>
  <si>
    <t>00/05/17</t>
  </si>
  <si>
    <t>00/05/18</t>
  </si>
  <si>
    <t>00/05/19</t>
  </si>
  <si>
    <t>10002</t>
  </si>
  <si>
    <t>00/05/20</t>
  </si>
  <si>
    <t>00/05/21</t>
  </si>
  <si>
    <t>00/05/22</t>
  </si>
  <si>
    <t>00/05/23</t>
  </si>
  <si>
    <t>00/05/31</t>
  </si>
  <si>
    <t>00/06/01</t>
  </si>
  <si>
    <t>00/06/02</t>
  </si>
  <si>
    <t>00/06/03</t>
  </si>
  <si>
    <t>00/06/04</t>
  </si>
  <si>
    <t>00/06/06</t>
  </si>
  <si>
    <t>10093</t>
  </si>
  <si>
    <t>00/06/07</t>
  </si>
  <si>
    <t>00/06/08</t>
  </si>
  <si>
    <t>00/06/09</t>
  </si>
  <si>
    <t>00/06/10</t>
  </si>
  <si>
    <t>00/06/11</t>
  </si>
  <si>
    <t>00/06/13</t>
  </si>
  <si>
    <t>10097</t>
  </si>
  <si>
    <t>00/06/14</t>
  </si>
  <si>
    <t>30032</t>
  </si>
  <si>
    <t>30034</t>
  </si>
  <si>
    <t>30164</t>
  </si>
  <si>
    <t>10109</t>
  </si>
  <si>
    <t>10065</t>
  </si>
  <si>
    <t>10046</t>
  </si>
  <si>
    <t>30069</t>
  </si>
  <si>
    <t>30005</t>
  </si>
  <si>
    <t>30112</t>
  </si>
  <si>
    <t>30065</t>
  </si>
  <si>
    <t>30142</t>
  </si>
  <si>
    <t>10010</t>
  </si>
  <si>
    <t>30010</t>
  </si>
  <si>
    <t>10023</t>
  </si>
  <si>
    <t>30167</t>
  </si>
  <si>
    <t>10039</t>
  </si>
  <si>
    <t>30020</t>
  </si>
  <si>
    <t>30071</t>
  </si>
  <si>
    <t>10042</t>
  </si>
  <si>
    <t>10066</t>
  </si>
  <si>
    <t>30044</t>
  </si>
  <si>
    <t>30062</t>
  </si>
  <si>
    <t>00/02/31</t>
  </si>
  <si>
    <t>تاریخ کامل</t>
  </si>
  <si>
    <t>00/06/15</t>
  </si>
  <si>
    <t>00/06/16</t>
  </si>
  <si>
    <t>10014</t>
  </si>
  <si>
    <t>00/06/17</t>
  </si>
  <si>
    <t>00/06/18</t>
  </si>
  <si>
    <t>00/06/20</t>
  </si>
  <si>
    <t>جمع کل</t>
  </si>
  <si>
    <t>سررسید ۱۵ روزه (کیلوگرم)</t>
  </si>
  <si>
    <t>سررسید شده</t>
  </si>
  <si>
    <t>تسویه نشده</t>
  </si>
  <si>
    <t>00/06/21</t>
  </si>
  <si>
    <t>00/06/22</t>
  </si>
  <si>
    <t>00/06/23</t>
  </si>
  <si>
    <t>00/06/24</t>
  </si>
  <si>
    <t>00/06/25</t>
  </si>
  <si>
    <t>00/06/27</t>
  </si>
  <si>
    <t>00/06/28</t>
  </si>
  <si>
    <t>30019</t>
  </si>
  <si>
    <t>00/06/29</t>
  </si>
  <si>
    <t>00/06/30</t>
  </si>
  <si>
    <t>00/06/31</t>
  </si>
  <si>
    <t>00/07/01</t>
  </si>
  <si>
    <t>00/07/03</t>
  </si>
  <si>
    <t>بدون بدهی</t>
  </si>
  <si>
    <t>راکد</t>
  </si>
  <si>
    <t>00/07/04</t>
  </si>
  <si>
    <t>00/07/06</t>
  </si>
  <si>
    <t>10138</t>
  </si>
  <si>
    <t>00/07/07</t>
  </si>
  <si>
    <t>00/07/08</t>
  </si>
  <si>
    <t>00/07/10</t>
  </si>
  <si>
    <t>00/07/11</t>
  </si>
  <si>
    <t>تولیدی پیام</t>
  </si>
  <si>
    <t>00/07/12</t>
  </si>
  <si>
    <t>00/07/14</t>
  </si>
  <si>
    <t>00/07/17</t>
  </si>
  <si>
    <t>00/07/18</t>
  </si>
  <si>
    <t>مهدی آهاری</t>
  </si>
  <si>
    <t>تاریخ گزارش:</t>
  </si>
  <si>
    <t>00/07/19</t>
  </si>
  <si>
    <t>00/07/20</t>
  </si>
  <si>
    <t>10019</t>
  </si>
  <si>
    <t>00/07/21</t>
  </si>
  <si>
    <t>00/07/22</t>
  </si>
  <si>
    <t>00/07/24</t>
  </si>
  <si>
    <t>00/07/25</t>
  </si>
  <si>
    <t>00/07/26</t>
  </si>
  <si>
    <t>00/07/27</t>
  </si>
  <si>
    <t>00/07/28</t>
  </si>
  <si>
    <t>00/07/29</t>
  </si>
  <si>
    <t>00/07/30</t>
  </si>
  <si>
    <t>00/08/01</t>
  </si>
  <si>
    <t>00/08/03</t>
  </si>
  <si>
    <t>00/08/04</t>
  </si>
  <si>
    <t>00/08/05</t>
  </si>
  <si>
    <t>00/08/06</t>
  </si>
  <si>
    <t>00/08/08</t>
  </si>
  <si>
    <t>00/08/09</t>
  </si>
  <si>
    <t>صابر عزیزی</t>
  </si>
  <si>
    <t>30198</t>
  </si>
  <si>
    <t>00/08/10</t>
  </si>
  <si>
    <t>00/08/11</t>
  </si>
  <si>
    <t>00/08/12</t>
  </si>
  <si>
    <t>00/08/13</t>
  </si>
  <si>
    <t>00/08/15</t>
  </si>
  <si>
    <t>00/08/16</t>
  </si>
  <si>
    <t>00/08/17</t>
  </si>
  <si>
    <t>30202</t>
  </si>
  <si>
    <t>00/08/18</t>
  </si>
  <si>
    <t>00/08/19</t>
  </si>
  <si>
    <t>00/08/20</t>
  </si>
  <si>
    <t>00/08/22</t>
  </si>
  <si>
    <t>00/08/23</t>
  </si>
  <si>
    <t>وحیدمنافی</t>
  </si>
  <si>
    <t>شرکت بهین تولید</t>
  </si>
  <si>
    <t>00/08/24</t>
  </si>
  <si>
    <t>00/08/25</t>
  </si>
  <si>
    <t>10141</t>
  </si>
  <si>
    <t>30205</t>
  </si>
  <si>
    <t>00/08/26</t>
  </si>
  <si>
    <t>00/08/27</t>
  </si>
  <si>
    <t>00/08/29</t>
  </si>
  <si>
    <t>00/08/30</t>
  </si>
  <si>
    <t>30196</t>
  </si>
  <si>
    <t>حسین ریاحی</t>
  </si>
  <si>
    <t>ایران پالاد</t>
  </si>
  <si>
    <t>شرکت G P G</t>
  </si>
  <si>
    <t>00/09/01</t>
  </si>
  <si>
    <t>30024</t>
  </si>
  <si>
    <t>00/09/02</t>
  </si>
  <si>
    <t>00/09/03</t>
  </si>
  <si>
    <t>00/09/04</t>
  </si>
  <si>
    <t>Row Labels</t>
  </si>
  <si>
    <t>Grand Total</t>
  </si>
  <si>
    <t>Sum of بدهکار (کیلوگرم)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</si>
  <si>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</si>
  <si>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</si>
  <si>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</si>
  <si>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</si>
  <si>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</si>
  <si>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</si>
  <si>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</si>
  <si>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</si>
  <si>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</si>
  <si>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00/09/06</t>
  </si>
  <si>
    <t>00/09/07</t>
  </si>
  <si>
    <t>00/09/08</t>
  </si>
  <si>
    <t>00/09/09</t>
  </si>
  <si>
    <t>00/09/10</t>
  </si>
  <si>
    <t>00/09/11</t>
  </si>
  <si>
    <t>00/09/13</t>
  </si>
  <si>
    <t>00/09/14</t>
  </si>
  <si>
    <t>تاریخ سفارش</t>
  </si>
  <si>
    <t>وزن سفارس (کیلوگرم)</t>
  </si>
  <si>
    <t>سفاله تسویه نشده (کیلوگرم)</t>
  </si>
  <si>
    <t>محمد کریمی</t>
  </si>
  <si>
    <t>00/09/15</t>
  </si>
  <si>
    <t>30200</t>
  </si>
  <si>
    <t>00/09/16</t>
  </si>
  <si>
    <t>00/09/17</t>
  </si>
  <si>
    <t>00/09/18</t>
  </si>
  <si>
    <t>00/09/20</t>
  </si>
  <si>
    <t>00/09/21</t>
  </si>
  <si>
    <t>00/09/22</t>
  </si>
  <si>
    <t>00/09/23</t>
  </si>
  <si>
    <t>00/09/24</t>
  </si>
  <si>
    <t>30086</t>
  </si>
  <si>
    <t>00/09/25</t>
  </si>
  <si>
    <t>00/09/27</t>
  </si>
  <si>
    <t>00/09/28</t>
  </si>
  <si>
    <t>00/09/29</t>
  </si>
  <si>
    <t>00/09/30</t>
  </si>
  <si>
    <t>00/10/01</t>
  </si>
  <si>
    <t>30195</t>
  </si>
  <si>
    <t>00/10/02</t>
  </si>
  <si>
    <t>00/10/04</t>
  </si>
  <si>
    <t>00/10/03</t>
  </si>
  <si>
    <t>00/10/05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</si>
</sst>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960429]dd/mm/yyyy;@"/>
    <numFmt numFmtId="165" formatCode="[$-960429]dddd\,\ d\ mmmm\ yyyy;@"/>
    <numFmt numFmtId="166" formatCode="yyyy/mm/dd\ h:mm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indexed="8"/>
      <name val="Tahoma"/>
      <family val="2"/>
    </font>
    <font>
      <sz val="10"/>
      <color theme="1"/>
      <name val="Tahoma"/>
      <family val="2"/>
    </font>
    <font>
      <b/>
      <sz val="10"/>
      <color indexed="8"/>
      <name val="Tahoma"/>
      <family val="2"/>
    </font>
    <font>
      <sz val="11"/>
      <color theme="1"/>
      <name val="Calibri"/>
      <family val="2"/>
      <charset val="178"/>
      <scheme val="minor"/>
    </font>
    <font>
      <sz val="8.25"/>
      <color indexed="62"/>
      <name val="Tahoma"/>
      <family val="2"/>
    </font>
    <font>
      <sz val="8.25"/>
      <color indexed="8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6" fillId="0" borderId="0"/>
  </cellStyleXfs>
  <cellXfs count="54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0" applyNumberFormat="1" applyFont="1"/>
    <xf numFmtId="0" fontId="0" fillId="0" borderId="0" xfId="0" applyAlignment="1">
      <alignment horizontal="right" vertical="center" wrapText="1" readingOrder="2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/>
    <xf numFmtId="4" fontId="3" fillId="0" borderId="0" xfId="0" applyNumberFormat="1" applyFont="1"/>
    <xf numFmtId="4" fontId="4" fillId="0" borderId="0" xfId="0" applyNumberFormat="1" applyFont="1"/>
    <xf numFmtId="164" fontId="3" fillId="0" borderId="0" xfId="0" applyNumberFormat="1" applyFont="1"/>
    <xf numFmtId="0" fontId="0" fillId="0" borderId="0" xfId="0" applyAlignment="1">
      <alignment horizontal="right" readingOrder="2"/>
    </xf>
    <xf numFmtId="4" fontId="0" fillId="0" borderId="0" xfId="0" applyNumberFormat="1"/>
    <xf numFmtId="0" fontId="3" fillId="3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3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0" fontId="7" fillId="0" borderId="0" xfId="1" applyFont="1"/>
    <xf numFmtId="0" fontId="6" fillId="0" borderId="0" xfId="1"/>
    <xf numFmtId="0" fontId="8" fillId="0" borderId="0" xfId="1" applyFont="1"/>
    <xf numFmtId="3" fontId="5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" fontId="0" fillId="0" borderId="0" xfId="0" applyNumberFormat="1"/>
    <xf numFmtId="3" fontId="0" fillId="0" borderId="0" xfId="0" applyNumberFormat="1"/>
    <xf numFmtId="22" fontId="0" fillId="0" borderId="0" xfId="0" applyNumberFormat="1"/>
    <xf numFmtId="0" fontId="3" fillId="0" borderId="0" xfId="0" applyFont="1"/>
    <xf numFmtId="0" fontId="0" fillId="0" borderId="0" xfId="0" applyAlignment="1">
      <alignment horizontal="center" vertical="center"/>
    </xf>
    <xf numFmtId="1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3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3" fontId="11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3" fontId="0" fillId="0" borderId="0" xfId="0" applyNumberFormat="1" applyAlignment="1">
      <alignment horizontal="center" wrapText="1"/>
    </xf>
    <xf numFmtId="0" fontId="11" fillId="0" borderId="0" xfId="0" applyFont="1"/>
    <xf numFmtId="165" fontId="11" fillId="0" borderId="0" xfId="0" applyNumberFormat="1" applyFont="1"/>
    <xf numFmtId="3" fontId="11" fillId="0" borderId="2" xfId="0" applyNumberFormat="1" applyFont="1" applyBorder="1" applyAlignment="1">
      <alignment horizontal="center" vertical="center"/>
    </xf>
    <xf numFmtId="3" fontId="11" fillId="0" borderId="3" xfId="0" applyNumberFormat="1" applyFont="1" applyBorder="1" applyAlignment="1">
      <alignment horizontal="center" vertical="center"/>
    </xf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3" fontId="4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  <xf numFmtId="0" fontId="11" fillId="0" borderId="4" xfId="0" applyFont="1" applyBorder="1" applyAlignment="1">
      <alignment horizontal="center" vertical="center" wrapText="1"/>
    </xf>
    <xf numFmtId="3" fontId="11" fillId="0" borderId="4" xfId="0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 xr:uid="{6E4C8EED-6AEA-4606-A6A9-E09FFC85BB40}"/>
  </cellStyles>
  <dxfs count="1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164" formatCode="[$-960429]dd/mm/yyyy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color theme="0"/>
      </font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4" formatCode="#,##0.00"/>
    </dxf>
    <dxf>
      <numFmt numFmtId="1" formatCode="0"/>
    </dxf>
    <dxf>
      <numFmt numFmtId="3" formatCode="#,##0"/>
    </dxf>
    <dxf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alignment horizontal="center" vertical="center" textRotation="0" wrapText="1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textRotation="0" indent="0" justifyLastLine="0" shrinkToFit="0" readingOrder="2"/>
    </dxf>
    <dxf>
      <alignment horizontal="center" vertical="center" textRotation="0" wrapText="1" indent="0" justifyLastLine="0" shrinkToFit="0" readingOrder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numFmt numFmtId="164" formatCode="[$-960429]dd/mm/yyyy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z val="10"/>
        <color indexed="8"/>
        <name val="Tahom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alignment horizontal="center" vertical="center" textRotation="0" indent="0" justifyLastLine="0" shrinkToFit="0" readingOrder="0"/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62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166" formatCode="yyyy/mm/dd\ h:mm"/>
    </dxf>
    <dxf>
      <numFmt numFmtId="166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306928902161119E-2"/>
          <c:y val="6.4886792983029809E-2"/>
          <c:w val="0.90869307109783892"/>
          <c:h val="0.72746237715576156"/>
        </c:manualLayout>
      </c:layout>
      <c:lineChart>
        <c:grouping val="standard"/>
        <c:varyColors val="0"/>
        <c:ser>
          <c:idx val="0"/>
          <c:order val="0"/>
          <c:tx>
            <c:strRef>
              <c:f>نمودار!$C$3</c:f>
              <c:strCache>
                <c:ptCount val="1"/>
                <c:pt idx="0">
                  <c:v>مانده در خط (کیلوگرم)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نمودار!$C$4:$C$21</c:f>
              <c:numCache>
                <c:formatCode>#,##0.00</c:formatCode>
                <c:ptCount val="18"/>
                <c:pt idx="0">
                  <c:v>18547</c:v>
                </c:pt>
                <c:pt idx="1">
                  <c:v>20615</c:v>
                </c:pt>
                <c:pt idx="2">
                  <c:v>39550</c:v>
                </c:pt>
                <c:pt idx="3">
                  <c:v>39943</c:v>
                </c:pt>
                <c:pt idx="4">
                  <c:v>19244</c:v>
                </c:pt>
                <c:pt idx="5">
                  <c:v>30574</c:v>
                </c:pt>
                <c:pt idx="6">
                  <c:v>29837</c:v>
                </c:pt>
                <c:pt idx="7">
                  <c:v>17186</c:v>
                </c:pt>
                <c:pt idx="8">
                  <c:v>34884</c:v>
                </c:pt>
                <c:pt idx="9">
                  <c:v>41320</c:v>
                </c:pt>
                <c:pt idx="10">
                  <c:v>32382</c:v>
                </c:pt>
                <c:pt idx="11">
                  <c:v>31643</c:v>
                </c:pt>
                <c:pt idx="12">
                  <c:v>18349</c:v>
                </c:pt>
                <c:pt idx="13">
                  <c:v>20855</c:v>
                </c:pt>
                <c:pt idx="14">
                  <c:v>31169</c:v>
                </c:pt>
                <c:pt idx="15">
                  <c:v>43684</c:v>
                </c:pt>
                <c:pt idx="16">
                  <c:v>37663</c:v>
                </c:pt>
                <c:pt idx="17">
                  <c:v>33433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5-4AA5-8D4E-F9E566CF7AE5}"/>
            </c:ext>
          </c:extLst>
        </c:ser>
        <c:ser>
          <c:idx val="1"/>
          <c:order val="1"/>
          <c:tx>
            <c:strRef>
              <c:f>نمودار!$D$3</c:f>
              <c:strCache>
                <c:ptCount val="1"/>
                <c:pt idx="0">
                  <c:v>متوسط بدهی (کیلوگرم)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نمودار!$D$4:$D$21</c:f>
              <c:numCache>
                <c:formatCode>#,##0.00</c:formatCode>
                <c:ptCount val="18"/>
                <c:pt idx="0">
                  <c:v>29476.210714285713</c:v>
                </c:pt>
                <c:pt idx="1">
                  <c:v>29476.210714285713</c:v>
                </c:pt>
                <c:pt idx="2">
                  <c:v>29476.210714285713</c:v>
                </c:pt>
                <c:pt idx="3">
                  <c:v>29476.210714285713</c:v>
                </c:pt>
                <c:pt idx="4">
                  <c:v>29476.210714285713</c:v>
                </c:pt>
                <c:pt idx="5">
                  <c:v>29476.210714285713</c:v>
                </c:pt>
                <c:pt idx="6">
                  <c:v>29476.210714285713</c:v>
                </c:pt>
                <c:pt idx="7">
                  <c:v>29476.210714285713</c:v>
                </c:pt>
                <c:pt idx="8">
                  <c:v>29476.210714285713</c:v>
                </c:pt>
                <c:pt idx="9">
                  <c:v>29476.210714285713</c:v>
                </c:pt>
                <c:pt idx="10">
                  <c:v>29476.210714285713</c:v>
                </c:pt>
                <c:pt idx="11">
                  <c:v>29476.210714285713</c:v>
                </c:pt>
                <c:pt idx="12">
                  <c:v>29476.210714285713</c:v>
                </c:pt>
                <c:pt idx="13">
                  <c:v>29476.210714285713</c:v>
                </c:pt>
                <c:pt idx="14">
                  <c:v>29476.210714285713</c:v>
                </c:pt>
                <c:pt idx="15">
                  <c:v>29476.210714285713</c:v>
                </c:pt>
                <c:pt idx="16">
                  <c:v>29476.210714285713</c:v>
                </c:pt>
                <c:pt idx="17">
                  <c:v>29476.210714285713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45-4AA5-8D4E-F9E566CF7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25605039"/>
        <c:axId val="1325609615"/>
      </c:lineChart>
      <c:catAx>
        <c:axId val="1325605039"/>
        <c:scaling>
          <c:orientation val="minMax"/>
        </c:scaling>
        <c:delete val="0"/>
        <c:axPos val="b"/>
        <c:numFmt formatCode="[$-960429]dd/mm/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9615"/>
        <c:crosses val="autoZero"/>
        <c:auto val="0"/>
        <c:lblAlgn val="ctr"/>
        <c:lblOffset val="100"/>
        <c:noMultiLvlLbl val="0"/>
      </c:catAx>
      <c:valAx>
        <c:axId val="1325609615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503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نمودار!$C$3</c:f>
              <c:strCache>
                <c:ptCount val="1"/>
                <c:pt idx="0">
                  <c:v>مانده در خط (کیلوگرم)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نمودار!$C$4:$C$21</c:f>
              <c:numCache>
                <c:formatCode>#,##0.00</c:formatCode>
                <c:ptCount val="18"/>
                <c:pt idx="0">
                  <c:v>18547</c:v>
                </c:pt>
                <c:pt idx="1">
                  <c:v>20615</c:v>
                </c:pt>
                <c:pt idx="2">
                  <c:v>39550</c:v>
                </c:pt>
                <c:pt idx="3">
                  <c:v>39943</c:v>
                </c:pt>
                <c:pt idx="4">
                  <c:v>19244</c:v>
                </c:pt>
                <c:pt idx="5">
                  <c:v>30574</c:v>
                </c:pt>
                <c:pt idx="6">
                  <c:v>29837</c:v>
                </c:pt>
                <c:pt idx="7">
                  <c:v>17186</c:v>
                </c:pt>
                <c:pt idx="8">
                  <c:v>34884</c:v>
                </c:pt>
                <c:pt idx="9">
                  <c:v>41320</c:v>
                </c:pt>
                <c:pt idx="10">
                  <c:v>32382</c:v>
                </c:pt>
                <c:pt idx="11">
                  <c:v>31643</c:v>
                </c:pt>
                <c:pt idx="12">
                  <c:v>18349</c:v>
                </c:pt>
                <c:pt idx="13">
                  <c:v>20855</c:v>
                </c:pt>
                <c:pt idx="14">
                  <c:v>31169</c:v>
                </c:pt>
                <c:pt idx="15">
                  <c:v>43684</c:v>
                </c:pt>
                <c:pt idx="16">
                  <c:v>37663</c:v>
                </c:pt>
                <c:pt idx="17">
                  <c:v>33433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7-4BE1-AC78-E2F82F48F704}"/>
            </c:ext>
          </c:extLst>
        </c:ser>
        <c:ser>
          <c:idx val="1"/>
          <c:order val="1"/>
          <c:tx>
            <c:strRef>
              <c:f>نمودار!$D$3</c:f>
              <c:strCache>
                <c:ptCount val="1"/>
                <c:pt idx="0">
                  <c:v>متوسط بدهی (کیلوگرم)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نمودار!$D$4:$D$21</c:f>
              <c:numCache>
                <c:formatCode>#,##0.00</c:formatCode>
                <c:ptCount val="18"/>
                <c:pt idx="0">
                  <c:v>29476.210714285713</c:v>
                </c:pt>
                <c:pt idx="1">
                  <c:v>29476.210714285713</c:v>
                </c:pt>
                <c:pt idx="2">
                  <c:v>29476.210714285713</c:v>
                </c:pt>
                <c:pt idx="3">
                  <c:v>29476.210714285713</c:v>
                </c:pt>
                <c:pt idx="4">
                  <c:v>29476.210714285713</c:v>
                </c:pt>
                <c:pt idx="5">
                  <c:v>29476.210714285713</c:v>
                </c:pt>
                <c:pt idx="6">
                  <c:v>29476.210714285713</c:v>
                </c:pt>
                <c:pt idx="7">
                  <c:v>29476.210714285713</c:v>
                </c:pt>
                <c:pt idx="8">
                  <c:v>29476.210714285713</c:v>
                </c:pt>
                <c:pt idx="9">
                  <c:v>29476.210714285713</c:v>
                </c:pt>
                <c:pt idx="10">
                  <c:v>29476.210714285713</c:v>
                </c:pt>
                <c:pt idx="11">
                  <c:v>29476.210714285713</c:v>
                </c:pt>
                <c:pt idx="12">
                  <c:v>29476.210714285713</c:v>
                </c:pt>
                <c:pt idx="13">
                  <c:v>29476.210714285713</c:v>
                </c:pt>
                <c:pt idx="14">
                  <c:v>29476.210714285713</c:v>
                </c:pt>
                <c:pt idx="15">
                  <c:v>29476.210714285713</c:v>
                </c:pt>
                <c:pt idx="16">
                  <c:v>29476.210714285713</c:v>
                </c:pt>
                <c:pt idx="17">
                  <c:v>29476.210714285713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B7-4BE1-AC78-E2F82F48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25605039"/>
        <c:axId val="1325609615"/>
      </c:lineChart>
      <c:catAx>
        <c:axId val="1325605039"/>
        <c:scaling>
          <c:orientation val="minMax"/>
        </c:scaling>
        <c:delete val="0"/>
        <c:axPos val="b"/>
        <c:numFmt formatCode="[$-960429]dd/mm/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9615"/>
        <c:crosses val="autoZero"/>
        <c:auto val="0"/>
        <c:lblAlgn val="ctr"/>
        <c:lblOffset val="100"/>
        <c:noMultiLvlLbl val="0"/>
      </c:catAx>
      <c:valAx>
        <c:axId val="1325609615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503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46301</xdr:colOff>
      <xdr:row>4</xdr:row>
      <xdr:rowOff>66145</xdr:rowOff>
    </xdr:from>
    <xdr:to>
      <xdr:col>23</xdr:col>
      <xdr:colOff>628385</xdr:colOff>
      <xdr:row>398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69850</xdr:rowOff>
        </xdr:from>
        <xdr:to>
          <xdr:col>3</xdr:col>
          <xdr:colOff>781050</xdr:colOff>
          <xdr:row>1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به روز رسانی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0</xdr:row>
      <xdr:rowOff>149224</xdr:rowOff>
    </xdr:from>
    <xdr:to>
      <xdr:col>14</xdr:col>
      <xdr:colOff>114300</xdr:colOff>
      <xdr:row>16</xdr:row>
      <xdr:rowOff>101599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and" refreshedDate="44527.438620370369" createdVersion="7" refreshedVersion="7" minRefreshableVersion="3" recordCount="2269" xr:uid="{63121BCC-1FD6-4573-98EC-A65EC69FB548}">
  <cacheSource type="worksheet">
    <worksheetSource ref="B2:U2271" sheet="تجمیع"/>
  </cacheSource>
  <cacheFields count="22">
    <cacheField name="شمارش" numFmtId="1">
      <sharedItems containsSemiMixedTypes="0" containsString="0" containsNumber="1" containsInteger="1" minValue="0" maxValue="73"/>
    </cacheField>
    <cacheField name="ماه" numFmtId="1">
      <sharedItems count="9">
        <s v="01"/>
        <s v="02"/>
        <s v="03"/>
        <s v="04"/>
        <s v="05"/>
        <s v="06"/>
        <s v="07"/>
        <s v="08"/>
        <s v="09"/>
      </sharedItems>
    </cacheField>
    <cacheField name="تاريخ" numFmtId="0">
      <sharedItems/>
    </cacheField>
    <cacheField name="تاریخ کامل" numFmtId="0">
      <sharedItems/>
    </cacheField>
    <cacheField name="تاريخ میلادی" numFmtId="164">
      <sharedItems containsSemiMixedTypes="0" containsNonDate="0" containsDate="1" containsString="0" minDate="2021-03-21T00:00:00" maxDate="2021-11-25T00:00:00" count="192">
        <d v="2021-03-21T00:00:00"/>
        <d v="2021-04-03T00:00:00"/>
        <d v="2021-04-04T00:00:00"/>
        <d v="2021-04-05T00:00:00"/>
        <d v="2021-04-06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7T00:00:00"/>
        <d v="2021-04-18T00:00:00"/>
        <d v="2021-04-19T00:00:00"/>
        <d v="2021-04-20T00:00:00"/>
        <d v="2021-04-21T00:00:00"/>
        <d v="2021-04-22T00:00:00"/>
        <d v="2021-04-24T00:00:00"/>
        <d v="2021-04-25T00:00:00"/>
        <d v="2021-04-26T00:00:00"/>
        <d v="2021-04-27T00:00:00"/>
        <d v="2021-04-28T00:00:00"/>
        <d v="2021-04-29T00:00:00"/>
        <d v="2021-05-01T00:00:00"/>
        <d v="2021-05-02T00:00:00"/>
        <d v="2021-05-03T00:00:00"/>
        <d v="2021-05-04T00:00:00"/>
        <d v="2021-05-05T00:00:00"/>
        <d v="2021-05-06T00:00:00"/>
        <d v="2021-05-08T00:00:00"/>
        <d v="2021-05-09T00:00:00"/>
        <d v="2021-05-10T00:00:00"/>
        <d v="2021-05-11T00:00:00"/>
        <d v="2021-05-12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9T00:00:00"/>
        <d v="2021-05-30T00:00:00"/>
        <d v="2021-05-31T00:00:00"/>
        <d v="2021-06-01T00:00:00"/>
        <d v="2021-06-02T00:00:00"/>
        <d v="2021-06-03T00:00:00"/>
        <d v="2021-06-07T00:00:00"/>
        <d v="2021-06-08T00:00:00"/>
        <d v="2021-06-09T00:00:00"/>
        <d v="2021-06-10T00:00:00"/>
        <d v="2021-06-12T00:00:00"/>
        <d v="2021-06-13T00:00:00"/>
        <d v="2021-06-14T00:00:00"/>
        <d v="2021-06-15T00:00:00"/>
        <d v="2021-06-16T00:00:00"/>
        <d v="2021-06-17T00:00:00"/>
        <d v="2021-06-19T00:00:00"/>
        <d v="2021-06-20T00:00:00"/>
        <d v="2021-06-21T00:00:00"/>
        <d v="2021-06-22T00:00:00"/>
        <d v="2021-06-23T00:00:00"/>
        <d v="2021-06-24T00:00:00"/>
        <d v="2021-06-26T00:00:00"/>
        <d v="2021-06-27T00:00:00"/>
        <d v="2021-06-28T00:00:00"/>
        <d v="2021-06-29T00:00:00"/>
        <d v="2021-06-30T00:00:00"/>
        <d v="2021-07-01T00:00:00"/>
        <d v="2021-07-03T00:00:00"/>
        <d v="2021-07-04T00:00:00"/>
        <d v="2021-07-05T00:00:00"/>
        <d v="2021-07-06T00:00:00"/>
        <d v="2021-07-07T00:00:00"/>
        <d v="2021-07-08T00:00:00"/>
        <d v="2021-07-10T00:00:00"/>
        <d v="2021-07-11T00:00:00"/>
        <d v="2021-07-12T00:00:00"/>
        <d v="2021-07-13T00:00:00"/>
        <d v="2021-07-14T00:00:00"/>
        <d v="2021-07-15T00:00:00"/>
        <d v="2021-07-17T00:00:00"/>
        <d v="2021-07-18T00:00:00"/>
        <d v="2021-07-19T00:00:00"/>
        <d v="2021-07-20T00:00:00"/>
        <d v="2021-07-22T00:00:00"/>
        <d v="2021-07-24T00:00:00"/>
        <d v="2021-07-25T00:00:00"/>
        <d v="2021-07-26T00:00:00"/>
        <d v="2021-07-27T00:00:00"/>
        <d v="2021-07-28T00:00:00"/>
        <d v="2021-07-31T00:00:00"/>
        <d v="2021-08-01T00:00:00"/>
        <d v="2021-08-02T00:00:00"/>
        <d v="2021-08-03T00:00:00"/>
        <d v="2021-08-04T00:00:00"/>
        <d v="2021-08-05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8-31T00:00:00"/>
        <d v="2021-09-01T00:00:00"/>
        <d v="2021-09-02T00:00:00"/>
        <d v="2021-09-04T00:00:00"/>
        <d v="2021-09-05T00:00:00"/>
        <d v="2021-09-06T00:00:00"/>
        <d v="2021-09-07T00:00:00"/>
        <d v="2021-09-08T00:00:00"/>
        <d v="2021-09-09T00:00:00"/>
        <d v="2021-09-11T00:00:00"/>
        <d v="2021-09-12T00:00:00"/>
        <d v="2021-09-13T00:00:00"/>
        <d v="2021-09-14T00:00:00"/>
        <d v="2021-09-15T00:00:00"/>
        <d v="2021-09-16T00:00:00"/>
        <d v="2021-09-18T00:00:00"/>
        <d v="2021-09-19T00:00:00"/>
        <d v="2021-09-20T00:00:00"/>
        <d v="2021-09-21T00:00:00"/>
        <d v="2021-09-22T00:00:00"/>
        <d v="2021-09-23T00:00:00"/>
        <d v="2021-09-25T00:00:00"/>
        <d v="2021-09-26T00:00:00"/>
        <d v="2021-09-28T00:00:00"/>
        <d v="2021-09-29T00:00:00"/>
        <d v="2021-09-30T00:00:00"/>
        <d v="2021-10-02T00:00:00"/>
        <d v="2021-10-03T00:00:00"/>
        <d v="2021-10-04T00:00:00"/>
        <d v="2021-10-06T00:00:00"/>
        <d v="2021-10-09T00:00:00"/>
        <d v="2021-10-10T00:00:00"/>
        <d v="2021-10-11T00:00:00"/>
        <d v="2021-10-12T00:00:00"/>
        <d v="2021-10-13T00:00:00"/>
        <d v="2021-10-14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5T00:00:00"/>
        <d v="2021-10-26T00:00:00"/>
        <d v="2021-10-27T00:00:00"/>
        <d v="2021-10-28T00:00:00"/>
        <d v="2021-10-30T00:00:00"/>
        <d v="2021-10-31T00:00:00"/>
        <d v="2021-11-01T00:00:00"/>
        <d v="2021-11-02T00:00:00"/>
        <d v="2021-11-03T00:00:00"/>
        <d v="2021-11-04T00:00:00"/>
        <d v="2021-11-06T00:00:00"/>
        <d v="2021-11-07T00:00:00"/>
        <d v="2021-11-08T00:00:00"/>
        <d v="2021-11-09T00:00:00"/>
        <d v="2021-11-10T00:00:00"/>
        <d v="2021-11-11T00:00:00"/>
        <d v="2021-11-13T00:00:00"/>
        <d v="2021-11-14T00:00:00"/>
        <d v="2021-11-15T00:00:00"/>
        <d v="2021-11-16T00:00:00"/>
        <d v="2021-11-17T00:00:00"/>
        <d v="2021-11-18T00:00:00"/>
        <d v="2021-11-20T00:00:00"/>
        <d v="2021-11-21T00:00:00"/>
        <d v="2021-11-22T00:00:00"/>
        <d v="2021-11-23T00:00:00"/>
        <d v="2021-11-24T00:00:00"/>
      </sharedItems>
      <fieldGroup par="21" base="4">
        <rangePr groupBy="days" startDate="2021-03-21T00:00:00" endDate="2021-11-25T00:00:00"/>
        <groupItems count="368">
          <s v="&lt;21/03/2021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5/11/2021"/>
        </groupItems>
      </fieldGroup>
    </cacheField>
    <cacheField name="کد ردیابی" numFmtId="0">
      <sharedItems containsSemiMixedTypes="0" containsString="0" containsNumber="1" containsInteger="1" minValue="10002" maxValue="79010"/>
    </cacheField>
    <cacheField name="نام مشتری" numFmtId="3">
      <sharedItems count="130">
        <s v="رضا احمدآبادی "/>
        <s v="تولیدی شیر سازی غریب پویا "/>
        <s v="تولیدی صنعتی صفاشیر پارس"/>
        <s v="حسن منصفی راد"/>
        <s v="سلیمان قاسمی"/>
        <s v="کیان صنعت"/>
        <s v=" تراشکاری ایلخانی "/>
        <s v="تکنو تراش یادگار "/>
        <s v="احمدی مهدی "/>
        <s v="احمد سنجری "/>
        <s v="فردی مجتبی"/>
        <s v="ایران شرق نیشابور"/>
        <s v="پارت الکتریک "/>
        <s v="توان جم "/>
        <s v="آبکامه"/>
        <s v="آریا صنعت"/>
        <s v="گاز خودرو صنعت "/>
        <s v="جعفر هوشمند "/>
        <s v="مهارمشعل"/>
        <s v="شرکت صنعتی پیش آهنگ"/>
        <s v="مصدقی "/>
        <s v="محمد عباسی "/>
        <s v="شرکت آوند امیرآب"/>
        <s v="آلیاژ گستر نقش جهان "/>
        <s v="محمد نمازی"/>
        <s v="تکادو صنعت "/>
        <s v="علی شهریاری"/>
        <s v="شرکت بتا "/>
        <s v="فرید لواسانی  "/>
        <s v="شرکت سیتکو"/>
        <s v="شرکت صنایع گاز ایران "/>
        <s v="مهدی یوسفی  "/>
        <s v="سامفر "/>
        <s v="عبدالله یادگار "/>
        <s v="منیرصنعت"/>
        <s v="خسروآبادی مهدی"/>
        <s v="تراش پارس "/>
        <s v="سیدحمید کاظمی "/>
        <s v="اتحاد "/>
        <s v="شرکت کیزایران"/>
        <s v="فرزاد اسماعیل زاده"/>
        <s v="کلون"/>
        <s v="راک جاه  "/>
        <s v="پایپکس"/>
        <s v="حسین محمودی  "/>
        <s v="نیران شیر "/>
        <s v="محمدی علی"/>
        <s v="تولیدی صنعتی صالح"/>
        <s v="شیرگاز لاله"/>
        <s v="بهزاد چرخیان "/>
        <s v="حمید قشقائی "/>
        <s v="حسام کریمان  "/>
        <s v="شیر آلات نوین "/>
        <s v="حمیدرضا شفیعی "/>
        <s v="صنایع یکتا تهویه اروند "/>
        <s v="شیرآلات بهداشتی شایان "/>
        <s v="شیرآلات ماعون"/>
        <s v="شرکت آتا بای تبریز"/>
        <s v="شرکت توتی"/>
        <s v="پارس قفل "/>
        <s v="شیرآلات مهرآرا"/>
        <s v="مس دمیرتبریز"/>
        <s v="پیک افروز "/>
        <s v="پارس شیر "/>
        <s v="شرکت آذرپاد"/>
        <s v="شهاب گاز سوز "/>
        <s v="شرکت ایمن تک پیشرو"/>
        <s v="شیرآلات بهداشتی راسان "/>
        <s v="جواد عرب "/>
        <s v="شرکت قاره سبز"/>
        <s v="شرکت الماس آریا"/>
        <s v="ابوالقاسم اصغری "/>
        <s v="مصطفی نورعلی "/>
        <s v="پارت سازان شرق "/>
        <s v="شرکت الیکا صنعت"/>
        <s v="کلار پویا "/>
        <s v="بهزادی فر اصغر"/>
        <s v="شیر آلات بهداشتی قهرمان "/>
        <s v="رضا شریعتی"/>
        <s v="اصغر نورعلی"/>
        <s v="مریم فیض آبادی  "/>
        <s v="محسن فیاض بخش "/>
        <s v="رضا صالحی "/>
        <s v="البرز یدک "/>
        <s v="دنیای هنر "/>
        <s v="قوی ساز نیرو"/>
        <s v="عمارت"/>
        <s v="علی خدمتکار "/>
        <s v="محمدرضا شمسایی "/>
        <s v="شرکت به تراش"/>
        <s v="حسینی حسن"/>
        <s v="پارسیان تراش صنعت "/>
        <s v="تولیدی و صنعتی تهرانچیان"/>
        <s v="ادهم مس تبریز"/>
        <s v="شیرآلات اترس "/>
        <s v="کوهی "/>
        <s v="اتومات ابزار"/>
        <s v="چپر ایلخانی "/>
        <s v="تکنو کار "/>
        <s v="شیر گاز آذران"/>
        <s v="سیف الله اکبری"/>
        <s v="شرکت آفتابگردان"/>
        <s v="سارا گاز"/>
        <s v="کریم اسمعیلی "/>
        <s v="عماد هاشمی "/>
        <s v="محمدی مسعود"/>
        <s v="شرکت لنگرمرواریدسبز"/>
        <s v="سری تراشی طاهری"/>
        <s v="شرکت هوم کو (هوشمند مبین کوشا)"/>
        <s v="رویا اصلانی "/>
        <s v="پارا صنعت "/>
        <s v="ایران طلق"/>
        <s v="بهرام چرخیان"/>
        <s v="محمدی منصور"/>
        <s v="ایران گرما"/>
        <s v="شرکت جام جم"/>
        <s v="رحیم فتوت "/>
        <s v="موسوی اصفهان "/>
        <s v="مهدوی علیرضا"/>
        <s v="قورچیان مینا"/>
        <s v="امامی "/>
        <s v="گسترش ارتباطات بهداد "/>
        <s v="مهدی آهاری"/>
        <s v="قدرت اله اورنگی"/>
        <s v="ابزار صنعت میلاد"/>
        <s v="شرکت بهین تولید"/>
        <s v="شرکت فردوس"/>
        <s v="حسین ریاحی"/>
        <s v="ایران پالاد"/>
        <s v="یراق گستر شبکه "/>
      </sharedItems>
    </cacheField>
    <cacheField name="مقدار (کیلوگرم)" numFmtId="0">
      <sharedItems containsSemiMixedTypes="0" containsString="0" containsNumber="1" minValue="-34877.5" maxValue="100000"/>
    </cacheField>
    <cacheField name="مقدار تسویه شده (کیلوگرم)" numFmtId="4">
      <sharedItems containsSemiMixedTypes="0" containsString="0" containsNumber="1" minValue="-34877.5" maxValue="100000"/>
    </cacheField>
    <cacheField name="بستانکار (کیلوگرم)" numFmtId="4">
      <sharedItems containsSemiMixedTypes="0" containsString="0" containsNumber="1" minValue="0" maxValue="100000"/>
    </cacheField>
    <cacheField name="بدهکار (کیلوگرم)" numFmtId="4">
      <sharedItems containsSemiMixedTypes="0" containsString="0" containsNumber="1" minValue="0" maxValue="34877.5"/>
    </cacheField>
    <cacheField name="تفکیک" numFmtId="4">
      <sharedItems containsSemiMixedTypes="0" containsString="0" containsNumber="1" containsInteger="1" minValue="0" maxValue="16712"/>
    </cacheField>
    <cacheField name="سفارش ارسال شده (کیلوگرم)" numFmtId="4">
      <sharedItems containsSemiMixedTypes="0" containsString="0" containsNumber="1" containsInteger="1" minValue="0" maxValue="20000"/>
    </cacheField>
    <cacheField name="بدهی تسویه شده (کیلوگرم)" numFmtId="4">
      <sharedItems containsSemiMixedTypes="0" containsString="0" containsNumber="1" minValue="0" maxValue="34877.5"/>
    </cacheField>
    <cacheField name="بدهی تسویه نشده (کیلوگرم)" numFmtId="4">
      <sharedItems containsSemiMixedTypes="0" containsString="0" containsNumber="1" containsInteger="1" minValue="0" maxValue="16712"/>
    </cacheField>
    <cacheField name="بدهی سررسید شده (کیلوگرم)" numFmtId="4">
      <sharedItems containsSemiMixedTypes="0" containsString="0" containsNumber="1" containsInteger="1" minValue="0" maxValue="13129"/>
    </cacheField>
    <cacheField name="روز از ارسال سفارش" numFmtId="4">
      <sharedItems containsSemiMixedTypes="0" containsString="0" containsNumber="1" minValue="0" maxValue="25.435983564813796"/>
    </cacheField>
    <cacheField name="تاخیر از سررسید" numFmtId="4">
      <sharedItems containsSemiMixedTypes="0" containsString="0" containsNumber="1" minValue="-11.564016435186204" maxValue="10.435983564813796"/>
    </cacheField>
    <cacheField name="تسویه نشده × روز از ارسال" numFmtId="4">
      <sharedItems containsSemiMixedTypes="0" containsString="0" containsNumber="1" minValue="0" maxValue="333949.02822244033"/>
    </cacheField>
    <cacheField name="سررسید شده × روز از ارسال" numFmtId="4">
      <sharedItems containsSemiMixedTypes="0" containsString="0" containsNumber="1" minValue="0" maxValue="333949.02822244033"/>
    </cacheField>
    <cacheField name="مانده در خط کل (کیلوگرم)" numFmtId="4">
      <sharedItems containsSemiMixedTypes="0" containsString="0" containsNumber="1" containsInteger="1" minValue="-15153" maxValue="122596"/>
    </cacheField>
    <cacheField name="Months" numFmtId="0" databaseField="0">
      <fieldGroup base="4">
        <rangePr groupBy="months" startDate="2021-03-21T00:00:00" endDate="2021-11-25T00:00:00"/>
        <groupItems count="14">
          <s v="&lt;21/03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5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69">
  <r>
    <n v="0"/>
    <x v="0"/>
    <s v="00/01/01"/>
    <s v="1400/01/01"/>
    <x v="0"/>
    <n v="10065"/>
    <x v="0"/>
    <n v="127"/>
    <n v="127"/>
    <n v="127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8"/>
    <x v="1"/>
    <n v="-245"/>
    <n v="-245"/>
    <n v="0"/>
    <n v="245"/>
    <n v="0"/>
    <n v="0"/>
    <n v="245"/>
    <n v="0"/>
    <n v="0"/>
    <n v="0"/>
    <n v="0"/>
    <n v="0"/>
    <n v="0"/>
    <n v="0"/>
  </r>
  <r>
    <n v="0"/>
    <x v="0"/>
    <s v="00/01/01"/>
    <s v="1400/01/01"/>
    <x v="0"/>
    <n v="30004"/>
    <x v="2"/>
    <n v="157"/>
    <n v="157"/>
    <n v="157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30"/>
    <x v="3"/>
    <n v="-222"/>
    <n v="-222"/>
    <n v="0"/>
    <n v="222"/>
    <n v="0"/>
    <n v="0"/>
    <n v="222"/>
    <n v="0"/>
    <n v="0"/>
    <n v="0"/>
    <n v="0"/>
    <n v="0"/>
    <n v="0"/>
    <n v="0"/>
  </r>
  <r>
    <n v="0"/>
    <x v="0"/>
    <s v="00/01/01"/>
    <s v="1400/01/01"/>
    <x v="0"/>
    <n v="10046"/>
    <x v="4"/>
    <n v="118"/>
    <n v="118"/>
    <n v="11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60"/>
    <x v="5"/>
    <n v="-204"/>
    <n v="-204"/>
    <n v="0"/>
    <n v="204"/>
    <n v="0"/>
    <n v="0"/>
    <n v="204"/>
    <n v="0"/>
    <n v="0"/>
    <n v="0"/>
    <n v="0"/>
    <n v="0"/>
    <n v="0"/>
    <n v="0"/>
  </r>
  <r>
    <n v="0"/>
    <x v="0"/>
    <s v="00/01/01"/>
    <s v="1400/01/01"/>
    <x v="0"/>
    <n v="30069"/>
    <x v="6"/>
    <n v="66"/>
    <n v="66"/>
    <n v="6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70"/>
    <x v="7"/>
    <n v="-341"/>
    <n v="-341"/>
    <n v="0"/>
    <n v="341"/>
    <n v="0"/>
    <n v="0"/>
    <n v="341"/>
    <n v="0"/>
    <n v="0"/>
    <n v="0"/>
    <n v="0"/>
    <n v="0"/>
    <n v="0"/>
    <n v="0"/>
  </r>
  <r>
    <n v="0"/>
    <x v="0"/>
    <s v="00/01/01"/>
    <s v="1400/01/01"/>
    <x v="0"/>
    <n v="10092"/>
    <x v="8"/>
    <n v="90"/>
    <n v="90"/>
    <n v="90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28"/>
    <x v="9"/>
    <n v="-398"/>
    <n v="-398"/>
    <n v="0"/>
    <n v="398"/>
    <n v="0"/>
    <n v="0"/>
    <n v="398"/>
    <n v="0"/>
    <n v="0"/>
    <n v="0"/>
    <n v="0"/>
    <n v="0"/>
    <n v="0"/>
    <n v="0"/>
  </r>
  <r>
    <n v="0"/>
    <x v="0"/>
    <s v="00/01/01"/>
    <s v="1400/01/01"/>
    <x v="0"/>
    <n v="10109"/>
    <x v="10"/>
    <n v="289"/>
    <n v="289"/>
    <n v="289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99"/>
    <x v="11"/>
    <n v="-394"/>
    <n v="-394"/>
    <n v="0"/>
    <n v="394"/>
    <n v="0"/>
    <n v="0"/>
    <n v="394"/>
    <n v="0"/>
    <n v="0"/>
    <n v="0"/>
    <n v="0"/>
    <n v="0"/>
    <n v="0"/>
    <n v="0"/>
  </r>
  <r>
    <n v="0"/>
    <x v="0"/>
    <s v="00/01/01"/>
    <s v="1400/01/01"/>
    <x v="0"/>
    <n v="30164"/>
    <x v="12"/>
    <n v="363"/>
    <n v="363"/>
    <n v="36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06"/>
    <x v="13"/>
    <n v="-346"/>
    <n v="-346"/>
    <n v="0"/>
    <n v="346"/>
    <n v="0"/>
    <n v="0"/>
    <n v="346"/>
    <n v="0"/>
    <n v="0"/>
    <n v="0"/>
    <n v="0"/>
    <n v="0"/>
    <n v="0"/>
    <n v="0"/>
  </r>
  <r>
    <n v="0"/>
    <x v="0"/>
    <s v="00/01/01"/>
    <s v="1400/01/01"/>
    <x v="0"/>
    <n v="30026"/>
    <x v="14"/>
    <n v="210"/>
    <n v="210"/>
    <n v="210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79"/>
    <x v="15"/>
    <n v="-85"/>
    <n v="-85"/>
    <n v="0"/>
    <n v="85"/>
    <n v="0"/>
    <n v="0"/>
    <n v="85"/>
    <n v="0"/>
    <n v="0"/>
    <n v="0"/>
    <n v="0"/>
    <n v="0"/>
    <n v="0"/>
    <n v="0"/>
  </r>
  <r>
    <n v="0"/>
    <x v="0"/>
    <s v="00/01/01"/>
    <s v="1400/01/01"/>
    <x v="0"/>
    <n v="30032"/>
    <x v="16"/>
    <n v="178"/>
    <n v="178"/>
    <n v="17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50011"/>
    <x v="17"/>
    <n v="-84"/>
    <n v="-84"/>
    <n v="0"/>
    <n v="84"/>
    <n v="0"/>
    <n v="0"/>
    <n v="84"/>
    <n v="0"/>
    <n v="0"/>
    <n v="0"/>
    <n v="0"/>
    <n v="0"/>
    <n v="0"/>
    <n v="0"/>
  </r>
  <r>
    <n v="0"/>
    <x v="0"/>
    <s v="00/01/01"/>
    <s v="1400/01/01"/>
    <x v="0"/>
    <n v="30113"/>
    <x v="18"/>
    <n v="206"/>
    <n v="206"/>
    <n v="20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97"/>
    <x v="19"/>
    <n v="-82"/>
    <n v="-82"/>
    <n v="0"/>
    <n v="82"/>
    <n v="0"/>
    <n v="0"/>
    <n v="82"/>
    <n v="0"/>
    <n v="0"/>
    <n v="0"/>
    <n v="0"/>
    <n v="0"/>
    <n v="0"/>
    <n v="0"/>
  </r>
  <r>
    <n v="0"/>
    <x v="0"/>
    <s v="00/01/01"/>
    <s v="1400/01/01"/>
    <x v="0"/>
    <n v="10015"/>
    <x v="20"/>
    <n v="12"/>
    <n v="12"/>
    <n v="1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04"/>
    <x v="21"/>
    <n v="-94"/>
    <n v="-94"/>
    <n v="0"/>
    <n v="94"/>
    <n v="0"/>
    <n v="0"/>
    <n v="94"/>
    <n v="0"/>
    <n v="0"/>
    <n v="0"/>
    <n v="0"/>
    <n v="0"/>
    <n v="0"/>
    <n v="0"/>
  </r>
  <r>
    <n v="0"/>
    <x v="0"/>
    <s v="00/01/01"/>
    <s v="1400/01/01"/>
    <x v="0"/>
    <n v="30142"/>
    <x v="22"/>
    <n v="13"/>
    <n v="13"/>
    <n v="1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56"/>
    <x v="23"/>
    <n v="-187"/>
    <n v="-187"/>
    <n v="0"/>
    <n v="187"/>
    <n v="0"/>
    <n v="0"/>
    <n v="187"/>
    <n v="0"/>
    <n v="0"/>
    <n v="0"/>
    <n v="0"/>
    <n v="0"/>
    <n v="0"/>
    <n v="0"/>
  </r>
  <r>
    <n v="0"/>
    <x v="0"/>
    <s v="00/01/01"/>
    <s v="1400/01/01"/>
    <x v="0"/>
    <n v="10009"/>
    <x v="24"/>
    <n v="11"/>
    <n v="11"/>
    <n v="11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25"/>
    <x v="25"/>
    <n v="-165"/>
    <n v="-165"/>
    <n v="0"/>
    <n v="165"/>
    <n v="0"/>
    <n v="0"/>
    <n v="165"/>
    <n v="0"/>
    <n v="0"/>
    <n v="0"/>
    <n v="0"/>
    <n v="0"/>
    <n v="0"/>
    <n v="0"/>
  </r>
  <r>
    <n v="0"/>
    <x v="0"/>
    <s v="00/01/01"/>
    <s v="1400/01/01"/>
    <x v="0"/>
    <n v="10023"/>
    <x v="26"/>
    <n v="6"/>
    <n v="6"/>
    <n v="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79010"/>
    <x v="27"/>
    <n v="-110"/>
    <n v="-110"/>
    <n v="0"/>
    <n v="110"/>
    <n v="0"/>
    <n v="0"/>
    <n v="110"/>
    <n v="0"/>
    <n v="0"/>
    <n v="0"/>
    <n v="0"/>
    <n v="0"/>
    <n v="0"/>
    <n v="0"/>
  </r>
  <r>
    <n v="0"/>
    <x v="0"/>
    <s v="00/01/01"/>
    <s v="1400/01/01"/>
    <x v="0"/>
    <n v="10010"/>
    <x v="28"/>
    <n v="8"/>
    <n v="8"/>
    <n v="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40"/>
    <x v="29"/>
    <n v="-575"/>
    <n v="-575"/>
    <n v="0"/>
    <n v="575"/>
    <n v="0"/>
    <n v="0"/>
    <n v="575"/>
    <n v="0"/>
    <n v="0"/>
    <n v="0"/>
    <n v="0"/>
    <n v="0"/>
    <n v="0"/>
    <n v="0"/>
  </r>
  <r>
    <n v="0"/>
    <x v="0"/>
    <s v="00/01/01"/>
    <s v="1400/01/01"/>
    <x v="0"/>
    <n v="30001"/>
    <x v="30"/>
    <n v="38"/>
    <n v="38"/>
    <n v="3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50016"/>
    <x v="31"/>
    <n v="-939"/>
    <n v="-939"/>
    <n v="0"/>
    <n v="939"/>
    <n v="0"/>
    <n v="0"/>
    <n v="939"/>
    <n v="0"/>
    <n v="0"/>
    <n v="0"/>
    <n v="0"/>
    <n v="0"/>
    <n v="0"/>
    <n v="0"/>
  </r>
  <r>
    <n v="0"/>
    <x v="0"/>
    <s v="00/01/01"/>
    <s v="1400/01/01"/>
    <x v="0"/>
    <n v="30005"/>
    <x v="32"/>
    <n v="61"/>
    <n v="61"/>
    <n v="61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57"/>
    <x v="33"/>
    <n v="-919"/>
    <n v="-919"/>
    <n v="0"/>
    <n v="919"/>
    <n v="0"/>
    <n v="0"/>
    <n v="919"/>
    <n v="0"/>
    <n v="0"/>
    <n v="0"/>
    <n v="0"/>
    <n v="0"/>
    <n v="0"/>
    <n v="0"/>
  </r>
  <r>
    <n v="0"/>
    <x v="0"/>
    <s v="00/01/01"/>
    <s v="1400/01/01"/>
    <x v="0"/>
    <n v="30112"/>
    <x v="34"/>
    <n v="36"/>
    <n v="36"/>
    <n v="3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89"/>
    <x v="35"/>
    <n v="-771"/>
    <n v="-771"/>
    <n v="0"/>
    <n v="771"/>
    <n v="0"/>
    <n v="0"/>
    <n v="771"/>
    <n v="0"/>
    <n v="0"/>
    <n v="0"/>
    <n v="0"/>
    <n v="0"/>
    <n v="0"/>
    <n v="0"/>
  </r>
  <r>
    <n v="0"/>
    <x v="0"/>
    <s v="00/01/01"/>
    <s v="1400/01/01"/>
    <x v="0"/>
    <n v="30030"/>
    <x v="36"/>
    <n v="27"/>
    <n v="27"/>
    <n v="27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84"/>
    <x v="37"/>
    <n v="-1093"/>
    <n v="-1093"/>
    <n v="0"/>
    <n v="1093"/>
    <n v="0"/>
    <n v="0"/>
    <n v="1093"/>
    <n v="0"/>
    <n v="0"/>
    <n v="0"/>
    <n v="0"/>
    <n v="0"/>
    <n v="0"/>
    <n v="0"/>
  </r>
  <r>
    <n v="0"/>
    <x v="0"/>
    <s v="00/01/01"/>
    <s v="1400/01/01"/>
    <x v="0"/>
    <n v="30065"/>
    <x v="38"/>
    <n v="33"/>
    <n v="33"/>
    <n v="3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16"/>
    <x v="39"/>
    <n v="-1563"/>
    <n v="-1563"/>
    <n v="0"/>
    <n v="1563"/>
    <n v="0"/>
    <n v="0"/>
    <n v="1563"/>
    <n v="0"/>
    <n v="0"/>
    <n v="0"/>
    <n v="0"/>
    <n v="0"/>
    <n v="0"/>
    <n v="0"/>
  </r>
  <r>
    <n v="0"/>
    <x v="0"/>
    <s v="00/01/01"/>
    <s v="1400/01/01"/>
    <x v="0"/>
    <n v="10020"/>
    <x v="40"/>
    <n v="649"/>
    <n v="649"/>
    <n v="649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4"/>
    <x v="41"/>
    <n v="-1348"/>
    <n v="-1348"/>
    <n v="0"/>
    <n v="1348"/>
    <n v="0"/>
    <n v="0"/>
    <n v="1348"/>
    <n v="0"/>
    <n v="0"/>
    <n v="0"/>
    <n v="0"/>
    <n v="0"/>
    <n v="0"/>
    <n v="0"/>
  </r>
  <r>
    <n v="0"/>
    <x v="0"/>
    <s v="00/01/01"/>
    <s v="1400/01/01"/>
    <x v="0"/>
    <n v="30071"/>
    <x v="42"/>
    <n v="3"/>
    <n v="3"/>
    <n v="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64"/>
    <x v="43"/>
    <n v="-1199"/>
    <n v="-1199"/>
    <n v="0"/>
    <n v="1199"/>
    <n v="0"/>
    <n v="0"/>
    <n v="1199"/>
    <n v="0"/>
    <n v="0"/>
    <n v="0"/>
    <n v="0"/>
    <n v="0"/>
    <n v="0"/>
    <n v="0"/>
  </r>
  <r>
    <n v="0"/>
    <x v="0"/>
    <s v="00/01/01"/>
    <s v="1400/01/01"/>
    <x v="0"/>
    <n v="10042"/>
    <x v="44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47"/>
    <x v="45"/>
    <n v="-630"/>
    <n v="-630"/>
    <n v="0"/>
    <n v="630"/>
    <n v="0"/>
    <n v="0"/>
    <n v="630"/>
    <n v="0"/>
    <n v="0"/>
    <n v="0"/>
    <n v="0"/>
    <n v="0"/>
    <n v="0"/>
    <n v="0"/>
  </r>
  <r>
    <n v="0"/>
    <x v="0"/>
    <s v="00/01/01"/>
    <s v="1400/01/01"/>
    <x v="0"/>
    <n v="10039"/>
    <x v="46"/>
    <n v="4"/>
    <n v="4"/>
    <n v="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72"/>
    <x v="47"/>
    <n v="-593"/>
    <n v="-593"/>
    <n v="0"/>
    <n v="593"/>
    <n v="0"/>
    <n v="0"/>
    <n v="593"/>
    <n v="0"/>
    <n v="0"/>
    <n v="0"/>
    <n v="0"/>
    <n v="0"/>
    <n v="0"/>
    <n v="0"/>
  </r>
  <r>
    <n v="0"/>
    <x v="0"/>
    <s v="00/01/01"/>
    <s v="1400/01/01"/>
    <x v="0"/>
    <n v="30020"/>
    <x v="48"/>
    <n v="4"/>
    <n v="4"/>
    <n v="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08"/>
    <x v="49"/>
    <n v="-578"/>
    <n v="-578"/>
    <n v="0"/>
    <n v="578"/>
    <n v="0"/>
    <n v="0"/>
    <n v="578"/>
    <n v="0"/>
    <n v="0"/>
    <n v="0"/>
    <n v="0"/>
    <n v="0"/>
    <n v="0"/>
    <n v="0"/>
  </r>
  <r>
    <n v="0"/>
    <x v="0"/>
    <s v="00/01/01"/>
    <s v="1400/01/01"/>
    <x v="0"/>
    <n v="10066"/>
    <x v="50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48"/>
    <x v="51"/>
    <n v="-684"/>
    <n v="-684"/>
    <n v="0"/>
    <n v="684"/>
    <n v="0"/>
    <n v="0"/>
    <n v="684"/>
    <n v="0"/>
    <n v="0"/>
    <n v="0"/>
    <n v="0"/>
    <n v="0"/>
    <n v="0"/>
    <n v="0"/>
  </r>
  <r>
    <n v="0"/>
    <x v="0"/>
    <s v="00/01/01"/>
    <s v="1400/01/01"/>
    <x v="0"/>
    <n v="30062"/>
    <x v="52"/>
    <n v="1"/>
    <n v="1"/>
    <n v="1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70"/>
    <x v="53"/>
    <n v="-770"/>
    <n v="-770"/>
    <n v="0"/>
    <n v="770"/>
    <n v="0"/>
    <n v="0"/>
    <n v="770"/>
    <n v="0"/>
    <n v="0"/>
    <n v="0"/>
    <n v="0"/>
    <n v="0"/>
    <n v="0"/>
    <n v="0"/>
  </r>
  <r>
    <n v="0"/>
    <x v="0"/>
    <s v="00/01/01"/>
    <s v="1400/01/01"/>
    <x v="0"/>
    <n v="30010"/>
    <x v="54"/>
    <n v="8"/>
    <n v="8"/>
    <n v="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5"/>
    <x v="55"/>
    <n v="-730"/>
    <n v="-730"/>
    <n v="0"/>
    <n v="730"/>
    <n v="0"/>
    <n v="0"/>
    <n v="730"/>
    <n v="0"/>
    <n v="0"/>
    <n v="0"/>
    <n v="0"/>
    <n v="0"/>
    <n v="0"/>
    <n v="0"/>
  </r>
  <r>
    <n v="0"/>
    <x v="0"/>
    <s v="00/01/01"/>
    <s v="1400/01/01"/>
    <x v="0"/>
    <n v="30044"/>
    <x v="56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33"/>
    <x v="57"/>
    <n v="-529"/>
    <n v="-529"/>
    <n v="0"/>
    <n v="529"/>
    <n v="0"/>
    <n v="0"/>
    <n v="529"/>
    <n v="0"/>
    <n v="0"/>
    <n v="0"/>
    <n v="0"/>
    <n v="0"/>
    <n v="0"/>
    <n v="0"/>
  </r>
  <r>
    <n v="0"/>
    <x v="0"/>
    <s v="00/01/01"/>
    <s v="1400/01/01"/>
    <x v="0"/>
    <n v="30138"/>
    <x v="58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2"/>
    <x v="59"/>
    <n v="-73"/>
    <n v="-73"/>
    <n v="0"/>
    <n v="73"/>
    <n v="0"/>
    <n v="0"/>
    <n v="73"/>
    <n v="0"/>
    <n v="0"/>
    <n v="0"/>
    <n v="0"/>
    <n v="0"/>
    <n v="0"/>
    <n v="0"/>
  </r>
  <r>
    <n v="0"/>
    <x v="0"/>
    <s v="00/01/01"/>
    <s v="1400/01/01"/>
    <x v="0"/>
    <n v="30174"/>
    <x v="60"/>
    <n v="5"/>
    <n v="5"/>
    <n v="5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04"/>
    <x v="61"/>
    <n v="-2185"/>
    <n v="-2185"/>
    <n v="0"/>
    <n v="2185"/>
    <n v="0"/>
    <n v="0"/>
    <n v="2185"/>
    <n v="0"/>
    <n v="0"/>
    <n v="0"/>
    <n v="0"/>
    <n v="0"/>
    <n v="0"/>
    <n v="0"/>
  </r>
  <r>
    <n v="0"/>
    <x v="0"/>
    <s v="00/01/01"/>
    <s v="1400/01/01"/>
    <x v="0"/>
    <n v="30034"/>
    <x v="62"/>
    <n v="1554"/>
    <n v="1554"/>
    <n v="155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58"/>
    <x v="63"/>
    <n v="-3783"/>
    <n v="-3783"/>
    <n v="0"/>
    <n v="3783"/>
    <n v="0"/>
    <n v="0"/>
    <n v="3783"/>
    <n v="0"/>
    <n v="0"/>
    <n v="0"/>
    <n v="0"/>
    <n v="0"/>
    <n v="0"/>
    <n v="0"/>
  </r>
  <r>
    <n v="0"/>
    <x v="0"/>
    <s v="00/01/01"/>
    <s v="1400/01/01"/>
    <x v="0"/>
    <n v="30146"/>
    <x v="64"/>
    <n v="2729"/>
    <n v="2729"/>
    <n v="2729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03"/>
    <x v="65"/>
    <n v="-4322"/>
    <n v="-4322"/>
    <n v="0"/>
    <n v="4322"/>
    <n v="0"/>
    <n v="0"/>
    <n v="4322"/>
    <n v="0"/>
    <n v="0"/>
    <n v="0"/>
    <n v="0"/>
    <n v="0"/>
    <n v="0"/>
    <n v="0"/>
  </r>
  <r>
    <n v="0"/>
    <x v="0"/>
    <s v="00/01/01"/>
    <s v="1400/01/01"/>
    <x v="0"/>
    <n v="30009"/>
    <x v="66"/>
    <n v="1214"/>
    <n v="1214"/>
    <n v="121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81"/>
    <x v="67"/>
    <n v="-1829"/>
    <n v="-1829"/>
    <n v="0"/>
    <n v="1829"/>
    <n v="0"/>
    <n v="0"/>
    <n v="1829"/>
    <n v="0"/>
    <n v="0"/>
    <n v="0"/>
    <n v="0"/>
    <n v="0"/>
    <n v="0"/>
    <n v="0"/>
  </r>
  <r>
    <n v="0"/>
    <x v="0"/>
    <s v="00/01/01"/>
    <s v="1400/01/01"/>
    <x v="0"/>
    <n v="10069"/>
    <x v="68"/>
    <n v="1553"/>
    <n v="1553"/>
    <n v="155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01"/>
    <x v="69"/>
    <n v="-3"/>
    <n v="-3"/>
    <n v="0"/>
    <n v="3"/>
    <n v="0"/>
    <n v="0"/>
    <n v="3"/>
    <n v="0"/>
    <n v="0"/>
    <n v="0"/>
    <n v="0"/>
    <n v="0"/>
    <n v="0"/>
    <n v="0"/>
  </r>
  <r>
    <n v="0"/>
    <x v="0"/>
    <s v="00/01/01"/>
    <s v="1400/01/01"/>
    <x v="0"/>
    <n v="30162"/>
    <x v="70"/>
    <n v="3984"/>
    <n v="3984"/>
    <n v="398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52"/>
    <x v="71"/>
    <n v="-2"/>
    <n v="-2"/>
    <n v="0"/>
    <n v="2"/>
    <n v="0"/>
    <n v="0"/>
    <n v="2"/>
    <n v="0"/>
    <n v="0"/>
    <n v="0"/>
    <n v="0"/>
    <n v="0"/>
    <n v="0"/>
    <n v="0"/>
  </r>
  <r>
    <n v="0"/>
    <x v="0"/>
    <s v="00/01/01"/>
    <s v="1400/01/01"/>
    <x v="0"/>
    <n v="10027"/>
    <x v="72"/>
    <n v="21303"/>
    <n v="21303"/>
    <n v="2130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31"/>
    <x v="73"/>
    <n v="-1"/>
    <n v="-1"/>
    <n v="0"/>
    <n v="1"/>
    <n v="0"/>
    <n v="0"/>
    <n v="1"/>
    <n v="0"/>
    <n v="0"/>
    <n v="0"/>
    <n v="0"/>
    <n v="0"/>
    <n v="0"/>
    <n v="0"/>
  </r>
  <r>
    <n v="0"/>
    <x v="0"/>
    <s v="00/01/01"/>
    <s v="1400/01/01"/>
    <x v="0"/>
    <n v="30167"/>
    <x v="74"/>
    <n v="6"/>
    <n v="6"/>
    <n v="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22"/>
    <x v="75"/>
    <n v="-10308"/>
    <n v="-10308"/>
    <n v="0"/>
    <n v="10308"/>
    <n v="0"/>
    <n v="0"/>
    <n v="10308"/>
    <n v="0"/>
    <n v="0"/>
    <n v="0"/>
    <n v="0"/>
    <n v="0"/>
    <n v="0"/>
    <n v="0"/>
  </r>
  <r>
    <n v="0"/>
    <x v="0"/>
    <s v="00/01/01"/>
    <s v="1400/01/01"/>
    <x v="0"/>
    <n v="10104"/>
    <x v="76"/>
    <n v="4850"/>
    <n v="4850"/>
    <n v="4850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66"/>
    <x v="77"/>
    <n v="-34877.5"/>
    <n v="-34877.5"/>
    <n v="0"/>
    <n v="34877.5"/>
    <n v="0"/>
    <n v="0"/>
    <n v="34877.5"/>
    <n v="0"/>
    <n v="0"/>
    <n v="0"/>
    <n v="0"/>
    <n v="0"/>
    <n v="0"/>
    <n v="0"/>
  </r>
  <r>
    <n v="0"/>
    <x v="0"/>
    <s v="00/01/01"/>
    <s v="1400/01/01"/>
    <x v="0"/>
    <n v="10029"/>
    <x v="78"/>
    <n v="14006"/>
    <n v="14006"/>
    <n v="1400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03"/>
    <x v="79"/>
    <n v="-18547"/>
    <n v="-18547"/>
    <n v="0"/>
    <n v="18547"/>
    <n v="0"/>
    <n v="0"/>
    <n v="18547"/>
    <n v="0"/>
    <n v="0"/>
    <n v="0"/>
    <n v="0"/>
    <n v="0"/>
    <n v="0"/>
    <n v="0"/>
  </r>
  <r>
    <n v="0"/>
    <x v="0"/>
    <s v="00/01/01"/>
    <s v="1400/01/01"/>
    <x v="0"/>
    <n v="10055"/>
    <x v="80"/>
    <n v="-8674"/>
    <n v="-8674"/>
    <n v="0"/>
    <n v="8674"/>
    <n v="0"/>
    <n v="0"/>
    <n v="8674"/>
    <n v="0"/>
    <n v="0"/>
    <n v="0"/>
    <n v="0"/>
    <n v="0"/>
    <n v="0"/>
    <n v="0"/>
  </r>
  <r>
    <n v="0"/>
    <x v="0"/>
    <s v="00/01/01"/>
    <s v="1400/01/01"/>
    <x v="0"/>
    <n v="10026"/>
    <x v="81"/>
    <n v="-4999"/>
    <n v="-4999"/>
    <n v="0"/>
    <n v="4999"/>
    <n v="0"/>
    <n v="0"/>
    <n v="4999"/>
    <n v="0"/>
    <n v="0"/>
    <n v="0"/>
    <n v="0"/>
    <n v="0"/>
    <n v="0"/>
    <n v="0"/>
  </r>
  <r>
    <n v="0"/>
    <x v="0"/>
    <s v="00/01/01"/>
    <s v="1400/01/01"/>
    <x v="0"/>
    <n v="50006"/>
    <x v="82"/>
    <n v="-7581"/>
    <n v="-7581"/>
    <n v="0"/>
    <n v="7581"/>
    <n v="0"/>
    <n v="0"/>
    <n v="7581"/>
    <n v="0"/>
    <n v="0"/>
    <n v="0"/>
    <n v="0"/>
    <n v="0"/>
    <n v="0"/>
    <n v="0"/>
  </r>
  <r>
    <n v="0"/>
    <x v="0"/>
    <s v="00/01/01"/>
    <s v="1400/01/01"/>
    <x v="0"/>
    <n v="30017"/>
    <x v="83"/>
    <n v="-8375"/>
    <n v="-8375"/>
    <n v="0"/>
    <n v="8375"/>
    <n v="0"/>
    <n v="0"/>
    <n v="8375"/>
    <n v="0"/>
    <n v="0"/>
    <n v="0"/>
    <n v="0"/>
    <n v="0"/>
    <n v="0"/>
    <n v="0"/>
  </r>
  <r>
    <n v="0"/>
    <x v="0"/>
    <s v="00/01/01"/>
    <s v="1400/01/01"/>
    <x v="0"/>
    <n v="30040"/>
    <x v="84"/>
    <n v="-24"/>
    <n v="-24"/>
    <n v="0"/>
    <n v="24"/>
    <n v="0"/>
    <n v="0"/>
    <n v="24"/>
    <n v="0"/>
    <n v="0"/>
    <n v="0"/>
    <n v="0"/>
    <n v="0"/>
    <n v="0"/>
    <n v="0"/>
  </r>
  <r>
    <n v="0"/>
    <x v="0"/>
    <s v="00/01/01"/>
    <s v="1400/01/01"/>
    <x v="0"/>
    <n v="30123"/>
    <x v="85"/>
    <n v="-20"/>
    <n v="-20"/>
    <n v="0"/>
    <n v="20"/>
    <n v="0"/>
    <n v="0"/>
    <n v="20"/>
    <n v="0"/>
    <n v="0"/>
    <n v="0"/>
    <n v="0"/>
    <n v="0"/>
    <n v="0"/>
    <n v="0"/>
  </r>
  <r>
    <n v="0"/>
    <x v="0"/>
    <s v="00/01/01"/>
    <s v="1400/01/01"/>
    <x v="0"/>
    <n v="30118"/>
    <x v="86"/>
    <n v="-20"/>
    <n v="-20"/>
    <n v="0"/>
    <n v="20"/>
    <n v="0"/>
    <n v="0"/>
    <n v="20"/>
    <n v="0"/>
    <n v="0"/>
    <n v="0"/>
    <n v="0"/>
    <n v="0"/>
    <n v="0"/>
    <n v="0"/>
  </r>
  <r>
    <n v="0"/>
    <x v="0"/>
    <s v="00/01/01"/>
    <s v="1400/01/01"/>
    <x v="0"/>
    <n v="10045"/>
    <x v="87"/>
    <n v="-30"/>
    <n v="-30"/>
    <n v="0"/>
    <n v="30"/>
    <n v="0"/>
    <n v="0"/>
    <n v="30"/>
    <n v="0"/>
    <n v="0"/>
    <n v="0"/>
    <n v="0"/>
    <n v="0"/>
    <n v="0"/>
    <n v="0"/>
  </r>
  <r>
    <n v="0"/>
    <x v="0"/>
    <s v="00/01/01"/>
    <s v="1400/01/01"/>
    <x v="0"/>
    <n v="10007"/>
    <x v="88"/>
    <n v="-52.5"/>
    <n v="-52.5"/>
    <n v="0"/>
    <n v="52.5"/>
    <n v="0"/>
    <n v="0"/>
    <n v="52.5"/>
    <n v="0"/>
    <n v="0"/>
    <n v="0"/>
    <n v="0"/>
    <n v="0"/>
    <n v="0"/>
    <n v="0"/>
  </r>
  <r>
    <n v="0"/>
    <x v="0"/>
    <s v="00/01/01"/>
    <s v="1400/01/01"/>
    <x v="0"/>
    <n v="30141"/>
    <x v="89"/>
    <n v="-42"/>
    <n v="-42"/>
    <n v="0"/>
    <n v="42"/>
    <n v="0"/>
    <n v="0"/>
    <n v="42"/>
    <n v="0"/>
    <n v="0"/>
    <n v="0"/>
    <n v="0"/>
    <n v="0"/>
    <n v="0"/>
    <n v="0"/>
  </r>
  <r>
    <n v="0"/>
    <x v="0"/>
    <s v="00/01/01"/>
    <s v="1400/01/01"/>
    <x v="0"/>
    <n v="10079"/>
    <x v="90"/>
    <n v="-30"/>
    <n v="-30"/>
    <n v="0"/>
    <n v="30"/>
    <n v="0"/>
    <n v="0"/>
    <n v="30"/>
    <n v="0"/>
    <n v="0"/>
    <n v="0"/>
    <n v="0"/>
    <n v="0"/>
    <n v="0"/>
    <n v="0"/>
  </r>
  <r>
    <n v="0"/>
    <x v="0"/>
    <s v="00/01/01"/>
    <s v="1400/01/01"/>
    <x v="0"/>
    <n v="30011"/>
    <x v="91"/>
    <n v="-5"/>
    <n v="-5"/>
    <n v="0"/>
    <n v="5"/>
    <n v="0"/>
    <n v="0"/>
    <n v="5"/>
    <n v="0"/>
    <n v="0"/>
    <n v="0"/>
    <n v="0"/>
    <n v="0"/>
    <n v="0"/>
    <n v="0"/>
  </r>
  <r>
    <n v="0"/>
    <x v="0"/>
    <s v="00/01/01"/>
    <s v="1400/01/01"/>
    <x v="0"/>
    <n v="30077"/>
    <x v="92"/>
    <n v="-4"/>
    <n v="-4"/>
    <n v="0"/>
    <n v="4"/>
    <n v="0"/>
    <n v="0"/>
    <n v="4"/>
    <n v="0"/>
    <n v="0"/>
    <n v="0"/>
    <n v="0"/>
    <n v="0"/>
    <n v="0"/>
    <n v="0"/>
  </r>
  <r>
    <n v="0"/>
    <x v="0"/>
    <s v="00/01/01"/>
    <s v="1400/01/01"/>
    <x v="0"/>
    <n v="30131"/>
    <x v="93"/>
    <n v="-3"/>
    <n v="-3"/>
    <n v="0"/>
    <n v="3"/>
    <n v="0"/>
    <n v="0"/>
    <n v="3"/>
    <n v="0"/>
    <n v="0"/>
    <n v="0"/>
    <n v="0"/>
    <n v="0"/>
    <n v="0"/>
    <n v="0"/>
  </r>
  <r>
    <n v="0"/>
    <x v="0"/>
    <s v="00/01/01"/>
    <s v="1400/01/01"/>
    <x v="0"/>
    <n v="30135"/>
    <x v="94"/>
    <n v="-5"/>
    <n v="-5"/>
    <n v="0"/>
    <n v="5"/>
    <n v="0"/>
    <n v="0"/>
    <n v="5"/>
    <n v="0"/>
    <n v="0"/>
    <n v="0"/>
    <n v="0"/>
    <n v="0"/>
    <n v="0"/>
    <n v="0"/>
  </r>
  <r>
    <n v="0"/>
    <x v="0"/>
    <s v="00/01/01"/>
    <s v="1400/01/01"/>
    <x v="0"/>
    <n v="10018"/>
    <x v="95"/>
    <n v="-16"/>
    <n v="-16"/>
    <n v="0"/>
    <n v="16"/>
    <n v="0"/>
    <n v="0"/>
    <n v="16"/>
    <n v="0"/>
    <n v="0"/>
    <n v="0"/>
    <n v="0"/>
    <n v="0"/>
    <n v="0"/>
    <n v="0"/>
  </r>
  <r>
    <n v="0"/>
    <x v="0"/>
    <s v="00/01/01"/>
    <s v="1400/01/01"/>
    <x v="0"/>
    <n v="30082"/>
    <x v="96"/>
    <n v="-16"/>
    <n v="-16"/>
    <n v="0"/>
    <n v="16"/>
    <n v="0"/>
    <n v="0"/>
    <n v="16"/>
    <n v="0"/>
    <n v="0"/>
    <n v="0"/>
    <n v="0"/>
    <n v="0"/>
    <n v="0"/>
    <n v="0"/>
  </r>
  <r>
    <n v="0"/>
    <x v="0"/>
    <s v="00/01/01"/>
    <s v="1400/01/01"/>
    <x v="0"/>
    <n v="10076"/>
    <x v="97"/>
    <n v="-13"/>
    <n v="-13"/>
    <n v="0"/>
    <n v="13"/>
    <n v="0"/>
    <n v="0"/>
    <n v="13"/>
    <n v="0"/>
    <n v="0"/>
    <n v="0"/>
    <n v="0"/>
    <n v="0"/>
    <n v="0"/>
    <n v="0"/>
  </r>
  <r>
    <n v="0"/>
    <x v="0"/>
    <s v="00/01/14"/>
    <s v="1400/01/14"/>
    <x v="1"/>
    <n v="10052"/>
    <x v="71"/>
    <n v="2"/>
    <n v="2"/>
    <n v="2"/>
    <n v="0"/>
    <n v="0"/>
    <n v="0"/>
    <n v="0"/>
    <n v="0"/>
    <n v="0"/>
    <n v="0"/>
    <n v="0"/>
    <n v="0"/>
    <n v="0"/>
    <n v="0"/>
  </r>
  <r>
    <n v="0"/>
    <x v="0"/>
    <s v="00/01/14"/>
    <s v="1400/01/14"/>
    <x v="1"/>
    <n v="30009"/>
    <x v="66"/>
    <n v="-2048"/>
    <n v="-2048"/>
    <n v="0"/>
    <n v="2048"/>
    <n v="0"/>
    <n v="2048"/>
    <n v="2048"/>
    <n v="0"/>
    <n v="0"/>
    <n v="0"/>
    <n v="0"/>
    <n v="0"/>
    <n v="0"/>
    <n v="0"/>
  </r>
  <r>
    <n v="0"/>
    <x v="0"/>
    <s v="00/01/15"/>
    <s v="1400/01/15"/>
    <x v="2"/>
    <n v="10057"/>
    <x v="33"/>
    <n v="466"/>
    <n v="466"/>
    <n v="466"/>
    <n v="0"/>
    <n v="0"/>
    <n v="0"/>
    <n v="0"/>
    <n v="0"/>
    <n v="0"/>
    <n v="0"/>
    <n v="0"/>
    <n v="0"/>
    <n v="0"/>
    <n v="0"/>
  </r>
  <r>
    <n v="0"/>
    <x v="0"/>
    <s v="00/01/15"/>
    <s v="1400/01/15"/>
    <x v="2"/>
    <n v="10057"/>
    <x v="33"/>
    <n v="-1776"/>
    <n v="-1776"/>
    <n v="0"/>
    <n v="1776"/>
    <n v="0"/>
    <n v="1776"/>
    <n v="1776"/>
    <n v="0"/>
    <n v="0"/>
    <n v="0"/>
    <n v="0"/>
    <n v="0"/>
    <n v="0"/>
    <n v="0"/>
  </r>
  <r>
    <n v="0"/>
    <x v="0"/>
    <s v="00/01/15"/>
    <s v="1400/01/15"/>
    <x v="2"/>
    <n v="10057"/>
    <x v="33"/>
    <n v="80"/>
    <n v="80"/>
    <n v="80"/>
    <n v="0"/>
    <n v="0"/>
    <n v="0"/>
    <n v="0"/>
    <n v="0"/>
    <n v="0"/>
    <n v="0"/>
    <n v="0"/>
    <n v="0"/>
    <n v="0"/>
    <n v="0"/>
  </r>
  <r>
    <n v="0"/>
    <x v="0"/>
    <s v="00/01/15"/>
    <s v="1400/01/15"/>
    <x v="2"/>
    <n v="10003"/>
    <x v="79"/>
    <n v="-2068"/>
    <n v="-2068"/>
    <n v="0"/>
    <n v="2068"/>
    <n v="0"/>
    <n v="2068"/>
    <n v="2068"/>
    <n v="0"/>
    <n v="0"/>
    <n v="0"/>
    <n v="0"/>
    <n v="0"/>
    <n v="0"/>
    <n v="0"/>
  </r>
  <r>
    <n v="0"/>
    <x v="0"/>
    <s v="00/01/16"/>
    <s v="1400/01/16"/>
    <x v="3"/>
    <n v="10003"/>
    <x v="79"/>
    <n v="1585"/>
    <n v="1585"/>
    <n v="1585"/>
    <n v="0"/>
    <n v="0"/>
    <n v="0"/>
    <n v="0"/>
    <n v="0"/>
    <n v="0"/>
    <n v="0"/>
    <n v="0"/>
    <n v="0"/>
    <n v="0"/>
    <n v="0"/>
  </r>
  <r>
    <n v="0"/>
    <x v="0"/>
    <s v="00/01/16"/>
    <s v="1400/01/16"/>
    <x v="3"/>
    <n v="30009"/>
    <x v="66"/>
    <n v="-2142"/>
    <n v="-2142"/>
    <n v="0"/>
    <n v="2142"/>
    <n v="0"/>
    <n v="2142"/>
    <n v="2142"/>
    <n v="0"/>
    <n v="0"/>
    <n v="0"/>
    <n v="0"/>
    <n v="0"/>
    <n v="0"/>
    <n v="0"/>
  </r>
  <r>
    <n v="0"/>
    <x v="0"/>
    <s v="00/01/16"/>
    <s v="1400/01/16"/>
    <x v="3"/>
    <n v="30066"/>
    <x v="77"/>
    <n v="3398"/>
    <n v="3398"/>
    <n v="3398"/>
    <n v="0"/>
    <n v="0"/>
    <n v="0"/>
    <n v="0"/>
    <n v="0"/>
    <n v="0"/>
    <n v="0"/>
    <n v="0"/>
    <n v="0"/>
    <n v="0"/>
    <n v="0"/>
  </r>
  <r>
    <n v="0"/>
    <x v="0"/>
    <s v="00/01/16"/>
    <s v="1400/01/16"/>
    <x v="3"/>
    <n v="30146"/>
    <x v="64"/>
    <n v="-3184"/>
    <n v="-3184"/>
    <n v="0"/>
    <n v="3184"/>
    <n v="0"/>
    <n v="3184"/>
    <n v="3184"/>
    <n v="0"/>
    <n v="0"/>
    <n v="0"/>
    <n v="0"/>
    <n v="0"/>
    <n v="0"/>
    <n v="0"/>
  </r>
  <r>
    <n v="0"/>
    <x v="0"/>
    <s v="00/01/16"/>
    <s v="1400/01/16"/>
    <x v="3"/>
    <n v="10003"/>
    <x v="79"/>
    <n v="-3552"/>
    <n v="-3552"/>
    <n v="0"/>
    <n v="3552"/>
    <n v="0"/>
    <n v="3552"/>
    <n v="3552"/>
    <n v="0"/>
    <n v="0"/>
    <n v="0"/>
    <n v="0"/>
    <n v="0"/>
    <n v="0"/>
    <n v="0"/>
  </r>
  <r>
    <n v="0"/>
    <x v="0"/>
    <s v="00/01/17"/>
    <s v="1400/01/17"/>
    <x v="4"/>
    <n v="30070"/>
    <x v="7"/>
    <n v="998"/>
    <n v="998"/>
    <n v="998"/>
    <n v="0"/>
    <n v="0"/>
    <n v="0"/>
    <n v="0"/>
    <n v="0"/>
    <n v="0"/>
    <n v="0"/>
    <n v="0"/>
    <n v="0"/>
    <n v="0"/>
    <n v="0"/>
  </r>
  <r>
    <n v="0"/>
    <x v="0"/>
    <s v="00/01/17"/>
    <s v="1400/01/17"/>
    <x v="4"/>
    <n v="30009"/>
    <x v="66"/>
    <n v="-2638"/>
    <n v="-2638"/>
    <n v="0"/>
    <n v="2638"/>
    <n v="0"/>
    <n v="2638"/>
    <n v="2638"/>
    <n v="0"/>
    <n v="0"/>
    <n v="0"/>
    <n v="0"/>
    <n v="0"/>
    <n v="0"/>
    <n v="0"/>
  </r>
  <r>
    <n v="0"/>
    <x v="0"/>
    <s v="00/01/17"/>
    <s v="1400/01/17"/>
    <x v="4"/>
    <n v="10026"/>
    <x v="81"/>
    <n v="2500"/>
    <n v="2500"/>
    <n v="2500"/>
    <n v="0"/>
    <n v="0"/>
    <n v="0"/>
    <n v="0"/>
    <n v="0"/>
    <n v="0"/>
    <n v="0"/>
    <n v="0"/>
    <n v="0"/>
    <n v="0"/>
    <n v="0"/>
  </r>
  <r>
    <n v="0"/>
    <x v="0"/>
    <s v="00/01/17"/>
    <s v="1400/01/17"/>
    <x v="4"/>
    <n v="30070"/>
    <x v="7"/>
    <n v="1152"/>
    <n v="1152"/>
    <n v="1152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30009"/>
    <x v="66"/>
    <n v="-99"/>
    <n v="-99"/>
    <n v="0"/>
    <n v="99"/>
    <n v="0"/>
    <n v="99"/>
    <n v="99"/>
    <n v="0"/>
    <n v="0"/>
    <n v="0"/>
    <n v="0"/>
    <n v="0"/>
    <n v="0"/>
    <n v="0"/>
  </r>
  <r>
    <n v="0"/>
    <x v="0"/>
    <s v="00/01/18"/>
    <s v="1400/01/18"/>
    <x v="5"/>
    <n v="10026"/>
    <x v="81"/>
    <n v="2500"/>
    <n v="2500"/>
    <n v="2500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27"/>
    <x v="72"/>
    <n v="-7248"/>
    <n v="-7248"/>
    <n v="0"/>
    <n v="7248"/>
    <n v="0"/>
    <n v="7248"/>
    <n v="7248"/>
    <n v="0"/>
    <n v="0"/>
    <n v="0"/>
    <n v="0"/>
    <n v="0"/>
    <n v="0"/>
    <n v="0"/>
  </r>
  <r>
    <n v="0"/>
    <x v="0"/>
    <s v="00/01/18"/>
    <s v="1400/01/18"/>
    <x v="5"/>
    <n v="10026"/>
    <x v="81"/>
    <n v="3212"/>
    <n v="3212"/>
    <n v="3212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69"/>
    <x v="68"/>
    <n v="-1780"/>
    <n v="-1780"/>
    <n v="0"/>
    <n v="1780"/>
    <n v="0"/>
    <n v="1780"/>
    <n v="1780"/>
    <n v="0"/>
    <n v="0"/>
    <n v="0"/>
    <n v="0"/>
    <n v="0"/>
    <n v="0"/>
    <n v="0"/>
  </r>
  <r>
    <n v="0"/>
    <x v="0"/>
    <s v="00/01/18"/>
    <s v="1400/01/18"/>
    <x v="5"/>
    <n v="30009"/>
    <x v="66"/>
    <n v="1094"/>
    <n v="1094"/>
    <n v="1094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03"/>
    <x v="79"/>
    <n v="-1900"/>
    <n v="-1900"/>
    <n v="0"/>
    <n v="1900"/>
    <n v="0"/>
    <n v="1900"/>
    <n v="1900"/>
    <n v="0"/>
    <n v="0"/>
    <n v="0"/>
    <n v="0"/>
    <n v="0"/>
    <n v="0"/>
    <n v="0"/>
  </r>
  <r>
    <n v="0"/>
    <x v="0"/>
    <s v="00/01/18"/>
    <s v="1400/01/18"/>
    <x v="5"/>
    <n v="10003"/>
    <x v="79"/>
    <n v="2837"/>
    <n v="2837"/>
    <n v="2837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26"/>
    <x v="81"/>
    <n v="-1976"/>
    <n v="-1976"/>
    <n v="0"/>
    <n v="1976"/>
    <n v="0"/>
    <n v="1976"/>
    <n v="1976"/>
    <n v="0"/>
    <n v="0"/>
    <n v="0"/>
    <n v="0"/>
    <n v="0"/>
    <n v="0"/>
    <n v="0"/>
  </r>
  <r>
    <n v="0"/>
    <x v="0"/>
    <s v="00/01/19"/>
    <s v="1400/01/19"/>
    <x v="6"/>
    <n v="30066"/>
    <x v="77"/>
    <n v="2055"/>
    <n v="2055"/>
    <n v="2055"/>
    <n v="0"/>
    <n v="0"/>
    <n v="0"/>
    <n v="0"/>
    <n v="0"/>
    <n v="0"/>
    <n v="0"/>
    <n v="0"/>
    <n v="0"/>
    <n v="0"/>
    <n v="0"/>
  </r>
  <r>
    <n v="0"/>
    <x v="0"/>
    <s v="00/01/19"/>
    <s v="1400/01/19"/>
    <x v="6"/>
    <n v="30066"/>
    <x v="77"/>
    <n v="-5546"/>
    <n v="-5546"/>
    <n v="0"/>
    <n v="5546"/>
    <n v="0"/>
    <n v="5546"/>
    <n v="5546"/>
    <n v="0"/>
    <n v="0"/>
    <n v="0"/>
    <n v="0"/>
    <n v="0"/>
    <n v="0"/>
    <n v="0"/>
  </r>
  <r>
    <n v="0"/>
    <x v="0"/>
    <s v="00/01/19"/>
    <s v="1400/01/19"/>
    <x v="6"/>
    <n v="30015"/>
    <x v="55"/>
    <n v="730"/>
    <n v="730"/>
    <n v="730"/>
    <n v="0"/>
    <n v="0"/>
    <n v="0"/>
    <n v="0"/>
    <n v="0"/>
    <n v="0"/>
    <n v="0"/>
    <n v="0"/>
    <n v="0"/>
    <n v="0"/>
    <n v="0"/>
  </r>
  <r>
    <n v="0"/>
    <x v="0"/>
    <s v="00/01/19"/>
    <s v="1400/01/19"/>
    <x v="6"/>
    <n v="10048"/>
    <x v="51"/>
    <n v="-698"/>
    <n v="-698"/>
    <n v="0"/>
    <n v="698"/>
    <n v="0"/>
    <n v="698"/>
    <n v="698"/>
    <n v="0"/>
    <n v="0"/>
    <n v="0"/>
    <n v="0"/>
    <n v="0"/>
    <n v="0"/>
    <n v="0"/>
  </r>
  <r>
    <n v="0"/>
    <x v="0"/>
    <s v="00/01/19"/>
    <s v="1400/01/19"/>
    <x v="6"/>
    <n v="10048"/>
    <x v="51"/>
    <n v="536"/>
    <n v="536"/>
    <n v="536"/>
    <n v="0"/>
    <n v="0"/>
    <n v="0"/>
    <n v="0"/>
    <n v="0"/>
    <n v="0"/>
    <n v="0"/>
    <n v="0"/>
    <n v="0"/>
    <n v="0"/>
    <n v="0"/>
  </r>
  <r>
    <n v="0"/>
    <x v="0"/>
    <s v="00/01/19"/>
    <s v="1400/01/19"/>
    <x v="6"/>
    <n v="10029"/>
    <x v="78"/>
    <n v="-2981"/>
    <n v="-2981"/>
    <n v="0"/>
    <n v="2981"/>
    <n v="0"/>
    <n v="2981"/>
    <n v="2981"/>
    <n v="0"/>
    <n v="0"/>
    <n v="0"/>
    <n v="0"/>
    <n v="0"/>
    <n v="0"/>
    <n v="0"/>
  </r>
  <r>
    <n v="0"/>
    <x v="0"/>
    <s v="00/01/21"/>
    <s v="1400/01/21"/>
    <x v="7"/>
    <n v="30081"/>
    <x v="67"/>
    <n v="1758"/>
    <n v="1758"/>
    <n v="1758"/>
    <n v="0"/>
    <n v="0"/>
    <n v="0"/>
    <n v="0"/>
    <n v="0"/>
    <n v="0"/>
    <n v="0"/>
    <n v="0"/>
    <n v="0"/>
    <n v="0"/>
    <n v="0"/>
  </r>
  <r>
    <n v="0"/>
    <x v="0"/>
    <s v="00/01/21"/>
    <s v="1400/01/21"/>
    <x v="7"/>
    <n v="10055"/>
    <x v="80"/>
    <n v="-5026"/>
    <n v="-5026"/>
    <n v="0"/>
    <n v="5026"/>
    <n v="0"/>
    <n v="5026"/>
    <n v="5026"/>
    <n v="0"/>
    <n v="0"/>
    <n v="0"/>
    <n v="0"/>
    <n v="0"/>
    <n v="0"/>
    <n v="0"/>
  </r>
  <r>
    <n v="0"/>
    <x v="0"/>
    <s v="00/01/21"/>
    <s v="1400/01/21"/>
    <x v="7"/>
    <n v="30003"/>
    <x v="65"/>
    <n v="1037"/>
    <n v="1037"/>
    <n v="1037"/>
    <n v="0"/>
    <n v="0"/>
    <n v="0"/>
    <n v="0"/>
    <n v="0"/>
    <n v="0"/>
    <n v="0"/>
    <n v="0"/>
    <n v="0"/>
    <n v="0"/>
    <n v="0"/>
  </r>
  <r>
    <n v="0"/>
    <x v="0"/>
    <s v="00/01/21"/>
    <s v="1400/01/21"/>
    <x v="7"/>
    <n v="30003"/>
    <x v="65"/>
    <n v="-970"/>
    <n v="-970"/>
    <n v="0"/>
    <n v="970"/>
    <n v="0"/>
    <n v="970"/>
    <n v="970"/>
    <n v="0"/>
    <n v="0"/>
    <n v="0"/>
    <n v="0"/>
    <n v="0"/>
    <n v="0"/>
    <n v="0"/>
  </r>
  <r>
    <n v="0"/>
    <x v="0"/>
    <s v="00/01/21"/>
    <s v="1400/01/21"/>
    <x v="7"/>
    <n v="30066"/>
    <x v="77"/>
    <n v="4539"/>
    <n v="4539"/>
    <n v="4539"/>
    <n v="0"/>
    <n v="0"/>
    <n v="0"/>
    <n v="0"/>
    <n v="0"/>
    <n v="0"/>
    <n v="0"/>
    <n v="0"/>
    <n v="0"/>
    <n v="0"/>
    <n v="0"/>
  </r>
  <r>
    <n v="0"/>
    <x v="0"/>
    <s v="00/01/21"/>
    <s v="1400/01/21"/>
    <x v="7"/>
    <n v="30017"/>
    <x v="83"/>
    <n v="-5178"/>
    <n v="-5178"/>
    <n v="0"/>
    <n v="5178"/>
    <n v="0"/>
    <n v="5178"/>
    <n v="5178"/>
    <n v="0"/>
    <n v="0"/>
    <n v="0"/>
    <n v="0"/>
    <n v="0"/>
    <n v="0"/>
    <n v="0"/>
  </r>
  <r>
    <n v="0"/>
    <x v="0"/>
    <s v="00/01/21"/>
    <s v="1400/01/21"/>
    <x v="7"/>
    <n v="10027"/>
    <x v="72"/>
    <n v="-5456"/>
    <n v="-5456"/>
    <n v="0"/>
    <n v="5456"/>
    <n v="0"/>
    <n v="5456"/>
    <n v="5456"/>
    <n v="0"/>
    <n v="0"/>
    <n v="0"/>
    <n v="0"/>
    <n v="0"/>
    <n v="0"/>
    <n v="0"/>
  </r>
  <r>
    <n v="0"/>
    <x v="0"/>
    <s v="00/01/21"/>
    <s v="1400/01/21"/>
    <x v="7"/>
    <n v="10003"/>
    <x v="79"/>
    <n v="-2010"/>
    <n v="-2010"/>
    <n v="0"/>
    <n v="2010"/>
    <n v="0"/>
    <n v="2010"/>
    <n v="2010"/>
    <n v="0"/>
    <n v="0"/>
    <n v="0"/>
    <n v="0"/>
    <n v="0"/>
    <n v="0"/>
    <n v="0"/>
  </r>
  <r>
    <n v="0"/>
    <x v="0"/>
    <s v="00/01/21"/>
    <s v="1400/01/21"/>
    <x v="7"/>
    <n v="10020"/>
    <x v="40"/>
    <n v="-1524"/>
    <n v="-1524"/>
    <n v="0"/>
    <n v="1524"/>
    <n v="0"/>
    <n v="1524"/>
    <n v="1524"/>
    <n v="0"/>
    <n v="0"/>
    <n v="0"/>
    <n v="0"/>
    <n v="0"/>
    <n v="0"/>
    <n v="0"/>
  </r>
  <r>
    <n v="0"/>
    <x v="0"/>
    <s v="00/01/21"/>
    <s v="1400/01/21"/>
    <x v="7"/>
    <n v="10026"/>
    <x v="81"/>
    <n v="-2044"/>
    <n v="-2044"/>
    <n v="0"/>
    <n v="2044"/>
    <n v="0"/>
    <n v="2044"/>
    <n v="2044"/>
    <n v="0"/>
    <n v="0"/>
    <n v="0"/>
    <n v="0"/>
    <n v="0"/>
    <n v="0"/>
    <n v="0"/>
  </r>
  <r>
    <n v="0"/>
    <x v="0"/>
    <s v="00/01/22"/>
    <s v="1400/01/22"/>
    <x v="8"/>
    <n v="10003"/>
    <x v="79"/>
    <n v="2434"/>
    <n v="2434"/>
    <n v="2434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30055"/>
    <x v="98"/>
    <n v="-1010"/>
    <n v="-1010"/>
    <n v="0"/>
    <n v="1010"/>
    <n v="0"/>
    <n v="1010"/>
    <n v="1010"/>
    <n v="0"/>
    <n v="0"/>
    <n v="0"/>
    <n v="0"/>
    <n v="0"/>
    <n v="0"/>
    <n v="0"/>
  </r>
  <r>
    <n v="0"/>
    <x v="0"/>
    <s v="00/01/22"/>
    <s v="1400/01/22"/>
    <x v="8"/>
    <n v="10069"/>
    <x v="68"/>
    <n v="100"/>
    <n v="100"/>
    <n v="100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30066"/>
    <x v="77"/>
    <n v="-4228"/>
    <n v="-4228"/>
    <n v="0"/>
    <n v="4228"/>
    <n v="0"/>
    <n v="4228"/>
    <n v="4228"/>
    <n v="0"/>
    <n v="0"/>
    <n v="0"/>
    <n v="0"/>
    <n v="0"/>
    <n v="0"/>
    <n v="0"/>
  </r>
  <r>
    <n v="0"/>
    <x v="0"/>
    <s v="00/01/22"/>
    <s v="1400/01/22"/>
    <x v="8"/>
    <n v="30017"/>
    <x v="83"/>
    <n v="2002"/>
    <n v="2002"/>
    <n v="2002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30009"/>
    <x v="66"/>
    <n v="-1190"/>
    <n v="-1190"/>
    <n v="0"/>
    <n v="1190"/>
    <n v="0"/>
    <n v="1190"/>
    <n v="1190"/>
    <n v="0"/>
    <n v="0"/>
    <n v="0"/>
    <n v="0"/>
    <n v="0"/>
    <n v="0"/>
    <n v="0"/>
  </r>
  <r>
    <n v="0"/>
    <x v="0"/>
    <s v="00/01/22"/>
    <s v="1400/01/22"/>
    <x v="8"/>
    <n v="30066"/>
    <x v="77"/>
    <n v="1953"/>
    <n v="1953"/>
    <n v="1953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10003"/>
    <x v="79"/>
    <n v="-2186"/>
    <n v="-2186"/>
    <n v="0"/>
    <n v="2186"/>
    <n v="0"/>
    <n v="2186"/>
    <n v="2186"/>
    <n v="0"/>
    <n v="0"/>
    <n v="0"/>
    <n v="0"/>
    <n v="0"/>
    <n v="0"/>
    <n v="0"/>
  </r>
  <r>
    <n v="0"/>
    <x v="0"/>
    <s v="00/01/22"/>
    <s v="1400/01/22"/>
    <x v="8"/>
    <n v="30009"/>
    <x v="66"/>
    <n v="488"/>
    <n v="488"/>
    <n v="488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10055"/>
    <x v="80"/>
    <n v="-4816"/>
    <n v="-4816"/>
    <n v="0"/>
    <n v="4816"/>
    <n v="0"/>
    <n v="4816"/>
    <n v="4816"/>
    <n v="0"/>
    <n v="0"/>
    <n v="0"/>
    <n v="0"/>
    <n v="0"/>
    <n v="0"/>
    <n v="0"/>
  </r>
  <r>
    <n v="0"/>
    <x v="0"/>
    <s v="00/01/22"/>
    <s v="1400/01/22"/>
    <x v="8"/>
    <n v="30009"/>
    <x v="66"/>
    <n v="777"/>
    <n v="777"/>
    <n v="777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30018"/>
    <x v="1"/>
    <n v="-2534"/>
    <n v="-2534"/>
    <n v="0"/>
    <n v="2534"/>
    <n v="0"/>
    <n v="2534"/>
    <n v="2534"/>
    <n v="0"/>
    <n v="0"/>
    <n v="0"/>
    <n v="0"/>
    <n v="0"/>
    <n v="0"/>
    <n v="0"/>
  </r>
  <r>
    <n v="0"/>
    <x v="0"/>
    <s v="00/01/23"/>
    <s v="1400/01/23"/>
    <x v="9"/>
    <n v="10048"/>
    <x v="51"/>
    <n v="372"/>
    <n v="372"/>
    <n v="372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30162"/>
    <x v="70"/>
    <n v="-3767"/>
    <n v="-3767"/>
    <n v="0"/>
    <n v="3767"/>
    <n v="0"/>
    <n v="3767"/>
    <n v="3767"/>
    <n v="0"/>
    <n v="0"/>
    <n v="0"/>
    <n v="0"/>
    <n v="0"/>
    <n v="0"/>
    <n v="0"/>
  </r>
  <r>
    <n v="0"/>
    <x v="0"/>
    <s v="00/01/23"/>
    <s v="1400/01/23"/>
    <x v="9"/>
    <n v="10027"/>
    <x v="72"/>
    <n v="2766"/>
    <n v="2766"/>
    <n v="2766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10048"/>
    <x v="51"/>
    <n v="-648"/>
    <n v="-648"/>
    <n v="0"/>
    <n v="648"/>
    <n v="0"/>
    <n v="648"/>
    <n v="648"/>
    <n v="0"/>
    <n v="0"/>
    <n v="0"/>
    <n v="0"/>
    <n v="0"/>
    <n v="0"/>
    <n v="0"/>
  </r>
  <r>
    <n v="0"/>
    <x v="0"/>
    <s v="00/01/23"/>
    <s v="1400/01/23"/>
    <x v="9"/>
    <n v="30099"/>
    <x v="11"/>
    <n v="5110"/>
    <n v="5110"/>
    <n v="5110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10003"/>
    <x v="79"/>
    <n v="-878"/>
    <n v="-878"/>
    <n v="0"/>
    <n v="878"/>
    <n v="0"/>
    <n v="878"/>
    <n v="878"/>
    <n v="0"/>
    <n v="0"/>
    <n v="0"/>
    <n v="0"/>
    <n v="0"/>
    <n v="0"/>
    <n v="0"/>
  </r>
  <r>
    <n v="0"/>
    <x v="0"/>
    <s v="00/01/23"/>
    <s v="1400/01/23"/>
    <x v="9"/>
    <n v="10027"/>
    <x v="72"/>
    <n v="-1938"/>
    <n v="-1938"/>
    <n v="0"/>
    <n v="1938"/>
    <n v="0"/>
    <n v="1938"/>
    <n v="1938"/>
    <n v="0"/>
    <n v="0"/>
    <n v="0"/>
    <n v="0"/>
    <n v="0"/>
    <n v="0"/>
    <n v="0"/>
  </r>
  <r>
    <n v="0"/>
    <x v="0"/>
    <s v="00/01/24"/>
    <s v="1400/01/24"/>
    <x v="10"/>
    <n v="10003"/>
    <x v="79"/>
    <n v="2685"/>
    <n v="2685"/>
    <n v="2685"/>
    <n v="0"/>
    <n v="0"/>
    <n v="0"/>
    <n v="0"/>
    <n v="0"/>
    <n v="0"/>
    <n v="0"/>
    <n v="0"/>
    <n v="0"/>
    <n v="0"/>
    <n v="0"/>
  </r>
  <r>
    <n v="0"/>
    <x v="0"/>
    <s v="00/01/24"/>
    <s v="1400/01/24"/>
    <x v="10"/>
    <n v="30066"/>
    <x v="77"/>
    <n v="-996"/>
    <n v="-996"/>
    <n v="0"/>
    <n v="996"/>
    <n v="0"/>
    <n v="996"/>
    <n v="996"/>
    <n v="0"/>
    <n v="0"/>
    <n v="0"/>
    <n v="0"/>
    <n v="0"/>
    <n v="0"/>
    <n v="0"/>
  </r>
  <r>
    <n v="0"/>
    <x v="0"/>
    <s v="00/01/24"/>
    <s v="1400/01/24"/>
    <x v="10"/>
    <n v="30017"/>
    <x v="83"/>
    <n v="1891"/>
    <n v="1891"/>
    <n v="1891"/>
    <n v="0"/>
    <n v="0"/>
    <n v="0"/>
    <n v="0"/>
    <n v="0"/>
    <n v="0"/>
    <n v="0"/>
    <n v="0"/>
    <n v="0"/>
    <n v="0"/>
    <n v="0"/>
  </r>
  <r>
    <n v="0"/>
    <x v="0"/>
    <s v="00/01/24"/>
    <s v="1400/01/24"/>
    <x v="10"/>
    <n v="30066"/>
    <x v="77"/>
    <n v="-3004"/>
    <n v="-3004"/>
    <n v="0"/>
    <n v="3004"/>
    <n v="0"/>
    <n v="3004"/>
    <n v="3004"/>
    <n v="0"/>
    <n v="0"/>
    <n v="0"/>
    <n v="0"/>
    <n v="0"/>
    <n v="0"/>
    <n v="0"/>
  </r>
  <r>
    <n v="0"/>
    <x v="0"/>
    <s v="00/01/24"/>
    <s v="1400/01/24"/>
    <x v="10"/>
    <n v="30133"/>
    <x v="57"/>
    <n v="529"/>
    <n v="529"/>
    <n v="529"/>
    <n v="0"/>
    <n v="0"/>
    <n v="0"/>
    <n v="0"/>
    <n v="0"/>
    <n v="0"/>
    <n v="0"/>
    <n v="0"/>
    <n v="0"/>
    <n v="0"/>
    <n v="0"/>
  </r>
  <r>
    <n v="0"/>
    <x v="0"/>
    <s v="00/01/24"/>
    <s v="1400/01/24"/>
    <x v="10"/>
    <n v="10003"/>
    <x v="79"/>
    <n v="-4470"/>
    <n v="-4470"/>
    <n v="0"/>
    <n v="4470"/>
    <n v="0"/>
    <n v="4470"/>
    <n v="4470"/>
    <n v="0"/>
    <n v="0"/>
    <n v="0"/>
    <n v="0"/>
    <n v="0"/>
    <n v="0"/>
    <n v="0"/>
  </r>
  <r>
    <n v="0"/>
    <x v="0"/>
    <s v="00/01/24"/>
    <s v="1400/01/24"/>
    <x v="10"/>
    <n v="10026"/>
    <x v="81"/>
    <n v="-2074"/>
    <n v="-2074"/>
    <n v="0"/>
    <n v="2074"/>
    <n v="0"/>
    <n v="2074"/>
    <n v="2074"/>
    <n v="0"/>
    <n v="0"/>
    <n v="0"/>
    <n v="0"/>
    <n v="0"/>
    <n v="0"/>
    <n v="0"/>
  </r>
  <r>
    <n v="0"/>
    <x v="0"/>
    <s v="00/01/25"/>
    <s v="1400/01/25"/>
    <x v="11"/>
    <n v="30003"/>
    <x v="65"/>
    <n v="999"/>
    <n v="999"/>
    <n v="999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12"/>
    <x v="59"/>
    <n v="-2760"/>
    <n v="-2760"/>
    <n v="0"/>
    <n v="2760"/>
    <n v="0"/>
    <n v="2760"/>
    <n v="2760"/>
    <n v="0"/>
    <n v="0"/>
    <n v="0"/>
    <n v="0"/>
    <n v="0"/>
    <n v="0"/>
    <n v="0"/>
  </r>
  <r>
    <n v="0"/>
    <x v="0"/>
    <s v="00/01/25"/>
    <s v="1400/01/25"/>
    <x v="11"/>
    <n v="10018"/>
    <x v="95"/>
    <n v="344"/>
    <n v="344"/>
    <n v="344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22"/>
    <x v="75"/>
    <n v="-5135"/>
    <n v="-5135"/>
    <n v="0"/>
    <n v="5135"/>
    <n v="0"/>
    <n v="5135"/>
    <n v="5135"/>
    <n v="0"/>
    <n v="0"/>
    <n v="0"/>
    <n v="0"/>
    <n v="0"/>
    <n v="0"/>
    <n v="0"/>
  </r>
  <r>
    <n v="0"/>
    <x v="0"/>
    <s v="00/01/25"/>
    <s v="1400/01/25"/>
    <x v="11"/>
    <n v="30017"/>
    <x v="83"/>
    <n v="2033"/>
    <n v="2033"/>
    <n v="2033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06"/>
    <x v="13"/>
    <n v="-990"/>
    <n v="-990"/>
    <n v="0"/>
    <n v="990"/>
    <n v="0"/>
    <n v="990"/>
    <n v="990"/>
    <n v="0"/>
    <n v="0"/>
    <n v="0"/>
    <n v="0"/>
    <n v="0"/>
    <n v="0"/>
    <n v="0"/>
  </r>
  <r>
    <n v="0"/>
    <x v="0"/>
    <s v="00/01/25"/>
    <s v="1400/01/25"/>
    <x v="11"/>
    <n v="30066"/>
    <x v="77"/>
    <n v="992"/>
    <n v="992"/>
    <n v="992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03"/>
    <x v="65"/>
    <n v="-996"/>
    <n v="-996"/>
    <n v="0"/>
    <n v="996"/>
    <n v="0"/>
    <n v="996"/>
    <n v="996"/>
    <n v="0"/>
    <n v="0"/>
    <n v="0"/>
    <n v="0"/>
    <n v="0"/>
    <n v="0"/>
    <n v="0"/>
  </r>
  <r>
    <n v="0"/>
    <x v="0"/>
    <s v="00/01/25"/>
    <s v="1400/01/25"/>
    <x v="11"/>
    <n v="10084"/>
    <x v="37"/>
    <n v="1061"/>
    <n v="1061"/>
    <n v="1061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10003"/>
    <x v="79"/>
    <n v="-3182"/>
    <n v="-3182"/>
    <n v="0"/>
    <n v="3182"/>
    <n v="0"/>
    <n v="3182"/>
    <n v="3182"/>
    <n v="0"/>
    <n v="0"/>
    <n v="0"/>
    <n v="0"/>
    <n v="0"/>
    <n v="0"/>
    <n v="0"/>
  </r>
  <r>
    <n v="0"/>
    <x v="0"/>
    <s v="00/01/25"/>
    <s v="1400/01/25"/>
    <x v="11"/>
    <n v="30066"/>
    <x v="77"/>
    <n v="2122"/>
    <n v="2122"/>
    <n v="2122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10026"/>
    <x v="81"/>
    <n v="-4144"/>
    <n v="-4144"/>
    <n v="0"/>
    <n v="4144"/>
    <n v="0"/>
    <n v="4144"/>
    <n v="4144"/>
    <n v="0"/>
    <n v="0"/>
    <n v="0"/>
    <n v="0"/>
    <n v="0"/>
    <n v="0"/>
    <n v="0"/>
  </r>
  <r>
    <n v="0"/>
    <x v="0"/>
    <s v="00/01/25"/>
    <s v="1400/01/25"/>
    <x v="11"/>
    <n v="10027"/>
    <x v="72"/>
    <n v="-5270"/>
    <n v="-5270"/>
    <n v="0"/>
    <n v="5270"/>
    <n v="0"/>
    <n v="5270"/>
    <n v="5270"/>
    <n v="0"/>
    <n v="0"/>
    <n v="0"/>
    <n v="0"/>
    <n v="0"/>
    <n v="0"/>
    <n v="0"/>
  </r>
  <r>
    <n v="0"/>
    <x v="0"/>
    <s v="00/01/26"/>
    <s v="1400/01/26"/>
    <x v="12"/>
    <n v="50011"/>
    <x v="17"/>
    <n v="1750"/>
    <n v="1750"/>
    <n v="1750"/>
    <n v="0"/>
    <n v="0"/>
    <n v="0"/>
    <n v="0"/>
    <n v="0"/>
    <n v="0"/>
    <n v="0"/>
    <n v="0"/>
    <n v="0"/>
    <n v="0"/>
    <n v="0"/>
  </r>
  <r>
    <n v="0"/>
    <x v="0"/>
    <s v="00/01/26"/>
    <s v="1400/01/26"/>
    <x v="12"/>
    <n v="30066"/>
    <x v="77"/>
    <n v="-2144"/>
    <n v="-2144"/>
    <n v="0"/>
    <n v="2144"/>
    <n v="0"/>
    <n v="2144"/>
    <n v="2144"/>
    <n v="0"/>
    <n v="0"/>
    <n v="0"/>
    <n v="0"/>
    <n v="0"/>
    <n v="0"/>
    <n v="0"/>
  </r>
  <r>
    <n v="0"/>
    <x v="0"/>
    <s v="00/01/26"/>
    <s v="1400/01/26"/>
    <x v="12"/>
    <n v="10003"/>
    <x v="79"/>
    <n v="2812"/>
    <n v="2812"/>
    <n v="2812"/>
    <n v="0"/>
    <n v="0"/>
    <n v="0"/>
    <n v="0"/>
    <n v="0"/>
    <n v="0"/>
    <n v="0"/>
    <n v="0"/>
    <n v="0"/>
    <n v="0"/>
    <n v="0"/>
  </r>
  <r>
    <n v="0"/>
    <x v="0"/>
    <s v="00/01/26"/>
    <s v="1400/01/26"/>
    <x v="12"/>
    <n v="50011"/>
    <x v="17"/>
    <n v="-1654"/>
    <n v="-1654"/>
    <n v="0"/>
    <n v="1654"/>
    <n v="0"/>
    <n v="1654"/>
    <n v="1654"/>
    <n v="0"/>
    <n v="0"/>
    <n v="0"/>
    <n v="0"/>
    <n v="0"/>
    <n v="0"/>
    <n v="0"/>
  </r>
  <r>
    <n v="0"/>
    <x v="0"/>
    <s v="00/01/26"/>
    <s v="1400/01/26"/>
    <x v="12"/>
    <n v="30066"/>
    <x v="77"/>
    <n v="3857"/>
    <n v="3857"/>
    <n v="3857"/>
    <n v="0"/>
    <n v="0"/>
    <n v="0"/>
    <n v="0"/>
    <n v="0"/>
    <n v="0"/>
    <n v="0"/>
    <n v="0"/>
    <n v="0"/>
    <n v="0"/>
    <n v="0"/>
  </r>
  <r>
    <n v="0"/>
    <x v="0"/>
    <s v="00/01/26"/>
    <s v="1400/01/26"/>
    <x v="12"/>
    <n v="30009"/>
    <x v="66"/>
    <n v="-1052"/>
    <n v="-1052"/>
    <n v="0"/>
    <n v="1052"/>
    <n v="0"/>
    <n v="1052"/>
    <n v="1052"/>
    <n v="0"/>
    <n v="0"/>
    <n v="0"/>
    <n v="0"/>
    <n v="0"/>
    <n v="0"/>
    <n v="0"/>
  </r>
  <r>
    <n v="0"/>
    <x v="0"/>
    <s v="00/01/26"/>
    <s v="1400/01/26"/>
    <x v="12"/>
    <n v="10003"/>
    <x v="79"/>
    <n v="-1496"/>
    <n v="-1496"/>
    <n v="0"/>
    <n v="1496"/>
    <n v="0"/>
    <n v="1496"/>
    <n v="1496"/>
    <n v="0"/>
    <n v="0"/>
    <n v="0"/>
    <n v="0"/>
    <n v="0"/>
    <n v="0"/>
    <n v="0"/>
  </r>
  <r>
    <n v="0"/>
    <x v="0"/>
    <s v="00/01/26"/>
    <s v="1400/01/26"/>
    <x v="12"/>
    <n v="10084"/>
    <x v="37"/>
    <n v="-1500"/>
    <n v="-1500"/>
    <n v="0"/>
    <n v="1500"/>
    <n v="0"/>
    <n v="1500"/>
    <n v="1500"/>
    <n v="0"/>
    <n v="0"/>
    <n v="0"/>
    <n v="0"/>
    <n v="0"/>
    <n v="0"/>
    <n v="0"/>
  </r>
  <r>
    <n v="0"/>
    <x v="0"/>
    <s v="00/01/26"/>
    <s v="1400/01/26"/>
    <x v="12"/>
    <n v="30006"/>
    <x v="13"/>
    <n v="-600"/>
    <n v="-600"/>
    <n v="0"/>
    <n v="600"/>
    <n v="0"/>
    <n v="600"/>
    <n v="600"/>
    <n v="0"/>
    <n v="0"/>
    <n v="0"/>
    <n v="0"/>
    <n v="0"/>
    <n v="0"/>
    <n v="0"/>
  </r>
  <r>
    <n v="0"/>
    <x v="0"/>
    <s v="00/01/28"/>
    <s v="1400/01/28"/>
    <x v="13"/>
    <n v="30146"/>
    <x v="64"/>
    <n v="608"/>
    <n v="608"/>
    <n v="608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133"/>
    <x v="57"/>
    <n v="-5035"/>
    <n v="-5035"/>
    <n v="0"/>
    <n v="5035"/>
    <n v="0"/>
    <n v="5035"/>
    <n v="5035"/>
    <n v="0"/>
    <n v="0"/>
    <n v="0"/>
    <n v="0"/>
    <n v="0"/>
    <n v="0"/>
    <n v="0"/>
  </r>
  <r>
    <n v="0"/>
    <x v="0"/>
    <s v="00/01/28"/>
    <s v="1400/01/28"/>
    <x v="13"/>
    <n v="10027"/>
    <x v="72"/>
    <n v="2902"/>
    <n v="2902"/>
    <n v="2902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017"/>
    <x v="83"/>
    <n v="-5016"/>
    <n v="-5016"/>
    <n v="0"/>
    <n v="5016"/>
    <n v="0"/>
    <n v="5016"/>
    <n v="5016"/>
    <n v="0"/>
    <n v="0"/>
    <n v="0"/>
    <n v="0"/>
    <n v="0"/>
    <n v="0"/>
    <n v="0"/>
  </r>
  <r>
    <n v="0"/>
    <x v="0"/>
    <s v="00/01/28"/>
    <s v="1400/01/28"/>
    <x v="13"/>
    <n v="30146"/>
    <x v="64"/>
    <n v="1240"/>
    <n v="1240"/>
    <n v="1240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066"/>
    <x v="77"/>
    <n v="-2420"/>
    <n v="-2420"/>
    <n v="0"/>
    <n v="2420"/>
    <n v="0"/>
    <n v="2420"/>
    <n v="2420"/>
    <n v="0"/>
    <n v="0"/>
    <n v="0"/>
    <n v="0"/>
    <n v="0"/>
    <n v="0"/>
    <n v="0"/>
  </r>
  <r>
    <n v="0"/>
    <x v="0"/>
    <s v="00/01/28"/>
    <s v="1400/01/28"/>
    <x v="13"/>
    <n v="30066"/>
    <x v="77"/>
    <n v="2103"/>
    <n v="2103"/>
    <n v="2103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146"/>
    <x v="64"/>
    <n v="-5089"/>
    <n v="-5089"/>
    <n v="0"/>
    <n v="5089"/>
    <n v="0"/>
    <n v="5089"/>
    <n v="5089"/>
    <n v="0"/>
    <n v="0"/>
    <n v="0"/>
    <n v="0"/>
    <n v="0"/>
    <n v="0"/>
    <n v="0"/>
  </r>
  <r>
    <n v="0"/>
    <x v="0"/>
    <s v="00/01/28"/>
    <s v="1400/01/28"/>
    <x v="13"/>
    <n v="30066"/>
    <x v="77"/>
    <n v="4126"/>
    <n v="4126"/>
    <n v="4126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15"/>
    <x v="20"/>
    <n v="-998"/>
    <n v="-998"/>
    <n v="0"/>
    <n v="998"/>
    <n v="0"/>
    <n v="998"/>
    <n v="998"/>
    <n v="0"/>
    <n v="0"/>
    <n v="0"/>
    <n v="0"/>
    <n v="0"/>
    <n v="0"/>
    <n v="0"/>
  </r>
  <r>
    <n v="0"/>
    <x v="0"/>
    <s v="00/01/28"/>
    <s v="1400/01/28"/>
    <x v="13"/>
    <n v="30066"/>
    <x v="77"/>
    <n v="1843"/>
    <n v="1843"/>
    <n v="1843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03"/>
    <x v="79"/>
    <n v="-2490"/>
    <n v="-2490"/>
    <n v="0"/>
    <n v="2490"/>
    <n v="0"/>
    <n v="2490"/>
    <n v="2490"/>
    <n v="0"/>
    <n v="0"/>
    <n v="0"/>
    <n v="0"/>
    <n v="0"/>
    <n v="0"/>
    <n v="0"/>
  </r>
  <r>
    <n v="0"/>
    <x v="0"/>
    <s v="00/01/28"/>
    <s v="1400/01/28"/>
    <x v="13"/>
    <n v="30009"/>
    <x v="66"/>
    <n v="1187"/>
    <n v="1187"/>
    <n v="1187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70"/>
    <x v="53"/>
    <n v="-62"/>
    <n v="-62"/>
    <n v="0"/>
    <n v="62"/>
    <n v="0"/>
    <n v="62"/>
    <n v="62"/>
    <n v="0"/>
    <n v="0"/>
    <n v="0"/>
    <n v="0"/>
    <n v="0"/>
    <n v="0"/>
    <n v="0"/>
  </r>
  <r>
    <n v="0"/>
    <x v="0"/>
    <s v="00/01/28"/>
    <s v="1400/01/28"/>
    <x v="13"/>
    <n v="30146"/>
    <x v="64"/>
    <n v="522"/>
    <n v="522"/>
    <n v="522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26"/>
    <x v="81"/>
    <n v="-1850"/>
    <n v="-1850"/>
    <n v="0"/>
    <n v="1850"/>
    <n v="0"/>
    <n v="1850"/>
    <n v="1850"/>
    <n v="0"/>
    <n v="0"/>
    <n v="0"/>
    <n v="0"/>
    <n v="0"/>
    <n v="0"/>
    <n v="0"/>
  </r>
  <r>
    <n v="0"/>
    <x v="0"/>
    <s v="00/01/28"/>
    <s v="1400/01/28"/>
    <x v="13"/>
    <n v="30009"/>
    <x v="66"/>
    <n v="1213"/>
    <n v="1213"/>
    <n v="1213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70"/>
    <x v="53"/>
    <n v="76"/>
    <n v="76"/>
    <n v="76"/>
    <n v="0"/>
    <n v="0"/>
    <n v="0"/>
    <n v="0"/>
    <n v="0"/>
    <n v="0"/>
    <n v="0"/>
    <n v="0"/>
    <n v="0"/>
    <n v="0"/>
    <n v="0"/>
  </r>
  <r>
    <n v="0"/>
    <x v="0"/>
    <s v="00/01/29"/>
    <s v="1400/01/29"/>
    <x v="14"/>
    <n v="10055"/>
    <x v="80"/>
    <n v="-5240"/>
    <n v="-5240"/>
    <n v="0"/>
    <n v="5240"/>
    <n v="0"/>
    <n v="5240"/>
    <n v="5240"/>
    <n v="0"/>
    <n v="0"/>
    <n v="0"/>
    <n v="0"/>
    <n v="0"/>
    <n v="0"/>
    <n v="0"/>
  </r>
  <r>
    <n v="0"/>
    <x v="0"/>
    <s v="00/01/29"/>
    <s v="1400/01/29"/>
    <x v="14"/>
    <n v="10003"/>
    <x v="79"/>
    <n v="-905"/>
    <n v="-905"/>
    <n v="0"/>
    <n v="905"/>
    <n v="0"/>
    <n v="905"/>
    <n v="905"/>
    <n v="0"/>
    <n v="0"/>
    <n v="0"/>
    <n v="0"/>
    <n v="0"/>
    <n v="0"/>
    <n v="0"/>
  </r>
  <r>
    <n v="0"/>
    <x v="0"/>
    <s v="00/01/29"/>
    <s v="1400/01/29"/>
    <x v="14"/>
    <n v="10003"/>
    <x v="79"/>
    <n v="-4425"/>
    <n v="-4425"/>
    <n v="0"/>
    <n v="4425"/>
    <n v="0"/>
    <n v="4425"/>
    <n v="4425"/>
    <n v="0"/>
    <n v="0"/>
    <n v="0"/>
    <n v="0"/>
    <n v="0"/>
    <n v="0"/>
    <n v="0"/>
  </r>
  <r>
    <n v="0"/>
    <x v="0"/>
    <s v="00/01/29"/>
    <s v="1400/01/29"/>
    <x v="14"/>
    <n v="10027"/>
    <x v="72"/>
    <n v="-4626"/>
    <n v="-4626"/>
    <n v="0"/>
    <n v="4626"/>
    <n v="0"/>
    <n v="4626"/>
    <n v="4626"/>
    <n v="0"/>
    <n v="0"/>
    <n v="0"/>
    <n v="0"/>
    <n v="0"/>
    <n v="0"/>
    <n v="0"/>
  </r>
  <r>
    <n v="0"/>
    <x v="0"/>
    <s v="00/01/30"/>
    <s v="1400/01/30"/>
    <x v="15"/>
    <n v="30009"/>
    <x v="66"/>
    <n v="846"/>
    <n v="846"/>
    <n v="846"/>
    <n v="0"/>
    <n v="0"/>
    <n v="0"/>
    <n v="0"/>
    <n v="0"/>
    <n v="0"/>
    <n v="0"/>
    <n v="0"/>
    <n v="0"/>
    <n v="0"/>
    <n v="0"/>
  </r>
  <r>
    <n v="0"/>
    <x v="0"/>
    <s v="00/01/30"/>
    <s v="1400/01/30"/>
    <x v="15"/>
    <n v="10029"/>
    <x v="78"/>
    <n v="-3094"/>
    <n v="-3094"/>
    <n v="0"/>
    <n v="3094"/>
    <n v="0"/>
    <n v="3094"/>
    <n v="3094"/>
    <n v="0"/>
    <n v="0"/>
    <n v="0"/>
    <n v="0"/>
    <n v="0"/>
    <n v="0"/>
    <n v="0"/>
  </r>
  <r>
    <n v="0"/>
    <x v="0"/>
    <s v="00/01/30"/>
    <s v="1400/01/30"/>
    <x v="15"/>
    <n v="30066"/>
    <x v="77"/>
    <n v="3067"/>
    <n v="3067"/>
    <n v="3067"/>
    <n v="0"/>
    <n v="0"/>
    <n v="0"/>
    <n v="0"/>
    <n v="0"/>
    <n v="0"/>
    <n v="0"/>
    <n v="0"/>
    <n v="0"/>
    <n v="0"/>
    <n v="0"/>
  </r>
  <r>
    <n v="0"/>
    <x v="0"/>
    <s v="00/01/30"/>
    <s v="1400/01/30"/>
    <x v="15"/>
    <n v="30058"/>
    <x v="63"/>
    <n v="4084"/>
    <n v="4084"/>
    <n v="4084"/>
    <n v="0"/>
    <n v="0"/>
    <n v="0"/>
    <n v="0"/>
    <n v="0"/>
    <n v="0"/>
    <n v="0"/>
    <n v="0"/>
    <n v="0"/>
    <n v="0"/>
    <n v="0"/>
  </r>
  <r>
    <n v="1"/>
    <x v="0"/>
    <s v="00/01/30"/>
    <s v="1400/01/30"/>
    <x v="15"/>
    <n v="30127"/>
    <x v="99"/>
    <n v="15153"/>
    <n v="15153"/>
    <n v="15153"/>
    <n v="0"/>
    <n v="0"/>
    <n v="0"/>
    <n v="0"/>
    <n v="0"/>
    <n v="0"/>
    <n v="0"/>
    <n v="0"/>
    <n v="0"/>
    <n v="0"/>
    <n v="-15153"/>
  </r>
  <r>
    <n v="1"/>
    <x v="0"/>
    <s v="00/01/30"/>
    <s v="1400/01/30"/>
    <x v="15"/>
    <n v="30009"/>
    <x v="66"/>
    <n v="1060"/>
    <n v="1060"/>
    <n v="1060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174"/>
    <x v="60"/>
    <n v="-127"/>
    <n v="-127"/>
    <n v="0"/>
    <n v="127"/>
    <n v="0"/>
    <n v="127"/>
    <n v="127"/>
    <n v="0"/>
    <n v="0"/>
    <n v="0"/>
    <n v="0"/>
    <n v="0"/>
    <n v="0"/>
    <n v="-15153"/>
  </r>
  <r>
    <n v="1"/>
    <x v="0"/>
    <s v="00/01/31"/>
    <s v="1400/01/31"/>
    <x v="16"/>
    <n v="30014"/>
    <x v="41"/>
    <n v="760"/>
    <n v="760"/>
    <n v="760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162"/>
    <x v="70"/>
    <n v="-1918"/>
    <n v="-1918"/>
    <n v="0"/>
    <n v="1918"/>
    <n v="0"/>
    <n v="1918"/>
    <n v="1918"/>
    <n v="0"/>
    <n v="0"/>
    <n v="0"/>
    <n v="0"/>
    <n v="0"/>
    <n v="0"/>
    <n v="-15153"/>
  </r>
  <r>
    <n v="1"/>
    <x v="0"/>
    <s v="00/01/31"/>
    <s v="1400/01/31"/>
    <x v="16"/>
    <n v="30009"/>
    <x v="66"/>
    <n v="902"/>
    <n v="902"/>
    <n v="902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174"/>
    <x v="60"/>
    <n v="-47"/>
    <n v="-47"/>
    <n v="0"/>
    <n v="47"/>
    <n v="0"/>
    <n v="47"/>
    <n v="47"/>
    <n v="0"/>
    <n v="0"/>
    <n v="0"/>
    <n v="0"/>
    <n v="0"/>
    <n v="0"/>
    <n v="-15153"/>
  </r>
  <r>
    <n v="1"/>
    <x v="0"/>
    <s v="00/01/31"/>
    <s v="1400/01/31"/>
    <x v="16"/>
    <n v="10048"/>
    <x v="51"/>
    <n v="164"/>
    <n v="164"/>
    <n v="164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014"/>
    <x v="41"/>
    <n v="-3992"/>
    <n v="-3992"/>
    <n v="0"/>
    <n v="3992"/>
    <n v="0"/>
    <n v="3992"/>
    <n v="3992"/>
    <n v="0"/>
    <n v="0"/>
    <n v="0"/>
    <n v="0"/>
    <n v="0"/>
    <n v="0"/>
    <n v="-15153"/>
  </r>
  <r>
    <n v="1"/>
    <x v="0"/>
    <s v="00/01/31"/>
    <s v="1400/01/31"/>
    <x v="16"/>
    <n v="30174"/>
    <x v="60"/>
    <n v="176"/>
    <n v="176"/>
    <n v="176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10003"/>
    <x v="79"/>
    <n v="-3794"/>
    <n v="-3794"/>
    <n v="0"/>
    <n v="3794"/>
    <n v="0"/>
    <n v="3794"/>
    <n v="3794"/>
    <n v="0"/>
    <n v="0"/>
    <n v="0"/>
    <n v="0"/>
    <n v="0"/>
    <n v="0"/>
    <n v="-15153"/>
  </r>
  <r>
    <n v="1"/>
    <x v="0"/>
    <s v="00/01/31"/>
    <s v="1400/01/31"/>
    <x v="16"/>
    <n v="10028"/>
    <x v="9"/>
    <n v="140"/>
    <n v="140"/>
    <n v="140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10028"/>
    <x v="9"/>
    <n v="-140"/>
    <n v="-140"/>
    <n v="0"/>
    <n v="140"/>
    <n v="0"/>
    <n v="140"/>
    <n v="140"/>
    <n v="0"/>
    <n v="0"/>
    <n v="0"/>
    <n v="0"/>
    <n v="0"/>
    <n v="0"/>
    <n v="-15153"/>
  </r>
  <r>
    <n v="1"/>
    <x v="0"/>
    <s v="00/01/31"/>
    <s v="1400/01/31"/>
    <x v="16"/>
    <n v="10055"/>
    <x v="80"/>
    <n v="-4970"/>
    <n v="-4970"/>
    <n v="0"/>
    <n v="4970"/>
    <n v="0"/>
    <n v="4970"/>
    <n v="4970"/>
    <n v="0"/>
    <n v="0"/>
    <n v="0"/>
    <n v="0"/>
    <n v="0"/>
    <n v="0"/>
    <n v="-15153"/>
  </r>
  <r>
    <n v="1"/>
    <x v="1"/>
    <s v="00/02/01"/>
    <s v="1400/02/01"/>
    <x v="17"/>
    <n v="10020"/>
    <x v="40"/>
    <n v="1305"/>
    <n v="1305"/>
    <n v="1305"/>
    <n v="0"/>
    <n v="0"/>
    <n v="0"/>
    <n v="0"/>
    <n v="0"/>
    <n v="0"/>
    <n v="0"/>
    <n v="0"/>
    <n v="0"/>
    <n v="0"/>
    <n v="-15153"/>
  </r>
  <r>
    <n v="2"/>
    <x v="1"/>
    <s v="00/02/01"/>
    <s v="1400/02/01"/>
    <x v="17"/>
    <n v="30127"/>
    <x v="99"/>
    <n v="-15202"/>
    <n v="-15202"/>
    <n v="0"/>
    <n v="15202"/>
    <n v="0"/>
    <n v="15202"/>
    <n v="15202"/>
    <n v="0"/>
    <n v="0"/>
    <n v="0"/>
    <n v="0"/>
    <n v="0"/>
    <n v="0"/>
    <n v="49"/>
  </r>
  <r>
    <n v="2"/>
    <x v="1"/>
    <s v="00/02/01"/>
    <s v="1400/02/01"/>
    <x v="17"/>
    <n v="30146"/>
    <x v="64"/>
    <n v="5089"/>
    <n v="5089"/>
    <n v="5089"/>
    <n v="0"/>
    <n v="0"/>
    <n v="0"/>
    <n v="0"/>
    <n v="0"/>
    <n v="0"/>
    <n v="0"/>
    <n v="0"/>
    <n v="0"/>
    <n v="0"/>
    <n v="49"/>
  </r>
  <r>
    <n v="2"/>
    <x v="1"/>
    <s v="00/02/01"/>
    <s v="1400/02/01"/>
    <x v="17"/>
    <n v="30066"/>
    <x v="77"/>
    <n v="-3734"/>
    <n v="-3734"/>
    <n v="0"/>
    <n v="3734"/>
    <n v="0"/>
    <n v="3734"/>
    <n v="3734"/>
    <n v="0"/>
    <n v="0"/>
    <n v="0"/>
    <n v="0"/>
    <n v="0"/>
    <n v="0"/>
    <n v="49"/>
  </r>
  <r>
    <n v="2"/>
    <x v="1"/>
    <s v="00/02/01"/>
    <s v="1400/02/01"/>
    <x v="17"/>
    <n v="30162"/>
    <x v="70"/>
    <n v="-2242"/>
    <n v="-2242"/>
    <n v="0"/>
    <n v="2242"/>
    <n v="0"/>
    <n v="2242"/>
    <n v="2242"/>
    <n v="0"/>
    <n v="0"/>
    <n v="0"/>
    <n v="0"/>
    <n v="0"/>
    <n v="0"/>
    <n v="49"/>
  </r>
  <r>
    <n v="2"/>
    <x v="1"/>
    <s v="00/02/01"/>
    <s v="1400/02/01"/>
    <x v="17"/>
    <n v="10020"/>
    <x v="40"/>
    <n v="-1498"/>
    <n v="-1498"/>
    <n v="0"/>
    <n v="1498"/>
    <n v="0"/>
    <n v="1498"/>
    <n v="1498"/>
    <n v="0"/>
    <n v="0"/>
    <n v="0"/>
    <n v="0"/>
    <n v="0"/>
    <n v="0"/>
    <n v="49"/>
  </r>
  <r>
    <n v="2"/>
    <x v="1"/>
    <s v="00/02/01"/>
    <s v="1400/02/01"/>
    <x v="17"/>
    <n v="30009"/>
    <x v="66"/>
    <n v="-4292"/>
    <n v="-4292"/>
    <n v="0"/>
    <n v="4292"/>
    <n v="0"/>
    <n v="4292"/>
    <n v="4292"/>
    <n v="0"/>
    <n v="0"/>
    <n v="0"/>
    <n v="0"/>
    <n v="0"/>
    <n v="0"/>
    <n v="49"/>
  </r>
  <r>
    <n v="2"/>
    <x v="1"/>
    <s v="00/02/01"/>
    <s v="1400/02/01"/>
    <x v="17"/>
    <n v="30017"/>
    <x v="83"/>
    <n v="-5000"/>
    <n v="-5000"/>
    <n v="0"/>
    <n v="5000"/>
    <n v="0"/>
    <n v="5000"/>
    <n v="5000"/>
    <n v="0"/>
    <n v="0"/>
    <n v="0"/>
    <n v="0"/>
    <n v="0"/>
    <n v="0"/>
    <n v="49"/>
  </r>
  <r>
    <n v="2"/>
    <x v="1"/>
    <s v="00/02/02"/>
    <s v="1400/02/02"/>
    <x v="18"/>
    <n v="10003"/>
    <x v="79"/>
    <n v="2918"/>
    <n v="2918"/>
    <n v="2918"/>
    <n v="0"/>
    <n v="0"/>
    <n v="0"/>
    <n v="0"/>
    <n v="0"/>
    <n v="0"/>
    <n v="0"/>
    <n v="0"/>
    <n v="0"/>
    <n v="0"/>
    <n v="49"/>
  </r>
  <r>
    <n v="2"/>
    <x v="1"/>
    <s v="00/02/02"/>
    <s v="1400/02/02"/>
    <x v="18"/>
    <n v="10003"/>
    <x v="79"/>
    <n v="-1066"/>
    <n v="-1066"/>
    <n v="0"/>
    <n v="1066"/>
    <n v="0"/>
    <n v="1066"/>
    <n v="1066"/>
    <n v="0"/>
    <n v="0"/>
    <n v="0"/>
    <n v="0"/>
    <n v="0"/>
    <n v="0"/>
    <n v="49"/>
  </r>
  <r>
    <n v="2"/>
    <x v="1"/>
    <s v="00/02/02"/>
    <s v="1400/02/02"/>
    <x v="18"/>
    <n v="10020"/>
    <x v="40"/>
    <n v="819"/>
    <n v="819"/>
    <n v="819"/>
    <n v="0"/>
    <n v="0"/>
    <n v="0"/>
    <n v="0"/>
    <n v="0"/>
    <n v="0"/>
    <n v="0"/>
    <n v="0"/>
    <n v="0"/>
    <n v="0"/>
    <n v="49"/>
  </r>
  <r>
    <n v="2"/>
    <x v="1"/>
    <s v="00/02/04"/>
    <s v="1400/02/04"/>
    <x v="19"/>
    <n v="30058"/>
    <x v="63"/>
    <n v="-3972"/>
    <n v="-3972"/>
    <n v="0"/>
    <n v="3972"/>
    <n v="0"/>
    <n v="3972"/>
    <n v="3972"/>
    <n v="0"/>
    <n v="0"/>
    <n v="0"/>
    <n v="0"/>
    <n v="0"/>
    <n v="0"/>
    <n v="49"/>
  </r>
  <r>
    <n v="2"/>
    <x v="1"/>
    <s v="00/02/04"/>
    <s v="1400/02/04"/>
    <x v="19"/>
    <n v="30022"/>
    <x v="75"/>
    <n v="-4996"/>
    <n v="-4996"/>
    <n v="0"/>
    <n v="4996"/>
    <n v="0"/>
    <n v="4996"/>
    <n v="4996"/>
    <n v="0"/>
    <n v="0"/>
    <n v="0"/>
    <n v="0"/>
    <n v="0"/>
    <n v="0"/>
    <n v="49"/>
  </r>
  <r>
    <n v="2"/>
    <x v="1"/>
    <s v="00/02/04"/>
    <s v="1400/02/04"/>
    <x v="19"/>
    <n v="30009"/>
    <x v="66"/>
    <n v="-677"/>
    <n v="-677"/>
    <n v="0"/>
    <n v="677"/>
    <n v="0"/>
    <n v="677"/>
    <n v="677"/>
    <n v="0"/>
    <n v="0"/>
    <n v="0"/>
    <n v="0"/>
    <n v="0"/>
    <n v="0"/>
    <n v="49"/>
  </r>
  <r>
    <n v="2"/>
    <x v="1"/>
    <s v="00/02/04"/>
    <s v="1400/02/04"/>
    <x v="19"/>
    <n v="30066"/>
    <x v="77"/>
    <n v="-5310"/>
    <n v="-5310"/>
    <n v="0"/>
    <n v="5310"/>
    <n v="0"/>
    <n v="5310"/>
    <n v="5310"/>
    <n v="0"/>
    <n v="0"/>
    <n v="0"/>
    <n v="0"/>
    <n v="0"/>
    <n v="0"/>
    <n v="49"/>
  </r>
  <r>
    <n v="2"/>
    <x v="1"/>
    <s v="00/02/04"/>
    <s v="1400/02/04"/>
    <x v="19"/>
    <n v="30009"/>
    <x v="66"/>
    <n v="-3775"/>
    <n v="-3775"/>
    <n v="0"/>
    <n v="3775"/>
    <n v="0"/>
    <n v="3775"/>
    <n v="3775"/>
    <n v="0"/>
    <n v="0"/>
    <n v="0"/>
    <n v="0"/>
    <n v="0"/>
    <n v="0"/>
    <n v="49"/>
  </r>
  <r>
    <n v="2"/>
    <x v="1"/>
    <s v="00/02/04"/>
    <s v="1400/02/04"/>
    <x v="19"/>
    <n v="10026"/>
    <x v="81"/>
    <n v="-1744"/>
    <n v="-1744"/>
    <n v="0"/>
    <n v="1744"/>
    <n v="0"/>
    <n v="1744"/>
    <n v="1744"/>
    <n v="0"/>
    <n v="0"/>
    <n v="0"/>
    <n v="0"/>
    <n v="0"/>
    <n v="0"/>
    <n v="49"/>
  </r>
  <r>
    <n v="2"/>
    <x v="1"/>
    <s v="00/02/04"/>
    <s v="1400/02/04"/>
    <x v="19"/>
    <n v="10003"/>
    <x v="79"/>
    <n v="-2020"/>
    <n v="-2020"/>
    <n v="0"/>
    <n v="2020"/>
    <n v="0"/>
    <n v="2020"/>
    <n v="2020"/>
    <n v="0"/>
    <n v="0"/>
    <n v="0"/>
    <n v="0"/>
    <n v="0"/>
    <n v="0"/>
    <n v="49"/>
  </r>
  <r>
    <n v="2"/>
    <x v="1"/>
    <s v="00/02/04"/>
    <s v="1400/02/04"/>
    <x v="19"/>
    <n v="10055"/>
    <x v="80"/>
    <n v="-5128"/>
    <n v="-5128"/>
    <n v="0"/>
    <n v="5128"/>
    <n v="0"/>
    <n v="5128"/>
    <n v="5128"/>
    <n v="0"/>
    <n v="0"/>
    <n v="0"/>
    <n v="0"/>
    <n v="0"/>
    <n v="0"/>
    <n v="49"/>
  </r>
  <r>
    <n v="2"/>
    <x v="1"/>
    <s v="00/02/04"/>
    <s v="1400/02/04"/>
    <x v="19"/>
    <n v="10027"/>
    <x v="72"/>
    <n v="-2926"/>
    <n v="-2926"/>
    <n v="0"/>
    <n v="2926"/>
    <n v="0"/>
    <n v="2926"/>
    <n v="2926"/>
    <n v="0"/>
    <n v="0"/>
    <n v="0"/>
    <n v="0"/>
    <n v="0"/>
    <n v="0"/>
    <n v="49"/>
  </r>
  <r>
    <n v="2"/>
    <x v="1"/>
    <s v="00/02/05"/>
    <s v="1400/02/05"/>
    <x v="20"/>
    <n v="10055"/>
    <x v="80"/>
    <n v="4254"/>
    <n v="4254"/>
    <n v="4254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09"/>
    <x v="66"/>
    <n v="-4238"/>
    <n v="-4238"/>
    <n v="0"/>
    <n v="4238"/>
    <n v="0"/>
    <n v="4238"/>
    <n v="4238"/>
    <n v="0"/>
    <n v="0"/>
    <n v="0"/>
    <n v="0"/>
    <n v="0"/>
    <n v="0"/>
    <n v="49"/>
  </r>
  <r>
    <n v="2"/>
    <x v="1"/>
    <s v="00/02/05"/>
    <s v="1400/02/05"/>
    <x v="20"/>
    <n v="10055"/>
    <x v="80"/>
    <n v="2168"/>
    <n v="2168"/>
    <n v="2168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66"/>
    <x v="77"/>
    <n v="-4112"/>
    <n v="-4112"/>
    <n v="0"/>
    <n v="4112"/>
    <n v="0"/>
    <n v="4112"/>
    <n v="4112"/>
    <n v="0"/>
    <n v="0"/>
    <n v="0"/>
    <n v="0"/>
    <n v="0"/>
    <n v="0"/>
    <n v="49"/>
  </r>
  <r>
    <n v="2"/>
    <x v="1"/>
    <s v="00/02/05"/>
    <s v="1400/02/05"/>
    <x v="20"/>
    <n v="30066"/>
    <x v="77"/>
    <n v="4041"/>
    <n v="4041"/>
    <n v="4041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81"/>
    <x v="67"/>
    <n v="-5592"/>
    <n v="-5592"/>
    <n v="0"/>
    <n v="5592"/>
    <n v="0"/>
    <n v="5592"/>
    <n v="5592"/>
    <n v="0"/>
    <n v="0"/>
    <n v="0"/>
    <n v="0"/>
    <n v="0"/>
    <n v="0"/>
    <n v="49"/>
  </r>
  <r>
    <n v="2"/>
    <x v="1"/>
    <s v="00/02/05"/>
    <s v="1400/02/05"/>
    <x v="20"/>
    <n v="30022"/>
    <x v="75"/>
    <n v="4845"/>
    <n v="4845"/>
    <n v="4845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10003"/>
    <x v="79"/>
    <n v="-4590"/>
    <n v="-4590"/>
    <n v="0"/>
    <n v="4590"/>
    <n v="0"/>
    <n v="4590"/>
    <n v="4590"/>
    <n v="0"/>
    <n v="0"/>
    <n v="0"/>
    <n v="0"/>
    <n v="0"/>
    <n v="0"/>
    <n v="49"/>
  </r>
  <r>
    <n v="2"/>
    <x v="1"/>
    <s v="00/02/05"/>
    <s v="1400/02/05"/>
    <x v="20"/>
    <n v="30099"/>
    <x v="11"/>
    <n v="5074"/>
    <n v="5074"/>
    <n v="5074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10027"/>
    <x v="72"/>
    <n v="-2698"/>
    <n v="-2698"/>
    <n v="0"/>
    <n v="2698"/>
    <n v="0"/>
    <n v="2698"/>
    <n v="2698"/>
    <n v="0"/>
    <n v="0"/>
    <n v="0"/>
    <n v="0"/>
    <n v="0"/>
    <n v="0"/>
    <n v="49"/>
  </r>
  <r>
    <n v="2"/>
    <x v="1"/>
    <s v="00/02/05"/>
    <s v="1400/02/05"/>
    <x v="20"/>
    <n v="30066"/>
    <x v="77"/>
    <n v="4370"/>
    <n v="4370"/>
    <n v="4370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04"/>
    <x v="2"/>
    <n v="-4748"/>
    <n v="-4748"/>
    <n v="0"/>
    <n v="4748"/>
    <n v="0"/>
    <n v="4748"/>
    <n v="4748"/>
    <n v="0"/>
    <n v="0"/>
    <n v="0"/>
    <n v="0"/>
    <n v="0"/>
    <n v="0"/>
    <n v="49"/>
  </r>
  <r>
    <n v="2"/>
    <x v="1"/>
    <s v="00/02/05"/>
    <s v="1400/02/05"/>
    <x v="20"/>
    <n v="10003"/>
    <x v="79"/>
    <n v="2675"/>
    <n v="2675"/>
    <n v="2675"/>
    <n v="0"/>
    <n v="0"/>
    <n v="0"/>
    <n v="0"/>
    <n v="0"/>
    <n v="0"/>
    <n v="0"/>
    <n v="0"/>
    <n v="0"/>
    <n v="0"/>
    <n v="49"/>
  </r>
  <r>
    <n v="2"/>
    <x v="1"/>
    <s v="00/02/06"/>
    <s v="1400/02/06"/>
    <x v="21"/>
    <n v="30081"/>
    <x v="67"/>
    <n v="-3962"/>
    <n v="-3962"/>
    <n v="0"/>
    <n v="3962"/>
    <n v="0"/>
    <n v="3962"/>
    <n v="3962"/>
    <n v="0"/>
    <n v="0"/>
    <n v="0"/>
    <n v="0"/>
    <n v="0"/>
    <n v="0"/>
    <n v="49"/>
  </r>
  <r>
    <n v="2"/>
    <x v="1"/>
    <s v="00/02/06"/>
    <s v="1400/02/06"/>
    <x v="21"/>
    <n v="10048"/>
    <x v="51"/>
    <n v="825"/>
    <n v="825"/>
    <n v="825"/>
    <n v="0"/>
    <n v="0"/>
    <n v="0"/>
    <n v="0"/>
    <n v="0"/>
    <n v="0"/>
    <n v="0"/>
    <n v="0"/>
    <n v="0"/>
    <n v="0"/>
    <n v="49"/>
  </r>
  <r>
    <n v="2"/>
    <x v="1"/>
    <s v="00/02/06"/>
    <s v="1400/02/06"/>
    <x v="21"/>
    <n v="10003"/>
    <x v="79"/>
    <n v="-2272"/>
    <n v="-2272"/>
    <n v="0"/>
    <n v="2272"/>
    <n v="0"/>
    <n v="2272"/>
    <n v="2272"/>
    <n v="0"/>
    <n v="0"/>
    <n v="0"/>
    <n v="0"/>
    <n v="0"/>
    <n v="0"/>
    <n v="49"/>
  </r>
  <r>
    <n v="2"/>
    <x v="1"/>
    <s v="00/02/06"/>
    <s v="1400/02/06"/>
    <x v="21"/>
    <n v="10079"/>
    <x v="90"/>
    <n v="2722"/>
    <n v="2722"/>
    <n v="2722"/>
    <n v="0"/>
    <n v="0"/>
    <n v="0"/>
    <n v="0"/>
    <n v="0"/>
    <n v="0"/>
    <n v="0"/>
    <n v="0"/>
    <n v="0"/>
    <n v="0"/>
    <n v="49"/>
  </r>
  <r>
    <n v="2"/>
    <x v="1"/>
    <s v="00/02/06"/>
    <s v="1400/02/06"/>
    <x v="21"/>
    <n v="10048"/>
    <x v="51"/>
    <n v="-1482"/>
    <n v="-1482"/>
    <n v="0"/>
    <n v="1482"/>
    <n v="0"/>
    <n v="1482"/>
    <n v="1482"/>
    <n v="0"/>
    <n v="0"/>
    <n v="0"/>
    <n v="0"/>
    <n v="0"/>
    <n v="0"/>
    <n v="49"/>
  </r>
  <r>
    <n v="2"/>
    <x v="1"/>
    <s v="00/02/06"/>
    <s v="1400/02/06"/>
    <x v="21"/>
    <n v="10055"/>
    <x v="80"/>
    <n v="-5068"/>
    <n v="-5068"/>
    <n v="0"/>
    <n v="5068"/>
    <n v="0"/>
    <n v="5068"/>
    <n v="5068"/>
    <n v="0"/>
    <n v="0"/>
    <n v="0"/>
    <n v="0"/>
    <n v="0"/>
    <n v="0"/>
    <n v="49"/>
  </r>
  <r>
    <n v="2"/>
    <x v="1"/>
    <s v="00/02/07"/>
    <s v="1400/02/07"/>
    <x v="22"/>
    <n v="50016"/>
    <x v="31"/>
    <n v="941"/>
    <n v="941"/>
    <n v="941"/>
    <n v="0"/>
    <n v="0"/>
    <n v="0"/>
    <n v="0"/>
    <n v="0"/>
    <n v="0"/>
    <n v="0"/>
    <n v="0"/>
    <n v="0"/>
    <n v="0"/>
    <n v="49"/>
  </r>
  <r>
    <n v="2"/>
    <x v="1"/>
    <s v="00/02/07"/>
    <s v="1400/02/07"/>
    <x v="22"/>
    <n v="30012"/>
    <x v="59"/>
    <n v="-1452"/>
    <n v="-1452"/>
    <n v="0"/>
    <n v="1452"/>
    <n v="0"/>
    <n v="1452"/>
    <n v="1452"/>
    <n v="0"/>
    <n v="0"/>
    <n v="0"/>
    <n v="0"/>
    <n v="0"/>
    <n v="0"/>
    <n v="49"/>
  </r>
  <r>
    <n v="2"/>
    <x v="1"/>
    <s v="00/02/07"/>
    <s v="1400/02/07"/>
    <x v="22"/>
    <n v="10018"/>
    <x v="95"/>
    <n v="78"/>
    <n v="78"/>
    <n v="78"/>
    <n v="0"/>
    <n v="0"/>
    <n v="0"/>
    <n v="0"/>
    <n v="0"/>
    <n v="0"/>
    <n v="0"/>
    <n v="0"/>
    <n v="0"/>
    <n v="0"/>
    <n v="49"/>
  </r>
  <r>
    <n v="2"/>
    <x v="1"/>
    <s v="00/02/07"/>
    <s v="1400/02/07"/>
    <x v="22"/>
    <n v="30081"/>
    <x v="67"/>
    <n v="-3476"/>
    <n v="-3476"/>
    <n v="0"/>
    <n v="3476"/>
    <n v="0"/>
    <n v="3476"/>
    <n v="3476"/>
    <n v="0"/>
    <n v="0"/>
    <n v="0"/>
    <n v="0"/>
    <n v="0"/>
    <n v="0"/>
    <n v="49"/>
  </r>
  <r>
    <n v="2"/>
    <x v="1"/>
    <s v="00/02/07"/>
    <s v="1400/02/07"/>
    <x v="22"/>
    <n v="10048"/>
    <x v="51"/>
    <n v="558"/>
    <n v="558"/>
    <n v="558"/>
    <n v="0"/>
    <n v="0"/>
    <n v="0"/>
    <n v="0"/>
    <n v="0"/>
    <n v="0"/>
    <n v="0"/>
    <n v="0"/>
    <n v="0"/>
    <n v="0"/>
    <n v="49"/>
  </r>
  <r>
    <n v="3"/>
    <x v="1"/>
    <s v="00/02/07"/>
    <s v="1400/02/07"/>
    <x v="22"/>
    <n v="30127"/>
    <x v="99"/>
    <n v="-16377"/>
    <n v="-16377"/>
    <n v="0"/>
    <n v="16377"/>
    <n v="0"/>
    <n v="16377"/>
    <n v="16377"/>
    <n v="0"/>
    <n v="0"/>
    <n v="0"/>
    <n v="0"/>
    <n v="0"/>
    <n v="0"/>
    <n v="16426"/>
  </r>
  <r>
    <n v="3"/>
    <x v="1"/>
    <s v="00/02/07"/>
    <s v="1400/02/07"/>
    <x v="22"/>
    <n v="10119"/>
    <x v="100"/>
    <n v="240"/>
    <n v="240"/>
    <n v="240"/>
    <n v="0"/>
    <n v="0"/>
    <n v="0"/>
    <n v="0"/>
    <n v="0"/>
    <n v="0"/>
    <n v="0"/>
    <n v="0"/>
    <n v="0"/>
    <n v="0"/>
    <n v="16426"/>
  </r>
  <r>
    <n v="3"/>
    <x v="1"/>
    <s v="00/02/07"/>
    <s v="1400/02/07"/>
    <x v="22"/>
    <n v="10003"/>
    <x v="79"/>
    <n v="-2380"/>
    <n v="-2380"/>
    <n v="0"/>
    <n v="2380"/>
    <n v="0"/>
    <n v="2380"/>
    <n v="2380"/>
    <n v="0"/>
    <n v="0"/>
    <n v="0"/>
    <n v="0"/>
    <n v="0"/>
    <n v="0"/>
    <n v="16426"/>
  </r>
  <r>
    <n v="3"/>
    <x v="1"/>
    <s v="00/02/07"/>
    <s v="1400/02/07"/>
    <x v="22"/>
    <n v="10003"/>
    <x v="79"/>
    <n v="1931"/>
    <n v="1931"/>
    <n v="1931"/>
    <n v="0"/>
    <n v="0"/>
    <n v="0"/>
    <n v="0"/>
    <n v="0"/>
    <n v="0"/>
    <n v="0"/>
    <n v="0"/>
    <n v="0"/>
    <n v="0"/>
    <n v="16426"/>
  </r>
  <r>
    <n v="3"/>
    <x v="1"/>
    <s v="00/02/07"/>
    <s v="1400/02/07"/>
    <x v="22"/>
    <n v="10018"/>
    <x v="95"/>
    <n v="-406"/>
    <n v="-406"/>
    <n v="0"/>
    <n v="406"/>
    <n v="0"/>
    <n v="406"/>
    <n v="406"/>
    <n v="0"/>
    <n v="0"/>
    <n v="0"/>
    <n v="0"/>
    <n v="0"/>
    <n v="0"/>
    <n v="16426"/>
  </r>
  <r>
    <n v="3"/>
    <x v="1"/>
    <s v="00/02/07"/>
    <s v="1400/02/07"/>
    <x v="22"/>
    <n v="30009"/>
    <x v="66"/>
    <n v="1277"/>
    <n v="1277"/>
    <n v="1277"/>
    <n v="0"/>
    <n v="0"/>
    <n v="0"/>
    <n v="0"/>
    <n v="0"/>
    <n v="0"/>
    <n v="0"/>
    <n v="0"/>
    <n v="0"/>
    <n v="0"/>
    <n v="16426"/>
  </r>
  <r>
    <n v="3"/>
    <x v="1"/>
    <s v="00/02/07"/>
    <s v="1400/02/07"/>
    <x v="22"/>
    <n v="30009"/>
    <x v="66"/>
    <n v="-1044"/>
    <n v="-1044"/>
    <n v="0"/>
    <n v="1044"/>
    <n v="0"/>
    <n v="1044"/>
    <n v="1044"/>
    <n v="0"/>
    <n v="0"/>
    <n v="0"/>
    <n v="0"/>
    <n v="0"/>
    <n v="0"/>
    <n v="16426"/>
  </r>
  <r>
    <n v="3"/>
    <x v="1"/>
    <s v="00/02/07"/>
    <s v="1400/02/07"/>
    <x v="22"/>
    <n v="10119"/>
    <x v="100"/>
    <n v="178"/>
    <n v="178"/>
    <n v="178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04"/>
    <x v="2"/>
    <n v="-5108"/>
    <n v="-5108"/>
    <n v="0"/>
    <n v="5108"/>
    <n v="0"/>
    <n v="5108"/>
    <n v="5108"/>
    <n v="0"/>
    <n v="0"/>
    <n v="0"/>
    <n v="0"/>
    <n v="0"/>
    <n v="0"/>
    <n v="16426"/>
  </r>
  <r>
    <n v="3"/>
    <x v="1"/>
    <s v="00/02/08"/>
    <s v="1400/02/08"/>
    <x v="23"/>
    <n v="30009"/>
    <x v="66"/>
    <n v="1949"/>
    <n v="1949"/>
    <n v="1949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03"/>
    <x v="65"/>
    <n v="-1528"/>
    <n v="-1528"/>
    <n v="0"/>
    <n v="1528"/>
    <n v="0"/>
    <n v="1528"/>
    <n v="1528"/>
    <n v="0"/>
    <n v="0"/>
    <n v="0"/>
    <n v="0"/>
    <n v="0"/>
    <n v="0"/>
    <n v="16426"/>
  </r>
  <r>
    <n v="3"/>
    <x v="1"/>
    <s v="00/02/08"/>
    <s v="1400/02/08"/>
    <x v="23"/>
    <n v="30003"/>
    <x v="65"/>
    <n v="1528"/>
    <n v="1528"/>
    <n v="1528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09"/>
    <x v="66"/>
    <n v="-2008"/>
    <n v="-2008"/>
    <n v="0"/>
    <n v="2008"/>
    <n v="0"/>
    <n v="2008"/>
    <n v="2008"/>
    <n v="0"/>
    <n v="0"/>
    <n v="0"/>
    <n v="0"/>
    <n v="0"/>
    <n v="0"/>
    <n v="16426"/>
  </r>
  <r>
    <n v="3"/>
    <x v="1"/>
    <s v="00/02/08"/>
    <s v="1400/02/08"/>
    <x v="23"/>
    <n v="10009"/>
    <x v="24"/>
    <n v="10000"/>
    <n v="10000"/>
    <n v="1000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66"/>
    <x v="77"/>
    <n v="-4514"/>
    <n v="-4514"/>
    <n v="0"/>
    <n v="4514"/>
    <n v="0"/>
    <n v="4514"/>
    <n v="4514"/>
    <n v="0"/>
    <n v="0"/>
    <n v="0"/>
    <n v="0"/>
    <n v="0"/>
    <n v="0"/>
    <n v="16426"/>
  </r>
  <r>
    <n v="3"/>
    <x v="1"/>
    <s v="00/02/08"/>
    <s v="1400/02/08"/>
    <x v="23"/>
    <n v="30133"/>
    <x v="57"/>
    <n v="5035"/>
    <n v="5035"/>
    <n v="5035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50011"/>
    <x v="17"/>
    <n v="-1042"/>
    <n v="-1042"/>
    <n v="0"/>
    <n v="1042"/>
    <n v="0"/>
    <n v="1042"/>
    <n v="1042"/>
    <n v="0"/>
    <n v="0"/>
    <n v="0"/>
    <n v="0"/>
    <n v="0"/>
    <n v="0"/>
    <n v="16426"/>
  </r>
  <r>
    <n v="3"/>
    <x v="1"/>
    <s v="00/02/08"/>
    <s v="1400/02/08"/>
    <x v="23"/>
    <n v="10069"/>
    <x v="68"/>
    <n v="840"/>
    <n v="840"/>
    <n v="84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26"/>
    <x v="81"/>
    <n v="-1814"/>
    <n v="-1814"/>
    <n v="0"/>
    <n v="1814"/>
    <n v="0"/>
    <n v="1814"/>
    <n v="1814"/>
    <n v="0"/>
    <n v="0"/>
    <n v="0"/>
    <n v="0"/>
    <n v="0"/>
    <n v="0"/>
    <n v="16426"/>
  </r>
  <r>
    <n v="3"/>
    <x v="1"/>
    <s v="00/02/08"/>
    <s v="1400/02/08"/>
    <x v="23"/>
    <n v="30066"/>
    <x v="77"/>
    <n v="3974"/>
    <n v="3974"/>
    <n v="3974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03"/>
    <x v="79"/>
    <n v="-796"/>
    <n v="-796"/>
    <n v="0"/>
    <n v="796"/>
    <n v="0"/>
    <n v="796"/>
    <n v="796"/>
    <n v="0"/>
    <n v="0"/>
    <n v="0"/>
    <n v="0"/>
    <n v="0"/>
    <n v="0"/>
    <n v="16426"/>
  </r>
  <r>
    <n v="3"/>
    <x v="1"/>
    <s v="00/02/08"/>
    <s v="1400/02/08"/>
    <x v="23"/>
    <n v="10003"/>
    <x v="79"/>
    <n v="2446"/>
    <n v="2446"/>
    <n v="2446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27"/>
    <x v="72"/>
    <n v="-1834"/>
    <n v="-1834"/>
    <n v="0"/>
    <n v="1834"/>
    <n v="0"/>
    <n v="1834"/>
    <n v="1834"/>
    <n v="0"/>
    <n v="0"/>
    <n v="0"/>
    <n v="0"/>
    <n v="0"/>
    <n v="0"/>
    <n v="16426"/>
  </r>
  <r>
    <n v="3"/>
    <x v="1"/>
    <s v="00/02/08"/>
    <s v="1400/02/08"/>
    <x v="23"/>
    <n v="10069"/>
    <x v="68"/>
    <n v="107"/>
    <n v="107"/>
    <n v="107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104"/>
    <x v="76"/>
    <n v="-560"/>
    <n v="-560"/>
    <n v="0"/>
    <n v="560"/>
    <n v="0"/>
    <n v="560"/>
    <n v="560"/>
    <n v="0"/>
    <n v="0"/>
    <n v="0"/>
    <n v="0"/>
    <n v="0"/>
    <n v="0"/>
    <n v="16426"/>
  </r>
  <r>
    <n v="3"/>
    <x v="1"/>
    <s v="00/02/08"/>
    <s v="1400/02/08"/>
    <x v="23"/>
    <n v="10069"/>
    <x v="68"/>
    <n v="1280"/>
    <n v="1280"/>
    <n v="128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69"/>
    <x v="68"/>
    <n v="-2100"/>
    <n v="-2100"/>
    <n v="0"/>
    <n v="2100"/>
    <n v="0"/>
    <n v="2100"/>
    <n v="2100"/>
    <n v="0"/>
    <n v="0"/>
    <n v="0"/>
    <n v="0"/>
    <n v="0"/>
    <n v="0"/>
    <n v="16426"/>
  </r>
  <r>
    <n v="3"/>
    <x v="1"/>
    <s v="00/02/08"/>
    <s v="1400/02/08"/>
    <x v="23"/>
    <n v="30004"/>
    <x v="2"/>
    <n v="2723"/>
    <n v="2723"/>
    <n v="2723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50011"/>
    <x v="17"/>
    <n v="1025"/>
    <n v="1025"/>
    <n v="1025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12"/>
    <x v="59"/>
    <n v="1060"/>
    <n v="1060"/>
    <n v="106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12"/>
    <x v="59"/>
    <n v="928"/>
    <n v="928"/>
    <n v="928"/>
    <n v="0"/>
    <n v="0"/>
    <n v="0"/>
    <n v="0"/>
    <n v="0"/>
    <n v="0"/>
    <n v="0"/>
    <n v="0"/>
    <n v="0"/>
    <n v="0"/>
    <n v="16426"/>
  </r>
  <r>
    <n v="4"/>
    <x v="1"/>
    <s v="00/02/09"/>
    <s v="1400/02/09"/>
    <x v="24"/>
    <n v="30127"/>
    <x v="99"/>
    <n v="-16567"/>
    <n v="-16567"/>
    <n v="0"/>
    <n v="16567"/>
    <n v="0"/>
    <n v="16567"/>
    <n v="16567"/>
    <n v="0"/>
    <n v="0"/>
    <n v="0"/>
    <n v="0"/>
    <n v="0"/>
    <n v="0"/>
    <n v="32993"/>
  </r>
  <r>
    <n v="4"/>
    <x v="1"/>
    <s v="00/02/09"/>
    <s v="1400/02/09"/>
    <x v="24"/>
    <n v="30017"/>
    <x v="83"/>
    <n v="874"/>
    <n v="874"/>
    <n v="874"/>
    <n v="0"/>
    <n v="0"/>
    <n v="0"/>
    <n v="0"/>
    <n v="0"/>
    <n v="0"/>
    <n v="0"/>
    <n v="0"/>
    <n v="0"/>
    <n v="0"/>
    <n v="32993"/>
  </r>
  <r>
    <n v="4"/>
    <x v="1"/>
    <s v="00/02/09"/>
    <s v="1400/02/09"/>
    <x v="24"/>
    <n v="30009"/>
    <x v="66"/>
    <n v="-2016"/>
    <n v="-2016"/>
    <n v="0"/>
    <n v="2016"/>
    <n v="0"/>
    <n v="2016"/>
    <n v="2016"/>
    <n v="0"/>
    <n v="0"/>
    <n v="0"/>
    <n v="0"/>
    <n v="0"/>
    <n v="0"/>
    <n v="32993"/>
  </r>
  <r>
    <n v="4"/>
    <x v="1"/>
    <s v="00/02/09"/>
    <s v="1400/02/09"/>
    <x v="24"/>
    <n v="30009"/>
    <x v="66"/>
    <n v="1934"/>
    <n v="1934"/>
    <n v="1934"/>
    <n v="0"/>
    <n v="0"/>
    <n v="0"/>
    <n v="0"/>
    <n v="0"/>
    <n v="0"/>
    <n v="0"/>
    <n v="0"/>
    <n v="0"/>
    <n v="0"/>
    <n v="32993"/>
  </r>
  <r>
    <n v="4"/>
    <x v="1"/>
    <s v="00/02/09"/>
    <s v="1400/02/09"/>
    <x v="24"/>
    <n v="10003"/>
    <x v="79"/>
    <n v="-2066"/>
    <n v="-2066"/>
    <n v="0"/>
    <n v="2066"/>
    <n v="0"/>
    <n v="2066"/>
    <n v="2066"/>
    <n v="0"/>
    <n v="0"/>
    <n v="0"/>
    <n v="0"/>
    <n v="0"/>
    <n v="0"/>
    <n v="32993"/>
  </r>
  <r>
    <n v="4"/>
    <x v="1"/>
    <s v="00/02/09"/>
    <s v="1400/02/09"/>
    <x v="24"/>
    <n v="10003"/>
    <x v="79"/>
    <n v="1672"/>
    <n v="1672"/>
    <n v="1672"/>
    <n v="0"/>
    <n v="0"/>
    <n v="0"/>
    <n v="0"/>
    <n v="0"/>
    <n v="0"/>
    <n v="0"/>
    <n v="0"/>
    <n v="0"/>
    <n v="0"/>
    <n v="32993"/>
  </r>
  <r>
    <n v="4"/>
    <x v="1"/>
    <s v="00/02/09"/>
    <s v="1400/02/09"/>
    <x v="24"/>
    <n v="30017"/>
    <x v="83"/>
    <n v="2010"/>
    <n v="2010"/>
    <n v="2010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58"/>
    <x v="63"/>
    <n v="-9807"/>
    <n v="-9807"/>
    <n v="0"/>
    <n v="9807"/>
    <n v="0"/>
    <n v="9807"/>
    <n v="9807"/>
    <n v="0"/>
    <n v="0"/>
    <n v="0"/>
    <n v="0"/>
    <n v="0"/>
    <n v="0"/>
    <n v="32993"/>
  </r>
  <r>
    <n v="4"/>
    <x v="1"/>
    <s v="00/02/11"/>
    <s v="1400/02/11"/>
    <x v="25"/>
    <n v="10026"/>
    <x v="81"/>
    <n v="3226"/>
    <n v="3226"/>
    <n v="3226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146"/>
    <x v="64"/>
    <n v="-5138"/>
    <n v="-5138"/>
    <n v="0"/>
    <n v="5138"/>
    <n v="0"/>
    <n v="5138"/>
    <n v="5138"/>
    <n v="0"/>
    <n v="0"/>
    <n v="0"/>
    <n v="0"/>
    <n v="0"/>
    <n v="0"/>
    <n v="32993"/>
  </r>
  <r>
    <n v="4"/>
    <x v="1"/>
    <s v="00/02/11"/>
    <s v="1400/02/11"/>
    <x v="25"/>
    <n v="30066"/>
    <x v="77"/>
    <n v="3033"/>
    <n v="3033"/>
    <n v="3033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66"/>
    <x v="77"/>
    <n v="-2290"/>
    <n v="-2290"/>
    <n v="0"/>
    <n v="2290"/>
    <n v="0"/>
    <n v="2290"/>
    <n v="2290"/>
    <n v="0"/>
    <n v="0"/>
    <n v="0"/>
    <n v="0"/>
    <n v="0"/>
    <n v="0"/>
    <n v="32993"/>
  </r>
  <r>
    <n v="4"/>
    <x v="1"/>
    <s v="00/02/11"/>
    <s v="1400/02/11"/>
    <x v="25"/>
    <n v="30146"/>
    <x v="64"/>
    <n v="593"/>
    <n v="593"/>
    <n v="593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3"/>
    <x v="79"/>
    <n v="-4514"/>
    <n v="-4514"/>
    <n v="0"/>
    <n v="4514"/>
    <n v="0"/>
    <n v="4514"/>
    <n v="4514"/>
    <n v="0"/>
    <n v="0"/>
    <n v="0"/>
    <n v="0"/>
    <n v="0"/>
    <n v="0"/>
    <n v="32993"/>
  </r>
  <r>
    <n v="4"/>
    <x v="1"/>
    <s v="00/02/11"/>
    <s v="1400/02/11"/>
    <x v="25"/>
    <n v="10026"/>
    <x v="81"/>
    <n v="958"/>
    <n v="958"/>
    <n v="958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9"/>
    <x v="24"/>
    <n v="-2120"/>
    <n v="-2120"/>
    <n v="0"/>
    <n v="2120"/>
    <n v="0"/>
    <n v="2120"/>
    <n v="2120"/>
    <n v="0"/>
    <n v="0"/>
    <n v="0"/>
    <n v="0"/>
    <n v="0"/>
    <n v="0"/>
    <n v="32993"/>
  </r>
  <r>
    <n v="4"/>
    <x v="1"/>
    <s v="00/02/11"/>
    <s v="1400/02/11"/>
    <x v="25"/>
    <n v="30017"/>
    <x v="83"/>
    <n v="117"/>
    <n v="117"/>
    <n v="117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26"/>
    <x v="81"/>
    <n v="-3684"/>
    <n v="-3684"/>
    <n v="0"/>
    <n v="3684"/>
    <n v="0"/>
    <n v="3684"/>
    <n v="3684"/>
    <n v="0"/>
    <n v="0"/>
    <n v="0"/>
    <n v="0"/>
    <n v="0"/>
    <n v="0"/>
    <n v="32993"/>
  </r>
  <r>
    <n v="4"/>
    <x v="1"/>
    <s v="00/02/11"/>
    <s v="1400/02/11"/>
    <x v="25"/>
    <n v="10026"/>
    <x v="81"/>
    <n v="1812"/>
    <n v="1812"/>
    <n v="1812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26"/>
    <x v="81"/>
    <n v="2954"/>
    <n v="2954"/>
    <n v="2954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9"/>
    <x v="24"/>
    <n v="1572"/>
    <n v="1572"/>
    <n v="1572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104"/>
    <x v="76"/>
    <n v="20"/>
    <n v="20"/>
    <n v="20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3"/>
    <x v="79"/>
    <n v="2758"/>
    <n v="2758"/>
    <n v="2758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81"/>
    <x v="67"/>
    <n v="4960"/>
    <n v="4960"/>
    <n v="4960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146"/>
    <x v="64"/>
    <n v="1019"/>
    <n v="1019"/>
    <n v="1019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146"/>
    <x v="64"/>
    <n v="154"/>
    <n v="154"/>
    <n v="154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104"/>
    <x v="76"/>
    <n v="465"/>
    <n v="465"/>
    <n v="465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66"/>
    <x v="77"/>
    <n v="4208"/>
    <n v="4208"/>
    <n v="4208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137"/>
    <x v="101"/>
    <n v="-1016"/>
    <n v="-1016"/>
    <n v="0"/>
    <n v="1016"/>
    <n v="0"/>
    <n v="1016"/>
    <n v="1016"/>
    <n v="0"/>
    <n v="0"/>
    <n v="0"/>
    <n v="0"/>
    <n v="0"/>
    <n v="0"/>
    <n v="32993"/>
  </r>
  <r>
    <n v="4"/>
    <x v="1"/>
    <s v="00/02/12"/>
    <s v="1400/02/12"/>
    <x v="26"/>
    <n v="30004"/>
    <x v="2"/>
    <n v="3757"/>
    <n v="3757"/>
    <n v="3757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018"/>
    <x v="1"/>
    <n v="-1998"/>
    <n v="-1998"/>
    <n v="0"/>
    <n v="1998"/>
    <n v="0"/>
    <n v="1998"/>
    <n v="1998"/>
    <n v="0"/>
    <n v="0"/>
    <n v="0"/>
    <n v="0"/>
    <n v="0"/>
    <n v="0"/>
    <n v="32993"/>
  </r>
  <r>
    <n v="4"/>
    <x v="1"/>
    <s v="00/02/12"/>
    <s v="1400/02/12"/>
    <x v="26"/>
    <n v="10026"/>
    <x v="81"/>
    <n v="4066"/>
    <n v="4066"/>
    <n v="4066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174"/>
    <x v="60"/>
    <n v="-98"/>
    <n v="-98"/>
    <n v="0"/>
    <n v="98"/>
    <n v="0"/>
    <n v="98"/>
    <n v="98"/>
    <n v="0"/>
    <n v="0"/>
    <n v="0"/>
    <n v="0"/>
    <n v="0"/>
    <n v="0"/>
    <n v="32993"/>
  </r>
  <r>
    <n v="4"/>
    <x v="1"/>
    <s v="00/02/12"/>
    <s v="1400/02/12"/>
    <x v="26"/>
    <n v="10070"/>
    <x v="53"/>
    <n v="2000"/>
    <n v="2000"/>
    <n v="2000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174"/>
    <x v="60"/>
    <n v="-144"/>
    <n v="-144"/>
    <n v="0"/>
    <n v="144"/>
    <n v="0"/>
    <n v="144"/>
    <n v="144"/>
    <n v="0"/>
    <n v="0"/>
    <n v="0"/>
    <n v="0"/>
    <n v="0"/>
    <n v="0"/>
    <n v="32993"/>
  </r>
  <r>
    <n v="4"/>
    <x v="1"/>
    <s v="00/02/12"/>
    <s v="1400/02/12"/>
    <x v="26"/>
    <n v="30018"/>
    <x v="1"/>
    <n v="2038"/>
    <n v="2038"/>
    <n v="2038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10070"/>
    <x v="53"/>
    <n v="-1994"/>
    <n v="-1994"/>
    <n v="0"/>
    <n v="1994"/>
    <n v="0"/>
    <n v="1994"/>
    <n v="1994"/>
    <n v="0"/>
    <n v="0"/>
    <n v="0"/>
    <n v="0"/>
    <n v="0"/>
    <n v="0"/>
    <n v="32993"/>
  </r>
  <r>
    <n v="4"/>
    <x v="1"/>
    <s v="00/02/12"/>
    <s v="1400/02/12"/>
    <x v="26"/>
    <n v="30186"/>
    <x v="102"/>
    <n v="2268"/>
    <n v="2268"/>
    <n v="2268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10026"/>
    <x v="81"/>
    <n v="-1942"/>
    <n v="-1942"/>
    <n v="0"/>
    <n v="1942"/>
    <n v="0"/>
    <n v="1942"/>
    <n v="1942"/>
    <n v="0"/>
    <n v="0"/>
    <n v="0"/>
    <n v="0"/>
    <n v="0"/>
    <n v="0"/>
    <n v="32993"/>
  </r>
  <r>
    <n v="5"/>
    <x v="1"/>
    <s v="00/02/12"/>
    <s v="1400/02/12"/>
    <x v="26"/>
    <n v="30127"/>
    <x v="99"/>
    <n v="15317"/>
    <n v="15317"/>
    <n v="15317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009"/>
    <x v="66"/>
    <n v="-120"/>
    <n v="-120"/>
    <n v="0"/>
    <n v="120"/>
    <n v="0"/>
    <n v="120"/>
    <n v="120"/>
    <n v="0"/>
    <n v="0"/>
    <n v="0"/>
    <n v="0"/>
    <n v="0"/>
    <n v="0"/>
    <n v="17676"/>
  </r>
  <r>
    <n v="5"/>
    <x v="1"/>
    <s v="00/02/12"/>
    <s v="1400/02/12"/>
    <x v="26"/>
    <n v="30009"/>
    <x v="66"/>
    <n v="1074"/>
    <n v="1074"/>
    <n v="1074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004"/>
    <x v="2"/>
    <n v="-3646"/>
    <n v="-3646"/>
    <n v="0"/>
    <n v="3646"/>
    <n v="0"/>
    <n v="3646"/>
    <n v="3646"/>
    <n v="0"/>
    <n v="0"/>
    <n v="0"/>
    <n v="0"/>
    <n v="0"/>
    <n v="0"/>
    <n v="17676"/>
  </r>
  <r>
    <n v="5"/>
    <x v="1"/>
    <s v="00/02/12"/>
    <s v="1400/02/12"/>
    <x v="26"/>
    <n v="10003"/>
    <x v="79"/>
    <n v="1676"/>
    <n v="1676"/>
    <n v="1676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017"/>
    <x v="83"/>
    <n v="2047"/>
    <n v="2047"/>
    <n v="2047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174"/>
    <x v="60"/>
    <n v="244"/>
    <n v="244"/>
    <n v="244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30022"/>
    <x v="75"/>
    <n v="-5196"/>
    <n v="-5196"/>
    <n v="0"/>
    <n v="5196"/>
    <n v="0"/>
    <n v="5196"/>
    <n v="5196"/>
    <n v="0"/>
    <n v="0"/>
    <n v="0"/>
    <n v="0"/>
    <n v="0"/>
    <n v="0"/>
    <n v="17676"/>
  </r>
  <r>
    <n v="5"/>
    <x v="1"/>
    <s v="00/02/13"/>
    <s v="1400/02/13"/>
    <x v="27"/>
    <n v="10027"/>
    <x v="72"/>
    <n v="2716"/>
    <n v="2716"/>
    <n v="2716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30066"/>
    <x v="77"/>
    <n v="-2026"/>
    <n v="-2026"/>
    <n v="0"/>
    <n v="2026"/>
    <n v="0"/>
    <n v="2026"/>
    <n v="2026"/>
    <n v="0"/>
    <n v="0"/>
    <n v="0"/>
    <n v="0"/>
    <n v="0"/>
    <n v="0"/>
    <n v="17676"/>
  </r>
  <r>
    <n v="5"/>
    <x v="1"/>
    <s v="00/02/13"/>
    <s v="1400/02/13"/>
    <x v="27"/>
    <n v="30081"/>
    <x v="67"/>
    <n v="1218"/>
    <n v="1218"/>
    <n v="1218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10027"/>
    <x v="72"/>
    <n v="-2152"/>
    <n v="-2152"/>
    <n v="0"/>
    <n v="2152"/>
    <n v="0"/>
    <n v="2152"/>
    <n v="2152"/>
    <n v="0"/>
    <n v="0"/>
    <n v="0"/>
    <n v="0"/>
    <n v="0"/>
    <n v="0"/>
    <n v="17676"/>
  </r>
  <r>
    <n v="5"/>
    <x v="1"/>
    <s v="00/02/13"/>
    <s v="1400/02/13"/>
    <x v="27"/>
    <n v="30081"/>
    <x v="67"/>
    <n v="3034"/>
    <n v="3034"/>
    <n v="3034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10055"/>
    <x v="80"/>
    <n v="-4724"/>
    <n v="-4724"/>
    <n v="0"/>
    <n v="4724"/>
    <n v="0"/>
    <n v="4724"/>
    <n v="4724"/>
    <n v="0"/>
    <n v="0"/>
    <n v="0"/>
    <n v="0"/>
    <n v="0"/>
    <n v="0"/>
    <n v="17676"/>
  </r>
  <r>
    <n v="5"/>
    <x v="1"/>
    <s v="00/02/13"/>
    <s v="1400/02/13"/>
    <x v="27"/>
    <n v="30186"/>
    <x v="102"/>
    <n v="1754"/>
    <n v="1754"/>
    <n v="1754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10003"/>
    <x v="79"/>
    <n v="2541"/>
    <n v="2541"/>
    <n v="2541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30146"/>
    <x v="64"/>
    <n v="346"/>
    <n v="346"/>
    <n v="346"/>
    <n v="0"/>
    <n v="0"/>
    <n v="0"/>
    <n v="0"/>
    <n v="0"/>
    <n v="0"/>
    <n v="0"/>
    <n v="0"/>
    <n v="0"/>
    <n v="0"/>
    <n v="17676"/>
  </r>
  <r>
    <n v="6"/>
    <x v="1"/>
    <s v="00/02/14"/>
    <s v="1400/02/14"/>
    <x v="28"/>
    <n v="30127"/>
    <x v="99"/>
    <n v="-16031"/>
    <n v="-16031"/>
    <n v="0"/>
    <n v="16031"/>
    <n v="0"/>
    <n v="16031"/>
    <n v="16031"/>
    <n v="0"/>
    <n v="0"/>
    <n v="0"/>
    <n v="0"/>
    <n v="0"/>
    <n v="0"/>
    <n v="33707"/>
  </r>
  <r>
    <n v="6"/>
    <x v="1"/>
    <s v="00/02/14"/>
    <s v="1400/02/14"/>
    <x v="28"/>
    <n v="30022"/>
    <x v="75"/>
    <n v="5085"/>
    <n v="5085"/>
    <n v="5085"/>
    <n v="0"/>
    <n v="0"/>
    <n v="0"/>
    <n v="0"/>
    <n v="0"/>
    <n v="0"/>
    <n v="0"/>
    <n v="0"/>
    <n v="0"/>
    <n v="0"/>
    <n v="33707"/>
  </r>
  <r>
    <n v="7"/>
    <x v="1"/>
    <s v="00/02/14"/>
    <s v="1400/02/14"/>
    <x v="28"/>
    <n v="30127"/>
    <x v="99"/>
    <n v="14978"/>
    <n v="14978"/>
    <n v="14978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30009"/>
    <x v="66"/>
    <n v="-3056"/>
    <n v="-3056"/>
    <n v="0"/>
    <n v="3056"/>
    <n v="0"/>
    <n v="3056"/>
    <n v="3056"/>
    <n v="0"/>
    <n v="0"/>
    <n v="0"/>
    <n v="0"/>
    <n v="0"/>
    <n v="0"/>
    <n v="18729"/>
  </r>
  <r>
    <n v="7"/>
    <x v="1"/>
    <s v="00/02/15"/>
    <s v="1400/02/15"/>
    <x v="29"/>
    <n v="30066"/>
    <x v="77"/>
    <n v="4320"/>
    <n v="4320"/>
    <n v="4320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10092"/>
    <x v="8"/>
    <n v="-53"/>
    <n v="-53"/>
    <n v="0"/>
    <n v="53"/>
    <n v="0"/>
    <n v="53"/>
    <n v="53"/>
    <n v="0"/>
    <n v="0"/>
    <n v="0"/>
    <n v="0"/>
    <n v="0"/>
    <n v="0"/>
    <n v="18729"/>
  </r>
  <r>
    <n v="7"/>
    <x v="1"/>
    <s v="00/02/15"/>
    <s v="1400/02/15"/>
    <x v="29"/>
    <n v="10055"/>
    <x v="80"/>
    <n v="5336"/>
    <n v="5336"/>
    <n v="5336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10092"/>
    <x v="8"/>
    <n v="-37"/>
    <n v="-37"/>
    <n v="0"/>
    <n v="37"/>
    <n v="0"/>
    <n v="37"/>
    <n v="37"/>
    <n v="0"/>
    <n v="0"/>
    <n v="0"/>
    <n v="0"/>
    <n v="0"/>
    <n v="0"/>
    <n v="18729"/>
  </r>
  <r>
    <n v="7"/>
    <x v="1"/>
    <s v="00/02/15"/>
    <s v="1400/02/15"/>
    <x v="29"/>
    <n v="10003"/>
    <x v="79"/>
    <n v="2790"/>
    <n v="2790"/>
    <n v="2790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30081"/>
    <x v="67"/>
    <n v="-852"/>
    <n v="-852"/>
    <n v="0"/>
    <n v="852"/>
    <n v="0"/>
    <n v="852"/>
    <n v="852"/>
    <n v="0"/>
    <n v="0"/>
    <n v="0"/>
    <n v="0"/>
    <n v="0"/>
    <n v="0"/>
    <n v="18729"/>
  </r>
  <r>
    <n v="7"/>
    <x v="1"/>
    <s v="00/02/15"/>
    <s v="1400/02/15"/>
    <x v="29"/>
    <n v="10003"/>
    <x v="79"/>
    <n v="-2096"/>
    <n v="-2096"/>
    <n v="0"/>
    <n v="2096"/>
    <n v="0"/>
    <n v="2096"/>
    <n v="2096"/>
    <n v="0"/>
    <n v="0"/>
    <n v="0"/>
    <n v="0"/>
    <n v="0"/>
    <n v="0"/>
    <n v="18729"/>
  </r>
  <r>
    <n v="7"/>
    <x v="1"/>
    <s v="00/02/15"/>
    <s v="1400/02/15"/>
    <x v="29"/>
    <n v="10020"/>
    <x v="40"/>
    <n v="-998"/>
    <n v="-998"/>
    <n v="0"/>
    <n v="998"/>
    <n v="0"/>
    <n v="998"/>
    <n v="998"/>
    <n v="0"/>
    <n v="0"/>
    <n v="0"/>
    <n v="0"/>
    <n v="0"/>
    <n v="0"/>
    <n v="18729"/>
  </r>
  <r>
    <n v="7"/>
    <x v="1"/>
    <s v="00/02/15"/>
    <s v="1400/02/15"/>
    <x v="29"/>
    <n v="10104"/>
    <x v="76"/>
    <n v="-804"/>
    <n v="-804"/>
    <n v="0"/>
    <n v="804"/>
    <n v="0"/>
    <n v="804"/>
    <n v="804"/>
    <n v="0"/>
    <n v="0"/>
    <n v="0"/>
    <n v="0"/>
    <n v="0"/>
    <n v="0"/>
    <n v="18729"/>
  </r>
  <r>
    <n v="7"/>
    <x v="1"/>
    <s v="00/02/16"/>
    <s v="1400/02/16"/>
    <x v="30"/>
    <n v="10126"/>
    <x v="103"/>
    <n v="410"/>
    <n v="410"/>
    <n v="41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30003"/>
    <x v="65"/>
    <n v="-976"/>
    <n v="-976"/>
    <n v="0"/>
    <n v="976"/>
    <n v="0"/>
    <n v="976"/>
    <n v="976"/>
    <n v="0"/>
    <n v="0"/>
    <n v="0"/>
    <n v="0"/>
    <n v="0"/>
    <n v="0"/>
    <n v="18729"/>
  </r>
  <r>
    <n v="7"/>
    <x v="1"/>
    <s v="00/02/16"/>
    <s v="1400/02/16"/>
    <x v="30"/>
    <n v="10126"/>
    <x v="103"/>
    <n v="310"/>
    <n v="310"/>
    <n v="31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10026"/>
    <x v="81"/>
    <n v="-3508"/>
    <n v="-3508"/>
    <n v="0"/>
    <n v="3508"/>
    <n v="0"/>
    <n v="3508"/>
    <n v="3508"/>
    <n v="0"/>
    <n v="0"/>
    <n v="0"/>
    <n v="0"/>
    <n v="0"/>
    <n v="0"/>
    <n v="18729"/>
  </r>
  <r>
    <n v="7"/>
    <x v="1"/>
    <s v="00/02/16"/>
    <s v="1400/02/16"/>
    <x v="30"/>
    <n v="10055"/>
    <x v="80"/>
    <n v="4961"/>
    <n v="4961"/>
    <n v="4961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30003"/>
    <x v="65"/>
    <n v="540"/>
    <n v="540"/>
    <n v="54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30003"/>
    <x v="65"/>
    <n v="480"/>
    <n v="480"/>
    <n v="48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10055"/>
    <x v="80"/>
    <n v="5158"/>
    <n v="5158"/>
    <n v="5158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57"/>
    <x v="33"/>
    <n v="-1492"/>
    <n v="-1492"/>
    <n v="0"/>
    <n v="1492"/>
    <n v="0"/>
    <n v="1492"/>
    <n v="1492"/>
    <n v="0"/>
    <n v="0"/>
    <n v="0"/>
    <n v="0"/>
    <n v="0"/>
    <n v="0"/>
    <n v="18729"/>
  </r>
  <r>
    <n v="7"/>
    <x v="1"/>
    <s v="00/02/18"/>
    <s v="1400/02/18"/>
    <x v="31"/>
    <n v="10126"/>
    <x v="103"/>
    <n v="164"/>
    <n v="164"/>
    <n v="164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30009"/>
    <x v="66"/>
    <n v="-2006"/>
    <n v="-2006"/>
    <n v="0"/>
    <n v="2006"/>
    <n v="0"/>
    <n v="2006"/>
    <n v="2006"/>
    <n v="0"/>
    <n v="0"/>
    <n v="0"/>
    <n v="0"/>
    <n v="0"/>
    <n v="0"/>
    <n v="18729"/>
  </r>
  <r>
    <n v="7"/>
    <x v="1"/>
    <s v="00/02/18"/>
    <s v="1400/02/18"/>
    <x v="31"/>
    <n v="10057"/>
    <x v="33"/>
    <n v="856"/>
    <n v="856"/>
    <n v="856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30186"/>
    <x v="102"/>
    <n v="-2998"/>
    <n v="-2998"/>
    <n v="0"/>
    <n v="2998"/>
    <n v="0"/>
    <n v="2998"/>
    <n v="2998"/>
    <n v="0"/>
    <n v="0"/>
    <n v="0"/>
    <n v="0"/>
    <n v="0"/>
    <n v="0"/>
    <n v="18729"/>
  </r>
  <r>
    <n v="7"/>
    <x v="1"/>
    <s v="00/02/18"/>
    <s v="1400/02/18"/>
    <x v="31"/>
    <n v="10057"/>
    <x v="33"/>
    <n v="122"/>
    <n v="122"/>
    <n v="122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03"/>
    <x v="79"/>
    <n v="-3257"/>
    <n v="-3257"/>
    <n v="0"/>
    <n v="3257"/>
    <n v="0"/>
    <n v="3257"/>
    <n v="3257"/>
    <n v="0"/>
    <n v="0"/>
    <n v="0"/>
    <n v="0"/>
    <n v="0"/>
    <n v="0"/>
    <n v="18729"/>
  </r>
  <r>
    <n v="7"/>
    <x v="1"/>
    <s v="00/02/18"/>
    <s v="1400/02/18"/>
    <x v="31"/>
    <n v="30066"/>
    <x v="77"/>
    <n v="1809"/>
    <n v="1809"/>
    <n v="1809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26"/>
    <x v="81"/>
    <n v="-2118"/>
    <n v="-2118"/>
    <n v="0"/>
    <n v="2118"/>
    <n v="0"/>
    <n v="2118"/>
    <n v="2118"/>
    <n v="0"/>
    <n v="0"/>
    <n v="0"/>
    <n v="0"/>
    <n v="0"/>
    <n v="0"/>
    <n v="18729"/>
  </r>
  <r>
    <n v="7"/>
    <x v="1"/>
    <s v="00/02/18"/>
    <s v="1400/02/18"/>
    <x v="31"/>
    <n v="10057"/>
    <x v="33"/>
    <n v="200"/>
    <n v="200"/>
    <n v="200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55"/>
    <x v="80"/>
    <n v="-4784"/>
    <n v="-4784"/>
    <n v="0"/>
    <n v="4784"/>
    <n v="0"/>
    <n v="4784"/>
    <n v="4784"/>
    <n v="0"/>
    <n v="0"/>
    <n v="0"/>
    <n v="0"/>
    <n v="0"/>
    <n v="0"/>
    <n v="18729"/>
  </r>
  <r>
    <n v="7"/>
    <x v="1"/>
    <s v="00/02/19"/>
    <s v="1400/02/19"/>
    <x v="32"/>
    <n v="30104"/>
    <x v="61"/>
    <n v="2185"/>
    <n v="2185"/>
    <n v="2185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09"/>
    <x v="66"/>
    <n v="-1864"/>
    <n v="-1864"/>
    <n v="0"/>
    <n v="1864"/>
    <n v="0"/>
    <n v="1864"/>
    <n v="1864"/>
    <n v="0"/>
    <n v="0"/>
    <n v="0"/>
    <n v="0"/>
    <n v="0"/>
    <n v="0"/>
    <n v="18729"/>
  </r>
  <r>
    <n v="7"/>
    <x v="1"/>
    <s v="00/02/19"/>
    <s v="1400/02/19"/>
    <x v="32"/>
    <n v="30017"/>
    <x v="83"/>
    <n v="2166"/>
    <n v="2166"/>
    <n v="2166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81"/>
    <x v="67"/>
    <n v="-2122"/>
    <n v="-2122"/>
    <n v="0"/>
    <n v="2122"/>
    <n v="0"/>
    <n v="2122"/>
    <n v="2122"/>
    <n v="0"/>
    <n v="0"/>
    <n v="0"/>
    <n v="0"/>
    <n v="0"/>
    <n v="0"/>
    <n v="18729"/>
  </r>
  <r>
    <n v="7"/>
    <x v="1"/>
    <s v="00/02/19"/>
    <s v="1400/02/19"/>
    <x v="32"/>
    <n v="30009"/>
    <x v="66"/>
    <n v="1050"/>
    <n v="1050"/>
    <n v="1050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10003"/>
    <x v="79"/>
    <n v="-2010"/>
    <n v="-2010"/>
    <n v="0"/>
    <n v="2010"/>
    <n v="0"/>
    <n v="2010"/>
    <n v="2010"/>
    <n v="0"/>
    <n v="0"/>
    <n v="0"/>
    <n v="0"/>
    <n v="0"/>
    <n v="0"/>
    <n v="18729"/>
  </r>
  <r>
    <n v="7"/>
    <x v="1"/>
    <s v="00/02/19"/>
    <s v="1400/02/19"/>
    <x v="32"/>
    <n v="10127"/>
    <x v="104"/>
    <n v="500"/>
    <n v="500"/>
    <n v="500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10026"/>
    <x v="81"/>
    <n v="-4214"/>
    <n v="-4214"/>
    <n v="0"/>
    <n v="4214"/>
    <n v="0"/>
    <n v="4214"/>
    <n v="4214"/>
    <n v="0"/>
    <n v="0"/>
    <n v="0"/>
    <n v="0"/>
    <n v="0"/>
    <n v="0"/>
    <n v="18729"/>
  </r>
  <r>
    <n v="7"/>
    <x v="1"/>
    <s v="00/02/19"/>
    <s v="1400/02/19"/>
    <x v="32"/>
    <n v="30066"/>
    <x v="77"/>
    <n v="4165.5"/>
    <n v="4165.5"/>
    <n v="4165.5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09"/>
    <x v="66"/>
    <n v="2042"/>
    <n v="2042"/>
    <n v="2042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64"/>
    <x v="43"/>
    <n v="119"/>
    <n v="119"/>
    <n v="119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64"/>
    <x v="43"/>
    <n v="138"/>
    <n v="138"/>
    <n v="138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04"/>
    <x v="2"/>
    <n v="-4412"/>
    <n v="-4412"/>
    <n v="0"/>
    <n v="4412"/>
    <n v="0"/>
    <n v="4412"/>
    <n v="4412"/>
    <n v="0"/>
    <n v="0"/>
    <n v="0"/>
    <n v="0"/>
    <n v="0"/>
    <n v="0"/>
    <n v="18729"/>
  </r>
  <r>
    <n v="7"/>
    <x v="1"/>
    <s v="00/02/20"/>
    <s v="1400/02/20"/>
    <x v="33"/>
    <n v="30116"/>
    <x v="39"/>
    <n v="1640"/>
    <n v="1640"/>
    <n v="1640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03"/>
    <x v="65"/>
    <n v="-1132"/>
    <n v="-1132"/>
    <n v="0"/>
    <n v="1132"/>
    <n v="0"/>
    <n v="1132"/>
    <n v="1132"/>
    <n v="0"/>
    <n v="0"/>
    <n v="0"/>
    <n v="0"/>
    <n v="0"/>
    <n v="0"/>
    <n v="18729"/>
  </r>
  <r>
    <n v="7"/>
    <x v="1"/>
    <s v="00/02/20"/>
    <s v="1400/02/20"/>
    <x v="33"/>
    <n v="30017"/>
    <x v="83"/>
    <n v="506"/>
    <n v="506"/>
    <n v="506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58"/>
    <x v="63"/>
    <n v="-4844"/>
    <n v="-4844"/>
    <n v="0"/>
    <n v="4844"/>
    <n v="0"/>
    <n v="4844"/>
    <n v="4844"/>
    <n v="0"/>
    <n v="0"/>
    <n v="0"/>
    <n v="0"/>
    <n v="0"/>
    <n v="0"/>
    <n v="18729"/>
  </r>
  <r>
    <n v="7"/>
    <x v="1"/>
    <s v="00/02/20"/>
    <s v="1400/02/20"/>
    <x v="33"/>
    <n v="30022"/>
    <x v="75"/>
    <n v="3207"/>
    <n v="3207"/>
    <n v="3207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22"/>
    <x v="75"/>
    <n v="-5031"/>
    <n v="-5031"/>
    <n v="0"/>
    <n v="5031"/>
    <n v="0"/>
    <n v="5031"/>
    <n v="5031"/>
    <n v="0"/>
    <n v="0"/>
    <n v="0"/>
    <n v="0"/>
    <n v="0"/>
    <n v="0"/>
    <n v="18729"/>
  </r>
  <r>
    <n v="7"/>
    <x v="1"/>
    <s v="00/02/20"/>
    <s v="1400/02/20"/>
    <x v="33"/>
    <n v="30017"/>
    <x v="83"/>
    <n v="1712"/>
    <n v="1712"/>
    <n v="1712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09"/>
    <x v="24"/>
    <n v="-1866"/>
    <n v="-1866"/>
    <n v="0"/>
    <n v="1866"/>
    <n v="0"/>
    <n v="1866"/>
    <n v="1866"/>
    <n v="0"/>
    <n v="0"/>
    <n v="0"/>
    <n v="0"/>
    <n v="0"/>
    <n v="0"/>
    <n v="18729"/>
  </r>
  <r>
    <n v="7"/>
    <x v="1"/>
    <s v="00/02/20"/>
    <s v="1400/02/20"/>
    <x v="33"/>
    <n v="30003"/>
    <x v="65"/>
    <n v="743"/>
    <n v="743"/>
    <n v="743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03"/>
    <x v="79"/>
    <n v="-1502"/>
    <n v="-1502"/>
    <n v="0"/>
    <n v="1502"/>
    <n v="0"/>
    <n v="1502"/>
    <n v="1502"/>
    <n v="0"/>
    <n v="0"/>
    <n v="0"/>
    <n v="0"/>
    <n v="0"/>
    <n v="0"/>
    <n v="18729"/>
  </r>
  <r>
    <n v="7"/>
    <x v="1"/>
    <s v="00/02/20"/>
    <s v="1400/02/20"/>
    <x v="33"/>
    <n v="30009"/>
    <x v="66"/>
    <n v="2082"/>
    <n v="2082"/>
    <n v="2082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89"/>
    <x v="35"/>
    <n v="-147"/>
    <n v="-147"/>
    <n v="0"/>
    <n v="147"/>
    <n v="0"/>
    <n v="147"/>
    <n v="147"/>
    <n v="0"/>
    <n v="0"/>
    <n v="0"/>
    <n v="0"/>
    <n v="0"/>
    <n v="0"/>
    <n v="18729"/>
  </r>
  <r>
    <n v="7"/>
    <x v="1"/>
    <s v="00/02/20"/>
    <s v="1400/02/20"/>
    <x v="33"/>
    <n v="30003"/>
    <x v="65"/>
    <n v="446"/>
    <n v="446"/>
    <n v="446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26"/>
    <x v="81"/>
    <n v="-1794"/>
    <n v="-1794"/>
    <n v="0"/>
    <n v="1794"/>
    <n v="0"/>
    <n v="1794"/>
    <n v="1794"/>
    <n v="0"/>
    <n v="0"/>
    <n v="0"/>
    <n v="0"/>
    <n v="0"/>
    <n v="0"/>
    <n v="18729"/>
  </r>
  <r>
    <n v="7"/>
    <x v="1"/>
    <s v="00/02/20"/>
    <s v="1400/02/20"/>
    <x v="33"/>
    <n v="10003"/>
    <x v="79"/>
    <n v="2333"/>
    <n v="2333"/>
    <n v="2333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186"/>
    <x v="102"/>
    <n v="1788"/>
    <n v="1788"/>
    <n v="1788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99"/>
    <x v="11"/>
    <n v="-1012"/>
    <n v="-1012"/>
    <n v="0"/>
    <n v="1012"/>
    <n v="0"/>
    <n v="1012"/>
    <n v="1012"/>
    <n v="0"/>
    <n v="0"/>
    <n v="0"/>
    <n v="0"/>
    <n v="0"/>
    <n v="0"/>
    <n v="18729"/>
  </r>
  <r>
    <n v="7"/>
    <x v="1"/>
    <s v="00/02/21"/>
    <s v="1400/02/21"/>
    <x v="34"/>
    <n v="10003"/>
    <x v="79"/>
    <n v="20000"/>
    <n v="20000"/>
    <n v="20000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81"/>
    <x v="67"/>
    <n v="-4883"/>
    <n v="-4883"/>
    <n v="0"/>
    <n v="4883"/>
    <n v="0"/>
    <n v="4883"/>
    <n v="4883"/>
    <n v="0"/>
    <n v="0"/>
    <n v="0"/>
    <n v="0"/>
    <n v="0"/>
    <n v="0"/>
    <n v="18729"/>
  </r>
  <r>
    <n v="7"/>
    <x v="1"/>
    <s v="00/02/21"/>
    <s v="1400/02/21"/>
    <x v="34"/>
    <n v="30081"/>
    <x v="67"/>
    <n v="5008"/>
    <n v="5008"/>
    <n v="5008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66"/>
    <x v="77"/>
    <n v="-2986"/>
    <n v="-2986"/>
    <n v="0"/>
    <n v="2986"/>
    <n v="0"/>
    <n v="2986"/>
    <n v="2986"/>
    <n v="0"/>
    <n v="0"/>
    <n v="0"/>
    <n v="0"/>
    <n v="0"/>
    <n v="0"/>
    <n v="18729"/>
  </r>
  <r>
    <n v="7"/>
    <x v="1"/>
    <s v="00/02/21"/>
    <s v="1400/02/21"/>
    <x v="34"/>
    <n v="30066"/>
    <x v="77"/>
    <n v="4203"/>
    <n v="4203"/>
    <n v="4203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30"/>
    <x v="36"/>
    <n v="-1496"/>
    <n v="-1496"/>
    <n v="0"/>
    <n v="1496"/>
    <n v="0"/>
    <n v="1496"/>
    <n v="1496"/>
    <n v="0"/>
    <n v="0"/>
    <n v="0"/>
    <n v="0"/>
    <n v="0"/>
    <n v="0"/>
    <n v="18729"/>
  </r>
  <r>
    <n v="7"/>
    <x v="1"/>
    <s v="00/02/21"/>
    <s v="1400/02/21"/>
    <x v="34"/>
    <n v="30004"/>
    <x v="2"/>
    <n v="4255"/>
    <n v="4255"/>
    <n v="4255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99"/>
    <x v="11"/>
    <n v="-8504"/>
    <n v="-8504"/>
    <n v="0"/>
    <n v="8504"/>
    <n v="0"/>
    <n v="8504"/>
    <n v="8504"/>
    <n v="0"/>
    <n v="0"/>
    <n v="0"/>
    <n v="0"/>
    <n v="0"/>
    <n v="0"/>
    <n v="18729"/>
  </r>
  <r>
    <n v="8"/>
    <x v="1"/>
    <s v="00/02/21"/>
    <s v="1400/02/21"/>
    <x v="34"/>
    <n v="30127"/>
    <x v="99"/>
    <n v="14934"/>
    <n v="14934"/>
    <n v="14934"/>
    <n v="0"/>
    <n v="0"/>
    <n v="0"/>
    <n v="0"/>
    <n v="0"/>
    <n v="0"/>
    <n v="0"/>
    <n v="0"/>
    <n v="0"/>
    <n v="0"/>
    <n v="3795"/>
  </r>
  <r>
    <n v="9"/>
    <x v="1"/>
    <s v="00/02/21"/>
    <s v="1400/02/21"/>
    <x v="34"/>
    <n v="30127"/>
    <x v="99"/>
    <n v="-17022"/>
    <n v="-17022"/>
    <n v="0"/>
    <n v="17022"/>
    <n v="0"/>
    <n v="17022"/>
    <n v="17022"/>
    <n v="0"/>
    <n v="0"/>
    <n v="0"/>
    <n v="0"/>
    <n v="0"/>
    <n v="0"/>
    <n v="20817"/>
  </r>
  <r>
    <n v="9"/>
    <x v="1"/>
    <s v="00/02/21"/>
    <s v="1400/02/21"/>
    <x v="34"/>
    <n v="10110"/>
    <x v="105"/>
    <n v="1955"/>
    <n v="1955"/>
    <n v="1955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10079"/>
    <x v="90"/>
    <n v="-994"/>
    <n v="-994"/>
    <n v="0"/>
    <n v="994"/>
    <n v="0"/>
    <n v="994"/>
    <n v="994"/>
    <n v="0"/>
    <n v="0"/>
    <n v="0"/>
    <n v="0"/>
    <n v="0"/>
    <n v="0"/>
    <n v="20817"/>
  </r>
  <r>
    <n v="9"/>
    <x v="1"/>
    <s v="00/02/21"/>
    <s v="1400/02/21"/>
    <x v="34"/>
    <n v="30009"/>
    <x v="66"/>
    <n v="2035"/>
    <n v="2035"/>
    <n v="2035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10055"/>
    <x v="80"/>
    <n v="-5088"/>
    <n v="-5088"/>
    <n v="0"/>
    <n v="5088"/>
    <n v="0"/>
    <n v="5088"/>
    <n v="5088"/>
    <n v="0"/>
    <n v="0"/>
    <n v="0"/>
    <n v="0"/>
    <n v="0"/>
    <n v="0"/>
    <n v="20817"/>
  </r>
  <r>
    <n v="9"/>
    <x v="1"/>
    <s v="00/02/21"/>
    <s v="1400/02/21"/>
    <x v="34"/>
    <n v="30066"/>
    <x v="77"/>
    <n v="4214"/>
    <n v="4214"/>
    <n v="4214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10020"/>
    <x v="40"/>
    <n v="-184"/>
    <n v="-184"/>
    <n v="0"/>
    <n v="184"/>
    <n v="0"/>
    <n v="184"/>
    <n v="184"/>
    <n v="0"/>
    <n v="0"/>
    <n v="0"/>
    <n v="0"/>
    <n v="0"/>
    <n v="0"/>
    <n v="20817"/>
  </r>
  <r>
    <n v="9"/>
    <x v="1"/>
    <s v="00/02/21"/>
    <s v="1400/02/21"/>
    <x v="34"/>
    <n v="10055"/>
    <x v="80"/>
    <n v="4412"/>
    <n v="4412"/>
    <n v="4412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30009"/>
    <x v="66"/>
    <n v="-2004"/>
    <n v="-2004"/>
    <n v="0"/>
    <n v="2004"/>
    <n v="0"/>
    <n v="2004"/>
    <n v="2004"/>
    <n v="0"/>
    <n v="0"/>
    <n v="0"/>
    <n v="0"/>
    <n v="0"/>
    <n v="0"/>
    <n v="20817"/>
  </r>
  <r>
    <n v="9"/>
    <x v="1"/>
    <s v="00/02/21"/>
    <s v="1400/02/21"/>
    <x v="34"/>
    <n v="10003"/>
    <x v="79"/>
    <n v="2867"/>
    <n v="2867"/>
    <n v="2867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30004"/>
    <x v="2"/>
    <n v="-4084"/>
    <n v="-4084"/>
    <n v="0"/>
    <n v="4084"/>
    <n v="0"/>
    <n v="4084"/>
    <n v="4084"/>
    <n v="0"/>
    <n v="0"/>
    <n v="0"/>
    <n v="0"/>
    <n v="0"/>
    <n v="0"/>
    <n v="20817"/>
  </r>
  <r>
    <n v="9"/>
    <x v="1"/>
    <s v="00/02/21"/>
    <s v="1400/02/21"/>
    <x v="34"/>
    <n v="10127"/>
    <x v="104"/>
    <n v="-500"/>
    <n v="-500"/>
    <n v="0"/>
    <n v="500"/>
    <n v="0"/>
    <n v="500"/>
    <n v="500"/>
    <n v="0"/>
    <n v="0"/>
    <n v="0"/>
    <n v="0"/>
    <n v="0"/>
    <n v="0"/>
    <n v="20817"/>
  </r>
  <r>
    <n v="9"/>
    <x v="1"/>
    <s v="00/02/22"/>
    <s v="1400/02/22"/>
    <x v="35"/>
    <n v="10104"/>
    <x v="76"/>
    <n v="164"/>
    <n v="164"/>
    <n v="164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62"/>
    <x v="70"/>
    <n v="-145"/>
    <n v="-145"/>
    <n v="0"/>
    <n v="145"/>
    <n v="0"/>
    <n v="145"/>
    <n v="145"/>
    <n v="0"/>
    <n v="0"/>
    <n v="0"/>
    <n v="0"/>
    <n v="0"/>
    <n v="0"/>
    <n v="20817"/>
  </r>
  <r>
    <n v="9"/>
    <x v="1"/>
    <s v="00/02/22"/>
    <s v="1400/02/22"/>
    <x v="35"/>
    <n v="30124"/>
    <x v="106"/>
    <n v="1730"/>
    <n v="1730"/>
    <n v="173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55"/>
    <x v="107"/>
    <n v="-2485"/>
    <n v="-2485"/>
    <n v="0"/>
    <n v="2485"/>
    <n v="0"/>
    <n v="2485"/>
    <n v="2485"/>
    <n v="0"/>
    <n v="0"/>
    <n v="0"/>
    <n v="0"/>
    <n v="0"/>
    <n v="0"/>
    <n v="20817"/>
  </r>
  <r>
    <n v="9"/>
    <x v="1"/>
    <s v="00/02/22"/>
    <s v="1400/02/22"/>
    <x v="35"/>
    <n v="30004"/>
    <x v="2"/>
    <n v="1360"/>
    <n v="1360"/>
    <n v="136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50016"/>
    <x v="31"/>
    <n v="-1128"/>
    <n v="-1128"/>
    <n v="0"/>
    <n v="1128"/>
    <n v="0"/>
    <n v="1128"/>
    <n v="1128"/>
    <n v="0"/>
    <n v="0"/>
    <n v="0"/>
    <n v="0"/>
    <n v="0"/>
    <n v="0"/>
    <n v="20817"/>
  </r>
  <r>
    <n v="9"/>
    <x v="1"/>
    <s v="00/02/22"/>
    <s v="1400/02/22"/>
    <x v="35"/>
    <n v="10026"/>
    <x v="81"/>
    <n v="3192"/>
    <n v="3192"/>
    <n v="319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86"/>
    <x v="102"/>
    <n v="-1923"/>
    <n v="-1923"/>
    <n v="0"/>
    <n v="1923"/>
    <n v="0"/>
    <n v="1923"/>
    <n v="1923"/>
    <n v="0"/>
    <n v="0"/>
    <n v="0"/>
    <n v="0"/>
    <n v="0"/>
    <n v="0"/>
    <n v="20817"/>
  </r>
  <r>
    <n v="9"/>
    <x v="1"/>
    <s v="00/02/22"/>
    <s v="1400/02/22"/>
    <x v="35"/>
    <n v="30124"/>
    <x v="106"/>
    <n v="332"/>
    <n v="332"/>
    <n v="33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26"/>
    <x v="81"/>
    <n v="-1795"/>
    <n v="-1795"/>
    <n v="0"/>
    <n v="1795"/>
    <n v="0"/>
    <n v="1795"/>
    <n v="1795"/>
    <n v="0"/>
    <n v="0"/>
    <n v="0"/>
    <n v="0"/>
    <n v="0"/>
    <n v="0"/>
    <n v="20817"/>
  </r>
  <r>
    <n v="9"/>
    <x v="1"/>
    <s v="00/02/22"/>
    <s v="1400/02/22"/>
    <x v="35"/>
    <n v="30066"/>
    <x v="77"/>
    <n v="100000"/>
    <n v="100000"/>
    <n v="10000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03"/>
    <x v="79"/>
    <n v="-2247"/>
    <n v="-2247"/>
    <n v="0"/>
    <n v="2247"/>
    <n v="0"/>
    <n v="2247"/>
    <n v="2247"/>
    <n v="0"/>
    <n v="0"/>
    <n v="0"/>
    <n v="0"/>
    <n v="0"/>
    <n v="0"/>
    <n v="20817"/>
  </r>
  <r>
    <n v="9"/>
    <x v="1"/>
    <s v="00/02/22"/>
    <s v="1400/02/22"/>
    <x v="35"/>
    <n v="10110"/>
    <x v="105"/>
    <n v="248"/>
    <n v="248"/>
    <n v="248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55"/>
    <x v="80"/>
    <n v="-4992"/>
    <n v="-4992"/>
    <n v="0"/>
    <n v="4992"/>
    <n v="0"/>
    <n v="4992"/>
    <n v="4992"/>
    <n v="0"/>
    <n v="0"/>
    <n v="0"/>
    <n v="0"/>
    <n v="0"/>
    <n v="0"/>
    <n v="20817"/>
  </r>
  <r>
    <n v="9"/>
    <x v="1"/>
    <s v="00/02/22"/>
    <s v="1400/02/22"/>
    <x v="35"/>
    <n v="10104"/>
    <x v="76"/>
    <n v="654"/>
    <n v="654"/>
    <n v="654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24"/>
    <x v="106"/>
    <n v="-1559"/>
    <n v="-1559"/>
    <n v="0"/>
    <n v="1559"/>
    <n v="0"/>
    <n v="1559"/>
    <n v="1559"/>
    <n v="0"/>
    <n v="0"/>
    <n v="0"/>
    <n v="0"/>
    <n v="0"/>
    <n v="0"/>
    <n v="20817"/>
  </r>
  <r>
    <n v="9"/>
    <x v="1"/>
    <s v="00/02/22"/>
    <s v="1400/02/22"/>
    <x v="35"/>
    <n v="30017"/>
    <x v="83"/>
    <n v="2867"/>
    <n v="2867"/>
    <n v="2867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126"/>
    <x v="103"/>
    <n v="-798"/>
    <n v="-798"/>
    <n v="0"/>
    <n v="798"/>
    <n v="0"/>
    <n v="798"/>
    <n v="798"/>
    <n v="0"/>
    <n v="0"/>
    <n v="0"/>
    <n v="0"/>
    <n v="0"/>
    <n v="0"/>
    <n v="20817"/>
  </r>
  <r>
    <n v="9"/>
    <x v="1"/>
    <s v="00/02/22"/>
    <s v="1400/02/22"/>
    <x v="35"/>
    <n v="30066"/>
    <x v="77"/>
    <n v="4060"/>
    <n v="4060"/>
    <n v="406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03"/>
    <x v="79"/>
    <n v="2843"/>
    <n v="2843"/>
    <n v="2843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55"/>
    <x v="107"/>
    <n v="2308"/>
    <n v="2308"/>
    <n v="2308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30"/>
    <x v="36"/>
    <n v="927"/>
    <n v="927"/>
    <n v="927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30"/>
    <x v="36"/>
    <n v="544"/>
    <n v="544"/>
    <n v="544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40"/>
    <x v="29"/>
    <n v="562"/>
    <n v="562"/>
    <n v="56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04"/>
    <x v="2"/>
    <n v="2000"/>
    <n v="2000"/>
    <n v="200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55"/>
    <x v="107"/>
    <n v="177"/>
    <n v="177"/>
    <n v="177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86"/>
    <x v="102"/>
    <n v="1142"/>
    <n v="1142"/>
    <n v="114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09"/>
    <x v="66"/>
    <n v="1313"/>
    <n v="1313"/>
    <n v="1313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84"/>
    <x v="37"/>
    <n v="-1454"/>
    <n v="-1454"/>
    <n v="0"/>
    <n v="1454"/>
    <n v="0"/>
    <n v="1454"/>
    <n v="1454"/>
    <n v="0"/>
    <n v="0"/>
    <n v="0"/>
    <n v="0"/>
    <n v="0"/>
    <n v="0"/>
    <n v="20817"/>
  </r>
  <r>
    <n v="9"/>
    <x v="1"/>
    <s v="00/02/25"/>
    <s v="1400/02/25"/>
    <x v="36"/>
    <n v="10055"/>
    <x v="80"/>
    <n v="4674"/>
    <n v="4674"/>
    <n v="4674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30066"/>
    <x v="77"/>
    <n v="-1976"/>
    <n v="-1976"/>
    <n v="0"/>
    <n v="1976"/>
    <n v="0"/>
    <n v="1976"/>
    <n v="1976"/>
    <n v="0"/>
    <n v="0"/>
    <n v="0"/>
    <n v="0"/>
    <n v="0"/>
    <n v="0"/>
    <n v="20817"/>
  </r>
  <r>
    <n v="9"/>
    <x v="1"/>
    <s v="00/02/25"/>
    <s v="1400/02/25"/>
    <x v="36"/>
    <n v="10084"/>
    <x v="37"/>
    <n v="500"/>
    <n v="500"/>
    <n v="500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20"/>
    <x v="40"/>
    <n v="-1456"/>
    <n v="-1456"/>
    <n v="0"/>
    <n v="1456"/>
    <n v="0"/>
    <n v="1456"/>
    <n v="1456"/>
    <n v="0"/>
    <n v="0"/>
    <n v="0"/>
    <n v="0"/>
    <n v="0"/>
    <n v="0"/>
    <n v="20817"/>
  </r>
  <r>
    <n v="9"/>
    <x v="1"/>
    <s v="00/02/25"/>
    <s v="1400/02/25"/>
    <x v="36"/>
    <n v="10084"/>
    <x v="37"/>
    <n v="900"/>
    <n v="900"/>
    <n v="900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48"/>
    <x v="51"/>
    <n v="-1703"/>
    <n v="-1703"/>
    <n v="0"/>
    <n v="1703"/>
    <n v="0"/>
    <n v="1703"/>
    <n v="1703"/>
    <n v="0"/>
    <n v="0"/>
    <n v="0"/>
    <n v="0"/>
    <n v="0"/>
    <n v="0"/>
    <n v="20817"/>
  </r>
  <r>
    <n v="9"/>
    <x v="1"/>
    <s v="00/02/25"/>
    <s v="1400/02/25"/>
    <x v="36"/>
    <n v="10084"/>
    <x v="37"/>
    <n v="92"/>
    <n v="92"/>
    <n v="92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48"/>
    <x v="51"/>
    <n v="835"/>
    <n v="835"/>
    <n v="835"/>
    <n v="0"/>
    <n v="0"/>
    <n v="0"/>
    <n v="0"/>
    <n v="0"/>
    <n v="0"/>
    <n v="0"/>
    <n v="0"/>
    <n v="0"/>
    <n v="0"/>
    <n v="20817"/>
  </r>
  <r>
    <n v="10"/>
    <x v="1"/>
    <s v="00/02/25"/>
    <s v="1400/02/25"/>
    <x v="36"/>
    <n v="30127"/>
    <x v="99"/>
    <n v="1880"/>
    <n v="1880"/>
    <n v="1880"/>
    <n v="0"/>
    <n v="0"/>
    <n v="0"/>
    <n v="0"/>
    <n v="0"/>
    <n v="0"/>
    <n v="0"/>
    <n v="0"/>
    <n v="0"/>
    <n v="0"/>
    <n v="18937"/>
  </r>
  <r>
    <n v="10"/>
    <x v="1"/>
    <s v="00/02/25"/>
    <s v="1400/02/25"/>
    <x v="36"/>
    <n v="10020"/>
    <x v="40"/>
    <n v="2222"/>
    <n v="2222"/>
    <n v="2222"/>
    <n v="0"/>
    <n v="0"/>
    <n v="0"/>
    <n v="0"/>
    <n v="0"/>
    <n v="0"/>
    <n v="0"/>
    <n v="0"/>
    <n v="0"/>
    <n v="0"/>
    <n v="18937"/>
  </r>
  <r>
    <n v="10"/>
    <x v="1"/>
    <s v="00/02/25"/>
    <s v="1400/02/25"/>
    <x v="36"/>
    <n v="30066"/>
    <x v="77"/>
    <n v="3871"/>
    <n v="3871"/>
    <n v="3871"/>
    <n v="0"/>
    <n v="0"/>
    <n v="0"/>
    <n v="0"/>
    <n v="0"/>
    <n v="0"/>
    <n v="0"/>
    <n v="0"/>
    <n v="0"/>
    <n v="0"/>
    <n v="18937"/>
  </r>
  <r>
    <n v="11"/>
    <x v="1"/>
    <s v="00/02/25"/>
    <s v="1400/02/25"/>
    <x v="36"/>
    <n v="30127"/>
    <x v="99"/>
    <n v="1976"/>
    <n v="1976"/>
    <n v="1976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70"/>
    <x v="7"/>
    <n v="-1998"/>
    <n v="-1998"/>
    <n v="0"/>
    <n v="1998"/>
    <n v="0"/>
    <n v="1998"/>
    <n v="1998"/>
    <n v="0"/>
    <n v="0"/>
    <n v="0"/>
    <n v="0"/>
    <n v="0"/>
    <n v="0"/>
    <n v="16961"/>
  </r>
  <r>
    <n v="11"/>
    <x v="1"/>
    <s v="00/02/26"/>
    <s v="1400/02/26"/>
    <x v="37"/>
    <n v="10048"/>
    <x v="51"/>
    <n v="480"/>
    <n v="480"/>
    <n v="480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18"/>
    <x v="1"/>
    <n v="-1530"/>
    <n v="-1530"/>
    <n v="0"/>
    <n v="1530"/>
    <n v="0"/>
    <n v="1530"/>
    <n v="1530"/>
    <n v="0"/>
    <n v="0"/>
    <n v="0"/>
    <n v="0"/>
    <n v="0"/>
    <n v="0"/>
    <n v="16961"/>
  </r>
  <r>
    <n v="11"/>
    <x v="1"/>
    <s v="00/02/26"/>
    <s v="1400/02/26"/>
    <x v="37"/>
    <n v="30004"/>
    <x v="2"/>
    <n v="1891"/>
    <n v="1891"/>
    <n v="1891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09"/>
    <x v="66"/>
    <n v="-1064"/>
    <n v="-1064"/>
    <n v="0"/>
    <n v="1064"/>
    <n v="0"/>
    <n v="1064"/>
    <n v="1064"/>
    <n v="0"/>
    <n v="0"/>
    <n v="0"/>
    <n v="0"/>
    <n v="0"/>
    <n v="0"/>
    <n v="16961"/>
  </r>
  <r>
    <n v="11"/>
    <x v="1"/>
    <s v="00/02/26"/>
    <s v="1400/02/26"/>
    <x v="37"/>
    <n v="30009"/>
    <x v="66"/>
    <n v="1799"/>
    <n v="1799"/>
    <n v="1799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174"/>
    <x v="60"/>
    <n v="-135"/>
    <n v="-135"/>
    <n v="0"/>
    <n v="135"/>
    <n v="0"/>
    <n v="135"/>
    <n v="135"/>
    <n v="0"/>
    <n v="0"/>
    <n v="0"/>
    <n v="0"/>
    <n v="0"/>
    <n v="0"/>
    <n v="16961"/>
  </r>
  <r>
    <n v="11"/>
    <x v="1"/>
    <s v="00/02/26"/>
    <s v="1400/02/26"/>
    <x v="37"/>
    <n v="30066"/>
    <x v="77"/>
    <n v="4252"/>
    <n v="4252"/>
    <n v="4252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10055"/>
    <x v="80"/>
    <n v="-5214"/>
    <n v="-5214"/>
    <n v="0"/>
    <n v="5214"/>
    <n v="0"/>
    <n v="5214"/>
    <n v="5214"/>
    <n v="0"/>
    <n v="0"/>
    <n v="0"/>
    <n v="0"/>
    <n v="0"/>
    <n v="0"/>
    <n v="16961"/>
  </r>
  <r>
    <n v="11"/>
    <x v="1"/>
    <s v="00/02/26"/>
    <s v="1400/02/26"/>
    <x v="37"/>
    <n v="30009"/>
    <x v="66"/>
    <n v="1820"/>
    <n v="1820"/>
    <n v="1820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10003"/>
    <x v="79"/>
    <n v="-3492"/>
    <n v="-3492"/>
    <n v="0"/>
    <n v="3492"/>
    <n v="0"/>
    <n v="3492"/>
    <n v="3492"/>
    <n v="0"/>
    <n v="0"/>
    <n v="0"/>
    <n v="0"/>
    <n v="0"/>
    <n v="0"/>
    <n v="16961"/>
  </r>
  <r>
    <n v="11"/>
    <x v="1"/>
    <s v="00/02/26"/>
    <s v="1400/02/26"/>
    <x v="37"/>
    <n v="30174"/>
    <x v="60"/>
    <n v="135"/>
    <n v="135"/>
    <n v="135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04"/>
    <x v="2"/>
    <n v="-2128"/>
    <n v="-2128"/>
    <n v="0"/>
    <n v="2128"/>
    <n v="0"/>
    <n v="2128"/>
    <n v="2128"/>
    <n v="0"/>
    <n v="0"/>
    <n v="0"/>
    <n v="0"/>
    <n v="0"/>
    <n v="0"/>
    <n v="16961"/>
  </r>
  <r>
    <n v="12"/>
    <x v="1"/>
    <s v="00/02/26"/>
    <s v="1400/02/26"/>
    <x v="37"/>
    <n v="30127"/>
    <x v="99"/>
    <n v="1085"/>
    <n v="1085"/>
    <n v="1085"/>
    <n v="0"/>
    <n v="0"/>
    <n v="0"/>
    <n v="0"/>
    <n v="0"/>
    <n v="0"/>
    <n v="0"/>
    <n v="0"/>
    <n v="0"/>
    <n v="0"/>
    <n v="15876"/>
  </r>
  <r>
    <n v="12"/>
    <x v="1"/>
    <s v="00/02/26"/>
    <s v="1400/02/26"/>
    <x v="37"/>
    <n v="10104"/>
    <x v="76"/>
    <n v="-1548"/>
    <n v="-1548"/>
    <n v="0"/>
    <n v="1548"/>
    <n v="0"/>
    <n v="1548"/>
    <n v="1548"/>
    <n v="0"/>
    <n v="0"/>
    <n v="0"/>
    <n v="0"/>
    <n v="0"/>
    <n v="0"/>
    <n v="15876"/>
  </r>
  <r>
    <n v="12"/>
    <x v="1"/>
    <s v="00/02/26"/>
    <s v="1400/02/26"/>
    <x v="37"/>
    <n v="30186"/>
    <x v="102"/>
    <n v="1198"/>
    <n v="1198"/>
    <n v="1198"/>
    <n v="0"/>
    <n v="0"/>
    <n v="0"/>
    <n v="0"/>
    <n v="0"/>
    <n v="0"/>
    <n v="0"/>
    <n v="0"/>
    <n v="0"/>
    <n v="0"/>
    <n v="15876"/>
  </r>
  <r>
    <n v="12"/>
    <x v="1"/>
    <s v="00/02/26"/>
    <s v="1400/02/26"/>
    <x v="37"/>
    <n v="10026"/>
    <x v="81"/>
    <n v="6903"/>
    <n v="6903"/>
    <n v="6903"/>
    <n v="0"/>
    <n v="0"/>
    <n v="0"/>
    <n v="0"/>
    <n v="0"/>
    <n v="0"/>
    <n v="0"/>
    <n v="0"/>
    <n v="0"/>
    <n v="0"/>
    <n v="15876"/>
  </r>
  <r>
    <n v="12"/>
    <x v="1"/>
    <s v="00/02/26"/>
    <s v="1400/02/26"/>
    <x v="37"/>
    <n v="10003"/>
    <x v="79"/>
    <n v="2549"/>
    <n v="2549"/>
    <n v="2549"/>
    <n v="0"/>
    <n v="0"/>
    <n v="0"/>
    <n v="0"/>
    <n v="0"/>
    <n v="0"/>
    <n v="0"/>
    <n v="0"/>
    <n v="0"/>
    <n v="0"/>
    <n v="15876"/>
  </r>
  <r>
    <n v="13"/>
    <x v="1"/>
    <s v="00/02/27"/>
    <s v="1400/02/27"/>
    <x v="38"/>
    <n v="30127"/>
    <x v="99"/>
    <n v="-15610"/>
    <n v="-15610"/>
    <n v="0"/>
    <n v="15610"/>
    <n v="0"/>
    <n v="15610"/>
    <n v="15610"/>
    <n v="0"/>
    <n v="0"/>
    <n v="0"/>
    <n v="0"/>
    <n v="0"/>
    <n v="0"/>
    <n v="31486"/>
  </r>
  <r>
    <n v="13"/>
    <x v="1"/>
    <s v="00/02/27"/>
    <s v="1400/02/27"/>
    <x v="38"/>
    <n v="10055"/>
    <x v="80"/>
    <n v="5249"/>
    <n v="5249"/>
    <n v="5249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30186"/>
    <x v="102"/>
    <n v="-2342"/>
    <n v="-2342"/>
    <n v="0"/>
    <n v="2342"/>
    <n v="0"/>
    <n v="2342"/>
    <n v="2342"/>
    <n v="0"/>
    <n v="0"/>
    <n v="0"/>
    <n v="0"/>
    <n v="0"/>
    <n v="0"/>
    <n v="31486"/>
  </r>
  <r>
    <n v="13"/>
    <x v="1"/>
    <s v="00/02/27"/>
    <s v="1400/02/27"/>
    <x v="38"/>
    <n v="10048"/>
    <x v="51"/>
    <n v="158"/>
    <n v="158"/>
    <n v="158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30066"/>
    <x v="77"/>
    <n v="-3591"/>
    <n v="-3591"/>
    <n v="0"/>
    <n v="3591"/>
    <n v="0"/>
    <n v="3591"/>
    <n v="3591"/>
    <n v="0"/>
    <n v="0"/>
    <n v="0"/>
    <n v="0"/>
    <n v="0"/>
    <n v="0"/>
    <n v="31486"/>
  </r>
  <r>
    <n v="13"/>
    <x v="1"/>
    <s v="00/02/27"/>
    <s v="1400/02/27"/>
    <x v="38"/>
    <n v="30186"/>
    <x v="102"/>
    <n v="838"/>
    <n v="838"/>
    <n v="838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30018"/>
    <x v="1"/>
    <n v="-146"/>
    <n v="-146"/>
    <n v="0"/>
    <n v="146"/>
    <n v="0"/>
    <n v="146"/>
    <n v="146"/>
    <n v="0"/>
    <n v="0"/>
    <n v="0"/>
    <n v="0"/>
    <n v="0"/>
    <n v="0"/>
    <n v="31486"/>
  </r>
  <r>
    <n v="13"/>
    <x v="1"/>
    <s v="00/02/27"/>
    <s v="1400/02/27"/>
    <x v="38"/>
    <n v="30009"/>
    <x v="66"/>
    <n v="1926"/>
    <n v="1926"/>
    <n v="1926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10026"/>
    <x v="81"/>
    <n v="-1757"/>
    <n v="-1757"/>
    <n v="0"/>
    <n v="1757"/>
    <n v="0"/>
    <n v="1757"/>
    <n v="1757"/>
    <n v="0"/>
    <n v="0"/>
    <n v="0"/>
    <n v="0"/>
    <n v="0"/>
    <n v="0"/>
    <n v="31486"/>
  </r>
  <r>
    <n v="13"/>
    <x v="1"/>
    <s v="00/02/27"/>
    <s v="1400/02/27"/>
    <x v="38"/>
    <n v="10027"/>
    <x v="72"/>
    <n v="2812"/>
    <n v="2812"/>
    <n v="2812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10055"/>
    <x v="80"/>
    <n v="-4982"/>
    <n v="-4982"/>
    <n v="0"/>
    <n v="4982"/>
    <n v="0"/>
    <n v="4982"/>
    <n v="4982"/>
    <n v="0"/>
    <n v="0"/>
    <n v="0"/>
    <n v="0"/>
    <n v="0"/>
    <n v="0"/>
    <n v="31486"/>
  </r>
  <r>
    <n v="13"/>
    <x v="1"/>
    <s v="00/02/27"/>
    <s v="1400/02/27"/>
    <x v="38"/>
    <n v="10089"/>
    <x v="35"/>
    <n v="-1014"/>
    <n v="-1014"/>
    <n v="0"/>
    <n v="1014"/>
    <n v="0"/>
    <n v="1014"/>
    <n v="1014"/>
    <n v="0"/>
    <n v="0"/>
    <n v="0"/>
    <n v="0"/>
    <n v="0"/>
    <n v="0"/>
    <n v="31486"/>
  </r>
  <r>
    <n v="13"/>
    <x v="1"/>
    <s v="00/02/28"/>
    <s v="1400/02/28"/>
    <x v="39"/>
    <n v="10026"/>
    <x v="81"/>
    <n v="888"/>
    <n v="888"/>
    <n v="88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10110"/>
    <x v="105"/>
    <n v="-2196"/>
    <n v="-2196"/>
    <n v="0"/>
    <n v="2196"/>
    <n v="0"/>
    <n v="2196"/>
    <n v="2196"/>
    <n v="0"/>
    <n v="0"/>
    <n v="0"/>
    <n v="0"/>
    <n v="0"/>
    <n v="0"/>
    <n v="31486"/>
  </r>
  <r>
    <n v="13"/>
    <x v="1"/>
    <s v="00/02/28"/>
    <s v="1400/02/28"/>
    <x v="39"/>
    <n v="30009"/>
    <x v="66"/>
    <n v="1758"/>
    <n v="1758"/>
    <n v="175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30140"/>
    <x v="29"/>
    <n v="-1090"/>
    <n v="-1090"/>
    <n v="0"/>
    <n v="1090"/>
    <n v="0"/>
    <n v="1090"/>
    <n v="1090"/>
    <n v="0"/>
    <n v="0"/>
    <n v="0"/>
    <n v="0"/>
    <n v="0"/>
    <n v="0"/>
    <n v="31486"/>
  </r>
  <r>
    <n v="13"/>
    <x v="1"/>
    <s v="00/02/28"/>
    <s v="1400/02/28"/>
    <x v="39"/>
    <n v="30004"/>
    <x v="2"/>
    <n v="2612"/>
    <n v="2612"/>
    <n v="2612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10003"/>
    <x v="79"/>
    <n v="-4224"/>
    <n v="-4224"/>
    <n v="0"/>
    <n v="4224"/>
    <n v="0"/>
    <n v="4224"/>
    <n v="4224"/>
    <n v="0"/>
    <n v="0"/>
    <n v="0"/>
    <n v="0"/>
    <n v="0"/>
    <n v="0"/>
    <n v="31486"/>
  </r>
  <r>
    <n v="13"/>
    <x v="1"/>
    <s v="00/02/28"/>
    <s v="1400/02/28"/>
    <x v="39"/>
    <n v="30066"/>
    <x v="77"/>
    <n v="2018"/>
    <n v="2018"/>
    <n v="201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10026"/>
    <x v="81"/>
    <n v="-2032"/>
    <n v="-2032"/>
    <n v="0"/>
    <n v="2032"/>
    <n v="0"/>
    <n v="2032"/>
    <n v="2032"/>
    <n v="0"/>
    <n v="0"/>
    <n v="0"/>
    <n v="0"/>
    <n v="0"/>
    <n v="0"/>
    <n v="31486"/>
  </r>
  <r>
    <n v="13"/>
    <x v="1"/>
    <s v="00/02/28"/>
    <s v="1400/02/28"/>
    <x v="39"/>
    <n v="30184"/>
    <x v="108"/>
    <n v="2968"/>
    <n v="2968"/>
    <n v="296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30009"/>
    <x v="66"/>
    <n v="892"/>
    <n v="892"/>
    <n v="892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30186"/>
    <x v="102"/>
    <n v="1998"/>
    <n v="1998"/>
    <n v="1998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066"/>
    <x v="77"/>
    <n v="-5082"/>
    <n v="-5082"/>
    <n v="0"/>
    <n v="5082"/>
    <n v="0"/>
    <n v="5082"/>
    <n v="5082"/>
    <n v="0"/>
    <n v="0"/>
    <n v="0"/>
    <n v="0"/>
    <n v="0"/>
    <n v="0"/>
    <n v="31486"/>
  </r>
  <r>
    <n v="13"/>
    <x v="1"/>
    <s v="00/02/29"/>
    <s v="1400/02/29"/>
    <x v="40"/>
    <n v="10079"/>
    <x v="90"/>
    <n v="974"/>
    <n v="974"/>
    <n v="974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066"/>
    <x v="77"/>
    <n v="-2442"/>
    <n v="-2442"/>
    <n v="0"/>
    <n v="2442"/>
    <n v="0"/>
    <n v="2442"/>
    <n v="2442"/>
    <n v="0"/>
    <n v="0"/>
    <n v="0"/>
    <n v="0"/>
    <n v="0"/>
    <n v="0"/>
    <n v="31486"/>
  </r>
  <r>
    <n v="13"/>
    <x v="1"/>
    <s v="00/02/29"/>
    <s v="1400/02/29"/>
    <x v="40"/>
    <n v="30004"/>
    <x v="2"/>
    <n v="842"/>
    <n v="842"/>
    <n v="842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113"/>
    <x v="18"/>
    <n v="-206"/>
    <n v="-206"/>
    <n v="0"/>
    <n v="206"/>
    <n v="0"/>
    <n v="206"/>
    <n v="206"/>
    <n v="0"/>
    <n v="0"/>
    <n v="0"/>
    <n v="0"/>
    <n v="0"/>
    <n v="0"/>
    <n v="31486"/>
  </r>
  <r>
    <n v="13"/>
    <x v="1"/>
    <s v="00/02/29"/>
    <s v="1400/02/29"/>
    <x v="40"/>
    <n v="30146"/>
    <x v="64"/>
    <n v="1111"/>
    <n v="1111"/>
    <n v="1111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03"/>
    <x v="79"/>
    <n v="-3490"/>
    <n v="-3490"/>
    <n v="0"/>
    <n v="3490"/>
    <n v="0"/>
    <n v="3490"/>
    <n v="3490"/>
    <n v="0"/>
    <n v="0"/>
    <n v="0"/>
    <n v="0"/>
    <n v="0"/>
    <n v="0"/>
    <n v="31486"/>
  </r>
  <r>
    <n v="13"/>
    <x v="1"/>
    <s v="00/02/29"/>
    <s v="1400/02/29"/>
    <x v="40"/>
    <n v="10028"/>
    <x v="9"/>
    <n v="94"/>
    <n v="94"/>
    <n v="94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28"/>
    <x v="9"/>
    <n v="-150"/>
    <n v="-150"/>
    <n v="0"/>
    <n v="150"/>
    <n v="0"/>
    <n v="150"/>
    <n v="150"/>
    <n v="0"/>
    <n v="0"/>
    <n v="0"/>
    <n v="0"/>
    <n v="0"/>
    <n v="0"/>
    <n v="31486"/>
  </r>
  <r>
    <n v="13"/>
    <x v="1"/>
    <s v="00/02/29"/>
    <s v="1400/02/29"/>
    <x v="40"/>
    <n v="10028"/>
    <x v="9"/>
    <n v="51"/>
    <n v="51"/>
    <n v="51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79"/>
    <x v="90"/>
    <n v="-2672"/>
    <n v="-2672"/>
    <n v="0"/>
    <n v="2672"/>
    <n v="0"/>
    <n v="2672"/>
    <n v="2672"/>
    <n v="0"/>
    <n v="0"/>
    <n v="0"/>
    <n v="0"/>
    <n v="0"/>
    <n v="0"/>
    <n v="31486"/>
  </r>
  <r>
    <n v="13"/>
    <x v="1"/>
    <s v="00/02/29"/>
    <s v="1400/02/29"/>
    <x v="40"/>
    <n v="10028"/>
    <x v="9"/>
    <n v="5"/>
    <n v="5"/>
    <n v="5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03"/>
    <x v="79"/>
    <n v="10000"/>
    <n v="10000"/>
    <n v="10000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040"/>
    <x v="84"/>
    <n v="24"/>
    <n v="24"/>
    <n v="24"/>
    <n v="0"/>
    <n v="0"/>
    <n v="0"/>
    <n v="0"/>
    <n v="0"/>
    <n v="0"/>
    <n v="0"/>
    <n v="0"/>
    <n v="0"/>
    <n v="0"/>
    <n v="31486"/>
  </r>
  <r>
    <n v="14"/>
    <x v="1"/>
    <s v="00/02/30"/>
    <s v="1400/02/30"/>
    <x v="41"/>
    <n v="30127"/>
    <x v="99"/>
    <n v="-15134"/>
    <n v="-15134"/>
    <n v="0"/>
    <n v="15134"/>
    <n v="0"/>
    <n v="15134"/>
    <n v="15134"/>
    <n v="0"/>
    <n v="0"/>
    <n v="0"/>
    <n v="0"/>
    <n v="0"/>
    <n v="0"/>
    <n v="46620"/>
  </r>
  <r>
    <n v="14"/>
    <x v="1"/>
    <s v="00/02/30"/>
    <s v="1400/02/30"/>
    <x v="41"/>
    <n v="30004"/>
    <x v="2"/>
    <n v="1909"/>
    <n v="1909"/>
    <n v="1909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140"/>
    <x v="29"/>
    <n v="-20"/>
    <n v="-20"/>
    <n v="0"/>
    <n v="20"/>
    <n v="0"/>
    <n v="20"/>
    <n v="20"/>
    <n v="0"/>
    <n v="0"/>
    <n v="0"/>
    <n v="0"/>
    <n v="0"/>
    <n v="0"/>
    <n v="46620"/>
  </r>
  <r>
    <n v="14"/>
    <x v="1"/>
    <s v="00/02/30"/>
    <s v="1400/02/30"/>
    <x v="41"/>
    <n v="30004"/>
    <x v="2"/>
    <n v="580"/>
    <n v="580"/>
    <n v="580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10003"/>
    <x v="79"/>
    <n v="-2060"/>
    <n v="-2060"/>
    <n v="0"/>
    <n v="2060"/>
    <n v="0"/>
    <n v="2060"/>
    <n v="2060"/>
    <n v="0"/>
    <n v="0"/>
    <n v="0"/>
    <n v="0"/>
    <n v="0"/>
    <n v="0"/>
    <n v="46620"/>
  </r>
  <r>
    <n v="14"/>
    <x v="1"/>
    <s v="00/02/30"/>
    <s v="1400/02/30"/>
    <x v="41"/>
    <n v="30009"/>
    <x v="66"/>
    <n v="2035"/>
    <n v="2035"/>
    <n v="2035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003"/>
    <x v="65"/>
    <n v="-1032"/>
    <n v="-1032"/>
    <n v="0"/>
    <n v="1032"/>
    <n v="0"/>
    <n v="1032"/>
    <n v="1032"/>
    <n v="0"/>
    <n v="0"/>
    <n v="0"/>
    <n v="0"/>
    <n v="0"/>
    <n v="0"/>
    <n v="46620"/>
  </r>
  <r>
    <n v="14"/>
    <x v="1"/>
    <s v="00/02/30"/>
    <s v="1400/02/30"/>
    <x v="41"/>
    <n v="30009"/>
    <x v="66"/>
    <n v="1538"/>
    <n v="1538"/>
    <n v="1538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10003"/>
    <x v="79"/>
    <n v="2389"/>
    <n v="2389"/>
    <n v="2389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137"/>
    <x v="101"/>
    <n v="624"/>
    <n v="624"/>
    <n v="624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003"/>
    <x v="65"/>
    <n v="82"/>
    <n v="82"/>
    <n v="82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003"/>
    <x v="65"/>
    <n v="958"/>
    <n v="958"/>
    <n v="958"/>
    <n v="0"/>
    <n v="0"/>
    <n v="0"/>
    <n v="0"/>
    <n v="0"/>
    <n v="0"/>
    <n v="0"/>
    <n v="0"/>
    <n v="0"/>
    <n v="0"/>
    <n v="46620"/>
  </r>
  <r>
    <n v="14"/>
    <x v="1"/>
    <s v="00/02/31"/>
    <s v="1400/02/31"/>
    <x v="42"/>
    <n v="30004"/>
    <x v="2"/>
    <n v="2040"/>
    <n v="2040"/>
    <n v="2040"/>
    <n v="0"/>
    <n v="0"/>
    <n v="0"/>
    <n v="0"/>
    <n v="0"/>
    <n v="0"/>
    <n v="0"/>
    <n v="0"/>
    <n v="0"/>
    <n v="0"/>
    <n v="46620"/>
  </r>
  <r>
    <n v="14"/>
    <x v="1"/>
    <s v="00/02/31"/>
    <s v="1400/02/31"/>
    <x v="42"/>
    <n v="30009"/>
    <x v="66"/>
    <n v="766"/>
    <n v="766"/>
    <n v="766"/>
    <n v="0"/>
    <n v="0"/>
    <n v="0"/>
    <n v="0"/>
    <n v="0"/>
    <n v="0"/>
    <n v="0"/>
    <n v="0"/>
    <n v="0"/>
    <n v="0"/>
    <n v="46620"/>
  </r>
  <r>
    <n v="14"/>
    <x v="1"/>
    <s v="00/02/31"/>
    <s v="1400/02/31"/>
    <x v="42"/>
    <n v="30009"/>
    <x v="66"/>
    <n v="988"/>
    <n v="988"/>
    <n v="988"/>
    <n v="0"/>
    <n v="0"/>
    <n v="0"/>
    <n v="0"/>
    <n v="0"/>
    <n v="0"/>
    <n v="0"/>
    <n v="0"/>
    <n v="0"/>
    <n v="0"/>
    <n v="46620"/>
  </r>
  <r>
    <n v="14"/>
    <x v="2"/>
    <s v="00/03/01"/>
    <s v="1400/03/01"/>
    <x v="43"/>
    <n v="30081"/>
    <x v="67"/>
    <n v="-39"/>
    <n v="-39"/>
    <n v="0"/>
    <n v="39"/>
    <n v="0"/>
    <n v="39"/>
    <n v="39"/>
    <n v="0"/>
    <n v="0"/>
    <n v="0"/>
    <n v="0"/>
    <n v="0"/>
    <n v="0"/>
    <n v="46620"/>
  </r>
  <r>
    <n v="14"/>
    <x v="2"/>
    <s v="00/03/01"/>
    <s v="1400/03/01"/>
    <x v="43"/>
    <n v="30137"/>
    <x v="101"/>
    <n v="154"/>
    <n v="154"/>
    <n v="154"/>
    <n v="0"/>
    <n v="0"/>
    <n v="0"/>
    <n v="0"/>
    <n v="0"/>
    <n v="0"/>
    <n v="0"/>
    <n v="0"/>
    <n v="0"/>
    <n v="0"/>
    <n v="46620"/>
  </r>
  <r>
    <n v="14"/>
    <x v="2"/>
    <s v="00/03/01"/>
    <s v="1400/03/01"/>
    <x v="43"/>
    <n v="30186"/>
    <x v="102"/>
    <n v="-2692"/>
    <n v="-2692"/>
    <n v="0"/>
    <n v="2692"/>
    <n v="0"/>
    <n v="2692"/>
    <n v="2692"/>
    <n v="0"/>
    <n v="0"/>
    <n v="0"/>
    <n v="0"/>
    <n v="0"/>
    <n v="0"/>
    <n v="46620"/>
  </r>
  <r>
    <n v="14"/>
    <x v="2"/>
    <s v="00/03/01"/>
    <s v="1400/03/01"/>
    <x v="43"/>
    <n v="30137"/>
    <x v="101"/>
    <n v="50"/>
    <n v="50"/>
    <n v="50"/>
    <n v="0"/>
    <n v="0"/>
    <n v="0"/>
    <n v="0"/>
    <n v="0"/>
    <n v="0"/>
    <n v="0"/>
    <n v="0"/>
    <n v="0"/>
    <n v="0"/>
    <n v="46620"/>
  </r>
  <r>
    <n v="14"/>
    <x v="2"/>
    <s v="00/03/01"/>
    <s v="1400/03/01"/>
    <x v="43"/>
    <n v="30017"/>
    <x v="83"/>
    <n v="-5031"/>
    <n v="-5031"/>
    <n v="0"/>
    <n v="5031"/>
    <n v="0"/>
    <n v="5031"/>
    <n v="5031"/>
    <n v="0"/>
    <n v="0"/>
    <n v="0"/>
    <n v="0"/>
    <n v="0"/>
    <n v="0"/>
    <n v="46620"/>
  </r>
  <r>
    <n v="14"/>
    <x v="2"/>
    <s v="00/03/01"/>
    <s v="1400/03/01"/>
    <x v="43"/>
    <n v="10003"/>
    <x v="79"/>
    <n v="-2079"/>
    <n v="-2079"/>
    <n v="0"/>
    <n v="2079"/>
    <n v="0"/>
    <n v="2079"/>
    <n v="2079"/>
    <n v="0"/>
    <n v="0"/>
    <n v="0"/>
    <n v="0"/>
    <n v="0"/>
    <n v="0"/>
    <n v="46620"/>
  </r>
  <r>
    <n v="14"/>
    <x v="2"/>
    <s v="00/03/01"/>
    <s v="1400/03/01"/>
    <x v="43"/>
    <n v="30009"/>
    <x v="66"/>
    <n v="-4447"/>
    <n v="-4447"/>
    <n v="0"/>
    <n v="4447"/>
    <n v="0"/>
    <n v="4447"/>
    <n v="4447"/>
    <n v="0"/>
    <n v="0"/>
    <n v="0"/>
    <n v="0"/>
    <n v="0"/>
    <n v="0"/>
    <n v="46620"/>
  </r>
  <r>
    <n v="14"/>
    <x v="2"/>
    <s v="00/03/02"/>
    <s v="1400/03/02"/>
    <x v="44"/>
    <n v="10128"/>
    <x v="109"/>
    <n v="102"/>
    <n v="102"/>
    <n v="102"/>
    <n v="0"/>
    <n v="0"/>
    <n v="0"/>
    <n v="0"/>
    <n v="0"/>
    <n v="0"/>
    <n v="0"/>
    <n v="0"/>
    <n v="0"/>
    <n v="0"/>
    <n v="46620"/>
  </r>
  <r>
    <n v="14"/>
    <x v="2"/>
    <s v="00/03/02"/>
    <s v="1400/03/02"/>
    <x v="44"/>
    <n v="30009"/>
    <x v="66"/>
    <n v="-1085"/>
    <n v="-1085"/>
    <n v="0"/>
    <n v="1085"/>
    <n v="0"/>
    <n v="1085"/>
    <n v="1085"/>
    <n v="0"/>
    <n v="0"/>
    <n v="0"/>
    <n v="0"/>
    <n v="0"/>
    <n v="0"/>
    <n v="46620"/>
  </r>
  <r>
    <n v="14"/>
    <x v="2"/>
    <s v="00/03/02"/>
    <s v="1400/03/02"/>
    <x v="44"/>
    <n v="30004"/>
    <x v="2"/>
    <n v="1690"/>
    <n v="1690"/>
    <n v="1690"/>
    <n v="0"/>
    <n v="0"/>
    <n v="0"/>
    <n v="0"/>
    <n v="0"/>
    <n v="0"/>
    <n v="0"/>
    <n v="0"/>
    <n v="0"/>
    <n v="0"/>
    <n v="46620"/>
  </r>
  <r>
    <n v="15"/>
    <x v="2"/>
    <s v="00/03/02"/>
    <s v="1400/03/02"/>
    <x v="44"/>
    <n v="30127"/>
    <x v="99"/>
    <n v="-15542"/>
    <n v="-15542"/>
    <n v="0"/>
    <n v="15542"/>
    <n v="0"/>
    <n v="15542"/>
    <n v="15542"/>
    <n v="0"/>
    <n v="0"/>
    <n v="0"/>
    <n v="0"/>
    <n v="0"/>
    <n v="0"/>
    <n v="62162"/>
  </r>
  <r>
    <n v="15"/>
    <x v="2"/>
    <s v="00/03/02"/>
    <s v="1400/03/02"/>
    <x v="44"/>
    <n v="10003"/>
    <x v="79"/>
    <n v="1066"/>
    <n v="1066"/>
    <n v="1066"/>
    <n v="0"/>
    <n v="0"/>
    <n v="0"/>
    <n v="0"/>
    <n v="0"/>
    <n v="0"/>
    <n v="0"/>
    <n v="0"/>
    <n v="0"/>
    <n v="0"/>
    <n v="62162"/>
  </r>
  <r>
    <n v="15"/>
    <x v="2"/>
    <s v="00/03/02"/>
    <s v="1400/03/02"/>
    <x v="44"/>
    <n v="30140"/>
    <x v="29"/>
    <n v="-1754"/>
    <n v="-1754"/>
    <n v="0"/>
    <n v="1754"/>
    <n v="0"/>
    <n v="1754"/>
    <n v="1754"/>
    <n v="0"/>
    <n v="0"/>
    <n v="0"/>
    <n v="0"/>
    <n v="0"/>
    <n v="0"/>
    <n v="62162"/>
  </r>
  <r>
    <n v="15"/>
    <x v="2"/>
    <s v="00/03/02"/>
    <s v="1400/03/02"/>
    <x v="44"/>
    <n v="30186"/>
    <x v="102"/>
    <n v="1351"/>
    <n v="1351"/>
    <n v="1351"/>
    <n v="0"/>
    <n v="0"/>
    <n v="0"/>
    <n v="0"/>
    <n v="0"/>
    <n v="0"/>
    <n v="0"/>
    <n v="0"/>
    <n v="0"/>
    <n v="0"/>
    <n v="62162"/>
  </r>
  <r>
    <n v="15"/>
    <x v="2"/>
    <s v="00/03/02"/>
    <s v="1400/03/02"/>
    <x v="44"/>
    <n v="30066"/>
    <x v="77"/>
    <n v="-3379"/>
    <n v="-3379"/>
    <n v="0"/>
    <n v="3379"/>
    <n v="0"/>
    <n v="3379"/>
    <n v="3379"/>
    <n v="0"/>
    <n v="0"/>
    <n v="0"/>
    <n v="0"/>
    <n v="0"/>
    <n v="0"/>
    <n v="62162"/>
  </r>
  <r>
    <n v="15"/>
    <x v="2"/>
    <s v="00/03/02"/>
    <s v="1400/03/02"/>
    <x v="44"/>
    <n v="10128"/>
    <x v="109"/>
    <n v="146"/>
    <n v="146"/>
    <n v="146"/>
    <n v="0"/>
    <n v="0"/>
    <n v="0"/>
    <n v="0"/>
    <n v="0"/>
    <n v="0"/>
    <n v="0"/>
    <n v="0"/>
    <n v="0"/>
    <n v="0"/>
    <n v="62162"/>
  </r>
  <r>
    <n v="15"/>
    <x v="2"/>
    <s v="00/03/02"/>
    <s v="1400/03/02"/>
    <x v="44"/>
    <n v="30066"/>
    <x v="77"/>
    <n v="-1997"/>
    <n v="-1997"/>
    <n v="0"/>
    <n v="1997"/>
    <n v="0"/>
    <n v="1997"/>
    <n v="1997"/>
    <n v="0"/>
    <n v="0"/>
    <n v="0"/>
    <n v="0"/>
    <n v="0"/>
    <n v="0"/>
    <n v="62162"/>
  </r>
  <r>
    <n v="15"/>
    <x v="2"/>
    <s v="00/03/02"/>
    <s v="1400/03/02"/>
    <x v="44"/>
    <n v="10128"/>
    <x v="109"/>
    <n v="-15"/>
    <n v="-15"/>
    <n v="0"/>
    <n v="15"/>
    <n v="0"/>
    <n v="15"/>
    <n v="15"/>
    <n v="0"/>
    <n v="0"/>
    <n v="0"/>
    <n v="0"/>
    <n v="0"/>
    <n v="0"/>
    <n v="62162"/>
  </r>
  <r>
    <n v="15"/>
    <x v="2"/>
    <s v="00/03/02"/>
    <s v="1400/03/02"/>
    <x v="44"/>
    <n v="10003"/>
    <x v="79"/>
    <n v="-4154"/>
    <n v="-4154"/>
    <n v="0"/>
    <n v="4154"/>
    <n v="0"/>
    <n v="4154"/>
    <n v="4154"/>
    <n v="0"/>
    <n v="0"/>
    <n v="0"/>
    <n v="0"/>
    <n v="0"/>
    <n v="0"/>
    <n v="62162"/>
  </r>
  <r>
    <n v="15"/>
    <x v="2"/>
    <s v="00/03/02"/>
    <s v="1400/03/02"/>
    <x v="44"/>
    <n v="30009"/>
    <x v="66"/>
    <n v="-3724"/>
    <n v="-3724"/>
    <n v="0"/>
    <n v="3724"/>
    <n v="0"/>
    <n v="3724"/>
    <n v="3724"/>
    <n v="0"/>
    <n v="0"/>
    <n v="0"/>
    <n v="0"/>
    <n v="0"/>
    <n v="0"/>
    <n v="62162"/>
  </r>
  <r>
    <n v="15"/>
    <x v="2"/>
    <s v="00/03/02"/>
    <s v="1400/03/02"/>
    <x v="44"/>
    <n v="30004"/>
    <x v="2"/>
    <n v="-5154"/>
    <n v="-5154"/>
    <n v="0"/>
    <n v="5154"/>
    <n v="0"/>
    <n v="5154"/>
    <n v="5154"/>
    <n v="0"/>
    <n v="0"/>
    <n v="0"/>
    <n v="0"/>
    <n v="0"/>
    <n v="0"/>
    <n v="62162"/>
  </r>
  <r>
    <n v="15"/>
    <x v="2"/>
    <s v="00/03/03"/>
    <s v="1400/03/03"/>
    <x v="45"/>
    <n v="30099"/>
    <x v="11"/>
    <n v="3598"/>
    <n v="3598"/>
    <n v="3598"/>
    <n v="0"/>
    <n v="0"/>
    <n v="0"/>
    <n v="0"/>
    <n v="0"/>
    <n v="0"/>
    <n v="0"/>
    <n v="0"/>
    <n v="0"/>
    <n v="0"/>
    <n v="62162"/>
  </r>
  <r>
    <n v="15"/>
    <x v="2"/>
    <s v="00/03/03"/>
    <s v="1400/03/03"/>
    <x v="45"/>
    <n v="10055"/>
    <x v="80"/>
    <n v="-5087"/>
    <n v="-5087"/>
    <n v="0"/>
    <n v="5087"/>
    <n v="0"/>
    <n v="5087"/>
    <n v="5087"/>
    <n v="0"/>
    <n v="0"/>
    <n v="0"/>
    <n v="0"/>
    <n v="0"/>
    <n v="0"/>
    <n v="62162"/>
  </r>
  <r>
    <n v="15"/>
    <x v="2"/>
    <s v="00/03/03"/>
    <s v="1400/03/03"/>
    <x v="45"/>
    <n v="30137"/>
    <x v="101"/>
    <n v="191"/>
    <n v="191"/>
    <n v="191"/>
    <n v="0"/>
    <n v="0"/>
    <n v="0"/>
    <n v="0"/>
    <n v="0"/>
    <n v="0"/>
    <n v="0"/>
    <n v="0"/>
    <n v="0"/>
    <n v="0"/>
    <n v="62162"/>
  </r>
  <r>
    <n v="15"/>
    <x v="2"/>
    <s v="00/03/03"/>
    <s v="1400/03/03"/>
    <x v="45"/>
    <n v="10070"/>
    <x v="53"/>
    <n v="-510"/>
    <n v="-510"/>
    <n v="0"/>
    <n v="510"/>
    <n v="0"/>
    <n v="510"/>
    <n v="510"/>
    <n v="0"/>
    <n v="0"/>
    <n v="0"/>
    <n v="0"/>
    <n v="0"/>
    <n v="0"/>
    <n v="62162"/>
  </r>
  <r>
    <n v="16"/>
    <x v="2"/>
    <s v="00/03/03"/>
    <s v="1400/03/03"/>
    <x v="45"/>
    <n v="30127"/>
    <x v="99"/>
    <n v="9573"/>
    <n v="9573"/>
    <n v="9573"/>
    <n v="0"/>
    <n v="0"/>
    <n v="0"/>
    <n v="0"/>
    <n v="0"/>
    <n v="0"/>
    <n v="0"/>
    <n v="0"/>
    <n v="0"/>
    <n v="0"/>
    <n v="52589"/>
  </r>
  <r>
    <n v="16"/>
    <x v="2"/>
    <s v="00/03/03"/>
    <s v="1400/03/03"/>
    <x v="45"/>
    <n v="30009"/>
    <x v="66"/>
    <n v="-4502"/>
    <n v="-4502"/>
    <n v="0"/>
    <n v="4502"/>
    <n v="0"/>
    <n v="4502"/>
    <n v="4502"/>
    <n v="0"/>
    <n v="0"/>
    <n v="0"/>
    <n v="0"/>
    <n v="0"/>
    <n v="0"/>
    <n v="52589"/>
  </r>
  <r>
    <n v="16"/>
    <x v="2"/>
    <s v="00/03/03"/>
    <s v="1400/03/03"/>
    <x v="45"/>
    <n v="10003"/>
    <x v="79"/>
    <n v="-2381"/>
    <n v="-2381"/>
    <n v="0"/>
    <n v="2381"/>
    <n v="0"/>
    <n v="2381"/>
    <n v="2381"/>
    <n v="0"/>
    <n v="0"/>
    <n v="0"/>
    <n v="0"/>
    <n v="0"/>
    <n v="0"/>
    <n v="52589"/>
  </r>
  <r>
    <n v="16"/>
    <x v="2"/>
    <s v="00/03/03"/>
    <s v="1400/03/03"/>
    <x v="45"/>
    <n v="10026"/>
    <x v="81"/>
    <n v="-1875"/>
    <n v="-1875"/>
    <n v="0"/>
    <n v="1875"/>
    <n v="0"/>
    <n v="1875"/>
    <n v="1875"/>
    <n v="0"/>
    <n v="0"/>
    <n v="0"/>
    <n v="0"/>
    <n v="0"/>
    <n v="0"/>
    <n v="52589"/>
  </r>
  <r>
    <n v="16"/>
    <x v="2"/>
    <s v="00/03/03"/>
    <s v="1400/03/03"/>
    <x v="45"/>
    <n v="10029"/>
    <x v="78"/>
    <n v="-2751"/>
    <n v="-2751"/>
    <n v="0"/>
    <n v="2751"/>
    <n v="0"/>
    <n v="2751"/>
    <n v="2751"/>
    <n v="0"/>
    <n v="0"/>
    <n v="0"/>
    <n v="0"/>
    <n v="0"/>
    <n v="0"/>
    <n v="52589"/>
  </r>
  <r>
    <n v="16"/>
    <x v="2"/>
    <s v="00/03/04"/>
    <s v="1400/03/04"/>
    <x v="46"/>
    <n v="10069"/>
    <x v="68"/>
    <n v="1351"/>
    <n v="1351"/>
    <n v="1351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66"/>
    <x v="77"/>
    <n v="-6026"/>
    <n v="-6026"/>
    <n v="0"/>
    <n v="6026"/>
    <n v="0"/>
    <n v="6026"/>
    <n v="6026"/>
    <n v="0"/>
    <n v="0"/>
    <n v="0"/>
    <n v="0"/>
    <n v="0"/>
    <n v="0"/>
    <n v="52589"/>
  </r>
  <r>
    <n v="16"/>
    <x v="2"/>
    <s v="00/03/04"/>
    <s v="1400/03/04"/>
    <x v="46"/>
    <n v="10070"/>
    <x v="53"/>
    <n v="1254"/>
    <n v="1254"/>
    <n v="1254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30"/>
    <x v="36"/>
    <n v="-1688"/>
    <n v="-1688"/>
    <n v="0"/>
    <n v="1688"/>
    <n v="0"/>
    <n v="1688"/>
    <n v="1688"/>
    <n v="0"/>
    <n v="0"/>
    <n v="0"/>
    <n v="0"/>
    <n v="0"/>
    <n v="0"/>
    <n v="52589"/>
  </r>
  <r>
    <n v="16"/>
    <x v="2"/>
    <s v="00/03/04"/>
    <s v="1400/03/04"/>
    <x v="46"/>
    <n v="30030"/>
    <x v="36"/>
    <n v="1637"/>
    <n v="1637"/>
    <n v="1637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186"/>
    <x v="102"/>
    <n v="-2928"/>
    <n v="-2928"/>
    <n v="0"/>
    <n v="2928"/>
    <n v="0"/>
    <n v="2928"/>
    <n v="2928"/>
    <n v="0"/>
    <n v="0"/>
    <n v="0"/>
    <n v="0"/>
    <n v="0"/>
    <n v="0"/>
    <n v="52589"/>
  </r>
  <r>
    <n v="16"/>
    <x v="2"/>
    <s v="00/03/04"/>
    <s v="1400/03/04"/>
    <x v="46"/>
    <n v="30066"/>
    <x v="77"/>
    <n v="2899"/>
    <n v="2899"/>
    <n v="2899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124"/>
    <x v="106"/>
    <n v="-1834"/>
    <n v="-1834"/>
    <n v="0"/>
    <n v="1834"/>
    <n v="0"/>
    <n v="1834"/>
    <n v="1834"/>
    <n v="0"/>
    <n v="0"/>
    <n v="0"/>
    <n v="0"/>
    <n v="0"/>
    <n v="0"/>
    <n v="52589"/>
  </r>
  <r>
    <n v="16"/>
    <x v="2"/>
    <s v="00/03/04"/>
    <s v="1400/03/04"/>
    <x v="46"/>
    <n v="30124"/>
    <x v="106"/>
    <n v="202"/>
    <n v="202"/>
    <n v="202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10104"/>
    <x v="76"/>
    <n v="-6"/>
    <n v="-6"/>
    <n v="0"/>
    <n v="6"/>
    <n v="0"/>
    <n v="6"/>
    <n v="6"/>
    <n v="0"/>
    <n v="0"/>
    <n v="0"/>
    <n v="0"/>
    <n v="0"/>
    <n v="0"/>
    <n v="52589"/>
  </r>
  <r>
    <n v="16"/>
    <x v="2"/>
    <s v="00/03/04"/>
    <s v="1400/03/04"/>
    <x v="46"/>
    <n v="30124"/>
    <x v="106"/>
    <n v="786"/>
    <n v="786"/>
    <n v="786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10069"/>
    <x v="68"/>
    <n v="-1291"/>
    <n v="-1291"/>
    <n v="0"/>
    <n v="1291"/>
    <n v="0"/>
    <n v="1291"/>
    <n v="1291"/>
    <n v="0"/>
    <n v="0"/>
    <n v="0"/>
    <n v="0"/>
    <n v="0"/>
    <n v="0"/>
    <n v="52589"/>
  </r>
  <r>
    <n v="16"/>
    <x v="2"/>
    <s v="00/03/04"/>
    <s v="1400/03/04"/>
    <x v="46"/>
    <n v="30186"/>
    <x v="102"/>
    <n v="1754"/>
    <n v="1754"/>
    <n v="1754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09"/>
    <x v="66"/>
    <n v="-1185"/>
    <n v="-1185"/>
    <n v="0"/>
    <n v="1185"/>
    <n v="0"/>
    <n v="1185"/>
    <n v="1185"/>
    <n v="0"/>
    <n v="0"/>
    <n v="0"/>
    <n v="0"/>
    <n v="0"/>
    <n v="0"/>
    <n v="52589"/>
  </r>
  <r>
    <n v="16"/>
    <x v="2"/>
    <s v="00/03/04"/>
    <s v="1400/03/04"/>
    <x v="46"/>
    <n v="10055"/>
    <x v="80"/>
    <n v="4151"/>
    <n v="4151"/>
    <n v="4151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04"/>
    <x v="2"/>
    <n v="-4955"/>
    <n v="-4955"/>
    <n v="0"/>
    <n v="4955"/>
    <n v="0"/>
    <n v="4955"/>
    <n v="4955"/>
    <n v="0"/>
    <n v="0"/>
    <n v="0"/>
    <n v="0"/>
    <n v="0"/>
    <n v="0"/>
    <n v="52589"/>
  </r>
  <r>
    <n v="16"/>
    <x v="2"/>
    <s v="00/03/05"/>
    <s v="1400/03/05"/>
    <x v="47"/>
    <n v="10055"/>
    <x v="80"/>
    <n v="5049"/>
    <n v="5049"/>
    <n v="5049"/>
    <n v="0"/>
    <n v="0"/>
    <n v="0"/>
    <n v="0"/>
    <n v="0"/>
    <n v="0"/>
    <n v="0"/>
    <n v="0"/>
    <n v="0"/>
    <n v="0"/>
    <n v="52589"/>
  </r>
  <r>
    <n v="16"/>
    <x v="2"/>
    <s v="00/03/05"/>
    <s v="1400/03/05"/>
    <x v="47"/>
    <n v="30184"/>
    <x v="108"/>
    <n v="-3000"/>
    <n v="-3000"/>
    <n v="0"/>
    <n v="3000"/>
    <n v="0"/>
    <n v="3000"/>
    <n v="3000"/>
    <n v="0"/>
    <n v="0"/>
    <n v="0"/>
    <n v="0"/>
    <n v="0"/>
    <n v="0"/>
    <n v="52589"/>
  </r>
  <r>
    <n v="17"/>
    <x v="2"/>
    <s v="00/03/05"/>
    <s v="1400/03/05"/>
    <x v="47"/>
    <n v="30127"/>
    <x v="99"/>
    <n v="1948"/>
    <n v="1948"/>
    <n v="1948"/>
    <n v="0"/>
    <n v="0"/>
    <n v="0"/>
    <n v="0"/>
    <n v="0"/>
    <n v="0"/>
    <n v="0"/>
    <n v="0"/>
    <n v="0"/>
    <n v="0"/>
    <n v="50641"/>
  </r>
  <r>
    <n v="17"/>
    <x v="2"/>
    <s v="00/03/05"/>
    <s v="1400/03/05"/>
    <x v="47"/>
    <n v="30009"/>
    <x v="66"/>
    <n v="-2119"/>
    <n v="-2119"/>
    <n v="0"/>
    <n v="2119"/>
    <n v="0"/>
    <n v="2119"/>
    <n v="2119"/>
    <n v="0"/>
    <n v="0"/>
    <n v="0"/>
    <n v="0"/>
    <n v="0"/>
    <n v="0"/>
    <n v="50641"/>
  </r>
  <r>
    <n v="17"/>
    <x v="2"/>
    <s v="00/03/05"/>
    <s v="1400/03/05"/>
    <x v="47"/>
    <n v="30066"/>
    <x v="77"/>
    <n v="4300"/>
    <n v="4300"/>
    <n v="4300"/>
    <n v="0"/>
    <n v="0"/>
    <n v="0"/>
    <n v="0"/>
    <n v="0"/>
    <n v="0"/>
    <n v="0"/>
    <n v="0"/>
    <n v="0"/>
    <n v="0"/>
    <n v="50641"/>
  </r>
  <r>
    <n v="17"/>
    <x v="2"/>
    <s v="00/03/05"/>
    <s v="1400/03/05"/>
    <x v="47"/>
    <n v="10003"/>
    <x v="79"/>
    <n v="-1984"/>
    <n v="-1984"/>
    <n v="0"/>
    <n v="1984"/>
    <n v="0"/>
    <n v="1984"/>
    <n v="1984"/>
    <n v="0"/>
    <n v="0"/>
    <n v="0"/>
    <n v="0"/>
    <n v="0"/>
    <n v="0"/>
    <n v="50641"/>
  </r>
  <r>
    <n v="17"/>
    <x v="2"/>
    <s v="00/03/05"/>
    <s v="1400/03/05"/>
    <x v="47"/>
    <n v="30140"/>
    <x v="29"/>
    <n v="1512"/>
    <n v="1512"/>
    <n v="1512"/>
    <n v="0"/>
    <n v="0"/>
    <n v="0"/>
    <n v="0"/>
    <n v="0"/>
    <n v="0"/>
    <n v="0"/>
    <n v="0"/>
    <n v="0"/>
    <n v="0"/>
    <n v="50641"/>
  </r>
  <r>
    <n v="17"/>
    <x v="2"/>
    <s v="00/03/05"/>
    <s v="1400/03/05"/>
    <x v="47"/>
    <n v="10055"/>
    <x v="80"/>
    <n v="5398"/>
    <n v="5398"/>
    <n v="5398"/>
    <n v="0"/>
    <n v="0"/>
    <n v="0"/>
    <n v="0"/>
    <n v="0"/>
    <n v="0"/>
    <n v="0"/>
    <n v="0"/>
    <n v="0"/>
    <n v="0"/>
    <n v="50641"/>
  </r>
  <r>
    <n v="17"/>
    <x v="2"/>
    <s v="00/03/06"/>
    <s v="1400/03/06"/>
    <x v="48"/>
    <n v="30014"/>
    <x v="41"/>
    <n v="-3090"/>
    <n v="-3090"/>
    <n v="0"/>
    <n v="3090"/>
    <n v="0"/>
    <n v="3090"/>
    <n v="3090"/>
    <n v="0"/>
    <n v="0"/>
    <n v="0"/>
    <n v="0"/>
    <n v="0"/>
    <n v="0"/>
    <n v="50641"/>
  </r>
  <r>
    <n v="17"/>
    <x v="2"/>
    <s v="00/03/06"/>
    <s v="1400/03/06"/>
    <x v="48"/>
    <n v="10018"/>
    <x v="95"/>
    <n v="574"/>
    <n v="574"/>
    <n v="574"/>
    <n v="0"/>
    <n v="0"/>
    <n v="0"/>
    <n v="0"/>
    <n v="0"/>
    <n v="0"/>
    <n v="0"/>
    <n v="0"/>
    <n v="0"/>
    <n v="0"/>
    <n v="50641"/>
  </r>
  <r>
    <n v="18"/>
    <x v="2"/>
    <s v="00/03/06"/>
    <s v="1400/03/06"/>
    <x v="48"/>
    <n v="30127"/>
    <x v="99"/>
    <n v="-15478"/>
    <n v="-15478"/>
    <n v="0"/>
    <n v="15478"/>
    <n v="0"/>
    <n v="15478"/>
    <n v="15478"/>
    <n v="0"/>
    <n v="0"/>
    <n v="0"/>
    <n v="0"/>
    <n v="0"/>
    <n v="0"/>
    <n v="66119"/>
  </r>
  <r>
    <n v="19"/>
    <x v="2"/>
    <s v="00/03/06"/>
    <s v="1400/03/06"/>
    <x v="48"/>
    <n v="30127"/>
    <x v="99"/>
    <n v="2147"/>
    <n v="2147"/>
    <n v="2147"/>
    <n v="0"/>
    <n v="0"/>
    <n v="0"/>
    <n v="0"/>
    <n v="0"/>
    <n v="0"/>
    <n v="0"/>
    <n v="0"/>
    <n v="0"/>
    <n v="0"/>
    <n v="63972"/>
  </r>
  <r>
    <n v="19"/>
    <x v="2"/>
    <s v="00/03/06"/>
    <s v="1400/03/06"/>
    <x v="48"/>
    <n v="50016"/>
    <x v="31"/>
    <n v="-1912"/>
    <n v="-1912"/>
    <n v="0"/>
    <n v="1912"/>
    <n v="0"/>
    <n v="1912"/>
    <n v="1912"/>
    <n v="0"/>
    <n v="0"/>
    <n v="0"/>
    <n v="0"/>
    <n v="0"/>
    <n v="0"/>
    <n v="63972"/>
  </r>
  <r>
    <n v="19"/>
    <x v="2"/>
    <s v="00/03/06"/>
    <s v="1400/03/06"/>
    <x v="48"/>
    <n v="30014"/>
    <x v="41"/>
    <n v="270"/>
    <n v="270"/>
    <n v="270"/>
    <n v="0"/>
    <n v="0"/>
    <n v="0"/>
    <n v="0"/>
    <n v="0"/>
    <n v="0"/>
    <n v="0"/>
    <n v="0"/>
    <n v="0"/>
    <n v="0"/>
    <n v="63972"/>
  </r>
  <r>
    <n v="19"/>
    <x v="2"/>
    <s v="00/03/06"/>
    <s v="1400/03/06"/>
    <x v="48"/>
    <n v="10018"/>
    <x v="95"/>
    <n v="-446"/>
    <n v="-446"/>
    <n v="0"/>
    <n v="446"/>
    <n v="0"/>
    <n v="446"/>
    <n v="446"/>
    <n v="0"/>
    <n v="0"/>
    <n v="0"/>
    <n v="0"/>
    <n v="0"/>
    <n v="0"/>
    <n v="63972"/>
  </r>
  <r>
    <n v="19"/>
    <x v="2"/>
    <s v="00/03/06"/>
    <s v="1400/03/06"/>
    <x v="48"/>
    <n v="30014"/>
    <x v="41"/>
    <n v="2684"/>
    <n v="2684"/>
    <n v="2684"/>
    <n v="0"/>
    <n v="0"/>
    <n v="0"/>
    <n v="0"/>
    <n v="0"/>
    <n v="0"/>
    <n v="0"/>
    <n v="0"/>
    <n v="0"/>
    <n v="0"/>
    <n v="63972"/>
  </r>
  <r>
    <n v="19"/>
    <x v="2"/>
    <s v="00/03/06"/>
    <s v="1400/03/06"/>
    <x v="48"/>
    <n v="30004"/>
    <x v="2"/>
    <n v="-4752"/>
    <n v="-4752"/>
    <n v="0"/>
    <n v="4752"/>
    <n v="0"/>
    <n v="4752"/>
    <n v="4752"/>
    <n v="0"/>
    <n v="0"/>
    <n v="0"/>
    <n v="0"/>
    <n v="0"/>
    <n v="0"/>
    <n v="63972"/>
  </r>
  <r>
    <n v="19"/>
    <x v="2"/>
    <s v="00/03/06"/>
    <s v="1400/03/06"/>
    <x v="48"/>
    <n v="30009"/>
    <x v="66"/>
    <n v="-1819"/>
    <n v="-1819"/>
    <n v="0"/>
    <n v="1819"/>
    <n v="0"/>
    <n v="1819"/>
    <n v="1819"/>
    <n v="0"/>
    <n v="0"/>
    <n v="0"/>
    <n v="0"/>
    <n v="0"/>
    <n v="0"/>
    <n v="63972"/>
  </r>
  <r>
    <n v="19"/>
    <x v="2"/>
    <s v="00/03/08"/>
    <s v="1400/03/08"/>
    <x v="49"/>
    <n v="30003"/>
    <x v="65"/>
    <n v="1082"/>
    <n v="1082"/>
    <n v="1082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81"/>
    <x v="67"/>
    <n v="-2099"/>
    <n v="-2099"/>
    <n v="0"/>
    <n v="2099"/>
    <n v="0"/>
    <n v="2099"/>
    <n v="2099"/>
    <n v="0"/>
    <n v="0"/>
    <n v="0"/>
    <n v="0"/>
    <n v="0"/>
    <n v="0"/>
    <n v="63972"/>
  </r>
  <r>
    <n v="19"/>
    <x v="2"/>
    <s v="00/03/08"/>
    <s v="1400/03/08"/>
    <x v="49"/>
    <n v="10027"/>
    <x v="72"/>
    <n v="2076"/>
    <n v="2076"/>
    <n v="2076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162"/>
    <x v="70"/>
    <n v="-163"/>
    <n v="-163"/>
    <n v="0"/>
    <n v="163"/>
    <n v="0"/>
    <n v="163"/>
    <n v="163"/>
    <n v="0"/>
    <n v="0"/>
    <n v="0"/>
    <n v="0"/>
    <n v="0"/>
    <n v="0"/>
    <n v="63972"/>
  </r>
  <r>
    <n v="19"/>
    <x v="2"/>
    <s v="00/03/08"/>
    <s v="1400/03/08"/>
    <x v="49"/>
    <n v="10026"/>
    <x v="81"/>
    <n v="2000"/>
    <n v="2000"/>
    <n v="2000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186"/>
    <x v="102"/>
    <n v="-3081"/>
    <n v="-3081"/>
    <n v="0"/>
    <n v="3081"/>
    <n v="0"/>
    <n v="3081"/>
    <n v="3081"/>
    <n v="0"/>
    <n v="0"/>
    <n v="0"/>
    <n v="0"/>
    <n v="0"/>
    <n v="0"/>
    <n v="63972"/>
  </r>
  <r>
    <n v="19"/>
    <x v="2"/>
    <s v="00/03/08"/>
    <s v="1400/03/08"/>
    <x v="49"/>
    <n v="30004"/>
    <x v="2"/>
    <n v="2364"/>
    <n v="2364"/>
    <n v="2364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09"/>
    <x v="66"/>
    <n v="-2030"/>
    <n v="-2030"/>
    <n v="0"/>
    <n v="2030"/>
    <n v="0"/>
    <n v="2030"/>
    <n v="2030"/>
    <n v="0"/>
    <n v="0"/>
    <n v="0"/>
    <n v="0"/>
    <n v="0"/>
    <n v="0"/>
    <n v="63972"/>
  </r>
  <r>
    <n v="19"/>
    <x v="2"/>
    <s v="00/03/08"/>
    <s v="1400/03/08"/>
    <x v="49"/>
    <n v="30186"/>
    <x v="102"/>
    <n v="2038"/>
    <n v="2038"/>
    <n v="2038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10003"/>
    <x v="79"/>
    <n v="-4292"/>
    <n v="-4292"/>
    <n v="0"/>
    <n v="4292"/>
    <n v="0"/>
    <n v="4292"/>
    <n v="4292"/>
    <n v="0"/>
    <n v="0"/>
    <n v="0"/>
    <n v="0"/>
    <n v="0"/>
    <n v="0"/>
    <n v="63972"/>
  </r>
  <r>
    <n v="19"/>
    <x v="2"/>
    <s v="00/03/08"/>
    <s v="1400/03/08"/>
    <x v="49"/>
    <n v="30004"/>
    <x v="2"/>
    <n v="1458"/>
    <n v="1458"/>
    <n v="1458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03"/>
    <x v="65"/>
    <n v="-1028"/>
    <n v="-1028"/>
    <n v="0"/>
    <n v="1028"/>
    <n v="0"/>
    <n v="1028"/>
    <n v="1028"/>
    <n v="0"/>
    <n v="0"/>
    <n v="0"/>
    <n v="0"/>
    <n v="0"/>
    <n v="0"/>
    <n v="63972"/>
  </r>
  <r>
    <n v="19"/>
    <x v="2"/>
    <s v="00/03/08"/>
    <s v="1400/03/08"/>
    <x v="49"/>
    <n v="30004"/>
    <x v="2"/>
    <n v="85"/>
    <n v="85"/>
    <n v="85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04"/>
    <x v="2"/>
    <n v="-4529"/>
    <n v="-4529"/>
    <n v="0"/>
    <n v="4529"/>
    <n v="0"/>
    <n v="4529"/>
    <n v="4529"/>
    <n v="0"/>
    <n v="0"/>
    <n v="0"/>
    <n v="0"/>
    <n v="0"/>
    <n v="0"/>
    <n v="63972"/>
  </r>
  <r>
    <n v="19"/>
    <x v="2"/>
    <s v="00/03/09"/>
    <s v="1400/03/09"/>
    <x v="50"/>
    <n v="10069"/>
    <x v="68"/>
    <n v="369"/>
    <n v="369"/>
    <n v="369"/>
    <n v="0"/>
    <n v="0"/>
    <n v="0"/>
    <n v="0"/>
    <n v="0"/>
    <n v="0"/>
    <n v="0"/>
    <n v="0"/>
    <n v="0"/>
    <n v="0"/>
    <n v="63972"/>
  </r>
  <r>
    <n v="20"/>
    <x v="2"/>
    <s v="00/03/09"/>
    <s v="1400/03/09"/>
    <x v="50"/>
    <n v="30127"/>
    <x v="99"/>
    <n v="-15995"/>
    <n v="-15995"/>
    <n v="0"/>
    <n v="15995"/>
    <n v="0"/>
    <n v="15995"/>
    <n v="15995"/>
    <n v="0"/>
    <n v="0"/>
    <n v="0"/>
    <n v="0"/>
    <n v="0"/>
    <n v="0"/>
    <n v="79967"/>
  </r>
  <r>
    <n v="20"/>
    <x v="2"/>
    <s v="00/03/09"/>
    <s v="1400/03/09"/>
    <x v="50"/>
    <n v="30066"/>
    <x v="77"/>
    <n v="4201"/>
    <n v="4201"/>
    <n v="4201"/>
    <n v="0"/>
    <n v="0"/>
    <n v="0"/>
    <n v="0"/>
    <n v="0"/>
    <n v="0"/>
    <n v="0"/>
    <n v="0"/>
    <n v="0"/>
    <n v="0"/>
    <n v="79967"/>
  </r>
  <r>
    <n v="20"/>
    <x v="2"/>
    <s v="00/03/09"/>
    <s v="1400/03/09"/>
    <x v="50"/>
    <n v="30066"/>
    <x v="77"/>
    <n v="-5196"/>
    <n v="-5196"/>
    <n v="0"/>
    <n v="5196"/>
    <n v="0"/>
    <n v="5196"/>
    <n v="5196"/>
    <n v="0"/>
    <n v="0"/>
    <n v="0"/>
    <n v="0"/>
    <n v="0"/>
    <n v="0"/>
    <n v="79967"/>
  </r>
  <r>
    <n v="20"/>
    <x v="2"/>
    <s v="00/03/09"/>
    <s v="1400/03/09"/>
    <x v="50"/>
    <n v="30017"/>
    <x v="83"/>
    <n v="2437"/>
    <n v="2437"/>
    <n v="2437"/>
    <n v="0"/>
    <n v="0"/>
    <n v="0"/>
    <n v="0"/>
    <n v="0"/>
    <n v="0"/>
    <n v="0"/>
    <n v="0"/>
    <n v="0"/>
    <n v="0"/>
    <n v="79967"/>
  </r>
  <r>
    <n v="20"/>
    <x v="2"/>
    <s v="00/03/09"/>
    <s v="1400/03/09"/>
    <x v="50"/>
    <n v="10003"/>
    <x v="79"/>
    <n v="-3122"/>
    <n v="-3122"/>
    <n v="0"/>
    <n v="3122"/>
    <n v="0"/>
    <n v="3122"/>
    <n v="3122"/>
    <n v="0"/>
    <n v="0"/>
    <n v="0"/>
    <n v="0"/>
    <n v="0"/>
    <n v="0"/>
    <n v="79967"/>
  </r>
  <r>
    <n v="20"/>
    <x v="2"/>
    <s v="00/03/10"/>
    <s v="1400/03/10"/>
    <x v="51"/>
    <n v="10104"/>
    <x v="76"/>
    <n v="272"/>
    <n v="272"/>
    <n v="272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66"/>
    <x v="77"/>
    <n v="-4900"/>
    <n v="-4900"/>
    <n v="0"/>
    <n v="4900"/>
    <n v="0"/>
    <n v="4900"/>
    <n v="4900"/>
    <n v="0"/>
    <n v="0"/>
    <n v="0"/>
    <n v="0"/>
    <n v="0"/>
    <n v="0"/>
    <n v="79967"/>
  </r>
  <r>
    <n v="20"/>
    <x v="2"/>
    <s v="00/03/10"/>
    <s v="1400/03/10"/>
    <x v="51"/>
    <n v="10003"/>
    <x v="79"/>
    <n v="2657"/>
    <n v="2657"/>
    <n v="2657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186"/>
    <x v="102"/>
    <n v="-1554"/>
    <n v="-1554"/>
    <n v="0"/>
    <n v="1554"/>
    <n v="0"/>
    <n v="1554"/>
    <n v="1554"/>
    <n v="0"/>
    <n v="0"/>
    <n v="0"/>
    <n v="0"/>
    <n v="0"/>
    <n v="0"/>
    <n v="79967"/>
  </r>
  <r>
    <n v="20"/>
    <x v="2"/>
    <s v="00/03/10"/>
    <s v="1400/03/10"/>
    <x v="51"/>
    <n v="30101"/>
    <x v="69"/>
    <n v="816"/>
    <n v="816"/>
    <n v="81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99"/>
    <x v="11"/>
    <n v="-2022"/>
    <n v="-2022"/>
    <n v="0"/>
    <n v="2022"/>
    <n v="0"/>
    <n v="2022"/>
    <n v="2022"/>
    <n v="0"/>
    <n v="0"/>
    <n v="0"/>
    <n v="0"/>
    <n v="0"/>
    <n v="0"/>
    <n v="79967"/>
  </r>
  <r>
    <n v="20"/>
    <x v="2"/>
    <s v="00/03/10"/>
    <s v="1400/03/10"/>
    <x v="51"/>
    <n v="30186"/>
    <x v="102"/>
    <n v="2010"/>
    <n v="2010"/>
    <n v="2010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26"/>
    <x v="14"/>
    <n v="-82"/>
    <n v="-82"/>
    <n v="0"/>
    <n v="82"/>
    <n v="0"/>
    <n v="82"/>
    <n v="82"/>
    <n v="0"/>
    <n v="0"/>
    <n v="0"/>
    <n v="0"/>
    <n v="0"/>
    <n v="0"/>
    <n v="79967"/>
  </r>
  <r>
    <n v="20"/>
    <x v="2"/>
    <s v="00/03/10"/>
    <s v="1400/03/10"/>
    <x v="51"/>
    <n v="30101"/>
    <x v="69"/>
    <n v="428"/>
    <n v="428"/>
    <n v="428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10003"/>
    <x v="79"/>
    <n v="-3208"/>
    <n v="-3208"/>
    <n v="0"/>
    <n v="3208"/>
    <n v="0"/>
    <n v="3208"/>
    <n v="3208"/>
    <n v="0"/>
    <n v="0"/>
    <n v="0"/>
    <n v="0"/>
    <n v="0"/>
    <n v="0"/>
    <n v="79967"/>
  </r>
  <r>
    <n v="20"/>
    <x v="2"/>
    <s v="00/03/10"/>
    <s v="1400/03/10"/>
    <x v="51"/>
    <n v="30017"/>
    <x v="83"/>
    <n v="2930"/>
    <n v="2930"/>
    <n v="2930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09"/>
    <x v="66"/>
    <n v="-100"/>
    <n v="-100"/>
    <n v="0"/>
    <n v="100"/>
    <n v="0"/>
    <n v="100"/>
    <n v="100"/>
    <n v="0"/>
    <n v="0"/>
    <n v="0"/>
    <n v="0"/>
    <n v="0"/>
    <n v="0"/>
    <n v="79967"/>
  </r>
  <r>
    <n v="20"/>
    <x v="2"/>
    <s v="00/03/10"/>
    <s v="1400/03/10"/>
    <x v="51"/>
    <n v="10089"/>
    <x v="35"/>
    <n v="507"/>
    <n v="507"/>
    <n v="507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10020"/>
    <x v="40"/>
    <n v="202"/>
    <n v="202"/>
    <n v="202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10020"/>
    <x v="40"/>
    <n v="896"/>
    <n v="896"/>
    <n v="89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09"/>
    <x v="66"/>
    <n v="1746"/>
    <n v="1746"/>
    <n v="174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13"/>
    <x v="110"/>
    <n v="206"/>
    <n v="206"/>
    <n v="20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13"/>
    <x v="110"/>
    <n v="700"/>
    <n v="700"/>
    <n v="700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30081"/>
    <x v="67"/>
    <n v="-4032"/>
    <n v="-4032"/>
    <n v="0"/>
    <n v="4032"/>
    <n v="0"/>
    <n v="4032"/>
    <n v="4032"/>
    <n v="0"/>
    <n v="0"/>
    <n v="0"/>
    <n v="0"/>
    <n v="0"/>
    <n v="0"/>
    <n v="79967"/>
  </r>
  <r>
    <n v="20"/>
    <x v="2"/>
    <s v="00/03/11"/>
    <s v="1400/03/11"/>
    <x v="52"/>
    <n v="10003"/>
    <x v="79"/>
    <n v="2980"/>
    <n v="2980"/>
    <n v="2980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30066"/>
    <x v="77"/>
    <n v="-5727"/>
    <n v="-5727"/>
    <n v="0"/>
    <n v="5727"/>
    <n v="0"/>
    <n v="5727"/>
    <n v="5727"/>
    <n v="0"/>
    <n v="0"/>
    <n v="0"/>
    <n v="0"/>
    <n v="0"/>
    <n v="0"/>
    <n v="79967"/>
  </r>
  <r>
    <n v="20"/>
    <x v="2"/>
    <s v="00/03/11"/>
    <s v="1400/03/11"/>
    <x v="52"/>
    <n v="10055"/>
    <x v="80"/>
    <n v="5728"/>
    <n v="5728"/>
    <n v="5728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10119"/>
    <x v="100"/>
    <n v="-344"/>
    <n v="-344"/>
    <n v="0"/>
    <n v="344"/>
    <n v="0"/>
    <n v="344"/>
    <n v="344"/>
    <n v="0"/>
    <n v="0"/>
    <n v="0"/>
    <n v="0"/>
    <n v="0"/>
    <n v="0"/>
    <n v="79967"/>
  </r>
  <r>
    <n v="20"/>
    <x v="2"/>
    <s v="00/03/11"/>
    <s v="1400/03/11"/>
    <x v="52"/>
    <n v="30081"/>
    <x v="67"/>
    <n v="4846"/>
    <n v="4846"/>
    <n v="4846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30004"/>
    <x v="2"/>
    <n v="-5054"/>
    <n v="-5054"/>
    <n v="0"/>
    <n v="5054"/>
    <n v="0"/>
    <n v="5054"/>
    <n v="5054"/>
    <n v="0"/>
    <n v="0"/>
    <n v="0"/>
    <n v="0"/>
    <n v="0"/>
    <n v="0"/>
    <n v="79967"/>
  </r>
  <r>
    <n v="21"/>
    <x v="2"/>
    <s v="00/03/11"/>
    <s v="1400/03/11"/>
    <x v="52"/>
    <n v="30127"/>
    <x v="99"/>
    <n v="11437"/>
    <n v="11437"/>
    <n v="11437"/>
    <n v="0"/>
    <n v="0"/>
    <n v="0"/>
    <n v="0"/>
    <n v="0"/>
    <n v="0"/>
    <n v="0"/>
    <n v="0"/>
    <n v="0"/>
    <n v="0"/>
    <n v="68530"/>
  </r>
  <r>
    <n v="21"/>
    <x v="2"/>
    <s v="00/03/11"/>
    <s v="1400/03/11"/>
    <x v="52"/>
    <n v="10003"/>
    <x v="79"/>
    <n v="2475"/>
    <n v="2475"/>
    <n v="2475"/>
    <n v="0"/>
    <n v="0"/>
    <n v="0"/>
    <n v="0"/>
    <n v="0"/>
    <n v="0"/>
    <n v="0"/>
    <n v="0"/>
    <n v="0"/>
    <n v="0"/>
    <n v="68530"/>
  </r>
  <r>
    <n v="21"/>
    <x v="2"/>
    <s v="00/03/11"/>
    <s v="1400/03/11"/>
    <x v="52"/>
    <n v="10003"/>
    <x v="79"/>
    <n v="2750"/>
    <n v="2750"/>
    <n v="2750"/>
    <n v="0"/>
    <n v="0"/>
    <n v="0"/>
    <n v="0"/>
    <n v="0"/>
    <n v="0"/>
    <n v="0"/>
    <n v="0"/>
    <n v="0"/>
    <n v="0"/>
    <n v="68530"/>
  </r>
  <r>
    <n v="21"/>
    <x v="2"/>
    <s v="00/03/12"/>
    <s v="1400/03/12"/>
    <x v="53"/>
    <n v="30003"/>
    <x v="65"/>
    <n v="-756"/>
    <n v="-756"/>
    <n v="0"/>
    <n v="756"/>
    <n v="0"/>
    <n v="756"/>
    <n v="756"/>
    <n v="0"/>
    <n v="0"/>
    <n v="0"/>
    <n v="0"/>
    <n v="0"/>
    <n v="0"/>
    <n v="68530"/>
  </r>
  <r>
    <n v="21"/>
    <x v="2"/>
    <s v="00/03/12"/>
    <s v="1400/03/12"/>
    <x v="53"/>
    <n v="30003"/>
    <x v="65"/>
    <n v="271"/>
    <n v="271"/>
    <n v="271"/>
    <n v="0"/>
    <n v="0"/>
    <n v="0"/>
    <n v="0"/>
    <n v="0"/>
    <n v="0"/>
    <n v="0"/>
    <n v="0"/>
    <n v="0"/>
    <n v="0"/>
    <n v="68530"/>
  </r>
  <r>
    <n v="21"/>
    <x v="2"/>
    <s v="00/03/12"/>
    <s v="1400/03/12"/>
    <x v="53"/>
    <n v="30146"/>
    <x v="64"/>
    <n v="-2809"/>
    <n v="-2809"/>
    <n v="0"/>
    <n v="2809"/>
    <n v="0"/>
    <n v="2809"/>
    <n v="2809"/>
    <n v="0"/>
    <n v="0"/>
    <n v="0"/>
    <n v="0"/>
    <n v="0"/>
    <n v="0"/>
    <n v="68530"/>
  </r>
  <r>
    <n v="21"/>
    <x v="2"/>
    <s v="00/03/12"/>
    <s v="1400/03/12"/>
    <x v="53"/>
    <n v="30003"/>
    <x v="65"/>
    <n v="86"/>
    <n v="86"/>
    <n v="86"/>
    <n v="0"/>
    <n v="0"/>
    <n v="0"/>
    <n v="0"/>
    <n v="0"/>
    <n v="0"/>
    <n v="0"/>
    <n v="0"/>
    <n v="0"/>
    <n v="0"/>
    <n v="68530"/>
  </r>
  <r>
    <n v="21"/>
    <x v="2"/>
    <s v="00/03/12"/>
    <s v="1400/03/12"/>
    <x v="53"/>
    <n v="50011"/>
    <x v="17"/>
    <n v="-1771"/>
    <n v="-1771"/>
    <n v="0"/>
    <n v="1771"/>
    <n v="0"/>
    <n v="1771"/>
    <n v="1771"/>
    <n v="0"/>
    <n v="0"/>
    <n v="0"/>
    <n v="0"/>
    <n v="0"/>
    <n v="0"/>
    <n v="68530"/>
  </r>
  <r>
    <n v="22"/>
    <x v="2"/>
    <s v="00/03/12"/>
    <s v="1400/03/12"/>
    <x v="53"/>
    <n v="30127"/>
    <x v="99"/>
    <n v="1692"/>
    <n v="1692"/>
    <n v="1692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09"/>
    <x v="24"/>
    <n v="-2193"/>
    <n v="-2193"/>
    <n v="0"/>
    <n v="2193"/>
    <n v="0"/>
    <n v="2193"/>
    <n v="2193"/>
    <n v="0"/>
    <n v="0"/>
    <n v="0"/>
    <n v="0"/>
    <n v="0"/>
    <n v="0"/>
    <n v="66838"/>
  </r>
  <r>
    <n v="22"/>
    <x v="2"/>
    <s v="00/03/12"/>
    <s v="1400/03/12"/>
    <x v="53"/>
    <n v="30003"/>
    <x v="65"/>
    <n v="381"/>
    <n v="381"/>
    <n v="381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55"/>
    <x v="80"/>
    <n v="-4289"/>
    <n v="-4289"/>
    <n v="0"/>
    <n v="4289"/>
    <n v="0"/>
    <n v="4289"/>
    <n v="4289"/>
    <n v="0"/>
    <n v="0"/>
    <n v="0"/>
    <n v="0"/>
    <n v="0"/>
    <n v="0"/>
    <n v="66838"/>
  </r>
  <r>
    <n v="22"/>
    <x v="2"/>
    <s v="00/03/12"/>
    <s v="1400/03/12"/>
    <x v="53"/>
    <n v="30058"/>
    <x v="63"/>
    <n v="3910"/>
    <n v="3910"/>
    <n v="3910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30190"/>
    <x v="111"/>
    <n v="-501"/>
    <n v="-501"/>
    <n v="0"/>
    <n v="501"/>
    <n v="0"/>
    <n v="501"/>
    <n v="501"/>
    <n v="0"/>
    <n v="0"/>
    <n v="0"/>
    <n v="0"/>
    <n v="0"/>
    <n v="0"/>
    <n v="66838"/>
  </r>
  <r>
    <n v="22"/>
    <x v="2"/>
    <s v="00/03/12"/>
    <s v="1400/03/12"/>
    <x v="53"/>
    <n v="30012"/>
    <x v="59"/>
    <n v="2226"/>
    <n v="2226"/>
    <n v="2226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30124"/>
    <x v="106"/>
    <n v="343"/>
    <n v="343"/>
    <n v="343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09"/>
    <x v="24"/>
    <n v="710"/>
    <n v="710"/>
    <n v="710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15"/>
    <x v="20"/>
    <n v="998"/>
    <n v="998"/>
    <n v="998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09"/>
    <x v="24"/>
    <n v="2436"/>
    <n v="2436"/>
    <n v="2436"/>
    <n v="0"/>
    <n v="0"/>
    <n v="0"/>
    <n v="0"/>
    <n v="0"/>
    <n v="0"/>
    <n v="0"/>
    <n v="0"/>
    <n v="0"/>
    <n v="0"/>
    <n v="66838"/>
  </r>
  <r>
    <n v="22"/>
    <x v="2"/>
    <s v="00/03/13"/>
    <s v="1400/03/13"/>
    <x v="54"/>
    <n v="30137"/>
    <x v="101"/>
    <n v="-1031"/>
    <n v="-1031"/>
    <n v="0"/>
    <n v="1031"/>
    <n v="0"/>
    <n v="1031"/>
    <n v="1031"/>
    <n v="0"/>
    <n v="0"/>
    <n v="0"/>
    <n v="0"/>
    <n v="0"/>
    <n v="0"/>
    <n v="66838"/>
  </r>
  <r>
    <n v="22"/>
    <x v="2"/>
    <s v="00/03/13"/>
    <s v="1400/03/13"/>
    <x v="54"/>
    <n v="10089"/>
    <x v="35"/>
    <n v="426"/>
    <n v="426"/>
    <n v="426"/>
    <n v="0"/>
    <n v="0"/>
    <n v="0"/>
    <n v="0"/>
    <n v="0"/>
    <n v="0"/>
    <n v="0"/>
    <n v="0"/>
    <n v="0"/>
    <n v="0"/>
    <n v="66838"/>
  </r>
  <r>
    <n v="22"/>
    <x v="2"/>
    <s v="00/03/13"/>
    <s v="1400/03/13"/>
    <x v="54"/>
    <n v="30186"/>
    <x v="102"/>
    <n v="-1974"/>
    <n v="-1974"/>
    <n v="0"/>
    <n v="1974"/>
    <n v="0"/>
    <n v="1974"/>
    <n v="1974"/>
    <n v="0"/>
    <n v="0"/>
    <n v="0"/>
    <n v="0"/>
    <n v="0"/>
    <n v="0"/>
    <n v="66838"/>
  </r>
  <r>
    <n v="22"/>
    <x v="2"/>
    <s v="00/03/13"/>
    <s v="1400/03/13"/>
    <x v="54"/>
    <n v="10089"/>
    <x v="35"/>
    <n v="36"/>
    <n v="36"/>
    <n v="36"/>
    <n v="0"/>
    <n v="0"/>
    <n v="0"/>
    <n v="0"/>
    <n v="0"/>
    <n v="0"/>
    <n v="0"/>
    <n v="0"/>
    <n v="0"/>
    <n v="0"/>
    <n v="66838"/>
  </r>
  <r>
    <n v="23"/>
    <x v="2"/>
    <s v="00/03/13"/>
    <s v="1400/03/13"/>
    <x v="54"/>
    <n v="30127"/>
    <x v="99"/>
    <n v="-16613"/>
    <n v="-16613"/>
    <n v="0"/>
    <n v="16613"/>
    <n v="0"/>
    <n v="16613"/>
    <n v="16613"/>
    <n v="0"/>
    <n v="0"/>
    <n v="0"/>
    <n v="0"/>
    <n v="0"/>
    <n v="0"/>
    <n v="83451"/>
  </r>
  <r>
    <n v="23"/>
    <x v="2"/>
    <s v="00/03/13"/>
    <s v="1400/03/13"/>
    <x v="54"/>
    <n v="10089"/>
    <x v="35"/>
    <n v="225"/>
    <n v="225"/>
    <n v="225"/>
    <n v="0"/>
    <n v="0"/>
    <n v="0"/>
    <n v="0"/>
    <n v="0"/>
    <n v="0"/>
    <n v="0"/>
    <n v="0"/>
    <n v="0"/>
    <n v="0"/>
    <n v="83451"/>
  </r>
  <r>
    <n v="23"/>
    <x v="2"/>
    <s v="00/03/13"/>
    <s v="1400/03/13"/>
    <x v="54"/>
    <n v="10003"/>
    <x v="79"/>
    <n v="-2038"/>
    <n v="-2038"/>
    <n v="0"/>
    <n v="2038"/>
    <n v="0"/>
    <n v="2038"/>
    <n v="2038"/>
    <n v="0"/>
    <n v="0"/>
    <n v="0"/>
    <n v="0"/>
    <n v="0"/>
    <n v="0"/>
    <n v="83451"/>
  </r>
  <r>
    <n v="23"/>
    <x v="2"/>
    <s v="00/03/13"/>
    <s v="1400/03/13"/>
    <x v="54"/>
    <n v="10131"/>
    <x v="112"/>
    <n v="259"/>
    <n v="259"/>
    <n v="259"/>
    <n v="0"/>
    <n v="0"/>
    <n v="0"/>
    <n v="0"/>
    <n v="0"/>
    <n v="0"/>
    <n v="0"/>
    <n v="0"/>
    <n v="0"/>
    <n v="0"/>
    <n v="83451"/>
  </r>
  <r>
    <n v="23"/>
    <x v="2"/>
    <s v="00/03/13"/>
    <s v="1400/03/13"/>
    <x v="54"/>
    <n v="10131"/>
    <x v="112"/>
    <n v="-174"/>
    <n v="-174"/>
    <n v="0"/>
    <n v="174"/>
    <n v="0"/>
    <n v="174"/>
    <n v="174"/>
    <n v="0"/>
    <n v="0"/>
    <n v="0"/>
    <n v="0"/>
    <n v="0"/>
    <n v="0"/>
    <n v="83451"/>
  </r>
  <r>
    <n v="23"/>
    <x v="2"/>
    <s v="00/03/13"/>
    <s v="1400/03/13"/>
    <x v="54"/>
    <n v="30186"/>
    <x v="102"/>
    <n v="2104"/>
    <n v="2104"/>
    <n v="2104"/>
    <n v="0"/>
    <n v="0"/>
    <n v="0"/>
    <n v="0"/>
    <n v="0"/>
    <n v="0"/>
    <n v="0"/>
    <n v="0"/>
    <n v="0"/>
    <n v="0"/>
    <n v="83451"/>
  </r>
  <r>
    <n v="23"/>
    <x v="2"/>
    <s v="00/03/13"/>
    <s v="1400/03/13"/>
    <x v="54"/>
    <n v="30146"/>
    <x v="64"/>
    <n v="2809"/>
    <n v="2809"/>
    <n v="2809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009"/>
    <x v="66"/>
    <n v="-25"/>
    <n v="-25"/>
    <n v="0"/>
    <n v="25"/>
    <n v="0"/>
    <n v="25"/>
    <n v="25"/>
    <n v="0"/>
    <n v="0"/>
    <n v="0"/>
    <n v="0"/>
    <n v="0"/>
    <n v="0"/>
    <n v="83451"/>
  </r>
  <r>
    <n v="23"/>
    <x v="2"/>
    <s v="00/03/17"/>
    <s v="1400/03/17"/>
    <x v="55"/>
    <n v="10003"/>
    <x v="79"/>
    <n v="2308"/>
    <n v="2308"/>
    <n v="2308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017"/>
    <x v="83"/>
    <n v="-4982"/>
    <n v="-4982"/>
    <n v="0"/>
    <n v="4982"/>
    <n v="0"/>
    <n v="4982"/>
    <n v="4982"/>
    <n v="0"/>
    <n v="0"/>
    <n v="0"/>
    <n v="0"/>
    <n v="0"/>
    <n v="0"/>
    <n v="83451"/>
  </r>
  <r>
    <n v="23"/>
    <x v="2"/>
    <s v="00/03/17"/>
    <s v="1400/03/17"/>
    <x v="55"/>
    <n v="10055"/>
    <x v="80"/>
    <n v="4457"/>
    <n v="4457"/>
    <n v="4457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128"/>
    <x v="109"/>
    <n v="-26"/>
    <n v="-26"/>
    <n v="0"/>
    <n v="26"/>
    <n v="0"/>
    <n v="26"/>
    <n v="26"/>
    <n v="0"/>
    <n v="0"/>
    <n v="0"/>
    <n v="0"/>
    <n v="0"/>
    <n v="0"/>
    <n v="83451"/>
  </r>
  <r>
    <n v="23"/>
    <x v="2"/>
    <s v="00/03/17"/>
    <s v="1400/03/17"/>
    <x v="55"/>
    <n v="10026"/>
    <x v="81"/>
    <n v="3150"/>
    <n v="3150"/>
    <n v="3150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003"/>
    <x v="79"/>
    <n v="-6137"/>
    <n v="-6137"/>
    <n v="0"/>
    <n v="6137"/>
    <n v="0"/>
    <n v="6137"/>
    <n v="6137"/>
    <n v="0"/>
    <n v="0"/>
    <n v="0"/>
    <n v="0"/>
    <n v="0"/>
    <n v="0"/>
    <n v="83451"/>
  </r>
  <r>
    <n v="23"/>
    <x v="2"/>
    <s v="00/03/17"/>
    <s v="1400/03/17"/>
    <x v="55"/>
    <n v="10048"/>
    <x v="51"/>
    <n v="1329"/>
    <n v="1329"/>
    <n v="1329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048"/>
    <x v="51"/>
    <n v="-1258"/>
    <n v="-1258"/>
    <n v="0"/>
    <n v="1258"/>
    <n v="0"/>
    <n v="1258"/>
    <n v="1258"/>
    <n v="0"/>
    <n v="0"/>
    <n v="0"/>
    <n v="0"/>
    <n v="0"/>
    <n v="0"/>
    <n v="83451"/>
  </r>
  <r>
    <n v="23"/>
    <x v="2"/>
    <s v="00/03/17"/>
    <s v="1400/03/17"/>
    <x v="55"/>
    <n v="30190"/>
    <x v="111"/>
    <n v="766"/>
    <n v="766"/>
    <n v="766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128"/>
    <x v="109"/>
    <n v="-198"/>
    <n v="-198"/>
    <n v="0"/>
    <n v="198"/>
    <n v="0"/>
    <n v="198"/>
    <n v="198"/>
    <n v="0"/>
    <n v="0"/>
    <n v="0"/>
    <n v="0"/>
    <n v="0"/>
    <n v="0"/>
    <n v="83451"/>
  </r>
  <r>
    <n v="23"/>
    <x v="2"/>
    <s v="00/03/17"/>
    <s v="1400/03/17"/>
    <x v="55"/>
    <n v="30190"/>
    <x v="111"/>
    <n v="137"/>
    <n v="137"/>
    <n v="137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066"/>
    <x v="77"/>
    <n v="2289"/>
    <n v="2289"/>
    <n v="2289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190"/>
    <x v="111"/>
    <n v="390"/>
    <n v="390"/>
    <n v="390"/>
    <n v="0"/>
    <n v="0"/>
    <n v="0"/>
    <n v="0"/>
    <n v="0"/>
    <n v="0"/>
    <n v="0"/>
    <n v="0"/>
    <n v="0"/>
    <n v="0"/>
    <n v="83451"/>
  </r>
  <r>
    <n v="24"/>
    <x v="2"/>
    <s v="00/03/18"/>
    <s v="1400/03/18"/>
    <x v="56"/>
    <n v="30127"/>
    <x v="99"/>
    <n v="-15518"/>
    <n v="-15518"/>
    <n v="0"/>
    <n v="15518"/>
    <n v="0"/>
    <n v="15518"/>
    <n v="15518"/>
    <n v="0"/>
    <n v="0"/>
    <n v="0"/>
    <n v="0"/>
    <n v="0"/>
    <n v="0"/>
    <n v="98969"/>
  </r>
  <r>
    <n v="24"/>
    <x v="2"/>
    <s v="00/03/18"/>
    <s v="1400/03/18"/>
    <x v="56"/>
    <n v="30155"/>
    <x v="107"/>
    <n v="2081"/>
    <n v="2081"/>
    <n v="2081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30155"/>
    <x v="107"/>
    <n v="-3093"/>
    <n v="-3093"/>
    <n v="0"/>
    <n v="3093"/>
    <n v="0"/>
    <n v="3093"/>
    <n v="3093"/>
    <n v="0"/>
    <n v="0"/>
    <n v="0"/>
    <n v="0"/>
    <n v="0"/>
    <n v="0"/>
    <n v="98969"/>
  </r>
  <r>
    <n v="24"/>
    <x v="2"/>
    <s v="00/03/18"/>
    <s v="1400/03/18"/>
    <x v="56"/>
    <n v="10026"/>
    <x v="81"/>
    <n v="1859"/>
    <n v="1859"/>
    <n v="1859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50011"/>
    <x v="17"/>
    <n v="-1026"/>
    <n v="-1026"/>
    <n v="0"/>
    <n v="1026"/>
    <n v="0"/>
    <n v="1026"/>
    <n v="1026"/>
    <n v="0"/>
    <n v="0"/>
    <n v="0"/>
    <n v="0"/>
    <n v="0"/>
    <n v="0"/>
    <n v="98969"/>
  </r>
  <r>
    <n v="24"/>
    <x v="2"/>
    <s v="00/03/18"/>
    <s v="1400/03/18"/>
    <x v="56"/>
    <n v="30155"/>
    <x v="107"/>
    <n v="794"/>
    <n v="794"/>
    <n v="794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10055"/>
    <x v="80"/>
    <n v="-10216"/>
    <n v="-10216"/>
    <n v="0"/>
    <n v="10216"/>
    <n v="0"/>
    <n v="10216"/>
    <n v="10216"/>
    <n v="0"/>
    <n v="0"/>
    <n v="0"/>
    <n v="0"/>
    <n v="0"/>
    <n v="0"/>
    <n v="98969"/>
  </r>
  <r>
    <n v="24"/>
    <x v="2"/>
    <s v="00/03/18"/>
    <s v="1400/03/18"/>
    <x v="56"/>
    <n v="30022"/>
    <x v="75"/>
    <n v="4823"/>
    <n v="4823"/>
    <n v="4823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10003"/>
    <x v="79"/>
    <n v="-1938"/>
    <n v="-1938"/>
    <n v="0"/>
    <n v="1938"/>
    <n v="0"/>
    <n v="1938"/>
    <n v="1938"/>
    <n v="0"/>
    <n v="0"/>
    <n v="0"/>
    <n v="0"/>
    <n v="0"/>
    <n v="0"/>
    <n v="98969"/>
  </r>
  <r>
    <n v="24"/>
    <x v="2"/>
    <s v="00/03/18"/>
    <s v="1400/03/18"/>
    <x v="56"/>
    <n v="30155"/>
    <x v="107"/>
    <n v="658"/>
    <n v="658"/>
    <n v="658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30081"/>
    <x v="67"/>
    <n v="-5655"/>
    <n v="-5655"/>
    <n v="0"/>
    <n v="5655"/>
    <n v="0"/>
    <n v="5655"/>
    <n v="5655"/>
    <n v="0"/>
    <n v="0"/>
    <n v="0"/>
    <n v="0"/>
    <n v="0"/>
    <n v="0"/>
    <n v="98969"/>
  </r>
  <r>
    <n v="24"/>
    <x v="2"/>
    <s v="00/03/18"/>
    <s v="1400/03/18"/>
    <x v="56"/>
    <n v="10048"/>
    <x v="51"/>
    <n v="466"/>
    <n v="466"/>
    <n v="466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30004"/>
    <x v="2"/>
    <n v="-4477"/>
    <n v="-4477"/>
    <n v="0"/>
    <n v="4477"/>
    <n v="0"/>
    <n v="4477"/>
    <n v="4477"/>
    <n v="0"/>
    <n v="0"/>
    <n v="0"/>
    <n v="0"/>
    <n v="0"/>
    <n v="0"/>
    <n v="98969"/>
  </r>
  <r>
    <n v="24"/>
    <x v="2"/>
    <s v="00/03/18"/>
    <s v="1400/03/18"/>
    <x v="56"/>
    <n v="10026"/>
    <x v="81"/>
    <n v="2754"/>
    <n v="2754"/>
    <n v="2754"/>
    <n v="0"/>
    <n v="0"/>
    <n v="0"/>
    <n v="0"/>
    <n v="0"/>
    <n v="0"/>
    <n v="0"/>
    <n v="0"/>
    <n v="0"/>
    <n v="0"/>
    <n v="98969"/>
  </r>
  <r>
    <n v="25"/>
    <x v="2"/>
    <s v="00/03/18"/>
    <s v="1400/03/18"/>
    <x v="56"/>
    <n v="30127"/>
    <x v="99"/>
    <n v="14936"/>
    <n v="14936"/>
    <n v="14936"/>
    <n v="0"/>
    <n v="0"/>
    <n v="0"/>
    <n v="0"/>
    <n v="0"/>
    <n v="0"/>
    <n v="0"/>
    <n v="0"/>
    <n v="0"/>
    <n v="0"/>
    <n v="84033"/>
  </r>
  <r>
    <n v="25"/>
    <x v="2"/>
    <s v="00/03/18"/>
    <s v="1400/03/18"/>
    <x v="56"/>
    <n v="30004"/>
    <x v="2"/>
    <n v="1668"/>
    <n v="1668"/>
    <n v="1668"/>
    <n v="0"/>
    <n v="0"/>
    <n v="0"/>
    <n v="0"/>
    <n v="0"/>
    <n v="0"/>
    <n v="0"/>
    <n v="0"/>
    <n v="0"/>
    <n v="0"/>
    <n v="84033"/>
  </r>
  <r>
    <n v="25"/>
    <x v="2"/>
    <s v="00/03/18"/>
    <s v="1400/03/18"/>
    <x v="56"/>
    <n v="30004"/>
    <x v="2"/>
    <n v="3646"/>
    <n v="3646"/>
    <n v="3646"/>
    <n v="0"/>
    <n v="0"/>
    <n v="0"/>
    <n v="0"/>
    <n v="0"/>
    <n v="0"/>
    <n v="0"/>
    <n v="0"/>
    <n v="0"/>
    <n v="0"/>
    <n v="84033"/>
  </r>
  <r>
    <n v="25"/>
    <x v="2"/>
    <s v="00/03/18"/>
    <s v="1400/03/18"/>
    <x v="56"/>
    <n v="30009"/>
    <x v="66"/>
    <n v="1850"/>
    <n v="1850"/>
    <n v="1850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10101"/>
    <x v="113"/>
    <n v="-658"/>
    <n v="-658"/>
    <n v="0"/>
    <n v="658"/>
    <n v="0"/>
    <n v="658"/>
    <n v="658"/>
    <n v="0"/>
    <n v="0"/>
    <n v="0"/>
    <n v="0"/>
    <n v="0"/>
    <n v="0"/>
    <n v="84033"/>
  </r>
  <r>
    <n v="25"/>
    <x v="2"/>
    <s v="00/03/19"/>
    <s v="1400/03/19"/>
    <x v="57"/>
    <n v="10101"/>
    <x v="113"/>
    <n v="314"/>
    <n v="314"/>
    <n v="314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30066"/>
    <x v="77"/>
    <n v="-3325"/>
    <n v="-3325"/>
    <n v="0"/>
    <n v="3325"/>
    <n v="0"/>
    <n v="3325"/>
    <n v="3325"/>
    <n v="0"/>
    <n v="0"/>
    <n v="0"/>
    <n v="0"/>
    <n v="0"/>
    <n v="0"/>
    <n v="84033"/>
  </r>
  <r>
    <n v="25"/>
    <x v="2"/>
    <s v="00/03/19"/>
    <s v="1400/03/19"/>
    <x v="57"/>
    <n v="10101"/>
    <x v="113"/>
    <n v="344"/>
    <n v="344"/>
    <n v="344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10004"/>
    <x v="21"/>
    <n v="-1050"/>
    <n v="-1050"/>
    <n v="0"/>
    <n v="1050"/>
    <n v="0"/>
    <n v="1050"/>
    <n v="1050"/>
    <n v="0"/>
    <n v="0"/>
    <n v="0"/>
    <n v="0"/>
    <n v="0"/>
    <n v="0"/>
    <n v="84033"/>
  </r>
  <r>
    <n v="25"/>
    <x v="2"/>
    <s v="00/03/19"/>
    <s v="1400/03/19"/>
    <x v="57"/>
    <n v="30009"/>
    <x v="66"/>
    <n v="2063"/>
    <n v="2063"/>
    <n v="2063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10026"/>
    <x v="81"/>
    <n v="-2041"/>
    <n v="-2041"/>
    <n v="0"/>
    <n v="2041"/>
    <n v="0"/>
    <n v="2041"/>
    <n v="2041"/>
    <n v="0"/>
    <n v="0"/>
    <n v="0"/>
    <n v="0"/>
    <n v="0"/>
    <n v="0"/>
    <n v="84033"/>
  </r>
  <r>
    <n v="25"/>
    <x v="2"/>
    <s v="00/03/19"/>
    <s v="1400/03/19"/>
    <x v="57"/>
    <n v="30064"/>
    <x v="43"/>
    <n v="504"/>
    <n v="504"/>
    <n v="504"/>
    <n v="0"/>
    <n v="0"/>
    <n v="0"/>
    <n v="0"/>
    <n v="0"/>
    <n v="0"/>
    <n v="0"/>
    <n v="0"/>
    <n v="0"/>
    <n v="0"/>
    <n v="84033"/>
  </r>
  <r>
    <n v="26"/>
    <x v="2"/>
    <s v="00/03/20"/>
    <s v="1400/03/20"/>
    <x v="58"/>
    <n v="30127"/>
    <x v="99"/>
    <n v="-15913"/>
    <n v="-15913"/>
    <n v="0"/>
    <n v="15913"/>
    <n v="0"/>
    <n v="15913"/>
    <n v="15913"/>
    <n v="0"/>
    <n v="0"/>
    <n v="0"/>
    <n v="0"/>
    <n v="0"/>
    <n v="0"/>
    <n v="99946"/>
  </r>
  <r>
    <n v="26"/>
    <x v="2"/>
    <s v="00/03/20"/>
    <s v="1400/03/20"/>
    <x v="58"/>
    <n v="10057"/>
    <x v="33"/>
    <n v="2222"/>
    <n v="2222"/>
    <n v="2222"/>
    <n v="0"/>
    <n v="0"/>
    <n v="0"/>
    <n v="0"/>
    <n v="0"/>
    <n v="0"/>
    <n v="0"/>
    <n v="0"/>
    <n v="0"/>
    <n v="0"/>
    <n v="99946"/>
  </r>
  <r>
    <n v="26"/>
    <x v="2"/>
    <s v="00/03/20"/>
    <s v="1400/03/20"/>
    <x v="58"/>
    <n v="30099"/>
    <x v="11"/>
    <n v="-3997"/>
    <n v="-3997"/>
    <n v="0"/>
    <n v="3997"/>
    <n v="0"/>
    <n v="3997"/>
    <n v="3997"/>
    <n v="0"/>
    <n v="0"/>
    <n v="0"/>
    <n v="0"/>
    <n v="0"/>
    <n v="0"/>
    <n v="99946"/>
  </r>
  <r>
    <n v="26"/>
    <x v="2"/>
    <s v="00/03/20"/>
    <s v="1400/03/20"/>
    <x v="58"/>
    <n v="30009"/>
    <x v="66"/>
    <n v="1060"/>
    <n v="1060"/>
    <n v="1060"/>
    <n v="0"/>
    <n v="0"/>
    <n v="0"/>
    <n v="0"/>
    <n v="0"/>
    <n v="0"/>
    <n v="0"/>
    <n v="0"/>
    <n v="0"/>
    <n v="0"/>
    <n v="99946"/>
  </r>
  <r>
    <n v="26"/>
    <x v="2"/>
    <s v="00/03/20"/>
    <s v="1400/03/20"/>
    <x v="58"/>
    <n v="10003"/>
    <x v="79"/>
    <n v="-1488"/>
    <n v="-1488"/>
    <n v="0"/>
    <n v="1488"/>
    <n v="0"/>
    <n v="1488"/>
    <n v="1488"/>
    <n v="0"/>
    <n v="0"/>
    <n v="0"/>
    <n v="0"/>
    <n v="0"/>
    <n v="0"/>
    <n v="99946"/>
  </r>
  <r>
    <n v="26"/>
    <x v="2"/>
    <s v="00/03/20"/>
    <s v="1400/03/20"/>
    <x v="58"/>
    <n v="10004"/>
    <x v="21"/>
    <n v="972"/>
    <n v="972"/>
    <n v="972"/>
    <n v="0"/>
    <n v="0"/>
    <n v="0"/>
    <n v="0"/>
    <n v="0"/>
    <n v="0"/>
    <n v="0"/>
    <n v="0"/>
    <n v="0"/>
    <n v="0"/>
    <n v="99946"/>
  </r>
  <r>
    <n v="26"/>
    <x v="2"/>
    <s v="00/03/20"/>
    <s v="1400/03/20"/>
    <x v="58"/>
    <n v="10004"/>
    <x v="21"/>
    <n v="48"/>
    <n v="48"/>
    <n v="48"/>
    <n v="0"/>
    <n v="0"/>
    <n v="0"/>
    <n v="0"/>
    <n v="0"/>
    <n v="0"/>
    <n v="0"/>
    <n v="0"/>
    <n v="0"/>
    <n v="0"/>
    <n v="99946"/>
  </r>
  <r>
    <n v="26"/>
    <x v="2"/>
    <s v="00/03/22"/>
    <s v="1400/03/22"/>
    <x v="59"/>
    <n v="30101"/>
    <x v="69"/>
    <n v="-1216"/>
    <n v="-1216"/>
    <n v="0"/>
    <n v="1216"/>
    <n v="0"/>
    <n v="1216"/>
    <n v="1216"/>
    <n v="0"/>
    <n v="0"/>
    <n v="0"/>
    <n v="0"/>
    <n v="0"/>
    <n v="0"/>
    <n v="99946"/>
  </r>
  <r>
    <n v="26"/>
    <x v="2"/>
    <s v="00/03/22"/>
    <s v="1400/03/22"/>
    <x v="59"/>
    <n v="10057"/>
    <x v="33"/>
    <n v="202"/>
    <n v="202"/>
    <n v="202"/>
    <n v="0"/>
    <n v="0"/>
    <n v="0"/>
    <n v="0"/>
    <n v="0"/>
    <n v="0"/>
    <n v="0"/>
    <n v="0"/>
    <n v="0"/>
    <n v="0"/>
    <n v="99946"/>
  </r>
  <r>
    <n v="26"/>
    <x v="2"/>
    <s v="00/03/22"/>
    <s v="1400/03/22"/>
    <x v="59"/>
    <n v="30066"/>
    <x v="77"/>
    <n v="-5374"/>
    <n v="-5374"/>
    <n v="0"/>
    <n v="5374"/>
    <n v="0"/>
    <n v="5374"/>
    <n v="5374"/>
    <n v="0"/>
    <n v="0"/>
    <n v="0"/>
    <n v="0"/>
    <n v="0"/>
    <n v="0"/>
    <n v="99946"/>
  </r>
  <r>
    <n v="26"/>
    <x v="2"/>
    <s v="00/03/22"/>
    <s v="1400/03/22"/>
    <x v="59"/>
    <n v="10057"/>
    <x v="33"/>
    <n v="664"/>
    <n v="664"/>
    <n v="664"/>
    <n v="0"/>
    <n v="0"/>
    <n v="0"/>
    <n v="0"/>
    <n v="0"/>
    <n v="0"/>
    <n v="0"/>
    <n v="0"/>
    <n v="0"/>
    <n v="0"/>
    <n v="99946"/>
  </r>
  <r>
    <n v="26"/>
    <x v="2"/>
    <s v="00/03/22"/>
    <s v="1400/03/22"/>
    <x v="59"/>
    <n v="30066"/>
    <x v="77"/>
    <n v="-1131"/>
    <n v="-1131"/>
    <n v="0"/>
    <n v="1131"/>
    <n v="0"/>
    <n v="1131"/>
    <n v="1131"/>
    <n v="0"/>
    <n v="0"/>
    <n v="0"/>
    <n v="0"/>
    <n v="0"/>
    <n v="0"/>
    <n v="99946"/>
  </r>
  <r>
    <n v="26"/>
    <x v="2"/>
    <s v="00/03/22"/>
    <s v="1400/03/22"/>
    <x v="59"/>
    <n v="30022"/>
    <x v="75"/>
    <n v="5085"/>
    <n v="5085"/>
    <n v="5085"/>
    <n v="0"/>
    <n v="0"/>
    <n v="0"/>
    <n v="0"/>
    <n v="0"/>
    <n v="0"/>
    <n v="0"/>
    <n v="0"/>
    <n v="0"/>
    <n v="0"/>
    <n v="99946"/>
  </r>
  <r>
    <n v="27"/>
    <x v="2"/>
    <s v="00/03/22"/>
    <s v="1400/03/22"/>
    <x v="59"/>
    <n v="30127"/>
    <x v="99"/>
    <n v="-7554"/>
    <n v="-7554"/>
    <n v="0"/>
    <n v="7554"/>
    <n v="0"/>
    <n v="7554"/>
    <n v="7554"/>
    <n v="0"/>
    <n v="0"/>
    <n v="0"/>
    <n v="0"/>
    <n v="0"/>
    <n v="0"/>
    <n v="107500"/>
  </r>
  <r>
    <n v="27"/>
    <x v="2"/>
    <s v="00/03/22"/>
    <s v="1400/03/22"/>
    <x v="59"/>
    <n v="10055"/>
    <x v="80"/>
    <n v="5410"/>
    <n v="5410"/>
    <n v="5410"/>
    <n v="0"/>
    <n v="0"/>
    <n v="0"/>
    <n v="0"/>
    <n v="0"/>
    <n v="0"/>
    <n v="0"/>
    <n v="0"/>
    <n v="0"/>
    <n v="0"/>
    <n v="107500"/>
  </r>
  <r>
    <n v="27"/>
    <x v="2"/>
    <s v="00/03/22"/>
    <s v="1400/03/22"/>
    <x v="59"/>
    <n v="10069"/>
    <x v="68"/>
    <n v="-2056"/>
    <n v="-2056"/>
    <n v="0"/>
    <n v="2056"/>
    <n v="0"/>
    <n v="2056"/>
    <n v="2056"/>
    <n v="0"/>
    <n v="0"/>
    <n v="0"/>
    <n v="0"/>
    <n v="0"/>
    <n v="0"/>
    <n v="107500"/>
  </r>
  <r>
    <n v="27"/>
    <x v="2"/>
    <s v="00/03/22"/>
    <s v="1400/03/22"/>
    <x v="59"/>
    <n v="10069"/>
    <x v="68"/>
    <n v="1182"/>
    <n v="1182"/>
    <n v="1182"/>
    <n v="0"/>
    <n v="0"/>
    <n v="0"/>
    <n v="0"/>
    <n v="0"/>
    <n v="0"/>
    <n v="0"/>
    <n v="0"/>
    <n v="0"/>
    <n v="0"/>
    <n v="107500"/>
  </r>
  <r>
    <n v="27"/>
    <x v="2"/>
    <s v="00/03/22"/>
    <s v="1400/03/22"/>
    <x v="59"/>
    <n v="10009"/>
    <x v="24"/>
    <n v="-2111"/>
    <n v="-2111"/>
    <n v="0"/>
    <n v="2111"/>
    <n v="0"/>
    <n v="2111"/>
    <n v="2111"/>
    <n v="0"/>
    <n v="0"/>
    <n v="0"/>
    <n v="0"/>
    <n v="0"/>
    <n v="0"/>
    <n v="107500"/>
  </r>
  <r>
    <n v="28"/>
    <x v="2"/>
    <s v="00/03/22"/>
    <s v="1400/03/22"/>
    <x v="59"/>
    <n v="30127"/>
    <x v="99"/>
    <n v="15076"/>
    <n v="15076"/>
    <n v="15076"/>
    <n v="0"/>
    <n v="0"/>
    <n v="0"/>
    <n v="0"/>
    <n v="0"/>
    <n v="0"/>
    <n v="0"/>
    <n v="0"/>
    <n v="0"/>
    <n v="0"/>
    <n v="92424"/>
  </r>
  <r>
    <n v="28"/>
    <x v="2"/>
    <s v="00/03/22"/>
    <s v="1400/03/22"/>
    <x v="59"/>
    <n v="10003"/>
    <x v="79"/>
    <n v="-1099"/>
    <n v="-1099"/>
    <n v="0"/>
    <n v="1099"/>
    <n v="0"/>
    <n v="1099"/>
    <n v="1099"/>
    <n v="0"/>
    <n v="0"/>
    <n v="0"/>
    <n v="0"/>
    <n v="0"/>
    <n v="0"/>
    <n v="92424"/>
  </r>
  <r>
    <n v="28"/>
    <x v="2"/>
    <s v="00/03/22"/>
    <s v="1400/03/22"/>
    <x v="59"/>
    <n v="30004"/>
    <x v="2"/>
    <n v="3556"/>
    <n v="3556"/>
    <n v="3556"/>
    <n v="0"/>
    <n v="0"/>
    <n v="0"/>
    <n v="0"/>
    <n v="0"/>
    <n v="0"/>
    <n v="0"/>
    <n v="0"/>
    <n v="0"/>
    <n v="0"/>
    <n v="92424"/>
  </r>
  <r>
    <n v="28"/>
    <x v="2"/>
    <s v="00/03/22"/>
    <s v="1400/03/22"/>
    <x v="59"/>
    <n v="10057"/>
    <x v="33"/>
    <n v="-1938"/>
    <n v="-1938"/>
    <n v="0"/>
    <n v="1938"/>
    <n v="0"/>
    <n v="1938"/>
    <n v="1938"/>
    <n v="0"/>
    <n v="0"/>
    <n v="0"/>
    <n v="0"/>
    <n v="0"/>
    <n v="0"/>
    <n v="92424"/>
  </r>
  <r>
    <n v="28"/>
    <x v="2"/>
    <s v="00/03/22"/>
    <s v="1400/03/22"/>
    <x v="59"/>
    <n v="50016"/>
    <x v="31"/>
    <n v="1525"/>
    <n v="1525"/>
    <n v="1525"/>
    <n v="0"/>
    <n v="0"/>
    <n v="0"/>
    <n v="0"/>
    <n v="0"/>
    <n v="0"/>
    <n v="0"/>
    <n v="0"/>
    <n v="0"/>
    <n v="0"/>
    <n v="92424"/>
  </r>
  <r>
    <n v="28"/>
    <x v="2"/>
    <s v="00/03/22"/>
    <s v="1400/03/22"/>
    <x v="59"/>
    <n v="10026"/>
    <x v="81"/>
    <n v="-2065"/>
    <n v="-2065"/>
    <n v="0"/>
    <n v="2065"/>
    <n v="0"/>
    <n v="2065"/>
    <n v="2065"/>
    <n v="0"/>
    <n v="0"/>
    <n v="0"/>
    <n v="0"/>
    <n v="0"/>
    <n v="0"/>
    <n v="92424"/>
  </r>
  <r>
    <n v="28"/>
    <x v="2"/>
    <s v="00/03/22"/>
    <s v="1400/03/22"/>
    <x v="59"/>
    <n v="10069"/>
    <x v="68"/>
    <n v="446"/>
    <n v="446"/>
    <n v="446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30190"/>
    <x v="111"/>
    <n v="-1898"/>
    <n v="-1898"/>
    <n v="0"/>
    <n v="1898"/>
    <n v="0"/>
    <n v="1898"/>
    <n v="1898"/>
    <n v="0"/>
    <n v="0"/>
    <n v="0"/>
    <n v="0"/>
    <n v="0"/>
    <n v="0"/>
    <n v="92424"/>
  </r>
  <r>
    <n v="28"/>
    <x v="2"/>
    <s v="00/03/23"/>
    <s v="1400/03/23"/>
    <x v="60"/>
    <n v="30017"/>
    <x v="83"/>
    <n v="2424"/>
    <n v="2424"/>
    <n v="2424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30066"/>
    <x v="77"/>
    <n v="-4257"/>
    <n v="-4257"/>
    <n v="0"/>
    <n v="4257"/>
    <n v="0"/>
    <n v="4257"/>
    <n v="4257"/>
    <n v="0"/>
    <n v="0"/>
    <n v="0"/>
    <n v="0"/>
    <n v="0"/>
    <n v="0"/>
    <n v="92424"/>
  </r>
  <r>
    <n v="28"/>
    <x v="2"/>
    <s v="00/03/23"/>
    <s v="1400/03/23"/>
    <x v="60"/>
    <n v="10003"/>
    <x v="79"/>
    <n v="2339"/>
    <n v="2339"/>
    <n v="2339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30014"/>
    <x v="41"/>
    <n v="-1050"/>
    <n v="-1050"/>
    <n v="0"/>
    <n v="1050"/>
    <n v="0"/>
    <n v="1050"/>
    <n v="1050"/>
    <n v="0"/>
    <n v="0"/>
    <n v="0"/>
    <n v="0"/>
    <n v="0"/>
    <n v="0"/>
    <n v="92424"/>
  </r>
  <r>
    <n v="28"/>
    <x v="2"/>
    <s v="00/03/23"/>
    <s v="1400/03/23"/>
    <x v="60"/>
    <n v="30009"/>
    <x v="66"/>
    <n v="1827"/>
    <n v="1827"/>
    <n v="1827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10026"/>
    <x v="81"/>
    <n v="-2048"/>
    <n v="-2048"/>
    <n v="0"/>
    <n v="2048"/>
    <n v="0"/>
    <n v="2048"/>
    <n v="2048"/>
    <n v="0"/>
    <n v="0"/>
    <n v="0"/>
    <n v="0"/>
    <n v="0"/>
    <n v="0"/>
    <n v="92424"/>
  </r>
  <r>
    <n v="28"/>
    <x v="2"/>
    <s v="00/03/23"/>
    <s v="1400/03/23"/>
    <x v="60"/>
    <n v="10104"/>
    <x v="76"/>
    <n v="-66"/>
    <n v="-66"/>
    <n v="0"/>
    <n v="66"/>
    <n v="0"/>
    <n v="66"/>
    <n v="66"/>
    <n v="0"/>
    <n v="0"/>
    <n v="0"/>
    <n v="0"/>
    <n v="0"/>
    <n v="0"/>
    <n v="92424"/>
  </r>
  <r>
    <n v="28"/>
    <x v="2"/>
    <s v="00/03/24"/>
    <s v="1400/03/24"/>
    <x v="61"/>
    <n v="10055"/>
    <x v="80"/>
    <n v="5033"/>
    <n v="5033"/>
    <n v="5033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30191"/>
    <x v="114"/>
    <n v="-1010"/>
    <n v="-1010"/>
    <n v="0"/>
    <n v="1010"/>
    <n v="0"/>
    <n v="1010"/>
    <n v="1010"/>
    <n v="0"/>
    <n v="0"/>
    <n v="0"/>
    <n v="0"/>
    <n v="0"/>
    <n v="0"/>
    <n v="92424"/>
  </r>
  <r>
    <n v="28"/>
    <x v="2"/>
    <s v="00/03/24"/>
    <s v="1400/03/24"/>
    <x v="61"/>
    <n v="30186"/>
    <x v="102"/>
    <n v="2162"/>
    <n v="2162"/>
    <n v="2162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30066"/>
    <x v="77"/>
    <n v="-3989"/>
    <n v="-3989"/>
    <n v="0"/>
    <n v="3989"/>
    <n v="0"/>
    <n v="3989"/>
    <n v="3989"/>
    <n v="0"/>
    <n v="0"/>
    <n v="0"/>
    <n v="0"/>
    <n v="0"/>
    <n v="0"/>
    <n v="92424"/>
  </r>
  <r>
    <n v="28"/>
    <x v="2"/>
    <s v="00/03/24"/>
    <s v="1400/03/24"/>
    <x v="61"/>
    <n v="30004"/>
    <x v="2"/>
    <n v="1114"/>
    <n v="1114"/>
    <n v="1114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30140"/>
    <x v="29"/>
    <n v="-290"/>
    <n v="-290"/>
    <n v="0"/>
    <n v="290"/>
    <n v="0"/>
    <n v="290"/>
    <n v="290"/>
    <n v="0"/>
    <n v="0"/>
    <n v="0"/>
    <n v="0"/>
    <n v="0"/>
    <n v="0"/>
    <n v="92424"/>
  </r>
  <r>
    <n v="28"/>
    <x v="2"/>
    <s v="00/03/24"/>
    <s v="1400/03/24"/>
    <x v="61"/>
    <n v="30004"/>
    <x v="2"/>
    <n v="942"/>
    <n v="942"/>
    <n v="942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10026"/>
    <x v="81"/>
    <n v="-3780"/>
    <n v="-3780"/>
    <n v="0"/>
    <n v="3780"/>
    <n v="0"/>
    <n v="3780"/>
    <n v="3780"/>
    <n v="0"/>
    <n v="0"/>
    <n v="0"/>
    <n v="0"/>
    <n v="0"/>
    <n v="0"/>
    <n v="92424"/>
  </r>
  <r>
    <n v="28"/>
    <x v="2"/>
    <s v="00/03/24"/>
    <s v="1400/03/24"/>
    <x v="61"/>
    <n v="10055"/>
    <x v="80"/>
    <n v="-4551"/>
    <n v="-4551"/>
    <n v="0"/>
    <n v="4551"/>
    <n v="0"/>
    <n v="4551"/>
    <n v="4551"/>
    <n v="0"/>
    <n v="0"/>
    <n v="0"/>
    <n v="0"/>
    <n v="0"/>
    <n v="0"/>
    <n v="92424"/>
  </r>
  <r>
    <n v="28"/>
    <x v="2"/>
    <s v="00/03/25"/>
    <s v="1400/03/25"/>
    <x v="62"/>
    <n v="30160"/>
    <x v="5"/>
    <n v="136"/>
    <n v="136"/>
    <n v="136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81"/>
    <x v="67"/>
    <n v="-3879"/>
    <n v="-3879"/>
    <n v="0"/>
    <n v="3879"/>
    <n v="0"/>
    <n v="3879"/>
    <n v="3879"/>
    <n v="0"/>
    <n v="0"/>
    <n v="0"/>
    <n v="0"/>
    <n v="0"/>
    <n v="0"/>
    <n v="92424"/>
  </r>
  <r>
    <n v="28"/>
    <x v="2"/>
    <s v="00/03/25"/>
    <s v="1400/03/25"/>
    <x v="62"/>
    <n v="30160"/>
    <x v="5"/>
    <n v="48"/>
    <n v="48"/>
    <n v="48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66"/>
    <x v="77"/>
    <n v="-999"/>
    <n v="-999"/>
    <n v="0"/>
    <n v="999"/>
    <n v="0"/>
    <n v="999"/>
    <n v="999"/>
    <n v="0"/>
    <n v="0"/>
    <n v="0"/>
    <n v="0"/>
    <n v="0"/>
    <n v="0"/>
    <n v="92424"/>
  </r>
  <r>
    <n v="28"/>
    <x v="2"/>
    <s v="00/03/25"/>
    <s v="1400/03/25"/>
    <x v="62"/>
    <n v="10055"/>
    <x v="80"/>
    <n v="4541"/>
    <n v="4541"/>
    <n v="4541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66"/>
    <x v="77"/>
    <n v="-3843"/>
    <n v="-3843"/>
    <n v="0"/>
    <n v="3843"/>
    <n v="0"/>
    <n v="3843"/>
    <n v="3843"/>
    <n v="0"/>
    <n v="0"/>
    <n v="0"/>
    <n v="0"/>
    <n v="0"/>
    <n v="0"/>
    <n v="92424"/>
  </r>
  <r>
    <n v="28"/>
    <x v="2"/>
    <s v="00/03/25"/>
    <s v="1400/03/25"/>
    <x v="62"/>
    <n v="10026"/>
    <x v="81"/>
    <n v="7481"/>
    <n v="7481"/>
    <n v="7481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160"/>
    <x v="5"/>
    <n v="-252"/>
    <n v="-252"/>
    <n v="0"/>
    <n v="252"/>
    <n v="0"/>
    <n v="252"/>
    <n v="252"/>
    <n v="0"/>
    <n v="0"/>
    <n v="0"/>
    <n v="0"/>
    <n v="0"/>
    <n v="0"/>
    <n v="92424"/>
  </r>
  <r>
    <n v="28"/>
    <x v="2"/>
    <s v="00/03/25"/>
    <s v="1400/03/25"/>
    <x v="62"/>
    <n v="10003"/>
    <x v="79"/>
    <n v="2199"/>
    <n v="2199"/>
    <n v="2199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26"/>
    <x v="81"/>
    <n v="-2052"/>
    <n v="-2052"/>
    <n v="0"/>
    <n v="2052"/>
    <n v="0"/>
    <n v="2052"/>
    <n v="2052"/>
    <n v="0"/>
    <n v="0"/>
    <n v="0"/>
    <n v="0"/>
    <n v="0"/>
    <n v="0"/>
    <n v="92424"/>
  </r>
  <r>
    <n v="28"/>
    <x v="2"/>
    <s v="00/03/25"/>
    <s v="1400/03/25"/>
    <x v="62"/>
    <n v="10027"/>
    <x v="72"/>
    <n v="3230"/>
    <n v="3230"/>
    <n v="3230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03"/>
    <x v="79"/>
    <n v="-537"/>
    <n v="-537"/>
    <n v="0"/>
    <n v="537"/>
    <n v="0"/>
    <n v="537"/>
    <n v="537"/>
    <n v="0"/>
    <n v="0"/>
    <n v="0"/>
    <n v="0"/>
    <n v="0"/>
    <n v="0"/>
    <n v="92424"/>
  </r>
  <r>
    <n v="28"/>
    <x v="2"/>
    <s v="00/03/25"/>
    <s v="1400/03/25"/>
    <x v="62"/>
    <n v="30190"/>
    <x v="111"/>
    <n v="359"/>
    <n v="359"/>
    <n v="359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70"/>
    <x v="53"/>
    <n v="-404"/>
    <n v="-404"/>
    <n v="0"/>
    <n v="404"/>
    <n v="0"/>
    <n v="404"/>
    <n v="404"/>
    <n v="0"/>
    <n v="0"/>
    <n v="0"/>
    <n v="0"/>
    <n v="0"/>
    <n v="0"/>
    <n v="92424"/>
  </r>
  <r>
    <n v="28"/>
    <x v="2"/>
    <s v="00/03/25"/>
    <s v="1400/03/25"/>
    <x v="62"/>
    <n v="30190"/>
    <x v="111"/>
    <n v="498"/>
    <n v="498"/>
    <n v="498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27"/>
    <x v="72"/>
    <n v="-2005"/>
    <n v="-2005"/>
    <n v="0"/>
    <n v="2005"/>
    <n v="0"/>
    <n v="2005"/>
    <n v="2005"/>
    <n v="0"/>
    <n v="0"/>
    <n v="0"/>
    <n v="0"/>
    <n v="0"/>
    <n v="0"/>
    <n v="92424"/>
  </r>
  <r>
    <n v="28"/>
    <x v="2"/>
    <s v="00/03/25"/>
    <s v="1400/03/25"/>
    <x v="62"/>
    <n v="10003"/>
    <x v="79"/>
    <n v="2893"/>
    <n v="2893"/>
    <n v="2893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190"/>
    <x v="111"/>
    <n v="127"/>
    <n v="127"/>
    <n v="127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14"/>
    <x v="41"/>
    <n v="2974"/>
    <n v="2974"/>
    <n v="2974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09"/>
    <x v="66"/>
    <n v="1835"/>
    <n v="1835"/>
    <n v="1835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58"/>
    <x v="63"/>
    <n v="3702"/>
    <n v="3702"/>
    <n v="3702"/>
    <n v="0"/>
    <n v="0"/>
    <n v="0"/>
    <n v="0"/>
    <n v="0"/>
    <n v="0"/>
    <n v="0"/>
    <n v="0"/>
    <n v="0"/>
    <n v="0"/>
    <n v="92424"/>
  </r>
  <r>
    <n v="29"/>
    <x v="2"/>
    <s v="00/03/26"/>
    <s v="1400/03/26"/>
    <x v="63"/>
    <n v="30127"/>
    <x v="99"/>
    <n v="-16548"/>
    <n v="-16548"/>
    <n v="0"/>
    <n v="16548"/>
    <n v="0"/>
    <n v="16548"/>
    <n v="16548"/>
    <n v="0"/>
    <n v="0"/>
    <n v="0"/>
    <n v="0"/>
    <n v="0"/>
    <n v="0"/>
    <n v="108972"/>
  </r>
  <r>
    <n v="29"/>
    <x v="2"/>
    <s v="00/03/26"/>
    <s v="1400/03/26"/>
    <x v="63"/>
    <n v="30009"/>
    <x v="66"/>
    <n v="2326"/>
    <n v="2326"/>
    <n v="2326"/>
    <n v="0"/>
    <n v="0"/>
    <n v="0"/>
    <n v="0"/>
    <n v="0"/>
    <n v="0"/>
    <n v="0"/>
    <n v="0"/>
    <n v="0"/>
    <n v="0"/>
    <n v="108972"/>
  </r>
  <r>
    <n v="29"/>
    <x v="2"/>
    <s v="00/03/26"/>
    <s v="1400/03/26"/>
    <x v="63"/>
    <n v="30186"/>
    <x v="102"/>
    <n v="-358"/>
    <n v="-358"/>
    <n v="0"/>
    <n v="358"/>
    <n v="0"/>
    <n v="358"/>
    <n v="358"/>
    <n v="0"/>
    <n v="0"/>
    <n v="0"/>
    <n v="0"/>
    <n v="0"/>
    <n v="0"/>
    <n v="108972"/>
  </r>
  <r>
    <n v="29"/>
    <x v="2"/>
    <s v="00/03/26"/>
    <s v="1400/03/26"/>
    <x v="63"/>
    <n v="30017"/>
    <x v="83"/>
    <n v="1976"/>
    <n v="1976"/>
    <n v="1976"/>
    <n v="0"/>
    <n v="0"/>
    <n v="0"/>
    <n v="0"/>
    <n v="0"/>
    <n v="0"/>
    <n v="0"/>
    <n v="0"/>
    <n v="0"/>
    <n v="0"/>
    <n v="108972"/>
  </r>
  <r>
    <n v="29"/>
    <x v="2"/>
    <s v="00/03/26"/>
    <s v="1400/03/26"/>
    <x v="63"/>
    <n v="10003"/>
    <x v="79"/>
    <n v="-520"/>
    <n v="-520"/>
    <n v="0"/>
    <n v="520"/>
    <n v="0"/>
    <n v="520"/>
    <n v="520"/>
    <n v="0"/>
    <n v="0"/>
    <n v="0"/>
    <n v="0"/>
    <n v="0"/>
    <n v="0"/>
    <n v="108972"/>
  </r>
  <r>
    <n v="30"/>
    <x v="2"/>
    <s v="00/03/26"/>
    <s v="1400/03/26"/>
    <x v="63"/>
    <n v="30127"/>
    <x v="99"/>
    <n v="14449"/>
    <n v="14449"/>
    <n v="14449"/>
    <n v="0"/>
    <n v="0"/>
    <n v="0"/>
    <n v="0"/>
    <n v="0"/>
    <n v="0"/>
    <n v="0"/>
    <n v="0"/>
    <n v="0"/>
    <n v="0"/>
    <n v="94523"/>
  </r>
  <r>
    <n v="30"/>
    <x v="2"/>
    <s v="00/03/26"/>
    <s v="1400/03/26"/>
    <x v="63"/>
    <n v="30009"/>
    <x v="66"/>
    <n v="-1032"/>
    <n v="-1032"/>
    <n v="0"/>
    <n v="1032"/>
    <n v="0"/>
    <n v="1032"/>
    <n v="1032"/>
    <n v="0"/>
    <n v="0"/>
    <n v="0"/>
    <n v="0"/>
    <n v="0"/>
    <n v="0"/>
    <n v="94523"/>
  </r>
  <r>
    <n v="30"/>
    <x v="2"/>
    <s v="00/03/26"/>
    <s v="1400/03/26"/>
    <x v="63"/>
    <n v="30017"/>
    <x v="83"/>
    <n v="537"/>
    <n v="537"/>
    <n v="537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186"/>
    <x v="102"/>
    <n v="-1076"/>
    <n v="-1076"/>
    <n v="0"/>
    <n v="1076"/>
    <n v="0"/>
    <n v="1076"/>
    <n v="1076"/>
    <n v="0"/>
    <n v="0"/>
    <n v="0"/>
    <n v="0"/>
    <n v="0"/>
    <n v="0"/>
    <n v="94523"/>
  </r>
  <r>
    <n v="30"/>
    <x v="2"/>
    <s v="00/03/27"/>
    <s v="1400/03/27"/>
    <x v="64"/>
    <n v="10027"/>
    <x v="72"/>
    <n v="3280"/>
    <n v="3280"/>
    <n v="3280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50016"/>
    <x v="31"/>
    <n v="-204"/>
    <n v="-204"/>
    <n v="0"/>
    <n v="204"/>
    <n v="0"/>
    <n v="204"/>
    <n v="204"/>
    <n v="0"/>
    <n v="0"/>
    <n v="0"/>
    <n v="0"/>
    <n v="0"/>
    <n v="0"/>
    <n v="94523"/>
  </r>
  <r>
    <n v="30"/>
    <x v="2"/>
    <s v="00/03/27"/>
    <s v="1400/03/27"/>
    <x v="64"/>
    <n v="30004"/>
    <x v="2"/>
    <n v="2437"/>
    <n v="2437"/>
    <n v="2437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124"/>
    <x v="106"/>
    <n v="-3178"/>
    <n v="-3178"/>
    <n v="0"/>
    <n v="3178"/>
    <n v="0"/>
    <n v="3178"/>
    <n v="3178"/>
    <n v="0"/>
    <n v="0"/>
    <n v="0"/>
    <n v="0"/>
    <n v="0"/>
    <n v="0"/>
    <n v="94523"/>
  </r>
  <r>
    <n v="30"/>
    <x v="2"/>
    <s v="00/03/27"/>
    <s v="1400/03/27"/>
    <x v="64"/>
    <n v="30009"/>
    <x v="66"/>
    <n v="2125"/>
    <n v="2125"/>
    <n v="2125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10003"/>
    <x v="79"/>
    <n v="-511"/>
    <n v="-511"/>
    <n v="0"/>
    <n v="511"/>
    <n v="0"/>
    <n v="511"/>
    <n v="511"/>
    <n v="0"/>
    <n v="0"/>
    <n v="0"/>
    <n v="0"/>
    <n v="0"/>
    <n v="0"/>
    <n v="94523"/>
  </r>
  <r>
    <n v="30"/>
    <x v="2"/>
    <s v="00/03/27"/>
    <s v="1400/03/27"/>
    <x v="64"/>
    <n v="30124"/>
    <x v="106"/>
    <n v="1824"/>
    <n v="1824"/>
    <n v="1824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066"/>
    <x v="77"/>
    <n v="-3334"/>
    <n v="-3334"/>
    <n v="0"/>
    <n v="3334"/>
    <n v="0"/>
    <n v="3334"/>
    <n v="3334"/>
    <n v="0"/>
    <n v="0"/>
    <n v="0"/>
    <n v="0"/>
    <n v="0"/>
    <n v="0"/>
    <n v="94523"/>
  </r>
  <r>
    <n v="30"/>
    <x v="2"/>
    <s v="00/03/27"/>
    <s v="1400/03/27"/>
    <x v="64"/>
    <n v="30124"/>
    <x v="106"/>
    <n v="198"/>
    <n v="198"/>
    <n v="198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124"/>
    <x v="106"/>
    <n v="1156"/>
    <n v="1156"/>
    <n v="1156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50011"/>
    <x v="17"/>
    <n v="1251"/>
    <n v="1251"/>
    <n v="1251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10027"/>
    <x v="72"/>
    <n v="2276"/>
    <n v="2276"/>
    <n v="2276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66"/>
    <x v="77"/>
    <n v="-4936"/>
    <n v="-4936"/>
    <n v="0"/>
    <n v="4936"/>
    <n v="0"/>
    <n v="4936"/>
    <n v="4936"/>
    <n v="0"/>
    <n v="0"/>
    <n v="0"/>
    <n v="0"/>
    <n v="0"/>
    <n v="0"/>
    <n v="94523"/>
  </r>
  <r>
    <n v="30"/>
    <x v="2"/>
    <s v="00/03/29"/>
    <s v="1400/03/29"/>
    <x v="65"/>
    <n v="30162"/>
    <x v="70"/>
    <n v="4000"/>
    <n v="4000"/>
    <n v="4000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58"/>
    <x v="63"/>
    <n v="-5090"/>
    <n v="-5090"/>
    <n v="0"/>
    <n v="5090"/>
    <n v="0"/>
    <n v="5090"/>
    <n v="5090"/>
    <n v="0"/>
    <n v="0"/>
    <n v="0"/>
    <n v="0"/>
    <n v="0"/>
    <n v="0"/>
    <n v="94523"/>
  </r>
  <r>
    <n v="30"/>
    <x v="2"/>
    <s v="00/03/29"/>
    <s v="1400/03/29"/>
    <x v="65"/>
    <n v="30004"/>
    <x v="2"/>
    <n v="2042"/>
    <n v="2042"/>
    <n v="2042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50011"/>
    <x v="17"/>
    <n v="-2046"/>
    <n v="-2046"/>
    <n v="0"/>
    <n v="2046"/>
    <n v="0"/>
    <n v="2046"/>
    <n v="2046"/>
    <n v="0"/>
    <n v="0"/>
    <n v="0"/>
    <n v="0"/>
    <n v="0"/>
    <n v="0"/>
    <n v="94523"/>
  </r>
  <r>
    <n v="30"/>
    <x v="2"/>
    <s v="00/03/29"/>
    <s v="1400/03/29"/>
    <x v="65"/>
    <n v="30018"/>
    <x v="1"/>
    <n v="2204"/>
    <n v="2204"/>
    <n v="2204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155"/>
    <x v="107"/>
    <n v="-2986"/>
    <n v="-2986"/>
    <n v="0"/>
    <n v="2986"/>
    <n v="0"/>
    <n v="2986"/>
    <n v="2986"/>
    <n v="0"/>
    <n v="0"/>
    <n v="0"/>
    <n v="0"/>
    <n v="0"/>
    <n v="0"/>
    <n v="94523"/>
  </r>
  <r>
    <n v="30"/>
    <x v="2"/>
    <s v="00/03/29"/>
    <s v="1400/03/29"/>
    <x v="65"/>
    <n v="30018"/>
    <x v="1"/>
    <n v="270"/>
    <n v="270"/>
    <n v="270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03"/>
    <x v="65"/>
    <n v="-1486"/>
    <n v="-1486"/>
    <n v="0"/>
    <n v="1486"/>
    <n v="0"/>
    <n v="1486"/>
    <n v="1486"/>
    <n v="0"/>
    <n v="0"/>
    <n v="0"/>
    <n v="0"/>
    <n v="0"/>
    <n v="0"/>
    <n v="94523"/>
  </r>
  <r>
    <n v="30"/>
    <x v="2"/>
    <s v="00/03/29"/>
    <s v="1400/03/29"/>
    <x v="65"/>
    <n v="30018"/>
    <x v="1"/>
    <n v="308"/>
    <n v="308"/>
    <n v="308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03"/>
    <x v="79"/>
    <n v="-1542"/>
    <n v="-1542"/>
    <n v="0"/>
    <n v="1542"/>
    <n v="0"/>
    <n v="1542"/>
    <n v="1542"/>
    <n v="0"/>
    <n v="0"/>
    <n v="0"/>
    <n v="0"/>
    <n v="0"/>
    <n v="0"/>
    <n v="94523"/>
  </r>
  <r>
    <n v="30"/>
    <x v="2"/>
    <s v="00/03/29"/>
    <s v="1400/03/29"/>
    <x v="65"/>
    <n v="10003"/>
    <x v="79"/>
    <n v="10468"/>
    <n v="10468"/>
    <n v="10468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03"/>
    <x v="79"/>
    <n v="-4000"/>
    <n v="-4000"/>
    <n v="0"/>
    <n v="4000"/>
    <n v="0"/>
    <n v="4000"/>
    <n v="4000"/>
    <n v="0"/>
    <n v="0"/>
    <n v="0"/>
    <n v="0"/>
    <n v="0"/>
    <n v="0"/>
    <n v="94523"/>
  </r>
  <r>
    <n v="30"/>
    <x v="2"/>
    <s v="00/03/29"/>
    <s v="1400/03/29"/>
    <x v="65"/>
    <n v="30155"/>
    <x v="107"/>
    <n v="321"/>
    <n v="321"/>
    <n v="321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89"/>
    <x v="35"/>
    <n v="-210"/>
    <n v="-210"/>
    <n v="0"/>
    <n v="210"/>
    <n v="0"/>
    <n v="210"/>
    <n v="210"/>
    <n v="0"/>
    <n v="0"/>
    <n v="0"/>
    <n v="0"/>
    <n v="0"/>
    <n v="0"/>
    <n v="94523"/>
  </r>
  <r>
    <n v="30"/>
    <x v="2"/>
    <s v="00/03/29"/>
    <s v="1400/03/29"/>
    <x v="65"/>
    <n v="30155"/>
    <x v="107"/>
    <n v="67"/>
    <n v="67"/>
    <n v="67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26"/>
    <x v="81"/>
    <n v="-2021"/>
    <n v="-2021"/>
    <n v="0"/>
    <n v="2021"/>
    <n v="0"/>
    <n v="2021"/>
    <n v="2021"/>
    <n v="0"/>
    <n v="0"/>
    <n v="0"/>
    <n v="0"/>
    <n v="0"/>
    <n v="0"/>
    <n v="94523"/>
  </r>
  <r>
    <n v="30"/>
    <x v="2"/>
    <s v="00/03/29"/>
    <s v="1400/03/29"/>
    <x v="65"/>
    <n v="30155"/>
    <x v="107"/>
    <n v="1768"/>
    <n v="1768"/>
    <n v="1768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03"/>
    <x v="65"/>
    <n v="1302"/>
    <n v="1302"/>
    <n v="1302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03"/>
    <x v="65"/>
    <n v="284"/>
    <n v="284"/>
    <n v="284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66"/>
    <x v="77"/>
    <n v="2817"/>
    <n v="2817"/>
    <n v="2817"/>
    <n v="0"/>
    <n v="0"/>
    <n v="0"/>
    <n v="0"/>
    <n v="0"/>
    <n v="0"/>
    <n v="0"/>
    <n v="0"/>
    <n v="0"/>
    <n v="0"/>
    <n v="94523"/>
  </r>
  <r>
    <n v="30"/>
    <x v="2"/>
    <s v="00/03/30"/>
    <s v="1400/03/30"/>
    <x v="66"/>
    <n v="30017"/>
    <x v="83"/>
    <n v="-4443"/>
    <n v="-4443"/>
    <n v="0"/>
    <n v="4443"/>
    <n v="0"/>
    <n v="4443"/>
    <n v="4443"/>
    <n v="0"/>
    <n v="0"/>
    <n v="0"/>
    <n v="0"/>
    <n v="0"/>
    <n v="0"/>
    <n v="94523"/>
  </r>
  <r>
    <n v="30"/>
    <x v="2"/>
    <s v="00/03/30"/>
    <s v="1400/03/30"/>
    <x v="66"/>
    <n v="10026"/>
    <x v="81"/>
    <n v="3040"/>
    <n v="3040"/>
    <n v="3040"/>
    <n v="0"/>
    <n v="0"/>
    <n v="0"/>
    <n v="0"/>
    <n v="0"/>
    <n v="0"/>
    <n v="0"/>
    <n v="0"/>
    <n v="0"/>
    <n v="0"/>
    <n v="94523"/>
  </r>
  <r>
    <n v="30"/>
    <x v="2"/>
    <s v="00/03/30"/>
    <s v="1400/03/30"/>
    <x v="66"/>
    <n v="30081"/>
    <x v="67"/>
    <n v="-5730"/>
    <n v="-5730"/>
    <n v="0"/>
    <n v="5730"/>
    <n v="0"/>
    <n v="5730"/>
    <n v="5730"/>
    <n v="0"/>
    <n v="0"/>
    <n v="0"/>
    <n v="0"/>
    <n v="0"/>
    <n v="0"/>
    <n v="94523"/>
  </r>
  <r>
    <n v="30"/>
    <x v="2"/>
    <s v="00/03/30"/>
    <s v="1400/03/30"/>
    <x v="66"/>
    <n v="30009"/>
    <x v="66"/>
    <n v="1021"/>
    <n v="1021"/>
    <n v="1021"/>
    <n v="0"/>
    <n v="0"/>
    <n v="0"/>
    <n v="0"/>
    <n v="0"/>
    <n v="0"/>
    <n v="0"/>
    <n v="0"/>
    <n v="0"/>
    <n v="0"/>
    <n v="94523"/>
  </r>
  <r>
    <n v="31"/>
    <x v="2"/>
    <s v="00/03/30"/>
    <s v="1400/03/30"/>
    <x v="66"/>
    <n v="30127"/>
    <x v="99"/>
    <n v="-15495"/>
    <n v="-15495"/>
    <n v="0"/>
    <n v="15495"/>
    <n v="0"/>
    <n v="15495"/>
    <n v="15495"/>
    <n v="0"/>
    <n v="0"/>
    <n v="0"/>
    <n v="0"/>
    <n v="0"/>
    <n v="0"/>
    <n v="110018"/>
  </r>
  <r>
    <n v="31"/>
    <x v="2"/>
    <s v="00/03/30"/>
    <s v="1400/03/30"/>
    <x v="66"/>
    <n v="10055"/>
    <x v="80"/>
    <n v="4844"/>
    <n v="4844"/>
    <n v="4844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10003"/>
    <x v="79"/>
    <n v="-1698"/>
    <n v="-1698"/>
    <n v="0"/>
    <n v="1698"/>
    <n v="0"/>
    <n v="1698"/>
    <n v="1698"/>
    <n v="0"/>
    <n v="0"/>
    <n v="0"/>
    <n v="0"/>
    <n v="0"/>
    <n v="0"/>
    <n v="110018"/>
  </r>
  <r>
    <n v="31"/>
    <x v="2"/>
    <s v="00/03/30"/>
    <s v="1400/03/30"/>
    <x v="66"/>
    <n v="10027"/>
    <x v="72"/>
    <n v="3041"/>
    <n v="3041"/>
    <n v="3041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10026"/>
    <x v="81"/>
    <n v="-4053"/>
    <n v="-4053"/>
    <n v="0"/>
    <n v="4053"/>
    <n v="0"/>
    <n v="4053"/>
    <n v="4053"/>
    <n v="0"/>
    <n v="0"/>
    <n v="0"/>
    <n v="0"/>
    <n v="0"/>
    <n v="0"/>
    <n v="110018"/>
  </r>
  <r>
    <n v="31"/>
    <x v="2"/>
    <s v="00/03/30"/>
    <s v="1400/03/30"/>
    <x v="66"/>
    <n v="50011"/>
    <x v="17"/>
    <n v="704"/>
    <n v="704"/>
    <n v="704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10055"/>
    <x v="80"/>
    <n v="-4900"/>
    <n v="-4900"/>
    <n v="0"/>
    <n v="4900"/>
    <n v="0"/>
    <n v="4900"/>
    <n v="4900"/>
    <n v="0"/>
    <n v="0"/>
    <n v="0"/>
    <n v="0"/>
    <n v="0"/>
    <n v="0"/>
    <n v="110018"/>
  </r>
  <r>
    <n v="31"/>
    <x v="2"/>
    <s v="00/03/30"/>
    <s v="1400/03/30"/>
    <x v="66"/>
    <n v="30004"/>
    <x v="2"/>
    <n v="1691"/>
    <n v="1691"/>
    <n v="1691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30009"/>
    <x v="66"/>
    <n v="2178"/>
    <n v="2178"/>
    <n v="2178"/>
    <n v="0"/>
    <n v="0"/>
    <n v="0"/>
    <n v="0"/>
    <n v="0"/>
    <n v="0"/>
    <n v="0"/>
    <n v="0"/>
    <n v="0"/>
    <n v="0"/>
    <n v="110018"/>
  </r>
  <r>
    <n v="31"/>
    <x v="2"/>
    <s v="00/03/31"/>
    <s v="1400/03/31"/>
    <x v="67"/>
    <n v="30058"/>
    <x v="63"/>
    <n v="-4960"/>
    <n v="-4960"/>
    <n v="0"/>
    <n v="4960"/>
    <n v="0"/>
    <n v="4960"/>
    <n v="4960"/>
    <n v="0"/>
    <n v="0"/>
    <n v="0"/>
    <n v="0"/>
    <n v="0"/>
    <n v="0"/>
    <n v="110018"/>
  </r>
  <r>
    <n v="31"/>
    <x v="2"/>
    <s v="00/03/31"/>
    <s v="1400/03/31"/>
    <x v="67"/>
    <n v="30009"/>
    <x v="66"/>
    <n v="1372"/>
    <n v="1372"/>
    <n v="1372"/>
    <n v="0"/>
    <n v="0"/>
    <n v="0"/>
    <n v="0"/>
    <n v="0"/>
    <n v="0"/>
    <n v="0"/>
    <n v="0"/>
    <n v="0"/>
    <n v="0"/>
    <n v="110018"/>
  </r>
  <r>
    <n v="32"/>
    <x v="2"/>
    <s v="00/03/31"/>
    <s v="1400/03/31"/>
    <x v="67"/>
    <n v="30127"/>
    <x v="99"/>
    <n v="-7092"/>
    <n v="-7092"/>
    <n v="0"/>
    <n v="7092"/>
    <n v="0"/>
    <n v="7092"/>
    <n v="7092"/>
    <n v="0"/>
    <n v="0"/>
    <n v="0"/>
    <n v="0"/>
    <n v="0"/>
    <n v="0"/>
    <n v="117110"/>
  </r>
  <r>
    <n v="32"/>
    <x v="2"/>
    <s v="00/03/31"/>
    <s v="1400/03/31"/>
    <x v="67"/>
    <n v="30009"/>
    <x v="66"/>
    <n v="874"/>
    <n v="874"/>
    <n v="874"/>
    <n v="0"/>
    <n v="0"/>
    <n v="0"/>
    <n v="0"/>
    <n v="0"/>
    <n v="0"/>
    <n v="0"/>
    <n v="0"/>
    <n v="0"/>
    <n v="0"/>
    <n v="117110"/>
  </r>
  <r>
    <n v="32"/>
    <x v="2"/>
    <s v="00/03/31"/>
    <s v="1400/03/31"/>
    <x v="67"/>
    <n v="30138"/>
    <x v="58"/>
    <n v="-2"/>
    <n v="-2"/>
    <n v="0"/>
    <n v="2"/>
    <n v="0"/>
    <n v="2"/>
    <n v="2"/>
    <n v="0"/>
    <n v="0"/>
    <n v="0"/>
    <n v="0"/>
    <n v="0"/>
    <n v="0"/>
    <n v="117110"/>
  </r>
  <r>
    <n v="32"/>
    <x v="2"/>
    <s v="00/03/31"/>
    <s v="1400/03/31"/>
    <x v="67"/>
    <n v="30009"/>
    <x v="66"/>
    <n v="954"/>
    <n v="954"/>
    <n v="954"/>
    <n v="0"/>
    <n v="0"/>
    <n v="0"/>
    <n v="0"/>
    <n v="0"/>
    <n v="0"/>
    <n v="0"/>
    <n v="0"/>
    <n v="0"/>
    <n v="0"/>
    <n v="117110"/>
  </r>
  <r>
    <n v="32"/>
    <x v="2"/>
    <s v="00/03/31"/>
    <s v="1400/03/31"/>
    <x v="67"/>
    <n v="10070"/>
    <x v="53"/>
    <n v="-18"/>
    <n v="-18"/>
    <n v="0"/>
    <n v="18"/>
    <n v="0"/>
    <n v="18"/>
    <n v="18"/>
    <n v="0"/>
    <n v="0"/>
    <n v="0"/>
    <n v="0"/>
    <n v="0"/>
    <n v="0"/>
    <n v="117110"/>
  </r>
  <r>
    <n v="32"/>
    <x v="2"/>
    <s v="00/03/31"/>
    <s v="1400/03/31"/>
    <x v="67"/>
    <n v="30004"/>
    <x v="2"/>
    <n v="3883"/>
    <n v="3883"/>
    <n v="3883"/>
    <n v="0"/>
    <n v="0"/>
    <n v="0"/>
    <n v="0"/>
    <n v="0"/>
    <n v="0"/>
    <n v="0"/>
    <n v="0"/>
    <n v="0"/>
    <n v="0"/>
    <n v="117110"/>
  </r>
  <r>
    <n v="32"/>
    <x v="2"/>
    <s v="00/03/31"/>
    <s v="1400/03/31"/>
    <x v="67"/>
    <n v="10009"/>
    <x v="24"/>
    <n v="-2098"/>
    <n v="-2098"/>
    <n v="0"/>
    <n v="2098"/>
    <n v="0"/>
    <n v="2098"/>
    <n v="2098"/>
    <n v="0"/>
    <n v="0"/>
    <n v="0"/>
    <n v="0"/>
    <n v="0"/>
    <n v="0"/>
    <n v="117110"/>
  </r>
  <r>
    <n v="33"/>
    <x v="2"/>
    <s v="00/03/31"/>
    <s v="1400/03/31"/>
    <x v="67"/>
    <n v="30127"/>
    <x v="99"/>
    <n v="11466"/>
    <n v="11466"/>
    <n v="11466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10048"/>
    <x v="51"/>
    <n v="-896"/>
    <n v="-896"/>
    <n v="0"/>
    <n v="896"/>
    <n v="0"/>
    <n v="896"/>
    <n v="896"/>
    <n v="0"/>
    <n v="0"/>
    <n v="0"/>
    <n v="0"/>
    <n v="0"/>
    <n v="0"/>
    <n v="105644"/>
  </r>
  <r>
    <n v="33"/>
    <x v="2"/>
    <s v="00/03/31"/>
    <s v="1400/03/31"/>
    <x v="67"/>
    <n v="30009"/>
    <x v="66"/>
    <n v="1442"/>
    <n v="1442"/>
    <n v="1442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10055"/>
    <x v="80"/>
    <n v="-4692"/>
    <n v="-4692"/>
    <n v="0"/>
    <n v="4692"/>
    <n v="0"/>
    <n v="4692"/>
    <n v="4692"/>
    <n v="0"/>
    <n v="0"/>
    <n v="0"/>
    <n v="0"/>
    <n v="0"/>
    <n v="0"/>
    <n v="105644"/>
  </r>
  <r>
    <n v="33"/>
    <x v="2"/>
    <s v="00/03/31"/>
    <s v="1400/03/31"/>
    <x v="67"/>
    <n v="10048"/>
    <x v="51"/>
    <n v="605"/>
    <n v="605"/>
    <n v="605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30004"/>
    <x v="2"/>
    <n v="990"/>
    <n v="990"/>
    <n v="990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30004"/>
    <x v="2"/>
    <n v="1355"/>
    <n v="1355"/>
    <n v="1355"/>
    <n v="0"/>
    <n v="0"/>
    <n v="0"/>
    <n v="0"/>
    <n v="0"/>
    <n v="0"/>
    <n v="0"/>
    <n v="0"/>
    <n v="0"/>
    <n v="0"/>
    <n v="105644"/>
  </r>
  <r>
    <n v="33"/>
    <x v="3"/>
    <s v="00/04/01"/>
    <s v="1400/04/01"/>
    <x v="68"/>
    <n v="30009"/>
    <x v="66"/>
    <n v="-3592"/>
    <n v="-3592"/>
    <n v="0"/>
    <n v="3592"/>
    <n v="0"/>
    <n v="3592"/>
    <n v="3592"/>
    <n v="0"/>
    <n v="0"/>
    <n v="0"/>
    <n v="0"/>
    <n v="0"/>
    <n v="0"/>
    <n v="105644"/>
  </r>
  <r>
    <n v="33"/>
    <x v="3"/>
    <s v="00/04/01"/>
    <s v="1400/04/01"/>
    <x v="68"/>
    <n v="10048"/>
    <x v="51"/>
    <n v="371"/>
    <n v="371"/>
    <n v="371"/>
    <n v="0"/>
    <n v="0"/>
    <n v="0"/>
    <n v="0"/>
    <n v="0"/>
    <n v="0"/>
    <n v="0"/>
    <n v="0"/>
    <n v="0"/>
    <n v="0"/>
    <n v="105644"/>
  </r>
  <r>
    <n v="33"/>
    <x v="3"/>
    <s v="00/04/01"/>
    <s v="1400/04/01"/>
    <x v="68"/>
    <n v="30081"/>
    <x v="67"/>
    <n v="-1990"/>
    <n v="-1990"/>
    <n v="0"/>
    <n v="1990"/>
    <n v="0"/>
    <n v="1990"/>
    <n v="1990"/>
    <n v="0"/>
    <n v="0"/>
    <n v="0"/>
    <n v="0"/>
    <n v="0"/>
    <n v="0"/>
    <n v="105644"/>
  </r>
  <r>
    <n v="33"/>
    <x v="3"/>
    <s v="00/04/01"/>
    <s v="1400/04/01"/>
    <x v="68"/>
    <n v="10003"/>
    <x v="79"/>
    <n v="-1492"/>
    <n v="-1492"/>
    <n v="0"/>
    <n v="1492"/>
    <n v="0"/>
    <n v="1492"/>
    <n v="1492"/>
    <n v="0"/>
    <n v="0"/>
    <n v="0"/>
    <n v="0"/>
    <n v="0"/>
    <n v="0"/>
    <n v="105644"/>
  </r>
  <r>
    <n v="33"/>
    <x v="3"/>
    <s v="00/04/01"/>
    <s v="1400/04/01"/>
    <x v="68"/>
    <n v="30004"/>
    <x v="2"/>
    <n v="-4603"/>
    <n v="-4603"/>
    <n v="0"/>
    <n v="4603"/>
    <n v="0"/>
    <n v="4603"/>
    <n v="4603"/>
    <n v="0"/>
    <n v="0"/>
    <n v="0"/>
    <n v="0"/>
    <n v="0"/>
    <n v="0"/>
    <n v="105644"/>
  </r>
  <r>
    <n v="34"/>
    <x v="3"/>
    <s v="00/04/02"/>
    <s v="1400/04/02"/>
    <x v="69"/>
    <n v="30127"/>
    <x v="99"/>
    <n v="14894"/>
    <n v="14894"/>
    <n v="14894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09"/>
    <x v="66"/>
    <n v="-2062"/>
    <n v="-2062"/>
    <n v="0"/>
    <n v="2062"/>
    <n v="0"/>
    <n v="2062"/>
    <n v="2062"/>
    <n v="0"/>
    <n v="0"/>
    <n v="0"/>
    <n v="0"/>
    <n v="0"/>
    <n v="0"/>
    <n v="90750"/>
  </r>
  <r>
    <n v="34"/>
    <x v="3"/>
    <s v="00/04/02"/>
    <s v="1400/04/02"/>
    <x v="69"/>
    <n v="10003"/>
    <x v="79"/>
    <n v="5288"/>
    <n v="5288"/>
    <n v="5288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04"/>
    <x v="2"/>
    <n v="-4304"/>
    <n v="-4304"/>
    <n v="0"/>
    <n v="4304"/>
    <n v="0"/>
    <n v="4304"/>
    <n v="4304"/>
    <n v="0"/>
    <n v="0"/>
    <n v="0"/>
    <n v="0"/>
    <n v="0"/>
    <n v="0"/>
    <n v="90750"/>
  </r>
  <r>
    <n v="34"/>
    <x v="3"/>
    <s v="00/04/02"/>
    <s v="1400/04/02"/>
    <x v="69"/>
    <n v="30146"/>
    <x v="64"/>
    <n v="2453"/>
    <n v="2453"/>
    <n v="2453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174"/>
    <x v="60"/>
    <n v="-430"/>
    <n v="-430"/>
    <n v="0"/>
    <n v="430"/>
    <n v="0"/>
    <n v="430"/>
    <n v="430"/>
    <n v="0"/>
    <n v="0"/>
    <n v="0"/>
    <n v="0"/>
    <n v="0"/>
    <n v="0"/>
    <n v="90750"/>
  </r>
  <r>
    <n v="34"/>
    <x v="3"/>
    <s v="00/04/02"/>
    <s v="1400/04/02"/>
    <x v="69"/>
    <n v="30146"/>
    <x v="64"/>
    <n v="3142"/>
    <n v="3142"/>
    <n v="3142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146"/>
    <x v="64"/>
    <n v="-2453"/>
    <n v="-2453"/>
    <n v="0"/>
    <n v="2453"/>
    <n v="0"/>
    <n v="2453"/>
    <n v="2453"/>
    <n v="0"/>
    <n v="0"/>
    <n v="0"/>
    <n v="0"/>
    <n v="0"/>
    <n v="0"/>
    <n v="90750"/>
  </r>
  <r>
    <n v="34"/>
    <x v="3"/>
    <s v="00/04/02"/>
    <s v="1400/04/02"/>
    <x v="69"/>
    <n v="30003"/>
    <x v="65"/>
    <n v="799"/>
    <n v="799"/>
    <n v="799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10057"/>
    <x v="33"/>
    <n v="-2058"/>
    <n v="-2058"/>
    <n v="0"/>
    <n v="2058"/>
    <n v="0"/>
    <n v="2058"/>
    <n v="2058"/>
    <n v="0"/>
    <n v="0"/>
    <n v="0"/>
    <n v="0"/>
    <n v="0"/>
    <n v="0"/>
    <n v="90750"/>
  </r>
  <r>
    <n v="34"/>
    <x v="3"/>
    <s v="00/04/02"/>
    <s v="1400/04/02"/>
    <x v="69"/>
    <n v="10057"/>
    <x v="33"/>
    <n v="37"/>
    <n v="37"/>
    <n v="37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10003"/>
    <x v="79"/>
    <n v="-2362"/>
    <n v="-2362"/>
    <n v="0"/>
    <n v="2362"/>
    <n v="0"/>
    <n v="2362"/>
    <n v="2362"/>
    <n v="0"/>
    <n v="0"/>
    <n v="0"/>
    <n v="0"/>
    <n v="0"/>
    <n v="0"/>
    <n v="90750"/>
  </r>
  <r>
    <n v="34"/>
    <x v="3"/>
    <s v="00/04/02"/>
    <s v="1400/04/02"/>
    <x v="69"/>
    <n v="10057"/>
    <x v="33"/>
    <n v="162"/>
    <n v="162"/>
    <n v="162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03"/>
    <x v="65"/>
    <n v="-788"/>
    <n v="-788"/>
    <n v="0"/>
    <n v="788"/>
    <n v="0"/>
    <n v="788"/>
    <n v="788"/>
    <n v="0"/>
    <n v="0"/>
    <n v="0"/>
    <n v="0"/>
    <n v="0"/>
    <n v="0"/>
    <n v="90750"/>
  </r>
  <r>
    <n v="34"/>
    <x v="3"/>
    <s v="00/04/02"/>
    <s v="1400/04/02"/>
    <x v="69"/>
    <n v="10057"/>
    <x v="33"/>
    <n v="159"/>
    <n v="159"/>
    <n v="159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10070"/>
    <x v="53"/>
    <n v="-1246"/>
    <n v="-1246"/>
    <n v="0"/>
    <n v="1246"/>
    <n v="0"/>
    <n v="1246"/>
    <n v="1246"/>
    <n v="0"/>
    <n v="0"/>
    <n v="0"/>
    <n v="0"/>
    <n v="0"/>
    <n v="0"/>
    <n v="90750"/>
  </r>
  <r>
    <n v="34"/>
    <x v="3"/>
    <s v="00/04/02"/>
    <s v="1400/04/02"/>
    <x v="69"/>
    <n v="30174"/>
    <x v="60"/>
    <n v="558"/>
    <n v="558"/>
    <n v="558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81"/>
    <x v="67"/>
    <n v="5296"/>
    <n v="5296"/>
    <n v="5296"/>
    <n v="0"/>
    <n v="0"/>
    <n v="0"/>
    <n v="0"/>
    <n v="0"/>
    <n v="0"/>
    <n v="0"/>
    <n v="0"/>
    <n v="0"/>
    <n v="0"/>
    <n v="90750"/>
  </r>
  <r>
    <n v="34"/>
    <x v="3"/>
    <s v="00/04/03"/>
    <s v="1400/04/03"/>
    <x v="70"/>
    <n v="30131"/>
    <x v="93"/>
    <n v="-5006"/>
    <n v="-5006"/>
    <n v="0"/>
    <n v="5006"/>
    <n v="0"/>
    <n v="5006"/>
    <n v="5006"/>
    <n v="0"/>
    <n v="0"/>
    <n v="0"/>
    <n v="0"/>
    <n v="0"/>
    <n v="0"/>
    <n v="90750"/>
  </r>
  <r>
    <n v="34"/>
    <x v="3"/>
    <s v="00/04/03"/>
    <s v="1400/04/03"/>
    <x v="70"/>
    <n v="10003"/>
    <x v="79"/>
    <n v="5134"/>
    <n v="5134"/>
    <n v="5134"/>
    <n v="0"/>
    <n v="0"/>
    <n v="0"/>
    <n v="0"/>
    <n v="0"/>
    <n v="0"/>
    <n v="0"/>
    <n v="0"/>
    <n v="0"/>
    <n v="0"/>
    <n v="90750"/>
  </r>
  <r>
    <n v="34"/>
    <x v="3"/>
    <s v="00/04/03"/>
    <s v="1400/04/03"/>
    <x v="70"/>
    <n v="30066"/>
    <x v="77"/>
    <n v="-7166"/>
    <n v="-7166"/>
    <n v="0"/>
    <n v="7166"/>
    <n v="0"/>
    <n v="7166"/>
    <n v="7166"/>
    <n v="0"/>
    <n v="0"/>
    <n v="0"/>
    <n v="0"/>
    <n v="0"/>
    <n v="0"/>
    <n v="90750"/>
  </r>
  <r>
    <n v="34"/>
    <x v="3"/>
    <s v="00/04/03"/>
    <s v="1400/04/03"/>
    <x v="70"/>
    <n v="30058"/>
    <x v="63"/>
    <n v="9734"/>
    <n v="9734"/>
    <n v="9734"/>
    <n v="0"/>
    <n v="0"/>
    <n v="0"/>
    <n v="0"/>
    <n v="0"/>
    <n v="0"/>
    <n v="0"/>
    <n v="0"/>
    <n v="0"/>
    <n v="0"/>
    <n v="90750"/>
  </r>
  <r>
    <n v="35"/>
    <x v="3"/>
    <s v="00/04/03"/>
    <s v="1400/04/03"/>
    <x v="70"/>
    <n v="30127"/>
    <x v="99"/>
    <n v="-14991"/>
    <n v="-14991"/>
    <n v="0"/>
    <n v="14991"/>
    <n v="0"/>
    <n v="14991"/>
    <n v="14991"/>
    <n v="0"/>
    <n v="0"/>
    <n v="0"/>
    <n v="0"/>
    <n v="0"/>
    <n v="0"/>
    <n v="105741"/>
  </r>
  <r>
    <n v="35"/>
    <x v="3"/>
    <s v="00/04/03"/>
    <s v="1400/04/03"/>
    <x v="70"/>
    <n v="10057"/>
    <x v="33"/>
    <n v="1000"/>
    <n v="1000"/>
    <n v="1000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004"/>
    <x v="2"/>
    <n v="-4298"/>
    <n v="-4298"/>
    <n v="0"/>
    <n v="4298"/>
    <n v="0"/>
    <n v="4298"/>
    <n v="4298"/>
    <n v="0"/>
    <n v="0"/>
    <n v="0"/>
    <n v="0"/>
    <n v="0"/>
    <n v="0"/>
    <n v="105741"/>
  </r>
  <r>
    <n v="35"/>
    <x v="3"/>
    <s v="00/04/03"/>
    <s v="1400/04/03"/>
    <x v="70"/>
    <n v="30004"/>
    <x v="2"/>
    <n v="1916"/>
    <n v="1916"/>
    <n v="1916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009"/>
    <x v="66"/>
    <n v="-2112"/>
    <n v="-2112"/>
    <n v="0"/>
    <n v="2112"/>
    <n v="0"/>
    <n v="2112"/>
    <n v="2112"/>
    <n v="0"/>
    <n v="0"/>
    <n v="0"/>
    <n v="0"/>
    <n v="0"/>
    <n v="0"/>
    <n v="105741"/>
  </r>
  <r>
    <n v="35"/>
    <x v="3"/>
    <s v="00/04/03"/>
    <s v="1400/04/03"/>
    <x v="70"/>
    <n v="30131"/>
    <x v="93"/>
    <n v="4160"/>
    <n v="4160"/>
    <n v="4160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131"/>
    <x v="93"/>
    <n v="740"/>
    <n v="740"/>
    <n v="740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131"/>
    <x v="93"/>
    <n v="206"/>
    <n v="206"/>
    <n v="206"/>
    <n v="0"/>
    <n v="0"/>
    <n v="0"/>
    <n v="0"/>
    <n v="0"/>
    <n v="0"/>
    <n v="0"/>
    <n v="0"/>
    <n v="0"/>
    <n v="0"/>
    <n v="105741"/>
  </r>
  <r>
    <n v="35"/>
    <x v="3"/>
    <s v="00/04/05"/>
    <s v="1400/04/05"/>
    <x v="71"/>
    <n v="10127"/>
    <x v="104"/>
    <n v="-2048"/>
    <n v="-2048"/>
    <n v="0"/>
    <n v="2048"/>
    <n v="0"/>
    <n v="2048"/>
    <n v="2048"/>
    <n v="0"/>
    <n v="0"/>
    <n v="0"/>
    <n v="0"/>
    <n v="0"/>
    <n v="0"/>
    <n v="105741"/>
  </r>
  <r>
    <n v="35"/>
    <x v="3"/>
    <s v="00/04/05"/>
    <s v="1400/04/05"/>
    <x v="71"/>
    <n v="10055"/>
    <x v="80"/>
    <n v="5050"/>
    <n v="5050"/>
    <n v="5050"/>
    <n v="0"/>
    <n v="0"/>
    <n v="0"/>
    <n v="0"/>
    <n v="0"/>
    <n v="0"/>
    <n v="0"/>
    <n v="0"/>
    <n v="0"/>
    <n v="0"/>
    <n v="105741"/>
  </r>
  <r>
    <n v="35"/>
    <x v="3"/>
    <s v="00/04/05"/>
    <s v="1400/04/05"/>
    <x v="71"/>
    <n v="10020"/>
    <x v="40"/>
    <n v="-1478"/>
    <n v="-1478"/>
    <n v="0"/>
    <n v="1478"/>
    <n v="0"/>
    <n v="1478"/>
    <n v="1478"/>
    <n v="0"/>
    <n v="0"/>
    <n v="0"/>
    <n v="0"/>
    <n v="0"/>
    <n v="0"/>
    <n v="105741"/>
  </r>
  <r>
    <n v="35"/>
    <x v="3"/>
    <s v="00/04/05"/>
    <s v="1400/04/05"/>
    <x v="71"/>
    <n v="10027"/>
    <x v="72"/>
    <n v="2875"/>
    <n v="2875"/>
    <n v="2875"/>
    <n v="0"/>
    <n v="0"/>
    <n v="0"/>
    <n v="0"/>
    <n v="0"/>
    <n v="0"/>
    <n v="0"/>
    <n v="0"/>
    <n v="0"/>
    <n v="0"/>
    <n v="105741"/>
  </r>
  <r>
    <n v="35"/>
    <x v="3"/>
    <s v="00/04/05"/>
    <s v="1400/04/05"/>
    <x v="71"/>
    <n v="10003"/>
    <x v="79"/>
    <n v="-2058"/>
    <n v="-2058"/>
    <n v="0"/>
    <n v="2058"/>
    <n v="0"/>
    <n v="2058"/>
    <n v="2058"/>
    <n v="0"/>
    <n v="0"/>
    <n v="0"/>
    <n v="0"/>
    <n v="0"/>
    <n v="0"/>
    <n v="105741"/>
  </r>
  <r>
    <n v="35"/>
    <x v="3"/>
    <s v="00/04/05"/>
    <s v="1400/04/05"/>
    <x v="71"/>
    <n v="30081"/>
    <x v="67"/>
    <n v="4680"/>
    <n v="4680"/>
    <n v="4680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30081"/>
    <x v="67"/>
    <n v="-3801"/>
    <n v="-3801"/>
    <n v="0"/>
    <n v="3801"/>
    <n v="0"/>
    <n v="3801"/>
    <n v="3801"/>
    <n v="0"/>
    <n v="0"/>
    <n v="0"/>
    <n v="0"/>
    <n v="0"/>
    <n v="0"/>
    <n v="105741"/>
  </r>
  <r>
    <n v="35"/>
    <x v="3"/>
    <s v="00/04/06"/>
    <s v="1400/04/06"/>
    <x v="72"/>
    <n v="10026"/>
    <x v="81"/>
    <n v="3108"/>
    <n v="3108"/>
    <n v="3108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50011"/>
    <x v="17"/>
    <n v="-2174"/>
    <n v="-2174"/>
    <n v="0"/>
    <n v="2174"/>
    <n v="0"/>
    <n v="2174"/>
    <n v="2174"/>
    <n v="0"/>
    <n v="0"/>
    <n v="0"/>
    <n v="0"/>
    <n v="0"/>
    <n v="0"/>
    <n v="105741"/>
  </r>
  <r>
    <n v="35"/>
    <x v="3"/>
    <s v="00/04/06"/>
    <s v="1400/04/06"/>
    <x v="72"/>
    <n v="10055"/>
    <x v="80"/>
    <n v="5681"/>
    <n v="5681"/>
    <n v="5681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30004"/>
    <x v="2"/>
    <n v="-4748"/>
    <n v="-4748"/>
    <n v="0"/>
    <n v="4748"/>
    <n v="0"/>
    <n v="4748"/>
    <n v="4748"/>
    <n v="0"/>
    <n v="0"/>
    <n v="0"/>
    <n v="0"/>
    <n v="0"/>
    <n v="0"/>
    <n v="105741"/>
  </r>
  <r>
    <n v="35"/>
    <x v="3"/>
    <s v="00/04/06"/>
    <s v="1400/04/06"/>
    <x v="72"/>
    <n v="30099"/>
    <x v="11"/>
    <n v="4744"/>
    <n v="4744"/>
    <n v="4744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10003"/>
    <x v="79"/>
    <n v="-2038"/>
    <n v="-2038"/>
    <n v="0"/>
    <n v="2038"/>
    <n v="0"/>
    <n v="2038"/>
    <n v="2038"/>
    <n v="0"/>
    <n v="0"/>
    <n v="0"/>
    <n v="0"/>
    <n v="0"/>
    <n v="0"/>
    <n v="105741"/>
  </r>
  <r>
    <n v="35"/>
    <x v="3"/>
    <s v="00/04/06"/>
    <s v="1400/04/06"/>
    <x v="72"/>
    <n v="10003"/>
    <x v="79"/>
    <n v="2360"/>
    <n v="2360"/>
    <n v="2360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10055"/>
    <x v="80"/>
    <n v="-9812"/>
    <n v="-9812"/>
    <n v="0"/>
    <n v="9812"/>
    <n v="0"/>
    <n v="9812"/>
    <n v="9812"/>
    <n v="0"/>
    <n v="0"/>
    <n v="0"/>
    <n v="0"/>
    <n v="0"/>
    <n v="0"/>
    <n v="105741"/>
  </r>
  <r>
    <n v="35"/>
    <x v="3"/>
    <s v="00/04/06"/>
    <s v="1400/04/06"/>
    <x v="72"/>
    <n v="30137"/>
    <x v="101"/>
    <n v="1018"/>
    <n v="1018"/>
    <n v="1018"/>
    <n v="0"/>
    <n v="0"/>
    <n v="0"/>
    <n v="0"/>
    <n v="0"/>
    <n v="0"/>
    <n v="0"/>
    <n v="0"/>
    <n v="0"/>
    <n v="0"/>
    <n v="105741"/>
  </r>
  <r>
    <n v="35"/>
    <x v="3"/>
    <s v="00/04/07"/>
    <s v="1400/04/07"/>
    <x v="73"/>
    <n v="10131"/>
    <x v="112"/>
    <n v="-556"/>
    <n v="-556"/>
    <n v="0"/>
    <n v="556"/>
    <n v="0"/>
    <n v="556"/>
    <n v="556"/>
    <n v="0"/>
    <n v="0"/>
    <n v="0"/>
    <n v="0"/>
    <n v="0"/>
    <n v="0"/>
    <n v="105741"/>
  </r>
  <r>
    <n v="35"/>
    <x v="3"/>
    <s v="00/04/07"/>
    <s v="1400/04/07"/>
    <x v="73"/>
    <n v="10084"/>
    <x v="37"/>
    <n v="1063"/>
    <n v="1063"/>
    <n v="1063"/>
    <n v="0"/>
    <n v="0"/>
    <n v="0"/>
    <n v="0"/>
    <n v="0"/>
    <n v="0"/>
    <n v="0"/>
    <n v="0"/>
    <n v="0"/>
    <n v="0"/>
    <n v="105741"/>
  </r>
  <r>
    <n v="36"/>
    <x v="3"/>
    <s v="00/04/07"/>
    <s v="1400/04/07"/>
    <x v="73"/>
    <n v="30127"/>
    <x v="99"/>
    <n v="-16225"/>
    <n v="-16225"/>
    <n v="0"/>
    <n v="16225"/>
    <n v="0"/>
    <n v="16225"/>
    <n v="16225"/>
    <n v="0"/>
    <n v="0"/>
    <n v="0"/>
    <n v="0"/>
    <n v="0"/>
    <n v="0"/>
    <n v="121966"/>
  </r>
  <r>
    <n v="36"/>
    <x v="3"/>
    <s v="00/04/07"/>
    <s v="1400/04/07"/>
    <x v="73"/>
    <n v="10084"/>
    <x v="37"/>
    <n v="112"/>
    <n v="112"/>
    <n v="112"/>
    <n v="0"/>
    <n v="0"/>
    <n v="0"/>
    <n v="0"/>
    <n v="0"/>
    <n v="0"/>
    <n v="0"/>
    <n v="0"/>
    <n v="0"/>
    <n v="0"/>
    <n v="121966"/>
  </r>
  <r>
    <n v="36"/>
    <x v="3"/>
    <s v="00/04/07"/>
    <s v="1400/04/07"/>
    <x v="73"/>
    <n v="30140"/>
    <x v="29"/>
    <n v="-1892"/>
    <n v="-1892"/>
    <n v="0"/>
    <n v="1892"/>
    <n v="0"/>
    <n v="1892"/>
    <n v="1892"/>
    <n v="0"/>
    <n v="0"/>
    <n v="0"/>
    <n v="0"/>
    <n v="0"/>
    <n v="0"/>
    <n v="121966"/>
  </r>
  <r>
    <n v="36"/>
    <x v="3"/>
    <s v="00/04/07"/>
    <s v="1400/04/07"/>
    <x v="73"/>
    <n v="10126"/>
    <x v="103"/>
    <n v="360"/>
    <n v="360"/>
    <n v="360"/>
    <n v="0"/>
    <n v="0"/>
    <n v="0"/>
    <n v="0"/>
    <n v="0"/>
    <n v="0"/>
    <n v="0"/>
    <n v="0"/>
    <n v="0"/>
    <n v="0"/>
    <n v="121966"/>
  </r>
  <r>
    <n v="36"/>
    <x v="3"/>
    <s v="00/04/07"/>
    <s v="1400/04/07"/>
    <x v="73"/>
    <n v="10003"/>
    <x v="79"/>
    <n v="-5096"/>
    <n v="-5096"/>
    <n v="0"/>
    <n v="5096"/>
    <n v="0"/>
    <n v="5096"/>
    <n v="5096"/>
    <n v="0"/>
    <n v="0"/>
    <n v="0"/>
    <n v="0"/>
    <n v="0"/>
    <n v="0"/>
    <n v="121966"/>
  </r>
  <r>
    <n v="36"/>
    <x v="3"/>
    <s v="00/04/07"/>
    <s v="1400/04/07"/>
    <x v="73"/>
    <n v="10027"/>
    <x v="72"/>
    <n v="2599"/>
    <n v="2599"/>
    <n v="2599"/>
    <n v="0"/>
    <n v="0"/>
    <n v="0"/>
    <n v="0"/>
    <n v="0"/>
    <n v="0"/>
    <n v="0"/>
    <n v="0"/>
    <n v="0"/>
    <n v="0"/>
    <n v="121966"/>
  </r>
  <r>
    <n v="36"/>
    <x v="3"/>
    <s v="00/04/07"/>
    <s v="1400/04/07"/>
    <x v="73"/>
    <n v="10026"/>
    <x v="81"/>
    <n v="-28"/>
    <n v="-28"/>
    <n v="0"/>
    <n v="28"/>
    <n v="0"/>
    <n v="28"/>
    <n v="28"/>
    <n v="0"/>
    <n v="0"/>
    <n v="0"/>
    <n v="0"/>
    <n v="0"/>
    <n v="0"/>
    <n v="121966"/>
  </r>
  <r>
    <n v="37"/>
    <x v="3"/>
    <s v="00/04/07"/>
    <s v="1400/04/07"/>
    <x v="73"/>
    <n v="30127"/>
    <x v="99"/>
    <n v="14724"/>
    <n v="14724"/>
    <n v="14724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084"/>
    <x v="37"/>
    <n v="-1550"/>
    <n v="-1550"/>
    <n v="0"/>
    <n v="1550"/>
    <n v="0"/>
    <n v="1550"/>
    <n v="1550"/>
    <n v="0"/>
    <n v="0"/>
    <n v="0"/>
    <n v="0"/>
    <n v="0"/>
    <n v="0"/>
    <n v="107242"/>
  </r>
  <r>
    <n v="37"/>
    <x v="3"/>
    <s v="00/04/07"/>
    <s v="1400/04/07"/>
    <x v="73"/>
    <n v="10127"/>
    <x v="104"/>
    <n v="439"/>
    <n v="439"/>
    <n v="439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127"/>
    <x v="104"/>
    <n v="590"/>
    <n v="590"/>
    <n v="590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131"/>
    <x v="112"/>
    <n v="748"/>
    <n v="748"/>
    <n v="748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127"/>
    <x v="104"/>
    <n v="105"/>
    <n v="105"/>
    <n v="105"/>
    <n v="0"/>
    <n v="0"/>
    <n v="0"/>
    <n v="0"/>
    <n v="0"/>
    <n v="0"/>
    <n v="0"/>
    <n v="0"/>
    <n v="0"/>
    <n v="0"/>
    <n v="107242"/>
  </r>
  <r>
    <n v="37"/>
    <x v="3"/>
    <s v="00/04/08"/>
    <s v="1400/04/08"/>
    <x v="74"/>
    <n v="30017"/>
    <x v="83"/>
    <n v="-4966"/>
    <n v="-4966"/>
    <n v="0"/>
    <n v="4966"/>
    <n v="0"/>
    <n v="4966"/>
    <n v="4966"/>
    <n v="0"/>
    <n v="0"/>
    <n v="0"/>
    <n v="0"/>
    <n v="0"/>
    <n v="0"/>
    <n v="107242"/>
  </r>
  <r>
    <n v="37"/>
    <x v="3"/>
    <s v="00/04/08"/>
    <s v="1400/04/08"/>
    <x v="74"/>
    <n v="10069"/>
    <x v="68"/>
    <n v="971"/>
    <n v="971"/>
    <n v="971"/>
    <n v="0"/>
    <n v="0"/>
    <n v="0"/>
    <n v="0"/>
    <n v="0"/>
    <n v="0"/>
    <n v="0"/>
    <n v="0"/>
    <n v="0"/>
    <n v="0"/>
    <n v="107242"/>
  </r>
  <r>
    <n v="38"/>
    <x v="3"/>
    <s v="00/04/08"/>
    <s v="1400/04/08"/>
    <x v="74"/>
    <n v="30127"/>
    <x v="99"/>
    <n v="-15354"/>
    <n v="-15354"/>
    <n v="0"/>
    <n v="15354"/>
    <n v="0"/>
    <n v="15354"/>
    <n v="15354"/>
    <n v="0"/>
    <n v="0"/>
    <n v="0"/>
    <n v="0"/>
    <n v="0"/>
    <n v="0"/>
    <n v="122596"/>
  </r>
  <r>
    <n v="38"/>
    <x v="3"/>
    <s v="00/04/08"/>
    <s v="1400/04/08"/>
    <x v="74"/>
    <n v="10070"/>
    <x v="53"/>
    <n v="2052"/>
    <n v="2052"/>
    <n v="2052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30009"/>
    <x v="66"/>
    <n v="-2153"/>
    <n v="-2153"/>
    <n v="0"/>
    <n v="2153"/>
    <n v="0"/>
    <n v="2153"/>
    <n v="2153"/>
    <n v="0"/>
    <n v="0"/>
    <n v="0"/>
    <n v="0"/>
    <n v="0"/>
    <n v="0"/>
    <n v="122596"/>
  </r>
  <r>
    <n v="38"/>
    <x v="3"/>
    <s v="00/04/08"/>
    <s v="1400/04/08"/>
    <x v="74"/>
    <n v="30009"/>
    <x v="66"/>
    <n v="2064"/>
    <n v="2064"/>
    <n v="2064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30009"/>
    <x v="66"/>
    <n v="-41"/>
    <n v="-41"/>
    <n v="0"/>
    <n v="41"/>
    <n v="0"/>
    <n v="41"/>
    <n v="41"/>
    <n v="0"/>
    <n v="0"/>
    <n v="0"/>
    <n v="0"/>
    <n v="0"/>
    <n v="0"/>
    <n v="122596"/>
  </r>
  <r>
    <n v="38"/>
    <x v="3"/>
    <s v="00/04/08"/>
    <s v="1400/04/08"/>
    <x v="74"/>
    <n v="30017"/>
    <x v="83"/>
    <n v="11407"/>
    <n v="11407"/>
    <n v="11407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10003"/>
    <x v="79"/>
    <n v="-3972"/>
    <n v="-3972"/>
    <n v="0"/>
    <n v="3972"/>
    <n v="0"/>
    <n v="3972"/>
    <n v="3972"/>
    <n v="0"/>
    <n v="0"/>
    <n v="0"/>
    <n v="0"/>
    <n v="0"/>
    <n v="0"/>
    <n v="122596"/>
  </r>
  <r>
    <n v="38"/>
    <x v="3"/>
    <s v="00/04/08"/>
    <s v="1400/04/08"/>
    <x v="74"/>
    <n v="10069"/>
    <x v="68"/>
    <n v="1027"/>
    <n v="1027"/>
    <n v="1027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10069"/>
    <x v="68"/>
    <n v="-1999"/>
    <n v="-1999"/>
    <n v="0"/>
    <n v="1999"/>
    <n v="0"/>
    <n v="1999"/>
    <n v="1999"/>
    <n v="0"/>
    <n v="0"/>
    <n v="0"/>
    <n v="0"/>
    <n v="0"/>
    <n v="0"/>
    <n v="122596"/>
  </r>
  <r>
    <n v="38"/>
    <x v="3"/>
    <s v="00/04/08"/>
    <s v="1400/04/08"/>
    <x v="74"/>
    <n v="30191"/>
    <x v="114"/>
    <n v="848"/>
    <n v="848"/>
    <n v="848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10070"/>
    <x v="53"/>
    <n v="-114"/>
    <n v="-114"/>
    <n v="0"/>
    <n v="114"/>
    <n v="0"/>
    <n v="114"/>
    <n v="114"/>
    <n v="0"/>
    <n v="0"/>
    <n v="0"/>
    <n v="0"/>
    <n v="0"/>
    <n v="0"/>
    <n v="122596"/>
  </r>
  <r>
    <n v="38"/>
    <x v="3"/>
    <s v="00/04/09"/>
    <s v="1400/04/09"/>
    <x v="75"/>
    <n v="30004"/>
    <x v="2"/>
    <n v="2972"/>
    <n v="2972"/>
    <n v="297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9"/>
    <x v="66"/>
    <n v="-2453"/>
    <n v="-2453"/>
    <n v="0"/>
    <n v="2453"/>
    <n v="0"/>
    <n v="2453"/>
    <n v="2453"/>
    <n v="0"/>
    <n v="0"/>
    <n v="0"/>
    <n v="0"/>
    <n v="0"/>
    <n v="0"/>
    <n v="122596"/>
  </r>
  <r>
    <n v="38"/>
    <x v="3"/>
    <s v="00/04/09"/>
    <s v="1400/04/09"/>
    <x v="75"/>
    <n v="30081"/>
    <x v="67"/>
    <n v="4578"/>
    <n v="4578"/>
    <n v="4578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4"/>
    <x v="2"/>
    <n v="-2146"/>
    <n v="-2146"/>
    <n v="0"/>
    <n v="2146"/>
    <n v="0"/>
    <n v="2146"/>
    <n v="2146"/>
    <n v="0"/>
    <n v="0"/>
    <n v="0"/>
    <n v="0"/>
    <n v="0"/>
    <n v="0"/>
    <n v="122596"/>
  </r>
  <r>
    <n v="38"/>
    <x v="3"/>
    <s v="00/04/09"/>
    <s v="1400/04/09"/>
    <x v="75"/>
    <n v="10048"/>
    <x v="51"/>
    <n v="592"/>
    <n v="592"/>
    <n v="59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66"/>
    <x v="77"/>
    <n v="-2621"/>
    <n v="-2621"/>
    <n v="0"/>
    <n v="2621"/>
    <n v="0"/>
    <n v="2621"/>
    <n v="2621"/>
    <n v="0"/>
    <n v="0"/>
    <n v="0"/>
    <n v="0"/>
    <n v="0"/>
    <n v="0"/>
    <n v="122596"/>
  </r>
  <r>
    <n v="38"/>
    <x v="3"/>
    <s v="00/04/09"/>
    <s v="1400/04/09"/>
    <x v="75"/>
    <n v="30004"/>
    <x v="2"/>
    <n v="2044"/>
    <n v="2044"/>
    <n v="2044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20"/>
    <x v="40"/>
    <n v="-1010"/>
    <n v="-1010"/>
    <n v="0"/>
    <n v="1010"/>
    <n v="0"/>
    <n v="1010"/>
    <n v="1010"/>
    <n v="0"/>
    <n v="0"/>
    <n v="0"/>
    <n v="0"/>
    <n v="0"/>
    <n v="0"/>
    <n v="122596"/>
  </r>
  <r>
    <n v="38"/>
    <x v="3"/>
    <s v="00/04/09"/>
    <s v="1400/04/09"/>
    <x v="75"/>
    <n v="10003"/>
    <x v="79"/>
    <n v="973"/>
    <n v="973"/>
    <n v="973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9"/>
    <x v="66"/>
    <n v="-2104"/>
    <n v="-2104"/>
    <n v="0"/>
    <n v="2104"/>
    <n v="0"/>
    <n v="2104"/>
    <n v="2104"/>
    <n v="0"/>
    <n v="0"/>
    <n v="0"/>
    <n v="0"/>
    <n v="0"/>
    <n v="0"/>
    <n v="122596"/>
  </r>
  <r>
    <n v="38"/>
    <x v="3"/>
    <s v="00/04/09"/>
    <s v="1400/04/09"/>
    <x v="75"/>
    <n v="10070"/>
    <x v="53"/>
    <n v="1429"/>
    <n v="1429"/>
    <n v="1429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48"/>
    <x v="51"/>
    <n v="-1350"/>
    <n v="-1350"/>
    <n v="0"/>
    <n v="1350"/>
    <n v="0"/>
    <n v="1350"/>
    <n v="1350"/>
    <n v="0"/>
    <n v="0"/>
    <n v="0"/>
    <n v="0"/>
    <n v="0"/>
    <n v="0"/>
    <n v="122596"/>
  </r>
  <r>
    <n v="38"/>
    <x v="3"/>
    <s v="00/04/09"/>
    <s v="1400/04/09"/>
    <x v="75"/>
    <n v="30055"/>
    <x v="98"/>
    <n v="1010"/>
    <n v="1010"/>
    <n v="1010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03"/>
    <x v="79"/>
    <n v="-2096"/>
    <n v="-2096"/>
    <n v="0"/>
    <n v="2096"/>
    <n v="0"/>
    <n v="2096"/>
    <n v="2096"/>
    <n v="0"/>
    <n v="0"/>
    <n v="0"/>
    <n v="0"/>
    <n v="0"/>
    <n v="0"/>
    <n v="122596"/>
  </r>
  <r>
    <n v="38"/>
    <x v="3"/>
    <s v="00/04/09"/>
    <s v="1400/04/09"/>
    <x v="75"/>
    <n v="30003"/>
    <x v="65"/>
    <n v="1063"/>
    <n v="1063"/>
    <n v="1063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131"/>
    <x v="112"/>
    <n v="-173"/>
    <n v="-173"/>
    <n v="0"/>
    <n v="173"/>
    <n v="0"/>
    <n v="173"/>
    <n v="173"/>
    <n v="0"/>
    <n v="0"/>
    <n v="0"/>
    <n v="0"/>
    <n v="0"/>
    <n v="0"/>
    <n v="122596"/>
  </r>
  <r>
    <n v="38"/>
    <x v="3"/>
    <s v="00/04/09"/>
    <s v="1400/04/09"/>
    <x v="75"/>
    <n v="30191"/>
    <x v="114"/>
    <n v="60"/>
    <n v="60"/>
    <n v="60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3"/>
    <x v="65"/>
    <n v="-982"/>
    <n v="-982"/>
    <n v="0"/>
    <n v="982"/>
    <n v="0"/>
    <n v="982"/>
    <n v="982"/>
    <n v="0"/>
    <n v="0"/>
    <n v="0"/>
    <n v="0"/>
    <n v="0"/>
    <n v="0"/>
    <n v="122596"/>
  </r>
  <r>
    <n v="38"/>
    <x v="3"/>
    <s v="00/04/09"/>
    <s v="1400/04/09"/>
    <x v="75"/>
    <n v="10027"/>
    <x v="72"/>
    <n v="2915"/>
    <n v="2915"/>
    <n v="2915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1"/>
    <x v="30"/>
    <n v="-217"/>
    <n v="-217"/>
    <n v="0"/>
    <n v="217"/>
    <n v="0"/>
    <n v="217"/>
    <n v="217"/>
    <n v="0"/>
    <n v="0"/>
    <n v="0"/>
    <n v="0"/>
    <n v="0"/>
    <n v="0"/>
    <n v="122596"/>
  </r>
  <r>
    <n v="38"/>
    <x v="3"/>
    <s v="00/04/09"/>
    <s v="1400/04/09"/>
    <x v="75"/>
    <n v="10027"/>
    <x v="72"/>
    <n v="2779"/>
    <n v="2779"/>
    <n v="2779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1"/>
    <x v="30"/>
    <n v="302"/>
    <n v="302"/>
    <n v="30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9"/>
    <x v="66"/>
    <n v="1962"/>
    <n v="1962"/>
    <n v="196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20"/>
    <x v="40"/>
    <n v="1174"/>
    <n v="1174"/>
    <n v="1174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191"/>
    <x v="114"/>
    <n v="106"/>
    <n v="106"/>
    <n v="106"/>
    <n v="0"/>
    <n v="0"/>
    <n v="0"/>
    <n v="0"/>
    <n v="0"/>
    <n v="0"/>
    <n v="0"/>
    <n v="0"/>
    <n v="0"/>
    <n v="0"/>
    <n v="122596"/>
  </r>
  <r>
    <n v="38"/>
    <x v="3"/>
    <s v="00/04/10"/>
    <s v="1400/04/10"/>
    <x v="76"/>
    <n v="10027"/>
    <x v="72"/>
    <n v="-20000"/>
    <n v="-20000"/>
    <n v="0"/>
    <n v="20000"/>
    <n v="0"/>
    <n v="20000"/>
    <n v="20000"/>
    <n v="0"/>
    <n v="0"/>
    <n v="0"/>
    <n v="0"/>
    <n v="0"/>
    <n v="0"/>
    <n v="122596"/>
  </r>
  <r>
    <n v="38"/>
    <x v="3"/>
    <s v="00/04/10"/>
    <s v="1400/04/10"/>
    <x v="76"/>
    <n v="30064"/>
    <x v="43"/>
    <n v="438"/>
    <n v="438"/>
    <n v="438"/>
    <n v="0"/>
    <n v="0"/>
    <n v="0"/>
    <n v="0"/>
    <n v="0"/>
    <n v="0"/>
    <n v="0"/>
    <n v="0"/>
    <n v="0"/>
    <n v="0"/>
    <n v="122596"/>
  </r>
  <r>
    <n v="38"/>
    <x v="3"/>
    <s v="00/04/10"/>
    <s v="1400/04/10"/>
    <x v="76"/>
    <n v="10003"/>
    <x v="79"/>
    <n v="-2029"/>
    <n v="-2029"/>
    <n v="0"/>
    <n v="2029"/>
    <n v="0"/>
    <n v="2029"/>
    <n v="2029"/>
    <n v="0"/>
    <n v="0"/>
    <n v="0"/>
    <n v="0"/>
    <n v="0"/>
    <n v="0"/>
    <n v="122596"/>
  </r>
  <r>
    <n v="38"/>
    <x v="3"/>
    <s v="00/04/10"/>
    <s v="1400/04/10"/>
    <x v="76"/>
    <n v="10003"/>
    <x v="79"/>
    <n v="20000"/>
    <n v="20000"/>
    <n v="20000"/>
    <n v="0"/>
    <n v="0"/>
    <n v="0"/>
    <n v="0"/>
    <n v="0"/>
    <n v="0"/>
    <n v="0"/>
    <n v="0"/>
    <n v="0"/>
    <n v="0"/>
    <n v="122596"/>
  </r>
  <r>
    <n v="38"/>
    <x v="3"/>
    <s v="00/04/10"/>
    <s v="1400/04/10"/>
    <x v="76"/>
    <n v="10048"/>
    <x v="51"/>
    <n v="532"/>
    <n v="532"/>
    <n v="532"/>
    <n v="0"/>
    <n v="0"/>
    <n v="0"/>
    <n v="0"/>
    <n v="0"/>
    <n v="0"/>
    <n v="0"/>
    <n v="0"/>
    <n v="0"/>
    <n v="0"/>
    <n v="122596"/>
  </r>
  <r>
    <n v="38"/>
    <x v="3"/>
    <s v="00/04/12"/>
    <s v="1400/04/12"/>
    <x v="77"/>
    <n v="30004"/>
    <x v="2"/>
    <n v="-4110"/>
    <n v="-4110"/>
    <n v="0"/>
    <n v="4110"/>
    <n v="0"/>
    <n v="4110"/>
    <n v="4110"/>
    <n v="0"/>
    <n v="0"/>
    <n v="0"/>
    <n v="0"/>
    <n v="0"/>
    <n v="0"/>
    <n v="122596"/>
  </r>
  <r>
    <n v="38"/>
    <x v="3"/>
    <s v="00/04/12"/>
    <s v="1400/04/12"/>
    <x v="77"/>
    <n v="30004"/>
    <x v="2"/>
    <n v="3242"/>
    <n v="3242"/>
    <n v="3242"/>
    <n v="0"/>
    <n v="0"/>
    <n v="0"/>
    <n v="0"/>
    <n v="0"/>
    <n v="0"/>
    <n v="0"/>
    <n v="0"/>
    <n v="0"/>
    <n v="0"/>
    <n v="122596"/>
  </r>
  <r>
    <n v="38"/>
    <x v="3"/>
    <s v="00/04/12"/>
    <s v="1400/04/12"/>
    <x v="77"/>
    <n v="30009"/>
    <x v="66"/>
    <n v="-1931"/>
    <n v="-1931"/>
    <n v="0"/>
    <n v="1931"/>
    <n v="0"/>
    <n v="1931"/>
    <n v="1931"/>
    <n v="0"/>
    <n v="0"/>
    <n v="0"/>
    <n v="0"/>
    <n v="0"/>
    <n v="0"/>
    <n v="122596"/>
  </r>
  <r>
    <n v="38"/>
    <x v="3"/>
    <s v="00/04/12"/>
    <s v="1400/04/12"/>
    <x v="77"/>
    <n v="10026"/>
    <x v="81"/>
    <n v="1298"/>
    <n v="1298"/>
    <n v="1298"/>
    <n v="0"/>
    <n v="0"/>
    <n v="0"/>
    <n v="0"/>
    <n v="0"/>
    <n v="0"/>
    <n v="0"/>
    <n v="0"/>
    <n v="0"/>
    <n v="0"/>
    <n v="122596"/>
  </r>
  <r>
    <n v="38"/>
    <x v="3"/>
    <s v="00/04/12"/>
    <s v="1400/04/12"/>
    <x v="77"/>
    <n v="30191"/>
    <x v="114"/>
    <n v="-1008"/>
    <n v="-1008"/>
    <n v="0"/>
    <n v="1008"/>
    <n v="0"/>
    <n v="1008"/>
    <n v="1008"/>
    <n v="0"/>
    <n v="0"/>
    <n v="0"/>
    <n v="0"/>
    <n v="0"/>
    <n v="0"/>
    <n v="122596"/>
  </r>
  <r>
    <n v="39"/>
    <x v="3"/>
    <s v="00/04/12"/>
    <s v="1400/04/12"/>
    <x v="77"/>
    <n v="30127"/>
    <x v="99"/>
    <n v="65000"/>
    <n v="65000"/>
    <n v="65000"/>
    <n v="0"/>
    <n v="0"/>
    <n v="0"/>
    <n v="0"/>
    <n v="0"/>
    <n v="0"/>
    <n v="0"/>
    <n v="0"/>
    <n v="0"/>
    <n v="0"/>
    <n v="57596"/>
  </r>
  <r>
    <n v="39"/>
    <x v="3"/>
    <s v="00/04/12"/>
    <s v="1400/04/12"/>
    <x v="77"/>
    <n v="10104"/>
    <x v="76"/>
    <n v="-830"/>
    <n v="-830"/>
    <n v="0"/>
    <n v="830"/>
    <n v="0"/>
    <n v="830"/>
    <n v="830"/>
    <n v="0"/>
    <n v="0"/>
    <n v="0"/>
    <n v="0"/>
    <n v="0"/>
    <n v="0"/>
    <n v="57596"/>
  </r>
  <r>
    <n v="39"/>
    <x v="3"/>
    <s v="00/04/12"/>
    <s v="1400/04/12"/>
    <x v="77"/>
    <n v="10020"/>
    <x v="40"/>
    <n v="-419"/>
    <n v="-419"/>
    <n v="0"/>
    <n v="419"/>
    <n v="0"/>
    <n v="419"/>
    <n v="419"/>
    <n v="0"/>
    <n v="0"/>
    <n v="0"/>
    <n v="0"/>
    <n v="0"/>
    <n v="0"/>
    <n v="57596"/>
  </r>
  <r>
    <n v="39"/>
    <x v="3"/>
    <s v="00/04/12"/>
    <s v="1400/04/12"/>
    <x v="77"/>
    <n v="10003"/>
    <x v="79"/>
    <n v="-4037"/>
    <n v="-4037"/>
    <n v="0"/>
    <n v="4037"/>
    <n v="0"/>
    <n v="4037"/>
    <n v="4037"/>
    <n v="0"/>
    <n v="0"/>
    <n v="0"/>
    <n v="0"/>
    <n v="0"/>
    <n v="0"/>
    <n v="57596"/>
  </r>
  <r>
    <n v="39"/>
    <x v="3"/>
    <s v="00/04/12"/>
    <s v="1400/04/12"/>
    <x v="77"/>
    <n v="10055"/>
    <x v="80"/>
    <n v="-4967"/>
    <n v="-4967"/>
    <n v="0"/>
    <n v="4967"/>
    <n v="0"/>
    <n v="4967"/>
    <n v="4967"/>
    <n v="0"/>
    <n v="0"/>
    <n v="0"/>
    <n v="0"/>
    <n v="0"/>
    <n v="0"/>
    <n v="57596"/>
  </r>
  <r>
    <n v="39"/>
    <x v="3"/>
    <s v="00/04/12"/>
    <s v="1400/04/12"/>
    <x v="77"/>
    <n v="10026"/>
    <x v="81"/>
    <n v="-466"/>
    <n v="-466"/>
    <n v="0"/>
    <n v="466"/>
    <n v="0"/>
    <n v="466"/>
    <n v="466"/>
    <n v="0"/>
    <n v="0"/>
    <n v="0"/>
    <n v="0"/>
    <n v="0"/>
    <n v="0"/>
    <n v="57596"/>
  </r>
  <r>
    <n v="39"/>
    <x v="3"/>
    <s v="00/04/13"/>
    <s v="1400/04/13"/>
    <x v="78"/>
    <n v="30146"/>
    <x v="64"/>
    <n v="1080"/>
    <n v="1080"/>
    <n v="1080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30009"/>
    <x v="66"/>
    <n v="-1996"/>
    <n v="-1996"/>
    <n v="0"/>
    <n v="1996"/>
    <n v="0"/>
    <n v="1996"/>
    <n v="1996"/>
    <n v="0"/>
    <n v="0"/>
    <n v="0"/>
    <n v="0"/>
    <n v="0"/>
    <n v="0"/>
    <n v="57596"/>
  </r>
  <r>
    <n v="39"/>
    <x v="3"/>
    <s v="00/04/13"/>
    <s v="1400/04/13"/>
    <x v="78"/>
    <n v="30146"/>
    <x v="64"/>
    <n v="1670"/>
    <n v="1670"/>
    <n v="1670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30146"/>
    <x v="64"/>
    <n v="-3091"/>
    <n v="-3091"/>
    <n v="0"/>
    <n v="3091"/>
    <n v="0"/>
    <n v="3091"/>
    <n v="3091"/>
    <n v="0"/>
    <n v="0"/>
    <n v="0"/>
    <n v="0"/>
    <n v="0"/>
    <n v="0"/>
    <n v="57596"/>
  </r>
  <r>
    <n v="39"/>
    <x v="3"/>
    <s v="00/04/13"/>
    <s v="1400/04/13"/>
    <x v="78"/>
    <n v="30006"/>
    <x v="13"/>
    <n v="1527"/>
    <n v="1527"/>
    <n v="1527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30191"/>
    <x v="114"/>
    <n v="-1500"/>
    <n v="-1500"/>
    <n v="0"/>
    <n v="1500"/>
    <n v="0"/>
    <n v="1500"/>
    <n v="1500"/>
    <n v="0"/>
    <n v="0"/>
    <n v="0"/>
    <n v="0"/>
    <n v="0"/>
    <n v="0"/>
    <n v="57596"/>
  </r>
  <r>
    <n v="39"/>
    <x v="3"/>
    <s v="00/04/13"/>
    <s v="1400/04/13"/>
    <x v="78"/>
    <n v="30006"/>
    <x v="13"/>
    <n v="942"/>
    <n v="942"/>
    <n v="942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10003"/>
    <x v="79"/>
    <n v="-2028"/>
    <n v="-2028"/>
    <n v="0"/>
    <n v="2028"/>
    <n v="0"/>
    <n v="2028"/>
    <n v="2028"/>
    <n v="0"/>
    <n v="0"/>
    <n v="0"/>
    <n v="0"/>
    <n v="0"/>
    <n v="0"/>
    <n v="57596"/>
  </r>
  <r>
    <n v="39"/>
    <x v="3"/>
    <s v="00/04/13"/>
    <s v="1400/04/13"/>
    <x v="78"/>
    <n v="10126"/>
    <x v="103"/>
    <n v="376"/>
    <n v="376"/>
    <n v="376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10070"/>
    <x v="53"/>
    <n v="-226"/>
    <n v="-226"/>
    <n v="0"/>
    <n v="226"/>
    <n v="0"/>
    <n v="226"/>
    <n v="226"/>
    <n v="0"/>
    <n v="0"/>
    <n v="0"/>
    <n v="0"/>
    <n v="0"/>
    <n v="0"/>
    <n v="57596"/>
  </r>
  <r>
    <n v="39"/>
    <x v="3"/>
    <s v="00/04/13"/>
    <s v="1400/04/13"/>
    <x v="78"/>
    <n v="30006"/>
    <x v="13"/>
    <n v="-4927"/>
    <n v="-4927"/>
    <n v="0"/>
    <n v="4927"/>
    <n v="0"/>
    <n v="4927"/>
    <n v="4927"/>
    <n v="0"/>
    <n v="0"/>
    <n v="0"/>
    <n v="0"/>
    <n v="0"/>
    <n v="0"/>
    <n v="57596"/>
  </r>
  <r>
    <n v="39"/>
    <x v="3"/>
    <s v="00/04/14"/>
    <s v="1400/04/14"/>
    <x v="79"/>
    <n v="30022"/>
    <x v="75"/>
    <n v="4842"/>
    <n v="4842"/>
    <n v="4842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30004"/>
    <x v="2"/>
    <n v="-4826"/>
    <n v="-4826"/>
    <n v="0"/>
    <n v="4826"/>
    <n v="0"/>
    <n v="4826"/>
    <n v="4826"/>
    <n v="0"/>
    <n v="0"/>
    <n v="0"/>
    <n v="0"/>
    <n v="0"/>
    <n v="0"/>
    <n v="57596"/>
  </r>
  <r>
    <n v="39"/>
    <x v="3"/>
    <s v="00/04/14"/>
    <s v="1400/04/14"/>
    <x v="79"/>
    <n v="10027"/>
    <x v="72"/>
    <n v="2960"/>
    <n v="2960"/>
    <n v="2960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10070"/>
    <x v="53"/>
    <n v="-100"/>
    <n v="-100"/>
    <n v="0"/>
    <n v="100"/>
    <n v="0"/>
    <n v="100"/>
    <n v="100"/>
    <n v="0"/>
    <n v="0"/>
    <n v="0"/>
    <n v="0"/>
    <n v="0"/>
    <n v="0"/>
    <n v="57596"/>
  </r>
  <r>
    <n v="39"/>
    <x v="3"/>
    <s v="00/04/14"/>
    <s v="1400/04/14"/>
    <x v="79"/>
    <n v="30191"/>
    <x v="114"/>
    <n v="1672"/>
    <n v="1672"/>
    <n v="1672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10003"/>
    <x v="79"/>
    <n v="-2028"/>
    <n v="-2028"/>
    <n v="0"/>
    <n v="2028"/>
    <n v="0"/>
    <n v="2028"/>
    <n v="2028"/>
    <n v="0"/>
    <n v="0"/>
    <n v="0"/>
    <n v="0"/>
    <n v="0"/>
    <n v="0"/>
    <n v="57596"/>
  </r>
  <r>
    <n v="39"/>
    <x v="3"/>
    <s v="00/04/14"/>
    <s v="1400/04/14"/>
    <x v="79"/>
    <n v="30009"/>
    <x v="66"/>
    <n v="1883"/>
    <n v="1883"/>
    <n v="1883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30004"/>
    <x v="2"/>
    <n v="2001"/>
    <n v="2001"/>
    <n v="2001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30004"/>
    <x v="2"/>
    <n v="694"/>
    <n v="694"/>
    <n v="694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30014"/>
    <x v="41"/>
    <n v="-1014"/>
    <n v="-1014"/>
    <n v="0"/>
    <n v="1014"/>
    <n v="0"/>
    <n v="1014"/>
    <n v="1014"/>
    <n v="0"/>
    <n v="0"/>
    <n v="0"/>
    <n v="0"/>
    <n v="0"/>
    <n v="0"/>
    <n v="57596"/>
  </r>
  <r>
    <n v="39"/>
    <x v="3"/>
    <s v="00/04/15"/>
    <s v="1400/04/15"/>
    <x v="80"/>
    <n v="50016"/>
    <x v="31"/>
    <n v="20000"/>
    <n v="20000"/>
    <n v="20000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30191"/>
    <x v="114"/>
    <n v="-1521"/>
    <n v="-1521"/>
    <n v="0"/>
    <n v="1521"/>
    <n v="0"/>
    <n v="1521"/>
    <n v="1521"/>
    <n v="0"/>
    <n v="0"/>
    <n v="0"/>
    <n v="0"/>
    <n v="0"/>
    <n v="0"/>
    <n v="57596"/>
  </r>
  <r>
    <n v="39"/>
    <x v="3"/>
    <s v="00/04/15"/>
    <s v="1400/04/15"/>
    <x v="80"/>
    <n v="10057"/>
    <x v="33"/>
    <n v="1000"/>
    <n v="1000"/>
    <n v="1000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30009"/>
    <x v="66"/>
    <n v="-2015"/>
    <n v="-2015"/>
    <n v="0"/>
    <n v="2015"/>
    <n v="0"/>
    <n v="2015"/>
    <n v="2015"/>
    <n v="0"/>
    <n v="0"/>
    <n v="0"/>
    <n v="0"/>
    <n v="0"/>
    <n v="0"/>
    <n v="57596"/>
  </r>
  <r>
    <n v="39"/>
    <x v="3"/>
    <s v="00/04/15"/>
    <s v="1400/04/15"/>
    <x v="80"/>
    <n v="30077"/>
    <x v="92"/>
    <n v="500"/>
    <n v="500"/>
    <n v="500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10003"/>
    <x v="79"/>
    <n v="-1868"/>
    <n v="-1868"/>
    <n v="0"/>
    <n v="1868"/>
    <n v="0"/>
    <n v="1868"/>
    <n v="1868"/>
    <n v="0"/>
    <n v="0"/>
    <n v="0"/>
    <n v="0"/>
    <n v="0"/>
    <n v="0"/>
    <n v="57596"/>
  </r>
  <r>
    <n v="39"/>
    <x v="3"/>
    <s v="00/04/15"/>
    <s v="1400/04/15"/>
    <x v="80"/>
    <n v="30099"/>
    <x v="11"/>
    <n v="3456"/>
    <n v="3456"/>
    <n v="3456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10055"/>
    <x v="80"/>
    <n v="-4277"/>
    <n v="-4277"/>
    <n v="0"/>
    <n v="4277"/>
    <n v="0"/>
    <n v="4277"/>
    <n v="4277"/>
    <n v="0"/>
    <n v="0"/>
    <n v="0"/>
    <n v="0"/>
    <n v="0"/>
    <n v="0"/>
    <n v="57596"/>
  </r>
  <r>
    <n v="39"/>
    <x v="3"/>
    <s v="00/04/15"/>
    <s v="1400/04/15"/>
    <x v="80"/>
    <n v="30099"/>
    <x v="11"/>
    <n v="1548"/>
    <n v="1548"/>
    <n v="1548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10003"/>
    <x v="79"/>
    <n v="10000"/>
    <n v="10000"/>
    <n v="10000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30066"/>
    <x v="77"/>
    <n v="-2794"/>
    <n v="-2794"/>
    <n v="0"/>
    <n v="2794"/>
    <n v="0"/>
    <n v="2794"/>
    <n v="2794"/>
    <n v="0"/>
    <n v="0"/>
    <n v="0"/>
    <n v="0"/>
    <n v="0"/>
    <n v="0"/>
    <n v="57596"/>
  </r>
  <r>
    <n v="39"/>
    <x v="3"/>
    <s v="00/04/16"/>
    <s v="1400/04/16"/>
    <x v="81"/>
    <n v="30009"/>
    <x v="66"/>
    <n v="1380"/>
    <n v="1380"/>
    <n v="1380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10127"/>
    <x v="104"/>
    <n v="-122"/>
    <n v="-122"/>
    <n v="0"/>
    <n v="122"/>
    <n v="0"/>
    <n v="122"/>
    <n v="122"/>
    <n v="0"/>
    <n v="0"/>
    <n v="0"/>
    <n v="0"/>
    <n v="0"/>
    <n v="0"/>
    <n v="57596"/>
  </r>
  <r>
    <n v="39"/>
    <x v="3"/>
    <s v="00/04/16"/>
    <s v="1400/04/16"/>
    <x v="81"/>
    <n v="30190"/>
    <x v="111"/>
    <n v="122"/>
    <n v="122"/>
    <n v="122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10009"/>
    <x v="24"/>
    <n v="-2094"/>
    <n v="-2094"/>
    <n v="0"/>
    <n v="2094"/>
    <n v="0"/>
    <n v="2094"/>
    <n v="2094"/>
    <n v="0"/>
    <n v="0"/>
    <n v="0"/>
    <n v="0"/>
    <n v="0"/>
    <n v="0"/>
    <n v="57596"/>
  </r>
  <r>
    <n v="39"/>
    <x v="3"/>
    <s v="00/04/16"/>
    <s v="1400/04/16"/>
    <x v="81"/>
    <n v="30187"/>
    <x v="115"/>
    <n v="416"/>
    <n v="416"/>
    <n v="416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30004"/>
    <x v="2"/>
    <n v="-4808"/>
    <n v="-4808"/>
    <n v="0"/>
    <n v="4808"/>
    <n v="0"/>
    <n v="4808"/>
    <n v="4808"/>
    <n v="0"/>
    <n v="0"/>
    <n v="0"/>
    <n v="0"/>
    <n v="0"/>
    <n v="0"/>
    <n v="57596"/>
  </r>
  <r>
    <n v="39"/>
    <x v="3"/>
    <s v="00/04/16"/>
    <s v="1400/04/16"/>
    <x v="81"/>
    <n v="30186"/>
    <x v="102"/>
    <n v="1913"/>
    <n v="1913"/>
    <n v="1913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30187"/>
    <x v="115"/>
    <n v="263"/>
    <n v="263"/>
    <n v="263"/>
    <n v="0"/>
    <n v="0"/>
    <n v="0"/>
    <n v="0"/>
    <n v="0"/>
    <n v="0"/>
    <n v="0"/>
    <n v="0"/>
    <n v="0"/>
    <n v="0"/>
    <n v="57596"/>
  </r>
  <r>
    <n v="39"/>
    <x v="3"/>
    <s v="00/04/17"/>
    <s v="1400/04/17"/>
    <x v="82"/>
    <n v="30022"/>
    <x v="75"/>
    <n v="-5382"/>
    <n v="-5382"/>
    <n v="0"/>
    <n v="5382"/>
    <n v="0"/>
    <n v="5382"/>
    <n v="5382"/>
    <n v="0"/>
    <n v="0"/>
    <n v="0"/>
    <n v="0"/>
    <n v="0"/>
    <n v="0"/>
    <n v="57596"/>
  </r>
  <r>
    <n v="39"/>
    <x v="3"/>
    <s v="00/04/17"/>
    <s v="1400/04/17"/>
    <x v="82"/>
    <n v="30003"/>
    <x v="65"/>
    <n v="1020"/>
    <n v="1020"/>
    <n v="1020"/>
    <n v="0"/>
    <n v="0"/>
    <n v="0"/>
    <n v="0"/>
    <n v="0"/>
    <n v="0"/>
    <n v="0"/>
    <n v="0"/>
    <n v="0"/>
    <n v="0"/>
    <n v="57596"/>
  </r>
  <r>
    <n v="39"/>
    <x v="3"/>
    <s v="00/04/17"/>
    <s v="1400/04/17"/>
    <x v="82"/>
    <n v="30003"/>
    <x v="65"/>
    <n v="-988"/>
    <n v="-988"/>
    <n v="0"/>
    <n v="988"/>
    <n v="0"/>
    <n v="988"/>
    <n v="988"/>
    <n v="0"/>
    <n v="0"/>
    <n v="0"/>
    <n v="0"/>
    <n v="0"/>
    <n v="0"/>
    <n v="57596"/>
  </r>
  <r>
    <n v="39"/>
    <x v="3"/>
    <s v="00/04/17"/>
    <s v="1400/04/17"/>
    <x v="82"/>
    <n v="30004"/>
    <x v="2"/>
    <n v="1716"/>
    <n v="1716"/>
    <n v="1716"/>
    <n v="0"/>
    <n v="0"/>
    <n v="0"/>
    <n v="0"/>
    <n v="0"/>
    <n v="0"/>
    <n v="0"/>
    <n v="0"/>
    <n v="0"/>
    <n v="0"/>
    <n v="57596"/>
  </r>
  <r>
    <n v="39"/>
    <x v="3"/>
    <s v="00/04/17"/>
    <s v="1400/04/17"/>
    <x v="82"/>
    <n v="10026"/>
    <x v="81"/>
    <n v="3018"/>
    <n v="3018"/>
    <n v="301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91"/>
    <x v="114"/>
    <n v="-980"/>
    <n v="-980"/>
    <n v="0"/>
    <n v="980"/>
    <n v="0"/>
    <n v="980"/>
    <n v="980"/>
    <n v="0"/>
    <n v="0"/>
    <n v="0"/>
    <n v="0"/>
    <n v="0"/>
    <n v="0"/>
    <n v="57596"/>
  </r>
  <r>
    <n v="39"/>
    <x v="3"/>
    <s v="00/04/19"/>
    <s v="1400/04/19"/>
    <x v="83"/>
    <n v="10057"/>
    <x v="33"/>
    <n v="558"/>
    <n v="558"/>
    <n v="55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-185"/>
    <n v="-185"/>
    <n v="0"/>
    <n v="185"/>
    <n v="0"/>
    <n v="185"/>
    <n v="185"/>
    <n v="0"/>
    <n v="0"/>
    <n v="0"/>
    <n v="0"/>
    <n v="0"/>
    <n v="0"/>
    <n v="57596"/>
  </r>
  <r>
    <n v="39"/>
    <x v="3"/>
    <s v="00/04/19"/>
    <s v="1400/04/19"/>
    <x v="83"/>
    <n v="10057"/>
    <x v="33"/>
    <n v="86"/>
    <n v="86"/>
    <n v="8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-2019"/>
    <n v="-2019"/>
    <n v="0"/>
    <n v="2019"/>
    <n v="0"/>
    <n v="2019"/>
    <n v="2019"/>
    <n v="0"/>
    <n v="0"/>
    <n v="0"/>
    <n v="0"/>
    <n v="0"/>
    <n v="0"/>
    <n v="57596"/>
  </r>
  <r>
    <n v="39"/>
    <x v="3"/>
    <s v="00/04/19"/>
    <s v="1400/04/19"/>
    <x v="83"/>
    <n v="10055"/>
    <x v="80"/>
    <n v="4886"/>
    <n v="4886"/>
    <n v="488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10003"/>
    <x v="79"/>
    <n v="-1000"/>
    <n v="-1000"/>
    <n v="0"/>
    <n v="1000"/>
    <n v="0"/>
    <n v="1000"/>
    <n v="1000"/>
    <n v="0"/>
    <n v="0"/>
    <n v="0"/>
    <n v="0"/>
    <n v="0"/>
    <n v="0"/>
    <n v="57596"/>
  </r>
  <r>
    <n v="39"/>
    <x v="3"/>
    <s v="00/04/19"/>
    <s v="1400/04/19"/>
    <x v="83"/>
    <n v="10057"/>
    <x v="33"/>
    <n v="186"/>
    <n v="186"/>
    <n v="18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10057"/>
    <x v="33"/>
    <n v="-1986"/>
    <n v="-1986"/>
    <n v="0"/>
    <n v="1986"/>
    <n v="0"/>
    <n v="1986"/>
    <n v="1986"/>
    <n v="0"/>
    <n v="0"/>
    <n v="0"/>
    <n v="0"/>
    <n v="0"/>
    <n v="0"/>
    <n v="57596"/>
  </r>
  <r>
    <n v="39"/>
    <x v="3"/>
    <s v="00/04/19"/>
    <s v="1400/04/19"/>
    <x v="83"/>
    <n v="10127"/>
    <x v="104"/>
    <n v="978"/>
    <n v="978"/>
    <n v="97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10127"/>
    <x v="104"/>
    <n v="116"/>
    <n v="116"/>
    <n v="11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288"/>
    <n v="288"/>
    <n v="28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1516"/>
    <n v="1516"/>
    <n v="1516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6"/>
    <x v="13"/>
    <n v="-4983"/>
    <n v="-4983"/>
    <n v="0"/>
    <n v="4983"/>
    <n v="0"/>
    <n v="4983"/>
    <n v="4983"/>
    <n v="0"/>
    <n v="0"/>
    <n v="0"/>
    <n v="0"/>
    <n v="0"/>
    <n v="0"/>
    <n v="57596"/>
  </r>
  <r>
    <n v="39"/>
    <x v="3"/>
    <s v="00/04/20"/>
    <s v="1400/04/20"/>
    <x v="84"/>
    <n v="10020"/>
    <x v="40"/>
    <n v="1581"/>
    <n v="1581"/>
    <n v="158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140"/>
    <x v="29"/>
    <n v="-30"/>
    <n v="-30"/>
    <n v="0"/>
    <n v="30"/>
    <n v="0"/>
    <n v="30"/>
    <n v="30"/>
    <n v="0"/>
    <n v="0"/>
    <n v="0"/>
    <n v="0"/>
    <n v="0"/>
    <n v="0"/>
    <n v="57596"/>
  </r>
  <r>
    <n v="39"/>
    <x v="3"/>
    <s v="00/04/20"/>
    <s v="1400/04/20"/>
    <x v="84"/>
    <n v="30186"/>
    <x v="102"/>
    <n v="1871"/>
    <n v="1871"/>
    <n v="187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140"/>
    <x v="29"/>
    <n v="-2096"/>
    <n v="-2096"/>
    <n v="0"/>
    <n v="2096"/>
    <n v="0"/>
    <n v="2096"/>
    <n v="2096"/>
    <n v="0"/>
    <n v="0"/>
    <n v="0"/>
    <n v="0"/>
    <n v="0"/>
    <n v="0"/>
    <n v="57596"/>
  </r>
  <r>
    <n v="39"/>
    <x v="3"/>
    <s v="00/04/20"/>
    <s v="1400/04/20"/>
    <x v="84"/>
    <n v="30191"/>
    <x v="114"/>
    <n v="59"/>
    <n v="59"/>
    <n v="59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10020"/>
    <x v="40"/>
    <n v="-422"/>
    <n v="-422"/>
    <n v="0"/>
    <n v="422"/>
    <n v="0"/>
    <n v="422"/>
    <n v="422"/>
    <n v="0"/>
    <n v="0"/>
    <n v="0"/>
    <n v="0"/>
    <n v="0"/>
    <n v="0"/>
    <n v="57596"/>
  </r>
  <r>
    <n v="39"/>
    <x v="3"/>
    <s v="00/04/20"/>
    <s v="1400/04/20"/>
    <x v="84"/>
    <n v="10055"/>
    <x v="80"/>
    <n v="4301"/>
    <n v="4301"/>
    <n v="430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10131"/>
    <x v="112"/>
    <n v="-196"/>
    <n v="-196"/>
    <n v="0"/>
    <n v="196"/>
    <n v="0"/>
    <n v="196"/>
    <n v="196"/>
    <n v="0"/>
    <n v="0"/>
    <n v="0"/>
    <n v="0"/>
    <n v="0"/>
    <n v="0"/>
    <n v="57596"/>
  </r>
  <r>
    <n v="39"/>
    <x v="3"/>
    <s v="00/04/20"/>
    <s v="1400/04/20"/>
    <x v="84"/>
    <n v="30191"/>
    <x v="114"/>
    <n v="139"/>
    <n v="139"/>
    <n v="139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4"/>
    <x v="2"/>
    <n v="-3875"/>
    <n v="-3875"/>
    <n v="0"/>
    <n v="3875"/>
    <n v="0"/>
    <n v="3875"/>
    <n v="3875"/>
    <n v="0"/>
    <n v="0"/>
    <n v="0"/>
    <n v="0"/>
    <n v="0"/>
    <n v="0"/>
    <n v="57596"/>
  </r>
  <r>
    <n v="39"/>
    <x v="3"/>
    <s v="00/04/20"/>
    <s v="1400/04/20"/>
    <x v="84"/>
    <n v="10088"/>
    <x v="116"/>
    <n v="236"/>
    <n v="236"/>
    <n v="236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10131"/>
    <x v="112"/>
    <n v="1036"/>
    <n v="1036"/>
    <n v="1036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9"/>
    <x v="66"/>
    <n v="2221"/>
    <n v="2221"/>
    <n v="222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4"/>
    <x v="2"/>
    <n v="890"/>
    <n v="890"/>
    <n v="890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4"/>
    <x v="2"/>
    <n v="1886"/>
    <n v="1886"/>
    <n v="1886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30077"/>
    <x v="92"/>
    <n v="-528"/>
    <n v="-528"/>
    <n v="0"/>
    <n v="528"/>
    <n v="0"/>
    <n v="528"/>
    <n v="528"/>
    <n v="0"/>
    <n v="0"/>
    <n v="0"/>
    <n v="0"/>
    <n v="0"/>
    <n v="0"/>
    <n v="57596"/>
  </r>
  <r>
    <n v="39"/>
    <x v="3"/>
    <s v="00/04/21"/>
    <s v="1400/04/21"/>
    <x v="85"/>
    <n v="30081"/>
    <x v="67"/>
    <n v="1426"/>
    <n v="1426"/>
    <n v="1426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30184"/>
    <x v="108"/>
    <n v="-4031"/>
    <n v="-4031"/>
    <n v="0"/>
    <n v="4031"/>
    <n v="0"/>
    <n v="4031"/>
    <n v="4031"/>
    <n v="0"/>
    <n v="0"/>
    <n v="0"/>
    <n v="0"/>
    <n v="0"/>
    <n v="0"/>
    <n v="57596"/>
  </r>
  <r>
    <n v="39"/>
    <x v="3"/>
    <s v="00/04/21"/>
    <s v="1400/04/21"/>
    <x v="85"/>
    <n v="30155"/>
    <x v="107"/>
    <n v="114"/>
    <n v="114"/>
    <n v="114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10026"/>
    <x v="81"/>
    <n v="-1961"/>
    <n v="-1961"/>
    <n v="0"/>
    <n v="1961"/>
    <n v="0"/>
    <n v="1961"/>
    <n v="1961"/>
    <n v="0"/>
    <n v="0"/>
    <n v="0"/>
    <n v="0"/>
    <n v="0"/>
    <n v="0"/>
    <n v="57596"/>
  </r>
  <r>
    <n v="39"/>
    <x v="3"/>
    <s v="00/04/21"/>
    <s v="1400/04/21"/>
    <x v="85"/>
    <n v="30155"/>
    <x v="107"/>
    <n v="276"/>
    <n v="276"/>
    <n v="276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30055"/>
    <x v="98"/>
    <n v="-398"/>
    <n v="-398"/>
    <n v="0"/>
    <n v="398"/>
    <n v="0"/>
    <n v="398"/>
    <n v="398"/>
    <n v="0"/>
    <n v="0"/>
    <n v="0"/>
    <n v="0"/>
    <n v="0"/>
    <n v="0"/>
    <n v="57596"/>
  </r>
  <r>
    <n v="39"/>
    <x v="3"/>
    <s v="00/04/21"/>
    <s v="1400/04/21"/>
    <x v="85"/>
    <n v="30009"/>
    <x v="66"/>
    <n v="1210"/>
    <n v="1210"/>
    <n v="1210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10026"/>
    <x v="81"/>
    <n v="3000"/>
    <n v="3000"/>
    <n v="3000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10026"/>
    <x v="81"/>
    <n v="7000"/>
    <n v="7000"/>
    <n v="7000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10127"/>
    <x v="104"/>
    <n v="-1151"/>
    <n v="-1151"/>
    <n v="0"/>
    <n v="1151"/>
    <n v="0"/>
    <n v="1151"/>
    <n v="1151"/>
    <n v="0"/>
    <n v="0"/>
    <n v="0"/>
    <n v="0"/>
    <n v="0"/>
    <n v="0"/>
    <n v="57596"/>
  </r>
  <r>
    <n v="39"/>
    <x v="3"/>
    <s v="00/04/22"/>
    <s v="1400/04/22"/>
    <x v="86"/>
    <n v="30058"/>
    <x v="63"/>
    <n v="4625"/>
    <n v="4625"/>
    <n v="4625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30004"/>
    <x v="2"/>
    <n v="-2548"/>
    <n v="-2548"/>
    <n v="0"/>
    <n v="2548"/>
    <n v="0"/>
    <n v="2548"/>
    <n v="2548"/>
    <n v="0"/>
    <n v="0"/>
    <n v="0"/>
    <n v="0"/>
    <n v="0"/>
    <n v="0"/>
    <n v="57596"/>
  </r>
  <r>
    <n v="39"/>
    <x v="3"/>
    <s v="00/04/22"/>
    <s v="1400/04/22"/>
    <x v="86"/>
    <n v="30081"/>
    <x v="67"/>
    <n v="1576"/>
    <n v="1576"/>
    <n v="1576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30009"/>
    <x v="66"/>
    <n v="-435"/>
    <n v="-435"/>
    <n v="0"/>
    <n v="435"/>
    <n v="0"/>
    <n v="435"/>
    <n v="435"/>
    <n v="0"/>
    <n v="0"/>
    <n v="0"/>
    <n v="0"/>
    <n v="0"/>
    <n v="0"/>
    <n v="57596"/>
  </r>
  <r>
    <n v="39"/>
    <x v="3"/>
    <s v="00/04/22"/>
    <s v="1400/04/22"/>
    <x v="86"/>
    <n v="30184"/>
    <x v="108"/>
    <n v="3356"/>
    <n v="3356"/>
    <n v="3356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10003"/>
    <x v="79"/>
    <n v="-2722"/>
    <n v="-2722"/>
    <n v="0"/>
    <n v="2722"/>
    <n v="0"/>
    <n v="2722"/>
    <n v="2722"/>
    <n v="0"/>
    <n v="0"/>
    <n v="0"/>
    <n v="0"/>
    <n v="0"/>
    <n v="0"/>
    <n v="57596"/>
  </r>
  <r>
    <n v="39"/>
    <x v="3"/>
    <s v="00/04/22"/>
    <s v="1400/04/22"/>
    <x v="86"/>
    <n v="30184"/>
    <x v="108"/>
    <n v="62"/>
    <n v="62"/>
    <n v="62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10026"/>
    <x v="81"/>
    <n v="-2094"/>
    <n v="-2094"/>
    <n v="0"/>
    <n v="2094"/>
    <n v="0"/>
    <n v="2094"/>
    <n v="2094"/>
    <n v="0"/>
    <n v="0"/>
    <n v="0"/>
    <n v="0"/>
    <n v="0"/>
    <n v="0"/>
    <n v="57596"/>
  </r>
  <r>
    <n v="39"/>
    <x v="3"/>
    <s v="00/04/22"/>
    <s v="1400/04/22"/>
    <x v="86"/>
    <n v="10070"/>
    <x v="53"/>
    <n v="-4"/>
    <n v="-4"/>
    <n v="0"/>
    <n v="4"/>
    <n v="0"/>
    <n v="4"/>
    <n v="4"/>
    <n v="0"/>
    <n v="0"/>
    <n v="0"/>
    <n v="0"/>
    <n v="0"/>
    <n v="0"/>
    <n v="57596"/>
  </r>
  <r>
    <n v="39"/>
    <x v="3"/>
    <s v="00/04/23"/>
    <s v="1400/04/23"/>
    <x v="87"/>
    <n v="10026"/>
    <x v="81"/>
    <n v="3386"/>
    <n v="3386"/>
    <n v="3386"/>
    <n v="0"/>
    <n v="0"/>
    <n v="0"/>
    <n v="0"/>
    <n v="0"/>
    <n v="0"/>
    <n v="0"/>
    <n v="0"/>
    <n v="0"/>
    <n v="0"/>
    <n v="57596"/>
  </r>
  <r>
    <n v="39"/>
    <x v="3"/>
    <s v="00/04/23"/>
    <s v="1400/04/23"/>
    <x v="87"/>
    <n v="10104"/>
    <x v="76"/>
    <n v="-399"/>
    <n v="-399"/>
    <n v="0"/>
    <n v="399"/>
    <n v="0"/>
    <n v="399"/>
    <n v="399"/>
    <n v="0"/>
    <n v="0"/>
    <n v="0"/>
    <n v="0"/>
    <n v="0"/>
    <n v="0"/>
    <n v="57596"/>
  </r>
  <r>
    <n v="39"/>
    <x v="3"/>
    <s v="00/04/23"/>
    <s v="1400/04/23"/>
    <x v="87"/>
    <n v="10055"/>
    <x v="80"/>
    <n v="6688"/>
    <n v="6688"/>
    <n v="6688"/>
    <n v="0"/>
    <n v="0"/>
    <n v="0"/>
    <n v="0"/>
    <n v="0"/>
    <n v="0"/>
    <n v="0"/>
    <n v="0"/>
    <n v="0"/>
    <n v="0"/>
    <n v="57596"/>
  </r>
  <r>
    <n v="39"/>
    <x v="3"/>
    <s v="00/04/23"/>
    <s v="1400/04/23"/>
    <x v="87"/>
    <n v="10126"/>
    <x v="103"/>
    <n v="-811"/>
    <n v="-811"/>
    <n v="0"/>
    <n v="811"/>
    <n v="0"/>
    <n v="811"/>
    <n v="811"/>
    <n v="0"/>
    <n v="0"/>
    <n v="0"/>
    <n v="0"/>
    <n v="0"/>
    <n v="0"/>
    <n v="57596"/>
  </r>
  <r>
    <n v="39"/>
    <x v="3"/>
    <s v="00/04/23"/>
    <s v="1400/04/23"/>
    <x v="87"/>
    <n v="30009"/>
    <x v="66"/>
    <n v="1864"/>
    <n v="1864"/>
    <n v="1864"/>
    <n v="0"/>
    <n v="0"/>
    <n v="0"/>
    <n v="0"/>
    <n v="0"/>
    <n v="0"/>
    <n v="0"/>
    <n v="0"/>
    <n v="0"/>
    <n v="0"/>
    <n v="57596"/>
  </r>
  <r>
    <n v="39"/>
    <x v="3"/>
    <s v="00/04/23"/>
    <s v="1400/04/23"/>
    <x v="87"/>
    <n v="30186"/>
    <x v="102"/>
    <n v="-3132"/>
    <n v="-3132"/>
    <n v="0"/>
    <n v="3132"/>
    <n v="0"/>
    <n v="3132"/>
    <n v="3132"/>
    <n v="0"/>
    <n v="0"/>
    <n v="0"/>
    <n v="0"/>
    <n v="0"/>
    <n v="0"/>
    <n v="57596"/>
  </r>
  <r>
    <n v="40"/>
    <x v="3"/>
    <s v="00/04/23"/>
    <s v="1400/04/23"/>
    <x v="87"/>
    <n v="30127"/>
    <x v="99"/>
    <n v="11760"/>
    <n v="11760"/>
    <n v="11760"/>
    <n v="0"/>
    <n v="0"/>
    <n v="0"/>
    <n v="0"/>
    <n v="0"/>
    <n v="0"/>
    <n v="0"/>
    <n v="0"/>
    <n v="0"/>
    <n v="0"/>
    <n v="45836"/>
  </r>
  <r>
    <n v="40"/>
    <x v="3"/>
    <s v="00/04/23"/>
    <s v="1400/04/23"/>
    <x v="87"/>
    <n v="10055"/>
    <x v="80"/>
    <n v="-4604"/>
    <n v="-4604"/>
    <n v="0"/>
    <n v="4604"/>
    <n v="0"/>
    <n v="4604"/>
    <n v="4604"/>
    <n v="0"/>
    <n v="0"/>
    <n v="0"/>
    <n v="0"/>
    <n v="0"/>
    <n v="0"/>
    <n v="45836"/>
  </r>
  <r>
    <n v="40"/>
    <x v="3"/>
    <s v="00/04/23"/>
    <s v="1400/04/23"/>
    <x v="87"/>
    <n v="30004"/>
    <x v="2"/>
    <n v="1104"/>
    <n v="1104"/>
    <n v="1104"/>
    <n v="0"/>
    <n v="0"/>
    <n v="0"/>
    <n v="0"/>
    <n v="0"/>
    <n v="0"/>
    <n v="0"/>
    <n v="0"/>
    <n v="0"/>
    <n v="0"/>
    <n v="45836"/>
  </r>
  <r>
    <n v="40"/>
    <x v="3"/>
    <s v="00/04/23"/>
    <s v="1400/04/23"/>
    <x v="87"/>
    <n v="10003"/>
    <x v="79"/>
    <n v="-1552"/>
    <n v="-1552"/>
    <n v="0"/>
    <n v="1552"/>
    <n v="0"/>
    <n v="1552"/>
    <n v="1552"/>
    <n v="0"/>
    <n v="0"/>
    <n v="0"/>
    <n v="0"/>
    <n v="0"/>
    <n v="0"/>
    <n v="45836"/>
  </r>
  <r>
    <n v="40"/>
    <x v="3"/>
    <s v="00/04/23"/>
    <s v="1400/04/23"/>
    <x v="87"/>
    <n v="10026"/>
    <x v="81"/>
    <n v="-949"/>
    <n v="-949"/>
    <n v="0"/>
    <n v="949"/>
    <n v="0"/>
    <n v="949"/>
    <n v="949"/>
    <n v="0"/>
    <n v="0"/>
    <n v="0"/>
    <n v="0"/>
    <n v="0"/>
    <n v="0"/>
    <n v="45836"/>
  </r>
  <r>
    <n v="40"/>
    <x v="3"/>
    <s v="00/04/23"/>
    <s v="1400/04/23"/>
    <x v="87"/>
    <n v="10048"/>
    <x v="51"/>
    <n v="-21"/>
    <n v="-21"/>
    <n v="0"/>
    <n v="21"/>
    <n v="0"/>
    <n v="21"/>
    <n v="21"/>
    <n v="0"/>
    <n v="0"/>
    <n v="0"/>
    <n v="0"/>
    <n v="0"/>
    <n v="0"/>
    <n v="45836"/>
  </r>
  <r>
    <n v="40"/>
    <x v="3"/>
    <s v="00/04/24"/>
    <s v="1400/04/24"/>
    <x v="88"/>
    <n v="10055"/>
    <x v="80"/>
    <n v="5038"/>
    <n v="5038"/>
    <n v="5038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30066"/>
    <x v="77"/>
    <n v="-8336"/>
    <n v="-8336"/>
    <n v="0"/>
    <n v="8336"/>
    <n v="0"/>
    <n v="8336"/>
    <n v="8336"/>
    <n v="0"/>
    <n v="0"/>
    <n v="0"/>
    <n v="0"/>
    <n v="0"/>
    <n v="0"/>
    <n v="45836"/>
  </r>
  <r>
    <n v="40"/>
    <x v="3"/>
    <s v="00/04/24"/>
    <s v="1400/04/24"/>
    <x v="88"/>
    <n v="30004"/>
    <x v="2"/>
    <n v="2516"/>
    <n v="2516"/>
    <n v="2516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30070"/>
    <x v="7"/>
    <n v="-1826"/>
    <n v="-1826"/>
    <n v="0"/>
    <n v="1826"/>
    <n v="0"/>
    <n v="1826"/>
    <n v="1826"/>
    <n v="0"/>
    <n v="0"/>
    <n v="0"/>
    <n v="0"/>
    <n v="0"/>
    <n v="0"/>
    <n v="45836"/>
  </r>
  <r>
    <n v="40"/>
    <x v="3"/>
    <s v="00/04/24"/>
    <s v="1400/04/24"/>
    <x v="88"/>
    <n v="30070"/>
    <x v="7"/>
    <n v="1730"/>
    <n v="1730"/>
    <n v="1730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30009"/>
    <x v="66"/>
    <n v="-1051"/>
    <n v="-1051"/>
    <n v="0"/>
    <n v="1051"/>
    <n v="0"/>
    <n v="1051"/>
    <n v="1051"/>
    <n v="0"/>
    <n v="0"/>
    <n v="0"/>
    <n v="0"/>
    <n v="0"/>
    <n v="0"/>
    <n v="45836"/>
  </r>
  <r>
    <n v="40"/>
    <x v="3"/>
    <s v="00/04/24"/>
    <s v="1400/04/24"/>
    <x v="88"/>
    <n v="10055"/>
    <x v="80"/>
    <n v="4766"/>
    <n v="4766"/>
    <n v="4766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10003"/>
    <x v="79"/>
    <n v="-1890"/>
    <n v="-1890"/>
    <n v="0"/>
    <n v="1890"/>
    <n v="0"/>
    <n v="1890"/>
    <n v="1890"/>
    <n v="0"/>
    <n v="0"/>
    <n v="0"/>
    <n v="0"/>
    <n v="0"/>
    <n v="0"/>
    <n v="45836"/>
  </r>
  <r>
    <n v="40"/>
    <x v="3"/>
    <s v="00/04/24"/>
    <s v="1400/04/24"/>
    <x v="88"/>
    <n v="10026"/>
    <x v="81"/>
    <n v="-3363"/>
    <n v="-3363"/>
    <n v="0"/>
    <n v="3363"/>
    <n v="0"/>
    <n v="3363"/>
    <n v="3363"/>
    <n v="0"/>
    <n v="0"/>
    <n v="0"/>
    <n v="0"/>
    <n v="0"/>
    <n v="0"/>
    <n v="45836"/>
  </r>
  <r>
    <n v="40"/>
    <x v="3"/>
    <s v="00/04/24"/>
    <s v="1400/04/24"/>
    <x v="88"/>
    <n v="30004"/>
    <x v="2"/>
    <n v="-2032"/>
    <n v="-2032"/>
    <n v="0"/>
    <n v="2032"/>
    <n v="0"/>
    <n v="2032"/>
    <n v="2032"/>
    <n v="0"/>
    <n v="0"/>
    <n v="0"/>
    <n v="0"/>
    <n v="0"/>
    <n v="0"/>
    <n v="45836"/>
  </r>
  <r>
    <n v="40"/>
    <x v="3"/>
    <s v="00/04/26"/>
    <s v="1400/04/26"/>
    <x v="89"/>
    <n v="30187"/>
    <x v="115"/>
    <n v="108"/>
    <n v="108"/>
    <n v="108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186"/>
    <x v="102"/>
    <n v="-1725"/>
    <n v="-1725"/>
    <n v="0"/>
    <n v="1725"/>
    <n v="0"/>
    <n v="1725"/>
    <n v="1725"/>
    <n v="0"/>
    <n v="0"/>
    <n v="0"/>
    <n v="0"/>
    <n v="0"/>
    <n v="0"/>
    <n v="45836"/>
  </r>
  <r>
    <n v="40"/>
    <x v="3"/>
    <s v="00/04/26"/>
    <s v="1400/04/26"/>
    <x v="89"/>
    <n v="30187"/>
    <x v="115"/>
    <n v="292"/>
    <n v="292"/>
    <n v="292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187"/>
    <x v="115"/>
    <n v="-200"/>
    <n v="-200"/>
    <n v="0"/>
    <n v="200"/>
    <n v="0"/>
    <n v="200"/>
    <n v="200"/>
    <n v="0"/>
    <n v="0"/>
    <n v="0"/>
    <n v="0"/>
    <n v="0"/>
    <n v="0"/>
    <n v="45836"/>
  </r>
  <r>
    <n v="40"/>
    <x v="3"/>
    <s v="00/04/26"/>
    <s v="1400/04/26"/>
    <x v="89"/>
    <n v="10055"/>
    <x v="80"/>
    <n v="7074"/>
    <n v="7074"/>
    <n v="7074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10026"/>
    <x v="81"/>
    <n v="-1925"/>
    <n v="-1925"/>
    <n v="0"/>
    <n v="1925"/>
    <n v="0"/>
    <n v="1925"/>
    <n v="1925"/>
    <n v="0"/>
    <n v="0"/>
    <n v="0"/>
    <n v="0"/>
    <n v="0"/>
    <n v="0"/>
    <n v="45836"/>
  </r>
  <r>
    <n v="40"/>
    <x v="3"/>
    <s v="00/04/26"/>
    <s v="1400/04/26"/>
    <x v="89"/>
    <n v="10119"/>
    <x v="100"/>
    <n v="518"/>
    <n v="518"/>
    <n v="518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009"/>
    <x v="66"/>
    <n v="683"/>
    <n v="683"/>
    <n v="683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186"/>
    <x v="102"/>
    <n v="2388"/>
    <n v="2388"/>
    <n v="2388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10088"/>
    <x v="116"/>
    <n v="-236"/>
    <n v="-236"/>
    <n v="0"/>
    <n v="236"/>
    <n v="0"/>
    <n v="236"/>
    <n v="236"/>
    <n v="0"/>
    <n v="0"/>
    <n v="0"/>
    <n v="0"/>
    <n v="0"/>
    <n v="0"/>
    <n v="45836"/>
  </r>
  <r>
    <n v="40"/>
    <x v="3"/>
    <s v="00/04/27"/>
    <s v="1400/04/27"/>
    <x v="90"/>
    <n v="30009"/>
    <x v="66"/>
    <n v="1823"/>
    <n v="1823"/>
    <n v="1823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30022"/>
    <x v="75"/>
    <n v="-5084"/>
    <n v="-5084"/>
    <n v="0"/>
    <n v="5084"/>
    <n v="0"/>
    <n v="5084"/>
    <n v="5084"/>
    <n v="0"/>
    <n v="0"/>
    <n v="0"/>
    <n v="0"/>
    <n v="0"/>
    <n v="0"/>
    <n v="45836"/>
  </r>
  <r>
    <n v="40"/>
    <x v="3"/>
    <s v="00/04/27"/>
    <s v="1400/04/27"/>
    <x v="90"/>
    <n v="30124"/>
    <x v="106"/>
    <n v="400"/>
    <n v="400"/>
    <n v="400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10003"/>
    <x v="79"/>
    <n v="-2014"/>
    <n v="-2014"/>
    <n v="0"/>
    <n v="2014"/>
    <n v="0"/>
    <n v="2014"/>
    <n v="2014"/>
    <n v="0"/>
    <n v="0"/>
    <n v="0"/>
    <n v="0"/>
    <n v="0"/>
    <n v="0"/>
    <n v="45836"/>
  </r>
  <r>
    <n v="40"/>
    <x v="3"/>
    <s v="00/04/27"/>
    <s v="1400/04/27"/>
    <x v="90"/>
    <n v="30004"/>
    <x v="2"/>
    <n v="1052"/>
    <n v="1052"/>
    <n v="1052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10026"/>
    <x v="81"/>
    <n v="-1863"/>
    <n v="-1863"/>
    <n v="0"/>
    <n v="1863"/>
    <n v="0"/>
    <n v="1863"/>
    <n v="1863"/>
    <n v="0"/>
    <n v="0"/>
    <n v="0"/>
    <n v="0"/>
    <n v="0"/>
    <n v="0"/>
    <n v="45836"/>
  </r>
  <r>
    <n v="40"/>
    <x v="3"/>
    <s v="00/04/27"/>
    <s v="1400/04/27"/>
    <x v="90"/>
    <n v="30009"/>
    <x v="66"/>
    <n v="1674"/>
    <n v="1674"/>
    <n v="1674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30004"/>
    <x v="2"/>
    <n v="1705"/>
    <n v="1705"/>
    <n v="1705"/>
    <n v="0"/>
    <n v="0"/>
    <n v="0"/>
    <n v="0"/>
    <n v="0"/>
    <n v="0"/>
    <n v="0"/>
    <n v="0"/>
    <n v="0"/>
    <n v="0"/>
    <n v="45836"/>
  </r>
  <r>
    <n v="40"/>
    <x v="3"/>
    <s v="00/04/28"/>
    <s v="1400/04/28"/>
    <x v="91"/>
    <n v="30066"/>
    <x v="77"/>
    <n v="-5546"/>
    <n v="-5546"/>
    <n v="0"/>
    <n v="5546"/>
    <n v="0"/>
    <n v="5546"/>
    <n v="5546"/>
    <n v="0"/>
    <n v="0"/>
    <n v="0"/>
    <n v="0"/>
    <n v="0"/>
    <n v="0"/>
    <n v="45836"/>
  </r>
  <r>
    <n v="40"/>
    <x v="3"/>
    <s v="00/04/28"/>
    <s v="1400/04/28"/>
    <x v="91"/>
    <n v="10104"/>
    <x v="76"/>
    <n v="737"/>
    <n v="737"/>
    <n v="737"/>
    <n v="0"/>
    <n v="0"/>
    <n v="0"/>
    <n v="0"/>
    <n v="0"/>
    <n v="0"/>
    <n v="0"/>
    <n v="0"/>
    <n v="0"/>
    <n v="0"/>
    <n v="45836"/>
  </r>
  <r>
    <n v="40"/>
    <x v="3"/>
    <s v="00/04/28"/>
    <s v="1400/04/28"/>
    <x v="91"/>
    <n v="30186"/>
    <x v="102"/>
    <n v="-2137"/>
    <n v="-2137"/>
    <n v="0"/>
    <n v="2137"/>
    <n v="0"/>
    <n v="2137"/>
    <n v="2137"/>
    <n v="0"/>
    <n v="0"/>
    <n v="0"/>
    <n v="0"/>
    <n v="0"/>
    <n v="0"/>
    <n v="45836"/>
  </r>
  <r>
    <n v="40"/>
    <x v="3"/>
    <s v="00/04/28"/>
    <s v="1400/04/28"/>
    <x v="91"/>
    <n v="30022"/>
    <x v="75"/>
    <n v="4844"/>
    <n v="4844"/>
    <n v="4844"/>
    <n v="0"/>
    <n v="0"/>
    <n v="0"/>
    <n v="0"/>
    <n v="0"/>
    <n v="0"/>
    <n v="0"/>
    <n v="0"/>
    <n v="0"/>
    <n v="0"/>
    <n v="45836"/>
  </r>
  <r>
    <n v="40"/>
    <x v="3"/>
    <s v="00/04/28"/>
    <s v="1400/04/28"/>
    <x v="91"/>
    <n v="30186"/>
    <x v="102"/>
    <n v="-605"/>
    <n v="-605"/>
    <n v="0"/>
    <n v="605"/>
    <n v="0"/>
    <n v="605"/>
    <n v="605"/>
    <n v="0"/>
    <n v="0"/>
    <n v="0"/>
    <n v="0"/>
    <n v="0"/>
    <n v="0"/>
    <n v="45836"/>
  </r>
  <r>
    <n v="40"/>
    <x v="3"/>
    <s v="00/04/28"/>
    <s v="1400/04/28"/>
    <x v="91"/>
    <n v="10003"/>
    <x v="79"/>
    <n v="-2514"/>
    <n v="-2514"/>
    <n v="0"/>
    <n v="2514"/>
    <n v="0"/>
    <n v="2514"/>
    <n v="2514"/>
    <n v="0"/>
    <n v="0"/>
    <n v="0"/>
    <n v="0"/>
    <n v="0"/>
    <n v="0"/>
    <n v="45836"/>
  </r>
  <r>
    <n v="40"/>
    <x v="3"/>
    <s v="00/04/28"/>
    <s v="1400/04/28"/>
    <x v="91"/>
    <n v="10026"/>
    <x v="81"/>
    <n v="-1885"/>
    <n v="-1885"/>
    <n v="0"/>
    <n v="1885"/>
    <n v="0"/>
    <n v="1885"/>
    <n v="1885"/>
    <n v="0"/>
    <n v="0"/>
    <n v="0"/>
    <n v="0"/>
    <n v="0"/>
    <n v="0"/>
    <n v="45836"/>
  </r>
  <r>
    <n v="40"/>
    <x v="3"/>
    <s v="00/04/28"/>
    <s v="1400/04/28"/>
    <x v="91"/>
    <n v="10055"/>
    <x v="80"/>
    <n v="-4797"/>
    <n v="-4797"/>
    <n v="0"/>
    <n v="4797"/>
    <n v="0"/>
    <n v="4797"/>
    <n v="4797"/>
    <n v="0"/>
    <n v="0"/>
    <n v="0"/>
    <n v="0"/>
    <n v="0"/>
    <n v="0"/>
    <n v="45836"/>
  </r>
  <r>
    <n v="40"/>
    <x v="3"/>
    <s v="00/04/29"/>
    <s v="1400/04/29"/>
    <x v="92"/>
    <n v="30146"/>
    <x v="64"/>
    <n v="768"/>
    <n v="768"/>
    <n v="768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146"/>
    <x v="64"/>
    <n v="-3040"/>
    <n v="-3040"/>
    <n v="0"/>
    <n v="3040"/>
    <n v="0"/>
    <n v="3040"/>
    <n v="3040"/>
    <n v="0"/>
    <n v="0"/>
    <n v="0"/>
    <n v="0"/>
    <n v="0"/>
    <n v="0"/>
    <n v="45836"/>
  </r>
  <r>
    <n v="40"/>
    <x v="3"/>
    <s v="00/04/29"/>
    <s v="1400/04/29"/>
    <x v="92"/>
    <n v="30081"/>
    <x v="67"/>
    <n v="2894"/>
    <n v="2894"/>
    <n v="2894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191"/>
    <x v="114"/>
    <n v="-625"/>
    <n v="-625"/>
    <n v="0"/>
    <n v="625"/>
    <n v="0"/>
    <n v="625"/>
    <n v="625"/>
    <n v="0"/>
    <n v="0"/>
    <n v="0"/>
    <n v="0"/>
    <n v="0"/>
    <n v="0"/>
    <n v="45836"/>
  </r>
  <r>
    <n v="40"/>
    <x v="3"/>
    <s v="00/04/29"/>
    <s v="1400/04/29"/>
    <x v="92"/>
    <n v="30146"/>
    <x v="64"/>
    <n v="577"/>
    <n v="577"/>
    <n v="577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66"/>
    <x v="77"/>
    <n v="-8190"/>
    <n v="-8190"/>
    <n v="0"/>
    <n v="8190"/>
    <n v="0"/>
    <n v="8190"/>
    <n v="8190"/>
    <n v="0"/>
    <n v="0"/>
    <n v="0"/>
    <n v="0"/>
    <n v="0"/>
    <n v="0"/>
    <n v="45836"/>
  </r>
  <r>
    <n v="40"/>
    <x v="3"/>
    <s v="00/04/29"/>
    <s v="1400/04/29"/>
    <x v="92"/>
    <n v="10127"/>
    <x v="104"/>
    <n v="1093"/>
    <n v="1093"/>
    <n v="1093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10003"/>
    <x v="79"/>
    <n v="-4004"/>
    <n v="-4004"/>
    <n v="0"/>
    <n v="4004"/>
    <n v="0"/>
    <n v="4004"/>
    <n v="4004"/>
    <n v="0"/>
    <n v="0"/>
    <n v="0"/>
    <n v="0"/>
    <n v="0"/>
    <n v="0"/>
    <n v="45836"/>
  </r>
  <r>
    <n v="40"/>
    <x v="3"/>
    <s v="00/04/29"/>
    <s v="1400/04/29"/>
    <x v="92"/>
    <n v="30146"/>
    <x v="64"/>
    <n v="444"/>
    <n v="444"/>
    <n v="444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10020"/>
    <x v="40"/>
    <n v="-1206"/>
    <n v="-1206"/>
    <n v="0"/>
    <n v="1206"/>
    <n v="0"/>
    <n v="1206"/>
    <n v="1206"/>
    <n v="0"/>
    <n v="0"/>
    <n v="0"/>
    <n v="0"/>
    <n v="0"/>
    <n v="0"/>
    <n v="45836"/>
  </r>
  <r>
    <n v="40"/>
    <x v="3"/>
    <s v="00/04/29"/>
    <s v="1400/04/29"/>
    <x v="92"/>
    <n v="30004"/>
    <x v="2"/>
    <n v="638"/>
    <n v="638"/>
    <n v="638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10104"/>
    <x v="76"/>
    <n v="-212"/>
    <n v="-212"/>
    <n v="0"/>
    <n v="212"/>
    <n v="0"/>
    <n v="212"/>
    <n v="212"/>
    <n v="0"/>
    <n v="0"/>
    <n v="0"/>
    <n v="0"/>
    <n v="0"/>
    <n v="0"/>
    <n v="45836"/>
  </r>
  <r>
    <n v="40"/>
    <x v="3"/>
    <s v="00/04/29"/>
    <s v="1400/04/29"/>
    <x v="92"/>
    <n v="30006"/>
    <x v="13"/>
    <n v="534"/>
    <n v="534"/>
    <n v="534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6"/>
    <x v="13"/>
    <n v="1579"/>
    <n v="1579"/>
    <n v="1579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6"/>
    <x v="13"/>
    <n v="460"/>
    <n v="460"/>
    <n v="460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4"/>
    <x v="2"/>
    <n v="1885"/>
    <n v="1885"/>
    <n v="1885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9"/>
    <x v="66"/>
    <n v="2045"/>
    <n v="2045"/>
    <n v="2045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30066"/>
    <x v="77"/>
    <n v="-4317"/>
    <n v="-4317"/>
    <n v="0"/>
    <n v="4317"/>
    <n v="0"/>
    <n v="4317"/>
    <n v="4317"/>
    <n v="0"/>
    <n v="0"/>
    <n v="0"/>
    <n v="0"/>
    <n v="0"/>
    <n v="0"/>
    <n v="45836"/>
  </r>
  <r>
    <n v="40"/>
    <x v="3"/>
    <s v="00/04/31"/>
    <s v="1400/04/31"/>
    <x v="93"/>
    <n v="30009"/>
    <x v="66"/>
    <n v="898"/>
    <n v="898"/>
    <n v="898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30070"/>
    <x v="7"/>
    <n v="-1053"/>
    <n v="-1053"/>
    <n v="0"/>
    <n v="1053"/>
    <n v="0"/>
    <n v="1053"/>
    <n v="1053"/>
    <n v="0"/>
    <n v="0"/>
    <n v="0"/>
    <n v="0"/>
    <n v="0"/>
    <n v="0"/>
    <n v="45836"/>
  </r>
  <r>
    <n v="40"/>
    <x v="3"/>
    <s v="00/04/31"/>
    <s v="1400/04/31"/>
    <x v="93"/>
    <n v="30004"/>
    <x v="2"/>
    <n v="14655"/>
    <n v="14655"/>
    <n v="14655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30186"/>
    <x v="102"/>
    <n v="-2806"/>
    <n v="-2806"/>
    <n v="0"/>
    <n v="2806"/>
    <n v="0"/>
    <n v="2806"/>
    <n v="2806"/>
    <n v="0"/>
    <n v="0"/>
    <n v="0"/>
    <n v="0"/>
    <n v="0"/>
    <n v="0"/>
    <n v="45836"/>
  </r>
  <r>
    <n v="40"/>
    <x v="3"/>
    <s v="00/04/31"/>
    <s v="1400/04/31"/>
    <x v="93"/>
    <n v="30009"/>
    <x v="66"/>
    <n v="2270"/>
    <n v="2270"/>
    <n v="2270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10003"/>
    <x v="79"/>
    <n v="-2002"/>
    <n v="-2002"/>
    <n v="0"/>
    <n v="2002"/>
    <n v="0"/>
    <n v="2002"/>
    <n v="2002"/>
    <n v="0"/>
    <n v="0"/>
    <n v="0"/>
    <n v="0"/>
    <n v="0"/>
    <n v="0"/>
    <n v="45836"/>
  </r>
  <r>
    <n v="40"/>
    <x v="3"/>
    <s v="00/04/31"/>
    <s v="1400/04/31"/>
    <x v="93"/>
    <n v="30004"/>
    <x v="2"/>
    <n v="1382"/>
    <n v="1382"/>
    <n v="1382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10026"/>
    <x v="81"/>
    <n v="-1103"/>
    <n v="-1103"/>
    <n v="0"/>
    <n v="1103"/>
    <n v="0"/>
    <n v="1103"/>
    <n v="1103"/>
    <n v="0"/>
    <n v="0"/>
    <n v="0"/>
    <n v="0"/>
    <n v="0"/>
    <n v="0"/>
    <n v="45836"/>
  </r>
  <r>
    <n v="40"/>
    <x v="3"/>
    <s v="00/04/31"/>
    <s v="1400/04/31"/>
    <x v="93"/>
    <n v="30006"/>
    <x v="13"/>
    <n v="-3175"/>
    <n v="-3175"/>
    <n v="0"/>
    <n v="3175"/>
    <n v="0"/>
    <n v="3175"/>
    <n v="3175"/>
    <n v="0"/>
    <n v="0"/>
    <n v="0"/>
    <n v="0"/>
    <n v="0"/>
    <n v="0"/>
    <n v="45836"/>
  </r>
  <r>
    <n v="40"/>
    <x v="4"/>
    <s v="00/05/02"/>
    <s v="1400/05/02"/>
    <x v="94"/>
    <n v="10003"/>
    <x v="79"/>
    <n v="2976"/>
    <n v="2976"/>
    <n v="2976"/>
    <n v="0"/>
    <n v="0"/>
    <n v="0"/>
    <n v="0"/>
    <n v="0"/>
    <n v="0"/>
    <n v="0"/>
    <n v="0"/>
    <n v="0"/>
    <n v="0"/>
    <n v="45836"/>
  </r>
  <r>
    <n v="40"/>
    <x v="4"/>
    <s v="00/05/02"/>
    <s v="1400/05/02"/>
    <x v="94"/>
    <n v="30009"/>
    <x v="66"/>
    <n v="-3829"/>
    <n v="-3829"/>
    <n v="0"/>
    <n v="3829"/>
    <n v="0"/>
    <n v="3829"/>
    <n v="3829"/>
    <n v="0"/>
    <n v="0"/>
    <n v="0"/>
    <n v="0"/>
    <n v="0"/>
    <n v="0"/>
    <n v="45836"/>
  </r>
  <r>
    <n v="40"/>
    <x v="4"/>
    <s v="00/05/02"/>
    <s v="1400/05/02"/>
    <x v="94"/>
    <n v="30174"/>
    <x v="60"/>
    <n v="602"/>
    <n v="602"/>
    <n v="602"/>
    <n v="0"/>
    <n v="0"/>
    <n v="0"/>
    <n v="0"/>
    <n v="0"/>
    <n v="0"/>
    <n v="0"/>
    <n v="0"/>
    <n v="0"/>
    <n v="0"/>
    <n v="45836"/>
  </r>
  <r>
    <n v="40"/>
    <x v="4"/>
    <s v="00/05/02"/>
    <s v="1400/05/02"/>
    <x v="94"/>
    <n v="30004"/>
    <x v="2"/>
    <n v="-4896"/>
    <n v="-4896"/>
    <n v="0"/>
    <n v="4896"/>
    <n v="0"/>
    <n v="4896"/>
    <n v="4896"/>
    <n v="0"/>
    <n v="0"/>
    <n v="0"/>
    <n v="0"/>
    <n v="0"/>
    <n v="0"/>
    <n v="45836"/>
  </r>
  <r>
    <n v="41"/>
    <x v="4"/>
    <s v="00/05/02"/>
    <s v="1400/05/02"/>
    <x v="94"/>
    <n v="30127"/>
    <x v="99"/>
    <n v="15260"/>
    <n v="15260"/>
    <n v="15260"/>
    <n v="0"/>
    <n v="0"/>
    <n v="0"/>
    <n v="0"/>
    <n v="0"/>
    <n v="0"/>
    <n v="0"/>
    <n v="0"/>
    <n v="0"/>
    <n v="0"/>
    <n v="30576"/>
  </r>
  <r>
    <n v="41"/>
    <x v="4"/>
    <s v="00/05/02"/>
    <s v="1400/05/02"/>
    <x v="94"/>
    <n v="30186"/>
    <x v="102"/>
    <n v="-2766"/>
    <n v="-2766"/>
    <n v="0"/>
    <n v="2766"/>
    <n v="0"/>
    <n v="2766"/>
    <n v="2766"/>
    <n v="0"/>
    <n v="0"/>
    <n v="0"/>
    <n v="0"/>
    <n v="0"/>
    <n v="0"/>
    <n v="30576"/>
  </r>
  <r>
    <n v="41"/>
    <x v="4"/>
    <s v="00/05/02"/>
    <s v="1400/05/02"/>
    <x v="94"/>
    <n v="30186"/>
    <x v="102"/>
    <n v="1350"/>
    <n v="1350"/>
    <n v="1350"/>
    <n v="0"/>
    <n v="0"/>
    <n v="0"/>
    <n v="0"/>
    <n v="0"/>
    <n v="0"/>
    <n v="0"/>
    <n v="0"/>
    <n v="0"/>
    <n v="0"/>
    <n v="30576"/>
  </r>
  <r>
    <n v="41"/>
    <x v="4"/>
    <s v="00/05/02"/>
    <s v="1400/05/02"/>
    <x v="94"/>
    <n v="30174"/>
    <x v="60"/>
    <n v="-656"/>
    <n v="-656"/>
    <n v="0"/>
    <n v="656"/>
    <n v="0"/>
    <n v="656"/>
    <n v="656"/>
    <n v="0"/>
    <n v="0"/>
    <n v="0"/>
    <n v="0"/>
    <n v="0"/>
    <n v="0"/>
    <n v="30576"/>
  </r>
  <r>
    <n v="41"/>
    <x v="4"/>
    <s v="00/05/02"/>
    <s v="1400/05/02"/>
    <x v="94"/>
    <n v="10119"/>
    <x v="100"/>
    <n v="-280"/>
    <n v="-280"/>
    <n v="0"/>
    <n v="280"/>
    <n v="0"/>
    <n v="280"/>
    <n v="280"/>
    <n v="0"/>
    <n v="0"/>
    <n v="0"/>
    <n v="0"/>
    <n v="0"/>
    <n v="0"/>
    <n v="30576"/>
  </r>
  <r>
    <n v="41"/>
    <x v="4"/>
    <s v="00/05/02"/>
    <s v="1400/05/02"/>
    <x v="94"/>
    <n v="10026"/>
    <x v="81"/>
    <n v="-1925"/>
    <n v="-1925"/>
    <n v="0"/>
    <n v="1925"/>
    <n v="0"/>
    <n v="1925"/>
    <n v="1925"/>
    <n v="0"/>
    <n v="0"/>
    <n v="0"/>
    <n v="0"/>
    <n v="0"/>
    <n v="0"/>
    <n v="30576"/>
  </r>
  <r>
    <n v="41"/>
    <x v="4"/>
    <s v="00/05/02"/>
    <s v="1400/05/02"/>
    <x v="94"/>
    <n v="10003"/>
    <x v="79"/>
    <n v="-2810"/>
    <n v="-2810"/>
    <n v="0"/>
    <n v="2810"/>
    <n v="0"/>
    <n v="2810"/>
    <n v="2810"/>
    <n v="0"/>
    <n v="0"/>
    <n v="0"/>
    <n v="0"/>
    <n v="0"/>
    <n v="0"/>
    <n v="30576"/>
  </r>
  <r>
    <n v="41"/>
    <x v="4"/>
    <s v="00/05/02"/>
    <s v="1400/05/02"/>
    <x v="94"/>
    <n v="10104"/>
    <x v="76"/>
    <n v="-1649"/>
    <n v="-1649"/>
    <n v="0"/>
    <n v="1649"/>
    <n v="0"/>
    <n v="1649"/>
    <n v="1649"/>
    <n v="0"/>
    <n v="0"/>
    <n v="0"/>
    <n v="0"/>
    <n v="0"/>
    <n v="0"/>
    <n v="30576"/>
  </r>
  <r>
    <n v="41"/>
    <x v="4"/>
    <s v="00/05/02"/>
    <s v="1400/05/02"/>
    <x v="94"/>
    <n v="10055"/>
    <x v="80"/>
    <n v="-5348"/>
    <n v="-5348"/>
    <n v="0"/>
    <n v="5348"/>
    <n v="0"/>
    <n v="5348"/>
    <n v="5348"/>
    <n v="0"/>
    <n v="0"/>
    <n v="0"/>
    <n v="0"/>
    <n v="0"/>
    <n v="0"/>
    <n v="30576"/>
  </r>
  <r>
    <n v="41"/>
    <x v="4"/>
    <s v="00/05/03"/>
    <s v="1400/05/03"/>
    <x v="95"/>
    <n v="10127"/>
    <x v="104"/>
    <n v="342"/>
    <n v="342"/>
    <n v="342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30009"/>
    <x v="66"/>
    <n v="-2122"/>
    <n v="-2122"/>
    <n v="0"/>
    <n v="2122"/>
    <n v="0"/>
    <n v="2122"/>
    <n v="2122"/>
    <n v="0"/>
    <n v="0"/>
    <n v="0"/>
    <n v="0"/>
    <n v="0"/>
    <n v="0"/>
    <n v="30576"/>
  </r>
  <r>
    <n v="41"/>
    <x v="4"/>
    <s v="00/05/03"/>
    <s v="1400/05/03"/>
    <x v="95"/>
    <n v="10055"/>
    <x v="80"/>
    <n v="4747"/>
    <n v="4747"/>
    <n v="4747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30081"/>
    <x v="67"/>
    <n v="-3598"/>
    <n v="-3598"/>
    <n v="0"/>
    <n v="3598"/>
    <n v="0"/>
    <n v="3598"/>
    <n v="3598"/>
    <n v="0"/>
    <n v="0"/>
    <n v="0"/>
    <n v="0"/>
    <n v="0"/>
    <n v="0"/>
    <n v="30576"/>
  </r>
  <r>
    <n v="41"/>
    <x v="4"/>
    <s v="00/05/03"/>
    <s v="1400/05/03"/>
    <x v="95"/>
    <n v="10055"/>
    <x v="80"/>
    <n v="4786"/>
    <n v="4786"/>
    <n v="4786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30174"/>
    <x v="60"/>
    <n v="-83"/>
    <n v="-83"/>
    <n v="0"/>
    <n v="83"/>
    <n v="0"/>
    <n v="83"/>
    <n v="83"/>
    <n v="0"/>
    <n v="0"/>
    <n v="0"/>
    <n v="0"/>
    <n v="0"/>
    <n v="0"/>
    <n v="30576"/>
  </r>
  <r>
    <n v="41"/>
    <x v="4"/>
    <s v="00/05/03"/>
    <s v="1400/05/03"/>
    <x v="95"/>
    <n v="10127"/>
    <x v="104"/>
    <n v="855"/>
    <n v="855"/>
    <n v="855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10029"/>
    <x v="78"/>
    <n v="-250"/>
    <n v="-250"/>
    <n v="0"/>
    <n v="250"/>
    <n v="0"/>
    <n v="250"/>
    <n v="250"/>
    <n v="0"/>
    <n v="0"/>
    <n v="0"/>
    <n v="0"/>
    <n v="0"/>
    <n v="0"/>
    <n v="30576"/>
  </r>
  <r>
    <n v="41"/>
    <x v="4"/>
    <s v="00/05/03"/>
    <s v="1400/05/03"/>
    <x v="95"/>
    <n v="30081"/>
    <x v="67"/>
    <n v="2216"/>
    <n v="2216"/>
    <n v="2216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10104"/>
    <x v="76"/>
    <n v="-2539"/>
    <n v="-2539"/>
    <n v="0"/>
    <n v="2539"/>
    <n v="0"/>
    <n v="2539"/>
    <n v="2539"/>
    <n v="0"/>
    <n v="0"/>
    <n v="0"/>
    <n v="0"/>
    <n v="0"/>
    <n v="0"/>
    <n v="30576"/>
  </r>
  <r>
    <n v="41"/>
    <x v="4"/>
    <s v="00/05/03"/>
    <s v="1400/05/03"/>
    <x v="95"/>
    <n v="30140"/>
    <x v="29"/>
    <n v="1444"/>
    <n v="1444"/>
    <n v="1444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10127"/>
    <x v="104"/>
    <n v="-2144"/>
    <n v="-2144"/>
    <n v="0"/>
    <n v="2144"/>
    <n v="0"/>
    <n v="2144"/>
    <n v="2144"/>
    <n v="0"/>
    <n v="0"/>
    <n v="0"/>
    <n v="0"/>
    <n v="0"/>
    <n v="0"/>
    <n v="30576"/>
  </r>
  <r>
    <n v="41"/>
    <x v="4"/>
    <s v="00/05/03"/>
    <s v="1400/05/03"/>
    <x v="95"/>
    <n v="10127"/>
    <x v="104"/>
    <n v="733"/>
    <n v="733"/>
    <n v="733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30009"/>
    <x v="66"/>
    <n v="-2502"/>
    <n v="-2502"/>
    <n v="0"/>
    <n v="2502"/>
    <n v="0"/>
    <n v="2502"/>
    <n v="2502"/>
    <n v="0"/>
    <n v="0"/>
    <n v="0"/>
    <n v="0"/>
    <n v="0"/>
    <n v="0"/>
    <n v="30576"/>
  </r>
  <r>
    <n v="41"/>
    <x v="4"/>
    <s v="00/05/04"/>
    <s v="1400/05/04"/>
    <x v="96"/>
    <n v="30184"/>
    <x v="108"/>
    <n v="645"/>
    <n v="645"/>
    <n v="645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30066"/>
    <x v="77"/>
    <n v="-8722"/>
    <n v="-8722"/>
    <n v="0"/>
    <n v="8722"/>
    <n v="0"/>
    <n v="8722"/>
    <n v="8722"/>
    <n v="0"/>
    <n v="0"/>
    <n v="0"/>
    <n v="0"/>
    <n v="0"/>
    <n v="0"/>
    <n v="30576"/>
  </r>
  <r>
    <n v="41"/>
    <x v="4"/>
    <s v="00/05/04"/>
    <s v="1400/05/04"/>
    <x v="96"/>
    <n v="30191"/>
    <x v="114"/>
    <n v="79"/>
    <n v="79"/>
    <n v="79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30055"/>
    <x v="98"/>
    <n v="-1056"/>
    <n v="-1056"/>
    <n v="0"/>
    <n v="1056"/>
    <n v="0"/>
    <n v="1056"/>
    <n v="1056"/>
    <n v="0"/>
    <n v="0"/>
    <n v="0"/>
    <n v="0"/>
    <n v="0"/>
    <n v="0"/>
    <n v="30576"/>
  </r>
  <r>
    <n v="41"/>
    <x v="4"/>
    <s v="00/05/04"/>
    <s v="1400/05/04"/>
    <x v="96"/>
    <n v="30191"/>
    <x v="114"/>
    <n v="83"/>
    <n v="83"/>
    <n v="83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10003"/>
    <x v="79"/>
    <n v="-2066"/>
    <n v="-2066"/>
    <n v="0"/>
    <n v="2066"/>
    <n v="0"/>
    <n v="2066"/>
    <n v="2066"/>
    <n v="0"/>
    <n v="0"/>
    <n v="0"/>
    <n v="0"/>
    <n v="0"/>
    <n v="0"/>
    <n v="30576"/>
  </r>
  <r>
    <n v="41"/>
    <x v="4"/>
    <s v="00/05/04"/>
    <s v="1400/05/04"/>
    <x v="96"/>
    <n v="10026"/>
    <x v="81"/>
    <n v="-1840"/>
    <n v="-1840"/>
    <n v="0"/>
    <n v="1840"/>
    <n v="0"/>
    <n v="1840"/>
    <n v="1840"/>
    <n v="0"/>
    <n v="0"/>
    <n v="0"/>
    <n v="0"/>
    <n v="0"/>
    <n v="0"/>
    <n v="30576"/>
  </r>
  <r>
    <n v="41"/>
    <x v="4"/>
    <s v="00/05/05"/>
    <s v="1400/05/05"/>
    <x v="97"/>
    <n v="30186"/>
    <x v="102"/>
    <n v="1455"/>
    <n v="1455"/>
    <n v="1455"/>
    <n v="0"/>
    <n v="0"/>
    <n v="0"/>
    <n v="0"/>
    <n v="0"/>
    <n v="0"/>
    <n v="0"/>
    <n v="0"/>
    <n v="0"/>
    <n v="0"/>
    <n v="30576"/>
  </r>
  <r>
    <n v="41"/>
    <x v="4"/>
    <s v="00/05/05"/>
    <s v="1400/05/05"/>
    <x v="97"/>
    <n v="30099"/>
    <x v="11"/>
    <n v="-3009"/>
    <n v="-3009"/>
    <n v="0"/>
    <n v="3009"/>
    <n v="0"/>
    <n v="3009"/>
    <n v="3009"/>
    <n v="0"/>
    <n v="0"/>
    <n v="0"/>
    <n v="0"/>
    <n v="0"/>
    <n v="0"/>
    <n v="30576"/>
  </r>
  <r>
    <n v="41"/>
    <x v="4"/>
    <s v="00/05/05"/>
    <s v="1400/05/05"/>
    <x v="97"/>
    <n v="30081"/>
    <x v="67"/>
    <n v="2628"/>
    <n v="2628"/>
    <n v="2628"/>
    <n v="0"/>
    <n v="0"/>
    <n v="0"/>
    <n v="0"/>
    <n v="0"/>
    <n v="0"/>
    <n v="0"/>
    <n v="0"/>
    <n v="0"/>
    <n v="0"/>
    <n v="30576"/>
  </r>
  <r>
    <n v="41"/>
    <x v="4"/>
    <s v="00/05/05"/>
    <s v="1400/05/05"/>
    <x v="97"/>
    <n v="50016"/>
    <x v="31"/>
    <n v="-59"/>
    <n v="-59"/>
    <n v="0"/>
    <n v="59"/>
    <n v="0"/>
    <n v="59"/>
    <n v="59"/>
    <n v="0"/>
    <n v="0"/>
    <n v="0"/>
    <n v="0"/>
    <n v="0"/>
    <n v="0"/>
    <n v="30576"/>
  </r>
  <r>
    <n v="41"/>
    <x v="4"/>
    <s v="00/05/05"/>
    <s v="1400/05/05"/>
    <x v="97"/>
    <n v="30099"/>
    <x v="11"/>
    <n v="4512"/>
    <n v="4512"/>
    <n v="4512"/>
    <n v="0"/>
    <n v="0"/>
    <n v="0"/>
    <n v="0"/>
    <n v="0"/>
    <n v="0"/>
    <n v="0"/>
    <n v="0"/>
    <n v="0"/>
    <n v="0"/>
    <n v="30576"/>
  </r>
  <r>
    <n v="41"/>
    <x v="4"/>
    <s v="00/05/05"/>
    <s v="1400/05/05"/>
    <x v="97"/>
    <n v="30099"/>
    <x v="11"/>
    <n v="-2013"/>
    <n v="-2013"/>
    <n v="0"/>
    <n v="2013"/>
    <n v="0"/>
    <n v="2013"/>
    <n v="2013"/>
    <n v="0"/>
    <n v="0"/>
    <n v="0"/>
    <n v="0"/>
    <n v="0"/>
    <n v="0"/>
    <n v="30576"/>
  </r>
  <r>
    <n v="41"/>
    <x v="4"/>
    <s v="00/05/05"/>
    <s v="1400/05/05"/>
    <x v="97"/>
    <n v="30022"/>
    <x v="75"/>
    <n v="-4996"/>
    <n v="-4996"/>
    <n v="0"/>
    <n v="4996"/>
    <n v="0"/>
    <n v="4996"/>
    <n v="4996"/>
    <n v="0"/>
    <n v="0"/>
    <n v="0"/>
    <n v="0"/>
    <n v="0"/>
    <n v="0"/>
    <n v="30576"/>
  </r>
  <r>
    <n v="41"/>
    <x v="4"/>
    <s v="00/05/05"/>
    <s v="1400/05/05"/>
    <x v="97"/>
    <n v="10055"/>
    <x v="80"/>
    <n v="-4938"/>
    <n v="-4938"/>
    <n v="0"/>
    <n v="4938"/>
    <n v="0"/>
    <n v="4938"/>
    <n v="4938"/>
    <n v="0"/>
    <n v="0"/>
    <n v="0"/>
    <n v="0"/>
    <n v="0"/>
    <n v="0"/>
    <n v="30576"/>
  </r>
  <r>
    <n v="41"/>
    <x v="4"/>
    <s v="00/05/05"/>
    <s v="1400/05/05"/>
    <x v="97"/>
    <n v="30009"/>
    <x v="66"/>
    <n v="-3926"/>
    <n v="-3926"/>
    <n v="0"/>
    <n v="3926"/>
    <n v="0"/>
    <n v="3926"/>
    <n v="3926"/>
    <n v="0"/>
    <n v="0"/>
    <n v="0"/>
    <n v="0"/>
    <n v="0"/>
    <n v="0"/>
    <n v="30576"/>
  </r>
  <r>
    <n v="41"/>
    <x v="4"/>
    <s v="00/05/05"/>
    <s v="1400/05/05"/>
    <x v="97"/>
    <n v="30013"/>
    <x v="110"/>
    <n v="-866"/>
    <n v="-866"/>
    <n v="0"/>
    <n v="866"/>
    <n v="0"/>
    <n v="866"/>
    <n v="866"/>
    <n v="0"/>
    <n v="0"/>
    <n v="0"/>
    <n v="0"/>
    <n v="0"/>
    <n v="0"/>
    <n v="30576"/>
  </r>
  <r>
    <n v="41"/>
    <x v="4"/>
    <s v="00/05/06"/>
    <s v="1400/05/06"/>
    <x v="98"/>
    <n v="10003"/>
    <x v="79"/>
    <n v="2692"/>
    <n v="2692"/>
    <n v="2692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30004"/>
    <x v="2"/>
    <n v="-5268"/>
    <n v="-5268"/>
    <n v="0"/>
    <n v="5268"/>
    <n v="0"/>
    <n v="5268"/>
    <n v="5268"/>
    <n v="0"/>
    <n v="0"/>
    <n v="0"/>
    <n v="0"/>
    <n v="0"/>
    <n v="0"/>
    <n v="30576"/>
  </r>
  <r>
    <n v="41"/>
    <x v="4"/>
    <s v="00/05/06"/>
    <s v="1400/05/06"/>
    <x v="98"/>
    <n v="10104"/>
    <x v="76"/>
    <n v="800"/>
    <n v="800"/>
    <n v="800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30009"/>
    <x v="66"/>
    <n v="-1030"/>
    <n v="-1030"/>
    <n v="0"/>
    <n v="1030"/>
    <n v="0"/>
    <n v="1030"/>
    <n v="1030"/>
    <n v="0"/>
    <n v="0"/>
    <n v="0"/>
    <n v="0"/>
    <n v="0"/>
    <n v="0"/>
    <n v="30576"/>
  </r>
  <r>
    <n v="41"/>
    <x v="4"/>
    <s v="00/05/06"/>
    <s v="1400/05/06"/>
    <x v="98"/>
    <n v="50011"/>
    <x v="17"/>
    <n v="2761"/>
    <n v="2761"/>
    <n v="2761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30191"/>
    <x v="114"/>
    <n v="-942"/>
    <n v="-942"/>
    <n v="0"/>
    <n v="942"/>
    <n v="0"/>
    <n v="942"/>
    <n v="942"/>
    <n v="0"/>
    <n v="0"/>
    <n v="0"/>
    <n v="0"/>
    <n v="0"/>
    <n v="0"/>
    <n v="30576"/>
  </r>
  <r>
    <n v="41"/>
    <x v="4"/>
    <s v="00/05/06"/>
    <s v="1400/05/06"/>
    <x v="98"/>
    <n v="30058"/>
    <x v="63"/>
    <n v="6862"/>
    <n v="6862"/>
    <n v="6862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10069"/>
    <x v="68"/>
    <n v="-1982"/>
    <n v="-1982"/>
    <n v="0"/>
    <n v="1982"/>
    <n v="0"/>
    <n v="1982"/>
    <n v="1982"/>
    <n v="0"/>
    <n v="0"/>
    <n v="0"/>
    <n v="0"/>
    <n v="0"/>
    <n v="0"/>
    <n v="30576"/>
  </r>
  <r>
    <n v="41"/>
    <x v="4"/>
    <s v="00/05/06"/>
    <s v="1400/05/06"/>
    <x v="98"/>
    <n v="30191"/>
    <x v="114"/>
    <n v="839"/>
    <n v="839"/>
    <n v="839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10003"/>
    <x v="79"/>
    <n v="-4026"/>
    <n v="-4026"/>
    <n v="0"/>
    <n v="4026"/>
    <n v="0"/>
    <n v="4026"/>
    <n v="4026"/>
    <n v="0"/>
    <n v="0"/>
    <n v="0"/>
    <n v="0"/>
    <n v="0"/>
    <n v="0"/>
    <n v="30576"/>
  </r>
  <r>
    <n v="41"/>
    <x v="4"/>
    <s v="00/05/06"/>
    <s v="1400/05/06"/>
    <x v="98"/>
    <n v="30004"/>
    <x v="2"/>
    <n v="2559"/>
    <n v="2559"/>
    <n v="2559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10026"/>
    <x v="81"/>
    <n v="-1064"/>
    <n v="-1064"/>
    <n v="0"/>
    <n v="1064"/>
    <n v="0"/>
    <n v="1064"/>
    <n v="1064"/>
    <n v="0"/>
    <n v="0"/>
    <n v="0"/>
    <n v="0"/>
    <n v="0"/>
    <n v="0"/>
    <n v="30576"/>
  </r>
  <r>
    <n v="42"/>
    <x v="4"/>
    <s v="00/05/06"/>
    <s v="1400/05/06"/>
    <x v="98"/>
    <n v="30127"/>
    <x v="99"/>
    <n v="14852"/>
    <n v="14852"/>
    <n v="14852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10055"/>
    <x v="80"/>
    <n v="-4223"/>
    <n v="-4223"/>
    <n v="0"/>
    <n v="4223"/>
    <n v="0"/>
    <n v="4223"/>
    <n v="4223"/>
    <n v="0"/>
    <n v="0"/>
    <n v="0"/>
    <n v="0"/>
    <n v="0"/>
    <n v="0"/>
    <n v="15724"/>
  </r>
  <r>
    <n v="42"/>
    <x v="4"/>
    <s v="00/05/06"/>
    <s v="1400/05/06"/>
    <x v="98"/>
    <n v="10057"/>
    <x v="33"/>
    <n v="1000"/>
    <n v="1000"/>
    <n v="1000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30022"/>
    <x v="75"/>
    <n v="4858"/>
    <n v="4858"/>
    <n v="4858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30009"/>
    <x v="66"/>
    <n v="1913"/>
    <n v="1913"/>
    <n v="1913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10069"/>
    <x v="68"/>
    <n v="174"/>
    <n v="174"/>
    <n v="174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10069"/>
    <x v="68"/>
    <n v="1818"/>
    <n v="1818"/>
    <n v="1818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87"/>
    <x v="115"/>
    <n v="-2443"/>
    <n v="-2443"/>
    <n v="0"/>
    <n v="2443"/>
    <n v="0"/>
    <n v="2443"/>
    <n v="2443"/>
    <n v="0"/>
    <n v="0"/>
    <n v="0"/>
    <n v="0"/>
    <n v="0"/>
    <n v="0"/>
    <n v="15724"/>
  </r>
  <r>
    <n v="42"/>
    <x v="4"/>
    <s v="00/05/09"/>
    <s v="1400/05/09"/>
    <x v="99"/>
    <n v="10029"/>
    <x v="78"/>
    <n v="590"/>
    <n v="590"/>
    <n v="590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066"/>
    <x v="77"/>
    <n v="-5935"/>
    <n v="-5935"/>
    <n v="0"/>
    <n v="5935"/>
    <n v="0"/>
    <n v="5935"/>
    <n v="5935"/>
    <n v="0"/>
    <n v="0"/>
    <n v="0"/>
    <n v="0"/>
    <n v="0"/>
    <n v="0"/>
    <n v="15724"/>
  </r>
  <r>
    <n v="42"/>
    <x v="4"/>
    <s v="00/05/09"/>
    <s v="1400/05/09"/>
    <x v="99"/>
    <n v="30124"/>
    <x v="106"/>
    <n v="5002"/>
    <n v="5002"/>
    <n v="5002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24"/>
    <x v="106"/>
    <n v="-4001"/>
    <n v="-4001"/>
    <n v="0"/>
    <n v="4001"/>
    <n v="0"/>
    <n v="4001"/>
    <n v="4001"/>
    <n v="0"/>
    <n v="0"/>
    <n v="0"/>
    <n v="0"/>
    <n v="0"/>
    <n v="0"/>
    <n v="15724"/>
  </r>
  <r>
    <n v="42"/>
    <x v="4"/>
    <s v="00/05/09"/>
    <s v="1400/05/09"/>
    <x v="99"/>
    <n v="30187"/>
    <x v="115"/>
    <n v="1564"/>
    <n v="1564"/>
    <n v="1564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60"/>
    <x v="5"/>
    <n v="-271"/>
    <n v="-271"/>
    <n v="0"/>
    <n v="271"/>
    <n v="0"/>
    <n v="271"/>
    <n v="271"/>
    <n v="0"/>
    <n v="0"/>
    <n v="0"/>
    <n v="0"/>
    <n v="0"/>
    <n v="0"/>
    <n v="15724"/>
  </r>
  <r>
    <n v="42"/>
    <x v="4"/>
    <s v="00/05/09"/>
    <s v="1400/05/09"/>
    <x v="99"/>
    <n v="10119"/>
    <x v="100"/>
    <n v="160"/>
    <n v="160"/>
    <n v="160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029"/>
    <x v="78"/>
    <n v="-496"/>
    <n v="-496"/>
    <n v="0"/>
    <n v="496"/>
    <n v="0"/>
    <n v="496"/>
    <n v="496"/>
    <n v="0"/>
    <n v="0"/>
    <n v="0"/>
    <n v="0"/>
    <n v="0"/>
    <n v="0"/>
    <n v="15724"/>
  </r>
  <r>
    <n v="42"/>
    <x v="4"/>
    <s v="00/05/09"/>
    <s v="1400/05/09"/>
    <x v="99"/>
    <n v="30160"/>
    <x v="5"/>
    <n v="11"/>
    <n v="11"/>
    <n v="11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066"/>
    <x v="77"/>
    <n v="-3143"/>
    <n v="-3143"/>
    <n v="0"/>
    <n v="3143"/>
    <n v="0"/>
    <n v="3143"/>
    <n v="3143"/>
    <n v="0"/>
    <n v="0"/>
    <n v="0"/>
    <n v="0"/>
    <n v="0"/>
    <n v="0"/>
    <n v="15724"/>
  </r>
  <r>
    <n v="42"/>
    <x v="4"/>
    <s v="00/05/09"/>
    <s v="1400/05/09"/>
    <x v="99"/>
    <n v="30160"/>
    <x v="5"/>
    <n v="141"/>
    <n v="141"/>
    <n v="141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24"/>
    <x v="106"/>
    <n v="-1001"/>
    <n v="-1001"/>
    <n v="0"/>
    <n v="1001"/>
    <n v="0"/>
    <n v="1001"/>
    <n v="1001"/>
    <n v="0"/>
    <n v="0"/>
    <n v="0"/>
    <n v="0"/>
    <n v="0"/>
    <n v="0"/>
    <n v="15724"/>
  </r>
  <r>
    <n v="42"/>
    <x v="4"/>
    <s v="00/05/09"/>
    <s v="1400/05/09"/>
    <x v="99"/>
    <n v="30009"/>
    <x v="66"/>
    <n v="1964"/>
    <n v="1964"/>
    <n v="1964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40"/>
    <x v="29"/>
    <n v="1670"/>
    <n v="1670"/>
    <n v="1670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003"/>
    <x v="79"/>
    <n v="2335"/>
    <n v="2335"/>
    <n v="2335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128"/>
    <x v="109"/>
    <n v="136"/>
    <n v="136"/>
    <n v="136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128"/>
    <x v="109"/>
    <n v="84"/>
    <n v="84"/>
    <n v="84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003"/>
    <x v="65"/>
    <n v="1457"/>
    <n v="1457"/>
    <n v="1457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30013"/>
    <x v="110"/>
    <n v="-40"/>
    <n v="-40"/>
    <n v="0"/>
    <n v="40"/>
    <n v="0"/>
    <n v="40"/>
    <n v="40"/>
    <n v="0"/>
    <n v="0"/>
    <n v="0"/>
    <n v="0"/>
    <n v="0"/>
    <n v="0"/>
    <n v="15724"/>
  </r>
  <r>
    <n v="42"/>
    <x v="4"/>
    <s v="00/05/10"/>
    <s v="1400/05/10"/>
    <x v="100"/>
    <n v="10057"/>
    <x v="33"/>
    <n v="72"/>
    <n v="72"/>
    <n v="72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30066"/>
    <x v="77"/>
    <n v="-4814"/>
    <n v="-4814"/>
    <n v="0"/>
    <n v="4814"/>
    <n v="0"/>
    <n v="4814"/>
    <n v="4814"/>
    <n v="0"/>
    <n v="0"/>
    <n v="0"/>
    <n v="0"/>
    <n v="0"/>
    <n v="0"/>
    <n v="15724"/>
  </r>
  <r>
    <n v="42"/>
    <x v="4"/>
    <s v="00/05/10"/>
    <s v="1400/05/10"/>
    <x v="100"/>
    <n v="10057"/>
    <x v="33"/>
    <n v="169"/>
    <n v="169"/>
    <n v="169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10057"/>
    <x v="33"/>
    <n v="-2276"/>
    <n v="-2276"/>
    <n v="0"/>
    <n v="2276"/>
    <n v="0"/>
    <n v="2276"/>
    <n v="2276"/>
    <n v="0"/>
    <n v="0"/>
    <n v="0"/>
    <n v="0"/>
    <n v="0"/>
    <n v="0"/>
    <n v="15724"/>
  </r>
  <r>
    <n v="42"/>
    <x v="4"/>
    <s v="00/05/10"/>
    <s v="1400/05/10"/>
    <x v="100"/>
    <n v="10084"/>
    <x v="37"/>
    <n v="630"/>
    <n v="630"/>
    <n v="630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10084"/>
    <x v="37"/>
    <n v="-1448"/>
    <n v="-1448"/>
    <n v="0"/>
    <n v="1448"/>
    <n v="0"/>
    <n v="1448"/>
    <n v="1448"/>
    <n v="0"/>
    <n v="0"/>
    <n v="0"/>
    <n v="0"/>
    <n v="0"/>
    <n v="0"/>
    <n v="15724"/>
  </r>
  <r>
    <n v="42"/>
    <x v="4"/>
    <s v="00/05/10"/>
    <s v="1400/05/10"/>
    <x v="100"/>
    <n v="30009"/>
    <x v="66"/>
    <n v="1859"/>
    <n v="1859"/>
    <n v="1859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30186"/>
    <x v="102"/>
    <n v="1221"/>
    <n v="1221"/>
    <n v="1221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10057"/>
    <x v="33"/>
    <n v="770"/>
    <n v="770"/>
    <n v="770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30018"/>
    <x v="1"/>
    <n v="-1994"/>
    <n v="-1994"/>
    <n v="0"/>
    <n v="1994"/>
    <n v="0"/>
    <n v="1994"/>
    <n v="1994"/>
    <n v="0"/>
    <n v="0"/>
    <n v="0"/>
    <n v="0"/>
    <n v="0"/>
    <n v="0"/>
    <n v="15724"/>
  </r>
  <r>
    <n v="42"/>
    <x v="4"/>
    <s v="00/05/11"/>
    <s v="1400/05/11"/>
    <x v="101"/>
    <n v="30018"/>
    <x v="1"/>
    <n v="64"/>
    <n v="64"/>
    <n v="64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30191"/>
    <x v="114"/>
    <n v="-938"/>
    <n v="-938"/>
    <n v="0"/>
    <n v="938"/>
    <n v="0"/>
    <n v="938"/>
    <n v="938"/>
    <n v="0"/>
    <n v="0"/>
    <n v="0"/>
    <n v="0"/>
    <n v="0"/>
    <n v="0"/>
    <n v="15724"/>
  </r>
  <r>
    <n v="42"/>
    <x v="4"/>
    <s v="00/05/11"/>
    <s v="1400/05/11"/>
    <x v="101"/>
    <n v="30018"/>
    <x v="1"/>
    <n v="1651"/>
    <n v="1651"/>
    <n v="1651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10003"/>
    <x v="79"/>
    <n v="-2734"/>
    <n v="-2734"/>
    <n v="0"/>
    <n v="2734"/>
    <n v="0"/>
    <n v="2734"/>
    <n v="2734"/>
    <n v="0"/>
    <n v="0"/>
    <n v="0"/>
    <n v="0"/>
    <n v="0"/>
    <n v="0"/>
    <n v="15724"/>
  </r>
  <r>
    <n v="42"/>
    <x v="4"/>
    <s v="00/05/11"/>
    <s v="1400/05/11"/>
    <x v="101"/>
    <n v="10084"/>
    <x v="37"/>
    <n v="712"/>
    <n v="712"/>
    <n v="712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10055"/>
    <x v="80"/>
    <n v="-5134"/>
    <n v="-5134"/>
    <n v="0"/>
    <n v="5134"/>
    <n v="0"/>
    <n v="5134"/>
    <n v="5134"/>
    <n v="0"/>
    <n v="0"/>
    <n v="0"/>
    <n v="0"/>
    <n v="0"/>
    <n v="0"/>
    <n v="15724"/>
  </r>
  <r>
    <n v="42"/>
    <x v="4"/>
    <s v="00/05/11"/>
    <s v="1400/05/11"/>
    <x v="101"/>
    <n v="30018"/>
    <x v="1"/>
    <n v="138"/>
    <n v="138"/>
    <n v="138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30004"/>
    <x v="2"/>
    <n v="-2640"/>
    <n v="-2640"/>
    <n v="0"/>
    <n v="2640"/>
    <n v="0"/>
    <n v="2640"/>
    <n v="2640"/>
    <n v="0"/>
    <n v="0"/>
    <n v="0"/>
    <n v="0"/>
    <n v="0"/>
    <n v="0"/>
    <n v="15724"/>
  </r>
  <r>
    <n v="42"/>
    <x v="4"/>
    <s v="00/05/12"/>
    <s v="1400/05/12"/>
    <x v="102"/>
    <n v="30004"/>
    <x v="2"/>
    <n v="1652"/>
    <n v="1652"/>
    <n v="1652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30003"/>
    <x v="65"/>
    <n v="-2096"/>
    <n v="-2096"/>
    <n v="0"/>
    <n v="2096"/>
    <n v="0"/>
    <n v="2096"/>
    <n v="2096"/>
    <n v="0"/>
    <n v="0"/>
    <n v="0"/>
    <n v="0"/>
    <n v="0"/>
    <n v="0"/>
    <n v="15724"/>
  </r>
  <r>
    <n v="42"/>
    <x v="4"/>
    <s v="00/05/12"/>
    <s v="1400/05/12"/>
    <x v="102"/>
    <n v="10055"/>
    <x v="80"/>
    <n v="6046"/>
    <n v="6046"/>
    <n v="6046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10003"/>
    <x v="79"/>
    <n v="-823"/>
    <n v="-823"/>
    <n v="0"/>
    <n v="823"/>
    <n v="0"/>
    <n v="823"/>
    <n v="823"/>
    <n v="0"/>
    <n v="0"/>
    <n v="0"/>
    <n v="0"/>
    <n v="0"/>
    <n v="0"/>
    <n v="15724"/>
  </r>
  <r>
    <n v="42"/>
    <x v="4"/>
    <s v="00/05/12"/>
    <s v="1400/05/12"/>
    <x v="102"/>
    <n v="30004"/>
    <x v="2"/>
    <n v="422"/>
    <n v="422"/>
    <n v="422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30003"/>
    <x v="65"/>
    <n v="694"/>
    <n v="694"/>
    <n v="694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10026"/>
    <x v="81"/>
    <n v="3260"/>
    <n v="3260"/>
    <n v="3260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066"/>
    <x v="77"/>
    <n v="-5617"/>
    <n v="-5617"/>
    <n v="0"/>
    <n v="5617"/>
    <n v="0"/>
    <n v="5617"/>
    <n v="5617"/>
    <n v="0"/>
    <n v="0"/>
    <n v="0"/>
    <n v="0"/>
    <n v="0"/>
    <n v="0"/>
    <n v="15724"/>
  </r>
  <r>
    <n v="42"/>
    <x v="4"/>
    <s v="00/05/13"/>
    <s v="1400/05/13"/>
    <x v="103"/>
    <n v="30146"/>
    <x v="64"/>
    <n v="692"/>
    <n v="692"/>
    <n v="692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146"/>
    <x v="64"/>
    <n v="-3235"/>
    <n v="-3235"/>
    <n v="0"/>
    <n v="3235"/>
    <n v="0"/>
    <n v="3235"/>
    <n v="3235"/>
    <n v="0"/>
    <n v="0"/>
    <n v="0"/>
    <n v="0"/>
    <n v="0"/>
    <n v="0"/>
    <n v="15724"/>
  </r>
  <r>
    <n v="42"/>
    <x v="4"/>
    <s v="00/05/13"/>
    <s v="1400/05/13"/>
    <x v="103"/>
    <n v="30146"/>
    <x v="64"/>
    <n v="165"/>
    <n v="165"/>
    <n v="165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10003"/>
    <x v="79"/>
    <n v="-1980"/>
    <n v="-1980"/>
    <n v="0"/>
    <n v="1980"/>
    <n v="0"/>
    <n v="1980"/>
    <n v="1980"/>
    <n v="0"/>
    <n v="0"/>
    <n v="0"/>
    <n v="0"/>
    <n v="0"/>
    <n v="0"/>
    <n v="15724"/>
  </r>
  <r>
    <n v="42"/>
    <x v="4"/>
    <s v="00/05/13"/>
    <s v="1400/05/13"/>
    <x v="103"/>
    <n v="30146"/>
    <x v="64"/>
    <n v="488"/>
    <n v="488"/>
    <n v="488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10055"/>
    <x v="80"/>
    <n v="-4994"/>
    <n v="-4994"/>
    <n v="0"/>
    <n v="4994"/>
    <n v="0"/>
    <n v="4994"/>
    <n v="4994"/>
    <n v="0"/>
    <n v="0"/>
    <n v="0"/>
    <n v="0"/>
    <n v="0"/>
    <n v="0"/>
    <n v="15724"/>
  </r>
  <r>
    <n v="42"/>
    <x v="4"/>
    <s v="00/05/13"/>
    <s v="1400/05/13"/>
    <x v="103"/>
    <n v="30066"/>
    <x v="77"/>
    <n v="3667"/>
    <n v="3667"/>
    <n v="3667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017"/>
    <x v="83"/>
    <n v="292"/>
    <n v="292"/>
    <n v="292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017"/>
    <x v="83"/>
    <n v="2142"/>
    <n v="2142"/>
    <n v="2142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191"/>
    <x v="114"/>
    <n v="920"/>
    <n v="920"/>
    <n v="920"/>
    <n v="0"/>
    <n v="0"/>
    <n v="0"/>
    <n v="0"/>
    <n v="0"/>
    <n v="0"/>
    <n v="0"/>
    <n v="0"/>
    <n v="0"/>
    <n v="0"/>
    <n v="15724"/>
  </r>
  <r>
    <n v="42"/>
    <x v="4"/>
    <s v="00/05/14"/>
    <s v="1400/05/14"/>
    <x v="104"/>
    <n v="30014"/>
    <x v="41"/>
    <n v="-998"/>
    <n v="-998"/>
    <n v="0"/>
    <n v="998"/>
    <n v="0"/>
    <n v="998"/>
    <n v="998"/>
    <n v="0"/>
    <n v="0"/>
    <n v="0"/>
    <n v="0"/>
    <n v="0"/>
    <n v="0"/>
    <n v="15724"/>
  </r>
  <r>
    <n v="43"/>
    <x v="4"/>
    <s v="00/05/14"/>
    <s v="1400/05/14"/>
    <x v="104"/>
    <n v="30127"/>
    <x v="99"/>
    <n v="520"/>
    <n v="520"/>
    <n v="520"/>
    <n v="0"/>
    <n v="0"/>
    <n v="0"/>
    <n v="0"/>
    <n v="0"/>
    <n v="0"/>
    <n v="0"/>
    <n v="0"/>
    <n v="0"/>
    <n v="0"/>
    <n v="15204"/>
  </r>
  <r>
    <n v="43"/>
    <x v="4"/>
    <s v="00/05/14"/>
    <s v="1400/05/14"/>
    <x v="104"/>
    <n v="30137"/>
    <x v="101"/>
    <n v="-37"/>
    <n v="-37"/>
    <n v="0"/>
    <n v="37"/>
    <n v="0"/>
    <n v="37"/>
    <n v="37"/>
    <n v="0"/>
    <n v="0"/>
    <n v="0"/>
    <n v="0"/>
    <n v="0"/>
    <n v="0"/>
    <n v="15204"/>
  </r>
  <r>
    <n v="43"/>
    <x v="4"/>
    <s v="00/05/14"/>
    <s v="1400/05/14"/>
    <x v="104"/>
    <n v="30014"/>
    <x v="41"/>
    <n v="3218"/>
    <n v="3218"/>
    <n v="3218"/>
    <n v="0"/>
    <n v="0"/>
    <n v="0"/>
    <n v="0"/>
    <n v="0"/>
    <n v="0"/>
    <n v="0"/>
    <n v="0"/>
    <n v="0"/>
    <n v="0"/>
    <n v="15204"/>
  </r>
  <r>
    <n v="43"/>
    <x v="4"/>
    <s v="00/05/14"/>
    <s v="1400/05/14"/>
    <x v="104"/>
    <n v="30009"/>
    <x v="66"/>
    <n v="-493"/>
    <n v="-493"/>
    <n v="0"/>
    <n v="493"/>
    <n v="0"/>
    <n v="493"/>
    <n v="493"/>
    <n v="0"/>
    <n v="0"/>
    <n v="0"/>
    <n v="0"/>
    <n v="0"/>
    <n v="0"/>
    <n v="15204"/>
  </r>
  <r>
    <n v="43"/>
    <x v="4"/>
    <s v="00/05/14"/>
    <s v="1400/05/14"/>
    <x v="104"/>
    <n v="30014"/>
    <x v="41"/>
    <n v="696"/>
    <n v="696"/>
    <n v="696"/>
    <n v="0"/>
    <n v="0"/>
    <n v="0"/>
    <n v="0"/>
    <n v="0"/>
    <n v="0"/>
    <n v="0"/>
    <n v="0"/>
    <n v="0"/>
    <n v="0"/>
    <n v="15204"/>
  </r>
  <r>
    <n v="43"/>
    <x v="4"/>
    <s v="00/05/14"/>
    <s v="1400/05/14"/>
    <x v="104"/>
    <n v="30009"/>
    <x v="66"/>
    <n v="1593"/>
    <n v="1593"/>
    <n v="1593"/>
    <n v="0"/>
    <n v="0"/>
    <n v="0"/>
    <n v="0"/>
    <n v="0"/>
    <n v="0"/>
    <n v="0"/>
    <n v="0"/>
    <n v="0"/>
    <n v="0"/>
    <n v="15204"/>
  </r>
  <r>
    <n v="44"/>
    <x v="4"/>
    <s v="00/05/14"/>
    <s v="1400/05/14"/>
    <x v="104"/>
    <n v="30127"/>
    <x v="99"/>
    <n v="1832"/>
    <n v="1832"/>
    <n v="1832"/>
    <n v="0"/>
    <n v="0"/>
    <n v="0"/>
    <n v="0"/>
    <n v="0"/>
    <n v="0"/>
    <n v="0"/>
    <n v="0"/>
    <n v="0"/>
    <n v="0"/>
    <n v="13372"/>
  </r>
  <r>
    <n v="44"/>
    <x v="4"/>
    <s v="00/05/14"/>
    <s v="1400/05/14"/>
    <x v="104"/>
    <n v="30186"/>
    <x v="102"/>
    <n v="1731"/>
    <n v="1731"/>
    <n v="1731"/>
    <n v="0"/>
    <n v="0"/>
    <n v="0"/>
    <n v="0"/>
    <n v="0"/>
    <n v="0"/>
    <n v="0"/>
    <n v="0"/>
    <n v="0"/>
    <n v="0"/>
    <n v="13372"/>
  </r>
  <r>
    <n v="44"/>
    <x v="4"/>
    <s v="00/05/14"/>
    <s v="1400/05/14"/>
    <x v="104"/>
    <n v="30066"/>
    <x v="77"/>
    <n v="3270"/>
    <n v="3270"/>
    <n v="327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004"/>
    <x v="2"/>
    <n v="-4440"/>
    <n v="-4440"/>
    <n v="0"/>
    <n v="4440"/>
    <n v="0"/>
    <n v="4440"/>
    <n v="4440"/>
    <n v="0"/>
    <n v="0"/>
    <n v="0"/>
    <n v="0"/>
    <n v="0"/>
    <n v="0"/>
    <n v="13372"/>
  </r>
  <r>
    <n v="44"/>
    <x v="4"/>
    <s v="00/05/16"/>
    <s v="1400/05/16"/>
    <x v="105"/>
    <n v="30066"/>
    <x v="77"/>
    <n v="4191"/>
    <n v="4191"/>
    <n v="4191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009"/>
    <x v="66"/>
    <n v="-2064"/>
    <n v="-2064"/>
    <n v="0"/>
    <n v="2064"/>
    <n v="0"/>
    <n v="2064"/>
    <n v="2064"/>
    <n v="0"/>
    <n v="0"/>
    <n v="0"/>
    <n v="0"/>
    <n v="0"/>
    <n v="0"/>
    <n v="13372"/>
  </r>
  <r>
    <n v="44"/>
    <x v="4"/>
    <s v="00/05/16"/>
    <s v="1400/05/16"/>
    <x v="105"/>
    <n v="30004"/>
    <x v="2"/>
    <n v="10000"/>
    <n v="10000"/>
    <n v="1000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131"/>
    <x v="93"/>
    <n v="-5503"/>
    <n v="-5503"/>
    <n v="0"/>
    <n v="5503"/>
    <n v="0"/>
    <n v="5503"/>
    <n v="5503"/>
    <n v="0"/>
    <n v="0"/>
    <n v="0"/>
    <n v="0"/>
    <n v="0"/>
    <n v="0"/>
    <n v="13372"/>
  </r>
  <r>
    <n v="44"/>
    <x v="4"/>
    <s v="00/05/16"/>
    <s v="1400/05/16"/>
    <x v="105"/>
    <n v="30004"/>
    <x v="2"/>
    <n v="728"/>
    <n v="728"/>
    <n v="728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10003"/>
    <x v="79"/>
    <n v="-2052"/>
    <n v="-2052"/>
    <n v="0"/>
    <n v="2052"/>
    <n v="0"/>
    <n v="2052"/>
    <n v="2052"/>
    <n v="0"/>
    <n v="0"/>
    <n v="0"/>
    <n v="0"/>
    <n v="0"/>
    <n v="0"/>
    <n v="13372"/>
  </r>
  <r>
    <n v="44"/>
    <x v="4"/>
    <s v="00/05/16"/>
    <s v="1400/05/16"/>
    <x v="105"/>
    <n v="30004"/>
    <x v="2"/>
    <n v="2770"/>
    <n v="2770"/>
    <n v="277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10026"/>
    <x v="81"/>
    <n v="-1186"/>
    <n v="-1186"/>
    <n v="0"/>
    <n v="1186"/>
    <n v="0"/>
    <n v="1186"/>
    <n v="1186"/>
    <n v="0"/>
    <n v="0"/>
    <n v="0"/>
    <n v="0"/>
    <n v="0"/>
    <n v="0"/>
    <n v="13372"/>
  </r>
  <r>
    <n v="44"/>
    <x v="4"/>
    <s v="00/05/16"/>
    <s v="1400/05/16"/>
    <x v="105"/>
    <n v="10003"/>
    <x v="79"/>
    <n v="2247"/>
    <n v="2247"/>
    <n v="2247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10104"/>
    <x v="76"/>
    <n v="-278"/>
    <n v="-278"/>
    <n v="0"/>
    <n v="278"/>
    <n v="0"/>
    <n v="278"/>
    <n v="278"/>
    <n v="0"/>
    <n v="0"/>
    <n v="0"/>
    <n v="0"/>
    <n v="0"/>
    <n v="0"/>
    <n v="13372"/>
  </r>
  <r>
    <n v="44"/>
    <x v="4"/>
    <s v="00/05/16"/>
    <s v="1400/05/16"/>
    <x v="105"/>
    <n v="30131"/>
    <x v="93"/>
    <n v="490"/>
    <n v="490"/>
    <n v="49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131"/>
    <x v="93"/>
    <n v="3990"/>
    <n v="3990"/>
    <n v="399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009"/>
    <x v="66"/>
    <n v="2020"/>
    <n v="2020"/>
    <n v="202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131"/>
    <x v="93"/>
    <n v="712"/>
    <n v="712"/>
    <n v="712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022"/>
    <x v="75"/>
    <n v="-5202"/>
    <n v="-5202"/>
    <n v="0"/>
    <n v="5202"/>
    <n v="0"/>
    <n v="5202"/>
    <n v="5202"/>
    <n v="0"/>
    <n v="0"/>
    <n v="0"/>
    <n v="0"/>
    <n v="0"/>
    <n v="0"/>
    <n v="13372"/>
  </r>
  <r>
    <n v="44"/>
    <x v="4"/>
    <s v="00/05/17"/>
    <s v="1400/05/17"/>
    <x v="106"/>
    <n v="30022"/>
    <x v="75"/>
    <n v="4386"/>
    <n v="4386"/>
    <n v="4386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081"/>
    <x v="67"/>
    <n v="-1982"/>
    <n v="-1982"/>
    <n v="0"/>
    <n v="1982"/>
    <n v="0"/>
    <n v="1982"/>
    <n v="1982"/>
    <n v="0"/>
    <n v="0"/>
    <n v="0"/>
    <n v="0"/>
    <n v="0"/>
    <n v="0"/>
    <n v="13372"/>
  </r>
  <r>
    <n v="44"/>
    <x v="4"/>
    <s v="00/05/17"/>
    <s v="1400/05/17"/>
    <x v="106"/>
    <n v="10026"/>
    <x v="81"/>
    <n v="2949"/>
    <n v="2949"/>
    <n v="2949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186"/>
    <x v="102"/>
    <n v="-999"/>
    <n v="-999"/>
    <n v="0"/>
    <n v="999"/>
    <n v="0"/>
    <n v="999"/>
    <n v="999"/>
    <n v="0"/>
    <n v="0"/>
    <n v="0"/>
    <n v="0"/>
    <n v="0"/>
    <n v="0"/>
    <n v="13372"/>
  </r>
  <r>
    <n v="44"/>
    <x v="4"/>
    <s v="00/05/17"/>
    <s v="1400/05/17"/>
    <x v="106"/>
    <n v="30009"/>
    <x v="66"/>
    <n v="1877"/>
    <n v="1877"/>
    <n v="1877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009"/>
    <x v="66"/>
    <n v="-2052"/>
    <n v="-2052"/>
    <n v="0"/>
    <n v="2052"/>
    <n v="0"/>
    <n v="2052"/>
    <n v="2052"/>
    <n v="0"/>
    <n v="0"/>
    <n v="0"/>
    <n v="0"/>
    <n v="0"/>
    <n v="0"/>
    <n v="13372"/>
  </r>
  <r>
    <n v="44"/>
    <x v="4"/>
    <s v="00/05/17"/>
    <s v="1400/05/17"/>
    <x v="106"/>
    <n v="30186"/>
    <x v="102"/>
    <n v="1866"/>
    <n v="1866"/>
    <n v="1866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10003"/>
    <x v="79"/>
    <n v="-1025"/>
    <n v="-1025"/>
    <n v="0"/>
    <n v="1025"/>
    <n v="0"/>
    <n v="1025"/>
    <n v="1025"/>
    <n v="0"/>
    <n v="0"/>
    <n v="0"/>
    <n v="0"/>
    <n v="0"/>
    <n v="0"/>
    <n v="13372"/>
  </r>
  <r>
    <n v="44"/>
    <x v="4"/>
    <s v="00/05/17"/>
    <s v="1400/05/17"/>
    <x v="106"/>
    <n v="10026"/>
    <x v="81"/>
    <n v="-1867"/>
    <n v="-1867"/>
    <n v="0"/>
    <n v="1867"/>
    <n v="0"/>
    <n v="1867"/>
    <n v="1867"/>
    <n v="0"/>
    <n v="0"/>
    <n v="0"/>
    <n v="0"/>
    <n v="0"/>
    <n v="0"/>
    <n v="13372"/>
  </r>
  <r>
    <n v="44"/>
    <x v="4"/>
    <s v="00/05/17"/>
    <s v="1400/05/17"/>
    <x v="106"/>
    <n v="10055"/>
    <x v="80"/>
    <n v="-4820"/>
    <n v="-4820"/>
    <n v="0"/>
    <n v="4820"/>
    <n v="0"/>
    <n v="4820"/>
    <n v="4820"/>
    <n v="0"/>
    <n v="0"/>
    <n v="0"/>
    <n v="0"/>
    <n v="0"/>
    <n v="0"/>
    <n v="13372"/>
  </r>
  <r>
    <n v="44"/>
    <x v="4"/>
    <s v="00/05/18"/>
    <s v="1400/05/18"/>
    <x v="107"/>
    <n v="30004"/>
    <x v="2"/>
    <n v="2024"/>
    <n v="2024"/>
    <n v="2024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30081"/>
    <x v="67"/>
    <n v="-3771"/>
    <n v="-3771"/>
    <n v="0"/>
    <n v="3771"/>
    <n v="0"/>
    <n v="3771"/>
    <n v="3771"/>
    <n v="0"/>
    <n v="0"/>
    <n v="0"/>
    <n v="0"/>
    <n v="0"/>
    <n v="0"/>
    <n v="13372"/>
  </r>
  <r>
    <n v="44"/>
    <x v="4"/>
    <s v="00/05/18"/>
    <s v="1400/05/18"/>
    <x v="107"/>
    <n v="30146"/>
    <x v="64"/>
    <n v="2764"/>
    <n v="2764"/>
    <n v="2764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30066"/>
    <x v="77"/>
    <n v="-4428"/>
    <n v="-4428"/>
    <n v="0"/>
    <n v="4428"/>
    <n v="0"/>
    <n v="4428"/>
    <n v="4428"/>
    <n v="0"/>
    <n v="0"/>
    <n v="0"/>
    <n v="0"/>
    <n v="0"/>
    <n v="0"/>
    <n v="13372"/>
  </r>
  <r>
    <n v="44"/>
    <x v="4"/>
    <s v="00/05/18"/>
    <s v="1400/05/18"/>
    <x v="107"/>
    <n v="30066"/>
    <x v="77"/>
    <n v="3122"/>
    <n v="3122"/>
    <n v="3122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10026"/>
    <x v="81"/>
    <n v="-4018"/>
    <n v="-4018"/>
    <n v="0"/>
    <n v="4018"/>
    <n v="0"/>
    <n v="4018"/>
    <n v="4018"/>
    <n v="0"/>
    <n v="0"/>
    <n v="0"/>
    <n v="0"/>
    <n v="0"/>
    <n v="0"/>
    <n v="13372"/>
  </r>
  <r>
    <n v="44"/>
    <x v="4"/>
    <s v="00/05/18"/>
    <s v="1400/05/18"/>
    <x v="107"/>
    <n v="10055"/>
    <x v="80"/>
    <n v="4519"/>
    <n v="4519"/>
    <n v="4519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30022"/>
    <x v="75"/>
    <n v="-5253"/>
    <n v="-5253"/>
    <n v="0"/>
    <n v="5253"/>
    <n v="0"/>
    <n v="5253"/>
    <n v="5253"/>
    <n v="0"/>
    <n v="0"/>
    <n v="0"/>
    <n v="0"/>
    <n v="0"/>
    <n v="0"/>
    <n v="13372"/>
  </r>
  <r>
    <n v="44"/>
    <x v="4"/>
    <s v="00/05/18"/>
    <s v="1400/05/18"/>
    <x v="107"/>
    <n v="30131"/>
    <x v="93"/>
    <n v="214"/>
    <n v="214"/>
    <n v="214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30081"/>
    <x v="67"/>
    <n v="-1821"/>
    <n v="-1821"/>
    <n v="0"/>
    <n v="1821"/>
    <n v="0"/>
    <n v="1821"/>
    <n v="1821"/>
    <n v="0"/>
    <n v="0"/>
    <n v="0"/>
    <n v="0"/>
    <n v="0"/>
    <n v="0"/>
    <n v="13372"/>
  </r>
  <r>
    <n v="44"/>
    <x v="4"/>
    <s v="00/05/19"/>
    <s v="1400/05/19"/>
    <x v="108"/>
    <n v="10004"/>
    <x v="21"/>
    <n v="1286"/>
    <n v="1286"/>
    <n v="1286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30009"/>
    <x v="66"/>
    <n v="-1030"/>
    <n v="-1030"/>
    <n v="0"/>
    <n v="1030"/>
    <n v="0"/>
    <n v="1030"/>
    <n v="1030"/>
    <n v="0"/>
    <n v="0"/>
    <n v="0"/>
    <n v="0"/>
    <n v="0"/>
    <n v="0"/>
    <n v="13372"/>
  </r>
  <r>
    <n v="44"/>
    <x v="4"/>
    <s v="00/05/19"/>
    <s v="1400/05/19"/>
    <x v="108"/>
    <n v="10026"/>
    <x v="81"/>
    <n v="15000"/>
    <n v="15000"/>
    <n v="15000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10026"/>
    <x v="81"/>
    <n v="-1894"/>
    <n v="-1894"/>
    <n v="0"/>
    <n v="1894"/>
    <n v="0"/>
    <n v="1894"/>
    <n v="1894"/>
    <n v="0"/>
    <n v="0"/>
    <n v="0"/>
    <n v="0"/>
    <n v="0"/>
    <n v="0"/>
    <n v="13372"/>
  </r>
  <r>
    <n v="44"/>
    <x v="4"/>
    <s v="00/05/19"/>
    <s v="1400/05/19"/>
    <x v="108"/>
    <n v="30009"/>
    <x v="66"/>
    <n v="1836"/>
    <n v="1836"/>
    <n v="1836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10002"/>
    <x v="117"/>
    <n v="-1502"/>
    <n v="-1502"/>
    <n v="0"/>
    <n v="1502"/>
    <n v="0"/>
    <n v="1502"/>
    <n v="1502"/>
    <n v="0"/>
    <n v="0"/>
    <n v="0"/>
    <n v="0"/>
    <n v="0"/>
    <n v="0"/>
    <n v="13372"/>
  </r>
  <r>
    <n v="45"/>
    <x v="4"/>
    <s v="00/05/19"/>
    <s v="1400/05/19"/>
    <x v="108"/>
    <n v="30127"/>
    <x v="99"/>
    <n v="13589"/>
    <n v="13589"/>
    <n v="13589"/>
    <n v="0"/>
    <n v="0"/>
    <n v="0"/>
    <n v="0"/>
    <n v="0"/>
    <n v="0"/>
    <n v="0"/>
    <n v="0"/>
    <n v="0"/>
    <n v="0"/>
    <n v="-217"/>
  </r>
  <r>
    <n v="45"/>
    <x v="4"/>
    <s v="00/05/19"/>
    <s v="1400/05/19"/>
    <x v="108"/>
    <n v="10004"/>
    <x v="21"/>
    <n v="-1000"/>
    <n v="-1000"/>
    <n v="0"/>
    <n v="1000"/>
    <n v="0"/>
    <n v="1000"/>
    <n v="1000"/>
    <n v="0"/>
    <n v="0"/>
    <n v="0"/>
    <n v="0"/>
    <n v="0"/>
    <n v="0"/>
    <n v="-217"/>
  </r>
  <r>
    <n v="45"/>
    <x v="4"/>
    <s v="00/05/19"/>
    <s v="1400/05/19"/>
    <x v="108"/>
    <n v="10002"/>
    <x v="117"/>
    <n v="1502"/>
    <n v="1502"/>
    <n v="1502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004"/>
    <x v="2"/>
    <n v="-4238"/>
    <n v="-4238"/>
    <n v="0"/>
    <n v="4238"/>
    <n v="0"/>
    <n v="4238"/>
    <n v="4238"/>
    <n v="0"/>
    <n v="0"/>
    <n v="0"/>
    <n v="0"/>
    <n v="0"/>
    <n v="0"/>
    <n v="-217"/>
  </r>
  <r>
    <n v="45"/>
    <x v="4"/>
    <s v="00/05/20"/>
    <s v="1400/05/20"/>
    <x v="109"/>
    <n v="10055"/>
    <x v="80"/>
    <n v="5354"/>
    <n v="5354"/>
    <n v="5354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128"/>
    <x v="109"/>
    <n v="-500"/>
    <n v="-500"/>
    <n v="0"/>
    <n v="500"/>
    <n v="0"/>
    <n v="500"/>
    <n v="500"/>
    <n v="0"/>
    <n v="0"/>
    <n v="0"/>
    <n v="0"/>
    <n v="0"/>
    <n v="0"/>
    <n v="-217"/>
  </r>
  <r>
    <n v="45"/>
    <x v="4"/>
    <s v="00/05/20"/>
    <s v="1400/05/20"/>
    <x v="109"/>
    <n v="30009"/>
    <x v="66"/>
    <n v="1407"/>
    <n v="1407"/>
    <n v="1407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009"/>
    <x v="66"/>
    <n v="-1944"/>
    <n v="-1944"/>
    <n v="0"/>
    <n v="1944"/>
    <n v="0"/>
    <n v="1944"/>
    <n v="1944"/>
    <n v="0"/>
    <n v="0"/>
    <n v="0"/>
    <n v="0"/>
    <n v="0"/>
    <n v="0"/>
    <n v="-217"/>
  </r>
  <r>
    <n v="45"/>
    <x v="4"/>
    <s v="00/05/20"/>
    <s v="1400/05/20"/>
    <x v="109"/>
    <n v="10128"/>
    <x v="109"/>
    <n v="271"/>
    <n v="271"/>
    <n v="271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009"/>
    <x v="66"/>
    <n v="-322"/>
    <n v="-322"/>
    <n v="0"/>
    <n v="322"/>
    <n v="0"/>
    <n v="322"/>
    <n v="322"/>
    <n v="0"/>
    <n v="0"/>
    <n v="0"/>
    <n v="0"/>
    <n v="0"/>
    <n v="0"/>
    <n v="-217"/>
  </r>
  <r>
    <n v="45"/>
    <x v="4"/>
    <s v="00/05/20"/>
    <s v="1400/05/20"/>
    <x v="109"/>
    <n v="10003"/>
    <x v="79"/>
    <n v="2768"/>
    <n v="2768"/>
    <n v="2768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026"/>
    <x v="81"/>
    <n v="-3696"/>
    <n v="-3696"/>
    <n v="0"/>
    <n v="3696"/>
    <n v="0"/>
    <n v="3696"/>
    <n v="3696"/>
    <n v="0"/>
    <n v="0"/>
    <n v="0"/>
    <n v="0"/>
    <n v="0"/>
    <n v="0"/>
    <n v="-217"/>
  </r>
  <r>
    <n v="45"/>
    <x v="4"/>
    <s v="00/05/20"/>
    <s v="1400/05/20"/>
    <x v="109"/>
    <n v="30066"/>
    <x v="77"/>
    <n v="4107"/>
    <n v="4107"/>
    <n v="4107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020"/>
    <x v="40"/>
    <n v="-1012"/>
    <n v="-1012"/>
    <n v="0"/>
    <n v="1012"/>
    <n v="0"/>
    <n v="1012"/>
    <n v="1012"/>
    <n v="0"/>
    <n v="0"/>
    <n v="0"/>
    <n v="0"/>
    <n v="0"/>
    <n v="0"/>
    <n v="-217"/>
  </r>
  <r>
    <n v="45"/>
    <x v="4"/>
    <s v="00/05/20"/>
    <s v="1400/05/20"/>
    <x v="109"/>
    <n v="10127"/>
    <x v="104"/>
    <n v="1312"/>
    <n v="1312"/>
    <n v="1312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190"/>
    <x v="111"/>
    <n v="-4047"/>
    <n v="-4047"/>
    <n v="0"/>
    <n v="4047"/>
    <n v="0"/>
    <n v="4047"/>
    <n v="4047"/>
    <n v="0"/>
    <n v="0"/>
    <n v="0"/>
    <n v="0"/>
    <n v="0"/>
    <n v="0"/>
    <n v="-217"/>
  </r>
  <r>
    <n v="45"/>
    <x v="4"/>
    <s v="00/05/20"/>
    <s v="1400/05/20"/>
    <x v="109"/>
    <n v="10127"/>
    <x v="104"/>
    <n v="286"/>
    <n v="286"/>
    <n v="286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119"/>
    <x v="100"/>
    <n v="-610"/>
    <n v="-610"/>
    <n v="0"/>
    <n v="610"/>
    <n v="0"/>
    <n v="610"/>
    <n v="610"/>
    <n v="0"/>
    <n v="0"/>
    <n v="0"/>
    <n v="0"/>
    <n v="0"/>
    <n v="0"/>
    <n v="-217"/>
  </r>
  <r>
    <n v="45"/>
    <x v="4"/>
    <s v="00/05/21"/>
    <s v="1400/05/21"/>
    <x v="110"/>
    <n v="10020"/>
    <x v="40"/>
    <n v="1023"/>
    <n v="1023"/>
    <n v="1023"/>
    <n v="0"/>
    <n v="0"/>
    <n v="0"/>
    <n v="0"/>
    <n v="0"/>
    <n v="0"/>
    <n v="0"/>
    <n v="0"/>
    <n v="0"/>
    <n v="0"/>
    <n v="-217"/>
  </r>
  <r>
    <n v="45"/>
    <x v="4"/>
    <s v="00/05/21"/>
    <s v="1400/05/21"/>
    <x v="110"/>
    <n v="30018"/>
    <x v="1"/>
    <n v="-760"/>
    <n v="-760"/>
    <n v="0"/>
    <n v="760"/>
    <n v="0"/>
    <n v="760"/>
    <n v="760"/>
    <n v="0"/>
    <n v="0"/>
    <n v="0"/>
    <n v="0"/>
    <n v="0"/>
    <n v="0"/>
    <n v="-217"/>
  </r>
  <r>
    <n v="45"/>
    <x v="4"/>
    <s v="00/05/21"/>
    <s v="1400/05/21"/>
    <x v="110"/>
    <n v="10057"/>
    <x v="33"/>
    <n v="1000"/>
    <n v="1000"/>
    <n v="1000"/>
    <n v="0"/>
    <n v="0"/>
    <n v="0"/>
    <n v="0"/>
    <n v="0"/>
    <n v="0"/>
    <n v="0"/>
    <n v="0"/>
    <n v="0"/>
    <n v="0"/>
    <n v="-217"/>
  </r>
  <r>
    <n v="45"/>
    <x v="4"/>
    <s v="00/05/21"/>
    <s v="1400/05/21"/>
    <x v="110"/>
    <n v="30064"/>
    <x v="43"/>
    <n v="-1025"/>
    <n v="-1025"/>
    <n v="0"/>
    <n v="1025"/>
    <n v="0"/>
    <n v="1025"/>
    <n v="1025"/>
    <n v="0"/>
    <n v="0"/>
    <n v="0"/>
    <n v="0"/>
    <n v="0"/>
    <n v="0"/>
    <n v="-217"/>
  </r>
  <r>
    <n v="46"/>
    <x v="4"/>
    <s v="00/05/21"/>
    <s v="1400/05/21"/>
    <x v="110"/>
    <n v="30127"/>
    <x v="99"/>
    <n v="2133"/>
    <n v="2133"/>
    <n v="2133"/>
    <n v="0"/>
    <n v="0"/>
    <n v="0"/>
    <n v="0"/>
    <n v="0"/>
    <n v="0"/>
    <n v="0"/>
    <n v="0"/>
    <n v="0"/>
    <n v="0"/>
    <n v="-2350"/>
  </r>
  <r>
    <n v="46"/>
    <x v="4"/>
    <s v="00/05/21"/>
    <s v="1400/05/21"/>
    <x v="110"/>
    <n v="10127"/>
    <x v="104"/>
    <n v="-233"/>
    <n v="-233"/>
    <n v="0"/>
    <n v="233"/>
    <n v="0"/>
    <n v="233"/>
    <n v="233"/>
    <n v="0"/>
    <n v="0"/>
    <n v="0"/>
    <n v="0"/>
    <n v="0"/>
    <n v="0"/>
    <n v="-2350"/>
  </r>
  <r>
    <n v="47"/>
    <x v="4"/>
    <s v="00/05/21"/>
    <s v="1400/05/21"/>
    <x v="110"/>
    <n v="30127"/>
    <x v="99"/>
    <n v="2334"/>
    <n v="2334"/>
    <n v="2334"/>
    <n v="0"/>
    <n v="0"/>
    <n v="0"/>
    <n v="0"/>
    <n v="0"/>
    <n v="0"/>
    <n v="0"/>
    <n v="0"/>
    <n v="0"/>
    <n v="0"/>
    <n v="-4684"/>
  </r>
  <r>
    <n v="47"/>
    <x v="4"/>
    <s v="00/05/21"/>
    <s v="1400/05/21"/>
    <x v="110"/>
    <n v="30003"/>
    <x v="65"/>
    <n v="-536"/>
    <n v="-536"/>
    <n v="0"/>
    <n v="536"/>
    <n v="0"/>
    <n v="536"/>
    <n v="536"/>
    <n v="0"/>
    <n v="0"/>
    <n v="0"/>
    <n v="0"/>
    <n v="0"/>
    <n v="0"/>
    <n v="-4684"/>
  </r>
  <r>
    <n v="47"/>
    <x v="4"/>
    <s v="00/05/21"/>
    <s v="1400/05/21"/>
    <x v="110"/>
    <n v="30003"/>
    <x v="65"/>
    <n v="698"/>
    <n v="698"/>
    <n v="698"/>
    <n v="0"/>
    <n v="0"/>
    <n v="0"/>
    <n v="0"/>
    <n v="0"/>
    <n v="0"/>
    <n v="0"/>
    <n v="0"/>
    <n v="0"/>
    <n v="0"/>
    <n v="-4684"/>
  </r>
  <r>
    <n v="47"/>
    <x v="4"/>
    <s v="00/05/21"/>
    <s v="1400/05/21"/>
    <x v="110"/>
    <n v="10104"/>
    <x v="76"/>
    <n v="929"/>
    <n v="929"/>
    <n v="929"/>
    <n v="0"/>
    <n v="0"/>
    <n v="0"/>
    <n v="0"/>
    <n v="0"/>
    <n v="0"/>
    <n v="0"/>
    <n v="0"/>
    <n v="0"/>
    <n v="0"/>
    <n v="-4684"/>
  </r>
  <r>
    <n v="48"/>
    <x v="4"/>
    <s v="00/05/22"/>
    <s v="1400/05/22"/>
    <x v="111"/>
    <n v="30127"/>
    <x v="99"/>
    <n v="-2824"/>
    <n v="-2824"/>
    <n v="0"/>
    <n v="2824"/>
    <n v="0"/>
    <n v="2824"/>
    <n v="2824"/>
    <n v="0"/>
    <n v="0"/>
    <n v="0"/>
    <n v="0"/>
    <n v="0"/>
    <n v="0"/>
    <n v="-1860"/>
  </r>
  <r>
    <n v="48"/>
    <x v="4"/>
    <s v="00/05/22"/>
    <s v="1400/05/22"/>
    <x v="111"/>
    <n v="30009"/>
    <x v="66"/>
    <n v="1223"/>
    <n v="1223"/>
    <n v="1223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30066"/>
    <x v="77"/>
    <n v="-5693"/>
    <n v="-5693"/>
    <n v="0"/>
    <n v="5693"/>
    <n v="0"/>
    <n v="5693"/>
    <n v="5693"/>
    <n v="0"/>
    <n v="0"/>
    <n v="0"/>
    <n v="0"/>
    <n v="0"/>
    <n v="0"/>
    <n v="-1860"/>
  </r>
  <r>
    <n v="48"/>
    <x v="4"/>
    <s v="00/05/23"/>
    <s v="1400/05/23"/>
    <x v="112"/>
    <n v="10057"/>
    <x v="33"/>
    <n v="47"/>
    <n v="47"/>
    <n v="47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50016"/>
    <x v="31"/>
    <n v="-5198"/>
    <n v="-5198"/>
    <n v="0"/>
    <n v="5198"/>
    <n v="0"/>
    <n v="5198"/>
    <n v="5198"/>
    <n v="0"/>
    <n v="0"/>
    <n v="0"/>
    <n v="0"/>
    <n v="0"/>
    <n v="0"/>
    <n v="-1860"/>
  </r>
  <r>
    <n v="48"/>
    <x v="4"/>
    <s v="00/05/23"/>
    <s v="1400/05/23"/>
    <x v="112"/>
    <n v="10057"/>
    <x v="33"/>
    <n v="689"/>
    <n v="689"/>
    <n v="689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127"/>
    <x v="104"/>
    <n v="-1014"/>
    <n v="-1014"/>
    <n v="0"/>
    <n v="1014"/>
    <n v="0"/>
    <n v="1014"/>
    <n v="1014"/>
    <n v="0"/>
    <n v="0"/>
    <n v="0"/>
    <n v="0"/>
    <n v="0"/>
    <n v="0"/>
    <n v="-1860"/>
  </r>
  <r>
    <n v="48"/>
    <x v="4"/>
    <s v="00/05/23"/>
    <s v="1400/05/23"/>
    <x v="112"/>
    <n v="10057"/>
    <x v="33"/>
    <n v="1000"/>
    <n v="1000"/>
    <n v="1000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026"/>
    <x v="81"/>
    <n v="-8146"/>
    <n v="-8146"/>
    <n v="0"/>
    <n v="8146"/>
    <n v="0"/>
    <n v="8146"/>
    <n v="8146"/>
    <n v="0"/>
    <n v="0"/>
    <n v="0"/>
    <n v="0"/>
    <n v="0"/>
    <n v="0"/>
    <n v="-1860"/>
  </r>
  <r>
    <n v="48"/>
    <x v="4"/>
    <s v="00/05/23"/>
    <s v="1400/05/23"/>
    <x v="112"/>
    <n v="10057"/>
    <x v="33"/>
    <n v="55"/>
    <n v="55"/>
    <n v="55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057"/>
    <x v="33"/>
    <n v="-2040"/>
    <n v="-2040"/>
    <n v="0"/>
    <n v="2040"/>
    <n v="0"/>
    <n v="2040"/>
    <n v="2040"/>
    <n v="0"/>
    <n v="0"/>
    <n v="0"/>
    <n v="0"/>
    <n v="0"/>
    <n v="0"/>
    <n v="-1860"/>
  </r>
  <r>
    <n v="48"/>
    <x v="4"/>
    <s v="00/05/23"/>
    <s v="1400/05/23"/>
    <x v="112"/>
    <n v="30009"/>
    <x v="66"/>
    <n v="1022"/>
    <n v="1022"/>
    <n v="1022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027"/>
    <x v="72"/>
    <n v="2711"/>
    <n v="2711"/>
    <n v="2711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127"/>
    <x v="104"/>
    <n v="1118"/>
    <n v="1118"/>
    <n v="1118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81"/>
    <x v="67"/>
    <n v="-3959"/>
    <n v="-3959"/>
    <n v="0"/>
    <n v="3959"/>
    <n v="0"/>
    <n v="3959"/>
    <n v="3959"/>
    <n v="0"/>
    <n v="0"/>
    <n v="0"/>
    <n v="0"/>
    <n v="0"/>
    <n v="0"/>
    <n v="-1860"/>
  </r>
  <r>
    <n v="48"/>
    <x v="4"/>
    <s v="00/05/31"/>
    <s v="1400/05/31"/>
    <x v="113"/>
    <n v="10003"/>
    <x v="79"/>
    <n v="7000"/>
    <n v="7000"/>
    <n v="7000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10027"/>
    <x v="72"/>
    <n v="-7000"/>
    <n v="-7000"/>
    <n v="0"/>
    <n v="7000"/>
    <n v="0"/>
    <n v="7000"/>
    <n v="7000"/>
    <n v="0"/>
    <n v="0"/>
    <n v="0"/>
    <n v="0"/>
    <n v="0"/>
    <n v="0"/>
    <n v="-1860"/>
  </r>
  <r>
    <n v="48"/>
    <x v="4"/>
    <s v="00/05/31"/>
    <s v="1400/05/31"/>
    <x v="113"/>
    <n v="30066"/>
    <x v="77"/>
    <n v="10685"/>
    <n v="10685"/>
    <n v="10685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66"/>
    <x v="77"/>
    <n v="-3828"/>
    <n v="-3828"/>
    <n v="0"/>
    <n v="3828"/>
    <n v="0"/>
    <n v="3828"/>
    <n v="3828"/>
    <n v="0"/>
    <n v="0"/>
    <n v="0"/>
    <n v="0"/>
    <n v="0"/>
    <n v="0"/>
    <n v="-1860"/>
  </r>
  <r>
    <n v="48"/>
    <x v="4"/>
    <s v="00/05/31"/>
    <s v="1400/05/31"/>
    <x v="113"/>
    <n v="30066"/>
    <x v="77"/>
    <n v="14"/>
    <n v="14"/>
    <n v="14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10055"/>
    <x v="80"/>
    <n v="-5466"/>
    <n v="-5466"/>
    <n v="0"/>
    <n v="5466"/>
    <n v="0"/>
    <n v="5466"/>
    <n v="5466"/>
    <n v="0"/>
    <n v="0"/>
    <n v="0"/>
    <n v="0"/>
    <n v="0"/>
    <n v="0"/>
    <n v="-1860"/>
  </r>
  <r>
    <n v="48"/>
    <x v="4"/>
    <s v="00/05/31"/>
    <s v="1400/05/31"/>
    <x v="113"/>
    <n v="30004"/>
    <x v="2"/>
    <n v="5626"/>
    <n v="5626"/>
    <n v="5626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04"/>
    <x v="2"/>
    <n v="-994"/>
    <n v="-994"/>
    <n v="0"/>
    <n v="994"/>
    <n v="0"/>
    <n v="994"/>
    <n v="994"/>
    <n v="0"/>
    <n v="0"/>
    <n v="0"/>
    <n v="0"/>
    <n v="0"/>
    <n v="0"/>
    <n v="-1860"/>
  </r>
  <r>
    <n v="48"/>
    <x v="4"/>
    <s v="00/05/31"/>
    <s v="1400/05/31"/>
    <x v="113"/>
    <n v="30009"/>
    <x v="66"/>
    <n v="2034"/>
    <n v="2034"/>
    <n v="2034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66"/>
    <x v="77"/>
    <n v="4449"/>
    <n v="4449"/>
    <n v="4449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09"/>
    <x v="66"/>
    <n v="2187"/>
    <n v="2187"/>
    <n v="2187"/>
    <n v="0"/>
    <n v="0"/>
    <n v="0"/>
    <n v="0"/>
    <n v="0"/>
    <n v="0"/>
    <n v="0"/>
    <n v="0"/>
    <n v="0"/>
    <n v="0"/>
    <n v="-1860"/>
  </r>
  <r>
    <n v="48"/>
    <x v="5"/>
    <s v="00/06/01"/>
    <s v="1400/06/01"/>
    <x v="114"/>
    <n v="30009"/>
    <x v="66"/>
    <n v="-4710"/>
    <n v="-4710"/>
    <n v="0"/>
    <n v="4710"/>
    <n v="0"/>
    <n v="4710"/>
    <n v="4710"/>
    <n v="0"/>
    <n v="0"/>
    <n v="0"/>
    <n v="0"/>
    <n v="0"/>
    <n v="0"/>
    <n v="-1860"/>
  </r>
  <r>
    <n v="49"/>
    <x v="5"/>
    <s v="00/06/01"/>
    <s v="1400/06/01"/>
    <x v="114"/>
    <n v="30127"/>
    <x v="99"/>
    <n v="3340"/>
    <n v="3340"/>
    <n v="3340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70"/>
    <x v="53"/>
    <n v="-1175"/>
    <n v="-1175"/>
    <n v="0"/>
    <n v="1175"/>
    <n v="0"/>
    <n v="1175"/>
    <n v="1175"/>
    <n v="0"/>
    <n v="0"/>
    <n v="0"/>
    <n v="0"/>
    <n v="0"/>
    <n v="0"/>
    <n v="-5200"/>
  </r>
  <r>
    <n v="49"/>
    <x v="5"/>
    <s v="00/06/01"/>
    <s v="1400/06/01"/>
    <x v="114"/>
    <n v="10003"/>
    <x v="79"/>
    <n v="2138"/>
    <n v="2138"/>
    <n v="2138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03"/>
    <x v="79"/>
    <n v="-2294"/>
    <n v="-2294"/>
    <n v="0"/>
    <n v="2294"/>
    <n v="0"/>
    <n v="2294"/>
    <n v="2294"/>
    <n v="0"/>
    <n v="0"/>
    <n v="0"/>
    <n v="0"/>
    <n v="0"/>
    <n v="0"/>
    <n v="-5200"/>
  </r>
  <r>
    <n v="49"/>
    <x v="5"/>
    <s v="00/06/01"/>
    <s v="1400/06/01"/>
    <x v="114"/>
    <n v="30006"/>
    <x v="13"/>
    <n v="8267"/>
    <n v="8267"/>
    <n v="8267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26"/>
    <x v="81"/>
    <n v="-2117"/>
    <n v="-2117"/>
    <n v="0"/>
    <n v="2117"/>
    <n v="0"/>
    <n v="2117"/>
    <n v="2117"/>
    <n v="0"/>
    <n v="0"/>
    <n v="0"/>
    <n v="0"/>
    <n v="0"/>
    <n v="0"/>
    <n v="-5200"/>
  </r>
  <r>
    <n v="49"/>
    <x v="5"/>
    <s v="00/06/01"/>
    <s v="1400/06/01"/>
    <x v="114"/>
    <n v="30081"/>
    <x v="67"/>
    <n v="4306"/>
    <n v="4306"/>
    <n v="4306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70"/>
    <x v="53"/>
    <n v="-492"/>
    <n v="-492"/>
    <n v="0"/>
    <n v="492"/>
    <n v="0"/>
    <n v="492"/>
    <n v="492"/>
    <n v="0"/>
    <n v="0"/>
    <n v="0"/>
    <n v="0"/>
    <n v="0"/>
    <n v="0"/>
    <n v="-5200"/>
  </r>
  <r>
    <n v="49"/>
    <x v="5"/>
    <s v="00/06/02"/>
    <s v="1400/06/02"/>
    <x v="115"/>
    <n v="10003"/>
    <x v="79"/>
    <n v="2637"/>
    <n v="2637"/>
    <n v="2637"/>
    <n v="0"/>
    <n v="0"/>
    <n v="0"/>
    <n v="0"/>
    <n v="0"/>
    <n v="0"/>
    <n v="0"/>
    <n v="0"/>
    <n v="0"/>
    <n v="0"/>
    <n v="-5200"/>
  </r>
  <r>
    <n v="49"/>
    <x v="5"/>
    <s v="00/06/02"/>
    <s v="1400/06/02"/>
    <x v="115"/>
    <n v="30099"/>
    <x v="11"/>
    <n v="-3039"/>
    <n v="-3039"/>
    <n v="0"/>
    <n v="3039"/>
    <n v="0"/>
    <n v="3039"/>
    <n v="3039"/>
    <n v="0"/>
    <n v="0"/>
    <n v="0"/>
    <n v="0"/>
    <n v="0"/>
    <n v="0"/>
    <n v="-5200"/>
  </r>
  <r>
    <n v="49"/>
    <x v="5"/>
    <s v="00/06/02"/>
    <s v="1400/06/02"/>
    <x v="115"/>
    <n v="30174"/>
    <x v="60"/>
    <n v="25"/>
    <n v="25"/>
    <n v="25"/>
    <n v="0"/>
    <n v="0"/>
    <n v="0"/>
    <n v="0"/>
    <n v="0"/>
    <n v="0"/>
    <n v="0"/>
    <n v="0"/>
    <n v="0"/>
    <n v="0"/>
    <n v="-5200"/>
  </r>
  <r>
    <n v="49"/>
    <x v="5"/>
    <s v="00/06/02"/>
    <s v="1400/06/02"/>
    <x v="115"/>
    <n v="30174"/>
    <x v="60"/>
    <n v="-25"/>
    <n v="-25"/>
    <n v="0"/>
    <n v="25"/>
    <n v="0"/>
    <n v="25"/>
    <n v="25"/>
    <n v="0"/>
    <n v="0"/>
    <n v="0"/>
    <n v="0"/>
    <n v="0"/>
    <n v="0"/>
    <n v="-5200"/>
  </r>
  <r>
    <n v="49"/>
    <x v="5"/>
    <s v="00/06/02"/>
    <s v="1400/06/02"/>
    <x v="115"/>
    <n v="30186"/>
    <x v="102"/>
    <n v="2416"/>
    <n v="2416"/>
    <n v="2416"/>
    <n v="0"/>
    <n v="0"/>
    <n v="0"/>
    <n v="0"/>
    <n v="0"/>
    <n v="0"/>
    <n v="0"/>
    <n v="0"/>
    <n v="0"/>
    <n v="0"/>
    <n v="-5200"/>
  </r>
  <r>
    <n v="49"/>
    <x v="5"/>
    <s v="00/06/02"/>
    <s v="1400/06/02"/>
    <x v="115"/>
    <n v="30186"/>
    <x v="102"/>
    <n v="-1734"/>
    <n v="-1734"/>
    <n v="0"/>
    <n v="1734"/>
    <n v="0"/>
    <n v="1734"/>
    <n v="1734"/>
    <n v="0"/>
    <n v="0"/>
    <n v="0"/>
    <n v="0"/>
    <n v="0"/>
    <n v="0"/>
    <n v="-5200"/>
  </r>
  <r>
    <n v="49"/>
    <x v="5"/>
    <s v="00/06/02"/>
    <s v="1400/06/02"/>
    <x v="115"/>
    <n v="10020"/>
    <x v="40"/>
    <n v="-507"/>
    <n v="-507"/>
    <n v="0"/>
    <n v="507"/>
    <n v="0"/>
    <n v="507"/>
    <n v="507"/>
    <n v="0"/>
    <n v="0"/>
    <n v="0"/>
    <n v="0"/>
    <n v="0"/>
    <n v="0"/>
    <n v="-5200"/>
  </r>
  <r>
    <n v="49"/>
    <x v="5"/>
    <s v="00/06/02"/>
    <s v="1400/06/02"/>
    <x v="115"/>
    <n v="10003"/>
    <x v="79"/>
    <n v="-2043"/>
    <n v="-2043"/>
    <n v="0"/>
    <n v="2043"/>
    <n v="0"/>
    <n v="2043"/>
    <n v="2043"/>
    <n v="0"/>
    <n v="0"/>
    <n v="0"/>
    <n v="0"/>
    <n v="0"/>
    <n v="0"/>
    <n v="-5200"/>
  </r>
  <r>
    <n v="49"/>
    <x v="5"/>
    <s v="00/06/02"/>
    <s v="1400/06/02"/>
    <x v="115"/>
    <n v="30014"/>
    <x v="41"/>
    <n v="-1238"/>
    <n v="-1238"/>
    <n v="0"/>
    <n v="1238"/>
    <n v="0"/>
    <n v="1238"/>
    <n v="1238"/>
    <n v="0"/>
    <n v="0"/>
    <n v="0"/>
    <n v="0"/>
    <n v="0"/>
    <n v="0"/>
    <n v="-5200"/>
  </r>
  <r>
    <n v="49"/>
    <x v="5"/>
    <s v="00/06/02"/>
    <s v="1400/06/02"/>
    <x v="115"/>
    <n v="30009"/>
    <x v="66"/>
    <n v="-2013"/>
    <n v="-2013"/>
    <n v="0"/>
    <n v="2013"/>
    <n v="0"/>
    <n v="2013"/>
    <n v="2013"/>
    <n v="0"/>
    <n v="0"/>
    <n v="0"/>
    <n v="0"/>
    <n v="0"/>
    <n v="0"/>
    <n v="-5200"/>
  </r>
  <r>
    <n v="49"/>
    <x v="5"/>
    <s v="00/06/03"/>
    <s v="1400/06/03"/>
    <x v="116"/>
    <n v="30004"/>
    <x v="2"/>
    <n v="1704"/>
    <n v="1704"/>
    <n v="1704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30009"/>
    <x v="66"/>
    <n v="-1051"/>
    <n v="-1051"/>
    <n v="0"/>
    <n v="1051"/>
    <n v="0"/>
    <n v="1051"/>
    <n v="1051"/>
    <n v="0"/>
    <n v="0"/>
    <n v="0"/>
    <n v="0"/>
    <n v="0"/>
    <n v="0"/>
    <n v="-5200"/>
  </r>
  <r>
    <n v="49"/>
    <x v="5"/>
    <s v="00/06/03"/>
    <s v="1400/06/03"/>
    <x v="116"/>
    <n v="10026"/>
    <x v="81"/>
    <n v="2650"/>
    <n v="2650"/>
    <n v="2650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30009"/>
    <x v="66"/>
    <n v="-1030"/>
    <n v="-1030"/>
    <n v="0"/>
    <n v="1030"/>
    <n v="0"/>
    <n v="1030"/>
    <n v="1030"/>
    <n v="0"/>
    <n v="0"/>
    <n v="0"/>
    <n v="0"/>
    <n v="0"/>
    <n v="0"/>
    <n v="-5200"/>
  </r>
  <r>
    <n v="49"/>
    <x v="5"/>
    <s v="00/06/03"/>
    <s v="1400/06/03"/>
    <x v="116"/>
    <n v="30146"/>
    <x v="64"/>
    <n v="2500"/>
    <n v="2500"/>
    <n v="2500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30004"/>
    <x v="2"/>
    <n v="-3198"/>
    <n v="-3198"/>
    <n v="0"/>
    <n v="3198"/>
    <n v="0"/>
    <n v="3198"/>
    <n v="3198"/>
    <n v="0"/>
    <n v="0"/>
    <n v="0"/>
    <n v="0"/>
    <n v="0"/>
    <n v="0"/>
    <n v="-5200"/>
  </r>
  <r>
    <n v="49"/>
    <x v="5"/>
    <s v="00/06/03"/>
    <s v="1400/06/03"/>
    <x v="116"/>
    <n v="10026"/>
    <x v="81"/>
    <n v="8000"/>
    <n v="8000"/>
    <n v="8000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10003"/>
    <x v="79"/>
    <n v="-3359"/>
    <n v="-3359"/>
    <n v="0"/>
    <n v="3359"/>
    <n v="0"/>
    <n v="3359"/>
    <n v="3359"/>
    <n v="0"/>
    <n v="0"/>
    <n v="0"/>
    <n v="0"/>
    <n v="0"/>
    <n v="0"/>
    <n v="-5200"/>
  </r>
  <r>
    <n v="49"/>
    <x v="5"/>
    <s v="00/06/03"/>
    <s v="1400/06/03"/>
    <x v="116"/>
    <n v="10055"/>
    <x v="80"/>
    <n v="6276"/>
    <n v="6276"/>
    <n v="6276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10055"/>
    <x v="80"/>
    <n v="-5003"/>
    <n v="-5003"/>
    <n v="0"/>
    <n v="5003"/>
    <n v="0"/>
    <n v="5003"/>
    <n v="5003"/>
    <n v="0"/>
    <n v="0"/>
    <n v="0"/>
    <n v="0"/>
    <n v="0"/>
    <n v="0"/>
    <n v="-5200"/>
  </r>
  <r>
    <n v="49"/>
    <x v="5"/>
    <s v="00/06/03"/>
    <s v="1400/06/03"/>
    <x v="116"/>
    <n v="10119"/>
    <x v="100"/>
    <n v="238"/>
    <n v="238"/>
    <n v="238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10119"/>
    <x v="100"/>
    <n v="-350"/>
    <n v="-350"/>
    <n v="0"/>
    <n v="350"/>
    <n v="0"/>
    <n v="350"/>
    <n v="350"/>
    <n v="0"/>
    <n v="0"/>
    <n v="0"/>
    <n v="0"/>
    <n v="0"/>
    <n v="0"/>
    <n v="-5200"/>
  </r>
  <r>
    <n v="49"/>
    <x v="5"/>
    <s v="00/06/03"/>
    <s v="1400/06/03"/>
    <x v="116"/>
    <n v="30184"/>
    <x v="108"/>
    <n v="3893"/>
    <n v="3893"/>
    <n v="3893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86"/>
    <x v="102"/>
    <n v="-2219"/>
    <n v="-2219"/>
    <n v="0"/>
    <n v="2219"/>
    <n v="0"/>
    <n v="2219"/>
    <n v="2219"/>
    <n v="0"/>
    <n v="0"/>
    <n v="0"/>
    <n v="0"/>
    <n v="0"/>
    <n v="0"/>
    <n v="-5200"/>
  </r>
  <r>
    <n v="49"/>
    <x v="5"/>
    <s v="00/06/04"/>
    <s v="1400/06/04"/>
    <x v="117"/>
    <n v="30146"/>
    <x v="64"/>
    <n v="1192"/>
    <n v="1192"/>
    <n v="1192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46"/>
    <x v="64"/>
    <n v="-3007"/>
    <n v="-3007"/>
    <n v="0"/>
    <n v="3007"/>
    <n v="0"/>
    <n v="3007"/>
    <n v="3007"/>
    <n v="0"/>
    <n v="0"/>
    <n v="0"/>
    <n v="0"/>
    <n v="0"/>
    <n v="0"/>
    <n v="-5200"/>
  </r>
  <r>
    <n v="49"/>
    <x v="5"/>
    <s v="00/06/04"/>
    <s v="1400/06/04"/>
    <x v="117"/>
    <n v="30146"/>
    <x v="64"/>
    <n v="230"/>
    <n v="230"/>
    <n v="230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10026"/>
    <x v="81"/>
    <n v="-2054"/>
    <n v="-2054"/>
    <n v="0"/>
    <n v="2054"/>
    <n v="0"/>
    <n v="2054"/>
    <n v="2054"/>
    <n v="0"/>
    <n v="0"/>
    <n v="0"/>
    <n v="0"/>
    <n v="0"/>
    <n v="0"/>
    <n v="-5200"/>
  </r>
  <r>
    <n v="49"/>
    <x v="5"/>
    <s v="00/06/04"/>
    <s v="1400/06/04"/>
    <x v="117"/>
    <n v="10070"/>
    <x v="53"/>
    <n v="2319"/>
    <n v="2319"/>
    <n v="2319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10070"/>
    <x v="53"/>
    <n v="-2092"/>
    <n v="-2092"/>
    <n v="0"/>
    <n v="2092"/>
    <n v="0"/>
    <n v="2092"/>
    <n v="2092"/>
    <n v="0"/>
    <n v="0"/>
    <n v="0"/>
    <n v="0"/>
    <n v="0"/>
    <n v="0"/>
    <n v="-5200"/>
  </r>
  <r>
    <n v="49"/>
    <x v="5"/>
    <s v="00/06/04"/>
    <s v="1400/06/04"/>
    <x v="117"/>
    <n v="30186"/>
    <x v="102"/>
    <n v="2713"/>
    <n v="2713"/>
    <n v="2713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40"/>
    <x v="29"/>
    <n v="1490"/>
    <n v="1490"/>
    <n v="1490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46"/>
    <x v="64"/>
    <n v="672"/>
    <n v="672"/>
    <n v="672"/>
    <n v="0"/>
    <n v="0"/>
    <n v="0"/>
    <n v="0"/>
    <n v="0"/>
    <n v="0"/>
    <n v="0"/>
    <n v="0"/>
    <n v="0"/>
    <n v="0"/>
    <n v="-5200"/>
  </r>
  <r>
    <n v="50"/>
    <x v="5"/>
    <s v="00/06/06"/>
    <s v="1400/06/06"/>
    <x v="118"/>
    <n v="30127"/>
    <x v="99"/>
    <n v="-16019"/>
    <n v="-16019"/>
    <n v="0"/>
    <n v="16019"/>
    <n v="0"/>
    <n v="16019"/>
    <n v="16019"/>
    <n v="0"/>
    <n v="0"/>
    <n v="0"/>
    <n v="0"/>
    <n v="0"/>
    <n v="0"/>
    <n v="10819"/>
  </r>
  <r>
    <n v="50"/>
    <x v="5"/>
    <s v="00/06/06"/>
    <s v="1400/06/06"/>
    <x v="118"/>
    <n v="30009"/>
    <x v="66"/>
    <n v="1822"/>
    <n v="1822"/>
    <n v="1822"/>
    <n v="0"/>
    <n v="0"/>
    <n v="0"/>
    <n v="0"/>
    <n v="0"/>
    <n v="0"/>
    <n v="0"/>
    <n v="0"/>
    <n v="0"/>
    <n v="0"/>
    <n v="10819"/>
  </r>
  <r>
    <n v="50"/>
    <x v="5"/>
    <s v="00/06/06"/>
    <s v="1400/06/06"/>
    <x v="118"/>
    <n v="50016"/>
    <x v="31"/>
    <n v="-5157"/>
    <n v="-5157"/>
    <n v="0"/>
    <n v="5157"/>
    <n v="0"/>
    <n v="5157"/>
    <n v="5157"/>
    <n v="0"/>
    <n v="0"/>
    <n v="0"/>
    <n v="0"/>
    <n v="0"/>
    <n v="0"/>
    <n v="10819"/>
  </r>
  <r>
    <n v="50"/>
    <x v="5"/>
    <s v="00/06/06"/>
    <s v="1400/06/06"/>
    <x v="118"/>
    <n v="10070"/>
    <x v="53"/>
    <n v="-354"/>
    <n v="-354"/>
    <n v="0"/>
    <n v="354"/>
    <n v="0"/>
    <n v="354"/>
    <n v="354"/>
    <n v="0"/>
    <n v="0"/>
    <n v="0"/>
    <n v="0"/>
    <n v="0"/>
    <n v="0"/>
    <n v="10819"/>
  </r>
  <r>
    <n v="50"/>
    <x v="5"/>
    <s v="00/06/06"/>
    <s v="1400/06/06"/>
    <x v="118"/>
    <n v="30009"/>
    <x v="66"/>
    <n v="-2047"/>
    <n v="-2047"/>
    <n v="0"/>
    <n v="2047"/>
    <n v="0"/>
    <n v="2047"/>
    <n v="2047"/>
    <n v="0"/>
    <n v="0"/>
    <n v="0"/>
    <n v="0"/>
    <n v="0"/>
    <n v="0"/>
    <n v="10819"/>
  </r>
  <r>
    <n v="50"/>
    <x v="5"/>
    <s v="00/06/06"/>
    <s v="1400/06/06"/>
    <x v="118"/>
    <n v="10055"/>
    <x v="80"/>
    <n v="-4988"/>
    <n v="-4988"/>
    <n v="0"/>
    <n v="4988"/>
    <n v="0"/>
    <n v="4988"/>
    <n v="4988"/>
    <n v="0"/>
    <n v="0"/>
    <n v="0"/>
    <n v="0"/>
    <n v="0"/>
    <n v="0"/>
    <n v="10819"/>
  </r>
  <r>
    <n v="50"/>
    <x v="5"/>
    <s v="00/06/06"/>
    <s v="1400/06/06"/>
    <x v="118"/>
    <n v="10026"/>
    <x v="81"/>
    <n v="-5770"/>
    <n v="-5770"/>
    <n v="0"/>
    <n v="5770"/>
    <n v="0"/>
    <n v="5770"/>
    <n v="5770"/>
    <n v="0"/>
    <n v="0"/>
    <n v="0"/>
    <n v="0"/>
    <n v="0"/>
    <n v="0"/>
    <n v="10819"/>
  </r>
  <r>
    <n v="50"/>
    <x v="5"/>
    <s v="00/06/06"/>
    <s v="1400/06/06"/>
    <x v="118"/>
    <n v="10093"/>
    <x v="118"/>
    <n v="-734"/>
    <n v="-734"/>
    <n v="0"/>
    <n v="734"/>
    <n v="0"/>
    <n v="734"/>
    <n v="734"/>
    <n v="0"/>
    <n v="0"/>
    <n v="0"/>
    <n v="0"/>
    <n v="0"/>
    <n v="0"/>
    <n v="10819"/>
  </r>
  <r>
    <n v="50"/>
    <x v="5"/>
    <s v="00/06/06"/>
    <s v="1400/06/06"/>
    <x v="118"/>
    <n v="10070"/>
    <x v="53"/>
    <n v="-896"/>
    <n v="-896"/>
    <n v="0"/>
    <n v="896"/>
    <n v="0"/>
    <n v="896"/>
    <n v="896"/>
    <n v="0"/>
    <n v="0"/>
    <n v="0"/>
    <n v="0"/>
    <n v="0"/>
    <n v="0"/>
    <n v="10819"/>
  </r>
  <r>
    <n v="50"/>
    <x v="5"/>
    <s v="00/06/07"/>
    <s v="1400/06/07"/>
    <x v="119"/>
    <n v="30004"/>
    <x v="2"/>
    <n v="2348"/>
    <n v="2348"/>
    <n v="2348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30009"/>
    <x v="66"/>
    <n v="-1271"/>
    <n v="-1271"/>
    <n v="0"/>
    <n v="1271"/>
    <n v="0"/>
    <n v="1271"/>
    <n v="1271"/>
    <n v="0"/>
    <n v="0"/>
    <n v="0"/>
    <n v="0"/>
    <n v="0"/>
    <n v="0"/>
    <n v="10819"/>
  </r>
  <r>
    <n v="50"/>
    <x v="5"/>
    <s v="00/06/07"/>
    <s v="1400/06/07"/>
    <x v="119"/>
    <n v="10097"/>
    <x v="119"/>
    <n v="998"/>
    <n v="998"/>
    <n v="998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30081"/>
    <x v="67"/>
    <n v="-3678"/>
    <n v="-3678"/>
    <n v="0"/>
    <n v="3678"/>
    <n v="0"/>
    <n v="3678"/>
    <n v="3678"/>
    <n v="0"/>
    <n v="0"/>
    <n v="0"/>
    <n v="0"/>
    <n v="0"/>
    <n v="0"/>
    <n v="10819"/>
  </r>
  <r>
    <n v="50"/>
    <x v="5"/>
    <s v="00/06/07"/>
    <s v="1400/06/07"/>
    <x v="119"/>
    <n v="10084"/>
    <x v="37"/>
    <n v="502"/>
    <n v="502"/>
    <n v="502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30009"/>
    <x v="66"/>
    <n v="-1874"/>
    <n v="-1874"/>
    <n v="0"/>
    <n v="1874"/>
    <n v="0"/>
    <n v="1874"/>
    <n v="1874"/>
    <n v="0"/>
    <n v="0"/>
    <n v="0"/>
    <n v="0"/>
    <n v="0"/>
    <n v="0"/>
    <n v="10819"/>
  </r>
  <r>
    <n v="50"/>
    <x v="5"/>
    <s v="00/06/07"/>
    <s v="1400/06/07"/>
    <x v="119"/>
    <n v="30066"/>
    <x v="77"/>
    <n v="4200"/>
    <n v="4200"/>
    <n v="4200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10026"/>
    <x v="81"/>
    <n v="-1915"/>
    <n v="-1915"/>
    <n v="0"/>
    <n v="1915"/>
    <n v="0"/>
    <n v="1915"/>
    <n v="1915"/>
    <n v="0"/>
    <n v="0"/>
    <n v="0"/>
    <n v="0"/>
    <n v="0"/>
    <n v="0"/>
    <n v="10819"/>
  </r>
  <r>
    <n v="50"/>
    <x v="5"/>
    <s v="00/06/07"/>
    <s v="1400/06/07"/>
    <x v="119"/>
    <n v="30066"/>
    <x v="77"/>
    <n v="3339"/>
    <n v="3339"/>
    <n v="3339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10003"/>
    <x v="79"/>
    <n v="-4026"/>
    <n v="-4026"/>
    <n v="0"/>
    <n v="4026"/>
    <n v="0"/>
    <n v="4026"/>
    <n v="4026"/>
    <n v="0"/>
    <n v="0"/>
    <n v="0"/>
    <n v="0"/>
    <n v="0"/>
    <n v="0"/>
    <n v="10819"/>
  </r>
  <r>
    <n v="50"/>
    <x v="5"/>
    <s v="00/06/07"/>
    <s v="1400/06/07"/>
    <x v="119"/>
    <n v="30004"/>
    <x v="2"/>
    <n v="-2379"/>
    <n v="-2379"/>
    <n v="0"/>
    <n v="2379"/>
    <n v="0"/>
    <n v="2379"/>
    <n v="2379"/>
    <n v="0"/>
    <n v="0"/>
    <n v="0"/>
    <n v="0"/>
    <n v="0"/>
    <n v="0"/>
    <n v="10819"/>
  </r>
  <r>
    <n v="50"/>
    <x v="5"/>
    <s v="00/06/07"/>
    <s v="1400/06/07"/>
    <x v="119"/>
    <n v="10029"/>
    <x v="78"/>
    <n v="-504"/>
    <n v="-504"/>
    <n v="0"/>
    <n v="504"/>
    <n v="0"/>
    <n v="504"/>
    <n v="504"/>
    <n v="0"/>
    <n v="0"/>
    <n v="0"/>
    <n v="0"/>
    <n v="0"/>
    <n v="0"/>
    <n v="10819"/>
  </r>
  <r>
    <n v="50"/>
    <x v="5"/>
    <s v="00/06/08"/>
    <s v="1400/06/08"/>
    <x v="120"/>
    <n v="10055"/>
    <x v="80"/>
    <n v="5085"/>
    <n v="5085"/>
    <n v="5085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30004"/>
    <x v="2"/>
    <n v="-647"/>
    <n v="-647"/>
    <n v="0"/>
    <n v="647"/>
    <n v="0"/>
    <n v="647"/>
    <n v="647"/>
    <n v="0"/>
    <n v="0"/>
    <n v="0"/>
    <n v="0"/>
    <n v="0"/>
    <n v="0"/>
    <n v="10819"/>
  </r>
  <r>
    <n v="50"/>
    <x v="5"/>
    <s v="00/06/08"/>
    <s v="1400/06/08"/>
    <x v="120"/>
    <n v="10119"/>
    <x v="100"/>
    <n v="250"/>
    <n v="250"/>
    <n v="250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30009"/>
    <x v="66"/>
    <n v="-1942"/>
    <n v="-1942"/>
    <n v="0"/>
    <n v="1942"/>
    <n v="0"/>
    <n v="1942"/>
    <n v="1942"/>
    <n v="0"/>
    <n v="0"/>
    <n v="0"/>
    <n v="0"/>
    <n v="0"/>
    <n v="0"/>
    <n v="10819"/>
  </r>
  <r>
    <n v="50"/>
    <x v="5"/>
    <s v="00/06/08"/>
    <s v="1400/06/08"/>
    <x v="120"/>
    <n v="10018"/>
    <x v="95"/>
    <n v="22"/>
    <n v="22"/>
    <n v="22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03"/>
    <x v="79"/>
    <n v="-2064"/>
    <n v="-2064"/>
    <n v="0"/>
    <n v="2064"/>
    <n v="0"/>
    <n v="2064"/>
    <n v="2064"/>
    <n v="0"/>
    <n v="0"/>
    <n v="0"/>
    <n v="0"/>
    <n v="0"/>
    <n v="0"/>
    <n v="10819"/>
  </r>
  <r>
    <n v="50"/>
    <x v="5"/>
    <s v="00/06/08"/>
    <s v="1400/06/08"/>
    <x v="120"/>
    <n v="10003"/>
    <x v="79"/>
    <n v="2593"/>
    <n v="2593"/>
    <n v="2593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09"/>
    <x v="24"/>
    <n v="-2075"/>
    <n v="-2075"/>
    <n v="0"/>
    <n v="2075"/>
    <n v="0"/>
    <n v="2075"/>
    <n v="2075"/>
    <n v="0"/>
    <n v="0"/>
    <n v="0"/>
    <n v="0"/>
    <n v="0"/>
    <n v="0"/>
    <n v="10819"/>
  </r>
  <r>
    <n v="50"/>
    <x v="5"/>
    <s v="00/06/08"/>
    <s v="1400/06/08"/>
    <x v="120"/>
    <n v="30009"/>
    <x v="66"/>
    <n v="1983"/>
    <n v="1983"/>
    <n v="1983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18"/>
    <x v="95"/>
    <n v="-500"/>
    <n v="-500"/>
    <n v="0"/>
    <n v="500"/>
    <n v="0"/>
    <n v="500"/>
    <n v="500"/>
    <n v="0"/>
    <n v="0"/>
    <n v="0"/>
    <n v="0"/>
    <n v="0"/>
    <n v="0"/>
    <n v="10819"/>
  </r>
  <r>
    <n v="50"/>
    <x v="5"/>
    <s v="00/06/08"/>
    <s v="1400/06/08"/>
    <x v="120"/>
    <n v="30009"/>
    <x v="66"/>
    <n v="2105"/>
    <n v="2105"/>
    <n v="2105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18"/>
    <x v="95"/>
    <n v="350"/>
    <n v="350"/>
    <n v="350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48"/>
    <x v="51"/>
    <n v="-1048"/>
    <n v="-1048"/>
    <n v="0"/>
    <n v="1048"/>
    <n v="0"/>
    <n v="1048"/>
    <n v="1048"/>
    <n v="0"/>
    <n v="0"/>
    <n v="0"/>
    <n v="0"/>
    <n v="0"/>
    <n v="0"/>
    <n v="10819"/>
  </r>
  <r>
    <n v="50"/>
    <x v="5"/>
    <s v="00/06/09"/>
    <s v="1400/06/09"/>
    <x v="121"/>
    <n v="10048"/>
    <x v="51"/>
    <n v="123"/>
    <n v="123"/>
    <n v="123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26"/>
    <x v="81"/>
    <n v="-2053"/>
    <n v="-2053"/>
    <n v="0"/>
    <n v="2053"/>
    <n v="0"/>
    <n v="2053"/>
    <n v="2053"/>
    <n v="0"/>
    <n v="0"/>
    <n v="0"/>
    <n v="0"/>
    <n v="0"/>
    <n v="0"/>
    <n v="10819"/>
  </r>
  <r>
    <n v="50"/>
    <x v="5"/>
    <s v="00/06/09"/>
    <s v="1400/06/09"/>
    <x v="121"/>
    <n v="30064"/>
    <x v="43"/>
    <n v="1025"/>
    <n v="1025"/>
    <n v="1025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3"/>
    <x v="79"/>
    <n v="-2287"/>
    <n v="-2287"/>
    <n v="0"/>
    <n v="2287"/>
    <n v="0"/>
    <n v="2287"/>
    <n v="2287"/>
    <n v="0"/>
    <n v="0"/>
    <n v="0"/>
    <n v="0"/>
    <n v="0"/>
    <n v="0"/>
    <n v="10819"/>
  </r>
  <r>
    <n v="50"/>
    <x v="5"/>
    <s v="00/06/09"/>
    <s v="1400/06/09"/>
    <x v="121"/>
    <n v="10048"/>
    <x v="51"/>
    <n v="1009"/>
    <n v="1009"/>
    <n v="1009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3"/>
    <x v="79"/>
    <n v="2434"/>
    <n v="2434"/>
    <n v="2434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26"/>
    <x v="81"/>
    <n v="2899"/>
    <n v="2899"/>
    <n v="2899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9"/>
    <x v="24"/>
    <n v="2138"/>
    <n v="2138"/>
    <n v="2138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93"/>
    <x v="118"/>
    <n v="1927"/>
    <n v="1927"/>
    <n v="1927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9"/>
    <x v="24"/>
    <n v="332"/>
    <n v="332"/>
    <n v="332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3"/>
    <x v="79"/>
    <n v="2307"/>
    <n v="2307"/>
    <n v="2307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30099"/>
    <x v="11"/>
    <n v="4491"/>
    <n v="4491"/>
    <n v="4491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30004"/>
    <x v="2"/>
    <n v="-4902"/>
    <n v="-4902"/>
    <n v="0"/>
    <n v="4902"/>
    <n v="0"/>
    <n v="4902"/>
    <n v="4902"/>
    <n v="0"/>
    <n v="0"/>
    <n v="0"/>
    <n v="0"/>
    <n v="0"/>
    <n v="0"/>
    <n v="10819"/>
  </r>
  <r>
    <n v="50"/>
    <x v="5"/>
    <s v="00/06/10"/>
    <s v="1400/06/10"/>
    <x v="122"/>
    <n v="30191"/>
    <x v="114"/>
    <n v="1664"/>
    <n v="1664"/>
    <n v="1664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30009"/>
    <x v="66"/>
    <n v="-2349"/>
    <n v="-2349"/>
    <n v="0"/>
    <n v="2349"/>
    <n v="0"/>
    <n v="2349"/>
    <n v="2349"/>
    <n v="0"/>
    <n v="0"/>
    <n v="0"/>
    <n v="0"/>
    <n v="0"/>
    <n v="0"/>
    <n v="10819"/>
  </r>
  <r>
    <n v="50"/>
    <x v="5"/>
    <s v="00/06/10"/>
    <s v="1400/06/10"/>
    <x v="122"/>
    <n v="10048"/>
    <x v="51"/>
    <n v="177"/>
    <n v="177"/>
    <n v="177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30058"/>
    <x v="63"/>
    <n v="-1420"/>
    <n v="-1420"/>
    <n v="0"/>
    <n v="1420"/>
    <n v="0"/>
    <n v="1420"/>
    <n v="1420"/>
    <n v="0"/>
    <n v="0"/>
    <n v="0"/>
    <n v="0"/>
    <n v="0"/>
    <n v="0"/>
    <n v="10819"/>
  </r>
  <r>
    <n v="50"/>
    <x v="5"/>
    <s v="00/06/10"/>
    <s v="1400/06/10"/>
    <x v="122"/>
    <n v="30190"/>
    <x v="111"/>
    <n v="1286"/>
    <n v="1286"/>
    <n v="1286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10026"/>
    <x v="81"/>
    <n v="-2148"/>
    <n v="-2148"/>
    <n v="0"/>
    <n v="2148"/>
    <n v="0"/>
    <n v="2148"/>
    <n v="2148"/>
    <n v="0"/>
    <n v="0"/>
    <n v="0"/>
    <n v="0"/>
    <n v="0"/>
    <n v="0"/>
    <n v="10819"/>
  </r>
  <r>
    <n v="50"/>
    <x v="5"/>
    <s v="00/06/10"/>
    <s v="1400/06/10"/>
    <x v="122"/>
    <n v="10126"/>
    <x v="103"/>
    <n v="302"/>
    <n v="302"/>
    <n v="302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10029"/>
    <x v="78"/>
    <n v="-1216"/>
    <n v="-1216"/>
    <n v="0"/>
    <n v="1216"/>
    <n v="0"/>
    <n v="1216"/>
    <n v="1216"/>
    <n v="0"/>
    <n v="0"/>
    <n v="0"/>
    <n v="0"/>
    <n v="0"/>
    <n v="0"/>
    <n v="10819"/>
  </r>
  <r>
    <n v="50"/>
    <x v="5"/>
    <s v="00/06/10"/>
    <s v="1400/06/10"/>
    <x v="122"/>
    <n v="10126"/>
    <x v="103"/>
    <n v="116"/>
    <n v="116"/>
    <n v="116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10055"/>
    <x v="80"/>
    <n v="-4955"/>
    <n v="-4955"/>
    <n v="0"/>
    <n v="4955"/>
    <n v="0"/>
    <n v="4955"/>
    <n v="4955"/>
    <n v="0"/>
    <n v="0"/>
    <n v="0"/>
    <n v="0"/>
    <n v="0"/>
    <n v="0"/>
    <n v="10819"/>
  </r>
  <r>
    <n v="50"/>
    <x v="5"/>
    <s v="00/06/10"/>
    <s v="1400/06/10"/>
    <x v="122"/>
    <n v="30004"/>
    <x v="2"/>
    <n v="2564"/>
    <n v="2564"/>
    <n v="2564"/>
    <n v="0"/>
    <n v="0"/>
    <n v="0"/>
    <n v="0"/>
    <n v="0"/>
    <n v="0"/>
    <n v="0"/>
    <n v="0"/>
    <n v="0"/>
    <n v="0"/>
    <n v="10819"/>
  </r>
  <r>
    <n v="50"/>
    <x v="5"/>
    <s v="00/06/11"/>
    <s v="1400/06/11"/>
    <x v="123"/>
    <n v="10070"/>
    <x v="53"/>
    <n v="-240"/>
    <n v="-240"/>
    <n v="0"/>
    <n v="240"/>
    <n v="0"/>
    <n v="240"/>
    <n v="240"/>
    <n v="0"/>
    <n v="0"/>
    <n v="0"/>
    <n v="0"/>
    <n v="0"/>
    <n v="0"/>
    <n v="10819"/>
  </r>
  <r>
    <n v="50"/>
    <x v="5"/>
    <s v="00/06/11"/>
    <s v="1400/06/11"/>
    <x v="123"/>
    <n v="30022"/>
    <x v="75"/>
    <n v="4921"/>
    <n v="4921"/>
    <n v="4921"/>
    <n v="0"/>
    <n v="0"/>
    <n v="0"/>
    <n v="0"/>
    <n v="0"/>
    <n v="0"/>
    <n v="0"/>
    <n v="0"/>
    <n v="0"/>
    <n v="0"/>
    <n v="10819"/>
  </r>
  <r>
    <n v="50"/>
    <x v="5"/>
    <s v="00/06/11"/>
    <s v="1400/06/11"/>
    <x v="123"/>
    <n v="10026"/>
    <x v="81"/>
    <n v="-2132"/>
    <n v="-2132"/>
    <n v="0"/>
    <n v="2132"/>
    <n v="0"/>
    <n v="2132"/>
    <n v="2132"/>
    <n v="0"/>
    <n v="0"/>
    <n v="0"/>
    <n v="0"/>
    <n v="0"/>
    <n v="0"/>
    <n v="10819"/>
  </r>
  <r>
    <n v="50"/>
    <x v="5"/>
    <s v="00/06/11"/>
    <s v="1400/06/11"/>
    <x v="123"/>
    <n v="30009"/>
    <x v="66"/>
    <n v="1728"/>
    <n v="1728"/>
    <n v="1728"/>
    <n v="0"/>
    <n v="0"/>
    <n v="0"/>
    <n v="0"/>
    <n v="0"/>
    <n v="0"/>
    <n v="0"/>
    <n v="0"/>
    <n v="0"/>
    <n v="0"/>
    <n v="10819"/>
  </r>
  <r>
    <n v="50"/>
    <x v="5"/>
    <s v="00/06/11"/>
    <s v="1400/06/11"/>
    <x v="123"/>
    <n v="10003"/>
    <x v="79"/>
    <n v="-1141"/>
    <n v="-1141"/>
    <n v="0"/>
    <n v="1141"/>
    <n v="0"/>
    <n v="1141"/>
    <n v="1141"/>
    <n v="0"/>
    <n v="0"/>
    <n v="0"/>
    <n v="0"/>
    <n v="0"/>
    <n v="0"/>
    <n v="10819"/>
  </r>
  <r>
    <n v="50"/>
    <x v="5"/>
    <s v="00/06/11"/>
    <s v="1400/06/11"/>
    <x v="123"/>
    <n v="10003"/>
    <x v="79"/>
    <n v="2628"/>
    <n v="2628"/>
    <n v="2628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30004"/>
    <x v="2"/>
    <n v="-3494"/>
    <n v="-3494"/>
    <n v="0"/>
    <n v="3494"/>
    <n v="0"/>
    <n v="3494"/>
    <n v="3494"/>
    <n v="0"/>
    <n v="0"/>
    <n v="0"/>
    <n v="0"/>
    <n v="0"/>
    <n v="0"/>
    <n v="10819"/>
  </r>
  <r>
    <n v="50"/>
    <x v="5"/>
    <s v="00/06/13"/>
    <s v="1400/06/13"/>
    <x v="124"/>
    <n v="10097"/>
    <x v="119"/>
    <n v="1130"/>
    <n v="1130"/>
    <n v="113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30009"/>
    <x v="66"/>
    <n v="-3882"/>
    <n v="-3882"/>
    <n v="0"/>
    <n v="3882"/>
    <n v="0"/>
    <n v="3882"/>
    <n v="3882"/>
    <n v="0"/>
    <n v="0"/>
    <n v="0"/>
    <n v="0"/>
    <n v="0"/>
    <n v="0"/>
    <n v="10819"/>
  </r>
  <r>
    <n v="50"/>
    <x v="5"/>
    <s v="00/06/13"/>
    <s v="1400/06/13"/>
    <x v="124"/>
    <n v="30191"/>
    <x v="114"/>
    <n v="56"/>
    <n v="56"/>
    <n v="56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30191"/>
    <x v="114"/>
    <n v="-918"/>
    <n v="-918"/>
    <n v="0"/>
    <n v="918"/>
    <n v="0"/>
    <n v="918"/>
    <n v="918"/>
    <n v="0"/>
    <n v="0"/>
    <n v="0"/>
    <n v="0"/>
    <n v="0"/>
    <n v="0"/>
    <n v="10819"/>
  </r>
  <r>
    <n v="50"/>
    <x v="5"/>
    <s v="00/06/13"/>
    <s v="1400/06/13"/>
    <x v="124"/>
    <n v="10069"/>
    <x v="68"/>
    <n v="428"/>
    <n v="428"/>
    <n v="428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26"/>
    <x v="81"/>
    <n v="-1958"/>
    <n v="-1958"/>
    <n v="0"/>
    <n v="1958"/>
    <n v="0"/>
    <n v="1958"/>
    <n v="1958"/>
    <n v="0"/>
    <n v="0"/>
    <n v="0"/>
    <n v="0"/>
    <n v="0"/>
    <n v="0"/>
    <n v="10819"/>
  </r>
  <r>
    <n v="50"/>
    <x v="5"/>
    <s v="00/06/13"/>
    <s v="1400/06/13"/>
    <x v="124"/>
    <n v="30004"/>
    <x v="2"/>
    <n v="2250"/>
    <n v="2250"/>
    <n v="225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69"/>
    <x v="68"/>
    <n v="-1043"/>
    <n v="-1043"/>
    <n v="0"/>
    <n v="1043"/>
    <n v="0"/>
    <n v="1043"/>
    <n v="1043"/>
    <n v="0"/>
    <n v="0"/>
    <n v="0"/>
    <n v="0"/>
    <n v="0"/>
    <n v="0"/>
    <n v="10819"/>
  </r>
  <r>
    <n v="50"/>
    <x v="5"/>
    <s v="00/06/13"/>
    <s v="1400/06/13"/>
    <x v="124"/>
    <n v="30009"/>
    <x v="66"/>
    <n v="1880"/>
    <n v="1880"/>
    <n v="188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97"/>
    <x v="119"/>
    <n v="-2128"/>
    <n v="-2128"/>
    <n v="0"/>
    <n v="2128"/>
    <n v="0"/>
    <n v="2128"/>
    <n v="2128"/>
    <n v="0"/>
    <n v="0"/>
    <n v="0"/>
    <n v="0"/>
    <n v="0"/>
    <n v="0"/>
    <n v="10819"/>
  </r>
  <r>
    <n v="50"/>
    <x v="5"/>
    <s v="00/06/13"/>
    <s v="1400/06/13"/>
    <x v="124"/>
    <n v="30191"/>
    <x v="114"/>
    <n v="50"/>
    <n v="50"/>
    <n v="5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69"/>
    <x v="68"/>
    <n v="816"/>
    <n v="816"/>
    <n v="816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03"/>
    <x v="79"/>
    <n v="1824"/>
    <n v="1824"/>
    <n v="1824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50011"/>
    <x v="17"/>
    <n v="1891"/>
    <n v="1891"/>
    <n v="1891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128"/>
    <x v="109"/>
    <n v="28"/>
    <n v="28"/>
    <n v="28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128"/>
    <x v="109"/>
    <n v="122"/>
    <n v="122"/>
    <n v="122"/>
    <n v="0"/>
    <n v="0"/>
    <n v="0"/>
    <n v="0"/>
    <n v="0"/>
    <n v="0"/>
    <n v="0"/>
    <n v="0"/>
    <n v="0"/>
    <n v="0"/>
    <n v="10819"/>
  </r>
  <r>
    <n v="50"/>
    <x v="5"/>
    <s v="00/06/14"/>
    <s v="1400/06/14"/>
    <x v="125"/>
    <n v="30009"/>
    <x v="66"/>
    <n v="-1493"/>
    <n v="-1493"/>
    <n v="0"/>
    <n v="1493"/>
    <n v="0"/>
    <n v="1493"/>
    <n v="1493"/>
    <n v="0"/>
    <n v="0"/>
    <n v="0"/>
    <n v="0"/>
    <n v="0"/>
    <n v="0"/>
    <n v="10819"/>
  </r>
  <r>
    <n v="51"/>
    <x v="5"/>
    <s v="00/06/14"/>
    <s v="1400/06/14"/>
    <x v="125"/>
    <n v="30127"/>
    <x v="99"/>
    <n v="13620"/>
    <n v="13620"/>
    <n v="13620"/>
    <n v="0"/>
    <n v="0"/>
    <n v="0"/>
    <n v="0"/>
    <n v="0"/>
    <n v="0"/>
    <n v="0"/>
    <n v="0"/>
    <n v="0"/>
    <n v="0"/>
    <n v="-2801"/>
  </r>
  <r>
    <n v="52"/>
    <x v="5"/>
    <s v="00/06/14"/>
    <s v="1400/06/14"/>
    <x v="125"/>
    <n v="30127"/>
    <x v="99"/>
    <n v="-15650"/>
    <n v="-15650"/>
    <n v="0"/>
    <n v="15650"/>
    <n v="0"/>
    <n v="15650"/>
    <n v="15650"/>
    <n v="0"/>
    <n v="0"/>
    <n v="0"/>
    <n v="0"/>
    <n v="0"/>
    <n v="0"/>
    <n v="12849"/>
  </r>
  <r>
    <n v="52"/>
    <x v="5"/>
    <s v="00/06/14"/>
    <s v="1400/06/14"/>
    <x v="125"/>
    <n v="10026"/>
    <x v="81"/>
    <n v="2814"/>
    <n v="2814"/>
    <n v="2814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30155"/>
    <x v="107"/>
    <n v="-3000"/>
    <n v="-3000"/>
    <n v="0"/>
    <n v="3000"/>
    <n v="0"/>
    <n v="3000"/>
    <n v="3000"/>
    <n v="0"/>
    <n v="0"/>
    <n v="0"/>
    <n v="0"/>
    <n v="0"/>
    <n v="0"/>
    <n v="12849"/>
  </r>
  <r>
    <n v="52"/>
    <x v="5"/>
    <s v="00/06/14"/>
    <s v="1400/06/14"/>
    <x v="125"/>
    <n v="30009"/>
    <x v="66"/>
    <n v="1859"/>
    <n v="1859"/>
    <n v="1859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30032"/>
    <x v="16"/>
    <n v="-178"/>
    <n v="-178"/>
    <n v="0"/>
    <n v="178"/>
    <n v="0"/>
    <n v="178"/>
    <n v="178"/>
    <n v="0"/>
    <n v="0"/>
    <n v="0"/>
    <n v="0"/>
    <n v="0"/>
    <n v="0"/>
    <n v="12849"/>
  </r>
  <r>
    <n v="52"/>
    <x v="5"/>
    <s v="00/06/14"/>
    <s v="1400/06/14"/>
    <x v="125"/>
    <n v="30155"/>
    <x v="107"/>
    <n v="2098"/>
    <n v="2098"/>
    <n v="2098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10003"/>
    <x v="79"/>
    <n v="-1438"/>
    <n v="-1438"/>
    <n v="0"/>
    <n v="1438"/>
    <n v="0"/>
    <n v="1438"/>
    <n v="1438"/>
    <n v="0"/>
    <n v="0"/>
    <n v="0"/>
    <n v="0"/>
    <n v="0"/>
    <n v="0"/>
    <n v="12849"/>
  </r>
  <r>
    <n v="52"/>
    <x v="5"/>
    <s v="00/06/14"/>
    <s v="1400/06/14"/>
    <x v="125"/>
    <n v="30155"/>
    <x v="107"/>
    <n v="670"/>
    <n v="670"/>
    <n v="670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10026"/>
    <x v="81"/>
    <n v="-3857"/>
    <n v="-3857"/>
    <n v="0"/>
    <n v="3857"/>
    <n v="0"/>
    <n v="3857"/>
    <n v="3857"/>
    <n v="0"/>
    <n v="0"/>
    <n v="0"/>
    <n v="0"/>
    <n v="0"/>
    <n v="0"/>
    <n v="12849"/>
  </r>
  <r>
    <n v="52"/>
    <x v="5"/>
    <s v="00/06/14"/>
    <s v="1400/06/14"/>
    <x v="125"/>
    <n v="30155"/>
    <x v="107"/>
    <n v="633"/>
    <n v="633"/>
    <n v="633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131"/>
    <x v="112"/>
    <n v="-98"/>
    <n v="-98"/>
    <n v="0"/>
    <n v="98"/>
    <n v="0"/>
    <n v="98"/>
    <n v="98"/>
    <n v="0"/>
    <n v="0"/>
    <n v="0"/>
    <n v="0"/>
    <n v="0"/>
    <n v="0"/>
    <n v="12849"/>
  </r>
  <r>
    <n v="52"/>
    <x v="5"/>
    <s v="00/06/15"/>
    <s v="1400/06/15"/>
    <x v="126"/>
    <n v="10131"/>
    <x v="112"/>
    <n v="210"/>
    <n v="210"/>
    <n v="21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003"/>
    <x v="65"/>
    <n v="-1749"/>
    <n v="-1749"/>
    <n v="0"/>
    <n v="1749"/>
    <n v="0"/>
    <n v="1749"/>
    <n v="1749"/>
    <n v="0"/>
    <n v="0"/>
    <n v="0"/>
    <n v="0"/>
    <n v="0"/>
    <n v="0"/>
    <n v="12849"/>
  </r>
  <r>
    <n v="52"/>
    <x v="5"/>
    <s v="00/06/15"/>
    <s v="1400/06/15"/>
    <x v="126"/>
    <n v="10003"/>
    <x v="79"/>
    <n v="2630"/>
    <n v="2630"/>
    <n v="263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131"/>
    <x v="112"/>
    <n v="-1036"/>
    <n v="-1036"/>
    <n v="0"/>
    <n v="1036"/>
    <n v="0"/>
    <n v="1036"/>
    <n v="1036"/>
    <n v="0"/>
    <n v="0"/>
    <n v="0"/>
    <n v="0"/>
    <n v="0"/>
    <n v="0"/>
    <n v="12849"/>
  </r>
  <r>
    <n v="52"/>
    <x v="5"/>
    <s v="00/06/15"/>
    <s v="1400/06/15"/>
    <x v="126"/>
    <n v="30081"/>
    <x v="67"/>
    <n v="4140"/>
    <n v="4140"/>
    <n v="414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7"/>
    <x v="33"/>
    <n v="-2073"/>
    <n v="-2073"/>
    <n v="0"/>
    <n v="2073"/>
    <n v="0"/>
    <n v="2073"/>
    <n v="2073"/>
    <n v="0"/>
    <n v="0"/>
    <n v="0"/>
    <n v="0"/>
    <n v="0"/>
    <n v="0"/>
    <n v="12849"/>
  </r>
  <r>
    <n v="52"/>
    <x v="5"/>
    <s v="00/06/15"/>
    <s v="1400/06/15"/>
    <x v="126"/>
    <n v="10014"/>
    <x v="120"/>
    <n v="1036"/>
    <n v="1036"/>
    <n v="1036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03"/>
    <x v="79"/>
    <n v="-1889"/>
    <n v="-1889"/>
    <n v="0"/>
    <n v="1889"/>
    <n v="0"/>
    <n v="1889"/>
    <n v="1889"/>
    <n v="0"/>
    <n v="0"/>
    <n v="0"/>
    <n v="0"/>
    <n v="0"/>
    <n v="0"/>
    <n v="12849"/>
  </r>
  <r>
    <n v="52"/>
    <x v="5"/>
    <s v="00/06/15"/>
    <s v="1400/06/15"/>
    <x v="126"/>
    <n v="10055"/>
    <x v="80"/>
    <n v="4916"/>
    <n v="4916"/>
    <n v="4916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29"/>
    <x v="78"/>
    <n v="-1112"/>
    <n v="-1112"/>
    <n v="0"/>
    <n v="1112"/>
    <n v="0"/>
    <n v="1112"/>
    <n v="1112"/>
    <n v="0"/>
    <n v="0"/>
    <n v="0"/>
    <n v="0"/>
    <n v="0"/>
    <n v="0"/>
    <n v="12849"/>
  </r>
  <r>
    <n v="52"/>
    <x v="5"/>
    <s v="00/06/15"/>
    <s v="1400/06/15"/>
    <x v="126"/>
    <n v="10003"/>
    <x v="79"/>
    <n v="2089"/>
    <n v="2089"/>
    <n v="2089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5"/>
    <x v="80"/>
    <n v="-5170"/>
    <n v="-5170"/>
    <n v="0"/>
    <n v="5170"/>
    <n v="0"/>
    <n v="5170"/>
    <n v="5170"/>
    <n v="0"/>
    <n v="0"/>
    <n v="0"/>
    <n v="0"/>
    <n v="0"/>
    <n v="0"/>
    <n v="12849"/>
  </r>
  <r>
    <n v="52"/>
    <x v="5"/>
    <s v="00/06/15"/>
    <s v="1400/06/15"/>
    <x v="126"/>
    <n v="10057"/>
    <x v="33"/>
    <n v="100"/>
    <n v="100"/>
    <n v="10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7"/>
    <x v="33"/>
    <n v="1314"/>
    <n v="1314"/>
    <n v="1314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160"/>
    <x v="5"/>
    <n v="101"/>
    <n v="101"/>
    <n v="101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003"/>
    <x v="65"/>
    <n v="326"/>
    <n v="326"/>
    <n v="326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003"/>
    <x v="65"/>
    <n v="1383"/>
    <n v="1383"/>
    <n v="1383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7"/>
    <x v="33"/>
    <n v="98"/>
    <n v="98"/>
    <n v="98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30004"/>
    <x v="2"/>
    <n v="-4455"/>
    <n v="-4455"/>
    <n v="0"/>
    <n v="4455"/>
    <n v="0"/>
    <n v="4455"/>
    <n v="4455"/>
    <n v="0"/>
    <n v="0"/>
    <n v="0"/>
    <n v="0"/>
    <n v="0"/>
    <n v="0"/>
    <n v="12849"/>
  </r>
  <r>
    <n v="52"/>
    <x v="5"/>
    <s v="00/06/16"/>
    <s v="1400/06/16"/>
    <x v="127"/>
    <n v="10003"/>
    <x v="79"/>
    <n v="2841"/>
    <n v="2841"/>
    <n v="2841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70"/>
    <x v="53"/>
    <n v="-265"/>
    <n v="-265"/>
    <n v="0"/>
    <n v="265"/>
    <n v="0"/>
    <n v="265"/>
    <n v="265"/>
    <n v="0"/>
    <n v="0"/>
    <n v="0"/>
    <n v="0"/>
    <n v="0"/>
    <n v="0"/>
    <n v="12849"/>
  </r>
  <r>
    <n v="52"/>
    <x v="5"/>
    <s v="00/06/16"/>
    <s v="1400/06/16"/>
    <x v="127"/>
    <n v="30022"/>
    <x v="75"/>
    <n v="4912"/>
    <n v="4912"/>
    <n v="4912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30184"/>
    <x v="108"/>
    <n v="-4005"/>
    <n v="-4005"/>
    <n v="0"/>
    <n v="4005"/>
    <n v="0"/>
    <n v="4005"/>
    <n v="4005"/>
    <n v="0"/>
    <n v="0"/>
    <n v="0"/>
    <n v="0"/>
    <n v="0"/>
    <n v="0"/>
    <n v="12849"/>
  </r>
  <r>
    <n v="52"/>
    <x v="5"/>
    <s v="00/06/16"/>
    <s v="1400/06/16"/>
    <x v="127"/>
    <n v="10055"/>
    <x v="80"/>
    <n v="4394"/>
    <n v="4394"/>
    <n v="4394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30022"/>
    <x v="75"/>
    <n v="-5167"/>
    <n v="-5167"/>
    <n v="0"/>
    <n v="5167"/>
    <n v="0"/>
    <n v="5167"/>
    <n v="5167"/>
    <n v="0"/>
    <n v="0"/>
    <n v="0"/>
    <n v="0"/>
    <n v="0"/>
    <n v="0"/>
    <n v="12849"/>
  </r>
  <r>
    <n v="52"/>
    <x v="5"/>
    <s v="00/06/16"/>
    <s v="1400/06/16"/>
    <x v="127"/>
    <n v="10026"/>
    <x v="81"/>
    <n v="916"/>
    <n v="916"/>
    <n v="916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14"/>
    <x v="120"/>
    <n v="-1015"/>
    <n v="-1015"/>
    <n v="0"/>
    <n v="1015"/>
    <n v="0"/>
    <n v="1015"/>
    <n v="1015"/>
    <n v="0"/>
    <n v="0"/>
    <n v="0"/>
    <n v="0"/>
    <n v="0"/>
    <n v="0"/>
    <n v="12849"/>
  </r>
  <r>
    <n v="52"/>
    <x v="5"/>
    <s v="00/06/16"/>
    <s v="1400/06/16"/>
    <x v="127"/>
    <n v="30009"/>
    <x v="66"/>
    <n v="1990"/>
    <n v="1990"/>
    <n v="1990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03"/>
    <x v="79"/>
    <n v="-4160"/>
    <n v="-4160"/>
    <n v="0"/>
    <n v="4160"/>
    <n v="0"/>
    <n v="4160"/>
    <n v="4160"/>
    <n v="0"/>
    <n v="0"/>
    <n v="0"/>
    <n v="0"/>
    <n v="0"/>
    <n v="0"/>
    <n v="12849"/>
  </r>
  <r>
    <n v="52"/>
    <x v="5"/>
    <s v="00/06/16"/>
    <s v="1400/06/16"/>
    <x v="127"/>
    <n v="30004"/>
    <x v="2"/>
    <n v="1735"/>
    <n v="1735"/>
    <n v="1735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55"/>
    <x v="80"/>
    <n v="-5222"/>
    <n v="-5222"/>
    <n v="0"/>
    <n v="5222"/>
    <n v="0"/>
    <n v="5222"/>
    <n v="5222"/>
    <n v="0"/>
    <n v="0"/>
    <n v="0"/>
    <n v="0"/>
    <n v="0"/>
    <n v="0"/>
    <n v="12849"/>
  </r>
  <r>
    <n v="52"/>
    <x v="5"/>
    <s v="00/06/16"/>
    <s v="1400/06/16"/>
    <x v="127"/>
    <n v="10020"/>
    <x v="40"/>
    <n v="-1006"/>
    <n v="-1006"/>
    <n v="0"/>
    <n v="1006"/>
    <n v="0"/>
    <n v="1006"/>
    <n v="1006"/>
    <n v="0"/>
    <n v="0"/>
    <n v="0"/>
    <n v="0"/>
    <n v="0"/>
    <n v="0"/>
    <n v="12849"/>
  </r>
  <r>
    <n v="52"/>
    <x v="5"/>
    <s v="00/06/17"/>
    <s v="1400/06/17"/>
    <x v="128"/>
    <n v="30022"/>
    <x v="75"/>
    <n v="4920"/>
    <n v="4920"/>
    <n v="4920"/>
    <n v="0"/>
    <n v="0"/>
    <n v="0"/>
    <n v="0"/>
    <n v="0"/>
    <n v="0"/>
    <n v="0"/>
    <n v="0"/>
    <n v="0"/>
    <n v="0"/>
    <n v="12849"/>
  </r>
  <r>
    <n v="52"/>
    <x v="5"/>
    <s v="00/06/17"/>
    <s v="1400/06/17"/>
    <x v="128"/>
    <n v="30191"/>
    <x v="114"/>
    <n v="-918"/>
    <n v="-918"/>
    <n v="0"/>
    <n v="918"/>
    <n v="0"/>
    <n v="918"/>
    <n v="918"/>
    <n v="0"/>
    <n v="0"/>
    <n v="0"/>
    <n v="0"/>
    <n v="0"/>
    <n v="0"/>
    <n v="12849"/>
  </r>
  <r>
    <n v="52"/>
    <x v="5"/>
    <s v="00/06/17"/>
    <s v="1400/06/17"/>
    <x v="128"/>
    <n v="10084"/>
    <x v="37"/>
    <n v="1199"/>
    <n v="1199"/>
    <n v="1199"/>
    <n v="0"/>
    <n v="0"/>
    <n v="0"/>
    <n v="0"/>
    <n v="0"/>
    <n v="0"/>
    <n v="0"/>
    <n v="0"/>
    <n v="0"/>
    <n v="0"/>
    <n v="12849"/>
  </r>
  <r>
    <n v="52"/>
    <x v="5"/>
    <s v="00/06/17"/>
    <s v="1400/06/17"/>
    <x v="128"/>
    <n v="30099"/>
    <x v="11"/>
    <n v="-1895"/>
    <n v="-1895"/>
    <n v="0"/>
    <n v="1895"/>
    <n v="0"/>
    <n v="1895"/>
    <n v="1895"/>
    <n v="0"/>
    <n v="0"/>
    <n v="0"/>
    <n v="0"/>
    <n v="0"/>
    <n v="0"/>
    <n v="12849"/>
  </r>
  <r>
    <n v="52"/>
    <x v="5"/>
    <s v="00/06/17"/>
    <s v="1400/06/17"/>
    <x v="128"/>
    <n v="10003"/>
    <x v="79"/>
    <n v="7000"/>
    <n v="7000"/>
    <n v="7000"/>
    <n v="0"/>
    <n v="0"/>
    <n v="0"/>
    <n v="0"/>
    <n v="0"/>
    <n v="0"/>
    <n v="0"/>
    <n v="0"/>
    <n v="0"/>
    <n v="0"/>
    <n v="12849"/>
  </r>
  <r>
    <n v="52"/>
    <x v="5"/>
    <s v="00/06/17"/>
    <s v="1400/06/17"/>
    <x v="128"/>
    <n v="30099"/>
    <x v="11"/>
    <n v="-3035"/>
    <n v="-3035"/>
    <n v="0"/>
    <n v="3035"/>
    <n v="0"/>
    <n v="3035"/>
    <n v="3035"/>
    <n v="0"/>
    <n v="0"/>
    <n v="0"/>
    <n v="0"/>
    <n v="0"/>
    <n v="0"/>
    <n v="12849"/>
  </r>
  <r>
    <n v="52"/>
    <x v="5"/>
    <s v="00/06/17"/>
    <s v="1400/06/17"/>
    <x v="128"/>
    <n v="10003"/>
    <x v="79"/>
    <n v="-1918"/>
    <n v="-1918"/>
    <n v="0"/>
    <n v="1918"/>
    <n v="0"/>
    <n v="1918"/>
    <n v="1918"/>
    <n v="0"/>
    <n v="0"/>
    <n v="0"/>
    <n v="0"/>
    <n v="0"/>
    <n v="0"/>
    <n v="12849"/>
  </r>
  <r>
    <n v="52"/>
    <x v="5"/>
    <s v="00/06/17"/>
    <s v="1400/06/17"/>
    <x v="128"/>
    <n v="10084"/>
    <x v="37"/>
    <n v="-1448"/>
    <n v="-1448"/>
    <n v="0"/>
    <n v="1448"/>
    <n v="0"/>
    <n v="1448"/>
    <n v="1448"/>
    <n v="0"/>
    <n v="0"/>
    <n v="0"/>
    <n v="0"/>
    <n v="0"/>
    <n v="0"/>
    <n v="12849"/>
  </r>
  <r>
    <n v="52"/>
    <x v="5"/>
    <s v="00/06/18"/>
    <s v="1400/06/18"/>
    <x v="129"/>
    <n v="30009"/>
    <x v="66"/>
    <n v="2021"/>
    <n v="2021"/>
    <n v="2021"/>
    <n v="0"/>
    <n v="0"/>
    <n v="0"/>
    <n v="0"/>
    <n v="0"/>
    <n v="0"/>
    <n v="0"/>
    <n v="0"/>
    <n v="0"/>
    <n v="0"/>
    <n v="12849"/>
  </r>
  <r>
    <n v="53"/>
    <x v="5"/>
    <s v="00/06/18"/>
    <s v="1400/06/18"/>
    <x v="129"/>
    <n v="30127"/>
    <x v="99"/>
    <n v="-17444"/>
    <n v="-17444"/>
    <n v="0"/>
    <n v="17444"/>
    <n v="0"/>
    <n v="17444"/>
    <n v="17444"/>
    <n v="0"/>
    <n v="0"/>
    <n v="0"/>
    <n v="0"/>
    <n v="0"/>
    <n v="0"/>
    <n v="30293"/>
  </r>
  <r>
    <n v="53"/>
    <x v="5"/>
    <s v="00/06/18"/>
    <s v="1400/06/18"/>
    <x v="129"/>
    <n v="10020"/>
    <x v="40"/>
    <n v="2618"/>
    <n v="2618"/>
    <n v="2618"/>
    <n v="0"/>
    <n v="0"/>
    <n v="0"/>
    <n v="0"/>
    <n v="0"/>
    <n v="0"/>
    <n v="0"/>
    <n v="0"/>
    <n v="0"/>
    <n v="0"/>
    <n v="30293"/>
  </r>
  <r>
    <n v="53"/>
    <x v="5"/>
    <s v="00/06/18"/>
    <s v="1400/06/18"/>
    <x v="129"/>
    <n v="10127"/>
    <x v="104"/>
    <n v="-2005"/>
    <n v="-2005"/>
    <n v="0"/>
    <n v="2005"/>
    <n v="0"/>
    <n v="2005"/>
    <n v="2005"/>
    <n v="0"/>
    <n v="0"/>
    <n v="0"/>
    <n v="0"/>
    <n v="0"/>
    <n v="0"/>
    <n v="30293"/>
  </r>
  <r>
    <n v="53"/>
    <x v="5"/>
    <s v="00/06/18"/>
    <s v="1400/06/18"/>
    <x v="129"/>
    <n v="30190"/>
    <x v="111"/>
    <n v="2761"/>
    <n v="2761"/>
    <n v="2761"/>
    <n v="0"/>
    <n v="0"/>
    <n v="0"/>
    <n v="0"/>
    <n v="0"/>
    <n v="0"/>
    <n v="0"/>
    <n v="0"/>
    <n v="0"/>
    <n v="0"/>
    <n v="30293"/>
  </r>
  <r>
    <n v="53"/>
    <x v="5"/>
    <s v="00/06/18"/>
    <s v="1400/06/18"/>
    <x v="129"/>
    <n v="10127"/>
    <x v="104"/>
    <n v="-2761"/>
    <n v="-2761"/>
    <n v="0"/>
    <n v="2761"/>
    <n v="0"/>
    <n v="2761"/>
    <n v="2761"/>
    <n v="0"/>
    <n v="0"/>
    <n v="0"/>
    <n v="0"/>
    <n v="0"/>
    <n v="0"/>
    <n v="30293"/>
  </r>
  <r>
    <n v="53"/>
    <x v="5"/>
    <s v="00/06/18"/>
    <s v="1400/06/18"/>
    <x v="129"/>
    <n v="10127"/>
    <x v="104"/>
    <n v="1218"/>
    <n v="1218"/>
    <n v="1218"/>
    <n v="0"/>
    <n v="0"/>
    <n v="0"/>
    <n v="0"/>
    <n v="0"/>
    <n v="0"/>
    <n v="0"/>
    <n v="0"/>
    <n v="0"/>
    <n v="0"/>
    <n v="30293"/>
  </r>
  <r>
    <n v="53"/>
    <x v="5"/>
    <s v="00/06/18"/>
    <s v="1400/06/18"/>
    <x v="129"/>
    <n v="10127"/>
    <x v="104"/>
    <n v="298"/>
    <n v="298"/>
    <n v="298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30004"/>
    <x v="2"/>
    <n v="-5063"/>
    <n v="-5063"/>
    <n v="0"/>
    <n v="5063"/>
    <n v="0"/>
    <n v="5063"/>
    <n v="5063"/>
    <n v="0"/>
    <n v="0"/>
    <n v="0"/>
    <n v="0"/>
    <n v="0"/>
    <n v="0"/>
    <n v="30293"/>
  </r>
  <r>
    <n v="53"/>
    <x v="5"/>
    <s v="00/06/20"/>
    <s v="1400/06/20"/>
    <x v="130"/>
    <n v="30004"/>
    <x v="2"/>
    <n v="2276"/>
    <n v="2276"/>
    <n v="2276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10070"/>
    <x v="53"/>
    <n v="-123"/>
    <n v="-123"/>
    <n v="0"/>
    <n v="123"/>
    <n v="0"/>
    <n v="123"/>
    <n v="123"/>
    <n v="0"/>
    <n v="0"/>
    <n v="0"/>
    <n v="0"/>
    <n v="0"/>
    <n v="0"/>
    <n v="30293"/>
  </r>
  <r>
    <n v="53"/>
    <x v="5"/>
    <s v="00/06/20"/>
    <s v="1400/06/20"/>
    <x v="130"/>
    <n v="30004"/>
    <x v="2"/>
    <n v="2022"/>
    <n v="2022"/>
    <n v="2022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30012"/>
    <x v="59"/>
    <n v="-1764"/>
    <n v="-1764"/>
    <n v="0"/>
    <n v="1764"/>
    <n v="0"/>
    <n v="1764"/>
    <n v="1764"/>
    <n v="0"/>
    <n v="0"/>
    <n v="0"/>
    <n v="0"/>
    <n v="0"/>
    <n v="0"/>
    <n v="30293"/>
  </r>
  <r>
    <n v="53"/>
    <x v="5"/>
    <s v="00/06/20"/>
    <s v="1400/06/20"/>
    <x v="130"/>
    <n v="10018"/>
    <x v="95"/>
    <n v="440"/>
    <n v="440"/>
    <n v="440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30009"/>
    <x v="66"/>
    <n v="-2038"/>
    <n v="-2038"/>
    <n v="0"/>
    <n v="2038"/>
    <n v="0"/>
    <n v="2038"/>
    <n v="2038"/>
    <n v="0"/>
    <n v="0"/>
    <n v="0"/>
    <n v="0"/>
    <n v="0"/>
    <n v="0"/>
    <n v="30293"/>
  </r>
  <r>
    <n v="53"/>
    <x v="5"/>
    <s v="00/06/20"/>
    <s v="1400/06/20"/>
    <x v="130"/>
    <n v="10018"/>
    <x v="95"/>
    <n v="74"/>
    <n v="74"/>
    <n v="74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10009"/>
    <x v="24"/>
    <n v="-2139"/>
    <n v="-2139"/>
    <n v="0"/>
    <n v="2139"/>
    <n v="0"/>
    <n v="2139"/>
    <n v="2139"/>
    <n v="0"/>
    <n v="0"/>
    <n v="0"/>
    <n v="0"/>
    <n v="0"/>
    <n v="0"/>
    <n v="30293"/>
  </r>
  <r>
    <n v="53"/>
    <x v="5"/>
    <s v="00/06/20"/>
    <s v="1400/06/20"/>
    <x v="130"/>
    <n v="10003"/>
    <x v="79"/>
    <n v="-6107"/>
    <n v="-6107"/>
    <n v="0"/>
    <n v="6107"/>
    <n v="0"/>
    <n v="6107"/>
    <n v="6107"/>
    <n v="0"/>
    <n v="0"/>
    <n v="0"/>
    <n v="0"/>
    <n v="0"/>
    <n v="0"/>
    <n v="30293"/>
  </r>
  <r>
    <n v="53"/>
    <x v="5"/>
    <s v="00/06/20"/>
    <s v="1400/06/20"/>
    <x v="130"/>
    <n v="10029"/>
    <x v="78"/>
    <n v="-523"/>
    <n v="-523"/>
    <n v="0"/>
    <n v="523"/>
    <n v="0"/>
    <n v="523"/>
    <n v="523"/>
    <n v="0"/>
    <n v="0"/>
    <n v="0"/>
    <n v="0"/>
    <n v="0"/>
    <n v="0"/>
    <n v="30293"/>
  </r>
  <r>
    <n v="53"/>
    <x v="5"/>
    <s v="00/06/20"/>
    <s v="1400/06/20"/>
    <x v="130"/>
    <n v="10018"/>
    <x v="95"/>
    <n v="-514"/>
    <n v="-514"/>
    <n v="0"/>
    <n v="514"/>
    <n v="0"/>
    <n v="514"/>
    <n v="514"/>
    <n v="0"/>
    <n v="0"/>
    <n v="0"/>
    <n v="0"/>
    <n v="0"/>
    <n v="0"/>
    <n v="30293"/>
  </r>
  <r>
    <n v="53"/>
    <x v="5"/>
    <s v="00/06/21"/>
    <s v="1400/06/21"/>
    <x v="131"/>
    <n v="10055"/>
    <x v="80"/>
    <n v="7013"/>
    <n v="7013"/>
    <n v="7013"/>
    <n v="0"/>
    <n v="0"/>
    <n v="0"/>
    <n v="0"/>
    <n v="0"/>
    <n v="0"/>
    <n v="0"/>
    <n v="0"/>
    <n v="0"/>
    <n v="0"/>
    <n v="30293"/>
  </r>
  <r>
    <n v="53"/>
    <x v="5"/>
    <s v="00/06/21"/>
    <s v="1400/06/21"/>
    <x v="131"/>
    <n v="10055"/>
    <x v="80"/>
    <n v="-4939"/>
    <n v="-4939"/>
    <n v="0"/>
    <n v="4939"/>
    <n v="0"/>
    <n v="4939"/>
    <n v="4939"/>
    <n v="0"/>
    <n v="0"/>
    <n v="0"/>
    <n v="0"/>
    <n v="0"/>
    <n v="0"/>
    <n v="30293"/>
  </r>
  <r>
    <n v="53"/>
    <x v="5"/>
    <s v="00/06/21"/>
    <s v="1400/06/21"/>
    <x v="131"/>
    <n v="30009"/>
    <x v="66"/>
    <n v="1785"/>
    <n v="1785"/>
    <n v="1785"/>
    <n v="0"/>
    <n v="0"/>
    <n v="0"/>
    <n v="0"/>
    <n v="0"/>
    <n v="0"/>
    <n v="0"/>
    <n v="0"/>
    <n v="0"/>
    <n v="0"/>
    <n v="30293"/>
  </r>
  <r>
    <n v="53"/>
    <x v="5"/>
    <s v="00/06/21"/>
    <s v="1400/06/21"/>
    <x v="131"/>
    <n v="10026"/>
    <x v="81"/>
    <n v="-38"/>
    <n v="-38"/>
    <n v="0"/>
    <n v="38"/>
    <n v="0"/>
    <n v="38"/>
    <n v="38"/>
    <n v="0"/>
    <n v="0"/>
    <n v="0"/>
    <n v="0"/>
    <n v="0"/>
    <n v="0"/>
    <n v="30293"/>
  </r>
  <r>
    <n v="53"/>
    <x v="5"/>
    <s v="00/06/21"/>
    <s v="1400/06/21"/>
    <x v="131"/>
    <n v="10003"/>
    <x v="79"/>
    <n v="-2196"/>
    <n v="-2196"/>
    <n v="0"/>
    <n v="2196"/>
    <n v="0"/>
    <n v="2196"/>
    <n v="2196"/>
    <n v="0"/>
    <n v="0"/>
    <n v="0"/>
    <n v="0"/>
    <n v="0"/>
    <n v="0"/>
    <n v="30293"/>
  </r>
  <r>
    <n v="53"/>
    <x v="5"/>
    <s v="00/06/22"/>
    <s v="1400/06/22"/>
    <x v="132"/>
    <n v="30009"/>
    <x v="66"/>
    <n v="2232"/>
    <n v="2232"/>
    <n v="2232"/>
    <n v="0"/>
    <n v="0"/>
    <n v="0"/>
    <n v="0"/>
    <n v="0"/>
    <n v="0"/>
    <n v="0"/>
    <n v="0"/>
    <n v="0"/>
    <n v="0"/>
    <n v="30293"/>
  </r>
  <r>
    <n v="53"/>
    <x v="5"/>
    <s v="00/06/22"/>
    <s v="1400/06/22"/>
    <x v="132"/>
    <n v="10128"/>
    <x v="109"/>
    <n v="-100"/>
    <n v="-100"/>
    <n v="0"/>
    <n v="100"/>
    <n v="0"/>
    <n v="100"/>
    <n v="100"/>
    <n v="0"/>
    <n v="0"/>
    <n v="0"/>
    <n v="0"/>
    <n v="0"/>
    <n v="0"/>
    <n v="30293"/>
  </r>
  <r>
    <n v="53"/>
    <x v="5"/>
    <s v="00/06/22"/>
    <s v="1400/06/22"/>
    <x v="132"/>
    <n v="10126"/>
    <x v="103"/>
    <n v="462"/>
    <n v="462"/>
    <n v="462"/>
    <n v="0"/>
    <n v="0"/>
    <n v="0"/>
    <n v="0"/>
    <n v="0"/>
    <n v="0"/>
    <n v="0"/>
    <n v="0"/>
    <n v="0"/>
    <n v="0"/>
    <n v="30293"/>
  </r>
  <r>
    <n v="53"/>
    <x v="5"/>
    <s v="00/06/22"/>
    <s v="1400/06/22"/>
    <x v="132"/>
    <n v="30140"/>
    <x v="29"/>
    <n v="1062"/>
    <n v="1062"/>
    <n v="1062"/>
    <n v="0"/>
    <n v="0"/>
    <n v="0"/>
    <n v="0"/>
    <n v="0"/>
    <n v="0"/>
    <n v="0"/>
    <n v="0"/>
    <n v="0"/>
    <n v="0"/>
    <n v="30293"/>
  </r>
  <r>
    <n v="53"/>
    <x v="5"/>
    <s v="00/06/22"/>
    <s v="1400/06/22"/>
    <x v="132"/>
    <n v="30099"/>
    <x v="11"/>
    <n v="4195"/>
    <n v="4195"/>
    <n v="4195"/>
    <n v="0"/>
    <n v="0"/>
    <n v="0"/>
    <n v="0"/>
    <n v="0"/>
    <n v="0"/>
    <n v="0"/>
    <n v="0"/>
    <n v="0"/>
    <n v="0"/>
    <n v="30293"/>
  </r>
  <r>
    <n v="54"/>
    <x v="5"/>
    <s v="00/06/23"/>
    <s v="1400/06/23"/>
    <x v="133"/>
    <n v="30127"/>
    <x v="99"/>
    <n v="-15628"/>
    <n v="-15628"/>
    <n v="0"/>
    <n v="15628"/>
    <n v="0"/>
    <n v="15628"/>
    <n v="15628"/>
    <n v="0"/>
    <n v="0"/>
    <n v="0"/>
    <n v="0"/>
    <n v="0"/>
    <n v="0"/>
    <n v="45921"/>
  </r>
  <r>
    <n v="54"/>
    <x v="5"/>
    <s v="00/06/23"/>
    <s v="1400/06/23"/>
    <x v="133"/>
    <n v="30146"/>
    <x v="64"/>
    <n v="783"/>
    <n v="783"/>
    <n v="783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46"/>
    <x v="64"/>
    <n v="-5580"/>
    <n v="-5580"/>
    <n v="0"/>
    <n v="5580"/>
    <n v="0"/>
    <n v="5580"/>
    <n v="5580"/>
    <n v="0"/>
    <n v="0"/>
    <n v="0"/>
    <n v="0"/>
    <n v="0"/>
    <n v="0"/>
    <n v="45921"/>
  </r>
  <r>
    <n v="54"/>
    <x v="5"/>
    <s v="00/06/23"/>
    <s v="1400/06/23"/>
    <x v="133"/>
    <n v="30004"/>
    <x v="2"/>
    <n v="4502"/>
    <n v="4502"/>
    <n v="4502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91"/>
    <x v="114"/>
    <n v="-914"/>
    <n v="-914"/>
    <n v="0"/>
    <n v="914"/>
    <n v="0"/>
    <n v="914"/>
    <n v="914"/>
    <n v="0"/>
    <n v="0"/>
    <n v="0"/>
    <n v="0"/>
    <n v="0"/>
    <n v="0"/>
    <n v="45921"/>
  </r>
  <r>
    <n v="54"/>
    <x v="5"/>
    <s v="00/06/23"/>
    <s v="1400/06/23"/>
    <x v="133"/>
    <n v="30146"/>
    <x v="64"/>
    <n v="154"/>
    <n v="154"/>
    <n v="154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10026"/>
    <x v="81"/>
    <n v="-1478"/>
    <n v="-1478"/>
    <n v="0"/>
    <n v="1478"/>
    <n v="0"/>
    <n v="1478"/>
    <n v="1478"/>
    <n v="0"/>
    <n v="0"/>
    <n v="0"/>
    <n v="0"/>
    <n v="0"/>
    <n v="0"/>
    <n v="45921"/>
  </r>
  <r>
    <n v="54"/>
    <x v="5"/>
    <s v="00/06/23"/>
    <s v="1400/06/23"/>
    <x v="133"/>
    <n v="30146"/>
    <x v="64"/>
    <n v="367"/>
    <n v="367"/>
    <n v="367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004"/>
    <x v="2"/>
    <n v="-5189"/>
    <n v="-5189"/>
    <n v="0"/>
    <n v="5189"/>
    <n v="0"/>
    <n v="5189"/>
    <n v="5189"/>
    <n v="0"/>
    <n v="0"/>
    <n v="0"/>
    <n v="0"/>
    <n v="0"/>
    <n v="0"/>
    <n v="45921"/>
  </r>
  <r>
    <n v="54"/>
    <x v="5"/>
    <s v="00/06/23"/>
    <s v="1400/06/23"/>
    <x v="133"/>
    <n v="30191"/>
    <x v="114"/>
    <n v="11"/>
    <n v="11"/>
    <n v="11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014"/>
    <x v="41"/>
    <n v="-1688"/>
    <n v="-1688"/>
    <n v="0"/>
    <n v="1688"/>
    <n v="0"/>
    <n v="1688"/>
    <n v="1688"/>
    <n v="0"/>
    <n v="0"/>
    <n v="0"/>
    <n v="0"/>
    <n v="0"/>
    <n v="0"/>
    <n v="45921"/>
  </r>
  <r>
    <n v="54"/>
    <x v="5"/>
    <s v="00/06/23"/>
    <s v="1400/06/23"/>
    <x v="133"/>
    <n v="30009"/>
    <x v="66"/>
    <n v="1968"/>
    <n v="1968"/>
    <n v="1968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91"/>
    <x v="114"/>
    <n v="2200"/>
    <n v="2200"/>
    <n v="2200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91"/>
    <x v="114"/>
    <n v="94"/>
    <n v="94"/>
    <n v="94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009"/>
    <x v="66"/>
    <n v="913"/>
    <n v="913"/>
    <n v="913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30022"/>
    <x v="75"/>
    <n v="-5167"/>
    <n v="-5167"/>
    <n v="0"/>
    <n v="5167"/>
    <n v="0"/>
    <n v="5167"/>
    <n v="5167"/>
    <n v="0"/>
    <n v="0"/>
    <n v="0"/>
    <n v="0"/>
    <n v="0"/>
    <n v="0"/>
    <n v="45921"/>
  </r>
  <r>
    <n v="54"/>
    <x v="5"/>
    <s v="00/06/24"/>
    <s v="1400/06/24"/>
    <x v="134"/>
    <n v="10119"/>
    <x v="100"/>
    <n v="151"/>
    <n v="151"/>
    <n v="151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30099"/>
    <x v="11"/>
    <n v="-2537"/>
    <n v="-2537"/>
    <n v="0"/>
    <n v="2537"/>
    <n v="0"/>
    <n v="2537"/>
    <n v="2537"/>
    <n v="0"/>
    <n v="0"/>
    <n v="0"/>
    <n v="0"/>
    <n v="0"/>
    <n v="0"/>
    <n v="45921"/>
  </r>
  <r>
    <n v="54"/>
    <x v="5"/>
    <s v="00/06/24"/>
    <s v="1400/06/24"/>
    <x v="134"/>
    <n v="30004"/>
    <x v="2"/>
    <n v="1384"/>
    <n v="1384"/>
    <n v="1384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30004"/>
    <x v="2"/>
    <n v="-4609"/>
    <n v="-4609"/>
    <n v="0"/>
    <n v="4609"/>
    <n v="0"/>
    <n v="4609"/>
    <n v="4609"/>
    <n v="0"/>
    <n v="0"/>
    <n v="0"/>
    <n v="0"/>
    <n v="0"/>
    <n v="0"/>
    <n v="45921"/>
  </r>
  <r>
    <n v="54"/>
    <x v="5"/>
    <s v="00/06/24"/>
    <s v="1400/06/24"/>
    <x v="134"/>
    <n v="30022"/>
    <x v="75"/>
    <n v="2818"/>
    <n v="2818"/>
    <n v="2818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10119"/>
    <x v="100"/>
    <n v="-35"/>
    <n v="-35"/>
    <n v="0"/>
    <n v="35"/>
    <n v="0"/>
    <n v="35"/>
    <n v="35"/>
    <n v="0"/>
    <n v="0"/>
    <n v="0"/>
    <n v="0"/>
    <n v="0"/>
    <n v="0"/>
    <n v="45921"/>
  </r>
  <r>
    <n v="54"/>
    <x v="5"/>
    <s v="00/06/24"/>
    <s v="1400/06/24"/>
    <x v="134"/>
    <n v="10026"/>
    <x v="81"/>
    <n v="2855"/>
    <n v="2855"/>
    <n v="2855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10126"/>
    <x v="103"/>
    <n v="-1996"/>
    <n v="-1996"/>
    <n v="0"/>
    <n v="1996"/>
    <n v="0"/>
    <n v="1996"/>
    <n v="1996"/>
    <n v="0"/>
    <n v="0"/>
    <n v="0"/>
    <n v="0"/>
    <n v="0"/>
    <n v="0"/>
    <n v="45921"/>
  </r>
  <r>
    <n v="54"/>
    <x v="5"/>
    <s v="00/06/24"/>
    <s v="1400/06/24"/>
    <x v="134"/>
    <n v="10126"/>
    <x v="103"/>
    <n v="1105"/>
    <n v="1105"/>
    <n v="1105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10119"/>
    <x v="100"/>
    <n v="65"/>
    <n v="65"/>
    <n v="65"/>
    <n v="0"/>
    <n v="0"/>
    <n v="0"/>
    <n v="0"/>
    <n v="0"/>
    <n v="0"/>
    <n v="0"/>
    <n v="0"/>
    <n v="0"/>
    <n v="0"/>
    <n v="45921"/>
  </r>
  <r>
    <n v="54"/>
    <x v="5"/>
    <s v="00/06/25"/>
    <s v="1400/06/25"/>
    <x v="135"/>
    <n v="30066"/>
    <x v="77"/>
    <n v="-5274"/>
    <n v="-5274"/>
    <n v="0"/>
    <n v="5274"/>
    <n v="0"/>
    <n v="5274"/>
    <n v="5274"/>
    <n v="0"/>
    <n v="0"/>
    <n v="0"/>
    <n v="0"/>
    <n v="0"/>
    <n v="0"/>
    <n v="45921"/>
  </r>
  <r>
    <n v="54"/>
    <x v="5"/>
    <s v="00/06/25"/>
    <s v="1400/06/25"/>
    <x v="135"/>
    <n v="30058"/>
    <x v="63"/>
    <n v="5232"/>
    <n v="5232"/>
    <n v="5232"/>
    <n v="0"/>
    <n v="0"/>
    <n v="0"/>
    <n v="0"/>
    <n v="0"/>
    <n v="0"/>
    <n v="0"/>
    <n v="0"/>
    <n v="0"/>
    <n v="0"/>
    <n v="45921"/>
  </r>
  <r>
    <n v="54"/>
    <x v="5"/>
    <s v="00/06/25"/>
    <s v="1400/06/25"/>
    <x v="135"/>
    <n v="10003"/>
    <x v="79"/>
    <n v="-1362"/>
    <n v="-1362"/>
    <n v="0"/>
    <n v="1362"/>
    <n v="0"/>
    <n v="1362"/>
    <n v="1362"/>
    <n v="0"/>
    <n v="0"/>
    <n v="0"/>
    <n v="0"/>
    <n v="0"/>
    <n v="0"/>
    <n v="45921"/>
  </r>
  <r>
    <n v="54"/>
    <x v="5"/>
    <s v="00/06/25"/>
    <s v="1400/06/25"/>
    <x v="135"/>
    <n v="30066"/>
    <x v="77"/>
    <n v="1542"/>
    <n v="1542"/>
    <n v="1542"/>
    <n v="0"/>
    <n v="0"/>
    <n v="0"/>
    <n v="0"/>
    <n v="0"/>
    <n v="0"/>
    <n v="0"/>
    <n v="0"/>
    <n v="0"/>
    <n v="0"/>
    <n v="45921"/>
  </r>
  <r>
    <n v="54"/>
    <x v="5"/>
    <s v="00/06/25"/>
    <s v="1400/06/25"/>
    <x v="135"/>
    <n v="30012"/>
    <x v="59"/>
    <n v="2413"/>
    <n v="2413"/>
    <n v="2413"/>
    <n v="0"/>
    <n v="0"/>
    <n v="0"/>
    <n v="0"/>
    <n v="0"/>
    <n v="0"/>
    <n v="0"/>
    <n v="0"/>
    <n v="0"/>
    <n v="0"/>
    <n v="45921"/>
  </r>
  <r>
    <n v="55"/>
    <x v="5"/>
    <s v="00/06/27"/>
    <s v="1400/06/27"/>
    <x v="136"/>
    <n v="30127"/>
    <x v="99"/>
    <n v="-16727"/>
    <n v="-16727"/>
    <n v="0"/>
    <n v="16727"/>
    <n v="0"/>
    <n v="16727"/>
    <n v="16727"/>
    <n v="0"/>
    <n v="0"/>
    <n v="0"/>
    <n v="0"/>
    <n v="0"/>
    <n v="0"/>
    <n v="62648"/>
  </r>
  <r>
    <n v="55"/>
    <x v="5"/>
    <s v="00/06/27"/>
    <s v="1400/06/27"/>
    <x v="136"/>
    <n v="30160"/>
    <x v="5"/>
    <n v="110"/>
    <n v="110"/>
    <n v="110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30160"/>
    <x v="5"/>
    <n v="-272"/>
    <n v="-272"/>
    <n v="0"/>
    <n v="272"/>
    <n v="0"/>
    <n v="272"/>
    <n v="272"/>
    <n v="0"/>
    <n v="0"/>
    <n v="0"/>
    <n v="0"/>
    <n v="0"/>
    <n v="0"/>
    <n v="62648"/>
  </r>
  <r>
    <n v="55"/>
    <x v="5"/>
    <s v="00/06/27"/>
    <s v="1400/06/27"/>
    <x v="136"/>
    <n v="30066"/>
    <x v="77"/>
    <n v="10353"/>
    <n v="10353"/>
    <n v="10353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30099"/>
    <x v="11"/>
    <n v="-2523"/>
    <n v="-2523"/>
    <n v="0"/>
    <n v="2523"/>
    <n v="0"/>
    <n v="2523"/>
    <n v="2523"/>
    <n v="0"/>
    <n v="0"/>
    <n v="0"/>
    <n v="0"/>
    <n v="0"/>
    <n v="0"/>
    <n v="62648"/>
  </r>
  <r>
    <n v="55"/>
    <x v="5"/>
    <s v="00/06/27"/>
    <s v="1400/06/27"/>
    <x v="136"/>
    <n v="30066"/>
    <x v="77"/>
    <n v="9925"/>
    <n v="9925"/>
    <n v="9925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10003"/>
    <x v="79"/>
    <n v="-2499"/>
    <n v="-2499"/>
    <n v="0"/>
    <n v="2499"/>
    <n v="0"/>
    <n v="2499"/>
    <n v="2499"/>
    <n v="0"/>
    <n v="0"/>
    <n v="0"/>
    <n v="0"/>
    <n v="0"/>
    <n v="0"/>
    <n v="62648"/>
  </r>
  <r>
    <n v="55"/>
    <x v="5"/>
    <s v="00/06/27"/>
    <s v="1400/06/27"/>
    <x v="136"/>
    <n v="10003"/>
    <x v="79"/>
    <n v="19800"/>
    <n v="19800"/>
    <n v="19800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10026"/>
    <x v="81"/>
    <n v="-4070"/>
    <n v="-4070"/>
    <n v="0"/>
    <n v="4070"/>
    <n v="0"/>
    <n v="4070"/>
    <n v="4070"/>
    <n v="0"/>
    <n v="0"/>
    <n v="0"/>
    <n v="0"/>
    <n v="0"/>
    <n v="0"/>
    <n v="62648"/>
  </r>
  <r>
    <n v="55"/>
    <x v="5"/>
    <s v="00/06/27"/>
    <s v="1400/06/27"/>
    <x v="136"/>
    <n v="10070"/>
    <x v="53"/>
    <n v="2092"/>
    <n v="2092"/>
    <n v="2092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10055"/>
    <x v="80"/>
    <n v="-5031"/>
    <n v="-5031"/>
    <n v="0"/>
    <n v="5031"/>
    <n v="0"/>
    <n v="5031"/>
    <n v="5031"/>
    <n v="0"/>
    <n v="0"/>
    <n v="0"/>
    <n v="0"/>
    <n v="0"/>
    <n v="0"/>
    <n v="62648"/>
  </r>
  <r>
    <n v="55"/>
    <x v="5"/>
    <s v="00/06/27"/>
    <s v="1400/06/27"/>
    <x v="136"/>
    <n v="30160"/>
    <x v="5"/>
    <n v="53"/>
    <n v="53"/>
    <n v="53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30066"/>
    <x v="77"/>
    <n v="-2922"/>
    <n v="-2922"/>
    <n v="0"/>
    <n v="2922"/>
    <n v="0"/>
    <n v="2922"/>
    <n v="2922"/>
    <n v="0"/>
    <n v="0"/>
    <n v="0"/>
    <n v="0"/>
    <n v="0"/>
    <n v="0"/>
    <n v="62648"/>
  </r>
  <r>
    <n v="55"/>
    <x v="5"/>
    <s v="00/06/28"/>
    <s v="1400/06/28"/>
    <x v="137"/>
    <n v="10018"/>
    <x v="95"/>
    <n v="240"/>
    <n v="240"/>
    <n v="240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70"/>
    <x v="53"/>
    <n v="-974"/>
    <n v="-974"/>
    <n v="0"/>
    <n v="974"/>
    <n v="0"/>
    <n v="974"/>
    <n v="974"/>
    <n v="0"/>
    <n v="0"/>
    <n v="0"/>
    <n v="0"/>
    <n v="0"/>
    <n v="0"/>
    <n v="62648"/>
  </r>
  <r>
    <n v="55"/>
    <x v="5"/>
    <s v="00/06/28"/>
    <s v="1400/06/28"/>
    <x v="137"/>
    <n v="30019"/>
    <x v="121"/>
    <n v="657"/>
    <n v="657"/>
    <n v="657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30191"/>
    <x v="114"/>
    <n v="-892"/>
    <n v="-892"/>
    <n v="0"/>
    <n v="892"/>
    <n v="0"/>
    <n v="892"/>
    <n v="892"/>
    <n v="0"/>
    <n v="0"/>
    <n v="0"/>
    <n v="0"/>
    <n v="0"/>
    <n v="0"/>
    <n v="62648"/>
  </r>
  <r>
    <n v="55"/>
    <x v="5"/>
    <s v="00/06/28"/>
    <s v="1400/06/28"/>
    <x v="137"/>
    <n v="10055"/>
    <x v="80"/>
    <n v="5062"/>
    <n v="5062"/>
    <n v="5062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30066"/>
    <x v="77"/>
    <n v="-1390"/>
    <n v="-1390"/>
    <n v="0"/>
    <n v="1390"/>
    <n v="0"/>
    <n v="1390"/>
    <n v="1390"/>
    <n v="0"/>
    <n v="0"/>
    <n v="0"/>
    <n v="0"/>
    <n v="0"/>
    <n v="0"/>
    <n v="62648"/>
  </r>
  <r>
    <n v="55"/>
    <x v="5"/>
    <s v="00/06/28"/>
    <s v="1400/06/28"/>
    <x v="137"/>
    <n v="10026"/>
    <x v="81"/>
    <n v="12616"/>
    <n v="12616"/>
    <n v="12616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70"/>
    <x v="53"/>
    <n v="-1006"/>
    <n v="-1006"/>
    <n v="0"/>
    <n v="1006"/>
    <n v="0"/>
    <n v="1006"/>
    <n v="1006"/>
    <n v="0"/>
    <n v="0"/>
    <n v="0"/>
    <n v="0"/>
    <n v="0"/>
    <n v="0"/>
    <n v="62648"/>
  </r>
  <r>
    <n v="55"/>
    <x v="5"/>
    <s v="00/06/28"/>
    <s v="1400/06/28"/>
    <x v="137"/>
    <n v="30191"/>
    <x v="114"/>
    <n v="5"/>
    <n v="5"/>
    <n v="5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04"/>
    <x v="21"/>
    <n v="-500"/>
    <n v="-500"/>
    <n v="0"/>
    <n v="500"/>
    <n v="0"/>
    <n v="500"/>
    <n v="500"/>
    <n v="0"/>
    <n v="0"/>
    <n v="0"/>
    <n v="0"/>
    <n v="0"/>
    <n v="0"/>
    <n v="62648"/>
  </r>
  <r>
    <n v="55"/>
    <x v="5"/>
    <s v="00/06/28"/>
    <s v="1400/06/28"/>
    <x v="137"/>
    <n v="30191"/>
    <x v="114"/>
    <n v="47"/>
    <n v="47"/>
    <n v="47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03"/>
    <x v="79"/>
    <n v="-2054"/>
    <n v="-2054"/>
    <n v="0"/>
    <n v="2054"/>
    <n v="0"/>
    <n v="2054"/>
    <n v="2054"/>
    <n v="0"/>
    <n v="0"/>
    <n v="0"/>
    <n v="0"/>
    <n v="0"/>
    <n v="0"/>
    <n v="62648"/>
  </r>
  <r>
    <n v="55"/>
    <x v="5"/>
    <s v="00/06/28"/>
    <s v="1400/06/28"/>
    <x v="137"/>
    <n v="10069"/>
    <x v="68"/>
    <n v="601"/>
    <n v="601"/>
    <n v="601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18"/>
    <x v="95"/>
    <n v="-512"/>
    <n v="-512"/>
    <n v="0"/>
    <n v="512"/>
    <n v="0"/>
    <n v="512"/>
    <n v="512"/>
    <n v="0"/>
    <n v="0"/>
    <n v="0"/>
    <n v="0"/>
    <n v="0"/>
    <n v="0"/>
    <n v="62648"/>
  </r>
  <r>
    <n v="55"/>
    <x v="5"/>
    <s v="00/06/28"/>
    <s v="1400/06/28"/>
    <x v="137"/>
    <n v="10069"/>
    <x v="68"/>
    <n v="701"/>
    <n v="701"/>
    <n v="701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69"/>
    <x v="68"/>
    <n v="-1513"/>
    <n v="-1513"/>
    <n v="0"/>
    <n v="1513"/>
    <n v="0"/>
    <n v="1513"/>
    <n v="1513"/>
    <n v="0"/>
    <n v="0"/>
    <n v="0"/>
    <n v="0"/>
    <n v="0"/>
    <n v="0"/>
    <n v="62648"/>
  </r>
  <r>
    <n v="55"/>
    <x v="5"/>
    <s v="00/06/28"/>
    <s v="1400/06/28"/>
    <x v="137"/>
    <n v="10004"/>
    <x v="21"/>
    <n v="500"/>
    <n v="500"/>
    <n v="500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26"/>
    <x v="81"/>
    <n v="-2030"/>
    <n v="-2030"/>
    <n v="0"/>
    <n v="2030"/>
    <n v="0"/>
    <n v="2030"/>
    <n v="2030"/>
    <n v="0"/>
    <n v="0"/>
    <n v="0"/>
    <n v="0"/>
    <n v="0"/>
    <n v="0"/>
    <n v="62648"/>
  </r>
  <r>
    <n v="55"/>
    <x v="5"/>
    <s v="00/06/28"/>
    <s v="1400/06/28"/>
    <x v="137"/>
    <n v="10018"/>
    <x v="95"/>
    <n v="272"/>
    <n v="272"/>
    <n v="272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30164"/>
    <x v="12"/>
    <n v="-350"/>
    <n v="-350"/>
    <n v="0"/>
    <n v="350"/>
    <n v="0"/>
    <n v="350"/>
    <n v="350"/>
    <n v="0"/>
    <n v="0"/>
    <n v="0"/>
    <n v="0"/>
    <n v="0"/>
    <n v="0"/>
    <n v="62648"/>
  </r>
  <r>
    <n v="55"/>
    <x v="5"/>
    <s v="00/06/29"/>
    <s v="1400/06/29"/>
    <x v="138"/>
    <n v="30004"/>
    <x v="2"/>
    <n v="3882"/>
    <n v="3882"/>
    <n v="3882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10070"/>
    <x v="53"/>
    <n v="-979"/>
    <n v="-979"/>
    <n v="0"/>
    <n v="979"/>
    <n v="0"/>
    <n v="979"/>
    <n v="979"/>
    <n v="0"/>
    <n v="0"/>
    <n v="0"/>
    <n v="0"/>
    <n v="0"/>
    <n v="0"/>
    <n v="62648"/>
  </r>
  <r>
    <n v="55"/>
    <x v="5"/>
    <s v="00/06/29"/>
    <s v="1400/06/29"/>
    <x v="138"/>
    <n v="30184"/>
    <x v="108"/>
    <n v="112"/>
    <n v="112"/>
    <n v="112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30004"/>
    <x v="2"/>
    <n v="-4210"/>
    <n v="-4210"/>
    <n v="0"/>
    <n v="4210"/>
    <n v="0"/>
    <n v="4210"/>
    <n v="4210"/>
    <n v="0"/>
    <n v="0"/>
    <n v="0"/>
    <n v="0"/>
    <n v="0"/>
    <n v="0"/>
    <n v="62648"/>
  </r>
  <r>
    <n v="55"/>
    <x v="5"/>
    <s v="00/06/29"/>
    <s v="1400/06/29"/>
    <x v="138"/>
    <n v="10003"/>
    <x v="79"/>
    <n v="2704"/>
    <n v="2704"/>
    <n v="2704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10003"/>
    <x v="79"/>
    <n v="-942"/>
    <n v="-942"/>
    <n v="0"/>
    <n v="942"/>
    <n v="0"/>
    <n v="942"/>
    <n v="942"/>
    <n v="0"/>
    <n v="0"/>
    <n v="0"/>
    <n v="0"/>
    <n v="0"/>
    <n v="0"/>
    <n v="62648"/>
  </r>
  <r>
    <n v="55"/>
    <x v="5"/>
    <s v="00/06/29"/>
    <s v="1400/06/29"/>
    <x v="138"/>
    <n v="30191"/>
    <x v="114"/>
    <n v="1059"/>
    <n v="1059"/>
    <n v="1059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10026"/>
    <x v="81"/>
    <n v="-1858"/>
    <n v="-1858"/>
    <n v="0"/>
    <n v="1858"/>
    <n v="0"/>
    <n v="1858"/>
    <n v="1858"/>
    <n v="0"/>
    <n v="0"/>
    <n v="0"/>
    <n v="0"/>
    <n v="0"/>
    <n v="0"/>
    <n v="62648"/>
  </r>
  <r>
    <n v="56"/>
    <x v="5"/>
    <s v="00/06/29"/>
    <s v="1400/06/29"/>
    <x v="138"/>
    <n v="30127"/>
    <x v="99"/>
    <n v="-3804"/>
    <n v="-3804"/>
    <n v="0"/>
    <n v="3804"/>
    <n v="0"/>
    <n v="3804"/>
    <n v="3804"/>
    <n v="0"/>
    <n v="0"/>
    <n v="0"/>
    <n v="0"/>
    <n v="0"/>
    <n v="0"/>
    <n v="66452"/>
  </r>
  <r>
    <n v="56"/>
    <x v="5"/>
    <s v="00/06/30"/>
    <s v="1400/06/30"/>
    <x v="139"/>
    <n v="30004"/>
    <x v="2"/>
    <n v="682"/>
    <n v="682"/>
    <n v="68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70"/>
    <x v="7"/>
    <n v="-2058"/>
    <n v="-2058"/>
    <n v="0"/>
    <n v="2058"/>
    <n v="0"/>
    <n v="2058"/>
    <n v="2058"/>
    <n v="0"/>
    <n v="0"/>
    <n v="0"/>
    <n v="0"/>
    <n v="0"/>
    <n v="0"/>
    <n v="66452"/>
  </r>
  <r>
    <n v="56"/>
    <x v="5"/>
    <s v="00/06/30"/>
    <s v="1400/06/30"/>
    <x v="139"/>
    <n v="30004"/>
    <x v="2"/>
    <n v="1758"/>
    <n v="1758"/>
    <n v="1758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10009"/>
    <x v="24"/>
    <n v="132"/>
    <n v="132"/>
    <n v="13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10009"/>
    <x v="24"/>
    <n v="1988"/>
    <n v="1988"/>
    <n v="1988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70"/>
    <x v="7"/>
    <n v="792"/>
    <n v="792"/>
    <n v="79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09"/>
    <x v="66"/>
    <n v="2046"/>
    <n v="2046"/>
    <n v="2046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10026"/>
    <x v="81"/>
    <n v="2932"/>
    <n v="2932"/>
    <n v="293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70"/>
    <x v="7"/>
    <n v="1614"/>
    <n v="1614"/>
    <n v="1614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81"/>
    <x v="67"/>
    <n v="2676"/>
    <n v="2676"/>
    <n v="2676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66"/>
    <x v="77"/>
    <n v="-16916"/>
    <n v="-16916"/>
    <n v="0"/>
    <n v="16916"/>
    <n v="0"/>
    <n v="16916"/>
    <n v="16916"/>
    <n v="0"/>
    <n v="0"/>
    <n v="0"/>
    <n v="0"/>
    <n v="0"/>
    <n v="0"/>
    <n v="66452"/>
  </r>
  <r>
    <n v="56"/>
    <x v="5"/>
    <s v="00/06/31"/>
    <s v="1400/06/31"/>
    <x v="140"/>
    <n v="10055"/>
    <x v="80"/>
    <n v="5552"/>
    <n v="5552"/>
    <n v="5552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140"/>
    <x v="29"/>
    <n v="-498"/>
    <n v="-498"/>
    <n v="0"/>
    <n v="498"/>
    <n v="0"/>
    <n v="498"/>
    <n v="498"/>
    <n v="0"/>
    <n v="0"/>
    <n v="0"/>
    <n v="0"/>
    <n v="0"/>
    <n v="0"/>
    <n v="66452"/>
  </r>
  <r>
    <n v="56"/>
    <x v="5"/>
    <s v="00/06/31"/>
    <s v="1400/06/31"/>
    <x v="140"/>
    <n v="10003"/>
    <x v="79"/>
    <n v="2187"/>
    <n v="2187"/>
    <n v="2187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191"/>
    <x v="114"/>
    <n v="-1000"/>
    <n v="-1000"/>
    <n v="0"/>
    <n v="1000"/>
    <n v="0"/>
    <n v="1000"/>
    <n v="1000"/>
    <n v="0"/>
    <n v="0"/>
    <n v="0"/>
    <n v="0"/>
    <n v="0"/>
    <n v="0"/>
    <n v="66452"/>
  </r>
  <r>
    <n v="56"/>
    <x v="5"/>
    <s v="00/06/31"/>
    <s v="1400/06/31"/>
    <x v="140"/>
    <n v="10084"/>
    <x v="37"/>
    <n v="211"/>
    <n v="211"/>
    <n v="211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10026"/>
    <x v="81"/>
    <n v="-1932"/>
    <n v="-1932"/>
    <n v="0"/>
    <n v="1932"/>
    <n v="0"/>
    <n v="1932"/>
    <n v="1932"/>
    <n v="0"/>
    <n v="0"/>
    <n v="0"/>
    <n v="0"/>
    <n v="0"/>
    <n v="0"/>
    <n v="66452"/>
  </r>
  <r>
    <n v="56"/>
    <x v="5"/>
    <s v="00/06/31"/>
    <s v="1400/06/31"/>
    <x v="140"/>
    <n v="30004"/>
    <x v="2"/>
    <n v="4048"/>
    <n v="4048"/>
    <n v="4048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09"/>
    <x v="66"/>
    <n v="-502"/>
    <n v="-502"/>
    <n v="0"/>
    <n v="502"/>
    <n v="0"/>
    <n v="502"/>
    <n v="502"/>
    <n v="0"/>
    <n v="0"/>
    <n v="0"/>
    <n v="0"/>
    <n v="0"/>
    <n v="0"/>
    <n v="66452"/>
  </r>
  <r>
    <n v="56"/>
    <x v="5"/>
    <s v="00/06/31"/>
    <s v="1400/06/31"/>
    <x v="140"/>
    <n v="10128"/>
    <x v="109"/>
    <n v="147"/>
    <n v="147"/>
    <n v="147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58"/>
    <x v="63"/>
    <n v="-3181"/>
    <n v="-3181"/>
    <n v="0"/>
    <n v="3181"/>
    <n v="0"/>
    <n v="3181"/>
    <n v="3181"/>
    <n v="0"/>
    <n v="0"/>
    <n v="0"/>
    <n v="0"/>
    <n v="0"/>
    <n v="0"/>
    <n v="66452"/>
  </r>
  <r>
    <n v="56"/>
    <x v="5"/>
    <s v="00/06/31"/>
    <s v="1400/06/31"/>
    <x v="140"/>
    <n v="30009"/>
    <x v="66"/>
    <n v="1876"/>
    <n v="1876"/>
    <n v="1876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04"/>
    <x v="2"/>
    <n v="360"/>
    <n v="360"/>
    <n v="360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04"/>
    <x v="2"/>
    <n v="3326"/>
    <n v="3326"/>
    <n v="3326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30155"/>
    <x v="107"/>
    <n v="-691"/>
    <n v="-691"/>
    <n v="0"/>
    <n v="691"/>
    <n v="0"/>
    <n v="691"/>
    <n v="691"/>
    <n v="0"/>
    <n v="0"/>
    <n v="0"/>
    <n v="0"/>
    <n v="0"/>
    <n v="0"/>
    <n v="66452"/>
  </r>
  <r>
    <n v="56"/>
    <x v="6"/>
    <s v="00/07/01"/>
    <s v="1400/07/01"/>
    <x v="141"/>
    <n v="30155"/>
    <x v="107"/>
    <n v="290"/>
    <n v="290"/>
    <n v="290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30186"/>
    <x v="102"/>
    <n v="-1776"/>
    <n v="-1776"/>
    <n v="0"/>
    <n v="1776"/>
    <n v="0"/>
    <n v="1776"/>
    <n v="1776"/>
    <n v="0"/>
    <n v="0"/>
    <n v="0"/>
    <n v="0"/>
    <n v="0"/>
    <n v="0"/>
    <n v="66452"/>
  </r>
  <r>
    <n v="56"/>
    <x v="6"/>
    <s v="00/07/01"/>
    <s v="1400/07/01"/>
    <x v="141"/>
    <n v="30014"/>
    <x v="41"/>
    <n v="292"/>
    <n v="292"/>
    <n v="292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30014"/>
    <x v="41"/>
    <n v="-1980"/>
    <n v="-1980"/>
    <n v="0"/>
    <n v="1980"/>
    <n v="0"/>
    <n v="1980"/>
    <n v="1980"/>
    <n v="0"/>
    <n v="0"/>
    <n v="0"/>
    <n v="0"/>
    <n v="0"/>
    <n v="0"/>
    <n v="66452"/>
  </r>
  <r>
    <n v="56"/>
    <x v="6"/>
    <s v="00/07/01"/>
    <s v="1400/07/01"/>
    <x v="141"/>
    <n v="30014"/>
    <x v="41"/>
    <n v="1886"/>
    <n v="1886"/>
    <n v="1886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10084"/>
    <x v="37"/>
    <n v="-200"/>
    <n v="-200"/>
    <n v="0"/>
    <n v="200"/>
    <n v="0"/>
    <n v="200"/>
    <n v="200"/>
    <n v="0"/>
    <n v="0"/>
    <n v="0"/>
    <n v="0"/>
    <n v="0"/>
    <n v="0"/>
    <n v="66452"/>
  </r>
  <r>
    <n v="56"/>
    <x v="6"/>
    <s v="00/07/01"/>
    <s v="1400/07/01"/>
    <x v="141"/>
    <n v="30009"/>
    <x v="66"/>
    <n v="-3899"/>
    <n v="-3899"/>
    <n v="0"/>
    <n v="3899"/>
    <n v="0"/>
    <n v="3899"/>
    <n v="3899"/>
    <n v="0"/>
    <n v="0"/>
    <n v="0"/>
    <n v="0"/>
    <n v="0"/>
    <n v="0"/>
    <n v="66452"/>
  </r>
  <r>
    <n v="56"/>
    <x v="6"/>
    <s v="00/07/03"/>
    <s v="1400/07/03"/>
    <x v="142"/>
    <n v="30081"/>
    <x v="67"/>
    <n v="910"/>
    <n v="910"/>
    <n v="910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10055"/>
    <x v="80"/>
    <n v="-5071"/>
    <n v="-5071"/>
    <n v="0"/>
    <n v="5071"/>
    <n v="0"/>
    <n v="5071"/>
    <n v="5071"/>
    <n v="0"/>
    <n v="0"/>
    <n v="0"/>
    <n v="0"/>
    <n v="0"/>
    <n v="0"/>
    <n v="66452"/>
  </r>
  <r>
    <n v="56"/>
    <x v="6"/>
    <s v="00/07/03"/>
    <s v="1400/07/03"/>
    <x v="142"/>
    <n v="10018"/>
    <x v="95"/>
    <n v="298"/>
    <n v="298"/>
    <n v="298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30009"/>
    <x v="66"/>
    <n v="-2028"/>
    <n v="-2028"/>
    <n v="0"/>
    <n v="2028"/>
    <n v="0"/>
    <n v="2028"/>
    <n v="2028"/>
    <n v="0"/>
    <n v="0"/>
    <n v="0"/>
    <n v="0"/>
    <n v="0"/>
    <n v="0"/>
    <n v="66452"/>
  </r>
  <r>
    <n v="56"/>
    <x v="6"/>
    <s v="00/07/03"/>
    <s v="1400/07/03"/>
    <x v="142"/>
    <n v="10003"/>
    <x v="79"/>
    <n v="3000"/>
    <n v="3000"/>
    <n v="3000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30066"/>
    <x v="77"/>
    <n v="-3936"/>
    <n v="-3936"/>
    <n v="0"/>
    <n v="3936"/>
    <n v="0"/>
    <n v="3936"/>
    <n v="3936"/>
    <n v="0"/>
    <n v="0"/>
    <n v="0"/>
    <n v="0"/>
    <n v="0"/>
    <n v="0"/>
    <n v="66452"/>
  </r>
  <r>
    <n v="56"/>
    <x v="6"/>
    <s v="00/07/03"/>
    <s v="1400/07/03"/>
    <x v="142"/>
    <n v="10070"/>
    <x v="53"/>
    <n v="1878"/>
    <n v="1878"/>
    <n v="1878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10026"/>
    <x v="81"/>
    <n v="-4059"/>
    <n v="-4059"/>
    <n v="0"/>
    <n v="4059"/>
    <n v="0"/>
    <n v="4059"/>
    <n v="4059"/>
    <n v="0"/>
    <n v="0"/>
    <n v="0"/>
    <n v="0"/>
    <n v="0"/>
    <n v="0"/>
    <n v="66452"/>
  </r>
  <r>
    <n v="56"/>
    <x v="6"/>
    <s v="00/07/03"/>
    <s v="1400/07/03"/>
    <x v="142"/>
    <n v="10003"/>
    <x v="79"/>
    <n v="2204"/>
    <n v="2204"/>
    <n v="2204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10003"/>
    <x v="79"/>
    <n v="-2654"/>
    <n v="-2654"/>
    <n v="0"/>
    <n v="2654"/>
    <n v="0"/>
    <n v="2654"/>
    <n v="2654"/>
    <n v="0"/>
    <n v="0"/>
    <n v="0"/>
    <n v="0"/>
    <n v="0"/>
    <n v="0"/>
    <n v="66452"/>
  </r>
  <r>
    <n v="56"/>
    <x v="6"/>
    <s v="00/07/03"/>
    <s v="1400/07/03"/>
    <x v="142"/>
    <n v="10018"/>
    <x v="95"/>
    <n v="-152"/>
    <n v="-152"/>
    <n v="0"/>
    <n v="152"/>
    <n v="0"/>
    <n v="152"/>
    <n v="152"/>
    <n v="0"/>
    <n v="0"/>
    <n v="0"/>
    <n v="0"/>
    <n v="0"/>
    <n v="0"/>
    <n v="66452"/>
  </r>
  <r>
    <n v="56"/>
    <x v="6"/>
    <s v="00/07/03"/>
    <s v="1400/07/03"/>
    <x v="142"/>
    <n v="10020"/>
    <x v="40"/>
    <n v="-1498"/>
    <n v="-1498"/>
    <n v="0"/>
    <n v="1498"/>
    <n v="0"/>
    <n v="1498"/>
    <n v="1498"/>
    <n v="0"/>
    <n v="0"/>
    <n v="0"/>
    <n v="0"/>
    <n v="0"/>
    <n v="0"/>
    <n v="66452"/>
  </r>
  <r>
    <n v="56"/>
    <x v="6"/>
    <s v="00/07/04"/>
    <s v="1400/07/04"/>
    <x v="143"/>
    <n v="10055"/>
    <x v="80"/>
    <n v="5355"/>
    <n v="5355"/>
    <n v="5355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30009"/>
    <x v="66"/>
    <n v="-2181"/>
    <n v="-2181"/>
    <n v="0"/>
    <n v="2181"/>
    <n v="0"/>
    <n v="2181"/>
    <n v="2181"/>
    <n v="0"/>
    <n v="0"/>
    <n v="0"/>
    <n v="0"/>
    <n v="0"/>
    <n v="0"/>
    <n v="66452"/>
  </r>
  <r>
    <n v="56"/>
    <x v="6"/>
    <s v="00/07/04"/>
    <s v="1400/07/04"/>
    <x v="143"/>
    <n v="30191"/>
    <x v="114"/>
    <n v="938"/>
    <n v="938"/>
    <n v="938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30191"/>
    <x v="114"/>
    <n v="-998"/>
    <n v="-998"/>
    <n v="0"/>
    <n v="998"/>
    <n v="0"/>
    <n v="998"/>
    <n v="998"/>
    <n v="0"/>
    <n v="0"/>
    <n v="0"/>
    <n v="0"/>
    <n v="0"/>
    <n v="0"/>
    <n v="66452"/>
  </r>
  <r>
    <n v="56"/>
    <x v="6"/>
    <s v="00/07/04"/>
    <s v="1400/07/04"/>
    <x v="143"/>
    <n v="10055"/>
    <x v="80"/>
    <n v="418"/>
    <n v="418"/>
    <n v="418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30066"/>
    <x v="77"/>
    <n v="-2472"/>
    <n v="-2472"/>
    <n v="0"/>
    <n v="2472"/>
    <n v="0"/>
    <n v="2472"/>
    <n v="2472"/>
    <n v="0"/>
    <n v="0"/>
    <n v="0"/>
    <n v="0"/>
    <n v="0"/>
    <n v="0"/>
    <n v="66452"/>
  </r>
  <r>
    <n v="56"/>
    <x v="6"/>
    <s v="00/07/04"/>
    <s v="1400/07/04"/>
    <x v="143"/>
    <n v="10048"/>
    <x v="51"/>
    <n v="585"/>
    <n v="585"/>
    <n v="585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10128"/>
    <x v="109"/>
    <n v="-406"/>
    <n v="-406"/>
    <n v="0"/>
    <n v="406"/>
    <n v="0"/>
    <n v="406"/>
    <n v="406"/>
    <n v="0"/>
    <n v="0"/>
    <n v="0"/>
    <n v="0"/>
    <n v="0"/>
    <n v="0"/>
    <n v="66452"/>
  </r>
  <r>
    <n v="56"/>
    <x v="6"/>
    <s v="00/07/04"/>
    <s v="1400/07/04"/>
    <x v="143"/>
    <n v="10119"/>
    <x v="100"/>
    <n v="479"/>
    <n v="479"/>
    <n v="479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10003"/>
    <x v="79"/>
    <n v="-2038"/>
    <n v="-2038"/>
    <n v="0"/>
    <n v="2038"/>
    <n v="0"/>
    <n v="2038"/>
    <n v="2038"/>
    <n v="0"/>
    <n v="0"/>
    <n v="0"/>
    <n v="0"/>
    <n v="0"/>
    <n v="0"/>
    <n v="66452"/>
  </r>
  <r>
    <n v="56"/>
    <x v="6"/>
    <s v="00/07/04"/>
    <s v="1400/07/04"/>
    <x v="143"/>
    <n v="10128"/>
    <x v="109"/>
    <n v="209"/>
    <n v="209"/>
    <n v="209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10048"/>
    <x v="51"/>
    <n v="-857"/>
    <n v="-857"/>
    <n v="0"/>
    <n v="857"/>
    <n v="0"/>
    <n v="857"/>
    <n v="857"/>
    <n v="0"/>
    <n v="0"/>
    <n v="0"/>
    <n v="0"/>
    <n v="0"/>
    <n v="0"/>
    <n v="66452"/>
  </r>
  <r>
    <n v="57"/>
    <x v="6"/>
    <s v="00/07/04"/>
    <s v="1400/07/04"/>
    <x v="143"/>
    <n v="30127"/>
    <x v="99"/>
    <n v="14531"/>
    <n v="14531"/>
    <n v="14531"/>
    <n v="0"/>
    <n v="0"/>
    <n v="0"/>
    <n v="0"/>
    <n v="0"/>
    <n v="0"/>
    <n v="0"/>
    <n v="0"/>
    <n v="0"/>
    <n v="0"/>
    <n v="51921"/>
  </r>
  <r>
    <n v="57"/>
    <x v="6"/>
    <s v="00/07/04"/>
    <s v="1400/07/04"/>
    <x v="143"/>
    <n v="10119"/>
    <x v="100"/>
    <n v="-660"/>
    <n v="-660"/>
    <n v="0"/>
    <n v="660"/>
    <n v="0"/>
    <n v="660"/>
    <n v="660"/>
    <n v="0"/>
    <n v="0"/>
    <n v="0"/>
    <n v="0"/>
    <n v="0"/>
    <n v="0"/>
    <n v="51921"/>
  </r>
  <r>
    <n v="57"/>
    <x v="6"/>
    <s v="00/07/06"/>
    <s v="1400/07/06"/>
    <x v="144"/>
    <n v="30004"/>
    <x v="2"/>
    <n v="3074"/>
    <n v="3074"/>
    <n v="3074"/>
    <n v="0"/>
    <n v="0"/>
    <n v="0"/>
    <n v="0"/>
    <n v="0"/>
    <n v="0"/>
    <n v="0"/>
    <n v="0"/>
    <n v="0"/>
    <n v="0"/>
    <n v="51921"/>
  </r>
  <r>
    <n v="57"/>
    <x v="6"/>
    <s v="00/07/06"/>
    <s v="1400/07/06"/>
    <x v="144"/>
    <n v="30022"/>
    <x v="75"/>
    <n v="-4999"/>
    <n v="-4999"/>
    <n v="0"/>
    <n v="4999"/>
    <n v="0"/>
    <n v="4999"/>
    <n v="4999"/>
    <n v="0"/>
    <n v="0"/>
    <n v="0"/>
    <n v="0"/>
    <n v="0"/>
    <n v="0"/>
    <n v="51921"/>
  </r>
  <r>
    <n v="57"/>
    <x v="6"/>
    <s v="00/07/06"/>
    <s v="1400/07/06"/>
    <x v="144"/>
    <n v="10026"/>
    <x v="81"/>
    <n v="3314"/>
    <n v="3314"/>
    <n v="3314"/>
    <n v="0"/>
    <n v="0"/>
    <n v="0"/>
    <n v="0"/>
    <n v="0"/>
    <n v="0"/>
    <n v="0"/>
    <n v="0"/>
    <n v="0"/>
    <n v="0"/>
    <n v="51921"/>
  </r>
  <r>
    <n v="57"/>
    <x v="6"/>
    <s v="00/07/06"/>
    <s v="1400/07/06"/>
    <x v="144"/>
    <n v="30012"/>
    <x v="59"/>
    <n v="-1672"/>
    <n v="-1672"/>
    <n v="0"/>
    <n v="1672"/>
    <n v="0"/>
    <n v="1672"/>
    <n v="1672"/>
    <n v="0"/>
    <n v="0"/>
    <n v="0"/>
    <n v="0"/>
    <n v="0"/>
    <n v="0"/>
    <n v="51921"/>
  </r>
  <r>
    <n v="57"/>
    <x v="6"/>
    <s v="00/07/06"/>
    <s v="1400/07/06"/>
    <x v="144"/>
    <n v="10138"/>
    <x v="122"/>
    <n v="642"/>
    <n v="642"/>
    <n v="642"/>
    <n v="0"/>
    <n v="0"/>
    <n v="0"/>
    <n v="0"/>
    <n v="0"/>
    <n v="0"/>
    <n v="0"/>
    <n v="0"/>
    <n v="0"/>
    <n v="0"/>
    <n v="51921"/>
  </r>
  <r>
    <n v="57"/>
    <x v="6"/>
    <s v="00/07/06"/>
    <s v="1400/07/06"/>
    <x v="144"/>
    <n v="30066"/>
    <x v="77"/>
    <n v="-3368"/>
    <n v="-3368"/>
    <n v="0"/>
    <n v="3368"/>
    <n v="0"/>
    <n v="3368"/>
    <n v="3368"/>
    <n v="0"/>
    <n v="0"/>
    <n v="0"/>
    <n v="0"/>
    <n v="0"/>
    <n v="0"/>
    <n v="51921"/>
  </r>
  <r>
    <n v="57"/>
    <x v="6"/>
    <s v="00/07/06"/>
    <s v="1400/07/06"/>
    <x v="144"/>
    <n v="10048"/>
    <x v="51"/>
    <n v="348"/>
    <n v="348"/>
    <n v="348"/>
    <n v="0"/>
    <n v="0"/>
    <n v="0"/>
    <n v="0"/>
    <n v="0"/>
    <n v="0"/>
    <n v="0"/>
    <n v="0"/>
    <n v="0"/>
    <n v="0"/>
    <n v="51921"/>
  </r>
  <r>
    <n v="58"/>
    <x v="6"/>
    <s v="00/07/06"/>
    <s v="1400/07/06"/>
    <x v="144"/>
    <n v="30127"/>
    <x v="99"/>
    <n v="-15008"/>
    <n v="-15008"/>
    <n v="0"/>
    <n v="15008"/>
    <n v="0"/>
    <n v="15008"/>
    <n v="15008"/>
    <n v="0"/>
    <n v="0"/>
    <n v="0"/>
    <n v="0"/>
    <n v="0"/>
    <n v="0"/>
    <n v="66929"/>
  </r>
  <r>
    <n v="58"/>
    <x v="6"/>
    <s v="00/07/06"/>
    <s v="1400/07/06"/>
    <x v="144"/>
    <n v="30009"/>
    <x v="66"/>
    <n v="2119"/>
    <n v="2119"/>
    <n v="2119"/>
    <n v="0"/>
    <n v="0"/>
    <n v="0"/>
    <n v="0"/>
    <n v="0"/>
    <n v="0"/>
    <n v="0"/>
    <n v="0"/>
    <n v="0"/>
    <n v="0"/>
    <n v="66929"/>
  </r>
  <r>
    <n v="58"/>
    <x v="6"/>
    <s v="00/07/06"/>
    <s v="1400/07/06"/>
    <x v="144"/>
    <n v="10138"/>
    <x v="122"/>
    <n v="-642"/>
    <n v="-642"/>
    <n v="0"/>
    <n v="642"/>
    <n v="0"/>
    <n v="642"/>
    <n v="642"/>
    <n v="0"/>
    <n v="0"/>
    <n v="0"/>
    <n v="0"/>
    <n v="0"/>
    <n v="0"/>
    <n v="66929"/>
  </r>
  <r>
    <n v="58"/>
    <x v="6"/>
    <s v="00/07/06"/>
    <s v="1400/07/06"/>
    <x v="144"/>
    <n v="10026"/>
    <x v="81"/>
    <n v="-2280"/>
    <n v="-2280"/>
    <n v="0"/>
    <n v="2280"/>
    <n v="0"/>
    <n v="2280"/>
    <n v="2280"/>
    <n v="0"/>
    <n v="0"/>
    <n v="0"/>
    <n v="0"/>
    <n v="0"/>
    <n v="0"/>
    <n v="66929"/>
  </r>
  <r>
    <n v="58"/>
    <x v="6"/>
    <s v="00/07/06"/>
    <s v="1400/07/06"/>
    <x v="144"/>
    <n v="30009"/>
    <x v="66"/>
    <n v="-2255"/>
    <n v="-2255"/>
    <n v="0"/>
    <n v="2255"/>
    <n v="0"/>
    <n v="2255"/>
    <n v="2255"/>
    <n v="0"/>
    <n v="0"/>
    <n v="0"/>
    <n v="0"/>
    <n v="0"/>
    <n v="0"/>
    <n v="66929"/>
  </r>
  <r>
    <n v="58"/>
    <x v="6"/>
    <s v="00/07/06"/>
    <s v="1400/07/06"/>
    <x v="144"/>
    <n v="30004"/>
    <x v="2"/>
    <n v="-5202"/>
    <n v="-5202"/>
    <n v="0"/>
    <n v="5202"/>
    <n v="0"/>
    <n v="5202"/>
    <n v="5202"/>
    <n v="0"/>
    <n v="0"/>
    <n v="0"/>
    <n v="0"/>
    <n v="0"/>
    <n v="0"/>
    <n v="66929"/>
  </r>
  <r>
    <n v="58"/>
    <x v="6"/>
    <s v="00/07/07"/>
    <s v="1400/07/07"/>
    <x v="145"/>
    <n v="30055"/>
    <x v="98"/>
    <n v="1502"/>
    <n v="1502"/>
    <n v="1502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30009"/>
    <x v="66"/>
    <n v="-1504"/>
    <n v="-1504"/>
    <n v="0"/>
    <n v="1504"/>
    <n v="0"/>
    <n v="1504"/>
    <n v="1504"/>
    <n v="0"/>
    <n v="0"/>
    <n v="0"/>
    <n v="0"/>
    <n v="0"/>
    <n v="0"/>
    <n v="66929"/>
  </r>
  <r>
    <n v="58"/>
    <x v="6"/>
    <s v="00/07/07"/>
    <s v="1400/07/07"/>
    <x v="145"/>
    <n v="30009"/>
    <x v="66"/>
    <n v="1982"/>
    <n v="1982"/>
    <n v="1982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30191"/>
    <x v="114"/>
    <n v="-2046"/>
    <n v="-2046"/>
    <n v="0"/>
    <n v="2046"/>
    <n v="0"/>
    <n v="2046"/>
    <n v="2046"/>
    <n v="0"/>
    <n v="0"/>
    <n v="0"/>
    <n v="0"/>
    <n v="0"/>
    <n v="0"/>
    <n v="66929"/>
  </r>
  <r>
    <n v="58"/>
    <x v="6"/>
    <s v="00/07/07"/>
    <s v="1400/07/07"/>
    <x v="145"/>
    <n v="30022"/>
    <x v="75"/>
    <n v="4823"/>
    <n v="4823"/>
    <n v="4823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30004"/>
    <x v="2"/>
    <n v="-4685"/>
    <n v="-4685"/>
    <n v="0"/>
    <n v="4685"/>
    <n v="0"/>
    <n v="4685"/>
    <n v="4685"/>
    <n v="0"/>
    <n v="0"/>
    <n v="0"/>
    <n v="0"/>
    <n v="0"/>
    <n v="0"/>
    <n v="66929"/>
  </r>
  <r>
    <n v="58"/>
    <x v="6"/>
    <s v="00/07/07"/>
    <s v="1400/07/07"/>
    <x v="145"/>
    <n v="10003"/>
    <x v="79"/>
    <n v="2556"/>
    <n v="2556"/>
    <n v="2556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10003"/>
    <x v="79"/>
    <n v="-4593"/>
    <n v="-4593"/>
    <n v="0"/>
    <n v="4593"/>
    <n v="0"/>
    <n v="4593"/>
    <n v="4593"/>
    <n v="0"/>
    <n v="0"/>
    <n v="0"/>
    <n v="0"/>
    <n v="0"/>
    <n v="0"/>
    <n v="66929"/>
  </r>
  <r>
    <n v="58"/>
    <x v="6"/>
    <s v="00/07/07"/>
    <s v="1400/07/07"/>
    <x v="145"/>
    <n v="10003"/>
    <x v="79"/>
    <n v="2689"/>
    <n v="2689"/>
    <n v="2689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10055"/>
    <x v="80"/>
    <n v="-4852"/>
    <n v="-4852"/>
    <n v="0"/>
    <n v="4852"/>
    <n v="0"/>
    <n v="4852"/>
    <n v="4852"/>
    <n v="0"/>
    <n v="0"/>
    <n v="0"/>
    <n v="0"/>
    <n v="0"/>
    <n v="0"/>
    <n v="66929"/>
  </r>
  <r>
    <n v="58"/>
    <x v="6"/>
    <s v="00/07/08"/>
    <s v="1400/07/08"/>
    <x v="146"/>
    <n v="30146"/>
    <x v="64"/>
    <n v="991"/>
    <n v="991"/>
    <n v="991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146"/>
    <x v="64"/>
    <n v="-3277"/>
    <n v="-3277"/>
    <n v="0"/>
    <n v="3277"/>
    <n v="0"/>
    <n v="3277"/>
    <n v="3277"/>
    <n v="0"/>
    <n v="0"/>
    <n v="0"/>
    <n v="0"/>
    <n v="0"/>
    <n v="0"/>
    <n v="66929"/>
  </r>
  <r>
    <n v="58"/>
    <x v="6"/>
    <s v="00/07/08"/>
    <s v="1400/07/08"/>
    <x v="146"/>
    <n v="30004"/>
    <x v="2"/>
    <n v="1662"/>
    <n v="1662"/>
    <n v="166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66"/>
    <x v="77"/>
    <n v="-3425"/>
    <n v="-3425"/>
    <n v="0"/>
    <n v="3425"/>
    <n v="0"/>
    <n v="3425"/>
    <n v="3425"/>
    <n v="0"/>
    <n v="0"/>
    <n v="0"/>
    <n v="0"/>
    <n v="0"/>
    <n v="0"/>
    <n v="66929"/>
  </r>
  <r>
    <n v="58"/>
    <x v="6"/>
    <s v="00/07/08"/>
    <s v="1400/07/08"/>
    <x v="146"/>
    <n v="30146"/>
    <x v="64"/>
    <n v="272"/>
    <n v="272"/>
    <n v="27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10048"/>
    <x v="51"/>
    <n v="-83"/>
    <n v="-83"/>
    <n v="0"/>
    <n v="83"/>
    <n v="0"/>
    <n v="83"/>
    <n v="83"/>
    <n v="0"/>
    <n v="0"/>
    <n v="0"/>
    <n v="0"/>
    <n v="0"/>
    <n v="0"/>
    <n v="66929"/>
  </r>
  <r>
    <n v="58"/>
    <x v="6"/>
    <s v="00/07/08"/>
    <s v="1400/07/08"/>
    <x v="146"/>
    <n v="30146"/>
    <x v="64"/>
    <n v="982"/>
    <n v="982"/>
    <n v="98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04"/>
    <x v="2"/>
    <n v="-4153"/>
    <n v="-4153"/>
    <n v="0"/>
    <n v="4153"/>
    <n v="0"/>
    <n v="4153"/>
    <n v="4153"/>
    <n v="0"/>
    <n v="0"/>
    <n v="0"/>
    <n v="0"/>
    <n v="0"/>
    <n v="0"/>
    <n v="66929"/>
  </r>
  <r>
    <n v="58"/>
    <x v="6"/>
    <s v="00/07/08"/>
    <s v="1400/07/08"/>
    <x v="146"/>
    <n v="30081"/>
    <x v="67"/>
    <n v="3192"/>
    <n v="3192"/>
    <n v="319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191"/>
    <x v="114"/>
    <n v="1392"/>
    <n v="1392"/>
    <n v="139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09"/>
    <x v="66"/>
    <n v="1886"/>
    <n v="1886"/>
    <n v="1886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04"/>
    <x v="2"/>
    <n v="2246"/>
    <n v="2246"/>
    <n v="2246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10048"/>
    <x v="51"/>
    <n v="42"/>
    <n v="42"/>
    <n v="42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30009"/>
    <x v="66"/>
    <n v="-1551"/>
    <n v="-1551"/>
    <n v="0"/>
    <n v="1551"/>
    <n v="0"/>
    <n v="1551"/>
    <n v="1551"/>
    <n v="0"/>
    <n v="0"/>
    <n v="0"/>
    <n v="0"/>
    <n v="0"/>
    <n v="0"/>
    <n v="66929"/>
  </r>
  <r>
    <n v="58"/>
    <x v="6"/>
    <s v="00/07/10"/>
    <s v="1400/07/10"/>
    <x v="147"/>
    <n v="30146"/>
    <x v="64"/>
    <n v="1297"/>
    <n v="1297"/>
    <n v="1297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30003"/>
    <x v="65"/>
    <n v="-1231"/>
    <n v="-1231"/>
    <n v="0"/>
    <n v="1231"/>
    <n v="0"/>
    <n v="1231"/>
    <n v="1231"/>
    <n v="0"/>
    <n v="0"/>
    <n v="0"/>
    <n v="0"/>
    <n v="0"/>
    <n v="0"/>
    <n v="66929"/>
  </r>
  <r>
    <n v="58"/>
    <x v="6"/>
    <s v="00/07/10"/>
    <s v="1400/07/10"/>
    <x v="147"/>
    <n v="30009"/>
    <x v="66"/>
    <n v="2101"/>
    <n v="2101"/>
    <n v="2101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10026"/>
    <x v="81"/>
    <n v="-1326"/>
    <n v="-1326"/>
    <n v="0"/>
    <n v="1326"/>
    <n v="0"/>
    <n v="1326"/>
    <n v="1326"/>
    <n v="0"/>
    <n v="0"/>
    <n v="0"/>
    <n v="0"/>
    <n v="0"/>
    <n v="0"/>
    <n v="66929"/>
  </r>
  <r>
    <n v="58"/>
    <x v="6"/>
    <s v="00/07/10"/>
    <s v="1400/07/10"/>
    <x v="147"/>
    <n v="30003"/>
    <x v="65"/>
    <n v="1498"/>
    <n v="1498"/>
    <n v="1498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30081"/>
    <x v="67"/>
    <n v="4000"/>
    <n v="4000"/>
    <n v="4000"/>
    <n v="0"/>
    <n v="0"/>
    <n v="0"/>
    <n v="0"/>
    <n v="0"/>
    <n v="0"/>
    <n v="0"/>
    <n v="0"/>
    <n v="0"/>
    <n v="0"/>
    <n v="66929"/>
  </r>
  <r>
    <n v="59"/>
    <x v="6"/>
    <s v="00/07/11"/>
    <s v="1400/07/11"/>
    <x v="148"/>
    <n v="30127"/>
    <x v="99"/>
    <n v="-15452"/>
    <n v="-15452"/>
    <n v="0"/>
    <n v="15452"/>
    <n v="0"/>
    <n v="15452"/>
    <n v="15452"/>
    <n v="0"/>
    <n v="0"/>
    <n v="0"/>
    <n v="0"/>
    <n v="0"/>
    <n v="0"/>
    <n v="82381"/>
  </r>
  <r>
    <n v="59"/>
    <x v="6"/>
    <s v="00/07/11"/>
    <s v="1400/07/11"/>
    <x v="148"/>
    <n v="30009"/>
    <x v="66"/>
    <n v="1814"/>
    <n v="1814"/>
    <n v="1814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081"/>
    <x v="67"/>
    <n v="-2103"/>
    <n v="-2103"/>
    <n v="0"/>
    <n v="2103"/>
    <n v="0"/>
    <n v="2103"/>
    <n v="2103"/>
    <n v="0"/>
    <n v="0"/>
    <n v="0"/>
    <n v="0"/>
    <n v="0"/>
    <n v="0"/>
    <n v="82381"/>
  </r>
  <r>
    <n v="59"/>
    <x v="6"/>
    <s v="00/07/11"/>
    <s v="1400/07/11"/>
    <x v="148"/>
    <n v="10055"/>
    <x v="80"/>
    <n v="5025"/>
    <n v="5025"/>
    <n v="5025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50016"/>
    <x v="31"/>
    <n v="-5052"/>
    <n v="-5052"/>
    <n v="0"/>
    <n v="5052"/>
    <n v="0"/>
    <n v="5052"/>
    <n v="5052"/>
    <n v="0"/>
    <n v="0"/>
    <n v="0"/>
    <n v="0"/>
    <n v="0"/>
    <n v="0"/>
    <n v="82381"/>
  </r>
  <r>
    <n v="59"/>
    <x v="6"/>
    <s v="00/07/11"/>
    <s v="1400/07/11"/>
    <x v="148"/>
    <n v="10070"/>
    <x v="53"/>
    <n v="1418"/>
    <n v="1418"/>
    <n v="1418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191"/>
    <x v="114"/>
    <n v="-1016"/>
    <n v="-1016"/>
    <n v="0"/>
    <n v="1016"/>
    <n v="0"/>
    <n v="1016"/>
    <n v="1016"/>
    <n v="0"/>
    <n v="0"/>
    <n v="0"/>
    <n v="0"/>
    <n v="0"/>
    <n v="0"/>
    <n v="82381"/>
  </r>
  <r>
    <n v="59"/>
    <x v="6"/>
    <s v="00/07/11"/>
    <s v="1400/07/11"/>
    <x v="148"/>
    <n v="30191"/>
    <x v="114"/>
    <n v="163"/>
    <n v="163"/>
    <n v="163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066"/>
    <x v="77"/>
    <n v="-702"/>
    <n v="-702"/>
    <n v="0"/>
    <n v="702"/>
    <n v="0"/>
    <n v="702"/>
    <n v="702"/>
    <n v="0"/>
    <n v="0"/>
    <n v="0"/>
    <n v="0"/>
    <n v="0"/>
    <n v="0"/>
    <n v="82381"/>
  </r>
  <r>
    <n v="59"/>
    <x v="6"/>
    <s v="00/07/11"/>
    <s v="1400/07/11"/>
    <x v="148"/>
    <n v="30191"/>
    <x v="114"/>
    <n v="51"/>
    <n v="51"/>
    <n v="51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10029"/>
    <x v="78"/>
    <n v="-1581"/>
    <n v="-1581"/>
    <n v="0"/>
    <n v="1581"/>
    <n v="0"/>
    <n v="1581"/>
    <n v="1581"/>
    <n v="0"/>
    <n v="0"/>
    <n v="0"/>
    <n v="0"/>
    <n v="0"/>
    <n v="0"/>
    <n v="82381"/>
  </r>
  <r>
    <n v="59"/>
    <x v="6"/>
    <s v="00/07/11"/>
    <s v="1400/07/11"/>
    <x v="148"/>
    <n v="30187"/>
    <x v="115"/>
    <n v="360"/>
    <n v="360"/>
    <n v="360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10003"/>
    <x v="79"/>
    <n v="-4678"/>
    <n v="-4678"/>
    <n v="0"/>
    <n v="4678"/>
    <n v="0"/>
    <n v="4678"/>
    <n v="4678"/>
    <n v="0"/>
    <n v="0"/>
    <n v="0"/>
    <n v="0"/>
    <n v="0"/>
    <n v="0"/>
    <n v="82381"/>
  </r>
  <r>
    <n v="59"/>
    <x v="6"/>
    <s v="00/07/11"/>
    <s v="1400/07/11"/>
    <x v="148"/>
    <n v="30187"/>
    <x v="115"/>
    <n v="1384"/>
    <n v="1384"/>
    <n v="1384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009"/>
    <x v="66"/>
    <n v="-1038"/>
    <n v="-1038"/>
    <n v="0"/>
    <n v="1038"/>
    <n v="0"/>
    <n v="1038"/>
    <n v="1038"/>
    <n v="0"/>
    <n v="0"/>
    <n v="0"/>
    <n v="0"/>
    <n v="0"/>
    <n v="0"/>
    <n v="82381"/>
  </r>
  <r>
    <n v="59"/>
    <x v="6"/>
    <s v="00/07/11"/>
    <s v="1400/07/11"/>
    <x v="148"/>
    <n v="10070"/>
    <x v="53"/>
    <n v="-126"/>
    <n v="-126"/>
    <n v="0"/>
    <n v="126"/>
    <n v="0"/>
    <n v="126"/>
    <n v="126"/>
    <n v="0"/>
    <n v="0"/>
    <n v="0"/>
    <n v="0"/>
    <n v="0"/>
    <n v="0"/>
    <n v="82381"/>
  </r>
  <r>
    <n v="59"/>
    <x v="6"/>
    <s v="00/07/12"/>
    <s v="1400/07/12"/>
    <x v="149"/>
    <n v="30072"/>
    <x v="47"/>
    <n v="514"/>
    <n v="514"/>
    <n v="514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30004"/>
    <x v="2"/>
    <n v="-2710"/>
    <n v="-2710"/>
    <n v="0"/>
    <n v="2710"/>
    <n v="0"/>
    <n v="2710"/>
    <n v="2710"/>
    <n v="0"/>
    <n v="0"/>
    <n v="0"/>
    <n v="0"/>
    <n v="0"/>
    <n v="0"/>
    <n v="82381"/>
  </r>
  <r>
    <n v="59"/>
    <x v="6"/>
    <s v="00/07/12"/>
    <s v="1400/07/12"/>
    <x v="149"/>
    <n v="10104"/>
    <x v="76"/>
    <n v="694"/>
    <n v="694"/>
    <n v="694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30131"/>
    <x v="93"/>
    <n v="-4802"/>
    <n v="-4802"/>
    <n v="0"/>
    <n v="4802"/>
    <n v="0"/>
    <n v="4802"/>
    <n v="4802"/>
    <n v="0"/>
    <n v="0"/>
    <n v="0"/>
    <n v="0"/>
    <n v="0"/>
    <n v="0"/>
    <n v="82381"/>
  </r>
  <r>
    <n v="59"/>
    <x v="6"/>
    <s v="00/07/12"/>
    <s v="1400/07/12"/>
    <x v="149"/>
    <n v="10003"/>
    <x v="79"/>
    <n v="2791"/>
    <n v="2791"/>
    <n v="2791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30191"/>
    <x v="114"/>
    <n v="-1010"/>
    <n v="-1010"/>
    <n v="0"/>
    <n v="1010"/>
    <n v="0"/>
    <n v="1010"/>
    <n v="1010"/>
    <n v="0"/>
    <n v="0"/>
    <n v="0"/>
    <n v="0"/>
    <n v="0"/>
    <n v="0"/>
    <n v="82381"/>
  </r>
  <r>
    <n v="59"/>
    <x v="6"/>
    <s v="00/07/12"/>
    <s v="1400/07/12"/>
    <x v="149"/>
    <n v="30146"/>
    <x v="64"/>
    <n v="2245"/>
    <n v="2245"/>
    <n v="2245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10003"/>
    <x v="79"/>
    <n v="-1783"/>
    <n v="-1783"/>
    <n v="0"/>
    <n v="1783"/>
    <n v="0"/>
    <n v="1783"/>
    <n v="1783"/>
    <n v="0"/>
    <n v="0"/>
    <n v="0"/>
    <n v="0"/>
    <n v="0"/>
    <n v="0"/>
    <n v="82381"/>
  </r>
  <r>
    <n v="59"/>
    <x v="6"/>
    <s v="00/07/12"/>
    <s v="1400/07/12"/>
    <x v="149"/>
    <n v="30131"/>
    <x v="93"/>
    <n v="424"/>
    <n v="424"/>
    <n v="424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10004"/>
    <x v="21"/>
    <n v="-499"/>
    <n v="-499"/>
    <n v="0"/>
    <n v="499"/>
    <n v="0"/>
    <n v="499"/>
    <n v="499"/>
    <n v="0"/>
    <n v="0"/>
    <n v="0"/>
    <n v="0"/>
    <n v="0"/>
    <n v="0"/>
    <n v="82381"/>
  </r>
  <r>
    <n v="59"/>
    <x v="6"/>
    <s v="00/07/12"/>
    <s v="1400/07/12"/>
    <x v="149"/>
    <n v="30131"/>
    <x v="93"/>
    <n v="4495"/>
    <n v="4495"/>
    <n v="4495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10055"/>
    <x v="80"/>
    <n v="-4812"/>
    <n v="-4812"/>
    <n v="0"/>
    <n v="4812"/>
    <n v="0"/>
    <n v="4812"/>
    <n v="4812"/>
    <n v="0"/>
    <n v="0"/>
    <n v="0"/>
    <n v="0"/>
    <n v="0"/>
    <n v="0"/>
    <n v="82381"/>
  </r>
  <r>
    <n v="59"/>
    <x v="6"/>
    <s v="00/07/12"/>
    <s v="1400/07/12"/>
    <x v="149"/>
    <n v="30009"/>
    <x v="66"/>
    <n v="1410"/>
    <n v="1410"/>
    <n v="1410"/>
    <n v="0"/>
    <n v="0"/>
    <n v="0"/>
    <n v="0"/>
    <n v="0"/>
    <n v="0"/>
    <n v="0"/>
    <n v="0"/>
    <n v="0"/>
    <n v="0"/>
    <n v="82381"/>
  </r>
  <r>
    <n v="59"/>
    <x v="6"/>
    <s v="00/07/14"/>
    <s v="1400/07/14"/>
    <x v="150"/>
    <n v="10084"/>
    <x v="37"/>
    <n v="210"/>
    <n v="210"/>
    <n v="210"/>
    <n v="0"/>
    <n v="0"/>
    <n v="0"/>
    <n v="0"/>
    <n v="0"/>
    <n v="0"/>
    <n v="0"/>
    <n v="0"/>
    <n v="0"/>
    <n v="0"/>
    <n v="82381"/>
  </r>
  <r>
    <n v="59"/>
    <x v="6"/>
    <s v="00/07/14"/>
    <s v="1400/07/14"/>
    <x v="150"/>
    <n v="30191"/>
    <x v="114"/>
    <n v="933"/>
    <n v="933"/>
    <n v="933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127"/>
    <x v="104"/>
    <n v="-2026"/>
    <n v="-2026"/>
    <n v="0"/>
    <n v="2026"/>
    <n v="0"/>
    <n v="2026"/>
    <n v="2026"/>
    <n v="0"/>
    <n v="0"/>
    <n v="0"/>
    <n v="0"/>
    <n v="0"/>
    <n v="0"/>
    <n v="82381"/>
  </r>
  <r>
    <n v="59"/>
    <x v="6"/>
    <s v="00/07/17"/>
    <s v="1400/07/17"/>
    <x v="151"/>
    <n v="10020"/>
    <x v="40"/>
    <n v="358"/>
    <n v="358"/>
    <n v="358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30009"/>
    <x v="66"/>
    <n v="-2019"/>
    <n v="-2019"/>
    <n v="0"/>
    <n v="2019"/>
    <n v="0"/>
    <n v="2019"/>
    <n v="2019"/>
    <n v="0"/>
    <n v="0"/>
    <n v="0"/>
    <n v="0"/>
    <n v="0"/>
    <n v="0"/>
    <n v="82381"/>
  </r>
  <r>
    <n v="59"/>
    <x v="6"/>
    <s v="00/07/17"/>
    <s v="1400/07/17"/>
    <x v="151"/>
    <n v="10127"/>
    <x v="104"/>
    <n v="2104"/>
    <n v="2104"/>
    <n v="2104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29"/>
    <x v="78"/>
    <n v="-487"/>
    <n v="-487"/>
    <n v="0"/>
    <n v="487"/>
    <n v="0"/>
    <n v="487"/>
    <n v="487"/>
    <n v="0"/>
    <n v="0"/>
    <n v="0"/>
    <n v="0"/>
    <n v="0"/>
    <n v="0"/>
    <n v="82381"/>
  </r>
  <r>
    <n v="59"/>
    <x v="6"/>
    <s v="00/07/17"/>
    <s v="1400/07/17"/>
    <x v="151"/>
    <n v="10020"/>
    <x v="40"/>
    <n v="1250"/>
    <n v="1250"/>
    <n v="1250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09"/>
    <x v="24"/>
    <n v="-956"/>
    <n v="-956"/>
    <n v="0"/>
    <n v="956"/>
    <n v="0"/>
    <n v="956"/>
    <n v="956"/>
    <n v="0"/>
    <n v="0"/>
    <n v="0"/>
    <n v="0"/>
    <n v="0"/>
    <n v="0"/>
    <n v="82381"/>
  </r>
  <r>
    <n v="59"/>
    <x v="6"/>
    <s v="00/07/17"/>
    <s v="1400/07/17"/>
    <x v="151"/>
    <n v="30014"/>
    <x v="41"/>
    <n v="3222"/>
    <n v="3222"/>
    <n v="3222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20"/>
    <x v="40"/>
    <n v="-500"/>
    <n v="-500"/>
    <n v="0"/>
    <n v="500"/>
    <n v="0"/>
    <n v="500"/>
    <n v="500"/>
    <n v="0"/>
    <n v="0"/>
    <n v="0"/>
    <n v="0"/>
    <n v="0"/>
    <n v="0"/>
    <n v="82381"/>
  </r>
  <r>
    <n v="59"/>
    <x v="6"/>
    <s v="00/07/17"/>
    <s v="1400/07/17"/>
    <x v="151"/>
    <n v="10104"/>
    <x v="76"/>
    <n v="1280"/>
    <n v="1280"/>
    <n v="1280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29"/>
    <x v="78"/>
    <n v="-1428"/>
    <n v="-1428"/>
    <n v="0"/>
    <n v="1428"/>
    <n v="0"/>
    <n v="1428"/>
    <n v="1428"/>
    <n v="0"/>
    <n v="0"/>
    <n v="0"/>
    <n v="0"/>
    <n v="0"/>
    <n v="0"/>
    <n v="82381"/>
  </r>
  <r>
    <n v="59"/>
    <x v="6"/>
    <s v="00/07/17"/>
    <s v="1400/07/17"/>
    <x v="151"/>
    <n v="30009"/>
    <x v="66"/>
    <n v="1940"/>
    <n v="1940"/>
    <n v="1940"/>
    <n v="0"/>
    <n v="0"/>
    <n v="0"/>
    <n v="0"/>
    <n v="0"/>
    <n v="0"/>
    <n v="0"/>
    <n v="0"/>
    <n v="0"/>
    <n v="0"/>
    <n v="82381"/>
  </r>
  <r>
    <n v="59"/>
    <x v="6"/>
    <s v="00/07/18"/>
    <s v="1400/07/18"/>
    <x v="152"/>
    <n v="30009"/>
    <x v="66"/>
    <n v="-2100"/>
    <n v="-2100"/>
    <n v="0"/>
    <n v="2100"/>
    <n v="0"/>
    <n v="2100"/>
    <n v="2100"/>
    <n v="0"/>
    <n v="0"/>
    <n v="0"/>
    <n v="0"/>
    <n v="0"/>
    <n v="0"/>
    <n v="82381"/>
  </r>
  <r>
    <n v="59"/>
    <x v="6"/>
    <s v="00/07/18"/>
    <s v="1400/07/18"/>
    <x v="152"/>
    <n v="30004"/>
    <x v="2"/>
    <n v="1270"/>
    <n v="1270"/>
    <n v="1270"/>
    <n v="0"/>
    <n v="0"/>
    <n v="0"/>
    <n v="0"/>
    <n v="0"/>
    <n v="0"/>
    <n v="0"/>
    <n v="0"/>
    <n v="0"/>
    <n v="0"/>
    <n v="82381"/>
  </r>
  <r>
    <n v="59"/>
    <x v="6"/>
    <s v="00/07/18"/>
    <s v="1400/07/18"/>
    <x v="152"/>
    <n v="30017"/>
    <x v="83"/>
    <n v="-5567"/>
    <n v="-5567"/>
    <n v="0"/>
    <n v="5567"/>
    <n v="0"/>
    <n v="5567"/>
    <n v="5567"/>
    <n v="0"/>
    <n v="0"/>
    <n v="0"/>
    <n v="0"/>
    <n v="0"/>
    <n v="0"/>
    <n v="82381"/>
  </r>
  <r>
    <n v="59"/>
    <x v="6"/>
    <s v="00/07/18"/>
    <s v="1400/07/18"/>
    <x v="152"/>
    <n v="30191"/>
    <x v="114"/>
    <n v="272"/>
    <n v="272"/>
    <n v="272"/>
    <n v="0"/>
    <n v="0"/>
    <n v="0"/>
    <n v="0"/>
    <n v="0"/>
    <n v="0"/>
    <n v="0"/>
    <n v="0"/>
    <n v="0"/>
    <n v="0"/>
    <n v="82381"/>
  </r>
  <r>
    <n v="60"/>
    <x v="6"/>
    <s v="00/07/18"/>
    <s v="1400/07/18"/>
    <x v="152"/>
    <n v="30127"/>
    <x v="99"/>
    <n v="-15341"/>
    <n v="-15341"/>
    <n v="0"/>
    <n v="15341"/>
    <n v="0"/>
    <n v="15341"/>
    <n v="15341"/>
    <n v="0"/>
    <n v="0"/>
    <n v="0"/>
    <n v="0"/>
    <n v="0"/>
    <n v="0"/>
    <n v="97722"/>
  </r>
  <r>
    <n v="60"/>
    <x v="6"/>
    <s v="00/07/18"/>
    <s v="1400/07/18"/>
    <x v="152"/>
    <n v="30004"/>
    <x v="2"/>
    <n v="3714"/>
    <n v="3714"/>
    <n v="3714"/>
    <n v="0"/>
    <n v="0"/>
    <n v="0"/>
    <n v="0"/>
    <n v="0"/>
    <n v="0"/>
    <n v="0"/>
    <n v="0"/>
    <n v="0"/>
    <n v="0"/>
    <n v="97722"/>
  </r>
  <r>
    <n v="60"/>
    <x v="6"/>
    <s v="00/07/18"/>
    <s v="1400/07/18"/>
    <x v="152"/>
    <n v="30004"/>
    <x v="2"/>
    <n v="-4879"/>
    <n v="-4879"/>
    <n v="0"/>
    <n v="4879"/>
    <n v="0"/>
    <n v="4879"/>
    <n v="4879"/>
    <n v="0"/>
    <n v="0"/>
    <n v="0"/>
    <n v="0"/>
    <n v="0"/>
    <n v="0"/>
    <n v="97722"/>
  </r>
  <r>
    <n v="61"/>
    <x v="6"/>
    <s v="00/07/18"/>
    <s v="1400/07/18"/>
    <x v="152"/>
    <n v="30127"/>
    <x v="99"/>
    <n v="15020"/>
    <n v="15020"/>
    <n v="15020"/>
    <n v="0"/>
    <n v="0"/>
    <n v="0"/>
    <n v="0"/>
    <n v="0"/>
    <n v="0"/>
    <n v="0"/>
    <n v="0"/>
    <n v="0"/>
    <n v="0"/>
    <n v="82702"/>
  </r>
  <r>
    <n v="61"/>
    <x v="6"/>
    <s v="00/07/18"/>
    <s v="1400/07/18"/>
    <x v="152"/>
    <n v="10026"/>
    <x v="81"/>
    <n v="-1697"/>
    <n v="-1697"/>
    <n v="0"/>
    <n v="1697"/>
    <n v="0"/>
    <n v="1697"/>
    <n v="1697"/>
    <n v="0"/>
    <n v="0"/>
    <n v="0"/>
    <n v="0"/>
    <n v="0"/>
    <n v="0"/>
    <n v="82702"/>
  </r>
  <r>
    <n v="61"/>
    <x v="6"/>
    <s v="00/07/18"/>
    <s v="1400/07/18"/>
    <x v="152"/>
    <n v="10055"/>
    <x v="80"/>
    <n v="5387"/>
    <n v="5387"/>
    <n v="5387"/>
    <n v="0"/>
    <n v="0"/>
    <n v="0"/>
    <n v="0"/>
    <n v="0"/>
    <n v="0"/>
    <n v="0"/>
    <n v="0"/>
    <n v="0"/>
    <n v="0"/>
    <n v="82702"/>
  </r>
  <r>
    <n v="61"/>
    <x v="6"/>
    <s v="00/07/18"/>
    <s v="1400/07/18"/>
    <x v="152"/>
    <n v="10048"/>
    <x v="51"/>
    <n v="-703"/>
    <n v="-703"/>
    <n v="0"/>
    <n v="703"/>
    <n v="0"/>
    <n v="703"/>
    <n v="703"/>
    <n v="0"/>
    <n v="0"/>
    <n v="0"/>
    <n v="0"/>
    <n v="0"/>
    <n v="0"/>
    <n v="82702"/>
  </r>
  <r>
    <n v="61"/>
    <x v="6"/>
    <s v="00/07/18"/>
    <s v="1400/07/18"/>
    <x v="152"/>
    <n v="10048"/>
    <x v="51"/>
    <n v="407"/>
    <n v="407"/>
    <n v="407"/>
    <n v="0"/>
    <n v="0"/>
    <n v="0"/>
    <n v="0"/>
    <n v="0"/>
    <n v="0"/>
    <n v="0"/>
    <n v="0"/>
    <n v="0"/>
    <n v="0"/>
    <n v="82702"/>
  </r>
  <r>
    <n v="61"/>
    <x v="6"/>
    <s v="00/07/18"/>
    <s v="1400/07/18"/>
    <x v="152"/>
    <n v="10093"/>
    <x v="118"/>
    <n v="-853"/>
    <n v="-853"/>
    <n v="0"/>
    <n v="853"/>
    <n v="0"/>
    <n v="853"/>
    <n v="853"/>
    <n v="0"/>
    <n v="0"/>
    <n v="0"/>
    <n v="0"/>
    <n v="0"/>
    <n v="0"/>
    <n v="82702"/>
  </r>
  <r>
    <n v="61"/>
    <x v="6"/>
    <s v="00/07/19"/>
    <s v="1400/07/19"/>
    <x v="153"/>
    <n v="30009"/>
    <x v="66"/>
    <n v="1361"/>
    <n v="1361"/>
    <n v="1361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30055"/>
    <x v="98"/>
    <n v="-12"/>
    <n v="-12"/>
    <n v="0"/>
    <n v="12"/>
    <n v="0"/>
    <n v="12"/>
    <n v="12"/>
    <n v="0"/>
    <n v="0"/>
    <n v="0"/>
    <n v="0"/>
    <n v="0"/>
    <n v="0"/>
    <n v="82702"/>
  </r>
  <r>
    <n v="61"/>
    <x v="6"/>
    <s v="00/07/19"/>
    <s v="1400/07/19"/>
    <x v="153"/>
    <n v="30066"/>
    <x v="77"/>
    <n v="702"/>
    <n v="702"/>
    <n v="702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30187"/>
    <x v="115"/>
    <n v="-854"/>
    <n v="-854"/>
    <n v="0"/>
    <n v="854"/>
    <n v="0"/>
    <n v="854"/>
    <n v="854"/>
    <n v="0"/>
    <n v="0"/>
    <n v="0"/>
    <n v="0"/>
    <n v="0"/>
    <n v="0"/>
    <n v="82702"/>
  </r>
  <r>
    <n v="61"/>
    <x v="6"/>
    <s v="00/07/19"/>
    <s v="1400/07/19"/>
    <x v="153"/>
    <n v="10126"/>
    <x v="103"/>
    <n v="365"/>
    <n v="365"/>
    <n v="365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10055"/>
    <x v="80"/>
    <n v="-4626"/>
    <n v="-4626"/>
    <n v="0"/>
    <n v="4626"/>
    <n v="0"/>
    <n v="4626"/>
    <n v="4626"/>
    <n v="0"/>
    <n v="0"/>
    <n v="0"/>
    <n v="0"/>
    <n v="0"/>
    <n v="0"/>
    <n v="82702"/>
  </r>
  <r>
    <n v="61"/>
    <x v="6"/>
    <s v="00/07/19"/>
    <s v="1400/07/19"/>
    <x v="153"/>
    <n v="10026"/>
    <x v="81"/>
    <n v="3151"/>
    <n v="3151"/>
    <n v="3151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10003"/>
    <x v="79"/>
    <n v="-1150"/>
    <n v="-1150"/>
    <n v="0"/>
    <n v="1150"/>
    <n v="0"/>
    <n v="1150"/>
    <n v="1150"/>
    <n v="0"/>
    <n v="0"/>
    <n v="0"/>
    <n v="0"/>
    <n v="0"/>
    <n v="0"/>
    <n v="82702"/>
  </r>
  <r>
    <n v="61"/>
    <x v="6"/>
    <s v="00/07/19"/>
    <s v="1400/07/19"/>
    <x v="153"/>
    <n v="30081"/>
    <x v="67"/>
    <n v="1946"/>
    <n v="1946"/>
    <n v="1946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10026"/>
    <x v="81"/>
    <n v="-3806"/>
    <n v="-3806"/>
    <n v="0"/>
    <n v="3806"/>
    <n v="0"/>
    <n v="3806"/>
    <n v="3806"/>
    <n v="0"/>
    <n v="0"/>
    <n v="0"/>
    <n v="0"/>
    <n v="0"/>
    <n v="0"/>
    <n v="82702"/>
  </r>
  <r>
    <n v="61"/>
    <x v="6"/>
    <s v="00/07/19"/>
    <s v="1400/07/19"/>
    <x v="153"/>
    <n v="10126"/>
    <x v="103"/>
    <n v="87"/>
    <n v="87"/>
    <n v="87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50011"/>
    <x v="17"/>
    <n v="-2112"/>
    <n v="-2112"/>
    <n v="0"/>
    <n v="2112"/>
    <n v="0"/>
    <n v="2112"/>
    <n v="2112"/>
    <n v="0"/>
    <n v="0"/>
    <n v="0"/>
    <n v="0"/>
    <n v="0"/>
    <n v="0"/>
    <n v="82702"/>
  </r>
  <r>
    <n v="61"/>
    <x v="6"/>
    <s v="00/07/20"/>
    <s v="1400/07/20"/>
    <x v="154"/>
    <n v="30160"/>
    <x v="5"/>
    <n v="100"/>
    <n v="100"/>
    <n v="100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50016"/>
    <x v="31"/>
    <n v="-4327"/>
    <n v="-4327"/>
    <n v="0"/>
    <n v="4327"/>
    <n v="0"/>
    <n v="4327"/>
    <n v="4327"/>
    <n v="0"/>
    <n v="0"/>
    <n v="0"/>
    <n v="0"/>
    <n v="0"/>
    <n v="0"/>
    <n v="82702"/>
  </r>
  <r>
    <n v="61"/>
    <x v="6"/>
    <s v="00/07/20"/>
    <s v="1400/07/20"/>
    <x v="154"/>
    <n v="50011"/>
    <x v="17"/>
    <n v="2092"/>
    <n v="2092"/>
    <n v="2092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10070"/>
    <x v="53"/>
    <n v="-153"/>
    <n v="-153"/>
    <n v="0"/>
    <n v="153"/>
    <n v="0"/>
    <n v="153"/>
    <n v="153"/>
    <n v="0"/>
    <n v="0"/>
    <n v="0"/>
    <n v="0"/>
    <n v="0"/>
    <n v="0"/>
    <n v="82702"/>
  </r>
  <r>
    <n v="61"/>
    <x v="6"/>
    <s v="00/07/20"/>
    <s v="1400/07/20"/>
    <x v="154"/>
    <n v="10048"/>
    <x v="51"/>
    <n v="280"/>
    <n v="280"/>
    <n v="280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30081"/>
    <x v="67"/>
    <n v="-1841"/>
    <n v="-1841"/>
    <n v="0"/>
    <n v="1841"/>
    <n v="0"/>
    <n v="1841"/>
    <n v="1841"/>
    <n v="0"/>
    <n v="0"/>
    <n v="0"/>
    <n v="0"/>
    <n v="0"/>
    <n v="0"/>
    <n v="82702"/>
  </r>
  <r>
    <n v="61"/>
    <x v="6"/>
    <s v="00/07/20"/>
    <s v="1400/07/20"/>
    <x v="154"/>
    <n v="30066"/>
    <x v="77"/>
    <n v="4294"/>
    <n v="4294"/>
    <n v="4294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10069"/>
    <x v="68"/>
    <n v="-938"/>
    <n v="-938"/>
    <n v="0"/>
    <n v="938"/>
    <n v="0"/>
    <n v="938"/>
    <n v="938"/>
    <n v="0"/>
    <n v="0"/>
    <n v="0"/>
    <n v="0"/>
    <n v="0"/>
    <n v="0"/>
    <n v="82702"/>
  </r>
  <r>
    <n v="61"/>
    <x v="6"/>
    <s v="00/07/20"/>
    <s v="1400/07/20"/>
    <x v="154"/>
    <n v="10019"/>
    <x v="123"/>
    <n v="2012"/>
    <n v="2012"/>
    <n v="2012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10070"/>
    <x v="53"/>
    <n v="-983"/>
    <n v="-983"/>
    <n v="0"/>
    <n v="983"/>
    <n v="0"/>
    <n v="983"/>
    <n v="983"/>
    <n v="0"/>
    <n v="0"/>
    <n v="0"/>
    <n v="0"/>
    <n v="0"/>
    <n v="0"/>
    <n v="82702"/>
  </r>
  <r>
    <n v="61"/>
    <x v="6"/>
    <s v="00/07/20"/>
    <s v="1400/07/20"/>
    <x v="154"/>
    <n v="30009"/>
    <x v="66"/>
    <n v="1718"/>
    <n v="1718"/>
    <n v="1718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30009"/>
    <x v="66"/>
    <n v="-2113"/>
    <n v="-2113"/>
    <n v="0"/>
    <n v="2113"/>
    <n v="0"/>
    <n v="2113"/>
    <n v="2113"/>
    <n v="0"/>
    <n v="0"/>
    <n v="0"/>
    <n v="0"/>
    <n v="0"/>
    <n v="0"/>
    <n v="82702"/>
  </r>
  <r>
    <n v="61"/>
    <x v="6"/>
    <s v="00/07/20"/>
    <s v="1400/07/20"/>
    <x v="154"/>
    <n v="10069"/>
    <x v="68"/>
    <n v="1255"/>
    <n v="1255"/>
    <n v="1255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029"/>
    <x v="78"/>
    <n v="-503"/>
    <n v="-503"/>
    <n v="0"/>
    <n v="503"/>
    <n v="0"/>
    <n v="503"/>
    <n v="503"/>
    <n v="0"/>
    <n v="0"/>
    <n v="0"/>
    <n v="0"/>
    <n v="0"/>
    <n v="0"/>
    <n v="82702"/>
  </r>
  <r>
    <n v="61"/>
    <x v="6"/>
    <s v="00/07/21"/>
    <s v="1400/07/21"/>
    <x v="155"/>
    <n v="10055"/>
    <x v="80"/>
    <n v="7591"/>
    <n v="7591"/>
    <n v="7591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003"/>
    <x v="79"/>
    <n v="-3169"/>
    <n v="-3169"/>
    <n v="0"/>
    <n v="3169"/>
    <n v="0"/>
    <n v="3169"/>
    <n v="3169"/>
    <n v="0"/>
    <n v="0"/>
    <n v="0"/>
    <n v="0"/>
    <n v="0"/>
    <n v="0"/>
    <n v="82702"/>
  </r>
  <r>
    <n v="61"/>
    <x v="6"/>
    <s v="00/07/21"/>
    <s v="1400/07/21"/>
    <x v="155"/>
    <n v="30009"/>
    <x v="66"/>
    <n v="2037"/>
    <n v="2037"/>
    <n v="2037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003"/>
    <x v="79"/>
    <n v="2422"/>
    <n v="2422"/>
    <n v="2422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30066"/>
    <x v="77"/>
    <n v="2774"/>
    <n v="2774"/>
    <n v="2774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128"/>
    <x v="109"/>
    <n v="58"/>
    <n v="58"/>
    <n v="58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128"/>
    <x v="109"/>
    <n v="110"/>
    <n v="110"/>
    <n v="110"/>
    <n v="0"/>
    <n v="0"/>
    <n v="0"/>
    <n v="0"/>
    <n v="0"/>
    <n v="0"/>
    <n v="0"/>
    <n v="0"/>
    <n v="0"/>
    <n v="0"/>
    <n v="82702"/>
  </r>
  <r>
    <n v="61"/>
    <x v="6"/>
    <s v="00/07/22"/>
    <s v="1400/07/22"/>
    <x v="156"/>
    <n v="30004"/>
    <x v="2"/>
    <n v="-4766"/>
    <n v="-4766"/>
    <n v="0"/>
    <n v="4766"/>
    <n v="0"/>
    <n v="4766"/>
    <n v="4766"/>
    <n v="0"/>
    <n v="0"/>
    <n v="0"/>
    <n v="0"/>
    <n v="0"/>
    <n v="0"/>
    <n v="82702"/>
  </r>
  <r>
    <n v="61"/>
    <x v="6"/>
    <s v="00/07/22"/>
    <s v="1400/07/22"/>
    <x v="156"/>
    <n v="10018"/>
    <x v="95"/>
    <n v="122"/>
    <n v="122"/>
    <n v="122"/>
    <n v="0"/>
    <n v="0"/>
    <n v="0"/>
    <n v="0"/>
    <n v="0"/>
    <n v="0"/>
    <n v="0"/>
    <n v="0"/>
    <n v="0"/>
    <n v="0"/>
    <n v="82702"/>
  </r>
  <r>
    <n v="62"/>
    <x v="6"/>
    <s v="00/07/22"/>
    <s v="1400/07/22"/>
    <x v="156"/>
    <n v="30127"/>
    <x v="99"/>
    <n v="-16631"/>
    <n v="-16631"/>
    <n v="0"/>
    <n v="16631"/>
    <n v="0"/>
    <n v="16631"/>
    <n v="16631"/>
    <n v="0"/>
    <n v="0"/>
    <n v="0"/>
    <n v="0"/>
    <n v="0"/>
    <n v="0"/>
    <n v="99333"/>
  </r>
  <r>
    <n v="62"/>
    <x v="6"/>
    <s v="00/07/22"/>
    <s v="1400/07/22"/>
    <x v="156"/>
    <n v="30004"/>
    <x v="2"/>
    <n v="3281"/>
    <n v="3281"/>
    <n v="3281"/>
    <n v="0"/>
    <n v="0"/>
    <n v="0"/>
    <n v="0"/>
    <n v="0"/>
    <n v="0"/>
    <n v="0"/>
    <n v="0"/>
    <n v="0"/>
    <n v="0"/>
    <n v="99333"/>
  </r>
  <r>
    <n v="62"/>
    <x v="6"/>
    <s v="00/07/22"/>
    <s v="1400/07/22"/>
    <x v="156"/>
    <n v="10018"/>
    <x v="95"/>
    <n v="-494"/>
    <n v="-494"/>
    <n v="0"/>
    <n v="494"/>
    <n v="0"/>
    <n v="494"/>
    <n v="494"/>
    <n v="0"/>
    <n v="0"/>
    <n v="0"/>
    <n v="0"/>
    <n v="0"/>
    <n v="0"/>
    <n v="99333"/>
  </r>
  <r>
    <n v="63"/>
    <x v="6"/>
    <s v="00/07/22"/>
    <s v="1400/07/22"/>
    <x v="156"/>
    <n v="30127"/>
    <x v="99"/>
    <n v="15644"/>
    <n v="15644"/>
    <n v="15644"/>
    <n v="0"/>
    <n v="0"/>
    <n v="0"/>
    <n v="0"/>
    <n v="0"/>
    <n v="0"/>
    <n v="0"/>
    <n v="0"/>
    <n v="0"/>
    <n v="0"/>
    <n v="83689"/>
  </r>
  <r>
    <n v="63"/>
    <x v="6"/>
    <s v="00/07/22"/>
    <s v="1400/07/22"/>
    <x v="156"/>
    <n v="30191"/>
    <x v="114"/>
    <n v="1095"/>
    <n v="1095"/>
    <n v="1095"/>
    <n v="0"/>
    <n v="0"/>
    <n v="0"/>
    <n v="0"/>
    <n v="0"/>
    <n v="0"/>
    <n v="0"/>
    <n v="0"/>
    <n v="0"/>
    <n v="0"/>
    <n v="83689"/>
  </r>
  <r>
    <n v="63"/>
    <x v="6"/>
    <s v="00/07/22"/>
    <s v="1400/07/22"/>
    <x v="156"/>
    <n v="10018"/>
    <x v="95"/>
    <n v="226"/>
    <n v="226"/>
    <n v="226"/>
    <n v="0"/>
    <n v="0"/>
    <n v="0"/>
    <n v="0"/>
    <n v="0"/>
    <n v="0"/>
    <n v="0"/>
    <n v="0"/>
    <n v="0"/>
    <n v="0"/>
    <n v="83689"/>
  </r>
  <r>
    <n v="63"/>
    <x v="6"/>
    <s v="00/07/22"/>
    <s v="1400/07/22"/>
    <x v="156"/>
    <n v="30009"/>
    <x v="66"/>
    <n v="1023"/>
    <n v="1023"/>
    <n v="1023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10104"/>
    <x v="76"/>
    <n v="-552"/>
    <n v="-552"/>
    <n v="0"/>
    <n v="552"/>
    <n v="0"/>
    <n v="552"/>
    <n v="552"/>
    <n v="0"/>
    <n v="0"/>
    <n v="0"/>
    <n v="0"/>
    <n v="0"/>
    <n v="0"/>
    <n v="83689"/>
  </r>
  <r>
    <n v="63"/>
    <x v="6"/>
    <s v="00/07/24"/>
    <s v="1400/07/24"/>
    <x v="157"/>
    <n v="10018"/>
    <x v="95"/>
    <n v="57"/>
    <n v="57"/>
    <n v="57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30058"/>
    <x v="63"/>
    <n v="-1387"/>
    <n v="-1387"/>
    <n v="0"/>
    <n v="1387"/>
    <n v="0"/>
    <n v="1387"/>
    <n v="1387"/>
    <n v="0"/>
    <n v="0"/>
    <n v="0"/>
    <n v="0"/>
    <n v="0"/>
    <n v="0"/>
    <n v="83689"/>
  </r>
  <r>
    <n v="63"/>
    <x v="6"/>
    <s v="00/07/24"/>
    <s v="1400/07/24"/>
    <x v="157"/>
    <n v="10018"/>
    <x v="95"/>
    <n v="31"/>
    <n v="31"/>
    <n v="31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30066"/>
    <x v="77"/>
    <n v="-2086"/>
    <n v="-2086"/>
    <n v="0"/>
    <n v="2086"/>
    <n v="0"/>
    <n v="2086"/>
    <n v="2086"/>
    <n v="0"/>
    <n v="0"/>
    <n v="0"/>
    <n v="0"/>
    <n v="0"/>
    <n v="0"/>
    <n v="83689"/>
  </r>
  <r>
    <n v="63"/>
    <x v="6"/>
    <s v="00/07/24"/>
    <s v="1400/07/24"/>
    <x v="157"/>
    <n v="10026"/>
    <x v="81"/>
    <n v="818"/>
    <n v="818"/>
    <n v="818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10003"/>
    <x v="79"/>
    <n v="-3050"/>
    <n v="-3050"/>
    <n v="0"/>
    <n v="3050"/>
    <n v="0"/>
    <n v="3050"/>
    <n v="3050"/>
    <n v="0"/>
    <n v="0"/>
    <n v="0"/>
    <n v="0"/>
    <n v="0"/>
    <n v="0"/>
    <n v="83689"/>
  </r>
  <r>
    <n v="63"/>
    <x v="6"/>
    <s v="00/07/24"/>
    <s v="1400/07/24"/>
    <x v="157"/>
    <n v="10003"/>
    <x v="79"/>
    <n v="2554"/>
    <n v="2554"/>
    <n v="2554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10018"/>
    <x v="95"/>
    <n v="-77"/>
    <n v="-77"/>
    <n v="0"/>
    <n v="77"/>
    <n v="0"/>
    <n v="77"/>
    <n v="77"/>
    <n v="0"/>
    <n v="0"/>
    <n v="0"/>
    <n v="0"/>
    <n v="0"/>
    <n v="0"/>
    <n v="83689"/>
  </r>
  <r>
    <n v="63"/>
    <x v="6"/>
    <s v="00/07/24"/>
    <s v="1400/07/24"/>
    <x v="157"/>
    <n v="10055"/>
    <x v="80"/>
    <n v="-4848"/>
    <n v="-4848"/>
    <n v="0"/>
    <n v="4848"/>
    <n v="0"/>
    <n v="4848"/>
    <n v="4848"/>
    <n v="0"/>
    <n v="0"/>
    <n v="0"/>
    <n v="0"/>
    <n v="0"/>
    <n v="0"/>
    <n v="83689"/>
  </r>
  <r>
    <n v="63"/>
    <x v="6"/>
    <s v="00/07/25"/>
    <s v="1400/07/25"/>
    <x v="158"/>
    <n v="30009"/>
    <x v="66"/>
    <n v="771"/>
    <n v="771"/>
    <n v="771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099"/>
    <x v="11"/>
    <n v="-2514"/>
    <n v="-2514"/>
    <n v="0"/>
    <n v="2514"/>
    <n v="0"/>
    <n v="2514"/>
    <n v="2514"/>
    <n v="0"/>
    <n v="0"/>
    <n v="0"/>
    <n v="0"/>
    <n v="0"/>
    <n v="0"/>
    <n v="83689"/>
  </r>
  <r>
    <n v="63"/>
    <x v="6"/>
    <s v="00/07/25"/>
    <s v="1400/07/25"/>
    <x v="158"/>
    <n v="30164"/>
    <x v="12"/>
    <n v="742"/>
    <n v="742"/>
    <n v="742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64"/>
    <x v="12"/>
    <n v="-873"/>
    <n v="-873"/>
    <n v="0"/>
    <n v="873"/>
    <n v="0"/>
    <n v="873"/>
    <n v="873"/>
    <n v="0"/>
    <n v="0"/>
    <n v="0"/>
    <n v="0"/>
    <n v="0"/>
    <n v="0"/>
    <n v="83689"/>
  </r>
  <r>
    <n v="63"/>
    <x v="6"/>
    <s v="00/07/25"/>
    <s v="1400/07/25"/>
    <x v="158"/>
    <n v="10026"/>
    <x v="81"/>
    <n v="3000"/>
    <n v="3000"/>
    <n v="3000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16"/>
    <x v="39"/>
    <n v="-77"/>
    <n v="-77"/>
    <n v="0"/>
    <n v="77"/>
    <n v="0"/>
    <n v="77"/>
    <n v="77"/>
    <n v="0"/>
    <n v="0"/>
    <n v="0"/>
    <n v="0"/>
    <n v="0"/>
    <n v="0"/>
    <n v="83689"/>
  </r>
  <r>
    <n v="63"/>
    <x v="6"/>
    <s v="00/07/25"/>
    <s v="1400/07/25"/>
    <x v="158"/>
    <n v="30124"/>
    <x v="106"/>
    <n v="618"/>
    <n v="618"/>
    <n v="618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24"/>
    <x v="106"/>
    <n v="-3004"/>
    <n v="-3004"/>
    <n v="0"/>
    <n v="3004"/>
    <n v="0"/>
    <n v="3004"/>
    <n v="3004"/>
    <n v="0"/>
    <n v="0"/>
    <n v="0"/>
    <n v="0"/>
    <n v="0"/>
    <n v="0"/>
    <n v="83689"/>
  </r>
  <r>
    <n v="63"/>
    <x v="6"/>
    <s v="00/07/25"/>
    <s v="1400/07/25"/>
    <x v="158"/>
    <n v="30124"/>
    <x v="106"/>
    <n v="3370"/>
    <n v="3370"/>
    <n v="3370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24"/>
    <x v="106"/>
    <n v="-985"/>
    <n v="-985"/>
    <n v="0"/>
    <n v="985"/>
    <n v="0"/>
    <n v="985"/>
    <n v="985"/>
    <n v="0"/>
    <n v="0"/>
    <n v="0"/>
    <n v="0"/>
    <n v="0"/>
    <n v="0"/>
    <n v="83689"/>
  </r>
  <r>
    <n v="63"/>
    <x v="6"/>
    <s v="00/07/25"/>
    <s v="1400/07/25"/>
    <x v="158"/>
    <n v="30009"/>
    <x v="66"/>
    <n v="432"/>
    <n v="432"/>
    <n v="432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10084"/>
    <x v="37"/>
    <n v="-1454"/>
    <n v="-1454"/>
    <n v="0"/>
    <n v="1454"/>
    <n v="0"/>
    <n v="1454"/>
    <n v="1454"/>
    <n v="0"/>
    <n v="0"/>
    <n v="0"/>
    <n v="0"/>
    <n v="0"/>
    <n v="0"/>
    <n v="83689"/>
  </r>
  <r>
    <n v="63"/>
    <x v="6"/>
    <s v="00/07/25"/>
    <s v="1400/07/25"/>
    <x v="158"/>
    <n v="10026"/>
    <x v="81"/>
    <n v="2958"/>
    <n v="2958"/>
    <n v="2958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10003"/>
    <x v="79"/>
    <n v="-2994"/>
    <n v="-2994"/>
    <n v="0"/>
    <n v="2994"/>
    <n v="0"/>
    <n v="2994"/>
    <n v="2994"/>
    <n v="0"/>
    <n v="0"/>
    <n v="0"/>
    <n v="0"/>
    <n v="0"/>
    <n v="0"/>
    <n v="83689"/>
  </r>
  <r>
    <n v="63"/>
    <x v="6"/>
    <s v="00/07/25"/>
    <s v="1400/07/25"/>
    <x v="158"/>
    <n v="30099"/>
    <x v="11"/>
    <n v="-2405"/>
    <n v="-2405"/>
    <n v="0"/>
    <n v="2405"/>
    <n v="0"/>
    <n v="2405"/>
    <n v="2405"/>
    <n v="0"/>
    <n v="0"/>
    <n v="0"/>
    <n v="0"/>
    <n v="0"/>
    <n v="0"/>
    <n v="83689"/>
  </r>
  <r>
    <n v="63"/>
    <x v="6"/>
    <s v="00/07/25"/>
    <s v="1400/07/25"/>
    <x v="158"/>
    <n v="30009"/>
    <x v="66"/>
    <n v="-2256"/>
    <n v="-2256"/>
    <n v="0"/>
    <n v="2256"/>
    <n v="0"/>
    <n v="2256"/>
    <n v="2256"/>
    <n v="0"/>
    <n v="0"/>
    <n v="0"/>
    <n v="0"/>
    <n v="0"/>
    <n v="0"/>
    <n v="83689"/>
  </r>
  <r>
    <n v="63"/>
    <x v="6"/>
    <s v="00/07/26"/>
    <s v="1400/07/26"/>
    <x v="159"/>
    <n v="30018"/>
    <x v="1"/>
    <n v="2345"/>
    <n v="2345"/>
    <n v="2345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104"/>
    <x v="76"/>
    <n v="-1037"/>
    <n v="-1037"/>
    <n v="0"/>
    <n v="1037"/>
    <n v="0"/>
    <n v="1037"/>
    <n v="1037"/>
    <n v="0"/>
    <n v="0"/>
    <n v="0"/>
    <n v="0"/>
    <n v="0"/>
    <n v="0"/>
    <n v="83689"/>
  </r>
  <r>
    <n v="63"/>
    <x v="6"/>
    <s v="00/07/26"/>
    <s v="1400/07/26"/>
    <x v="159"/>
    <n v="10127"/>
    <x v="104"/>
    <n v="2000"/>
    <n v="2000"/>
    <n v="2000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03"/>
    <x v="79"/>
    <n v="-1003"/>
    <n v="-1003"/>
    <n v="0"/>
    <n v="1003"/>
    <n v="0"/>
    <n v="1003"/>
    <n v="1003"/>
    <n v="0"/>
    <n v="0"/>
    <n v="0"/>
    <n v="0"/>
    <n v="0"/>
    <n v="0"/>
    <n v="83689"/>
  </r>
  <r>
    <n v="63"/>
    <x v="6"/>
    <s v="00/07/26"/>
    <s v="1400/07/26"/>
    <x v="159"/>
    <n v="30009"/>
    <x v="66"/>
    <n v="1943"/>
    <n v="1943"/>
    <n v="1943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84"/>
    <x v="37"/>
    <n v="28"/>
    <n v="28"/>
    <n v="28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84"/>
    <x v="37"/>
    <n v="24"/>
    <n v="24"/>
    <n v="24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84"/>
    <x v="37"/>
    <n v="807"/>
    <n v="807"/>
    <n v="807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30003"/>
    <x v="65"/>
    <n v="-1099"/>
    <n v="-1099"/>
    <n v="0"/>
    <n v="1099"/>
    <n v="0"/>
    <n v="1099"/>
    <n v="1099"/>
    <n v="0"/>
    <n v="0"/>
    <n v="0"/>
    <n v="0"/>
    <n v="0"/>
    <n v="0"/>
    <n v="83689"/>
  </r>
  <r>
    <n v="63"/>
    <x v="6"/>
    <s v="00/07/27"/>
    <s v="1400/07/27"/>
    <x v="160"/>
    <n v="10119"/>
    <x v="100"/>
    <n v="208"/>
    <n v="208"/>
    <n v="208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30066"/>
    <x v="77"/>
    <n v="-2265"/>
    <n v="-2265"/>
    <n v="0"/>
    <n v="2265"/>
    <n v="0"/>
    <n v="2265"/>
    <n v="2265"/>
    <n v="0"/>
    <n v="0"/>
    <n v="0"/>
    <n v="0"/>
    <n v="0"/>
    <n v="0"/>
    <n v="83689"/>
  </r>
  <r>
    <n v="63"/>
    <x v="6"/>
    <s v="00/07/27"/>
    <s v="1400/07/27"/>
    <x v="160"/>
    <n v="10055"/>
    <x v="80"/>
    <n v="7218"/>
    <n v="7218"/>
    <n v="7218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30140"/>
    <x v="29"/>
    <n v="-28"/>
    <n v="-28"/>
    <n v="0"/>
    <n v="28"/>
    <n v="0"/>
    <n v="28"/>
    <n v="28"/>
    <n v="0"/>
    <n v="0"/>
    <n v="0"/>
    <n v="0"/>
    <n v="0"/>
    <n v="0"/>
    <n v="83689"/>
  </r>
  <r>
    <n v="63"/>
    <x v="6"/>
    <s v="00/07/27"/>
    <s v="1400/07/27"/>
    <x v="160"/>
    <n v="30003"/>
    <x v="65"/>
    <n v="1067"/>
    <n v="1067"/>
    <n v="1067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10055"/>
    <x v="80"/>
    <n v="-4516"/>
    <n v="-4516"/>
    <n v="0"/>
    <n v="4516"/>
    <n v="0"/>
    <n v="4516"/>
    <n v="4516"/>
    <n v="0"/>
    <n v="0"/>
    <n v="0"/>
    <n v="0"/>
    <n v="0"/>
    <n v="0"/>
    <n v="83689"/>
  </r>
  <r>
    <n v="63"/>
    <x v="6"/>
    <s v="00/07/27"/>
    <s v="1400/07/27"/>
    <x v="160"/>
    <n v="30004"/>
    <x v="2"/>
    <n v="1958"/>
    <n v="1958"/>
    <n v="1958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10003"/>
    <x v="79"/>
    <n v="-3924"/>
    <n v="-3924"/>
    <n v="0"/>
    <n v="3924"/>
    <n v="0"/>
    <n v="3924"/>
    <n v="3924"/>
    <n v="0"/>
    <n v="0"/>
    <n v="0"/>
    <n v="0"/>
    <n v="0"/>
    <n v="0"/>
    <n v="83689"/>
  </r>
  <r>
    <n v="64"/>
    <x v="6"/>
    <s v="00/07/27"/>
    <s v="1400/07/27"/>
    <x v="160"/>
    <n v="30127"/>
    <x v="99"/>
    <n v="14794"/>
    <n v="14794"/>
    <n v="14794"/>
    <n v="0"/>
    <n v="0"/>
    <n v="0"/>
    <n v="0"/>
    <n v="0"/>
    <n v="0"/>
    <n v="0"/>
    <n v="0"/>
    <n v="0"/>
    <n v="0"/>
    <n v="68895"/>
  </r>
  <r>
    <n v="64"/>
    <x v="6"/>
    <s v="00/07/27"/>
    <s v="1400/07/27"/>
    <x v="160"/>
    <n v="10019"/>
    <x v="123"/>
    <n v="-1727"/>
    <n v="-1727"/>
    <n v="0"/>
    <n v="1727"/>
    <n v="0"/>
    <n v="1727"/>
    <n v="1727"/>
    <n v="0"/>
    <n v="0"/>
    <n v="0"/>
    <n v="0"/>
    <n v="0"/>
    <n v="0"/>
    <n v="68895"/>
  </r>
  <r>
    <n v="64"/>
    <x v="6"/>
    <s v="00/07/27"/>
    <s v="1400/07/27"/>
    <x v="160"/>
    <n v="30003"/>
    <x v="65"/>
    <n v="104"/>
    <n v="104"/>
    <n v="104"/>
    <n v="0"/>
    <n v="0"/>
    <n v="0"/>
    <n v="0"/>
    <n v="0"/>
    <n v="0"/>
    <n v="0"/>
    <n v="0"/>
    <n v="0"/>
    <n v="0"/>
    <n v="68895"/>
  </r>
  <r>
    <n v="64"/>
    <x v="6"/>
    <s v="00/07/27"/>
    <s v="1400/07/27"/>
    <x v="160"/>
    <n v="10026"/>
    <x v="81"/>
    <n v="-2129"/>
    <n v="-2129"/>
    <n v="0"/>
    <n v="2129"/>
    <n v="0"/>
    <n v="2129"/>
    <n v="2129"/>
    <n v="0"/>
    <n v="0"/>
    <n v="0"/>
    <n v="0"/>
    <n v="0"/>
    <n v="0"/>
    <n v="68895"/>
  </r>
  <r>
    <n v="64"/>
    <x v="6"/>
    <s v="00/07/28"/>
    <s v="1400/07/28"/>
    <x v="161"/>
    <n v="10004"/>
    <x v="21"/>
    <n v="1332"/>
    <n v="1332"/>
    <n v="133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187"/>
    <x v="115"/>
    <n v="-2155"/>
    <n v="-2155"/>
    <n v="0"/>
    <n v="2155"/>
    <n v="0"/>
    <n v="2155"/>
    <n v="2155"/>
    <n v="0"/>
    <n v="0"/>
    <n v="0"/>
    <n v="0"/>
    <n v="0"/>
    <n v="0"/>
    <n v="68895"/>
  </r>
  <r>
    <n v="64"/>
    <x v="6"/>
    <s v="00/07/28"/>
    <s v="1400/07/28"/>
    <x v="161"/>
    <n v="50011"/>
    <x v="17"/>
    <n v="1022"/>
    <n v="1022"/>
    <n v="102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191"/>
    <x v="114"/>
    <n v="-1006"/>
    <n v="-1006"/>
    <n v="0"/>
    <n v="1006"/>
    <n v="0"/>
    <n v="1006"/>
    <n v="1006"/>
    <n v="0"/>
    <n v="0"/>
    <n v="0"/>
    <n v="0"/>
    <n v="0"/>
    <n v="0"/>
    <n v="68895"/>
  </r>
  <r>
    <n v="64"/>
    <x v="6"/>
    <s v="00/07/28"/>
    <s v="1400/07/28"/>
    <x v="161"/>
    <n v="30017"/>
    <x v="83"/>
    <n v="810"/>
    <n v="810"/>
    <n v="810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50011"/>
    <x v="17"/>
    <n v="-2066"/>
    <n v="-2066"/>
    <n v="0"/>
    <n v="2066"/>
    <n v="0"/>
    <n v="2066"/>
    <n v="2066"/>
    <n v="0"/>
    <n v="0"/>
    <n v="0"/>
    <n v="0"/>
    <n v="0"/>
    <n v="0"/>
    <n v="68895"/>
  </r>
  <r>
    <n v="64"/>
    <x v="6"/>
    <s v="00/07/28"/>
    <s v="1400/07/28"/>
    <x v="161"/>
    <n v="30017"/>
    <x v="83"/>
    <n v="1585"/>
    <n v="1585"/>
    <n v="1585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10004"/>
    <x v="21"/>
    <n v="-999"/>
    <n v="-999"/>
    <n v="0"/>
    <n v="999"/>
    <n v="0"/>
    <n v="999"/>
    <n v="999"/>
    <n v="0"/>
    <n v="0"/>
    <n v="0"/>
    <n v="0"/>
    <n v="0"/>
    <n v="0"/>
    <n v="68895"/>
  </r>
  <r>
    <n v="64"/>
    <x v="6"/>
    <s v="00/07/28"/>
    <s v="1400/07/28"/>
    <x v="161"/>
    <n v="10126"/>
    <x v="103"/>
    <n v="242"/>
    <n v="242"/>
    <n v="24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10026"/>
    <x v="81"/>
    <n v="-100"/>
    <n v="-100"/>
    <n v="0"/>
    <n v="100"/>
    <n v="0"/>
    <n v="100"/>
    <n v="100"/>
    <n v="0"/>
    <n v="0"/>
    <n v="0"/>
    <n v="0"/>
    <n v="0"/>
    <n v="0"/>
    <n v="68895"/>
  </r>
  <r>
    <n v="64"/>
    <x v="6"/>
    <s v="00/07/28"/>
    <s v="1400/07/28"/>
    <x v="161"/>
    <n v="30187"/>
    <x v="115"/>
    <n v="330"/>
    <n v="330"/>
    <n v="330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017"/>
    <x v="83"/>
    <n v="-765"/>
    <n v="-765"/>
    <n v="0"/>
    <n v="765"/>
    <n v="0"/>
    <n v="765"/>
    <n v="765"/>
    <n v="0"/>
    <n v="0"/>
    <n v="0"/>
    <n v="0"/>
    <n v="0"/>
    <n v="0"/>
    <n v="68895"/>
  </r>
  <r>
    <n v="64"/>
    <x v="6"/>
    <s v="00/07/28"/>
    <s v="1400/07/28"/>
    <x v="161"/>
    <n v="30187"/>
    <x v="115"/>
    <n v="1021"/>
    <n v="1021"/>
    <n v="1021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004"/>
    <x v="2"/>
    <n v="756"/>
    <n v="756"/>
    <n v="756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10126"/>
    <x v="103"/>
    <n v="682"/>
    <n v="682"/>
    <n v="68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004"/>
    <x v="2"/>
    <n v="1086"/>
    <n v="1086"/>
    <n v="1086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30140"/>
    <x v="29"/>
    <n v="-2048"/>
    <n v="-2048"/>
    <n v="0"/>
    <n v="2048"/>
    <n v="0"/>
    <n v="2048"/>
    <n v="2048"/>
    <n v="0"/>
    <n v="0"/>
    <n v="0"/>
    <n v="0"/>
    <n v="0"/>
    <n v="0"/>
    <n v="68895"/>
  </r>
  <r>
    <n v="64"/>
    <x v="6"/>
    <s v="00/07/29"/>
    <s v="1400/07/29"/>
    <x v="162"/>
    <n v="30101"/>
    <x v="69"/>
    <n v="498"/>
    <n v="498"/>
    <n v="498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30004"/>
    <x v="2"/>
    <n v="4207"/>
    <n v="4207"/>
    <n v="4207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10027"/>
    <x v="72"/>
    <n v="2441"/>
    <n v="2441"/>
    <n v="2441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30191"/>
    <x v="114"/>
    <n v="877"/>
    <n v="877"/>
    <n v="877"/>
    <n v="0"/>
    <n v="0"/>
    <n v="0"/>
    <n v="0"/>
    <n v="0"/>
    <n v="0"/>
    <n v="0"/>
    <n v="0"/>
    <n v="0"/>
    <n v="0"/>
    <n v="68895"/>
  </r>
  <r>
    <n v="64"/>
    <x v="6"/>
    <s v="00/07/30"/>
    <s v="1400/07/30"/>
    <x v="163"/>
    <n v="30004"/>
    <x v="2"/>
    <n v="3141"/>
    <n v="3141"/>
    <n v="3141"/>
    <n v="0"/>
    <n v="0"/>
    <n v="0"/>
    <n v="0"/>
    <n v="0"/>
    <n v="0"/>
    <n v="0"/>
    <n v="0"/>
    <n v="0"/>
    <n v="0"/>
    <n v="68895"/>
  </r>
  <r>
    <n v="64"/>
    <x v="7"/>
    <s v="00/08/01"/>
    <s v="1400/08/01"/>
    <x v="164"/>
    <n v="30066"/>
    <x v="77"/>
    <n v="-622"/>
    <n v="-622"/>
    <n v="0"/>
    <n v="622"/>
    <n v="0"/>
    <n v="622"/>
    <n v="622"/>
    <n v="0"/>
    <n v="0"/>
    <n v="0"/>
    <n v="0"/>
    <n v="0"/>
    <n v="0"/>
    <n v="68895"/>
  </r>
  <r>
    <n v="64"/>
    <x v="7"/>
    <s v="00/08/01"/>
    <s v="1400/08/01"/>
    <x v="164"/>
    <n v="10026"/>
    <x v="81"/>
    <n v="3218"/>
    <n v="3218"/>
    <n v="3218"/>
    <n v="0"/>
    <n v="0"/>
    <n v="0"/>
    <n v="0"/>
    <n v="0"/>
    <n v="0"/>
    <n v="0"/>
    <n v="0"/>
    <n v="0"/>
    <n v="0"/>
    <n v="68895"/>
  </r>
  <r>
    <n v="64"/>
    <x v="7"/>
    <s v="00/08/01"/>
    <s v="1400/08/01"/>
    <x v="164"/>
    <n v="30140"/>
    <x v="29"/>
    <n v="-1009"/>
    <n v="-1009"/>
    <n v="0"/>
    <n v="1009"/>
    <n v="0"/>
    <n v="1009"/>
    <n v="1009"/>
    <n v="0"/>
    <n v="0"/>
    <n v="0"/>
    <n v="0"/>
    <n v="0"/>
    <n v="0"/>
    <n v="68895"/>
  </r>
  <r>
    <n v="64"/>
    <x v="7"/>
    <s v="00/08/01"/>
    <s v="1400/08/01"/>
    <x v="164"/>
    <n v="10084"/>
    <x v="37"/>
    <n v="221"/>
    <n v="221"/>
    <n v="221"/>
    <n v="0"/>
    <n v="0"/>
    <n v="0"/>
    <n v="0"/>
    <n v="0"/>
    <n v="0"/>
    <n v="0"/>
    <n v="0"/>
    <n v="0"/>
    <n v="0"/>
    <n v="68895"/>
  </r>
  <r>
    <n v="64"/>
    <x v="7"/>
    <s v="00/08/01"/>
    <s v="1400/08/01"/>
    <x v="164"/>
    <n v="30004"/>
    <x v="2"/>
    <n v="-4607"/>
    <n v="-4607"/>
    <n v="0"/>
    <n v="4607"/>
    <n v="0"/>
    <n v="4607"/>
    <n v="4607"/>
    <n v="0"/>
    <n v="0"/>
    <n v="0"/>
    <n v="0"/>
    <n v="0"/>
    <n v="0"/>
    <n v="68895"/>
  </r>
  <r>
    <n v="64"/>
    <x v="7"/>
    <s v="00/08/01"/>
    <s v="1400/08/01"/>
    <x v="164"/>
    <n v="30009"/>
    <x v="66"/>
    <n v="-2389"/>
    <n v="-2389"/>
    <n v="0"/>
    <n v="2389"/>
    <n v="0"/>
    <n v="2389"/>
    <n v="2389"/>
    <n v="0"/>
    <n v="0"/>
    <n v="0"/>
    <n v="0"/>
    <n v="0"/>
    <n v="0"/>
    <n v="68895"/>
  </r>
  <r>
    <n v="64"/>
    <x v="7"/>
    <s v="00/08/03"/>
    <s v="1400/08/03"/>
    <x v="165"/>
    <n v="10003"/>
    <x v="79"/>
    <n v="3122"/>
    <n v="3122"/>
    <n v="3122"/>
    <n v="0"/>
    <n v="0"/>
    <n v="0"/>
    <n v="0"/>
    <n v="0"/>
    <n v="0"/>
    <n v="0"/>
    <n v="0"/>
    <n v="0"/>
    <n v="0"/>
    <n v="68895"/>
  </r>
  <r>
    <n v="64"/>
    <x v="7"/>
    <s v="00/08/03"/>
    <s v="1400/08/03"/>
    <x v="165"/>
    <n v="30009"/>
    <x v="66"/>
    <n v="-2069"/>
    <n v="-2069"/>
    <n v="0"/>
    <n v="2069"/>
    <n v="0"/>
    <n v="2069"/>
    <n v="2069"/>
    <n v="0"/>
    <n v="0"/>
    <n v="0"/>
    <n v="0"/>
    <n v="0"/>
    <n v="0"/>
    <n v="68895"/>
  </r>
  <r>
    <n v="64"/>
    <x v="7"/>
    <s v="00/08/03"/>
    <s v="1400/08/03"/>
    <x v="165"/>
    <n v="30066"/>
    <x v="77"/>
    <n v="3500"/>
    <n v="3500"/>
    <n v="3500"/>
    <n v="0"/>
    <n v="0"/>
    <n v="0"/>
    <n v="0"/>
    <n v="0"/>
    <n v="0"/>
    <n v="0"/>
    <n v="0"/>
    <n v="0"/>
    <n v="0"/>
    <n v="68895"/>
  </r>
  <r>
    <n v="64"/>
    <x v="7"/>
    <s v="00/08/03"/>
    <s v="1400/08/03"/>
    <x v="165"/>
    <n v="10128"/>
    <x v="109"/>
    <n v="-8"/>
    <n v="-8"/>
    <n v="0"/>
    <n v="8"/>
    <n v="0"/>
    <n v="8"/>
    <n v="8"/>
    <n v="0"/>
    <n v="0"/>
    <n v="0"/>
    <n v="0"/>
    <n v="0"/>
    <n v="0"/>
    <n v="68895"/>
  </r>
  <r>
    <n v="64"/>
    <x v="7"/>
    <s v="00/08/03"/>
    <s v="1400/08/03"/>
    <x v="165"/>
    <n v="10128"/>
    <x v="109"/>
    <n v="-154"/>
    <n v="-154"/>
    <n v="0"/>
    <n v="154"/>
    <n v="0"/>
    <n v="154"/>
    <n v="154"/>
    <n v="0"/>
    <n v="0"/>
    <n v="0"/>
    <n v="0"/>
    <n v="0"/>
    <n v="0"/>
    <n v="68895"/>
  </r>
  <r>
    <n v="64"/>
    <x v="7"/>
    <s v="00/08/03"/>
    <s v="1400/08/03"/>
    <x v="165"/>
    <n v="10003"/>
    <x v="79"/>
    <n v="-3413"/>
    <n v="-3413"/>
    <n v="0"/>
    <n v="3413"/>
    <n v="0"/>
    <n v="3413"/>
    <n v="3413"/>
    <n v="0"/>
    <n v="0"/>
    <n v="0"/>
    <n v="0"/>
    <n v="0"/>
    <n v="0"/>
    <n v="68895"/>
  </r>
  <r>
    <n v="64"/>
    <x v="7"/>
    <s v="00/08/03"/>
    <s v="1400/08/03"/>
    <x v="165"/>
    <n v="10029"/>
    <x v="78"/>
    <n v="-312"/>
    <n v="-312"/>
    <n v="0"/>
    <n v="312"/>
    <n v="0"/>
    <n v="312"/>
    <n v="312"/>
    <n v="0"/>
    <n v="0"/>
    <n v="0"/>
    <n v="0"/>
    <n v="0"/>
    <n v="0"/>
    <n v="68895"/>
  </r>
  <r>
    <n v="64"/>
    <x v="7"/>
    <s v="00/08/04"/>
    <s v="1400/08/04"/>
    <x v="166"/>
    <n v="30009"/>
    <x v="66"/>
    <n v="1811"/>
    <n v="1811"/>
    <n v="1811"/>
    <n v="0"/>
    <n v="0"/>
    <n v="0"/>
    <n v="0"/>
    <n v="0"/>
    <n v="0"/>
    <n v="0"/>
    <n v="0"/>
    <n v="0"/>
    <n v="0"/>
    <n v="68895"/>
  </r>
  <r>
    <n v="64"/>
    <x v="7"/>
    <s v="00/08/04"/>
    <s v="1400/08/04"/>
    <x v="166"/>
    <n v="30009"/>
    <x v="66"/>
    <n v="-4468"/>
    <n v="-4468"/>
    <n v="0"/>
    <n v="4468"/>
    <n v="0"/>
    <n v="4468"/>
    <n v="4468"/>
    <n v="0"/>
    <n v="0"/>
    <n v="0"/>
    <n v="0"/>
    <n v="0"/>
    <n v="0"/>
    <n v="68895"/>
  </r>
  <r>
    <n v="64"/>
    <x v="7"/>
    <s v="00/08/04"/>
    <s v="1400/08/04"/>
    <x v="166"/>
    <n v="10070"/>
    <x v="53"/>
    <n v="2180"/>
    <n v="2180"/>
    <n v="2180"/>
    <n v="0"/>
    <n v="0"/>
    <n v="0"/>
    <n v="0"/>
    <n v="0"/>
    <n v="0"/>
    <n v="0"/>
    <n v="0"/>
    <n v="0"/>
    <n v="0"/>
    <n v="68895"/>
  </r>
  <r>
    <n v="64"/>
    <x v="7"/>
    <s v="00/08/04"/>
    <s v="1400/08/04"/>
    <x v="166"/>
    <n v="30081"/>
    <x v="67"/>
    <n v="-1947"/>
    <n v="-1947"/>
    <n v="0"/>
    <n v="1947"/>
    <n v="0"/>
    <n v="1947"/>
    <n v="1947"/>
    <n v="0"/>
    <n v="0"/>
    <n v="0"/>
    <n v="0"/>
    <n v="0"/>
    <n v="0"/>
    <n v="68895"/>
  </r>
  <r>
    <n v="65"/>
    <x v="7"/>
    <s v="00/08/04"/>
    <s v="1400/08/04"/>
    <x v="166"/>
    <n v="30127"/>
    <x v="99"/>
    <n v="15626"/>
    <n v="15626"/>
    <n v="15626"/>
    <n v="0"/>
    <n v="0"/>
    <n v="0"/>
    <n v="0"/>
    <n v="0"/>
    <n v="0"/>
    <n v="0"/>
    <n v="0"/>
    <n v="0"/>
    <n v="0"/>
    <n v="53269"/>
  </r>
  <r>
    <n v="66"/>
    <x v="7"/>
    <s v="00/08/04"/>
    <s v="1400/08/04"/>
    <x v="166"/>
    <n v="30127"/>
    <x v="99"/>
    <n v="-15337"/>
    <n v="-15337"/>
    <n v="0"/>
    <n v="15337"/>
    <n v="0"/>
    <n v="15337"/>
    <n v="15337"/>
    <n v="0"/>
    <n v="0"/>
    <n v="0"/>
    <n v="0"/>
    <n v="0"/>
    <n v="0"/>
    <n v="68606"/>
  </r>
  <r>
    <n v="66"/>
    <x v="7"/>
    <s v="00/08/04"/>
    <s v="1400/08/04"/>
    <x v="166"/>
    <n v="10127"/>
    <x v="104"/>
    <n v="2110"/>
    <n v="2110"/>
    <n v="2110"/>
    <n v="0"/>
    <n v="0"/>
    <n v="0"/>
    <n v="0"/>
    <n v="0"/>
    <n v="0"/>
    <n v="0"/>
    <n v="0"/>
    <n v="0"/>
    <n v="0"/>
    <n v="68606"/>
  </r>
  <r>
    <n v="66"/>
    <x v="7"/>
    <s v="00/08/04"/>
    <s v="1400/08/04"/>
    <x v="166"/>
    <n v="10070"/>
    <x v="53"/>
    <n v="-98"/>
    <n v="-98"/>
    <n v="0"/>
    <n v="98"/>
    <n v="0"/>
    <n v="98"/>
    <n v="98"/>
    <n v="0"/>
    <n v="0"/>
    <n v="0"/>
    <n v="0"/>
    <n v="0"/>
    <n v="0"/>
    <n v="68606"/>
  </r>
  <r>
    <n v="66"/>
    <x v="7"/>
    <s v="00/08/04"/>
    <s v="1400/08/04"/>
    <x v="166"/>
    <n v="10104"/>
    <x v="76"/>
    <n v="116"/>
    <n v="116"/>
    <n v="116"/>
    <n v="0"/>
    <n v="0"/>
    <n v="0"/>
    <n v="0"/>
    <n v="0"/>
    <n v="0"/>
    <n v="0"/>
    <n v="0"/>
    <n v="0"/>
    <n v="0"/>
    <n v="68606"/>
  </r>
  <r>
    <n v="66"/>
    <x v="7"/>
    <s v="00/08/04"/>
    <s v="1400/08/04"/>
    <x v="166"/>
    <n v="10003"/>
    <x v="79"/>
    <n v="-1151"/>
    <n v="-1151"/>
    <n v="0"/>
    <n v="1151"/>
    <n v="0"/>
    <n v="1151"/>
    <n v="1151"/>
    <n v="0"/>
    <n v="0"/>
    <n v="0"/>
    <n v="0"/>
    <n v="0"/>
    <n v="0"/>
    <n v="68606"/>
  </r>
  <r>
    <n v="66"/>
    <x v="7"/>
    <s v="00/08/04"/>
    <s v="1400/08/04"/>
    <x v="166"/>
    <n v="10104"/>
    <x v="76"/>
    <n v="456"/>
    <n v="456"/>
    <n v="456"/>
    <n v="0"/>
    <n v="0"/>
    <n v="0"/>
    <n v="0"/>
    <n v="0"/>
    <n v="0"/>
    <n v="0"/>
    <n v="0"/>
    <n v="0"/>
    <n v="0"/>
    <n v="68606"/>
  </r>
  <r>
    <n v="66"/>
    <x v="7"/>
    <s v="00/08/04"/>
    <s v="1400/08/04"/>
    <x v="166"/>
    <n v="30004"/>
    <x v="2"/>
    <n v="-2829"/>
    <n v="-2829"/>
    <n v="0"/>
    <n v="2829"/>
    <n v="0"/>
    <n v="2829"/>
    <n v="2829"/>
    <n v="0"/>
    <n v="0"/>
    <n v="0"/>
    <n v="0"/>
    <n v="0"/>
    <n v="0"/>
    <n v="68606"/>
  </r>
  <r>
    <n v="66"/>
    <x v="7"/>
    <s v="00/08/04"/>
    <s v="1400/08/04"/>
    <x v="166"/>
    <n v="10127"/>
    <x v="104"/>
    <n v="-2015"/>
    <n v="-2015"/>
    <n v="0"/>
    <n v="2015"/>
    <n v="0"/>
    <n v="2015"/>
    <n v="2015"/>
    <n v="0"/>
    <n v="0"/>
    <n v="0"/>
    <n v="0"/>
    <n v="0"/>
    <n v="0"/>
    <n v="68606"/>
  </r>
  <r>
    <n v="66"/>
    <x v="7"/>
    <s v="00/08/05"/>
    <s v="1400/08/05"/>
    <x v="167"/>
    <n v="30017"/>
    <x v="83"/>
    <n v="456"/>
    <n v="456"/>
    <n v="456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30137"/>
    <x v="101"/>
    <n v="-1016"/>
    <n v="-1016"/>
    <n v="0"/>
    <n v="1016"/>
    <n v="0"/>
    <n v="1016"/>
    <n v="1016"/>
    <n v="0"/>
    <n v="0"/>
    <n v="0"/>
    <n v="0"/>
    <n v="0"/>
    <n v="0"/>
    <n v="68606"/>
  </r>
  <r>
    <n v="66"/>
    <x v="7"/>
    <s v="00/08/05"/>
    <s v="1400/08/05"/>
    <x v="167"/>
    <n v="30009"/>
    <x v="66"/>
    <n v="1629"/>
    <n v="1629"/>
    <n v="1629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50016"/>
    <x v="31"/>
    <n v="-2573"/>
    <n v="-2573"/>
    <n v="0"/>
    <n v="2573"/>
    <n v="0"/>
    <n v="2573"/>
    <n v="2573"/>
    <n v="0"/>
    <n v="0"/>
    <n v="0"/>
    <n v="0"/>
    <n v="0"/>
    <n v="0"/>
    <n v="68606"/>
  </r>
  <r>
    <n v="66"/>
    <x v="7"/>
    <s v="00/08/05"/>
    <s v="1400/08/05"/>
    <x v="167"/>
    <n v="10003"/>
    <x v="79"/>
    <n v="2284"/>
    <n v="2284"/>
    <n v="2284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10027"/>
    <x v="72"/>
    <n v="-2742"/>
    <n v="-2742"/>
    <n v="0"/>
    <n v="2742"/>
    <n v="0"/>
    <n v="2742"/>
    <n v="2742"/>
    <n v="0"/>
    <n v="0"/>
    <n v="0"/>
    <n v="0"/>
    <n v="0"/>
    <n v="0"/>
    <n v="68606"/>
  </r>
  <r>
    <n v="66"/>
    <x v="7"/>
    <s v="00/08/05"/>
    <s v="1400/08/05"/>
    <x v="167"/>
    <n v="30017"/>
    <x v="83"/>
    <n v="1579"/>
    <n v="1579"/>
    <n v="1579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10048"/>
    <x v="51"/>
    <n v="-203"/>
    <n v="-203"/>
    <n v="0"/>
    <n v="203"/>
    <n v="0"/>
    <n v="203"/>
    <n v="203"/>
    <n v="0"/>
    <n v="0"/>
    <n v="0"/>
    <n v="0"/>
    <n v="0"/>
    <n v="0"/>
    <n v="68606"/>
  </r>
  <r>
    <n v="66"/>
    <x v="7"/>
    <s v="00/08/05"/>
    <s v="1400/08/05"/>
    <x v="167"/>
    <n v="30017"/>
    <x v="83"/>
    <n v="337"/>
    <n v="337"/>
    <n v="337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10003"/>
    <x v="79"/>
    <n v="-2940"/>
    <n v="-2940"/>
    <n v="0"/>
    <n v="2940"/>
    <n v="0"/>
    <n v="2940"/>
    <n v="2940"/>
    <n v="0"/>
    <n v="0"/>
    <n v="0"/>
    <n v="0"/>
    <n v="0"/>
    <n v="0"/>
    <n v="68606"/>
  </r>
  <r>
    <n v="66"/>
    <x v="7"/>
    <s v="00/08/06"/>
    <s v="1400/08/06"/>
    <x v="168"/>
    <n v="10026"/>
    <x v="81"/>
    <n v="3081"/>
    <n v="3081"/>
    <n v="3081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30012"/>
    <x v="59"/>
    <n v="1032"/>
    <n v="1032"/>
    <n v="1032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30009"/>
    <x v="66"/>
    <n v="998"/>
    <n v="998"/>
    <n v="998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30012"/>
    <x v="59"/>
    <n v="1886"/>
    <n v="1886"/>
    <n v="1886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124"/>
    <x v="106"/>
    <n v="-944"/>
    <n v="-944"/>
    <n v="0"/>
    <n v="944"/>
    <n v="0"/>
    <n v="944"/>
    <n v="944"/>
    <n v="0"/>
    <n v="0"/>
    <n v="0"/>
    <n v="0"/>
    <n v="0"/>
    <n v="0"/>
    <n v="68606"/>
  </r>
  <r>
    <n v="66"/>
    <x v="7"/>
    <s v="00/08/08"/>
    <s v="1400/08/08"/>
    <x v="169"/>
    <n v="30009"/>
    <x v="66"/>
    <n v="1602"/>
    <n v="1602"/>
    <n v="160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022"/>
    <x v="75"/>
    <n v="-4777"/>
    <n v="-4777"/>
    <n v="0"/>
    <n v="4777"/>
    <n v="0"/>
    <n v="4777"/>
    <n v="4777"/>
    <n v="0"/>
    <n v="0"/>
    <n v="0"/>
    <n v="0"/>
    <n v="0"/>
    <n v="0"/>
    <n v="68606"/>
  </r>
  <r>
    <n v="66"/>
    <x v="7"/>
    <s v="00/08/08"/>
    <s v="1400/08/08"/>
    <x v="169"/>
    <n v="30022"/>
    <x v="75"/>
    <n v="4905"/>
    <n v="4905"/>
    <n v="4905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160"/>
    <x v="5"/>
    <n v="-267"/>
    <n v="-267"/>
    <n v="0"/>
    <n v="267"/>
    <n v="0"/>
    <n v="267"/>
    <n v="267"/>
    <n v="0"/>
    <n v="0"/>
    <n v="0"/>
    <n v="0"/>
    <n v="0"/>
    <n v="0"/>
    <n v="68606"/>
  </r>
  <r>
    <n v="66"/>
    <x v="7"/>
    <s v="00/08/08"/>
    <s v="1400/08/08"/>
    <x v="169"/>
    <n v="30124"/>
    <x v="106"/>
    <n v="945"/>
    <n v="945"/>
    <n v="945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140"/>
    <x v="29"/>
    <n v="-1990"/>
    <n v="-1990"/>
    <n v="0"/>
    <n v="1990"/>
    <n v="0"/>
    <n v="1990"/>
    <n v="1990"/>
    <n v="0"/>
    <n v="0"/>
    <n v="0"/>
    <n v="0"/>
    <n v="0"/>
    <n v="0"/>
    <n v="68606"/>
  </r>
  <r>
    <n v="66"/>
    <x v="7"/>
    <s v="00/08/08"/>
    <s v="1400/08/08"/>
    <x v="169"/>
    <n v="30160"/>
    <x v="5"/>
    <n v="26"/>
    <n v="26"/>
    <n v="26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119"/>
    <x v="100"/>
    <n v="-303"/>
    <n v="-303"/>
    <n v="0"/>
    <n v="303"/>
    <n v="0"/>
    <n v="303"/>
    <n v="303"/>
    <n v="0"/>
    <n v="0"/>
    <n v="0"/>
    <n v="0"/>
    <n v="0"/>
    <n v="0"/>
    <n v="68606"/>
  </r>
  <r>
    <n v="66"/>
    <x v="7"/>
    <s v="00/08/08"/>
    <s v="1400/08/08"/>
    <x v="169"/>
    <n v="30055"/>
    <x v="98"/>
    <n v="12"/>
    <n v="12"/>
    <n v="1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20"/>
    <x v="40"/>
    <n v="-262"/>
    <n v="-262"/>
    <n v="0"/>
    <n v="262"/>
    <n v="0"/>
    <n v="262"/>
    <n v="262"/>
    <n v="0"/>
    <n v="0"/>
    <n v="0"/>
    <n v="0"/>
    <n v="0"/>
    <n v="0"/>
    <n v="68606"/>
  </r>
  <r>
    <n v="66"/>
    <x v="7"/>
    <s v="00/08/08"/>
    <s v="1400/08/08"/>
    <x v="169"/>
    <n v="10119"/>
    <x v="100"/>
    <n v="288"/>
    <n v="288"/>
    <n v="288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03"/>
    <x v="79"/>
    <n v="-2142"/>
    <n v="-2142"/>
    <n v="0"/>
    <n v="2142"/>
    <n v="0"/>
    <n v="2142"/>
    <n v="2142"/>
    <n v="0"/>
    <n v="0"/>
    <n v="0"/>
    <n v="0"/>
    <n v="0"/>
    <n v="0"/>
    <n v="68606"/>
  </r>
  <r>
    <n v="66"/>
    <x v="7"/>
    <s v="00/08/08"/>
    <s v="1400/08/08"/>
    <x v="169"/>
    <n v="30160"/>
    <x v="5"/>
    <n v="112"/>
    <n v="112"/>
    <n v="11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55"/>
    <x v="80"/>
    <n v="-5033"/>
    <n v="-5033"/>
    <n v="0"/>
    <n v="5033"/>
    <n v="0"/>
    <n v="5033"/>
    <n v="5033"/>
    <n v="0"/>
    <n v="0"/>
    <n v="0"/>
    <n v="0"/>
    <n v="0"/>
    <n v="0"/>
    <n v="68606"/>
  </r>
  <r>
    <n v="66"/>
    <x v="7"/>
    <s v="00/08/08"/>
    <s v="1400/08/08"/>
    <x v="169"/>
    <n v="10048"/>
    <x v="51"/>
    <n v="102"/>
    <n v="102"/>
    <n v="10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26"/>
    <x v="81"/>
    <n v="-2056"/>
    <n v="-2056"/>
    <n v="0"/>
    <n v="2056"/>
    <n v="0"/>
    <n v="2056"/>
    <n v="2056"/>
    <n v="0"/>
    <n v="0"/>
    <n v="0"/>
    <n v="0"/>
    <n v="0"/>
    <n v="0"/>
    <n v="68606"/>
  </r>
  <r>
    <n v="66"/>
    <x v="7"/>
    <s v="00/08/09"/>
    <s v="1400/08/09"/>
    <x v="170"/>
    <n v="10009"/>
    <x v="24"/>
    <n v="240"/>
    <n v="240"/>
    <n v="240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140"/>
    <x v="29"/>
    <n v="-874"/>
    <n v="-874"/>
    <n v="0"/>
    <n v="874"/>
    <n v="0"/>
    <n v="874"/>
    <n v="874"/>
    <n v="0"/>
    <n v="0"/>
    <n v="0"/>
    <n v="0"/>
    <n v="0"/>
    <n v="0"/>
    <n v="68606"/>
  </r>
  <r>
    <n v="66"/>
    <x v="7"/>
    <s v="00/08/09"/>
    <s v="1400/08/09"/>
    <x v="170"/>
    <n v="30198"/>
    <x v="124"/>
    <n v="560"/>
    <n v="560"/>
    <n v="560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018"/>
    <x v="1"/>
    <n v="-2184"/>
    <n v="-2184"/>
    <n v="0"/>
    <n v="2184"/>
    <n v="0"/>
    <n v="2184"/>
    <n v="2184"/>
    <n v="0"/>
    <n v="0"/>
    <n v="0"/>
    <n v="0"/>
    <n v="0"/>
    <n v="0"/>
    <n v="68606"/>
  </r>
  <r>
    <n v="66"/>
    <x v="7"/>
    <s v="00/08/09"/>
    <s v="1400/08/09"/>
    <x v="170"/>
    <n v="10069"/>
    <x v="68"/>
    <n v="683"/>
    <n v="683"/>
    <n v="683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50016"/>
    <x v="31"/>
    <n v="-2471"/>
    <n v="-2471"/>
    <n v="0"/>
    <n v="2471"/>
    <n v="0"/>
    <n v="2471"/>
    <n v="2471"/>
    <n v="0"/>
    <n v="0"/>
    <n v="0"/>
    <n v="0"/>
    <n v="0"/>
    <n v="0"/>
    <n v="68606"/>
  </r>
  <r>
    <n v="66"/>
    <x v="7"/>
    <s v="00/08/09"/>
    <s v="1400/08/09"/>
    <x v="170"/>
    <n v="10009"/>
    <x v="24"/>
    <n v="1942"/>
    <n v="1942"/>
    <n v="1942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186"/>
    <x v="102"/>
    <n v="-882"/>
    <n v="-882"/>
    <n v="0"/>
    <n v="882"/>
    <n v="0"/>
    <n v="882"/>
    <n v="882"/>
    <n v="0"/>
    <n v="0"/>
    <n v="0"/>
    <n v="0"/>
    <n v="0"/>
    <n v="0"/>
    <n v="68606"/>
  </r>
  <r>
    <n v="66"/>
    <x v="7"/>
    <s v="00/08/09"/>
    <s v="1400/08/09"/>
    <x v="170"/>
    <n v="10003"/>
    <x v="79"/>
    <n v="2854"/>
    <n v="2854"/>
    <n v="2854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10018"/>
    <x v="95"/>
    <n v="-398"/>
    <n v="-398"/>
    <n v="0"/>
    <n v="398"/>
    <n v="0"/>
    <n v="398"/>
    <n v="398"/>
    <n v="0"/>
    <n v="0"/>
    <n v="0"/>
    <n v="0"/>
    <n v="0"/>
    <n v="0"/>
    <n v="68606"/>
  </r>
  <r>
    <n v="66"/>
    <x v="7"/>
    <s v="00/08/09"/>
    <s v="1400/08/09"/>
    <x v="170"/>
    <n v="10003"/>
    <x v="79"/>
    <n v="2135"/>
    <n v="2135"/>
    <n v="2135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10003"/>
    <x v="79"/>
    <n v="-2108"/>
    <n v="-2108"/>
    <n v="0"/>
    <n v="2108"/>
    <n v="0"/>
    <n v="2108"/>
    <n v="2108"/>
    <n v="0"/>
    <n v="0"/>
    <n v="0"/>
    <n v="0"/>
    <n v="0"/>
    <n v="0"/>
    <n v="68606"/>
  </r>
  <r>
    <n v="66"/>
    <x v="7"/>
    <s v="00/08/09"/>
    <s v="1400/08/09"/>
    <x v="170"/>
    <n v="10018"/>
    <x v="95"/>
    <n v="434"/>
    <n v="434"/>
    <n v="434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009"/>
    <x v="66"/>
    <n v="-100"/>
    <n v="-100"/>
    <n v="0"/>
    <n v="100"/>
    <n v="0"/>
    <n v="100"/>
    <n v="100"/>
    <n v="0"/>
    <n v="0"/>
    <n v="0"/>
    <n v="0"/>
    <n v="0"/>
    <n v="0"/>
    <n v="68606"/>
  </r>
  <r>
    <n v="66"/>
    <x v="7"/>
    <s v="00/08/09"/>
    <s v="1400/08/09"/>
    <x v="170"/>
    <n v="30198"/>
    <x v="124"/>
    <n v="84"/>
    <n v="84"/>
    <n v="84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10069"/>
    <x v="68"/>
    <n v="-1000"/>
    <n v="-1000"/>
    <n v="0"/>
    <n v="1000"/>
    <n v="0"/>
    <n v="1000"/>
    <n v="1000"/>
    <n v="0"/>
    <n v="0"/>
    <n v="0"/>
    <n v="0"/>
    <n v="0"/>
    <n v="0"/>
    <n v="68606"/>
  </r>
  <r>
    <n v="66"/>
    <x v="7"/>
    <s v="00/08/09"/>
    <s v="1400/08/09"/>
    <x v="170"/>
    <n v="30186"/>
    <x v="102"/>
    <n v="984"/>
    <n v="984"/>
    <n v="984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04"/>
    <x v="2"/>
    <n v="-4496"/>
    <n v="-4496"/>
    <n v="0"/>
    <n v="4496"/>
    <n v="0"/>
    <n v="4496"/>
    <n v="4496"/>
    <n v="0"/>
    <n v="0"/>
    <n v="0"/>
    <n v="0"/>
    <n v="0"/>
    <n v="0"/>
    <n v="68606"/>
  </r>
  <r>
    <n v="66"/>
    <x v="7"/>
    <s v="00/08/10"/>
    <s v="1400/08/10"/>
    <x v="171"/>
    <n v="30004"/>
    <x v="2"/>
    <n v="4399"/>
    <n v="4399"/>
    <n v="4399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140"/>
    <x v="29"/>
    <n v="-1657"/>
    <n v="-1657"/>
    <n v="0"/>
    <n v="1657"/>
    <n v="0"/>
    <n v="1657"/>
    <n v="1657"/>
    <n v="0"/>
    <n v="0"/>
    <n v="0"/>
    <n v="0"/>
    <n v="0"/>
    <n v="0"/>
    <n v="68606"/>
  </r>
  <r>
    <n v="66"/>
    <x v="7"/>
    <s v="00/08/10"/>
    <s v="1400/08/10"/>
    <x v="171"/>
    <n v="30191"/>
    <x v="114"/>
    <n v="242"/>
    <n v="242"/>
    <n v="242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03"/>
    <x v="65"/>
    <n v="-948"/>
    <n v="-948"/>
    <n v="0"/>
    <n v="948"/>
    <n v="0"/>
    <n v="948"/>
    <n v="948"/>
    <n v="0"/>
    <n v="0"/>
    <n v="0"/>
    <n v="0"/>
    <n v="0"/>
    <n v="0"/>
    <n v="68606"/>
  </r>
  <r>
    <n v="66"/>
    <x v="7"/>
    <s v="00/08/10"/>
    <s v="1400/08/10"/>
    <x v="171"/>
    <n v="10055"/>
    <x v="80"/>
    <n v="7366"/>
    <n v="7366"/>
    <n v="7366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10003"/>
    <x v="79"/>
    <n v="-3313"/>
    <n v="-3313"/>
    <n v="0"/>
    <n v="3313"/>
    <n v="0"/>
    <n v="3313"/>
    <n v="3313"/>
    <n v="0"/>
    <n v="0"/>
    <n v="0"/>
    <n v="0"/>
    <n v="0"/>
    <n v="0"/>
    <n v="68606"/>
  </r>
  <r>
    <n v="66"/>
    <x v="7"/>
    <s v="00/08/10"/>
    <s v="1400/08/10"/>
    <x v="171"/>
    <n v="10003"/>
    <x v="79"/>
    <n v="2300"/>
    <n v="2300"/>
    <n v="2300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10026"/>
    <x v="81"/>
    <n v="-2135"/>
    <n v="-2135"/>
    <n v="0"/>
    <n v="2135"/>
    <n v="0"/>
    <n v="2135"/>
    <n v="2135"/>
    <n v="0"/>
    <n v="0"/>
    <n v="0"/>
    <n v="0"/>
    <n v="0"/>
    <n v="0"/>
    <n v="68606"/>
  </r>
  <r>
    <n v="66"/>
    <x v="7"/>
    <s v="00/08/10"/>
    <s v="1400/08/10"/>
    <x v="171"/>
    <n v="30003"/>
    <x v="65"/>
    <n v="120"/>
    <n v="120"/>
    <n v="120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66"/>
    <x v="77"/>
    <n v="4482"/>
    <n v="4482"/>
    <n v="4482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03"/>
    <x v="65"/>
    <n v="859"/>
    <n v="859"/>
    <n v="859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191"/>
    <x v="114"/>
    <n v="178"/>
    <n v="178"/>
    <n v="178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81"/>
    <x v="67"/>
    <n v="1868"/>
    <n v="1868"/>
    <n v="1868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190"/>
    <x v="111"/>
    <n v="-500"/>
    <n v="-500"/>
    <n v="0"/>
    <n v="500"/>
    <n v="0"/>
    <n v="500"/>
    <n v="500"/>
    <n v="0"/>
    <n v="0"/>
    <n v="0"/>
    <n v="0"/>
    <n v="0"/>
    <n v="0"/>
    <n v="68606"/>
  </r>
  <r>
    <n v="66"/>
    <x v="7"/>
    <s v="00/08/11"/>
    <s v="1400/08/11"/>
    <x v="172"/>
    <n v="10048"/>
    <x v="51"/>
    <n v="563"/>
    <n v="563"/>
    <n v="563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140"/>
    <x v="29"/>
    <n v="-824"/>
    <n v="-824"/>
    <n v="0"/>
    <n v="824"/>
    <n v="0"/>
    <n v="824"/>
    <n v="824"/>
    <n v="0"/>
    <n v="0"/>
    <n v="0"/>
    <n v="0"/>
    <n v="0"/>
    <n v="0"/>
    <n v="68606"/>
  </r>
  <r>
    <n v="66"/>
    <x v="7"/>
    <s v="00/08/11"/>
    <s v="1400/08/11"/>
    <x v="172"/>
    <n v="30009"/>
    <x v="66"/>
    <n v="917"/>
    <n v="917"/>
    <n v="917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081"/>
    <x v="67"/>
    <n v="-1835"/>
    <n v="-1835"/>
    <n v="0"/>
    <n v="1835"/>
    <n v="0"/>
    <n v="1835"/>
    <n v="1835"/>
    <n v="0"/>
    <n v="0"/>
    <n v="0"/>
    <n v="0"/>
    <n v="0"/>
    <n v="0"/>
    <n v="68606"/>
  </r>
  <r>
    <n v="66"/>
    <x v="7"/>
    <s v="00/08/11"/>
    <s v="1400/08/11"/>
    <x v="172"/>
    <n v="30009"/>
    <x v="66"/>
    <n v="581"/>
    <n v="581"/>
    <n v="581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140"/>
    <x v="29"/>
    <n v="-11"/>
    <n v="-11"/>
    <n v="0"/>
    <n v="11"/>
    <n v="0"/>
    <n v="11"/>
    <n v="11"/>
    <n v="0"/>
    <n v="0"/>
    <n v="0"/>
    <n v="0"/>
    <n v="0"/>
    <n v="0"/>
    <n v="68606"/>
  </r>
  <r>
    <n v="67"/>
    <x v="7"/>
    <s v="00/08/11"/>
    <s v="1400/08/11"/>
    <x v="172"/>
    <n v="30127"/>
    <x v="99"/>
    <n v="14952"/>
    <n v="14952"/>
    <n v="14952"/>
    <n v="0"/>
    <n v="0"/>
    <n v="0"/>
    <n v="0"/>
    <n v="0"/>
    <n v="0"/>
    <n v="0"/>
    <n v="0"/>
    <n v="0"/>
    <n v="0"/>
    <n v="53654"/>
  </r>
  <r>
    <n v="68"/>
    <x v="7"/>
    <s v="00/08/11"/>
    <s v="1400/08/11"/>
    <x v="172"/>
    <n v="30127"/>
    <x v="99"/>
    <n v="-1713"/>
    <n v="-1713"/>
    <n v="0"/>
    <n v="1713"/>
    <n v="0"/>
    <n v="1713"/>
    <n v="1713"/>
    <n v="0"/>
    <n v="0"/>
    <n v="0"/>
    <n v="0"/>
    <n v="0"/>
    <n v="0"/>
    <n v="55367"/>
  </r>
  <r>
    <n v="68"/>
    <x v="7"/>
    <s v="00/08/11"/>
    <s v="1400/08/11"/>
    <x v="172"/>
    <n v="10048"/>
    <x v="51"/>
    <n v="122"/>
    <n v="122"/>
    <n v="122"/>
    <n v="0"/>
    <n v="0"/>
    <n v="0"/>
    <n v="0"/>
    <n v="0"/>
    <n v="0"/>
    <n v="0"/>
    <n v="0"/>
    <n v="0"/>
    <n v="0"/>
    <n v="55367"/>
  </r>
  <r>
    <n v="68"/>
    <x v="7"/>
    <s v="00/08/11"/>
    <s v="1400/08/11"/>
    <x v="172"/>
    <n v="10048"/>
    <x v="51"/>
    <n v="-844"/>
    <n v="-844"/>
    <n v="0"/>
    <n v="844"/>
    <n v="0"/>
    <n v="844"/>
    <n v="844"/>
    <n v="0"/>
    <n v="0"/>
    <n v="0"/>
    <n v="0"/>
    <n v="0"/>
    <n v="0"/>
    <n v="55367"/>
  </r>
  <r>
    <n v="68"/>
    <x v="7"/>
    <s v="00/08/11"/>
    <s v="1400/08/11"/>
    <x v="172"/>
    <n v="10003"/>
    <x v="79"/>
    <n v="-2056"/>
    <n v="-2056"/>
    <n v="0"/>
    <n v="2056"/>
    <n v="0"/>
    <n v="2056"/>
    <n v="2056"/>
    <n v="0"/>
    <n v="0"/>
    <n v="0"/>
    <n v="0"/>
    <n v="0"/>
    <n v="0"/>
    <n v="55367"/>
  </r>
  <r>
    <n v="68"/>
    <x v="7"/>
    <s v="00/08/11"/>
    <s v="1400/08/11"/>
    <x v="172"/>
    <n v="10127"/>
    <x v="104"/>
    <n v="-525"/>
    <n v="-525"/>
    <n v="0"/>
    <n v="525"/>
    <n v="0"/>
    <n v="525"/>
    <n v="525"/>
    <n v="0"/>
    <n v="0"/>
    <n v="0"/>
    <n v="0"/>
    <n v="0"/>
    <n v="0"/>
    <n v="55367"/>
  </r>
  <r>
    <n v="69"/>
    <x v="7"/>
    <s v="00/08/11"/>
    <s v="1400/08/11"/>
    <x v="172"/>
    <n v="30127"/>
    <x v="99"/>
    <n v="-14382"/>
    <n v="-1253"/>
    <n v="0"/>
    <n v="14382"/>
    <n v="13129"/>
    <n v="14382"/>
    <n v="1253"/>
    <n v="13129"/>
    <n v="13129"/>
    <n v="25.435983564813796"/>
    <n v="10.435983564813796"/>
    <n v="333949.02822244033"/>
    <n v="333949.02822244033"/>
    <n v="69749"/>
  </r>
  <r>
    <n v="69"/>
    <x v="7"/>
    <s v="00/08/11"/>
    <s v="1400/08/11"/>
    <x v="172"/>
    <n v="30009"/>
    <x v="66"/>
    <n v="-4831"/>
    <n v="0"/>
    <n v="0"/>
    <n v="4831"/>
    <n v="4831"/>
    <n v="4831"/>
    <n v="0"/>
    <n v="4831"/>
    <n v="4831"/>
    <n v="25.435983564813796"/>
    <n v="10.435983564813796"/>
    <n v="122881.23660161544"/>
    <n v="122881.23660161544"/>
    <n v="69749"/>
  </r>
  <r>
    <n v="69"/>
    <x v="7"/>
    <s v="00/08/12"/>
    <s v="1400/08/12"/>
    <x v="173"/>
    <n v="30004"/>
    <x v="2"/>
    <n v="2138"/>
    <n v="2138"/>
    <n v="2138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30004"/>
    <x v="2"/>
    <n v="-3652"/>
    <n v="0"/>
    <n v="0"/>
    <n v="3652"/>
    <n v="3652"/>
    <n v="3652"/>
    <n v="0"/>
    <n v="3652"/>
    <n v="3652"/>
    <n v="24.435983564813796"/>
    <n v="9.435983564813796"/>
    <n v="89240.211978699983"/>
    <n v="89240.211978699983"/>
    <n v="69749"/>
  </r>
  <r>
    <n v="69"/>
    <x v="7"/>
    <s v="00/08/12"/>
    <s v="1400/08/12"/>
    <x v="173"/>
    <n v="10104"/>
    <x v="76"/>
    <n v="2610"/>
    <n v="2610"/>
    <n v="2610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30009"/>
    <x v="66"/>
    <n v="-1794"/>
    <n v="0"/>
    <n v="0"/>
    <n v="1794"/>
    <n v="1794"/>
    <n v="1794"/>
    <n v="0"/>
    <n v="1794"/>
    <n v="1794"/>
    <n v="24.435983564813796"/>
    <n v="9.435983564813796"/>
    <n v="43838.15451527595"/>
    <n v="43838.15451527595"/>
    <n v="69749"/>
  </r>
  <r>
    <n v="69"/>
    <x v="7"/>
    <s v="00/08/12"/>
    <s v="1400/08/12"/>
    <x v="173"/>
    <n v="10048"/>
    <x v="51"/>
    <n v="344"/>
    <n v="344"/>
    <n v="344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30140"/>
    <x v="29"/>
    <n v="-9"/>
    <n v="0"/>
    <n v="0"/>
    <n v="9"/>
    <n v="9"/>
    <n v="9"/>
    <n v="0"/>
    <n v="9"/>
    <n v="9"/>
    <n v="24.435983564813796"/>
    <n v="9.435983564813796"/>
    <n v="219.92385208332416"/>
    <n v="219.92385208332416"/>
    <n v="69749"/>
  </r>
  <r>
    <n v="69"/>
    <x v="7"/>
    <s v="00/08/12"/>
    <s v="1400/08/12"/>
    <x v="173"/>
    <n v="30004"/>
    <x v="2"/>
    <n v="2459"/>
    <n v="2459"/>
    <n v="2459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29"/>
    <x v="78"/>
    <n v="-1607"/>
    <n v="0"/>
    <n v="0"/>
    <n v="1607"/>
    <n v="1607"/>
    <n v="1607"/>
    <n v="0"/>
    <n v="1607"/>
    <n v="1607"/>
    <n v="24.435983564813796"/>
    <n v="9.435983564813796"/>
    <n v="39268.62558865577"/>
    <n v="39268.62558865577"/>
    <n v="69749"/>
  </r>
  <r>
    <n v="69"/>
    <x v="7"/>
    <s v="00/08/12"/>
    <s v="1400/08/12"/>
    <x v="173"/>
    <n v="30099"/>
    <x v="11"/>
    <n v="5817"/>
    <n v="5817"/>
    <n v="5817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03"/>
    <x v="79"/>
    <n v="-3977"/>
    <n v="0"/>
    <n v="0"/>
    <n v="3977"/>
    <n v="3977"/>
    <n v="3977"/>
    <n v="0"/>
    <n v="3977"/>
    <n v="3977"/>
    <n v="24.435983564813796"/>
    <n v="9.435983564813796"/>
    <n v="97181.906637264474"/>
    <n v="97181.906637264474"/>
    <n v="69749"/>
  </r>
  <r>
    <n v="69"/>
    <x v="7"/>
    <s v="00/08/12"/>
    <s v="1400/08/12"/>
    <x v="173"/>
    <n v="30099"/>
    <x v="11"/>
    <n v="2583"/>
    <n v="2583"/>
    <n v="2583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20"/>
    <x v="40"/>
    <n v="-482"/>
    <n v="0"/>
    <n v="0"/>
    <n v="482"/>
    <n v="482"/>
    <n v="482"/>
    <n v="0"/>
    <n v="482"/>
    <n v="482"/>
    <n v="24.435983564813796"/>
    <n v="9.435983564813796"/>
    <n v="11778.14407824025"/>
    <n v="11778.14407824025"/>
    <n v="69749"/>
  </r>
  <r>
    <n v="69"/>
    <x v="7"/>
    <s v="00/08/12"/>
    <s v="1400/08/12"/>
    <x v="173"/>
    <n v="10084"/>
    <x v="37"/>
    <n v="200"/>
    <n v="200"/>
    <n v="200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26"/>
    <x v="81"/>
    <n v="-1357"/>
    <n v="0"/>
    <n v="0"/>
    <n v="1357"/>
    <n v="1357"/>
    <n v="1357"/>
    <n v="0"/>
    <n v="1357"/>
    <n v="1357"/>
    <n v="24.435983564813796"/>
    <n v="9.435983564813796"/>
    <n v="33159.629697452321"/>
    <n v="33159.629697452321"/>
    <n v="69749"/>
  </r>
  <r>
    <n v="69"/>
    <x v="7"/>
    <s v="00/08/13"/>
    <s v="1400/08/13"/>
    <x v="174"/>
    <n v="30009"/>
    <x v="66"/>
    <n v="1494"/>
    <n v="1494"/>
    <n v="1494"/>
    <n v="0"/>
    <n v="0"/>
    <n v="0"/>
    <n v="0"/>
    <n v="0"/>
    <n v="0"/>
    <n v="0"/>
    <n v="0"/>
    <n v="0"/>
    <n v="0"/>
    <n v="69749"/>
  </r>
  <r>
    <n v="69"/>
    <x v="7"/>
    <s v="00/08/13"/>
    <s v="1400/08/13"/>
    <x v="174"/>
    <n v="30058"/>
    <x v="63"/>
    <n v="-1490"/>
    <n v="0"/>
    <n v="0"/>
    <n v="1490"/>
    <n v="1490"/>
    <n v="1490"/>
    <n v="0"/>
    <n v="1490"/>
    <n v="1490"/>
    <n v="23.435983564813796"/>
    <n v="8.435983564813796"/>
    <n v="34919.615511572556"/>
    <n v="34919.615511572556"/>
    <n v="69749"/>
  </r>
  <r>
    <n v="69"/>
    <x v="7"/>
    <s v="00/08/13"/>
    <s v="1400/08/13"/>
    <x v="174"/>
    <n v="30009"/>
    <x v="66"/>
    <n v="-1274"/>
    <n v="0"/>
    <n v="0"/>
    <n v="1274"/>
    <n v="1274"/>
    <n v="1274"/>
    <n v="0"/>
    <n v="1274"/>
    <n v="1274"/>
    <n v="23.435983564813796"/>
    <n v="8.435983564813796"/>
    <n v="29857.443061572776"/>
    <n v="29857.443061572776"/>
    <n v="69749"/>
  </r>
  <r>
    <n v="69"/>
    <x v="7"/>
    <s v="00/08/13"/>
    <s v="1400/08/13"/>
    <x v="174"/>
    <n v="10003"/>
    <x v="79"/>
    <n v="-1689"/>
    <n v="0"/>
    <n v="0"/>
    <n v="1689"/>
    <n v="1689"/>
    <n v="1689"/>
    <n v="0"/>
    <n v="1689"/>
    <n v="1689"/>
    <n v="23.435983564813796"/>
    <n v="8.435983564813796"/>
    <n v="39583.376240970501"/>
    <n v="39583.376240970501"/>
    <n v="69749"/>
  </r>
  <r>
    <n v="69"/>
    <x v="7"/>
    <s v="00/08/15"/>
    <s v="1400/08/15"/>
    <x v="175"/>
    <n v="30146"/>
    <x v="64"/>
    <n v="1678"/>
    <n v="1678"/>
    <n v="1678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004"/>
    <x v="2"/>
    <n v="-2971"/>
    <n v="0"/>
    <n v="0"/>
    <n v="2971"/>
    <n v="2971"/>
    <n v="2971"/>
    <n v="0"/>
    <n v="2971"/>
    <n v="2971"/>
    <n v="21.435983564813796"/>
    <n v="6.435983564813796"/>
    <n v="63686.307171061788"/>
    <n v="63686.307171061788"/>
    <n v="69749"/>
  </r>
  <r>
    <n v="69"/>
    <x v="7"/>
    <s v="00/08/15"/>
    <s v="1400/08/15"/>
    <x v="175"/>
    <n v="10126"/>
    <x v="103"/>
    <n v="146"/>
    <n v="146"/>
    <n v="146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146"/>
    <x v="64"/>
    <n v="-3129"/>
    <n v="0"/>
    <n v="0"/>
    <n v="3129"/>
    <n v="3129"/>
    <n v="3129"/>
    <n v="0"/>
    <n v="3129"/>
    <n v="3129"/>
    <n v="21.435983564813796"/>
    <n v="6.435983564813796"/>
    <n v="67073.192574302375"/>
    <n v="67073.192574302375"/>
    <n v="69749"/>
  </r>
  <r>
    <n v="69"/>
    <x v="7"/>
    <s v="00/08/15"/>
    <s v="1400/08/15"/>
    <x v="175"/>
    <n v="30146"/>
    <x v="64"/>
    <n v="482"/>
    <n v="482"/>
    <n v="482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186"/>
    <x v="102"/>
    <n v="-2006"/>
    <n v="0"/>
    <n v="0"/>
    <n v="2006"/>
    <n v="2006"/>
    <n v="2006"/>
    <n v="0"/>
    <n v="2006"/>
    <n v="2006"/>
    <n v="21.435983564813796"/>
    <n v="6.435983564813796"/>
    <n v="43000.583031016475"/>
    <n v="43000.583031016475"/>
    <n v="69749"/>
  </r>
  <r>
    <n v="69"/>
    <x v="7"/>
    <s v="00/08/15"/>
    <s v="1400/08/15"/>
    <x v="175"/>
    <n v="30146"/>
    <x v="64"/>
    <n v="1093"/>
    <n v="1093"/>
    <n v="1093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10003"/>
    <x v="79"/>
    <n v="-2421"/>
    <n v="0"/>
    <n v="0"/>
    <n v="2421"/>
    <n v="2421"/>
    <n v="2421"/>
    <n v="0"/>
    <n v="2421"/>
    <n v="2421"/>
    <n v="21.435983564813796"/>
    <n v="6.435983564813796"/>
    <n v="51896.5162104142"/>
    <n v="51896.5162104142"/>
    <n v="69749"/>
  </r>
  <r>
    <n v="69"/>
    <x v="7"/>
    <s v="00/08/15"/>
    <s v="1400/08/15"/>
    <x v="175"/>
    <n v="30146"/>
    <x v="64"/>
    <n v="3129"/>
    <n v="3129"/>
    <n v="3129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10027"/>
    <x v="72"/>
    <n v="-1898"/>
    <n v="0"/>
    <n v="0"/>
    <n v="1898"/>
    <n v="1898"/>
    <n v="1898"/>
    <n v="0"/>
    <n v="1898"/>
    <n v="1898"/>
    <n v="21.435983564813796"/>
    <n v="6.435983564813796"/>
    <n v="40685.496806016585"/>
    <n v="40685.496806016585"/>
    <n v="69749"/>
  </r>
  <r>
    <n v="69"/>
    <x v="7"/>
    <s v="00/08/15"/>
    <s v="1400/08/15"/>
    <x v="175"/>
    <n v="30186"/>
    <x v="102"/>
    <n v="2379"/>
    <n v="2379"/>
    <n v="2379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10126"/>
    <x v="103"/>
    <n v="-1522"/>
    <n v="0"/>
    <n v="0"/>
    <n v="1522"/>
    <n v="1522"/>
    <n v="1522"/>
    <n v="0"/>
    <n v="1522"/>
    <n v="1522"/>
    <n v="21.435983564813796"/>
    <n v="6.435983564813796"/>
    <n v="32625.566985646597"/>
    <n v="32625.566985646597"/>
    <n v="69749"/>
  </r>
  <r>
    <n v="69"/>
    <x v="7"/>
    <s v="00/08/15"/>
    <s v="1400/08/15"/>
    <x v="175"/>
    <n v="30140"/>
    <x v="29"/>
    <n v="1500"/>
    <n v="1500"/>
    <n v="1500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191"/>
    <x v="114"/>
    <n v="1309"/>
    <n v="1309"/>
    <n v="1309"/>
    <n v="0"/>
    <n v="0"/>
    <n v="0"/>
    <n v="0"/>
    <n v="0"/>
    <n v="0"/>
    <n v="0"/>
    <n v="0"/>
    <n v="0"/>
    <n v="0"/>
    <n v="69749"/>
  </r>
  <r>
    <n v="69"/>
    <x v="7"/>
    <s v="00/08/16"/>
    <s v="1400/08/16"/>
    <x v="176"/>
    <n v="30081"/>
    <x v="67"/>
    <n v="-2259"/>
    <n v="0"/>
    <n v="0"/>
    <n v="2259"/>
    <n v="2259"/>
    <n v="2259"/>
    <n v="0"/>
    <n v="2259"/>
    <n v="2259"/>
    <n v="20.435983564813796"/>
    <n v="5.435983564813796"/>
    <n v="46164.886872914365"/>
    <n v="46164.886872914365"/>
    <n v="69749"/>
  </r>
  <r>
    <n v="69"/>
    <x v="7"/>
    <s v="00/08/16"/>
    <s v="1400/08/16"/>
    <x v="176"/>
    <n v="30198"/>
    <x v="124"/>
    <n v="31"/>
    <n v="31"/>
    <n v="31"/>
    <n v="0"/>
    <n v="0"/>
    <n v="0"/>
    <n v="0"/>
    <n v="0"/>
    <n v="0"/>
    <n v="0"/>
    <n v="0"/>
    <n v="0"/>
    <n v="0"/>
    <n v="69749"/>
  </r>
  <r>
    <n v="69"/>
    <x v="7"/>
    <s v="00/08/16"/>
    <s v="1400/08/16"/>
    <x v="176"/>
    <n v="30198"/>
    <x v="124"/>
    <n v="-745"/>
    <n v="0"/>
    <n v="0"/>
    <n v="745"/>
    <n v="745"/>
    <n v="745"/>
    <n v="0"/>
    <n v="745"/>
    <n v="745"/>
    <n v="20.435983564813796"/>
    <n v="5.435983564813796"/>
    <n v="15224.807755786278"/>
    <n v="15224.807755786278"/>
    <n v="69749"/>
  </r>
  <r>
    <n v="69"/>
    <x v="7"/>
    <s v="00/08/16"/>
    <s v="1400/08/16"/>
    <x v="176"/>
    <n v="30198"/>
    <x v="124"/>
    <n v="70"/>
    <n v="70"/>
    <n v="70"/>
    <n v="0"/>
    <n v="0"/>
    <n v="0"/>
    <n v="0"/>
    <n v="0"/>
    <n v="0"/>
    <n v="0"/>
    <n v="0"/>
    <n v="0"/>
    <n v="0"/>
    <n v="69749"/>
  </r>
  <r>
    <n v="69"/>
    <x v="7"/>
    <s v="00/08/16"/>
    <s v="1400/08/16"/>
    <x v="176"/>
    <n v="30099"/>
    <x v="11"/>
    <n v="-3032"/>
    <n v="0"/>
    <n v="0"/>
    <n v="3032"/>
    <n v="3032"/>
    <n v="3032"/>
    <n v="0"/>
    <n v="3032"/>
    <n v="3032"/>
    <n v="20.435983564813796"/>
    <n v="5.435983564813796"/>
    <n v="61961.902168515429"/>
    <n v="61961.902168515429"/>
    <n v="69749"/>
  </r>
  <r>
    <n v="69"/>
    <x v="7"/>
    <s v="00/08/16"/>
    <s v="1400/08/16"/>
    <x v="176"/>
    <n v="10055"/>
    <x v="80"/>
    <n v="-4828"/>
    <n v="0"/>
    <n v="0"/>
    <n v="4828"/>
    <n v="4828"/>
    <n v="4828"/>
    <n v="0"/>
    <n v="4828"/>
    <n v="4828"/>
    <n v="20.435983564813796"/>
    <n v="5.435983564813796"/>
    <n v="98664.928650921007"/>
    <n v="98664.928650921007"/>
    <n v="69749"/>
  </r>
  <r>
    <n v="69"/>
    <x v="7"/>
    <s v="00/08/16"/>
    <s v="1400/08/16"/>
    <x v="176"/>
    <n v="10070"/>
    <x v="53"/>
    <n v="-595"/>
    <n v="0"/>
    <n v="0"/>
    <n v="595"/>
    <n v="595"/>
    <n v="595"/>
    <n v="0"/>
    <n v="595"/>
    <n v="595"/>
    <n v="20.435983564813796"/>
    <n v="5.435983564813796"/>
    <n v="12159.410221064209"/>
    <n v="12159.410221064209"/>
    <n v="69749"/>
  </r>
  <r>
    <n v="69"/>
    <x v="7"/>
    <s v="00/08/16"/>
    <s v="1400/08/16"/>
    <x v="176"/>
    <n v="30066"/>
    <x v="77"/>
    <n v="-5355"/>
    <n v="0"/>
    <n v="0"/>
    <n v="5355"/>
    <n v="5355"/>
    <n v="5355"/>
    <n v="0"/>
    <n v="5355"/>
    <n v="5355"/>
    <n v="20.435983564813796"/>
    <n v="5.435983564813796"/>
    <n v="109434.69198957787"/>
    <n v="109434.69198957787"/>
    <n v="69749"/>
  </r>
  <r>
    <n v="69"/>
    <x v="7"/>
    <s v="00/08/17"/>
    <s v="1400/08/17"/>
    <x v="177"/>
    <n v="10109"/>
    <x v="10"/>
    <n v="59"/>
    <n v="59"/>
    <n v="59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022"/>
    <x v="75"/>
    <n v="-4015"/>
    <n v="0"/>
    <n v="0"/>
    <n v="4015"/>
    <n v="4015"/>
    <n v="4015"/>
    <n v="0"/>
    <n v="4015"/>
    <n v="4015"/>
    <n v="19.435983564813796"/>
    <n v="4.435983564813796"/>
    <n v="78035.474012727384"/>
    <n v="78035.474012727384"/>
    <n v="69749"/>
  </r>
  <r>
    <n v="69"/>
    <x v="7"/>
    <s v="00/08/17"/>
    <s v="1400/08/17"/>
    <x v="177"/>
    <n v="30202"/>
    <x v="125"/>
    <n v="429"/>
    <n v="429"/>
    <n v="429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012"/>
    <x v="59"/>
    <n v="-1826"/>
    <n v="0"/>
    <n v="0"/>
    <n v="1826"/>
    <n v="1826"/>
    <n v="1826"/>
    <n v="0"/>
    <n v="1826"/>
    <n v="1826"/>
    <n v="19.435983564813796"/>
    <n v="4.435983564813796"/>
    <n v="35490.105989349991"/>
    <n v="35490.105989349991"/>
    <n v="69749"/>
  </r>
  <r>
    <n v="69"/>
    <x v="7"/>
    <s v="00/08/17"/>
    <s v="1400/08/17"/>
    <x v="177"/>
    <n v="10109"/>
    <x v="10"/>
    <n v="519"/>
    <n v="519"/>
    <n v="519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202"/>
    <x v="125"/>
    <n v="-428"/>
    <n v="0"/>
    <n v="0"/>
    <n v="428"/>
    <n v="428"/>
    <n v="428"/>
    <n v="0"/>
    <n v="428"/>
    <n v="428"/>
    <n v="19.435983564813796"/>
    <n v="4.435983564813796"/>
    <n v="8318.6009657403047"/>
    <n v="8318.6009657403047"/>
    <n v="69749"/>
  </r>
  <r>
    <n v="69"/>
    <x v="7"/>
    <s v="00/08/17"/>
    <s v="1400/08/17"/>
    <x v="177"/>
    <n v="30022"/>
    <x v="75"/>
    <n v="4832"/>
    <n v="4832"/>
    <n v="4832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164"/>
    <x v="12"/>
    <n v="-994"/>
    <n v="0"/>
    <n v="0"/>
    <n v="994"/>
    <n v="994"/>
    <n v="994"/>
    <n v="0"/>
    <n v="994"/>
    <n v="994"/>
    <n v="19.435983564813796"/>
    <n v="4.435983564813796"/>
    <n v="19319.367663424913"/>
    <n v="19319.367663424913"/>
    <n v="69749"/>
  </r>
  <r>
    <n v="69"/>
    <x v="7"/>
    <s v="00/08/17"/>
    <s v="1400/08/17"/>
    <x v="177"/>
    <n v="30164"/>
    <x v="12"/>
    <n v="1004"/>
    <n v="1004"/>
    <n v="1004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10026"/>
    <x v="81"/>
    <n v="-2092"/>
    <n v="0"/>
    <n v="0"/>
    <n v="2092"/>
    <n v="2092"/>
    <n v="2092"/>
    <n v="0"/>
    <n v="2092"/>
    <n v="2092"/>
    <n v="19.435983564813796"/>
    <n v="4.435983564813796"/>
    <n v="40660.077617590461"/>
    <n v="40660.077617590461"/>
    <n v="69749"/>
  </r>
  <r>
    <n v="70"/>
    <x v="7"/>
    <s v="00/08/17"/>
    <s v="1400/08/17"/>
    <x v="177"/>
    <n v="30127"/>
    <x v="99"/>
    <n v="12718"/>
    <n v="12718"/>
    <n v="12718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10003"/>
    <x v="79"/>
    <n v="-2002"/>
    <n v="0"/>
    <n v="0"/>
    <n v="2002"/>
    <n v="2002"/>
    <n v="2002"/>
    <n v="0"/>
    <n v="2002"/>
    <n v="2002"/>
    <n v="19.435983564813796"/>
    <n v="4.435983564813796"/>
    <n v="38910.83909675722"/>
    <n v="38910.83909675722"/>
    <n v="57031"/>
  </r>
  <r>
    <n v="70"/>
    <x v="7"/>
    <s v="00/08/17"/>
    <s v="1400/08/17"/>
    <x v="177"/>
    <n v="10003"/>
    <x v="79"/>
    <n v="2586"/>
    <n v="2586"/>
    <n v="2586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30004"/>
    <x v="2"/>
    <n v="-5113"/>
    <n v="0"/>
    <n v="0"/>
    <n v="5113"/>
    <n v="5113"/>
    <n v="5113"/>
    <n v="0"/>
    <n v="5113"/>
    <n v="5113"/>
    <n v="19.435983564813796"/>
    <n v="4.435983564813796"/>
    <n v="99376.183966892946"/>
    <n v="99376.183966892946"/>
    <n v="57031"/>
  </r>
  <r>
    <n v="70"/>
    <x v="7"/>
    <s v="00/08/17"/>
    <s v="1400/08/17"/>
    <x v="177"/>
    <n v="10057"/>
    <x v="33"/>
    <n v="1010"/>
    <n v="1010"/>
    <n v="1010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10057"/>
    <x v="33"/>
    <n v="-1901"/>
    <n v="0"/>
    <n v="0"/>
    <n v="1901"/>
    <n v="1901"/>
    <n v="1901"/>
    <n v="0"/>
    <n v="1901"/>
    <n v="1901"/>
    <n v="19.435983564813796"/>
    <n v="4.435983564813796"/>
    <n v="36947.804756711026"/>
    <n v="36947.804756711026"/>
    <n v="57031"/>
  </r>
  <r>
    <n v="70"/>
    <x v="7"/>
    <s v="00/08/17"/>
    <s v="1400/08/17"/>
    <x v="177"/>
    <n v="10057"/>
    <x v="33"/>
    <n v="997"/>
    <n v="997"/>
    <n v="997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50016"/>
    <x v="31"/>
    <n v="10000"/>
    <n v="10000"/>
    <n v="10000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30009"/>
    <x v="66"/>
    <n v="-2036"/>
    <n v="0"/>
    <n v="0"/>
    <n v="2036"/>
    <n v="2036"/>
    <n v="2036"/>
    <n v="0"/>
    <n v="2036"/>
    <n v="2036"/>
    <n v="18.435983564813796"/>
    <n v="3.435983564813796"/>
    <n v="37535.662537960889"/>
    <n v="37535.662537960889"/>
    <n v="57031"/>
  </r>
  <r>
    <n v="70"/>
    <x v="7"/>
    <s v="00/08/18"/>
    <s v="1400/08/18"/>
    <x v="178"/>
    <n v="10055"/>
    <x v="80"/>
    <n v="6428"/>
    <n v="6428"/>
    <n v="6428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50016"/>
    <x v="31"/>
    <n v="-4812"/>
    <n v="0"/>
    <n v="0"/>
    <n v="4812"/>
    <n v="4812"/>
    <n v="4812"/>
    <n v="0"/>
    <n v="4812"/>
    <n v="4812"/>
    <n v="18.435983564813796"/>
    <n v="3.435983564813796"/>
    <n v="88713.952913883986"/>
    <n v="88713.952913883986"/>
    <n v="57031"/>
  </r>
  <r>
    <n v="70"/>
    <x v="7"/>
    <s v="00/08/18"/>
    <s v="1400/08/18"/>
    <x v="178"/>
    <n v="30009"/>
    <x v="66"/>
    <n v="1845"/>
    <n v="1845"/>
    <n v="1845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30004"/>
    <x v="2"/>
    <n v="-1598"/>
    <n v="0"/>
    <n v="0"/>
    <n v="1598"/>
    <n v="1598"/>
    <n v="1598"/>
    <n v="0"/>
    <n v="1598"/>
    <n v="1598"/>
    <n v="18.435983564813796"/>
    <n v="3.435983564813796"/>
    <n v="29460.701736572446"/>
    <n v="29460.701736572446"/>
    <n v="57031"/>
  </r>
  <r>
    <n v="70"/>
    <x v="7"/>
    <s v="00/08/18"/>
    <s v="1400/08/18"/>
    <x v="178"/>
    <n v="30004"/>
    <x v="2"/>
    <n v="5026"/>
    <n v="5026"/>
    <n v="5026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10003"/>
    <x v="79"/>
    <n v="-3994"/>
    <n v="0"/>
    <n v="0"/>
    <n v="3994"/>
    <n v="3994"/>
    <n v="3994"/>
    <n v="0"/>
    <n v="3994"/>
    <n v="3994"/>
    <n v="18.435983564813796"/>
    <n v="3.435983564813796"/>
    <n v="73633.318357866301"/>
    <n v="73633.318357866301"/>
    <n v="57031"/>
  </r>
  <r>
    <n v="70"/>
    <x v="7"/>
    <s v="00/08/18"/>
    <s v="1400/08/18"/>
    <x v="178"/>
    <n v="10055"/>
    <x v="80"/>
    <n v="-4721"/>
    <n v="0"/>
    <n v="0"/>
    <n v="4721"/>
    <n v="4721"/>
    <n v="4721"/>
    <n v="0"/>
    <n v="4721"/>
    <n v="4721"/>
    <n v="18.435983564813796"/>
    <n v="3.435983564813796"/>
    <n v="87036.278409485938"/>
    <n v="87036.278409485938"/>
    <n v="57031"/>
  </r>
  <r>
    <n v="70"/>
    <x v="7"/>
    <s v="00/08/19"/>
    <s v="1400/08/19"/>
    <x v="179"/>
    <n v="30014"/>
    <x v="41"/>
    <n v="891"/>
    <n v="891"/>
    <n v="891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90"/>
    <x v="111"/>
    <n v="-999"/>
    <n v="0"/>
    <n v="0"/>
    <n v="999"/>
    <n v="999"/>
    <n v="999"/>
    <n v="0"/>
    <n v="999"/>
    <n v="999"/>
    <n v="17.435983564813796"/>
    <n v="2.435983564813796"/>
    <n v="17418.547581248982"/>
    <n v="17418.547581248982"/>
    <n v="57031"/>
  </r>
  <r>
    <n v="70"/>
    <x v="7"/>
    <s v="00/08/19"/>
    <s v="1400/08/19"/>
    <x v="179"/>
    <n v="30014"/>
    <x v="41"/>
    <n v="167"/>
    <n v="167"/>
    <n v="167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10029"/>
    <x v="78"/>
    <n v="-743"/>
    <n v="0"/>
    <n v="0"/>
    <n v="743"/>
    <n v="743"/>
    <n v="743"/>
    <n v="0"/>
    <n v="743"/>
    <n v="743"/>
    <n v="17.435983564813796"/>
    <n v="2.435983564813796"/>
    <n v="12954.93578865665"/>
    <n v="12954.93578865665"/>
    <n v="57031"/>
  </r>
  <r>
    <n v="70"/>
    <x v="7"/>
    <s v="00/08/19"/>
    <s v="1400/08/19"/>
    <x v="179"/>
    <n v="10003"/>
    <x v="79"/>
    <n v="2678"/>
    <n v="2678"/>
    <n v="2678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10003"/>
    <x v="79"/>
    <n v="-2521"/>
    <n v="0"/>
    <n v="0"/>
    <n v="2521"/>
    <n v="2521"/>
    <n v="2521"/>
    <n v="0"/>
    <n v="2521"/>
    <n v="2521"/>
    <n v="17.435983564813796"/>
    <n v="2.435983564813796"/>
    <n v="43956.11456689558"/>
    <n v="43956.11456689558"/>
    <n v="57031"/>
  </r>
  <r>
    <n v="70"/>
    <x v="7"/>
    <s v="00/08/19"/>
    <s v="1400/08/19"/>
    <x v="179"/>
    <n v="10003"/>
    <x v="79"/>
    <n v="3230"/>
    <n v="3230"/>
    <n v="3230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014"/>
    <x v="41"/>
    <n v="-4413"/>
    <n v="0"/>
    <n v="0"/>
    <n v="4413"/>
    <n v="4413"/>
    <n v="4413"/>
    <n v="0"/>
    <n v="4413"/>
    <n v="4413"/>
    <n v="17.435983564813796"/>
    <n v="2.435983564813796"/>
    <n v="76944.995471523289"/>
    <n v="76944.995471523289"/>
    <n v="57031"/>
  </r>
  <r>
    <n v="70"/>
    <x v="7"/>
    <s v="00/08/19"/>
    <s v="1400/08/19"/>
    <x v="179"/>
    <n v="30009"/>
    <x v="66"/>
    <n v="1572"/>
    <n v="1572"/>
    <n v="1572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84"/>
    <x v="108"/>
    <n v="778"/>
    <n v="778"/>
    <n v="778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84"/>
    <x v="108"/>
    <n v="4129"/>
    <n v="4129"/>
    <n v="4129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90"/>
    <x v="111"/>
    <n v="441"/>
    <n v="441"/>
    <n v="441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10026"/>
    <x v="81"/>
    <n v="3053"/>
    <n v="3053"/>
    <n v="3053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90"/>
    <x v="111"/>
    <n v="1472"/>
    <n v="1472"/>
    <n v="1472"/>
    <n v="0"/>
    <n v="0"/>
    <n v="0"/>
    <n v="0"/>
    <n v="0"/>
    <n v="0"/>
    <n v="0"/>
    <n v="0"/>
    <n v="0"/>
    <n v="0"/>
    <n v="57031"/>
  </r>
  <r>
    <n v="70"/>
    <x v="7"/>
    <s v="00/08/20"/>
    <s v="1400/08/20"/>
    <x v="180"/>
    <n v="30140"/>
    <x v="29"/>
    <n v="-4167"/>
    <n v="0"/>
    <n v="0"/>
    <n v="4167"/>
    <n v="4167"/>
    <n v="4167"/>
    <n v="0"/>
    <n v="4167"/>
    <n v="4167"/>
    <n v="16.435983564813796"/>
    <n v="1.435983564813796"/>
    <n v="68488.743514579081"/>
    <n v="68488.743514579081"/>
    <n v="57031"/>
  </r>
  <r>
    <n v="70"/>
    <x v="7"/>
    <s v="00/08/20"/>
    <s v="1400/08/20"/>
    <x v="180"/>
    <n v="30004"/>
    <x v="2"/>
    <n v="1752"/>
    <n v="1752"/>
    <n v="1752"/>
    <n v="0"/>
    <n v="0"/>
    <n v="0"/>
    <n v="0"/>
    <n v="0"/>
    <n v="0"/>
    <n v="0"/>
    <n v="0"/>
    <n v="0"/>
    <n v="0"/>
    <n v="57031"/>
  </r>
  <r>
    <n v="70"/>
    <x v="7"/>
    <s v="00/08/20"/>
    <s v="1400/08/20"/>
    <x v="180"/>
    <n v="30004"/>
    <x v="2"/>
    <n v="-5079"/>
    <n v="0"/>
    <n v="0"/>
    <n v="5079"/>
    <n v="5079"/>
    <n v="5079"/>
    <n v="0"/>
    <n v="5079"/>
    <n v="5079"/>
    <n v="16.435983564813796"/>
    <n v="1.435983564813796"/>
    <n v="83478.360525689262"/>
    <n v="83478.360525689262"/>
    <n v="57031"/>
  </r>
  <r>
    <n v="70"/>
    <x v="7"/>
    <s v="00/08/20"/>
    <s v="1400/08/20"/>
    <x v="180"/>
    <n v="30004"/>
    <x v="2"/>
    <n v="1912"/>
    <n v="1912"/>
    <n v="191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55"/>
    <x v="80"/>
    <n v="-5078"/>
    <n v="0"/>
    <n v="0"/>
    <n v="5078"/>
    <n v="5078"/>
    <n v="5078"/>
    <n v="0"/>
    <n v="5078"/>
    <n v="0"/>
    <n v="14.435983564813796"/>
    <n v="-0.56401643518620403"/>
    <n v="73305.924542124456"/>
    <n v="0"/>
    <n v="57031"/>
  </r>
  <r>
    <n v="70"/>
    <x v="7"/>
    <s v="00/08/22"/>
    <s v="1400/08/22"/>
    <x v="181"/>
    <n v="10003"/>
    <x v="79"/>
    <n v="2282"/>
    <n v="2282"/>
    <n v="228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69"/>
    <x v="68"/>
    <n v="-2002"/>
    <n v="0"/>
    <n v="0"/>
    <n v="2002"/>
    <n v="2002"/>
    <n v="2002"/>
    <n v="0"/>
    <n v="2002"/>
    <n v="0"/>
    <n v="14.435983564813796"/>
    <n v="-0.56401643518620403"/>
    <n v="28900.83909675722"/>
    <n v="0"/>
    <n v="57031"/>
  </r>
  <r>
    <n v="70"/>
    <x v="7"/>
    <s v="00/08/22"/>
    <s v="1400/08/22"/>
    <x v="181"/>
    <n v="10070"/>
    <x v="53"/>
    <n v="1202"/>
    <n v="1202"/>
    <n v="120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20"/>
    <x v="40"/>
    <n v="-500"/>
    <n v="0"/>
    <n v="0"/>
    <n v="500"/>
    <n v="500"/>
    <n v="500"/>
    <n v="0"/>
    <n v="500"/>
    <n v="0"/>
    <n v="14.435983564813796"/>
    <n v="-0.56401643518620403"/>
    <n v="7217.991782406898"/>
    <n v="0"/>
    <n v="57031"/>
  </r>
  <r>
    <n v="70"/>
    <x v="7"/>
    <s v="00/08/22"/>
    <s v="1400/08/22"/>
    <x v="181"/>
    <n v="10018"/>
    <x v="95"/>
    <n v="298"/>
    <n v="298"/>
    <n v="298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03"/>
    <x v="79"/>
    <n v="-4565"/>
    <n v="0"/>
    <n v="0"/>
    <n v="4565"/>
    <n v="4565"/>
    <n v="4565"/>
    <n v="0"/>
    <n v="4565"/>
    <n v="0"/>
    <n v="14.435983564813796"/>
    <n v="-0.56401643518620403"/>
    <n v="65900.264973374986"/>
    <n v="0"/>
    <n v="57031"/>
  </r>
  <r>
    <n v="70"/>
    <x v="7"/>
    <s v="00/08/22"/>
    <s v="1400/08/22"/>
    <x v="181"/>
    <n v="10018"/>
    <x v="95"/>
    <n v="14"/>
    <n v="14"/>
    <n v="14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18"/>
    <x v="95"/>
    <n v="-736"/>
    <n v="0"/>
    <n v="0"/>
    <n v="736"/>
    <n v="736"/>
    <n v="736"/>
    <n v="0"/>
    <n v="736"/>
    <n v="0"/>
    <n v="14.435983564813796"/>
    <n v="-0.56401643518620403"/>
    <n v="10624.883903702954"/>
    <n v="0"/>
    <n v="57031"/>
  </r>
  <r>
    <n v="70"/>
    <x v="7"/>
    <s v="00/08/22"/>
    <s v="1400/08/22"/>
    <x v="181"/>
    <n v="10069"/>
    <x v="68"/>
    <n v="1774"/>
    <n v="1774"/>
    <n v="1774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30124"/>
    <x v="106"/>
    <n v="218"/>
    <n v="218"/>
    <n v="218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30124"/>
    <x v="106"/>
    <n v="1102"/>
    <n v="1102"/>
    <n v="110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26"/>
    <x v="81"/>
    <n v="3000"/>
    <n v="3000"/>
    <n v="3000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29"/>
    <x v="78"/>
    <n v="13491"/>
    <n v="13491"/>
    <n v="13491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099"/>
    <x v="11"/>
    <n v="-1176"/>
    <n v="0"/>
    <n v="0"/>
    <n v="1176"/>
    <n v="1176"/>
    <n v="1176"/>
    <n v="0"/>
    <n v="1176"/>
    <n v="0"/>
    <n v="13.435983564813796"/>
    <n v="-1.564016435186204"/>
    <n v="15800.716672221024"/>
    <n v="0"/>
    <n v="57031"/>
  </r>
  <r>
    <n v="70"/>
    <x v="7"/>
    <s v="00/08/23"/>
    <s v="1400/08/23"/>
    <x v="182"/>
    <n v="10018"/>
    <x v="95"/>
    <n v="377"/>
    <n v="377"/>
    <n v="377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101"/>
    <x v="69"/>
    <n v="-524"/>
    <n v="0"/>
    <n v="0"/>
    <n v="524"/>
    <n v="524"/>
    <n v="524"/>
    <n v="0"/>
    <n v="524"/>
    <n v="0"/>
    <n v="13.435983564813796"/>
    <n v="-1.564016435186204"/>
    <n v="7040.4553879624291"/>
    <n v="0"/>
    <n v="57031"/>
  </r>
  <r>
    <n v="70"/>
    <x v="7"/>
    <s v="00/08/23"/>
    <s v="1400/08/23"/>
    <x v="182"/>
    <n v="30009"/>
    <x v="66"/>
    <n v="1268"/>
    <n v="1268"/>
    <n v="1268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186"/>
    <x v="102"/>
    <n v="-1987"/>
    <n v="0"/>
    <n v="0"/>
    <n v="1987"/>
    <n v="1987"/>
    <n v="1987"/>
    <n v="0"/>
    <n v="1987"/>
    <n v="0"/>
    <n v="13.435983564813796"/>
    <n v="-1.564016435186204"/>
    <n v="26697.299343285013"/>
    <n v="0"/>
    <n v="57031"/>
  </r>
  <r>
    <n v="70"/>
    <x v="7"/>
    <s v="00/08/23"/>
    <s v="1400/08/23"/>
    <x v="182"/>
    <n v="30186"/>
    <x v="102"/>
    <n v="706"/>
    <n v="706"/>
    <n v="706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131"/>
    <x v="112"/>
    <n v="-353"/>
    <n v="0"/>
    <n v="0"/>
    <n v="353"/>
    <n v="353"/>
    <n v="353"/>
    <n v="0"/>
    <n v="353"/>
    <n v="0"/>
    <n v="13.435983564813796"/>
    <n v="-1.564016435186204"/>
    <n v="4742.90219837927"/>
    <n v="0"/>
    <n v="57031"/>
  </r>
  <r>
    <n v="70"/>
    <x v="7"/>
    <s v="00/08/23"/>
    <s v="1400/08/23"/>
    <x v="182"/>
    <n v="10084"/>
    <x v="37"/>
    <n v="1169"/>
    <n v="1169"/>
    <n v="1169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03"/>
    <x v="79"/>
    <n v="-1101"/>
    <n v="0"/>
    <n v="0"/>
    <n v="1101"/>
    <n v="1101"/>
    <n v="1101"/>
    <n v="0"/>
    <n v="1101"/>
    <n v="0"/>
    <n v="13.435983564813796"/>
    <n v="-1.564016435186204"/>
    <n v="14793.017904859989"/>
    <n v="0"/>
    <n v="57031"/>
  </r>
  <r>
    <n v="70"/>
    <x v="7"/>
    <s v="00/08/23"/>
    <s v="1400/08/23"/>
    <x v="182"/>
    <n v="30186"/>
    <x v="102"/>
    <n v="1696"/>
    <n v="1696"/>
    <n v="1696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70"/>
    <x v="53"/>
    <n v="-50"/>
    <n v="0"/>
    <n v="0"/>
    <n v="50"/>
    <n v="50"/>
    <n v="50"/>
    <n v="0"/>
    <n v="50"/>
    <n v="0"/>
    <n v="13.435983564813796"/>
    <n v="-1.564016435186204"/>
    <n v="671.7991782406898"/>
    <n v="0"/>
    <n v="57031"/>
  </r>
  <r>
    <n v="70"/>
    <x v="7"/>
    <s v="00/08/23"/>
    <s v="1400/08/23"/>
    <x v="182"/>
    <n v="30186"/>
    <x v="102"/>
    <n v="917"/>
    <n v="917"/>
    <n v="917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84"/>
    <x v="37"/>
    <n v="-993"/>
    <n v="0"/>
    <n v="0"/>
    <n v="993"/>
    <n v="993"/>
    <n v="993"/>
    <n v="0"/>
    <n v="993"/>
    <n v="0"/>
    <n v="13.435983564813796"/>
    <n v="-1.564016435186204"/>
    <n v="13341.931679860099"/>
    <n v="0"/>
    <n v="57031"/>
  </r>
  <r>
    <n v="70"/>
    <x v="7"/>
    <s v="00/08/23"/>
    <s v="1400/08/23"/>
    <x v="182"/>
    <n v="30026"/>
    <x v="14"/>
    <n v="328"/>
    <n v="328"/>
    <n v="328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131"/>
    <x v="112"/>
    <n v="334"/>
    <n v="334"/>
    <n v="334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026"/>
    <x v="14"/>
    <n v="176"/>
    <n v="176"/>
    <n v="176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03"/>
    <x v="79"/>
    <n v="3085"/>
    <n v="3085"/>
    <n v="3085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03"/>
    <x v="79"/>
    <n v="1930"/>
    <n v="1930"/>
    <n v="1930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30196"/>
    <x v="126"/>
    <n v="-2579"/>
    <n v="0"/>
    <n v="0"/>
    <n v="2579"/>
    <n v="2579"/>
    <n v="2579"/>
    <n v="0"/>
    <n v="2579"/>
    <n v="0"/>
    <n v="12.435983564813796"/>
    <n v="-2.564016435186204"/>
    <n v="32072.40161365478"/>
    <n v="0"/>
    <n v="57031"/>
  </r>
  <r>
    <n v="70"/>
    <x v="7"/>
    <s v="00/08/24"/>
    <s v="1400/08/24"/>
    <x v="183"/>
    <n v="10003"/>
    <x v="79"/>
    <n v="7000"/>
    <n v="7000"/>
    <n v="7000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10070"/>
    <x v="53"/>
    <n v="-982"/>
    <n v="0"/>
    <n v="0"/>
    <n v="982"/>
    <n v="982"/>
    <n v="982"/>
    <n v="0"/>
    <n v="982"/>
    <n v="0"/>
    <n v="12.435983564813796"/>
    <n v="-2.564016435186204"/>
    <n v="12212.135860647148"/>
    <n v="0"/>
    <n v="57031"/>
  </r>
  <r>
    <n v="70"/>
    <x v="7"/>
    <s v="00/08/24"/>
    <s v="1400/08/24"/>
    <x v="183"/>
    <n v="30186"/>
    <x v="102"/>
    <n v="1091"/>
    <n v="1091"/>
    <n v="1091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10070"/>
    <x v="53"/>
    <n v="-551"/>
    <n v="0"/>
    <n v="0"/>
    <n v="551"/>
    <n v="551"/>
    <n v="551"/>
    <n v="0"/>
    <n v="551"/>
    <n v="0"/>
    <n v="12.435983564813796"/>
    <n v="-2.564016435186204"/>
    <n v="6852.2269442124016"/>
    <n v="0"/>
    <n v="57031"/>
  </r>
  <r>
    <n v="70"/>
    <x v="7"/>
    <s v="00/08/24"/>
    <s v="1400/08/24"/>
    <x v="183"/>
    <n v="30081"/>
    <x v="67"/>
    <n v="2812"/>
    <n v="2812"/>
    <n v="2812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10027"/>
    <x v="72"/>
    <n v="-1878"/>
    <n v="0"/>
    <n v="0"/>
    <n v="1878"/>
    <n v="1878"/>
    <n v="1878"/>
    <n v="0"/>
    <n v="1878"/>
    <n v="0"/>
    <n v="12.435983564813796"/>
    <n v="-2.564016435186204"/>
    <n v="23354.777134720309"/>
    <n v="0"/>
    <n v="57031"/>
  </r>
  <r>
    <n v="71"/>
    <x v="7"/>
    <s v="00/08/24"/>
    <s v="1400/08/24"/>
    <x v="183"/>
    <n v="30127"/>
    <x v="99"/>
    <n v="14584"/>
    <n v="14584"/>
    <n v="14584"/>
    <n v="0"/>
    <n v="0"/>
    <n v="0"/>
    <n v="0"/>
    <n v="0"/>
    <n v="0"/>
    <n v="0"/>
    <n v="0"/>
    <n v="0"/>
    <n v="0"/>
    <n v="42447"/>
  </r>
  <r>
    <n v="71"/>
    <x v="7"/>
    <s v="00/08/24"/>
    <s v="1400/08/24"/>
    <x v="183"/>
    <n v="10048"/>
    <x v="51"/>
    <n v="-46"/>
    <n v="0"/>
    <n v="0"/>
    <n v="46"/>
    <n v="46"/>
    <n v="46"/>
    <n v="0"/>
    <n v="46"/>
    <n v="0"/>
    <n v="12.435983564813796"/>
    <n v="-2.564016435186204"/>
    <n v="572.05524398143461"/>
    <n v="0"/>
    <n v="42447"/>
  </r>
  <r>
    <n v="71"/>
    <x v="7"/>
    <s v="00/08/25"/>
    <s v="1400/08/25"/>
    <x v="184"/>
    <n v="10055"/>
    <x v="80"/>
    <n v="6479"/>
    <n v="6479"/>
    <n v="6479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019"/>
    <x v="121"/>
    <n v="-146"/>
    <n v="0"/>
    <n v="0"/>
    <n v="146"/>
    <n v="146"/>
    <n v="146"/>
    <n v="0"/>
    <n v="146"/>
    <n v="0"/>
    <n v="11.435983564813796"/>
    <n v="-3.564016435186204"/>
    <n v="1669.6536004628142"/>
    <n v="0"/>
    <n v="42447"/>
  </r>
  <r>
    <n v="71"/>
    <x v="7"/>
    <s v="00/08/25"/>
    <s v="1400/08/25"/>
    <x v="184"/>
    <n v="10141"/>
    <x v="127"/>
    <n v="380"/>
    <n v="380"/>
    <n v="380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004"/>
    <x v="2"/>
    <n v="-4462"/>
    <n v="0"/>
    <n v="0"/>
    <n v="4462"/>
    <n v="4462"/>
    <n v="4462"/>
    <n v="0"/>
    <n v="4462"/>
    <n v="0"/>
    <n v="11.435983564813796"/>
    <n v="-3.564016435186204"/>
    <n v="51027.358666199158"/>
    <n v="0"/>
    <n v="42447"/>
  </r>
  <r>
    <n v="71"/>
    <x v="7"/>
    <s v="00/08/25"/>
    <s v="1400/08/25"/>
    <x v="184"/>
    <n v="10026"/>
    <x v="81"/>
    <n v="6000"/>
    <n v="6000"/>
    <n v="6000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146"/>
    <x v="64"/>
    <n v="-5165"/>
    <n v="0"/>
    <n v="0"/>
    <n v="5165"/>
    <n v="5165"/>
    <n v="5165"/>
    <n v="0"/>
    <n v="5165"/>
    <n v="0"/>
    <n v="11.435983564813796"/>
    <n v="-3.564016435186204"/>
    <n v="59066.855112263256"/>
    <n v="0"/>
    <n v="42447"/>
  </r>
  <r>
    <n v="71"/>
    <x v="7"/>
    <s v="00/08/25"/>
    <s v="1400/08/25"/>
    <x v="184"/>
    <n v="10141"/>
    <x v="127"/>
    <n v="320"/>
    <n v="320"/>
    <n v="320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70"/>
    <x v="53"/>
    <n v="-485"/>
    <n v="0"/>
    <n v="0"/>
    <n v="485"/>
    <n v="485"/>
    <n v="485"/>
    <n v="0"/>
    <n v="485"/>
    <n v="0"/>
    <n v="11.435983564813796"/>
    <n v="-3.564016435186204"/>
    <n v="5546.452028934691"/>
    <n v="0"/>
    <n v="42447"/>
  </r>
  <r>
    <n v="71"/>
    <x v="7"/>
    <s v="00/08/25"/>
    <s v="1400/08/25"/>
    <x v="184"/>
    <n v="30205"/>
    <x v="128"/>
    <n v="312"/>
    <n v="312"/>
    <n v="31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186"/>
    <x v="102"/>
    <n v="-2042"/>
    <n v="0"/>
    <n v="0"/>
    <n v="2042"/>
    <n v="2042"/>
    <n v="2042"/>
    <n v="0"/>
    <n v="2042"/>
    <n v="0"/>
    <n v="11.435983564813796"/>
    <n v="-3.564016435186204"/>
    <n v="23352.278439349771"/>
    <n v="0"/>
    <n v="42447"/>
  </r>
  <r>
    <n v="71"/>
    <x v="7"/>
    <s v="00/08/25"/>
    <s v="1400/08/25"/>
    <x v="184"/>
    <n v="30205"/>
    <x v="128"/>
    <n v="4482"/>
    <n v="4482"/>
    <n v="448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119"/>
    <x v="100"/>
    <n v="-292"/>
    <n v="0"/>
    <n v="0"/>
    <n v="292"/>
    <n v="292"/>
    <n v="292"/>
    <n v="0"/>
    <n v="292"/>
    <n v="0"/>
    <n v="11.435983564813796"/>
    <n v="-3.564016435186204"/>
    <n v="3339.3072009256284"/>
    <n v="0"/>
    <n v="42447"/>
  </r>
  <r>
    <n v="71"/>
    <x v="7"/>
    <s v="00/08/25"/>
    <s v="1400/08/25"/>
    <x v="184"/>
    <n v="30186"/>
    <x v="102"/>
    <n v="812"/>
    <n v="812"/>
    <n v="81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26"/>
    <x v="81"/>
    <n v="-2030"/>
    <n v="0"/>
    <n v="0"/>
    <n v="2030"/>
    <n v="2030"/>
    <n v="2030"/>
    <n v="0"/>
    <n v="2030"/>
    <n v="0"/>
    <n v="11.435983564813796"/>
    <n v="-3.564016435186204"/>
    <n v="23215.046636572006"/>
    <n v="0"/>
    <n v="42447"/>
  </r>
  <r>
    <n v="71"/>
    <x v="7"/>
    <s v="00/08/25"/>
    <s v="1400/08/25"/>
    <x v="184"/>
    <n v="10119"/>
    <x v="100"/>
    <n v="52"/>
    <n v="52"/>
    <n v="5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03"/>
    <x v="79"/>
    <n v="-1806"/>
    <n v="0"/>
    <n v="0"/>
    <n v="1806"/>
    <n v="1806"/>
    <n v="1806"/>
    <n v="0"/>
    <n v="1806"/>
    <n v="0"/>
    <n v="11.435983564813796"/>
    <n v="-3.564016435186204"/>
    <n v="20653.386318053716"/>
    <n v="0"/>
    <n v="42447"/>
  </r>
  <r>
    <n v="71"/>
    <x v="7"/>
    <s v="00/08/25"/>
    <s v="1400/08/25"/>
    <x v="184"/>
    <n v="10119"/>
    <x v="100"/>
    <n v="54"/>
    <n v="54"/>
    <n v="54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27"/>
    <x v="72"/>
    <n v="-1881"/>
    <n v="0"/>
    <n v="0"/>
    <n v="1881"/>
    <n v="1881"/>
    <n v="1881"/>
    <n v="0"/>
    <n v="1881"/>
    <n v="0"/>
    <n v="11.435983564813796"/>
    <n v="-3.564016435186204"/>
    <n v="21511.08508541475"/>
    <n v="0"/>
    <n v="42447"/>
  </r>
  <r>
    <n v="71"/>
    <x v="7"/>
    <s v="00/08/25"/>
    <s v="1400/08/25"/>
    <x v="184"/>
    <n v="30009"/>
    <x v="66"/>
    <n v="1379"/>
    <n v="1379"/>
    <n v="1379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109"/>
    <x v="10"/>
    <n v="-2010"/>
    <n v="0"/>
    <n v="0"/>
    <n v="2010"/>
    <n v="2010"/>
    <n v="2010"/>
    <n v="0"/>
    <n v="2010"/>
    <n v="0"/>
    <n v="11.435983564813796"/>
    <n v="-3.564016435186204"/>
    <n v="22986.32696527573"/>
    <n v="0"/>
    <n v="42447"/>
  </r>
  <r>
    <n v="71"/>
    <x v="7"/>
    <s v="00/08/25"/>
    <s v="1400/08/25"/>
    <x v="184"/>
    <n v="10003"/>
    <x v="79"/>
    <n v="2773"/>
    <n v="2773"/>
    <n v="2773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104"/>
    <x v="76"/>
    <n v="-2128"/>
    <n v="0"/>
    <n v="0"/>
    <n v="2128"/>
    <n v="2128"/>
    <n v="2128"/>
    <n v="0"/>
    <n v="2128"/>
    <n v="0"/>
    <n v="11.435983564813796"/>
    <n v="-3.564016435186204"/>
    <n v="24335.773025923758"/>
    <n v="0"/>
    <n v="42447"/>
  </r>
  <r>
    <n v="71"/>
    <x v="7"/>
    <s v="00/08/25"/>
    <s v="1400/08/25"/>
    <x v="184"/>
    <n v="30004"/>
    <x v="2"/>
    <n v="3067"/>
    <n v="3067"/>
    <n v="3067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96"/>
    <x v="126"/>
    <n v="-2505"/>
    <n v="0"/>
    <n v="0"/>
    <n v="2505"/>
    <n v="2505"/>
    <n v="2505"/>
    <n v="0"/>
    <n v="2505"/>
    <n v="0"/>
    <n v="10.435983564813796"/>
    <n v="-4.564016435186204"/>
    <n v="26142.138829858559"/>
    <n v="0"/>
    <n v="42447"/>
  </r>
  <r>
    <n v="71"/>
    <x v="7"/>
    <s v="00/08/26"/>
    <s v="1400/08/26"/>
    <x v="185"/>
    <n v="30155"/>
    <x v="107"/>
    <n v="643"/>
    <n v="643"/>
    <n v="643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55"/>
    <x v="107"/>
    <n v="-2026"/>
    <n v="0"/>
    <n v="0"/>
    <n v="2026"/>
    <n v="2026"/>
    <n v="2026"/>
    <n v="0"/>
    <n v="2026"/>
    <n v="0"/>
    <n v="10.435983564813796"/>
    <n v="-4.564016435186204"/>
    <n v="21143.302702312751"/>
    <n v="0"/>
    <n v="42447"/>
  </r>
  <r>
    <n v="71"/>
    <x v="7"/>
    <s v="00/08/26"/>
    <s v="1400/08/26"/>
    <x v="185"/>
    <n v="30155"/>
    <x v="107"/>
    <n v="578"/>
    <n v="578"/>
    <n v="578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03"/>
    <x v="79"/>
    <n v="-1585"/>
    <n v="0"/>
    <n v="0"/>
    <n v="1585"/>
    <n v="1585"/>
    <n v="1585"/>
    <n v="0"/>
    <n v="1585"/>
    <n v="0"/>
    <n v="10.435983564813796"/>
    <n v="-4.564016435186204"/>
    <n v="16541.033950229867"/>
    <n v="0"/>
    <n v="42447"/>
  </r>
  <r>
    <n v="71"/>
    <x v="7"/>
    <s v="00/08/26"/>
    <s v="1400/08/26"/>
    <x v="185"/>
    <n v="30155"/>
    <x v="107"/>
    <n v="17"/>
    <n v="17"/>
    <n v="17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205"/>
    <x v="128"/>
    <n v="-3734"/>
    <n v="0"/>
    <n v="0"/>
    <n v="3734"/>
    <n v="3734"/>
    <n v="3734"/>
    <n v="0"/>
    <n v="3734"/>
    <n v="0"/>
    <n v="10.435983564813796"/>
    <n v="-4.564016435186204"/>
    <n v="38967.962631014714"/>
    <n v="0"/>
    <n v="42447"/>
  </r>
  <r>
    <n v="71"/>
    <x v="7"/>
    <s v="00/08/26"/>
    <s v="1400/08/26"/>
    <x v="185"/>
    <n v="30191"/>
    <x v="114"/>
    <n v="153"/>
    <n v="153"/>
    <n v="153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31"/>
    <x v="93"/>
    <n v="-6001"/>
    <n v="0"/>
    <n v="0"/>
    <n v="6001"/>
    <n v="6001"/>
    <n v="6001"/>
    <n v="0"/>
    <n v="6001"/>
    <n v="0"/>
    <n v="10.435983564813796"/>
    <n v="-4.564016435186204"/>
    <n v="62626.33737244759"/>
    <n v="0"/>
    <n v="42447"/>
  </r>
  <r>
    <n v="71"/>
    <x v="7"/>
    <s v="00/08/26"/>
    <s v="1400/08/26"/>
    <x v="185"/>
    <n v="10020"/>
    <x v="40"/>
    <n v="325"/>
    <n v="325"/>
    <n v="325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20"/>
    <x v="40"/>
    <n v="-714"/>
    <n v="0"/>
    <n v="0"/>
    <n v="714"/>
    <n v="714"/>
    <n v="714"/>
    <n v="0"/>
    <n v="714"/>
    <n v="0"/>
    <n v="10.435983564813796"/>
    <n v="-4.564016435186204"/>
    <n v="7451.2922652770503"/>
    <n v="0"/>
    <n v="42447"/>
  </r>
  <r>
    <n v="71"/>
    <x v="7"/>
    <s v="00/08/26"/>
    <s v="1400/08/26"/>
    <x v="185"/>
    <n v="30191"/>
    <x v="114"/>
    <n v="346"/>
    <n v="346"/>
    <n v="346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03"/>
    <x v="79"/>
    <n v="-4388"/>
    <n v="0"/>
    <n v="0"/>
    <n v="4388"/>
    <n v="4388"/>
    <n v="4388"/>
    <n v="0"/>
    <n v="4388"/>
    <n v="0"/>
    <n v="10.435983564813796"/>
    <n v="-4.564016435186204"/>
    <n v="45793.095882402937"/>
    <n v="0"/>
    <n v="42447"/>
  </r>
  <r>
    <n v="71"/>
    <x v="7"/>
    <s v="00/08/26"/>
    <s v="1400/08/26"/>
    <x v="185"/>
    <n v="30191"/>
    <x v="114"/>
    <n v="203"/>
    <n v="203"/>
    <n v="203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019"/>
    <x v="121"/>
    <n v="-1936"/>
    <n v="0"/>
    <n v="0"/>
    <n v="1936"/>
    <n v="1936"/>
    <n v="1936"/>
    <n v="0"/>
    <n v="1936"/>
    <n v="0"/>
    <n v="10.435983564813796"/>
    <n v="-4.564016435186204"/>
    <n v="20204.064181479509"/>
    <n v="0"/>
    <n v="42447"/>
  </r>
  <r>
    <n v="71"/>
    <x v="7"/>
    <s v="00/08/26"/>
    <s v="1400/08/26"/>
    <x v="185"/>
    <n v="30131"/>
    <x v="93"/>
    <n v="4437"/>
    <n v="4437"/>
    <n v="4437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26"/>
    <x v="81"/>
    <n v="-2043"/>
    <n v="0"/>
    <n v="0"/>
    <n v="2043"/>
    <n v="2043"/>
    <n v="2043"/>
    <n v="0"/>
    <n v="2043"/>
    <n v="0"/>
    <n v="10.435983564813796"/>
    <n v="-4.564016435186204"/>
    <n v="21320.714422914585"/>
    <n v="0"/>
    <n v="42447"/>
  </r>
  <r>
    <n v="71"/>
    <x v="7"/>
    <s v="00/08/26"/>
    <s v="1400/08/26"/>
    <x v="185"/>
    <n v="30131"/>
    <x v="93"/>
    <n v="1018"/>
    <n v="1018"/>
    <n v="1018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31"/>
    <x v="93"/>
    <n v="651"/>
    <n v="651"/>
    <n v="651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40"/>
    <x v="29"/>
    <n v="862"/>
    <n v="862"/>
    <n v="862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55"/>
    <x v="107"/>
    <n v="828"/>
    <n v="828"/>
    <n v="828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066"/>
    <x v="77"/>
    <n v="2870"/>
    <n v="2870"/>
    <n v="2870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40"/>
    <x v="29"/>
    <n v="870"/>
    <n v="870"/>
    <n v="870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30004"/>
    <x v="2"/>
    <n v="-3204"/>
    <n v="0"/>
    <n v="0"/>
    <n v="3204"/>
    <n v="3204"/>
    <n v="3204"/>
    <n v="0"/>
    <n v="3204"/>
    <n v="0"/>
    <n v="9.435983564813796"/>
    <n v="-5.564016435186204"/>
    <n v="30232.891341663402"/>
    <n v="0"/>
    <n v="42447"/>
  </r>
  <r>
    <n v="71"/>
    <x v="7"/>
    <s v="00/08/27"/>
    <s v="1400/08/27"/>
    <x v="186"/>
    <n v="10003"/>
    <x v="79"/>
    <n v="2810"/>
    <n v="2810"/>
    <n v="2810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30018"/>
    <x v="1"/>
    <n v="-2040"/>
    <n v="0"/>
    <n v="0"/>
    <n v="2040"/>
    <n v="2040"/>
    <n v="2040"/>
    <n v="0"/>
    <n v="2040"/>
    <n v="0"/>
    <n v="9.435983564813796"/>
    <n v="-5.564016435186204"/>
    <n v="19249.406472220144"/>
    <n v="0"/>
    <n v="42447"/>
  </r>
  <r>
    <n v="71"/>
    <x v="7"/>
    <s v="00/08/27"/>
    <s v="1400/08/27"/>
    <x v="186"/>
    <n v="30186"/>
    <x v="102"/>
    <n v="1576"/>
    <n v="1576"/>
    <n v="1576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30186"/>
    <x v="102"/>
    <n v="-1983"/>
    <n v="0"/>
    <n v="0"/>
    <n v="1983"/>
    <n v="1983"/>
    <n v="1983"/>
    <n v="0"/>
    <n v="1983"/>
    <n v="0"/>
    <n v="9.435983564813796"/>
    <n v="-5.564016435186204"/>
    <n v="18711.555409025757"/>
    <n v="0"/>
    <n v="42447"/>
  </r>
  <r>
    <n v="71"/>
    <x v="7"/>
    <s v="00/08/27"/>
    <s v="1400/08/27"/>
    <x v="186"/>
    <n v="30018"/>
    <x v="1"/>
    <n v="2469"/>
    <n v="2469"/>
    <n v="2469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10003"/>
    <x v="79"/>
    <n v="-2081"/>
    <n v="0"/>
    <n v="0"/>
    <n v="2081"/>
    <n v="2081"/>
    <n v="2081"/>
    <n v="0"/>
    <n v="2081"/>
    <n v="0"/>
    <n v="9.435983564813796"/>
    <n v="-5.564016435186204"/>
    <n v="19636.281798377509"/>
    <n v="0"/>
    <n v="42447"/>
  </r>
  <r>
    <n v="71"/>
    <x v="7"/>
    <s v="00/08/27"/>
    <s v="1400/08/27"/>
    <x v="186"/>
    <n v="30009"/>
    <x v="66"/>
    <n v="918"/>
    <n v="918"/>
    <n v="918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10026"/>
    <x v="81"/>
    <n v="-4356"/>
    <n v="0"/>
    <n v="0"/>
    <n v="4356"/>
    <n v="4356"/>
    <n v="4356"/>
    <n v="0"/>
    <n v="4356"/>
    <n v="0"/>
    <n v="9.435983564813796"/>
    <n v="-5.564016435186204"/>
    <n v="41103.144408328895"/>
    <n v="0"/>
    <n v="42447"/>
  </r>
  <r>
    <n v="71"/>
    <x v="7"/>
    <s v="00/08/27"/>
    <s v="1400/08/27"/>
    <x v="186"/>
    <n v="30004"/>
    <x v="2"/>
    <n v="2579"/>
    <n v="2579"/>
    <n v="2579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10084"/>
    <x v="37"/>
    <n v="-1002"/>
    <n v="0"/>
    <n v="0"/>
    <n v="1002"/>
    <n v="1002"/>
    <n v="1002"/>
    <n v="0"/>
    <n v="1002"/>
    <n v="0"/>
    <n v="9.435983564813796"/>
    <n v="-5.564016435186204"/>
    <n v="9454.8555319434236"/>
    <n v="0"/>
    <n v="42447"/>
  </r>
  <r>
    <n v="72"/>
    <x v="7"/>
    <s v="00/08/27"/>
    <s v="1400/08/27"/>
    <x v="186"/>
    <n v="30127"/>
    <x v="99"/>
    <n v="14721"/>
    <n v="14721"/>
    <n v="14721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003"/>
    <x v="65"/>
    <n v="-1152"/>
    <n v="0"/>
    <n v="0"/>
    <n v="1152"/>
    <n v="1152"/>
    <n v="1152"/>
    <n v="0"/>
    <n v="1152"/>
    <n v="0"/>
    <n v="7.435983564813796"/>
    <n v="-7.564016435186204"/>
    <n v="8566.253066665493"/>
    <n v="0"/>
    <n v="27726"/>
  </r>
  <r>
    <n v="72"/>
    <x v="7"/>
    <s v="00/08/29"/>
    <s v="1400/08/29"/>
    <x v="187"/>
    <n v="30004"/>
    <x v="2"/>
    <n v="10000"/>
    <n v="10000"/>
    <n v="10000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186"/>
    <x v="102"/>
    <n v="-2006"/>
    <n v="0"/>
    <n v="0"/>
    <n v="2006"/>
    <n v="2006"/>
    <n v="2006"/>
    <n v="0"/>
    <n v="2006"/>
    <n v="0"/>
    <n v="7.435983564813796"/>
    <n v="-7.564016435186204"/>
    <n v="14916.583031016475"/>
    <n v="0"/>
    <n v="27726"/>
  </r>
  <r>
    <n v="72"/>
    <x v="7"/>
    <s v="00/08/29"/>
    <s v="1400/08/29"/>
    <x v="187"/>
    <n v="30004"/>
    <x v="2"/>
    <n v="706"/>
    <n v="706"/>
    <n v="706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10055"/>
    <x v="80"/>
    <n v="-4867"/>
    <n v="0"/>
    <n v="0"/>
    <n v="4867"/>
    <n v="4867"/>
    <n v="4867"/>
    <n v="0"/>
    <n v="4867"/>
    <n v="0"/>
    <n v="7.435983564813796"/>
    <n v="-7.564016435186204"/>
    <n v="36190.932009948745"/>
    <n v="0"/>
    <n v="27726"/>
  </r>
  <r>
    <n v="72"/>
    <x v="7"/>
    <s v="00/08/29"/>
    <s v="1400/08/29"/>
    <x v="187"/>
    <n v="30004"/>
    <x v="2"/>
    <n v="655"/>
    <n v="655"/>
    <n v="655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10003"/>
    <x v="79"/>
    <n v="-3035"/>
    <n v="0"/>
    <n v="0"/>
    <n v="3035"/>
    <n v="3035"/>
    <n v="3035"/>
    <n v="0"/>
    <n v="3035"/>
    <n v="0"/>
    <n v="7.435983564813796"/>
    <n v="-7.564016435186204"/>
    <n v="22568.210119209871"/>
    <n v="0"/>
    <n v="27726"/>
  </r>
  <r>
    <n v="72"/>
    <x v="7"/>
    <s v="00/08/29"/>
    <s v="1400/08/29"/>
    <x v="187"/>
    <n v="30003"/>
    <x v="65"/>
    <n v="1140"/>
    <n v="1140"/>
    <n v="1140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10026"/>
    <x v="81"/>
    <n v="-3871"/>
    <n v="0"/>
    <n v="0"/>
    <n v="3871"/>
    <n v="3871"/>
    <n v="3871"/>
    <n v="0"/>
    <n v="3871"/>
    <n v="0"/>
    <n v="7.435983564813796"/>
    <n v="-7.564016435186204"/>
    <n v="28784.692379394204"/>
    <n v="0"/>
    <n v="27726"/>
  </r>
  <r>
    <n v="72"/>
    <x v="7"/>
    <s v="00/08/29"/>
    <s v="1400/08/29"/>
    <x v="187"/>
    <n v="30186"/>
    <x v="102"/>
    <n v="2516"/>
    <n v="2516"/>
    <n v="2516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009"/>
    <x v="66"/>
    <n v="783"/>
    <n v="783"/>
    <n v="783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009"/>
    <x v="66"/>
    <n v="834"/>
    <n v="834"/>
    <n v="834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066"/>
    <x v="77"/>
    <n v="-31"/>
    <n v="0"/>
    <n v="0"/>
    <n v="31"/>
    <n v="31"/>
    <n v="31"/>
    <n v="0"/>
    <n v="31"/>
    <n v="0"/>
    <n v="6.435983564813796"/>
    <n v="-8.564016435186204"/>
    <n v="199.51549050922767"/>
    <n v="0"/>
    <n v="27726"/>
  </r>
  <r>
    <n v="72"/>
    <x v="7"/>
    <s v="00/08/30"/>
    <s v="1400/08/30"/>
    <x v="188"/>
    <n v="10026"/>
    <x v="81"/>
    <n v="1322"/>
    <n v="1322"/>
    <n v="1322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50016"/>
    <x v="31"/>
    <n v="-5202"/>
    <n v="0"/>
    <n v="0"/>
    <n v="5202"/>
    <n v="5202"/>
    <n v="5202"/>
    <n v="0"/>
    <n v="5202"/>
    <n v="0"/>
    <n v="6.435983564813796"/>
    <n v="-8.564016435186204"/>
    <n v="33479.986504161367"/>
    <n v="0"/>
    <n v="27726"/>
  </r>
  <r>
    <n v="72"/>
    <x v="7"/>
    <s v="00/08/30"/>
    <s v="1400/08/30"/>
    <x v="188"/>
    <n v="30009"/>
    <x v="66"/>
    <n v="1968"/>
    <n v="1968"/>
    <n v="1968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140"/>
    <x v="29"/>
    <n v="-869"/>
    <n v="0"/>
    <n v="0"/>
    <n v="869"/>
    <n v="869"/>
    <n v="869"/>
    <n v="0"/>
    <n v="869"/>
    <n v="0"/>
    <n v="6.435983564813796"/>
    <n v="-8.564016435186204"/>
    <n v="5592.8697178231887"/>
    <n v="0"/>
    <n v="27726"/>
  </r>
  <r>
    <n v="72"/>
    <x v="7"/>
    <s v="00/08/30"/>
    <s v="1400/08/30"/>
    <x v="188"/>
    <n v="30004"/>
    <x v="2"/>
    <n v="1630"/>
    <n v="1630"/>
    <n v="1630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026"/>
    <x v="14"/>
    <n v="-1428"/>
    <n v="0"/>
    <n v="0"/>
    <n v="1428"/>
    <n v="1428"/>
    <n v="1428"/>
    <n v="0"/>
    <n v="1428"/>
    <n v="0"/>
    <n v="6.435983564813796"/>
    <n v="-8.564016435186204"/>
    <n v="9190.5845305541006"/>
    <n v="0"/>
    <n v="27726"/>
  </r>
  <r>
    <n v="72"/>
    <x v="7"/>
    <s v="00/08/30"/>
    <s v="1400/08/30"/>
    <x v="188"/>
    <n v="30081"/>
    <x v="67"/>
    <n v="1922"/>
    <n v="1922"/>
    <n v="1922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10003"/>
    <x v="79"/>
    <n v="-1136"/>
    <n v="0"/>
    <n v="0"/>
    <n v="1136"/>
    <n v="1136"/>
    <n v="1136"/>
    <n v="0"/>
    <n v="1136"/>
    <n v="0"/>
    <n v="6.435983564813796"/>
    <n v="-8.564016435186204"/>
    <n v="7311.2773296284722"/>
    <n v="0"/>
    <n v="27726"/>
  </r>
  <r>
    <n v="72"/>
    <x v="7"/>
    <s v="00/08/30"/>
    <s v="1400/08/30"/>
    <x v="188"/>
    <n v="30004"/>
    <x v="2"/>
    <n v="1688"/>
    <n v="1688"/>
    <n v="1688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10026"/>
    <x v="81"/>
    <n v="-1949"/>
    <n v="0"/>
    <n v="0"/>
    <n v="1949"/>
    <n v="1949"/>
    <n v="1949"/>
    <n v="0"/>
    <n v="1949"/>
    <n v="0"/>
    <n v="6.435983564813796"/>
    <n v="-8.564016435186204"/>
    <n v="12543.731967822088"/>
    <n v="0"/>
    <n v="27726"/>
  </r>
  <r>
    <n v="72"/>
    <x v="7"/>
    <s v="00/08/30"/>
    <s v="1400/08/30"/>
    <x v="188"/>
    <n v="10084"/>
    <x v="37"/>
    <n v="980"/>
    <n v="980"/>
    <n v="980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10093"/>
    <x v="118"/>
    <n v="-704"/>
    <n v="0"/>
    <n v="0"/>
    <n v="704"/>
    <n v="704"/>
    <n v="704"/>
    <n v="0"/>
    <n v="704"/>
    <n v="0"/>
    <n v="6.435983564813796"/>
    <n v="-8.564016435186204"/>
    <n v="4530.9324296289124"/>
    <n v="0"/>
    <n v="27726"/>
  </r>
  <r>
    <n v="72"/>
    <x v="7"/>
    <s v="00/08/30"/>
    <s v="1400/08/30"/>
    <x v="188"/>
    <n v="10003"/>
    <x v="79"/>
    <n v="5861"/>
    <n v="5861"/>
    <n v="5861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026"/>
    <x v="14"/>
    <n v="927"/>
    <n v="927"/>
    <n v="927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186"/>
    <x v="102"/>
    <n v="1283"/>
    <n v="1283"/>
    <n v="1283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84"/>
    <x v="108"/>
    <n v="-5007"/>
    <n v="0"/>
    <n v="0"/>
    <n v="5007"/>
    <n v="5007"/>
    <n v="5007"/>
    <n v="0"/>
    <n v="5007"/>
    <n v="0"/>
    <n v="5.435983564813796"/>
    <n v="-9.564016435186204"/>
    <n v="27217.969709022676"/>
    <n v="0"/>
    <n v="27726"/>
  </r>
  <r>
    <n v="72"/>
    <x v="8"/>
    <s v="00/09/01"/>
    <s v="1400/09/01"/>
    <x v="189"/>
    <n v="10048"/>
    <x v="51"/>
    <n v="758"/>
    <n v="758"/>
    <n v="758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86"/>
    <x v="102"/>
    <n v="-930"/>
    <n v="0"/>
    <n v="0"/>
    <n v="930"/>
    <n v="930"/>
    <n v="930"/>
    <n v="0"/>
    <n v="930"/>
    <n v="0"/>
    <n v="5.435983564813796"/>
    <n v="-9.564016435186204"/>
    <n v="5055.4647152768302"/>
    <n v="0"/>
    <n v="27726"/>
  </r>
  <r>
    <n v="72"/>
    <x v="8"/>
    <s v="00/09/01"/>
    <s v="1400/09/01"/>
    <x v="189"/>
    <n v="30137"/>
    <x v="101"/>
    <n v="212"/>
    <n v="212"/>
    <n v="212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96"/>
    <x v="126"/>
    <n v="-1566"/>
    <n v="0"/>
    <n v="0"/>
    <n v="1566"/>
    <n v="1566"/>
    <n v="1566"/>
    <n v="0"/>
    <n v="1566"/>
    <n v="0"/>
    <n v="5.435983564813796"/>
    <n v="-9.564016435186204"/>
    <n v="8512.7502624984045"/>
    <n v="0"/>
    <n v="27726"/>
  </r>
  <r>
    <n v="72"/>
    <x v="8"/>
    <s v="00/09/01"/>
    <s v="1400/09/01"/>
    <x v="189"/>
    <n v="30024"/>
    <x v="129"/>
    <n v="120"/>
    <n v="120"/>
    <n v="120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24"/>
    <x v="129"/>
    <n v="-402"/>
    <n v="0"/>
    <n v="0"/>
    <n v="402"/>
    <n v="402"/>
    <n v="402"/>
    <n v="0"/>
    <n v="402"/>
    <n v="0"/>
    <n v="5.435983564813796"/>
    <n v="-9.564016435186204"/>
    <n v="2185.265393055146"/>
    <n v="0"/>
    <n v="27726"/>
  </r>
  <r>
    <n v="72"/>
    <x v="8"/>
    <s v="00/09/01"/>
    <s v="1400/09/01"/>
    <x v="189"/>
    <n v="10029"/>
    <x v="78"/>
    <n v="522"/>
    <n v="522"/>
    <n v="522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10048"/>
    <x v="51"/>
    <n v="-568"/>
    <n v="0"/>
    <n v="0"/>
    <n v="568"/>
    <n v="568"/>
    <n v="568"/>
    <n v="0"/>
    <n v="568"/>
    <n v="0"/>
    <n v="5.435983564813796"/>
    <n v="-9.564016435186204"/>
    <n v="3087.6386648142361"/>
    <n v="0"/>
    <n v="27726"/>
  </r>
  <r>
    <n v="72"/>
    <x v="8"/>
    <s v="00/09/01"/>
    <s v="1400/09/01"/>
    <x v="189"/>
    <n v="30146"/>
    <x v="64"/>
    <n v="550"/>
    <n v="550"/>
    <n v="550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10070"/>
    <x v="53"/>
    <n v="-2008"/>
    <n v="0"/>
    <n v="0"/>
    <n v="2008"/>
    <n v="2008"/>
    <n v="2008"/>
    <n v="0"/>
    <n v="2008"/>
    <n v="0"/>
    <n v="5.435983564813796"/>
    <n v="-9.564016435186204"/>
    <n v="10915.454998146102"/>
    <n v="0"/>
    <n v="27726"/>
  </r>
  <r>
    <n v="72"/>
    <x v="8"/>
    <s v="00/09/01"/>
    <s v="1400/09/01"/>
    <x v="189"/>
    <n v="30190"/>
    <x v="111"/>
    <n v="728"/>
    <n v="728"/>
    <n v="728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09"/>
    <x v="66"/>
    <n v="-10536"/>
    <n v="0"/>
    <n v="0"/>
    <n v="10536"/>
    <n v="10536"/>
    <n v="10536"/>
    <n v="0"/>
    <n v="10536"/>
    <n v="0"/>
    <n v="5.435983564813796"/>
    <n v="-9.564016435186204"/>
    <n v="57273.522838878154"/>
    <n v="0"/>
    <n v="27726"/>
  </r>
  <r>
    <n v="72"/>
    <x v="8"/>
    <s v="00/09/01"/>
    <s v="1400/09/01"/>
    <x v="189"/>
    <n v="30190"/>
    <x v="111"/>
    <n v="1096"/>
    <n v="1096"/>
    <n v="1096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24"/>
    <x v="129"/>
    <n v="92"/>
    <n v="92"/>
    <n v="92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37"/>
    <x v="101"/>
    <n v="574"/>
    <n v="574"/>
    <n v="574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24"/>
    <x v="129"/>
    <n v="190"/>
    <n v="190"/>
    <n v="190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30186"/>
    <x v="102"/>
    <n v="-1114"/>
    <n v="0"/>
    <n v="0"/>
    <n v="1114"/>
    <n v="1114"/>
    <n v="1114"/>
    <n v="0"/>
    <n v="1114"/>
    <n v="0"/>
    <n v="4.435983564813796"/>
    <n v="-10.564016435186204"/>
    <n v="4941.6856912025687"/>
    <n v="0"/>
    <n v="27726"/>
  </r>
  <r>
    <n v="72"/>
    <x v="8"/>
    <s v="00/09/02"/>
    <s v="1400/09/02"/>
    <x v="190"/>
    <n v="30187"/>
    <x v="115"/>
    <n v="220"/>
    <n v="220"/>
    <n v="220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30196"/>
    <x v="126"/>
    <n v="-1674"/>
    <n v="0"/>
    <n v="0"/>
    <n v="1674"/>
    <n v="1674"/>
    <n v="1674"/>
    <n v="0"/>
    <n v="1674"/>
    <n v="0"/>
    <n v="4.435983564813796"/>
    <n v="-10.564016435186204"/>
    <n v="7425.8364874982944"/>
    <n v="0"/>
    <n v="27726"/>
  </r>
  <r>
    <n v="72"/>
    <x v="8"/>
    <s v="00/09/02"/>
    <s v="1400/09/02"/>
    <x v="190"/>
    <n v="50016"/>
    <x v="31"/>
    <n v="10035"/>
    <n v="10035"/>
    <n v="10035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48"/>
    <x v="51"/>
    <n v="-402"/>
    <n v="0"/>
    <n v="0"/>
    <n v="402"/>
    <n v="402"/>
    <n v="402"/>
    <n v="0"/>
    <n v="402"/>
    <n v="0"/>
    <n v="4.435983564813796"/>
    <n v="-10.564016435186204"/>
    <n v="1783.265393055146"/>
    <n v="0"/>
    <n v="27726"/>
  </r>
  <r>
    <n v="72"/>
    <x v="8"/>
    <s v="00/09/02"/>
    <s v="1400/09/02"/>
    <x v="190"/>
    <n v="10048"/>
    <x v="51"/>
    <n v="132"/>
    <n v="132"/>
    <n v="132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03"/>
    <x v="79"/>
    <n v="-2022"/>
    <n v="0"/>
    <n v="0"/>
    <n v="2022"/>
    <n v="2022"/>
    <n v="2022"/>
    <n v="0"/>
    <n v="2022"/>
    <n v="0"/>
    <n v="4.435983564813796"/>
    <n v="-10.564016435186204"/>
    <n v="8969.5587680534954"/>
    <n v="0"/>
    <n v="27726"/>
  </r>
  <r>
    <n v="72"/>
    <x v="8"/>
    <s v="00/09/02"/>
    <s v="1400/09/02"/>
    <x v="190"/>
    <n v="30187"/>
    <x v="115"/>
    <n v="896"/>
    <n v="896"/>
    <n v="896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26"/>
    <x v="81"/>
    <n v="-1877"/>
    <n v="0"/>
    <n v="0"/>
    <n v="1877"/>
    <n v="1877"/>
    <n v="1877"/>
    <n v="0"/>
    <n v="1877"/>
    <n v="0"/>
    <n v="4.435983564813796"/>
    <n v="-10.564016435186204"/>
    <n v="8326.341151155495"/>
    <n v="0"/>
    <n v="27726"/>
  </r>
  <r>
    <n v="72"/>
    <x v="8"/>
    <s v="00/09/02"/>
    <s v="1400/09/02"/>
    <x v="190"/>
    <n v="10020"/>
    <x v="40"/>
    <n v="34"/>
    <n v="34"/>
    <n v="34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20"/>
    <x v="40"/>
    <n v="113"/>
    <n v="113"/>
    <n v="113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20"/>
    <x v="40"/>
    <n v="1080"/>
    <n v="1080"/>
    <n v="1080"/>
    <n v="0"/>
    <n v="0"/>
    <n v="0"/>
    <n v="0"/>
    <n v="0"/>
    <n v="0"/>
    <n v="0"/>
    <n v="0"/>
    <n v="0"/>
    <n v="0"/>
    <n v="27726"/>
  </r>
  <r>
    <n v="73"/>
    <x v="8"/>
    <s v="00/09/03"/>
    <s v="1400/09/03"/>
    <x v="191"/>
    <n v="30127"/>
    <x v="99"/>
    <n v="-16712"/>
    <n v="0"/>
    <n v="0"/>
    <n v="16712"/>
    <n v="16712"/>
    <n v="16712"/>
    <n v="0"/>
    <n v="16712"/>
    <n v="0"/>
    <n v="3.435983564813796"/>
    <n v="-11.564016435186204"/>
    <n v="57422.157335168158"/>
    <n v="0"/>
    <n v="444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7AF35B-DBFC-42D9-A333-24ACED5C0E8F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 rowPageCount="1" colPageCount="1"/>
  <pivotFields count="22">
    <pivotField numFmtId="1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showAll="0">
      <items count="131">
        <item x="6"/>
        <item x="124"/>
        <item x="14"/>
        <item x="71"/>
        <item x="38"/>
        <item x="96"/>
        <item x="9"/>
        <item x="8"/>
        <item x="93"/>
        <item x="15"/>
        <item x="79"/>
        <item x="83"/>
        <item x="23"/>
        <item x="120"/>
        <item x="128"/>
        <item x="11"/>
        <item x="111"/>
        <item x="114"/>
        <item x="112"/>
        <item x="49"/>
        <item x="76"/>
        <item x="110"/>
        <item x="12"/>
        <item x="73"/>
        <item x="63"/>
        <item x="59"/>
        <item x="91"/>
        <item x="43"/>
        <item x="62"/>
        <item x="36"/>
        <item x="25"/>
        <item x="7"/>
        <item x="98"/>
        <item x="13"/>
        <item x="1"/>
        <item x="47"/>
        <item x="2"/>
        <item x="92"/>
        <item x="17"/>
        <item x="68"/>
        <item x="97"/>
        <item x="51"/>
        <item x="3"/>
        <item x="127"/>
        <item x="44"/>
        <item x="90"/>
        <item x="50"/>
        <item x="53"/>
        <item x="35"/>
        <item x="84"/>
        <item x="42"/>
        <item x="116"/>
        <item x="0"/>
        <item x="78"/>
        <item x="82"/>
        <item x="109"/>
        <item x="102"/>
        <item x="32"/>
        <item x="107"/>
        <item x="4"/>
        <item x="37"/>
        <item x="100"/>
        <item x="57"/>
        <item x="64"/>
        <item x="101"/>
        <item x="70"/>
        <item x="74"/>
        <item x="22"/>
        <item x="66"/>
        <item x="27"/>
        <item x="89"/>
        <item x="125"/>
        <item x="58"/>
        <item x="115"/>
        <item x="29"/>
        <item x="30"/>
        <item x="19"/>
        <item x="126"/>
        <item x="69"/>
        <item x="39"/>
        <item x="106"/>
        <item x="108"/>
        <item x="65"/>
        <item x="77"/>
        <item x="52"/>
        <item x="99"/>
        <item x="94"/>
        <item x="67"/>
        <item x="55"/>
        <item x="56"/>
        <item x="60"/>
        <item x="48"/>
        <item x="54"/>
        <item x="33"/>
        <item x="87"/>
        <item x="26"/>
        <item x="104"/>
        <item x="86"/>
        <item x="10"/>
        <item x="40"/>
        <item x="28"/>
        <item x="123"/>
        <item x="119"/>
        <item x="85"/>
        <item x="103"/>
        <item x="75"/>
        <item x="41"/>
        <item x="95"/>
        <item x="5"/>
        <item x="16"/>
        <item x="121"/>
        <item x="81"/>
        <item x="21"/>
        <item x="24"/>
        <item x="88"/>
        <item x="46"/>
        <item x="105"/>
        <item x="113"/>
        <item x="80"/>
        <item x="61"/>
        <item x="20"/>
        <item x="72"/>
        <item x="34"/>
        <item x="18"/>
        <item x="118"/>
        <item x="122"/>
        <item x="31"/>
        <item x="117"/>
        <item x="45"/>
        <item x="129"/>
        <item t="default"/>
      </items>
    </pivotField>
    <pivotField showAll="0"/>
    <pivotField numFmtId="4" showAll="0"/>
    <pivotField numFmtId="4" showAll="0"/>
    <pivotField dataField="1"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" item="85" hier="-1"/>
  </pageFields>
  <dataFields count="1">
    <dataField name="Sum of بدهکار (کیلوگرم)" fld="10" baseField="0" baseItem="0"/>
  </dataFields>
  <formats count="2">
    <format dxfId="50">
      <pivotArea collapsedLevelsAreSubtotals="1" fieldPosition="0">
        <references count="1">
          <reference field="1" count="0"/>
        </references>
      </pivotArea>
    </format>
    <format dxfId="49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2.100_Sepidar Sepidar01 Anbar_Receipt" backgroundRefresh="0" connectionId="2" xr16:uid="{C0234342-B56D-48E0-8A87-75CA3B547296}" autoFormatId="16" applyNumberFormats="0" applyBorderFormats="0" applyFontFormats="0" applyPatternFormats="0" applyAlignmentFormats="0" applyWidthHeightFormats="0">
  <queryTableRefresh nextId="5">
    <queryTableFields count="4">
      <queryTableField id="1" name="تاريخ" tableColumnId="1"/>
      <queryTableField id="2" name="تاريخ میلادی" tableColumnId="2"/>
      <queryTableField id="3" name="کد ردیابی" tableColumnId="3"/>
      <queryTableField id="4" name="مقدار (کیلوگرم)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2.100_Sepidar Sepidar01 Anbar Delivery" backgroundRefresh="0" connectionId="1" xr16:uid="{AB09EC03-535D-4E2C-9A02-12CCEB4A1C14}" autoFormatId="16" applyNumberFormats="0" applyBorderFormats="0" applyFontFormats="0" applyPatternFormats="0" applyAlignmentFormats="0" applyWidthHeightFormats="0">
  <queryTableRefresh nextId="5">
    <queryTableFields count="4">
      <queryTableField id="1" name="تاريخ" tableColumnId="1"/>
      <queryTableField id="2" name="تاريخ میلادی" tableColumnId="2"/>
      <queryTableField id="3" name="کد ردیابی" tableColumnId="3"/>
      <queryTableField id="4" name="مقدار (کیلوگرم)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8FAA54-EDBC-4701-BBC6-5A66EB4E67F7}" autoFormatId="16" applyNumberFormats="0" applyBorderFormats="0" applyFontFormats="0" applyPatternFormats="0" applyAlignmentFormats="0" applyWidthHeightFormats="0">
  <queryTableRefresh nextId="49" unboundColumnsLeft="2" unboundColumnsRight="24">
    <queryTableFields count="32">
      <queryTableField id="5" dataBound="0" tableColumnId="5"/>
      <queryTableField id="6" dataBound="0" tableColumnId="6"/>
      <queryTableField id="1" name="تاريخ" tableColumnId="1"/>
      <queryTableField id="42" dataBound="0" tableColumnId="42"/>
      <queryTableField id="2" name="تاريخ میلادی" tableColumnId="2"/>
      <queryTableField id="3" name="کد ردیابی" tableColumnId="3"/>
      <queryTableField id="7" dataBound="0" tableColumnId="7"/>
      <queryTableField id="4" name="مقدار (کیلوگرم)" tableColumnId="4"/>
      <queryTableField id="11" dataBound="0" tableColumnId="11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D68089-5A6C-4F18-A0D1-7D19BE88AEEB}" name="Receipt" displayName="Receipt" ref="A1:D1427" tableType="queryTable" totalsRowShown="0">
  <autoFilter ref="A1:D1427" xr:uid="{32D68089-5A6C-4F18-A0D1-7D19BE88AEEB}"/>
  <tableColumns count="4">
    <tableColumn id="1" xr3:uid="{17D004E3-4F99-4477-9481-6186B1CD5719}" uniqueName="1" name="تاريخ" queryTableFieldId="1"/>
    <tableColumn id="2" xr3:uid="{FC4EB6D7-5B67-4DF5-A41D-4655BD3CD17B}" uniqueName="2" name="تاريخ میلادی" queryTableFieldId="2" dataDxfId="148"/>
    <tableColumn id="3" xr3:uid="{34FE533D-F3C1-4220-B838-953534BEF343}" uniqueName="3" name="کد ردیابی" queryTableFieldId="3"/>
    <tableColumn id="4" xr3:uid="{13489026-C61D-4019-B2CC-A45368D672A3}" uniqueName="4" name="مقدار (کیلوگرم)" queryTableField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4C7033C-68F3-47B0-9B8F-FC32E683ED52}" name="Delivery" displayName="Delivery" ref="A1:D1232" tableType="queryTable" totalsRowShown="0">
  <autoFilter ref="A1:D1232" xr:uid="{14C7033C-68F3-47B0-9B8F-FC32E683ED52}"/>
  <tableColumns count="4">
    <tableColumn id="1" xr3:uid="{6DE1C1EC-5FA5-4443-A358-178DD214643B}" uniqueName="1" name="تاريخ" queryTableFieldId="1"/>
    <tableColumn id="2" xr3:uid="{DF0215FD-B58D-4799-A8FC-DE626033E479}" uniqueName="2" name="تاريخ میلادی" queryTableFieldId="2" dataDxfId="147"/>
    <tableColumn id="3" xr3:uid="{05B6DB35-3E89-4636-B374-DA9A74102978}" uniqueName="3" name="کد ردیابی" queryTableFieldId="3"/>
    <tableColumn id="4" xr3:uid="{28171496-A761-4028-A7CC-3032B59211EF}" uniqueName="4" name="مقدار (کیلوگرم)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C693B6-86D3-4E27-84F9-29498782A175}" name="customer" displayName="customer" ref="A1:C389" totalsRowShown="0" headerRowDxfId="146" dataDxfId="145">
  <autoFilter ref="A1:C389" xr:uid="{0CD53EC5-3C5A-4777-9C80-EBAFED0A4C26}"/>
  <tableColumns count="3">
    <tableColumn id="5" xr3:uid="{640F5C9A-449C-4A1D-913A-4B0935386C09}" name="ردیف" dataDxfId="144">
      <calculatedColumnFormula>SUBTOTAL(2,INDEX(customer[کد],1):customer[[#This Row],[کد]])</calculatedColumnFormula>
    </tableColumn>
    <tableColumn id="1" xr3:uid="{4FD3A27B-DA59-451A-A8B9-E2D21A2AE5ED}" name="کد" dataDxfId="143"/>
    <tableColumn id="2" xr3:uid="{2FCD251E-5B8F-4BC3-A6F4-DB7785B7789C}" name="عنوان" dataDxfId="14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EBA5196-783D-4869-9AC1-0390CE951595}" name="Main" displayName="Main" ref="A2:AF2660" tableType="queryTable" totalsRowCount="1" headerRowDxfId="140">
  <autoFilter ref="A2:AF2659" xr:uid="{3EBA5196-783D-4869-9AC1-0390CE951595}">
    <filterColumn colId="6">
      <filters>
        <filter val="اصغر نورعلی"/>
      </filters>
    </filterColumn>
  </autoFilter>
  <sortState xmlns:xlrd2="http://schemas.microsoft.com/office/spreadsheetml/2017/richdata2" ref="A3:AF2659">
    <sortCondition ref="C2:C2659"/>
  </sortState>
  <tableColumns count="32">
    <tableColumn id="5" xr3:uid="{A7B8C8B0-11C2-4DB8-806D-DB9369ED3FA7}" uniqueName="5" name="ردیف" queryTableFieldId="5" dataDxfId="139" totalsRowDxfId="31">
      <calculatedColumnFormula>ROW()-ROW(INDEX(Main[ردیف],1))+1</calculatedColumnFormula>
    </tableColumn>
    <tableColumn id="6" xr3:uid="{8A88A2EE-1AA9-4A16-8823-6B799CFF20BD}" uniqueName="6" name="شمارش" queryTableFieldId="6" dataDxfId="138" totalsRowDxfId="30">
      <calculatedColumnFormula>SUBTOTAL(2,INDEX(Main[ردیف],1):Main[[#This Row],[ردیف]])</calculatedColumnFormula>
    </tableColumn>
    <tableColumn id="1" xr3:uid="{E2B5C0E9-49CF-413F-847A-895EBF4FE1D7}" uniqueName="1" name="تاريخ" queryTableFieldId="1" dataDxfId="137" totalsRowDxfId="29"/>
    <tableColumn id="42" xr3:uid="{31268935-59D9-4864-B1DA-E273FE193F8C}" uniqueName="42" name="تاریخ کامل" queryTableFieldId="42" dataDxfId="136" totalsRowDxfId="28">
      <calculatedColumnFormula>_xlfn.CONCAT("14",Main[[#This Row],[تاريخ]])</calculatedColumnFormula>
    </tableColumn>
    <tableColumn id="2" xr3:uid="{38974831-56B0-4A34-B675-2950252ACF00}" uniqueName="2" name="تاريخ میلادی" queryTableFieldId="2" dataDxfId="135" totalsRowDxfId="27"/>
    <tableColumn id="3" xr3:uid="{D6E03FDE-4839-4BCF-80F9-38799B2268D8}" uniqueName="3" name="کد ردیابی" queryTableFieldId="3" dataDxfId="134" totalsRowDxfId="26"/>
    <tableColumn id="7" xr3:uid="{C3D3650C-A1C6-4816-87BE-3F2147BBDF55}" uniqueName="7" name="نام مشتری" queryTableFieldId="7" dataDxfId="133" totalsRowDxfId="25">
      <calculatedColumnFormula>INDEX(customer[عنوان],MATCH(Main[[#This Row],[کد ردیابی]],customer[کد],0))</calculatedColumnFormula>
    </tableColumn>
    <tableColumn id="4" xr3:uid="{0C6D6DB7-7492-498F-A888-6AD01AA44D30}" uniqueName="4" name="مقدار (کیلوگرم)" totalsRowFunction="sum" queryTableFieldId="4" totalsRowDxfId="24"/>
    <tableColumn id="11" xr3:uid="{75BB0FA2-1941-4704-B2D7-934803468FEE}" uniqueName="11" name="مقدار تسویه شده (کیلوگرم)" totalsRowFunction="sum" queryTableFieldId="11" dataDxfId="132" totalsRowDxfId="23">
      <calculatedColumnFormula>-Main[[#This Row],[بدهی تسویه شده (کیلوگرم)]]+Main[[#This Row],[بستانکار (کیلوگرم)]]</calculatedColumnFormula>
    </tableColumn>
    <tableColumn id="13" xr3:uid="{54E2001B-BB0C-4485-9465-AC82B17C15B5}" uniqueName="13" name="بستانکار (کیلوگرم)" totalsRowFunction="sum" queryTableFieldId="13" dataDxfId="131" totalsRowDxfId="22">
      <calculatedColumnFormula>IF(Main[[#This Row],[مقدار (کیلوگرم)]]&gt;0,Main[[#This Row],[مقدار (کیلوگرم)]],0)</calculatedColumnFormula>
    </tableColumn>
    <tableColumn id="14" xr3:uid="{0086DBDD-A836-47BE-A3EB-E95D50B9CB6A}" uniqueName="14" name="بدهکار (کیلوگرم)" totalsRowFunction="sum" queryTableFieldId="14" dataDxfId="130" totalsRowDxfId="21">
      <calculatedColumnFormula>-IF(Main[[#This Row],[مقدار (کیلوگرم)]]&lt;0,Main[[#This Row],[مقدار (کیلوگرم)]],0)</calculatedColumnFormula>
    </tableColumn>
    <tableColumn id="15" xr3:uid="{D18163B1-FC8B-4B41-80DF-7EBD91AD4AEA}" uniqueName="15" name="تفکیک" queryTableFieldId="15" dataDxfId="129" totalsRowDxfId="20">
      <calculatedColumnFormula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calculatedColumnFormula>
    </tableColumn>
    <tableColumn id="16" xr3:uid="{4BAA8B30-CE64-4278-BDB2-2085350BAD50}" uniqueName="16" name="سفارش ارسال شده (کیلوگرم)" totalsRowFunction="sum" queryTableFieldId="16" dataDxfId="128" totalsRowDxfId="19">
      <calculatedColumnFormula>-IF(AND(Main[[#This Row],[مقدار (کیلوگرم)]]&lt;0,Main[[#This Row],[تاريخ میلادی]]&gt;44276),Main[[#This Row],[مقدار (کیلوگرم)]],0)</calculatedColumnFormula>
    </tableColumn>
    <tableColumn id="17" xr3:uid="{4169CCD5-5376-4C0F-83E5-594C286AB214}" uniqueName="17" name="بدهی تسویه شده (کیلوگرم)" totalsRowFunction="sum" queryTableFieldId="17" dataDxfId="127" totalsRowDxfId="18">
      <calculatedColumnFormula>Main[[#This Row],[بدهکار (کیلوگرم)]]-Main[[#This Row],[بدهی تسویه نشده (کیلوگرم)]]</calculatedColumnFormula>
    </tableColumn>
    <tableColumn id="18" xr3:uid="{CA68236F-E91E-426D-9FA5-755B07568C31}" uniqueName="18" name="بدهی تسویه نشده (کیلوگرم)" totalsRowFunction="sum" queryTableFieldId="18" dataDxfId="126" totalsRowDxfId="17">
      <calculatedColumnFormula>Main[[#This Row],[تفکیک]]</calculatedColumnFormula>
    </tableColumn>
    <tableColumn id="19" xr3:uid="{55BDB74E-D29F-4DA1-97E0-10D4F2686485}" uniqueName="19" name="بدهی سررسید شده (کیلوگرم)" totalsRowFunction="sum" queryTableFieldId="19" dataDxfId="125" totalsRowDxfId="16">
      <calculatedColumnFormula>IF(Main[[#This Row],[تاخیر از سررسید]]&gt;0,Main[[#This Row],[بدهی تسویه نشده (کیلوگرم)]],0)</calculatedColumnFormula>
    </tableColumn>
    <tableColumn id="20" xr3:uid="{BB6F9F74-5EBA-45AC-A86F-E8A75CBC8C09}" uniqueName="20" name="روز از ارسال سفارش" queryTableFieldId="20" dataDxfId="124" totalsRowDxfId="15">
      <calculatedColumnFormula>IF(Main[[#This Row],[بدهی تسویه نشده (کیلوگرم)]]&gt;0,'گزارش فردی'!$B$7-Main[[#This Row],[تاريخ میلادی]],0)</calculatedColumnFormula>
    </tableColumn>
    <tableColumn id="21" xr3:uid="{C0D24A55-418D-44C6-89A1-323F343CFEDD}" uniqueName="21" name="تاخیر از سررسید" queryTableFieldId="21" dataDxfId="123" totalsRowDxfId="14">
      <calculatedColumnFormula>IF(Main[[#This Row],[بدهی تسویه نشده (کیلوگرم)]]&gt;0,'گزارش فردی'!$B$7-Main[[#This Row],[تاريخ میلادی]]-'گزارش فردی'!$B$8,0)</calculatedColumnFormula>
    </tableColumn>
    <tableColumn id="22" xr3:uid="{952554AA-CB9D-42FB-9427-CC41CC96A571}" uniqueName="22" name="تسویه نشده × روز از ارسال" totalsRowFunction="sum" queryTableFieldId="22" dataDxfId="122" totalsRowDxfId="13">
      <calculatedColumnFormula>Main[[#This Row],[روز از ارسال سفارش]]*Main[[#This Row],[بدهی تسویه نشده (کیلوگرم)]]</calculatedColumnFormula>
    </tableColumn>
    <tableColumn id="23" xr3:uid="{E671852B-8630-421E-B001-735F900E7097}" uniqueName="23" name="سررسید شده × روز از ارسال" totalsRowFunction="sum" queryTableFieldId="23" dataDxfId="121" totalsRowDxfId="12">
      <calculatedColumnFormula>Main[[#This Row],[بدهی سررسید شده (کیلوگرم)]]*Main[[#This Row],[روز از ارسال سفارش]]</calculatedColumnFormula>
    </tableColumn>
    <tableColumn id="24" xr3:uid="{27B435D2-0230-4C09-AAA4-991A98E92E9B}" uniqueName="24" name="مانده در خط کل (کیلوگرم)" queryTableFieldId="24" dataDxfId="120" totalsRowDxfId="11">
      <calculatedColumnFormula>-SUBTOTAL(9,INDEX(Main[مقدار (کیلوگرم)],1):Main[[#This Row],[مقدار (کیلوگرم)]])</calculatedColumnFormula>
    </tableColumn>
    <tableColumn id="25" xr3:uid="{5E027219-95DB-4695-8EF5-7CF22D621079}" uniqueName="25" name="تعداد کل روزهای بدهکار (روز)" totalsRowFunction="sum" queryTableFieldId="25" dataDxfId="119" totalsRowDxfId="10">
      <calculatedColumnFormula>IFERROR(INDEX(Main[تاريخ میلادی],MATCH(Main[[#This Row],[شمارش]]+1,Main[شمارش],0))-Main[[#This Row],[تاريخ میلادی]],'گزارش فردی'!$B$7-Main[[#This Row],[تاريخ میلادی]])</calculatedColumnFormula>
    </tableColumn>
    <tableColumn id="26" xr3:uid="{78D3C959-6E08-4F1C-A151-632094BD04F1}" uniqueName="26" name="مانده در خط کل × وزن" totalsRowFunction="sum" queryTableFieldId="26" dataDxfId="118" totalsRowDxfId="9">
      <calculatedColumnFormula>Main[[#This Row],[تعداد کل روزهای بدهکار (روز)]]*Main[[#This Row],[مانده در خط کل (کیلوگرم)]]</calculatedColumnFormula>
    </tableColumn>
    <tableColumn id="27" xr3:uid="{106A4764-606A-446E-BC74-35CBEEA08438}" uniqueName="27" name="مانده در خط تسویه شده (کیلوگرم)" queryTableFieldId="27" dataDxfId="117" totalsRowDxfId="8">
      <calculatedColumnFormula>-SUBTOTAL(9,INDEX(Main[مقدار تسویه شده (کیلوگرم)],1):Main[[#This Row],[مقدار تسویه شده (کیلوگرم)]])</calculatedColumnFormula>
    </tableColumn>
    <tableColumn id="28" xr3:uid="{316C0ED0-D989-48C2-8BA0-E993A149850B}" uniqueName="28" name="تعداد روزهای بدهکار تسویه شده (روز)" totalsRowFunction="sum" queryTableFieldId="28" dataDxfId="116" totalsRowDxfId="7">
      <calculatedColumnFormula>IF(Main[[#This Row],[مانده در خط تسویه شده (کیلوگرم)]]&lt;&gt;0,Main[[#This Row],[تعداد کل روزهای بدهکار (روز)]],0)</calculatedColumnFormula>
    </tableColumn>
    <tableColumn id="29" xr3:uid="{2C926DE1-DF6D-40CA-A8FC-F6CE20820CFE}" uniqueName="29" name="مانده در خط تسویه شده × وزن" totalsRowFunction="sum" queryTableFieldId="29" dataDxfId="115" totalsRowDxfId="6">
      <calculatedColumnFormula>Main[[#This Row],[تعداد روزهای بدهکار تسویه شده (روز)]]*Main[[#This Row],[مانده در خط تسویه شده (کیلوگرم)]]</calculatedColumnFormula>
    </tableColumn>
    <tableColumn id="30" xr3:uid="{2BBEE6EC-0E64-4243-A7C8-9BB009E3AC3A}" uniqueName="30" name="مانده در خط تسویه نشده (کیلوگرم)" queryTableFieldId="30" dataDxfId="114" totalsRowDxfId="5">
      <calculatedColumnFormula>SUBTOTAL(9,INDEX(Main[بدهی تسویه نشده (کیلوگرم)],1):Main[[#This Row],[بدهی تسویه نشده (کیلوگرم)]])</calculatedColumnFormula>
    </tableColumn>
    <tableColumn id="31" xr3:uid="{0713CDA4-1010-4A75-AB45-4D6AF2A9336B}" uniqueName="31" name="تعداد روزهای بدهکار  تسویه نشده (روز)" totalsRowFunction="sum" queryTableFieldId="31" dataDxfId="113" totalsRowDxfId="4">
      <calculatedColumnFormula>IF(Main[[#This Row],[مانده در خط تسویه نشده (کیلوگرم)]]&lt;&gt;0,Main[[#This Row],[تعداد کل روزهای بدهکار (روز)]],0)</calculatedColumnFormula>
    </tableColumn>
    <tableColumn id="32" xr3:uid="{9C365334-A049-45F9-B5EB-08B0F5BB6A32}" uniqueName="32" name="مانده در خط تسویه نشده × وزن" totalsRowFunction="sum" queryTableFieldId="32" dataDxfId="112" totalsRowDxfId="3">
      <calculatedColumnFormula>Main[[#This Row],[تعداد روزهای بدهکار  تسویه نشده (روز)]]*Main[[#This Row],[مانده در خط تسویه نشده (کیلوگرم)]]</calculatedColumnFormula>
    </tableColumn>
    <tableColumn id="33" xr3:uid="{FF544C86-2AB9-457E-8C6B-196F7254F59D}" uniqueName="33" name="مانده در خط سررسید شده (کیلوگرم)" queryTableFieldId="33" dataDxfId="111" totalsRowDxfId="2">
      <calculatedColumnFormula>SUBTOTAL(9,INDEX(Main[بدهی سررسید شده (کیلوگرم)],1):Main[[#This Row],[بدهی سررسید شده (کیلوگرم)]])</calculatedColumnFormula>
    </tableColumn>
    <tableColumn id="34" xr3:uid="{66B44398-98BA-4769-9F64-68AEAEB9A25C}" uniqueName="34" name="تعداد روزهای بدهکار سررسید شده (روز)" totalsRowFunction="sum" queryTableFieldId="34" dataDxfId="110" totalsRowDxfId="1">
      <calculatedColumnFormula>IF(Main[[#This Row],[مانده در خط سررسید شده (کیلوگرم)]]&lt;&gt;0,Main[[#This Row],[تعداد کل روزهای بدهکار (روز)]],0)</calculatedColumnFormula>
    </tableColumn>
    <tableColumn id="35" xr3:uid="{7148D189-A570-4F51-9681-C2A5092728C5}" uniqueName="35" name="مانده در خط سررسید شده × وزن" totalsRowFunction="sum" queryTableFieldId="35" dataDxfId="109" totalsRowDxfId="0">
      <calculatedColumnFormula>Main[[#This Row],[تعداد روزهای بدهکار سررسید شده (روز)]]*Main[[#This Row],[مانده در خط سررسید شده (کیلوگرم)]]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89CD8B-25D6-419C-A38C-15B084D8D5B2}" name="Table24" displayName="Table24" ref="A3:B9" totalsRowShown="0" headerRowDxfId="108">
  <tableColumns count="2">
    <tableColumn id="1" xr3:uid="{8CD318F1-84E6-44F7-B8B4-8EDB74307653}" name="عنوان" dataDxfId="107"/>
    <tableColumn id="2" xr3:uid="{266EC27D-27B6-42FD-BB8D-F2E53A41D8B4}" name="داده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9B97D4-60F1-4F1B-A4FE-6CDF431EFEAD}" name="Table5" displayName="Table5" ref="E3:J7" totalsRowShown="0" headerRowDxfId="106">
  <tableColumns count="6">
    <tableColumn id="1" xr3:uid="{9F9572D6-A491-4C38-BBD3-F4E0CB9EAD2F}" name="عنوان"/>
    <tableColumn id="2" xr3:uid="{F3F77C5A-E74E-4CBE-8680-5815A6FF261C}" name="کل سفارش (کیلوگرم)" dataDxfId="105">
      <calculatedColumnFormula>#REF!</calculatedColumnFormula>
    </tableColumn>
    <tableColumn id="3" xr3:uid="{D012A034-4AFC-4AFD-B635-5DC296DECB38}" name="طول دوره" dataDxfId="104">
      <calculatedColumnFormula>#REF!</calculatedColumnFormula>
    </tableColumn>
    <tableColumn id="5" xr3:uid="{E047B613-618B-45C1-93CA-B7157C2E4EF4}" name="متوسط بدهی ثابت (کیلوگرم)" dataDxfId="103">
      <calculatedColumnFormula>#REF!/#REF!</calculatedColumnFormula>
    </tableColumn>
    <tableColumn id="4" xr3:uid="{20881A22-D40E-40A1-95DB-61635903F59F}" name="متوسط زمان تسویه سفارش (روز)" dataDxfId="102">
      <calculatedColumnFormula>#REF!/#REF!</calculatedColumnFormula>
    </tableColumn>
    <tableColumn id="6" xr3:uid="{C6411DC2-2DC6-458F-8837-0FD34903B3F1}" name="متوسط ارسال بار روزانه (کیلوگرم)" dataDxfId="101">
      <calculatedColumnFormula>Table5[[#This Row],[کل سفارش (کیلوگرم)]]/Table5[[#This Row],[طول دوره]]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B001A9-BC4B-4D8A-BDE6-9A97501C9398}" name="IndReport" displayName="IndReport" ref="N3:X4" totalsRowShown="0" headerRowDxfId="100">
  <tableColumns count="11">
    <tableColumn id="2" xr3:uid="{A3A8CD45-F923-4297-9A1B-9B4E2CE4CF70}" name="کد تفصیلی" dataDxfId="99">
      <calculatedColumnFormula>O2</calculatedColumnFormula>
    </tableColumn>
    <tableColumn id="1" xr3:uid="{1624D9B6-A094-4653-B243-947B0E38334A}" name="نام مشتری">
      <calculatedColumnFormula>N2</calculatedColumnFormula>
    </tableColumn>
    <tableColumn id="3" xr3:uid="{BF3F5882-2B5B-4F32-B959-638DDA385401}" name="مانده حساب (کیلوگرم)" dataDxfId="98"/>
    <tableColumn id="4" xr3:uid="{51F2F2E4-42D1-46A3-A862-6B7C29038108}" name="متوسط بدهی ثابت (کیلوگرم)" dataDxfId="97">
      <calculatedColumnFormula>H5</calculatedColumnFormula>
    </tableColumn>
    <tableColumn id="5" xr3:uid="{7C8AA8AF-075C-4D70-AEE6-751D9868A1C8}" name="متوسط زمان تسویه (روز)" dataDxfId="96">
      <calculatedColumnFormula>I5</calculatedColumnFormula>
    </tableColumn>
    <tableColumn id="6" xr3:uid="{5157B605-70D4-4C6D-ADB6-78B2354E905A}" name="تسویه نشده (کیلوگرم)" dataDxfId="95">
      <calculatedColumnFormula>F6</calculatedColumnFormula>
    </tableColumn>
    <tableColumn id="7" xr3:uid="{0F19F27D-0C75-447E-8FE3-A2F203CE08E5}" name="بازه تسویه نشده (روز)" dataDxfId="94">
      <calculatedColumnFormula>G6</calculatedColumnFormula>
    </tableColumn>
    <tableColumn id="8" xr3:uid="{C9DCB953-CB61-4DE0-AC9F-36038C1704BA}" name="متوسط زمان تسویه نشده (روز)" dataDxfId="93">
      <calculatedColumnFormula>I6</calculatedColumnFormula>
    </tableColumn>
    <tableColumn id="9" xr3:uid="{D1F0350D-9F22-48CC-8ADB-76B6740406D3}" name="سررسید شده (کیلوگرم)" dataDxfId="92">
      <calculatedColumnFormula>F7</calculatedColumnFormula>
    </tableColumn>
    <tableColumn id="10" xr3:uid="{239FF574-0AAC-4809-926B-AF6780C2C7DE}" name="بازه سررسید شده (روز)" dataDxfId="91">
      <calculatedColumnFormula>G7</calculatedColumnFormula>
    </tableColumn>
    <tableColumn id="11" xr3:uid="{42DC9282-416C-402C-B874-0F3C83A4CD97}" name="متوسط زمان سررسید شده (روز)" dataDxfId="90">
      <calculatedColumnFormula>I7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2CB9FE8-0A8F-4A1C-B540-1203CC92132D}" name="Filter" displayName="Filter" ref="A11:B389" totalsRowShown="0">
  <autoFilter ref="A11:B389" xr:uid="{12CB9FE8-0A8F-4A1C-B540-1203CC92132D}">
    <filterColumn colId="0">
      <filters>
        <filter val="شیر گاز آذران"/>
      </filters>
    </filterColumn>
  </autoFilter>
  <tableColumns count="2">
    <tableColumn id="1" xr3:uid="{20DAE769-BEFC-4B0B-BC6A-F43FC0F06512}" name="نام مشتری"/>
    <tableColumn id="2" xr3:uid="{B52EDD36-0012-48A4-BD30-0A357D88DFF5}" name="کد تفصیلی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040738-A0AC-45FA-A845-E728F0616C00}" name="CollReport" displayName="CollReport" ref="C3:N180" totalsRowCount="1" headerRowDxfId="89">
  <autoFilter ref="C3:N179" xr:uid="{A8040738-A0AC-45FA-A845-E728F0616C00}">
    <filterColumn colId="3">
      <customFilters>
        <customFilter operator="greaterThan" val="0"/>
      </customFilters>
    </filterColumn>
    <filterColumn colId="11">
      <filters>
        <filter val="168"/>
        <filter val="216"/>
        <filter val="218"/>
        <filter val="281"/>
      </filters>
    </filterColumn>
  </autoFilter>
  <sortState xmlns:xlrd2="http://schemas.microsoft.com/office/spreadsheetml/2017/richdata2" ref="C4:N4">
    <sortCondition descending="1" ref="F3:F4"/>
  </sortState>
  <tableColumns count="12">
    <tableColumn id="12" xr3:uid="{3779B478-D99C-44C7-B3C3-5FE248D02CA1}" name="ردیف" totalsRowLabel="جمع کل" dataDxfId="88">
      <calculatedColumnFormula>SUBTOTAL(2,INDEX(CollReport[کد تفصیلی],1):CollReport[[#This Row],[کد تفصیلی]])</calculatedColumnFormula>
    </tableColumn>
    <tableColumn id="2" xr3:uid="{B241F300-0D0A-48C5-B930-DCD43C6F1A58}" name="کد تفصیلی" dataDxfId="87"/>
    <tableColumn id="1" xr3:uid="{87E2910F-AD40-4016-910E-5748DA642014}" name="نام مشتری" dataDxfId="86">
      <calculatedColumnFormula>INDEX(customer[عنوان],MATCH(CollReport[[#This Row],[کد تفصیلی]],customer[کد],0))</calculatedColumnFormula>
    </tableColumn>
    <tableColumn id="3" xr3:uid="{61EB7846-BCFF-4B01-A35B-020CEF9FEDA0}" name="مانده حساب (کیلوگرم)" totalsRowFunction="sum" dataDxfId="85" totalsRowDxfId="84"/>
    <tableColumn id="4" xr3:uid="{D2185F0C-4721-4D34-AA91-DFF73B19AF0B}" name="متوسط بدهی ثابت (کیلوگرم)" dataDxfId="83" totalsRowDxfId="82"/>
    <tableColumn id="5" xr3:uid="{00DDBBC8-2DDF-4D7C-8821-F984AE506B91}" name="متوسط زمان تسویه (روز)" dataDxfId="81" totalsRowDxfId="80"/>
    <tableColumn id="6" xr3:uid="{F29CA981-C641-4F49-B966-00C2D746A651}" name="تسویه نشده (کیلوگرم)" totalsRowFunction="sum" dataDxfId="79" totalsRowDxfId="78"/>
    <tableColumn id="7" xr3:uid="{A268CD26-595C-46FA-B166-4AD06D026641}" name="بازه تسویه نشده (روز)" dataDxfId="77" totalsRowDxfId="76"/>
    <tableColumn id="8" xr3:uid="{E96E6DBF-C2A9-421D-B124-90E2B85F11E6}" name="متوسط زمان تسویه نشده (روز)" dataDxfId="75" totalsRowDxfId="74"/>
    <tableColumn id="9" xr3:uid="{C7860176-BE10-42A2-95BC-6E10DBBD3F32}" name="سررسید ۱۵ روزه (کیلوگرم)" totalsRowFunction="sum" dataDxfId="73" totalsRowDxfId="72"/>
    <tableColumn id="10" xr3:uid="{13D71299-C978-404C-B059-0DFCF41FA399}" name="بازه سررسید شده (روز)" dataDxfId="71" totalsRowDxfId="70"/>
    <tableColumn id="11" xr3:uid="{18C4B9A3-5A4A-457C-9B7B-8C3ECAFC8DD4}" name="متوسط زمان سررسید شده (روز)" dataDxfId="69" totalsRowDxfId="68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3A4F87C-35FA-494D-BEAF-6B0021DF31EC}" name="Table11" displayName="Table11" ref="D181:N183" totalsRowShown="0" headerRowDxfId="67" dataDxfId="66">
  <tableColumns count="11">
    <tableColumn id="1" xr3:uid="{EE738E60-DCB7-45F7-8021-329B5D0F1D6B}" name="کد تفصیلی" dataDxfId="65"/>
    <tableColumn id="2" xr3:uid="{38392C6E-ECCD-4495-8538-D06575BECC0A}" name="عنوان" dataDxfId="64"/>
    <tableColumn id="3" xr3:uid="{77902E2B-D347-44CE-A9CF-0803F3236A93}" name="مانده حساب (کیلوگرم)" dataDxfId="63"/>
    <tableColumn id="4" xr3:uid="{62FE4145-10CA-479F-97DB-496D39CE093B}" name="متوسط بدهی ثابت (کیلوگرم)" dataDxfId="62"/>
    <tableColumn id="5" xr3:uid="{718848C0-2809-4DAD-A6B4-5006FE7D3C58}" name="متوسط زمان تسویه (روز)" dataDxfId="61"/>
    <tableColumn id="6" xr3:uid="{A2C2201B-6E35-40DA-800C-20164B960ED3}" name="تسویه نشده (کیلوگرم)" dataDxfId="60"/>
    <tableColumn id="7" xr3:uid="{D606CC0E-EE1C-4B62-A9E4-12D0B2C9DAA0}" name="بازه تسویه نشده (روز)" dataDxfId="59"/>
    <tableColumn id="8" xr3:uid="{2C192925-5AE2-4C48-83EB-0AFB818EB7F2}" name="متوسط زمان تسویه نشده (روز)" dataDxfId="58"/>
    <tableColumn id="9" xr3:uid="{CCED89B9-843A-4053-9C51-D8034C8D6000}" name="سررسید شده (کیلوگرم)" dataDxfId="57"/>
    <tableColumn id="10" xr3:uid="{C240E067-C44A-40A4-A37D-E34183263A22}" name="بازه سررسید شده (روز)" dataDxfId="56"/>
    <tableColumn id="11" xr3:uid="{4E38FB8B-CA16-4062-A227-921E8819FD12}" name="متوسط زمان سررسید شده (روز)" dataDxfId="55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3BCC00-C5FD-4BBB-BD77-7B49D7533E0B}" name="Table4" displayName="Table4" ref="B3:D21" totalsRowShown="0">
  <autoFilter ref="B3:D21" xr:uid="{713BCC00-C5FD-4BBB-BD77-7B49D7533E0B}"/>
  <tableColumns count="3">
    <tableColumn id="1" xr3:uid="{A7DD7FBB-A3BE-47BB-BB0E-5F06103053A4}" name="تاریخ" dataDxfId="53"/>
    <tableColumn id="2" xr3:uid="{A4F52661-ADB6-4FB2-ABCD-48F200A85576}" name="مانده در خط (کیلوگرم)" dataDxfId="52">
      <calculatedColumnFormula>INDEX(Main[مانده در خط کل (کیلوگرم)],MATCH(Table4[[#This Row],[تاریخ]],Main[تاريخ میلادی],1))</calculatedColumnFormula>
    </tableColumn>
    <tableColumn id="4" xr3:uid="{DBD2D55A-615A-4955-A889-71455119D69A}" name="متوسط بدهی (کیلوگرم)" dataDxfId="51">
      <calculatedColumnFormula>'گزارش فردی'!$H$5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ABDC50-30BD-466F-A37A-84F02AA11054}" name="Table10" displayName="Table10" ref="B2:B44" totalsRowShown="0" headerRowDxfId="48" dataDxfId="47">
  <tableColumns count="1">
    <tableColumn id="1" xr3:uid="{A9F639FB-3617-43D1-9D56-6BF4E68A6DAA}" name="کد ردیابی" dataDxfId="46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15E9A0C-62D8-46E4-9E14-086CFCC88E3C}" name="Table16" displayName="Table16" ref="B2:E34" totalsRowCount="1" headerRowDxfId="42" headerRowBorderDxfId="41" tableBorderDxfId="40">
  <autoFilter ref="B2:E33" xr:uid="{715E9A0C-62D8-46E4-9E14-086CFCC88E3C}">
    <filterColumn colId="3">
      <filters>
        <filter val="1.62"/>
        <filter val="11.62"/>
        <filter val="12.62"/>
        <filter val="14.62"/>
        <filter val="19.62"/>
        <filter val="22.62"/>
        <filter val="24.62"/>
        <filter val="26.62"/>
        <filter val="28.62"/>
        <filter val="29.62"/>
        <filter val="31.62"/>
        <filter val="32.62"/>
        <filter val="4.62"/>
        <filter val="5.62"/>
        <filter val="6.62"/>
        <filter val="7.62"/>
        <filter val="8.62"/>
      </filters>
    </filterColumn>
  </autoFilter>
  <tableColumns count="4">
    <tableColumn id="1" xr3:uid="{217AAB23-ED70-4F60-B942-85964F00B1C0}" name="تاریخ سفارش" totalsRowLabel="جمع کل" dataDxfId="39" totalsRowDxfId="38"/>
    <tableColumn id="2" xr3:uid="{84586A98-9297-4F49-A1A3-314A175A3F6D}" name="وزن سفارس (کیلوگرم)" totalsRowFunction="sum" dataDxfId="37" totalsRowDxfId="36"/>
    <tableColumn id="3" xr3:uid="{728B0158-6386-4548-81AC-415AB12E35F7}" name="سفاله تسویه نشده (کیلوگرم)" totalsRowFunction="sum" dataDxfId="35" totalsRowDxfId="34"/>
    <tableColumn id="4" xr3:uid="{D701B991-D040-4B74-B973-86A4C67D3522}" name="روز از ارسال سفارش" dataDxfId="33" totalsRowDxfId="3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8CD01-712E-4272-9DF4-8725F2218AB7}">
  <sheetPr codeName="Sheet1"/>
  <dimension ref="A1:D1427"/>
  <sheetViews>
    <sheetView rightToLeft="1" zoomScale="140" zoomScaleNormal="140" workbookViewId="0">
      <selection activeCell="B12" sqref="B12"/>
    </sheetView>
  </sheetViews>
  <sheetFormatPr defaultRowHeight="14.5" x14ac:dyDescent="0.35"/>
  <cols>
    <col min="1" max="1" width="8.453125" bestFit="1" customWidth="1"/>
    <col min="2" max="2" width="15.81640625" bestFit="1" customWidth="1"/>
    <col min="3" max="3" width="9.26953125" bestFit="1" customWidth="1"/>
    <col min="4" max="4" width="14.26953125" bestFit="1" customWidth="1"/>
  </cols>
  <sheetData>
    <row r="1" spans="1:4" x14ac:dyDescent="0.35">
      <c r="A1" t="s">
        <v>0</v>
      </c>
      <c r="B1" t="s">
        <v>439</v>
      </c>
      <c r="C1" t="s">
        <v>427</v>
      </c>
      <c r="D1" t="s">
        <v>15</v>
      </c>
    </row>
    <row r="2" spans="1:4" x14ac:dyDescent="0.35">
      <c r="A2" t="s">
        <v>442</v>
      </c>
      <c r="B2" s="28">
        <v>44290</v>
      </c>
      <c r="C2" t="s">
        <v>444</v>
      </c>
      <c r="D2">
        <v>80</v>
      </c>
    </row>
    <row r="3" spans="1:4" x14ac:dyDescent="0.35">
      <c r="A3" t="s">
        <v>442</v>
      </c>
      <c r="B3" s="28">
        <v>44290</v>
      </c>
      <c r="C3" t="s">
        <v>444</v>
      </c>
      <c r="D3">
        <v>466</v>
      </c>
    </row>
    <row r="4" spans="1:4" x14ac:dyDescent="0.35">
      <c r="A4" t="s">
        <v>445</v>
      </c>
      <c r="B4" s="28">
        <v>44291</v>
      </c>
      <c r="C4" t="s">
        <v>507</v>
      </c>
      <c r="D4">
        <v>3398</v>
      </c>
    </row>
    <row r="5" spans="1:4" x14ac:dyDescent="0.35">
      <c r="A5" t="s">
        <v>445</v>
      </c>
      <c r="B5" s="28">
        <v>44291</v>
      </c>
      <c r="C5" t="s">
        <v>443</v>
      </c>
      <c r="D5">
        <v>1585</v>
      </c>
    </row>
    <row r="6" spans="1:4" x14ac:dyDescent="0.35">
      <c r="A6" t="s">
        <v>447</v>
      </c>
      <c r="B6" s="28">
        <v>44292</v>
      </c>
      <c r="C6" t="s">
        <v>449</v>
      </c>
      <c r="D6">
        <v>2500</v>
      </c>
    </row>
    <row r="7" spans="1:4" x14ac:dyDescent="0.35">
      <c r="A7" t="s">
        <v>447</v>
      </c>
      <c r="B7" s="28">
        <v>44292</v>
      </c>
      <c r="C7" t="s">
        <v>481</v>
      </c>
      <c r="D7">
        <v>1152</v>
      </c>
    </row>
    <row r="8" spans="1:4" x14ac:dyDescent="0.35">
      <c r="A8" t="s">
        <v>447</v>
      </c>
      <c r="B8" s="28">
        <v>44292</v>
      </c>
      <c r="C8" t="s">
        <v>481</v>
      </c>
      <c r="D8">
        <v>998</v>
      </c>
    </row>
    <row r="9" spans="1:4" x14ac:dyDescent="0.35">
      <c r="A9" t="s">
        <v>448</v>
      </c>
      <c r="B9" s="28">
        <v>44293</v>
      </c>
      <c r="C9" t="s">
        <v>441</v>
      </c>
      <c r="D9">
        <v>1094</v>
      </c>
    </row>
    <row r="10" spans="1:4" x14ac:dyDescent="0.35">
      <c r="A10" t="s">
        <v>448</v>
      </c>
      <c r="B10" s="28">
        <v>44293</v>
      </c>
      <c r="C10" t="s">
        <v>443</v>
      </c>
      <c r="D10">
        <v>2837</v>
      </c>
    </row>
    <row r="11" spans="1:4" x14ac:dyDescent="0.35">
      <c r="A11" t="s">
        <v>448</v>
      </c>
      <c r="B11" s="28">
        <v>44293</v>
      </c>
      <c r="C11" t="s">
        <v>449</v>
      </c>
      <c r="D11">
        <v>3212</v>
      </c>
    </row>
    <row r="12" spans="1:4" x14ac:dyDescent="0.35">
      <c r="A12" t="s">
        <v>448</v>
      </c>
      <c r="B12" s="28">
        <v>44293</v>
      </c>
      <c r="C12" t="s">
        <v>449</v>
      </c>
      <c r="D12">
        <v>2500</v>
      </c>
    </row>
    <row r="13" spans="1:4" x14ac:dyDescent="0.35">
      <c r="A13" t="s">
        <v>508</v>
      </c>
      <c r="B13" s="28">
        <v>44294</v>
      </c>
      <c r="C13" t="s">
        <v>507</v>
      </c>
      <c r="D13">
        <v>2055</v>
      </c>
    </row>
    <row r="14" spans="1:4" x14ac:dyDescent="0.35">
      <c r="A14" t="s">
        <v>452</v>
      </c>
      <c r="B14" s="28">
        <v>44276</v>
      </c>
      <c r="C14" t="s">
        <v>450</v>
      </c>
      <c r="D14">
        <v>21303</v>
      </c>
    </row>
    <row r="15" spans="1:4" x14ac:dyDescent="0.35">
      <c r="A15" t="s">
        <v>452</v>
      </c>
      <c r="B15" s="28">
        <v>44276</v>
      </c>
      <c r="C15" t="s">
        <v>509</v>
      </c>
      <c r="D15">
        <v>14006</v>
      </c>
    </row>
    <row r="16" spans="1:4" x14ac:dyDescent="0.35">
      <c r="A16" t="s">
        <v>452</v>
      </c>
      <c r="B16" s="28">
        <v>44276</v>
      </c>
      <c r="C16" t="s">
        <v>534</v>
      </c>
      <c r="D16">
        <v>4850</v>
      </c>
    </row>
    <row r="17" spans="1:4" x14ac:dyDescent="0.35">
      <c r="A17" t="s">
        <v>452</v>
      </c>
      <c r="B17" s="28">
        <v>44276</v>
      </c>
      <c r="C17" t="s">
        <v>515</v>
      </c>
      <c r="D17">
        <v>3984</v>
      </c>
    </row>
    <row r="18" spans="1:4" x14ac:dyDescent="0.35">
      <c r="A18" t="s">
        <v>452</v>
      </c>
      <c r="B18" s="28">
        <v>44276</v>
      </c>
      <c r="C18" t="s">
        <v>446</v>
      </c>
      <c r="D18">
        <v>2729</v>
      </c>
    </row>
    <row r="19" spans="1:4" x14ac:dyDescent="0.35">
      <c r="A19" t="s">
        <v>452</v>
      </c>
      <c r="B19" s="28">
        <v>44276</v>
      </c>
      <c r="C19" t="s">
        <v>664</v>
      </c>
      <c r="D19">
        <v>1554</v>
      </c>
    </row>
    <row r="20" spans="1:4" x14ac:dyDescent="0.35">
      <c r="A20" t="s">
        <v>452</v>
      </c>
      <c r="B20" s="28">
        <v>44276</v>
      </c>
      <c r="C20" t="s">
        <v>451</v>
      </c>
      <c r="D20">
        <v>1553</v>
      </c>
    </row>
    <row r="21" spans="1:4" x14ac:dyDescent="0.35">
      <c r="A21" t="s">
        <v>452</v>
      </c>
      <c r="B21" s="28">
        <v>44276</v>
      </c>
      <c r="C21" t="s">
        <v>441</v>
      </c>
      <c r="D21">
        <v>1214</v>
      </c>
    </row>
    <row r="22" spans="1:4" x14ac:dyDescent="0.35">
      <c r="A22" t="s">
        <v>452</v>
      </c>
      <c r="B22" s="28">
        <v>44276</v>
      </c>
      <c r="C22" t="s">
        <v>511</v>
      </c>
      <c r="D22">
        <v>649</v>
      </c>
    </row>
    <row r="23" spans="1:4" x14ac:dyDescent="0.35">
      <c r="A23" t="s">
        <v>452</v>
      </c>
      <c r="B23" s="28">
        <v>44276</v>
      </c>
      <c r="C23" t="s">
        <v>665</v>
      </c>
      <c r="D23">
        <v>363</v>
      </c>
    </row>
    <row r="24" spans="1:4" x14ac:dyDescent="0.35">
      <c r="A24" t="s">
        <v>452</v>
      </c>
      <c r="B24" s="28">
        <v>44276</v>
      </c>
      <c r="C24" t="s">
        <v>666</v>
      </c>
      <c r="D24">
        <v>289</v>
      </c>
    </row>
    <row r="25" spans="1:4" x14ac:dyDescent="0.35">
      <c r="A25" t="s">
        <v>452</v>
      </c>
      <c r="B25" s="28">
        <v>44276</v>
      </c>
      <c r="C25" t="s">
        <v>575</v>
      </c>
      <c r="D25">
        <v>210</v>
      </c>
    </row>
    <row r="26" spans="1:4" x14ac:dyDescent="0.35">
      <c r="A26" t="s">
        <v>452</v>
      </c>
      <c r="B26" s="28">
        <v>44276</v>
      </c>
      <c r="C26" t="s">
        <v>562</v>
      </c>
      <c r="D26">
        <v>206</v>
      </c>
    </row>
    <row r="27" spans="1:4" x14ac:dyDescent="0.35">
      <c r="A27" t="s">
        <v>452</v>
      </c>
      <c r="B27" s="28">
        <v>44276</v>
      </c>
      <c r="C27" t="s">
        <v>663</v>
      </c>
      <c r="D27">
        <v>178</v>
      </c>
    </row>
    <row r="28" spans="1:4" x14ac:dyDescent="0.35">
      <c r="A28" t="s">
        <v>452</v>
      </c>
      <c r="B28" s="28">
        <v>44276</v>
      </c>
      <c r="C28" t="s">
        <v>530</v>
      </c>
      <c r="D28">
        <v>157</v>
      </c>
    </row>
    <row r="29" spans="1:4" x14ac:dyDescent="0.35">
      <c r="A29" t="s">
        <v>452</v>
      </c>
      <c r="B29" s="28">
        <v>44276</v>
      </c>
      <c r="C29" t="s">
        <v>667</v>
      </c>
      <c r="D29">
        <v>127</v>
      </c>
    </row>
    <row r="30" spans="1:4" x14ac:dyDescent="0.35">
      <c r="A30" t="s">
        <v>452</v>
      </c>
      <c r="B30" s="28">
        <v>44276</v>
      </c>
      <c r="C30" t="s">
        <v>668</v>
      </c>
      <c r="D30">
        <v>118</v>
      </c>
    </row>
    <row r="31" spans="1:4" x14ac:dyDescent="0.35">
      <c r="A31" t="s">
        <v>452</v>
      </c>
      <c r="B31" s="28">
        <v>44276</v>
      </c>
      <c r="C31" t="s">
        <v>543</v>
      </c>
      <c r="D31">
        <v>90</v>
      </c>
    </row>
    <row r="32" spans="1:4" x14ac:dyDescent="0.35">
      <c r="A32" t="s">
        <v>452</v>
      </c>
      <c r="B32" s="28">
        <v>44276</v>
      </c>
      <c r="C32" t="s">
        <v>669</v>
      </c>
      <c r="D32">
        <v>66</v>
      </c>
    </row>
    <row r="33" spans="1:4" x14ac:dyDescent="0.35">
      <c r="A33" t="s">
        <v>452</v>
      </c>
      <c r="B33" s="28">
        <v>44276</v>
      </c>
      <c r="C33" t="s">
        <v>670</v>
      </c>
      <c r="D33">
        <v>61</v>
      </c>
    </row>
    <row r="34" spans="1:4" x14ac:dyDescent="0.35">
      <c r="A34" t="s">
        <v>452</v>
      </c>
      <c r="B34" s="28">
        <v>44276</v>
      </c>
      <c r="C34" t="s">
        <v>606</v>
      </c>
      <c r="D34">
        <v>38</v>
      </c>
    </row>
    <row r="35" spans="1:4" x14ac:dyDescent="0.35">
      <c r="A35" t="s">
        <v>452</v>
      </c>
      <c r="B35" s="28">
        <v>44276</v>
      </c>
      <c r="C35" t="s">
        <v>671</v>
      </c>
      <c r="D35">
        <v>36</v>
      </c>
    </row>
    <row r="36" spans="1:4" x14ac:dyDescent="0.35">
      <c r="A36" t="s">
        <v>452</v>
      </c>
      <c r="B36" s="28">
        <v>44276</v>
      </c>
      <c r="C36" t="s">
        <v>672</v>
      </c>
      <c r="D36">
        <v>33</v>
      </c>
    </row>
    <row r="37" spans="1:4" x14ac:dyDescent="0.35">
      <c r="A37" t="s">
        <v>452</v>
      </c>
      <c r="B37" s="28">
        <v>44276</v>
      </c>
      <c r="C37" t="s">
        <v>555</v>
      </c>
      <c r="D37">
        <v>27</v>
      </c>
    </row>
    <row r="38" spans="1:4" x14ac:dyDescent="0.35">
      <c r="A38" t="s">
        <v>452</v>
      </c>
      <c r="B38" s="28">
        <v>44276</v>
      </c>
      <c r="C38" t="s">
        <v>673</v>
      </c>
      <c r="D38">
        <v>13</v>
      </c>
    </row>
    <row r="39" spans="1:4" x14ac:dyDescent="0.35">
      <c r="A39" t="s">
        <v>452</v>
      </c>
      <c r="B39" s="28">
        <v>44276</v>
      </c>
      <c r="C39" t="s">
        <v>520</v>
      </c>
      <c r="D39">
        <v>12</v>
      </c>
    </row>
    <row r="40" spans="1:4" x14ac:dyDescent="0.35">
      <c r="A40" t="s">
        <v>452</v>
      </c>
      <c r="B40" s="28">
        <v>44276</v>
      </c>
      <c r="C40" t="s">
        <v>537</v>
      </c>
      <c r="D40">
        <v>11</v>
      </c>
    </row>
    <row r="41" spans="1:4" x14ac:dyDescent="0.35">
      <c r="A41" t="s">
        <v>452</v>
      </c>
      <c r="B41" s="28">
        <v>44276</v>
      </c>
      <c r="C41" t="s">
        <v>674</v>
      </c>
      <c r="D41">
        <v>8</v>
      </c>
    </row>
    <row r="42" spans="1:4" x14ac:dyDescent="0.35">
      <c r="A42" t="s">
        <v>452</v>
      </c>
      <c r="B42" s="28">
        <v>44276</v>
      </c>
      <c r="C42" t="s">
        <v>675</v>
      </c>
      <c r="D42">
        <v>8</v>
      </c>
    </row>
    <row r="43" spans="1:4" x14ac:dyDescent="0.35">
      <c r="A43" t="s">
        <v>452</v>
      </c>
      <c r="B43" s="28">
        <v>44276</v>
      </c>
      <c r="C43" t="s">
        <v>676</v>
      </c>
      <c r="D43">
        <v>6</v>
      </c>
    </row>
    <row r="44" spans="1:4" x14ac:dyDescent="0.35">
      <c r="A44" t="s">
        <v>452</v>
      </c>
      <c r="B44" s="28">
        <v>44276</v>
      </c>
      <c r="C44" t="s">
        <v>677</v>
      </c>
      <c r="D44">
        <v>6</v>
      </c>
    </row>
    <row r="45" spans="1:4" x14ac:dyDescent="0.35">
      <c r="A45" t="s">
        <v>452</v>
      </c>
      <c r="B45" s="28">
        <v>44276</v>
      </c>
      <c r="C45" t="s">
        <v>524</v>
      </c>
      <c r="D45">
        <v>5</v>
      </c>
    </row>
    <row r="46" spans="1:4" x14ac:dyDescent="0.35">
      <c r="A46" t="s">
        <v>452</v>
      </c>
      <c r="B46" s="28">
        <v>44276</v>
      </c>
      <c r="C46" t="s">
        <v>678</v>
      </c>
      <c r="D46">
        <v>4</v>
      </c>
    </row>
    <row r="47" spans="1:4" x14ac:dyDescent="0.35">
      <c r="A47" t="s">
        <v>452</v>
      </c>
      <c r="B47" s="28">
        <v>44276</v>
      </c>
      <c r="C47" t="s">
        <v>679</v>
      </c>
      <c r="D47">
        <v>4</v>
      </c>
    </row>
    <row r="48" spans="1:4" x14ac:dyDescent="0.35">
      <c r="A48" t="s">
        <v>452</v>
      </c>
      <c r="B48" s="28">
        <v>44276</v>
      </c>
      <c r="C48" t="s">
        <v>680</v>
      </c>
      <c r="D48">
        <v>3</v>
      </c>
    </row>
    <row r="49" spans="1:4" x14ac:dyDescent="0.35">
      <c r="A49" t="s">
        <v>452</v>
      </c>
      <c r="B49" s="28">
        <v>44276</v>
      </c>
      <c r="C49" t="s">
        <v>681</v>
      </c>
      <c r="D49">
        <v>2</v>
      </c>
    </row>
    <row r="50" spans="1:4" x14ac:dyDescent="0.35">
      <c r="A50" t="s">
        <v>452</v>
      </c>
      <c r="B50" s="28">
        <v>44276</v>
      </c>
      <c r="C50" t="s">
        <v>682</v>
      </c>
      <c r="D50">
        <v>2</v>
      </c>
    </row>
    <row r="51" spans="1:4" x14ac:dyDescent="0.35">
      <c r="A51" t="s">
        <v>452</v>
      </c>
      <c r="B51" s="28">
        <v>44276</v>
      </c>
      <c r="C51" t="s">
        <v>683</v>
      </c>
      <c r="D51">
        <v>2</v>
      </c>
    </row>
    <row r="52" spans="1:4" x14ac:dyDescent="0.35">
      <c r="A52" t="s">
        <v>452</v>
      </c>
      <c r="B52" s="28">
        <v>44276</v>
      </c>
      <c r="C52" t="s">
        <v>597</v>
      </c>
      <c r="D52">
        <v>2</v>
      </c>
    </row>
    <row r="53" spans="1:4" x14ac:dyDescent="0.35">
      <c r="A53" t="s">
        <v>452</v>
      </c>
      <c r="B53" s="28">
        <v>44276</v>
      </c>
      <c r="C53" t="s">
        <v>684</v>
      </c>
      <c r="D53">
        <v>1</v>
      </c>
    </row>
    <row r="54" spans="1:4" x14ac:dyDescent="0.35">
      <c r="A54" t="s">
        <v>508</v>
      </c>
      <c r="B54" s="28">
        <v>44294</v>
      </c>
      <c r="C54" t="s">
        <v>489</v>
      </c>
      <c r="D54">
        <v>536</v>
      </c>
    </row>
    <row r="55" spans="1:4" x14ac:dyDescent="0.35">
      <c r="A55" t="s">
        <v>508</v>
      </c>
      <c r="B55" s="28">
        <v>44294</v>
      </c>
      <c r="C55" t="s">
        <v>491</v>
      </c>
      <c r="D55">
        <v>730</v>
      </c>
    </row>
    <row r="56" spans="1:4" x14ac:dyDescent="0.35">
      <c r="A56" t="s">
        <v>510</v>
      </c>
      <c r="B56" s="28">
        <v>44296</v>
      </c>
      <c r="C56" t="s">
        <v>502</v>
      </c>
      <c r="D56">
        <v>1037</v>
      </c>
    </row>
    <row r="57" spans="1:4" x14ac:dyDescent="0.35">
      <c r="A57" t="s">
        <v>510</v>
      </c>
      <c r="B57" s="28">
        <v>44296</v>
      </c>
      <c r="C57" t="s">
        <v>507</v>
      </c>
      <c r="D57">
        <v>4539</v>
      </c>
    </row>
    <row r="58" spans="1:4" x14ac:dyDescent="0.35">
      <c r="A58" t="s">
        <v>510</v>
      </c>
      <c r="B58" s="28">
        <v>44296</v>
      </c>
      <c r="C58" t="s">
        <v>499</v>
      </c>
      <c r="D58">
        <v>1758</v>
      </c>
    </row>
    <row r="59" spans="1:4" x14ac:dyDescent="0.35">
      <c r="A59" t="s">
        <v>512</v>
      </c>
      <c r="B59" s="28">
        <v>44297</v>
      </c>
      <c r="C59" t="s">
        <v>507</v>
      </c>
      <c r="D59">
        <v>1953</v>
      </c>
    </row>
    <row r="60" spans="1:4" x14ac:dyDescent="0.35">
      <c r="A60" t="s">
        <v>512</v>
      </c>
      <c r="B60" s="28">
        <v>44297</v>
      </c>
      <c r="C60" t="s">
        <v>441</v>
      </c>
      <c r="D60">
        <v>488</v>
      </c>
    </row>
    <row r="61" spans="1:4" x14ac:dyDescent="0.35">
      <c r="A61" t="s">
        <v>512</v>
      </c>
      <c r="B61" s="28">
        <v>44297</v>
      </c>
      <c r="C61" t="s">
        <v>441</v>
      </c>
      <c r="D61">
        <v>777</v>
      </c>
    </row>
    <row r="62" spans="1:4" x14ac:dyDescent="0.35">
      <c r="A62" t="s">
        <v>512</v>
      </c>
      <c r="B62" s="28">
        <v>44297</v>
      </c>
      <c r="C62" t="s">
        <v>504</v>
      </c>
      <c r="D62">
        <v>2002</v>
      </c>
    </row>
    <row r="63" spans="1:4" x14ac:dyDescent="0.35">
      <c r="A63" t="s">
        <v>512</v>
      </c>
      <c r="B63" s="28">
        <v>44297</v>
      </c>
      <c r="C63" t="s">
        <v>443</v>
      </c>
      <c r="D63">
        <v>2434</v>
      </c>
    </row>
    <row r="64" spans="1:4" x14ac:dyDescent="0.35">
      <c r="A64" t="s">
        <v>514</v>
      </c>
      <c r="B64" s="28">
        <v>44298</v>
      </c>
      <c r="C64" t="s">
        <v>483</v>
      </c>
      <c r="D64">
        <v>5110</v>
      </c>
    </row>
    <row r="65" spans="1:4" x14ac:dyDescent="0.35">
      <c r="A65" t="s">
        <v>514</v>
      </c>
      <c r="B65" s="28">
        <v>44298</v>
      </c>
      <c r="C65" t="s">
        <v>450</v>
      </c>
      <c r="D65">
        <v>2766</v>
      </c>
    </row>
    <row r="66" spans="1:4" x14ac:dyDescent="0.35">
      <c r="A66" t="s">
        <v>516</v>
      </c>
      <c r="B66" s="28">
        <v>44299</v>
      </c>
      <c r="C66" t="s">
        <v>443</v>
      </c>
      <c r="D66">
        <v>2685</v>
      </c>
    </row>
    <row r="67" spans="1:4" x14ac:dyDescent="0.35">
      <c r="A67" t="s">
        <v>517</v>
      </c>
      <c r="B67" s="28">
        <v>44300</v>
      </c>
      <c r="C67" t="s">
        <v>507</v>
      </c>
      <c r="D67">
        <v>2122</v>
      </c>
    </row>
    <row r="68" spans="1:4" x14ac:dyDescent="0.35">
      <c r="A68" t="s">
        <v>517</v>
      </c>
      <c r="B68" s="28">
        <v>44300</v>
      </c>
      <c r="C68" t="s">
        <v>507</v>
      </c>
      <c r="D68">
        <v>992</v>
      </c>
    </row>
    <row r="69" spans="1:4" x14ac:dyDescent="0.35">
      <c r="A69" t="s">
        <v>517</v>
      </c>
      <c r="B69" s="28">
        <v>44300</v>
      </c>
      <c r="C69" t="s">
        <v>504</v>
      </c>
      <c r="D69">
        <v>2033</v>
      </c>
    </row>
    <row r="70" spans="1:4" x14ac:dyDescent="0.35">
      <c r="A70" t="s">
        <v>517</v>
      </c>
      <c r="B70" s="28">
        <v>44300</v>
      </c>
      <c r="C70" t="s">
        <v>495</v>
      </c>
      <c r="D70">
        <v>1061</v>
      </c>
    </row>
    <row r="71" spans="1:4" x14ac:dyDescent="0.35">
      <c r="A71" t="s">
        <v>517</v>
      </c>
      <c r="B71" s="28">
        <v>44300</v>
      </c>
      <c r="C71" t="s">
        <v>461</v>
      </c>
      <c r="D71">
        <v>344</v>
      </c>
    </row>
    <row r="72" spans="1:4" x14ac:dyDescent="0.35">
      <c r="A72" t="s">
        <v>517</v>
      </c>
      <c r="B72" s="28">
        <v>44300</v>
      </c>
      <c r="C72" t="s">
        <v>502</v>
      </c>
      <c r="D72">
        <v>999</v>
      </c>
    </row>
    <row r="73" spans="1:4" x14ac:dyDescent="0.35">
      <c r="A73" t="s">
        <v>518</v>
      </c>
      <c r="B73" s="28">
        <v>44301</v>
      </c>
      <c r="C73" t="s">
        <v>507</v>
      </c>
      <c r="D73">
        <v>3857</v>
      </c>
    </row>
    <row r="74" spans="1:4" x14ac:dyDescent="0.35">
      <c r="A74" t="s">
        <v>518</v>
      </c>
      <c r="B74" s="28">
        <v>44301</v>
      </c>
      <c r="C74" t="s">
        <v>472</v>
      </c>
      <c r="D74">
        <v>1750</v>
      </c>
    </row>
    <row r="75" spans="1:4" x14ac:dyDescent="0.35">
      <c r="A75" t="s">
        <v>518</v>
      </c>
      <c r="B75" s="28">
        <v>44301</v>
      </c>
      <c r="C75" t="s">
        <v>443</v>
      </c>
      <c r="D75">
        <v>2812</v>
      </c>
    </row>
    <row r="76" spans="1:4" x14ac:dyDescent="0.35">
      <c r="A76" t="s">
        <v>519</v>
      </c>
      <c r="B76" s="28">
        <v>44303</v>
      </c>
      <c r="C76" t="s">
        <v>507</v>
      </c>
      <c r="D76">
        <v>1843</v>
      </c>
    </row>
    <row r="77" spans="1:4" x14ac:dyDescent="0.35">
      <c r="A77" t="s">
        <v>519</v>
      </c>
      <c r="B77" s="28">
        <v>44303</v>
      </c>
      <c r="C77" t="s">
        <v>507</v>
      </c>
      <c r="D77">
        <v>4126</v>
      </c>
    </row>
    <row r="78" spans="1:4" x14ac:dyDescent="0.35">
      <c r="A78" t="s">
        <v>519</v>
      </c>
      <c r="B78" s="28">
        <v>44303</v>
      </c>
      <c r="C78" t="s">
        <v>507</v>
      </c>
      <c r="D78">
        <v>2103</v>
      </c>
    </row>
    <row r="79" spans="1:4" x14ac:dyDescent="0.35">
      <c r="A79" t="s">
        <v>519</v>
      </c>
      <c r="B79" s="28">
        <v>44303</v>
      </c>
      <c r="C79" t="s">
        <v>441</v>
      </c>
      <c r="D79">
        <v>1187</v>
      </c>
    </row>
    <row r="80" spans="1:4" x14ac:dyDescent="0.35">
      <c r="A80" t="s">
        <v>519</v>
      </c>
      <c r="B80" s="28">
        <v>44303</v>
      </c>
      <c r="C80" t="s">
        <v>492</v>
      </c>
      <c r="D80">
        <v>76</v>
      </c>
    </row>
    <row r="81" spans="1:4" x14ac:dyDescent="0.35">
      <c r="A81" t="s">
        <v>519</v>
      </c>
      <c r="B81" s="28">
        <v>44303</v>
      </c>
      <c r="C81" t="s">
        <v>441</v>
      </c>
      <c r="D81">
        <v>1213</v>
      </c>
    </row>
    <row r="82" spans="1:4" x14ac:dyDescent="0.35">
      <c r="A82" t="s">
        <v>519</v>
      </c>
      <c r="B82" s="28">
        <v>44303</v>
      </c>
      <c r="C82" t="s">
        <v>446</v>
      </c>
      <c r="D82">
        <v>522</v>
      </c>
    </row>
    <row r="83" spans="1:4" x14ac:dyDescent="0.35">
      <c r="A83" t="s">
        <v>519</v>
      </c>
      <c r="B83" s="28">
        <v>44303</v>
      </c>
      <c r="C83" t="s">
        <v>446</v>
      </c>
      <c r="D83">
        <v>1240</v>
      </c>
    </row>
    <row r="84" spans="1:4" x14ac:dyDescent="0.35">
      <c r="A84" t="s">
        <v>519</v>
      </c>
      <c r="B84" s="28">
        <v>44303</v>
      </c>
      <c r="C84" t="s">
        <v>446</v>
      </c>
      <c r="D84">
        <v>608</v>
      </c>
    </row>
    <row r="85" spans="1:4" x14ac:dyDescent="0.35">
      <c r="A85" t="s">
        <v>519</v>
      </c>
      <c r="B85" s="28">
        <v>44303</v>
      </c>
      <c r="C85" t="s">
        <v>450</v>
      </c>
      <c r="D85">
        <v>2902</v>
      </c>
    </row>
    <row r="86" spans="1:4" x14ac:dyDescent="0.35">
      <c r="A86" t="s">
        <v>512</v>
      </c>
      <c r="B86" s="28">
        <v>44297</v>
      </c>
      <c r="C86" t="s">
        <v>451</v>
      </c>
      <c r="D86">
        <v>100</v>
      </c>
    </row>
    <row r="87" spans="1:4" x14ac:dyDescent="0.35">
      <c r="A87" t="s">
        <v>514</v>
      </c>
      <c r="B87" s="28">
        <v>44298</v>
      </c>
      <c r="C87" t="s">
        <v>489</v>
      </c>
      <c r="D87">
        <v>372</v>
      </c>
    </row>
    <row r="88" spans="1:4" x14ac:dyDescent="0.35">
      <c r="A88" t="s">
        <v>516</v>
      </c>
      <c r="B88" s="28">
        <v>44299</v>
      </c>
      <c r="C88" t="s">
        <v>490</v>
      </c>
      <c r="D88">
        <v>529</v>
      </c>
    </row>
    <row r="89" spans="1:4" x14ac:dyDescent="0.35">
      <c r="A89" t="s">
        <v>516</v>
      </c>
      <c r="B89" s="28">
        <v>44299</v>
      </c>
      <c r="C89" t="s">
        <v>504</v>
      </c>
      <c r="D89">
        <v>1891</v>
      </c>
    </row>
    <row r="90" spans="1:4" x14ac:dyDescent="0.35">
      <c r="A90" t="s">
        <v>522</v>
      </c>
      <c r="B90" s="28">
        <v>44305</v>
      </c>
      <c r="C90" t="s">
        <v>526</v>
      </c>
      <c r="D90">
        <v>15153</v>
      </c>
    </row>
    <row r="91" spans="1:4" x14ac:dyDescent="0.35">
      <c r="A91" t="s">
        <v>522</v>
      </c>
      <c r="B91" s="28">
        <v>44305</v>
      </c>
      <c r="C91" t="s">
        <v>441</v>
      </c>
      <c r="D91">
        <v>1060</v>
      </c>
    </row>
    <row r="92" spans="1:4" x14ac:dyDescent="0.35">
      <c r="A92" t="s">
        <v>522</v>
      </c>
      <c r="B92" s="28">
        <v>44305</v>
      </c>
      <c r="C92" t="s">
        <v>441</v>
      </c>
      <c r="D92">
        <v>846</v>
      </c>
    </row>
    <row r="93" spans="1:4" x14ac:dyDescent="0.35">
      <c r="A93" t="s">
        <v>522</v>
      </c>
      <c r="B93" s="28">
        <v>44305</v>
      </c>
      <c r="C93" t="s">
        <v>501</v>
      </c>
      <c r="D93">
        <v>4084</v>
      </c>
    </row>
    <row r="94" spans="1:4" x14ac:dyDescent="0.35">
      <c r="A94" t="s">
        <v>522</v>
      </c>
      <c r="B94" s="28">
        <v>44305</v>
      </c>
      <c r="C94" t="s">
        <v>507</v>
      </c>
      <c r="D94">
        <v>3067</v>
      </c>
    </row>
    <row r="95" spans="1:4" x14ac:dyDescent="0.35">
      <c r="A95" t="s">
        <v>523</v>
      </c>
      <c r="B95" s="28">
        <v>44306</v>
      </c>
      <c r="C95" t="s">
        <v>484</v>
      </c>
      <c r="D95">
        <v>140</v>
      </c>
    </row>
    <row r="96" spans="1:4" x14ac:dyDescent="0.35">
      <c r="A96" t="s">
        <v>523</v>
      </c>
      <c r="B96" s="28">
        <v>44306</v>
      </c>
      <c r="C96" t="s">
        <v>524</v>
      </c>
      <c r="D96">
        <v>176</v>
      </c>
    </row>
    <row r="97" spans="1:4" x14ac:dyDescent="0.35">
      <c r="A97" t="s">
        <v>523</v>
      </c>
      <c r="B97" s="28">
        <v>44306</v>
      </c>
      <c r="C97" t="s">
        <v>441</v>
      </c>
      <c r="D97">
        <v>902</v>
      </c>
    </row>
    <row r="98" spans="1:4" x14ac:dyDescent="0.35">
      <c r="A98" t="s">
        <v>523</v>
      </c>
      <c r="B98" s="28">
        <v>44306</v>
      </c>
      <c r="C98" t="s">
        <v>489</v>
      </c>
      <c r="D98">
        <v>164</v>
      </c>
    </row>
    <row r="99" spans="1:4" x14ac:dyDescent="0.35">
      <c r="A99" t="s">
        <v>523</v>
      </c>
      <c r="B99" s="28">
        <v>44306</v>
      </c>
      <c r="C99" t="s">
        <v>497</v>
      </c>
      <c r="D99">
        <v>760</v>
      </c>
    </row>
    <row r="100" spans="1:4" x14ac:dyDescent="0.35">
      <c r="A100" t="s">
        <v>525</v>
      </c>
      <c r="B100" s="28">
        <v>44307</v>
      </c>
      <c r="C100" t="s">
        <v>446</v>
      </c>
      <c r="D100">
        <v>5089</v>
      </c>
    </row>
    <row r="101" spans="1:4" x14ac:dyDescent="0.35">
      <c r="A101" t="s">
        <v>525</v>
      </c>
      <c r="B101" s="28">
        <v>44307</v>
      </c>
      <c r="C101" t="s">
        <v>511</v>
      </c>
      <c r="D101">
        <v>1305</v>
      </c>
    </row>
    <row r="102" spans="1:4" x14ac:dyDescent="0.35">
      <c r="A102" t="s">
        <v>527</v>
      </c>
      <c r="B102" s="28">
        <v>44308</v>
      </c>
      <c r="C102" t="s">
        <v>443</v>
      </c>
      <c r="D102">
        <v>2918</v>
      </c>
    </row>
    <row r="103" spans="1:4" x14ac:dyDescent="0.35">
      <c r="A103" t="s">
        <v>529</v>
      </c>
      <c r="B103" s="28">
        <v>44311</v>
      </c>
      <c r="C103" t="s">
        <v>483</v>
      </c>
      <c r="D103">
        <v>5074</v>
      </c>
    </row>
    <row r="104" spans="1:4" x14ac:dyDescent="0.35">
      <c r="A104" t="s">
        <v>529</v>
      </c>
      <c r="B104" s="28">
        <v>44311</v>
      </c>
      <c r="C104" t="s">
        <v>506</v>
      </c>
      <c r="D104">
        <v>4845</v>
      </c>
    </row>
    <row r="105" spans="1:4" x14ac:dyDescent="0.35">
      <c r="A105" t="s">
        <v>529</v>
      </c>
      <c r="B105" s="28">
        <v>44311</v>
      </c>
      <c r="C105" t="s">
        <v>507</v>
      </c>
      <c r="D105">
        <v>4370</v>
      </c>
    </row>
    <row r="106" spans="1:4" x14ac:dyDescent="0.35">
      <c r="A106" t="s">
        <v>529</v>
      </c>
      <c r="B106" s="28">
        <v>44311</v>
      </c>
      <c r="C106" t="s">
        <v>443</v>
      </c>
      <c r="D106">
        <v>2675</v>
      </c>
    </row>
    <row r="107" spans="1:4" x14ac:dyDescent="0.35">
      <c r="A107" t="s">
        <v>529</v>
      </c>
      <c r="B107" s="28">
        <v>44311</v>
      </c>
      <c r="C107" t="s">
        <v>507</v>
      </c>
      <c r="D107">
        <v>4041</v>
      </c>
    </row>
    <row r="108" spans="1:4" x14ac:dyDescent="0.35">
      <c r="A108" t="s">
        <v>529</v>
      </c>
      <c r="B108" s="28">
        <v>44311</v>
      </c>
      <c r="C108" t="s">
        <v>505</v>
      </c>
      <c r="D108">
        <v>4254</v>
      </c>
    </row>
    <row r="109" spans="1:4" x14ac:dyDescent="0.35">
      <c r="A109" t="s">
        <v>529</v>
      </c>
      <c r="B109" s="28">
        <v>44311</v>
      </c>
      <c r="C109" t="s">
        <v>505</v>
      </c>
      <c r="D109">
        <v>2168</v>
      </c>
    </row>
    <row r="110" spans="1:4" x14ac:dyDescent="0.35">
      <c r="A110" t="s">
        <v>531</v>
      </c>
      <c r="B110" s="28">
        <v>44312</v>
      </c>
      <c r="C110" t="s">
        <v>489</v>
      </c>
      <c r="D110">
        <v>825</v>
      </c>
    </row>
    <row r="111" spans="1:4" x14ac:dyDescent="0.35">
      <c r="A111" t="s">
        <v>531</v>
      </c>
      <c r="B111" s="28">
        <v>44312</v>
      </c>
      <c r="C111" t="s">
        <v>467</v>
      </c>
      <c r="D111">
        <v>2722</v>
      </c>
    </row>
    <row r="112" spans="1:4" x14ac:dyDescent="0.35">
      <c r="A112" t="s">
        <v>532</v>
      </c>
      <c r="B112" s="28">
        <v>44313</v>
      </c>
      <c r="C112" t="s">
        <v>441</v>
      </c>
      <c r="D112">
        <v>1277</v>
      </c>
    </row>
    <row r="113" spans="1:4" x14ac:dyDescent="0.35">
      <c r="A113" t="s">
        <v>527</v>
      </c>
      <c r="B113" s="28">
        <v>44308</v>
      </c>
      <c r="C113" t="s">
        <v>511</v>
      </c>
      <c r="D113">
        <v>819</v>
      </c>
    </row>
    <row r="114" spans="1:4" x14ac:dyDescent="0.35">
      <c r="A114" t="s">
        <v>532</v>
      </c>
      <c r="B114" s="28">
        <v>44313</v>
      </c>
      <c r="C114" t="s">
        <v>443</v>
      </c>
      <c r="D114">
        <v>1931</v>
      </c>
    </row>
    <row r="115" spans="1:4" x14ac:dyDescent="0.35">
      <c r="A115" t="s">
        <v>532</v>
      </c>
      <c r="B115" s="28">
        <v>44313</v>
      </c>
      <c r="C115" t="s">
        <v>577</v>
      </c>
      <c r="D115">
        <v>240</v>
      </c>
    </row>
    <row r="116" spans="1:4" x14ac:dyDescent="0.35">
      <c r="A116" t="s">
        <v>532</v>
      </c>
      <c r="B116" s="28">
        <v>44313</v>
      </c>
      <c r="C116" t="s">
        <v>577</v>
      </c>
      <c r="D116">
        <v>178</v>
      </c>
    </row>
    <row r="117" spans="1:4" x14ac:dyDescent="0.35">
      <c r="A117" t="s">
        <v>532</v>
      </c>
      <c r="B117" s="28">
        <v>44313</v>
      </c>
      <c r="C117" t="s">
        <v>494</v>
      </c>
      <c r="D117">
        <v>941</v>
      </c>
    </row>
    <row r="118" spans="1:4" x14ac:dyDescent="0.35">
      <c r="A118" t="s">
        <v>533</v>
      </c>
      <c r="B118" s="28">
        <v>44314</v>
      </c>
      <c r="C118" t="s">
        <v>451</v>
      </c>
      <c r="D118">
        <v>1280</v>
      </c>
    </row>
    <row r="119" spans="1:4" x14ac:dyDescent="0.35">
      <c r="A119" t="s">
        <v>533</v>
      </c>
      <c r="B119" s="28">
        <v>44314</v>
      </c>
      <c r="C119" t="s">
        <v>451</v>
      </c>
      <c r="D119">
        <v>107</v>
      </c>
    </row>
    <row r="120" spans="1:4" x14ac:dyDescent="0.35">
      <c r="A120" t="s">
        <v>532</v>
      </c>
      <c r="B120" s="28">
        <v>44313</v>
      </c>
      <c r="C120" t="s">
        <v>461</v>
      </c>
      <c r="D120">
        <v>78</v>
      </c>
    </row>
    <row r="121" spans="1:4" x14ac:dyDescent="0.35">
      <c r="A121" t="s">
        <v>532</v>
      </c>
      <c r="B121" s="28">
        <v>44313</v>
      </c>
      <c r="C121" t="s">
        <v>489</v>
      </c>
      <c r="D121">
        <v>558</v>
      </c>
    </row>
    <row r="122" spans="1:4" x14ac:dyDescent="0.35">
      <c r="A122" t="s">
        <v>533</v>
      </c>
      <c r="B122" s="28">
        <v>44314</v>
      </c>
      <c r="C122" t="s">
        <v>443</v>
      </c>
      <c r="D122">
        <v>2446</v>
      </c>
    </row>
    <row r="123" spans="1:4" x14ac:dyDescent="0.35">
      <c r="A123" t="s">
        <v>533</v>
      </c>
      <c r="B123" s="28">
        <v>44314</v>
      </c>
      <c r="C123" t="s">
        <v>530</v>
      </c>
      <c r="D123">
        <v>2723</v>
      </c>
    </row>
    <row r="124" spans="1:4" x14ac:dyDescent="0.35">
      <c r="A124" t="s">
        <v>533</v>
      </c>
      <c r="B124" s="28">
        <v>44314</v>
      </c>
      <c r="C124" t="s">
        <v>470</v>
      </c>
      <c r="D124">
        <v>928</v>
      </c>
    </row>
    <row r="125" spans="1:4" x14ac:dyDescent="0.35">
      <c r="A125" t="s">
        <v>533</v>
      </c>
      <c r="B125" s="28">
        <v>44314</v>
      </c>
      <c r="C125" t="s">
        <v>470</v>
      </c>
      <c r="D125">
        <v>1060</v>
      </c>
    </row>
    <row r="126" spans="1:4" x14ac:dyDescent="0.35">
      <c r="A126" t="s">
        <v>533</v>
      </c>
      <c r="B126" s="28">
        <v>44314</v>
      </c>
      <c r="C126" t="s">
        <v>472</v>
      </c>
      <c r="D126">
        <v>1025</v>
      </c>
    </row>
    <row r="127" spans="1:4" x14ac:dyDescent="0.35">
      <c r="A127" t="s">
        <v>533</v>
      </c>
      <c r="B127" s="28">
        <v>44314</v>
      </c>
      <c r="C127" t="s">
        <v>537</v>
      </c>
      <c r="D127">
        <v>10000</v>
      </c>
    </row>
    <row r="128" spans="1:4" x14ac:dyDescent="0.35">
      <c r="A128" t="s">
        <v>533</v>
      </c>
      <c r="B128" s="28">
        <v>44314</v>
      </c>
      <c r="C128" t="s">
        <v>502</v>
      </c>
      <c r="D128">
        <v>1528</v>
      </c>
    </row>
    <row r="129" spans="1:4" x14ac:dyDescent="0.35">
      <c r="A129" t="s">
        <v>533</v>
      </c>
      <c r="B129" s="28">
        <v>44314</v>
      </c>
      <c r="C129" t="s">
        <v>441</v>
      </c>
      <c r="D129">
        <v>1949</v>
      </c>
    </row>
    <row r="130" spans="1:4" x14ac:dyDescent="0.35">
      <c r="A130" t="s">
        <v>533</v>
      </c>
      <c r="B130" s="28">
        <v>44314</v>
      </c>
      <c r="C130" t="s">
        <v>507</v>
      </c>
      <c r="D130">
        <v>3974</v>
      </c>
    </row>
    <row r="131" spans="1:4" x14ac:dyDescent="0.35">
      <c r="A131" t="s">
        <v>533</v>
      </c>
      <c r="B131" s="28">
        <v>44314</v>
      </c>
      <c r="C131" t="s">
        <v>451</v>
      </c>
      <c r="D131">
        <v>840</v>
      </c>
    </row>
    <row r="132" spans="1:4" x14ac:dyDescent="0.35">
      <c r="A132" t="s">
        <v>533</v>
      </c>
      <c r="B132" s="28">
        <v>44314</v>
      </c>
      <c r="C132" t="s">
        <v>490</v>
      </c>
      <c r="D132">
        <v>5035</v>
      </c>
    </row>
    <row r="133" spans="1:4" x14ac:dyDescent="0.35">
      <c r="A133" t="s">
        <v>535</v>
      </c>
      <c r="B133" s="28">
        <v>44315</v>
      </c>
      <c r="C133" t="s">
        <v>443</v>
      </c>
      <c r="D133">
        <v>1672</v>
      </c>
    </row>
    <row r="134" spans="1:4" x14ac:dyDescent="0.35">
      <c r="A134" t="s">
        <v>535</v>
      </c>
      <c r="B134" s="28">
        <v>44315</v>
      </c>
      <c r="C134" t="s">
        <v>504</v>
      </c>
      <c r="D134">
        <v>2010</v>
      </c>
    </row>
    <row r="135" spans="1:4" x14ac:dyDescent="0.35">
      <c r="A135" t="s">
        <v>535</v>
      </c>
      <c r="B135" s="28">
        <v>44315</v>
      </c>
      <c r="C135" t="s">
        <v>441</v>
      </c>
      <c r="D135">
        <v>1934</v>
      </c>
    </row>
    <row r="136" spans="1:4" x14ac:dyDescent="0.35">
      <c r="A136" t="s">
        <v>535</v>
      </c>
      <c r="B136" s="28">
        <v>44315</v>
      </c>
      <c r="C136" t="s">
        <v>504</v>
      </c>
      <c r="D136">
        <v>874</v>
      </c>
    </row>
    <row r="137" spans="1:4" x14ac:dyDescent="0.35">
      <c r="A137" t="s">
        <v>536</v>
      </c>
      <c r="B137" s="28">
        <v>44317</v>
      </c>
      <c r="C137" t="s">
        <v>443</v>
      </c>
      <c r="D137">
        <v>2758</v>
      </c>
    </row>
    <row r="138" spans="1:4" x14ac:dyDescent="0.35">
      <c r="A138" t="s">
        <v>536</v>
      </c>
      <c r="B138" s="28">
        <v>44317</v>
      </c>
      <c r="C138" t="s">
        <v>499</v>
      </c>
      <c r="D138">
        <v>4960</v>
      </c>
    </row>
    <row r="139" spans="1:4" x14ac:dyDescent="0.35">
      <c r="A139" t="s">
        <v>536</v>
      </c>
      <c r="B139" s="28">
        <v>44317</v>
      </c>
      <c r="C139" t="s">
        <v>537</v>
      </c>
      <c r="D139">
        <v>1572</v>
      </c>
    </row>
    <row r="140" spans="1:4" x14ac:dyDescent="0.35">
      <c r="A140" t="s">
        <v>536</v>
      </c>
      <c r="B140" s="28">
        <v>44317</v>
      </c>
      <c r="C140" t="s">
        <v>534</v>
      </c>
      <c r="D140">
        <v>20</v>
      </c>
    </row>
    <row r="141" spans="1:4" x14ac:dyDescent="0.35">
      <c r="A141" t="s">
        <v>536</v>
      </c>
      <c r="B141" s="28">
        <v>44317</v>
      </c>
      <c r="C141" t="s">
        <v>534</v>
      </c>
      <c r="D141">
        <v>465</v>
      </c>
    </row>
    <row r="142" spans="1:4" x14ac:dyDescent="0.35">
      <c r="A142" t="s">
        <v>536</v>
      </c>
      <c r="B142" s="28">
        <v>44317</v>
      </c>
      <c r="C142" t="s">
        <v>507</v>
      </c>
      <c r="D142">
        <v>4208</v>
      </c>
    </row>
    <row r="143" spans="1:4" x14ac:dyDescent="0.35">
      <c r="A143" t="s">
        <v>536</v>
      </c>
      <c r="B143" s="28">
        <v>44317</v>
      </c>
      <c r="C143" t="s">
        <v>446</v>
      </c>
      <c r="D143">
        <v>1019</v>
      </c>
    </row>
    <row r="144" spans="1:4" x14ac:dyDescent="0.35">
      <c r="A144" t="s">
        <v>536</v>
      </c>
      <c r="B144" s="28">
        <v>44317</v>
      </c>
      <c r="C144" t="s">
        <v>446</v>
      </c>
      <c r="D144">
        <v>154</v>
      </c>
    </row>
    <row r="145" spans="1:4" x14ac:dyDescent="0.35">
      <c r="A145" t="s">
        <v>536</v>
      </c>
      <c r="B145" s="28">
        <v>44317</v>
      </c>
      <c r="C145" t="s">
        <v>446</v>
      </c>
      <c r="D145">
        <v>593</v>
      </c>
    </row>
    <row r="146" spans="1:4" x14ac:dyDescent="0.35">
      <c r="A146" t="s">
        <v>536</v>
      </c>
      <c r="B146" s="28">
        <v>44317</v>
      </c>
      <c r="C146" t="s">
        <v>507</v>
      </c>
      <c r="D146">
        <v>3033</v>
      </c>
    </row>
    <row r="147" spans="1:4" x14ac:dyDescent="0.35">
      <c r="A147" t="s">
        <v>536</v>
      </c>
      <c r="B147" s="28">
        <v>44317</v>
      </c>
      <c r="C147" t="s">
        <v>449</v>
      </c>
      <c r="D147">
        <v>3226</v>
      </c>
    </row>
    <row r="148" spans="1:4" x14ac:dyDescent="0.35">
      <c r="A148" t="s">
        <v>536</v>
      </c>
      <c r="B148" s="28">
        <v>44317</v>
      </c>
      <c r="C148" t="s">
        <v>449</v>
      </c>
      <c r="D148">
        <v>958</v>
      </c>
    </row>
    <row r="149" spans="1:4" x14ac:dyDescent="0.35">
      <c r="A149" t="s">
        <v>536</v>
      </c>
      <c r="B149" s="28">
        <v>44317</v>
      </c>
      <c r="C149" t="s">
        <v>449</v>
      </c>
      <c r="D149">
        <v>2954</v>
      </c>
    </row>
    <row r="150" spans="1:4" x14ac:dyDescent="0.35">
      <c r="A150" t="s">
        <v>536</v>
      </c>
      <c r="B150" s="28">
        <v>44317</v>
      </c>
      <c r="C150" t="s">
        <v>449</v>
      </c>
      <c r="D150">
        <v>1812</v>
      </c>
    </row>
    <row r="151" spans="1:4" x14ac:dyDescent="0.35">
      <c r="A151" t="s">
        <v>538</v>
      </c>
      <c r="B151" s="28">
        <v>44318</v>
      </c>
      <c r="C151" t="s">
        <v>441</v>
      </c>
      <c r="D151">
        <v>1074</v>
      </c>
    </row>
    <row r="152" spans="1:4" x14ac:dyDescent="0.35">
      <c r="A152" t="s">
        <v>536</v>
      </c>
      <c r="B152" s="28">
        <v>44317</v>
      </c>
      <c r="C152" t="s">
        <v>504</v>
      </c>
      <c r="D152">
        <v>117</v>
      </c>
    </row>
    <row r="153" spans="1:4" x14ac:dyDescent="0.35">
      <c r="A153" t="s">
        <v>538</v>
      </c>
      <c r="B153" s="28">
        <v>44318</v>
      </c>
      <c r="C153" t="s">
        <v>526</v>
      </c>
      <c r="D153">
        <v>15317</v>
      </c>
    </row>
    <row r="154" spans="1:4" x14ac:dyDescent="0.35">
      <c r="A154" t="s">
        <v>538</v>
      </c>
      <c r="B154" s="28">
        <v>44318</v>
      </c>
      <c r="C154" t="s">
        <v>443</v>
      </c>
      <c r="D154">
        <v>1676</v>
      </c>
    </row>
    <row r="155" spans="1:4" x14ac:dyDescent="0.35">
      <c r="A155" t="s">
        <v>538</v>
      </c>
      <c r="B155" s="28">
        <v>44318</v>
      </c>
      <c r="C155" t="s">
        <v>524</v>
      </c>
      <c r="D155">
        <v>244</v>
      </c>
    </row>
    <row r="156" spans="1:4" x14ac:dyDescent="0.35">
      <c r="A156" t="s">
        <v>538</v>
      </c>
      <c r="B156" s="28">
        <v>44318</v>
      </c>
      <c r="C156" t="s">
        <v>504</v>
      </c>
      <c r="D156">
        <v>2047</v>
      </c>
    </row>
    <row r="157" spans="1:4" x14ac:dyDescent="0.35">
      <c r="A157" t="s">
        <v>538</v>
      </c>
      <c r="B157" s="28">
        <v>44318</v>
      </c>
      <c r="C157" t="s">
        <v>546</v>
      </c>
      <c r="D157">
        <v>2268</v>
      </c>
    </row>
    <row r="158" spans="1:4" x14ac:dyDescent="0.35">
      <c r="A158" t="s">
        <v>538</v>
      </c>
      <c r="B158" s="28">
        <v>44318</v>
      </c>
      <c r="C158" t="s">
        <v>449</v>
      </c>
      <c r="D158">
        <v>4066</v>
      </c>
    </row>
    <row r="159" spans="1:4" x14ac:dyDescent="0.35">
      <c r="A159" t="s">
        <v>538</v>
      </c>
      <c r="B159" s="28">
        <v>44318</v>
      </c>
      <c r="C159" t="s">
        <v>530</v>
      </c>
      <c r="D159">
        <v>3757</v>
      </c>
    </row>
    <row r="160" spans="1:4" x14ac:dyDescent="0.35">
      <c r="A160" t="s">
        <v>538</v>
      </c>
      <c r="B160" s="28">
        <v>44318</v>
      </c>
      <c r="C160" t="s">
        <v>480</v>
      </c>
      <c r="D160">
        <v>2038</v>
      </c>
    </row>
    <row r="161" spans="1:4" x14ac:dyDescent="0.35">
      <c r="A161" t="s">
        <v>538</v>
      </c>
      <c r="B161" s="28">
        <v>44318</v>
      </c>
      <c r="C161" t="s">
        <v>492</v>
      </c>
      <c r="D161">
        <v>2000</v>
      </c>
    </row>
    <row r="162" spans="1:4" x14ac:dyDescent="0.35">
      <c r="A162" t="s">
        <v>540</v>
      </c>
      <c r="B162" s="28">
        <v>44319</v>
      </c>
      <c r="C162" t="s">
        <v>443</v>
      </c>
      <c r="D162">
        <v>2541</v>
      </c>
    </row>
    <row r="163" spans="1:4" x14ac:dyDescent="0.35">
      <c r="A163" t="s">
        <v>540</v>
      </c>
      <c r="B163" s="28">
        <v>44319</v>
      </c>
      <c r="C163" t="s">
        <v>546</v>
      </c>
      <c r="D163">
        <v>1754</v>
      </c>
    </row>
    <row r="164" spans="1:4" x14ac:dyDescent="0.35">
      <c r="A164" t="s">
        <v>540</v>
      </c>
      <c r="B164" s="28">
        <v>44319</v>
      </c>
      <c r="C164" t="s">
        <v>446</v>
      </c>
      <c r="D164">
        <v>346</v>
      </c>
    </row>
    <row r="165" spans="1:4" x14ac:dyDescent="0.35">
      <c r="A165" t="s">
        <v>540</v>
      </c>
      <c r="B165" s="28">
        <v>44319</v>
      </c>
      <c r="C165" t="s">
        <v>499</v>
      </c>
      <c r="D165">
        <v>3034</v>
      </c>
    </row>
    <row r="166" spans="1:4" x14ac:dyDescent="0.35">
      <c r="A166" t="s">
        <v>540</v>
      </c>
      <c r="B166" s="28">
        <v>44319</v>
      </c>
      <c r="C166" t="s">
        <v>450</v>
      </c>
      <c r="D166">
        <v>2716</v>
      </c>
    </row>
    <row r="167" spans="1:4" x14ac:dyDescent="0.35">
      <c r="A167" t="s">
        <v>541</v>
      </c>
      <c r="B167" s="28">
        <v>44320</v>
      </c>
      <c r="C167" t="s">
        <v>506</v>
      </c>
      <c r="D167">
        <v>5085</v>
      </c>
    </row>
    <row r="168" spans="1:4" x14ac:dyDescent="0.35">
      <c r="A168" t="s">
        <v>541</v>
      </c>
      <c r="B168" s="28">
        <v>44320</v>
      </c>
      <c r="C168" t="s">
        <v>526</v>
      </c>
      <c r="D168">
        <v>14978</v>
      </c>
    </row>
    <row r="169" spans="1:4" x14ac:dyDescent="0.35">
      <c r="A169" t="s">
        <v>542</v>
      </c>
      <c r="B169" s="28">
        <v>44321</v>
      </c>
      <c r="C169" t="s">
        <v>507</v>
      </c>
      <c r="D169">
        <v>4320</v>
      </c>
    </row>
    <row r="170" spans="1:4" x14ac:dyDescent="0.35">
      <c r="A170" t="s">
        <v>540</v>
      </c>
      <c r="B170" s="28">
        <v>44319</v>
      </c>
      <c r="C170" t="s">
        <v>499</v>
      </c>
      <c r="D170">
        <v>1218</v>
      </c>
    </row>
    <row r="171" spans="1:4" x14ac:dyDescent="0.35">
      <c r="A171" t="s">
        <v>542</v>
      </c>
      <c r="B171" s="28">
        <v>44321</v>
      </c>
      <c r="C171" t="s">
        <v>443</v>
      </c>
      <c r="D171">
        <v>2790</v>
      </c>
    </row>
    <row r="172" spans="1:4" x14ac:dyDescent="0.35">
      <c r="A172" t="s">
        <v>542</v>
      </c>
      <c r="B172" s="28">
        <v>44321</v>
      </c>
      <c r="C172" t="s">
        <v>505</v>
      </c>
      <c r="D172">
        <v>5336</v>
      </c>
    </row>
    <row r="173" spans="1:4" x14ac:dyDescent="0.35">
      <c r="A173" t="s">
        <v>544</v>
      </c>
      <c r="B173" s="28">
        <v>44322</v>
      </c>
      <c r="C173" t="s">
        <v>505</v>
      </c>
      <c r="D173">
        <v>4961</v>
      </c>
    </row>
    <row r="174" spans="1:4" x14ac:dyDescent="0.35">
      <c r="A174" t="s">
        <v>544</v>
      </c>
      <c r="B174" s="28">
        <v>44322</v>
      </c>
      <c r="C174" t="s">
        <v>502</v>
      </c>
      <c r="D174">
        <v>480</v>
      </c>
    </row>
    <row r="175" spans="1:4" x14ac:dyDescent="0.35">
      <c r="A175" t="s">
        <v>544</v>
      </c>
      <c r="B175" s="28">
        <v>44322</v>
      </c>
      <c r="C175" t="s">
        <v>502</v>
      </c>
      <c r="D175">
        <v>540</v>
      </c>
    </row>
    <row r="176" spans="1:4" x14ac:dyDescent="0.35">
      <c r="A176" t="s">
        <v>544</v>
      </c>
      <c r="B176" s="28">
        <v>44322</v>
      </c>
      <c r="C176" t="s">
        <v>505</v>
      </c>
      <c r="D176">
        <v>5158</v>
      </c>
    </row>
    <row r="177" spans="1:4" x14ac:dyDescent="0.35">
      <c r="A177" t="s">
        <v>545</v>
      </c>
      <c r="B177" s="28">
        <v>44324</v>
      </c>
      <c r="C177" t="s">
        <v>507</v>
      </c>
      <c r="D177">
        <v>1809</v>
      </c>
    </row>
    <row r="178" spans="1:4" x14ac:dyDescent="0.35">
      <c r="A178" t="s">
        <v>545</v>
      </c>
      <c r="B178" s="28">
        <v>44324</v>
      </c>
      <c r="C178" t="s">
        <v>444</v>
      </c>
      <c r="D178">
        <v>200</v>
      </c>
    </row>
    <row r="179" spans="1:4" x14ac:dyDescent="0.35">
      <c r="A179" t="s">
        <v>545</v>
      </c>
      <c r="B179" s="28">
        <v>44324</v>
      </c>
      <c r="C179" t="s">
        <v>444</v>
      </c>
      <c r="D179">
        <v>856</v>
      </c>
    </row>
    <row r="180" spans="1:4" x14ac:dyDescent="0.35">
      <c r="A180" t="s">
        <v>545</v>
      </c>
      <c r="B180" s="28">
        <v>44324</v>
      </c>
      <c r="C180" t="s">
        <v>444</v>
      </c>
      <c r="D180">
        <v>122</v>
      </c>
    </row>
    <row r="181" spans="1:4" x14ac:dyDescent="0.35">
      <c r="A181" t="s">
        <v>547</v>
      </c>
      <c r="B181" s="28">
        <v>44325</v>
      </c>
      <c r="C181" t="s">
        <v>507</v>
      </c>
      <c r="D181">
        <v>4165.5</v>
      </c>
    </row>
    <row r="182" spans="1:4" x14ac:dyDescent="0.35">
      <c r="A182" t="s">
        <v>547</v>
      </c>
      <c r="B182" s="28">
        <v>44325</v>
      </c>
      <c r="C182" t="s">
        <v>550</v>
      </c>
      <c r="D182">
        <v>500</v>
      </c>
    </row>
    <row r="183" spans="1:4" x14ac:dyDescent="0.35">
      <c r="A183" t="s">
        <v>547</v>
      </c>
      <c r="B183" s="28">
        <v>44325</v>
      </c>
      <c r="C183" t="s">
        <v>441</v>
      </c>
      <c r="D183">
        <v>1050</v>
      </c>
    </row>
    <row r="184" spans="1:4" x14ac:dyDescent="0.35">
      <c r="A184" t="s">
        <v>547</v>
      </c>
      <c r="B184" s="28">
        <v>44325</v>
      </c>
      <c r="C184" t="s">
        <v>496</v>
      </c>
      <c r="D184">
        <v>138</v>
      </c>
    </row>
    <row r="185" spans="1:4" x14ac:dyDescent="0.35">
      <c r="A185" t="s">
        <v>547</v>
      </c>
      <c r="B185" s="28">
        <v>44325</v>
      </c>
      <c r="C185" t="s">
        <v>496</v>
      </c>
      <c r="D185">
        <v>119</v>
      </c>
    </row>
    <row r="186" spans="1:4" x14ac:dyDescent="0.35">
      <c r="A186" t="s">
        <v>547</v>
      </c>
      <c r="B186" s="28">
        <v>44325</v>
      </c>
      <c r="C186" t="s">
        <v>441</v>
      </c>
      <c r="D186">
        <v>2042</v>
      </c>
    </row>
    <row r="187" spans="1:4" x14ac:dyDescent="0.35">
      <c r="A187" t="s">
        <v>547</v>
      </c>
      <c r="B187" s="28">
        <v>44325</v>
      </c>
      <c r="C187" t="s">
        <v>500</v>
      </c>
      <c r="D187">
        <v>2185</v>
      </c>
    </row>
    <row r="188" spans="1:4" x14ac:dyDescent="0.35">
      <c r="A188" t="s">
        <v>547</v>
      </c>
      <c r="B188" s="28">
        <v>44325</v>
      </c>
      <c r="C188" t="s">
        <v>504</v>
      </c>
      <c r="D188">
        <v>2166</v>
      </c>
    </row>
    <row r="189" spans="1:4" x14ac:dyDescent="0.35">
      <c r="A189" t="s">
        <v>548</v>
      </c>
      <c r="B189" s="28">
        <v>44326</v>
      </c>
      <c r="C189" t="s">
        <v>441</v>
      </c>
      <c r="D189">
        <v>2082</v>
      </c>
    </row>
    <row r="190" spans="1:4" x14ac:dyDescent="0.35">
      <c r="A190" t="s">
        <v>544</v>
      </c>
      <c r="B190" s="28">
        <v>44322</v>
      </c>
      <c r="C190" t="s">
        <v>552</v>
      </c>
      <c r="D190">
        <v>310</v>
      </c>
    </row>
    <row r="191" spans="1:4" x14ac:dyDescent="0.35">
      <c r="A191" t="s">
        <v>544</v>
      </c>
      <c r="B191" s="28">
        <v>44322</v>
      </c>
      <c r="C191" t="s">
        <v>552</v>
      </c>
      <c r="D191">
        <v>410</v>
      </c>
    </row>
    <row r="192" spans="1:4" x14ac:dyDescent="0.35">
      <c r="A192" t="s">
        <v>548</v>
      </c>
      <c r="B192" s="28">
        <v>44326</v>
      </c>
      <c r="C192" t="s">
        <v>502</v>
      </c>
      <c r="D192">
        <v>743</v>
      </c>
    </row>
    <row r="193" spans="1:4" x14ac:dyDescent="0.35">
      <c r="A193" t="s">
        <v>548</v>
      </c>
      <c r="B193" s="28">
        <v>44326</v>
      </c>
      <c r="C193" t="s">
        <v>502</v>
      </c>
      <c r="D193">
        <v>446</v>
      </c>
    </row>
    <row r="194" spans="1:4" x14ac:dyDescent="0.35">
      <c r="A194" t="s">
        <v>545</v>
      </c>
      <c r="B194" s="28">
        <v>44324</v>
      </c>
      <c r="C194" t="s">
        <v>552</v>
      </c>
      <c r="D194">
        <v>164</v>
      </c>
    </row>
    <row r="195" spans="1:4" x14ac:dyDescent="0.35">
      <c r="A195" t="s">
        <v>548</v>
      </c>
      <c r="B195" s="28">
        <v>44326</v>
      </c>
      <c r="C195" t="s">
        <v>546</v>
      </c>
      <c r="D195">
        <v>1788</v>
      </c>
    </row>
    <row r="196" spans="1:4" x14ac:dyDescent="0.35">
      <c r="A196" t="s">
        <v>548</v>
      </c>
      <c r="B196" s="28">
        <v>44326</v>
      </c>
      <c r="C196" t="s">
        <v>443</v>
      </c>
      <c r="D196">
        <v>2333</v>
      </c>
    </row>
    <row r="197" spans="1:4" x14ac:dyDescent="0.35">
      <c r="A197" t="s">
        <v>548</v>
      </c>
      <c r="B197" s="28">
        <v>44326</v>
      </c>
      <c r="C197" t="s">
        <v>498</v>
      </c>
      <c r="D197">
        <v>1640</v>
      </c>
    </row>
    <row r="198" spans="1:4" x14ac:dyDescent="0.35">
      <c r="A198" t="s">
        <v>548</v>
      </c>
      <c r="B198" s="28">
        <v>44326</v>
      </c>
      <c r="C198" t="s">
        <v>504</v>
      </c>
      <c r="D198">
        <v>506</v>
      </c>
    </row>
    <row r="199" spans="1:4" x14ac:dyDescent="0.35">
      <c r="A199" t="s">
        <v>548</v>
      </c>
      <c r="B199" s="28">
        <v>44326</v>
      </c>
      <c r="C199" t="s">
        <v>504</v>
      </c>
      <c r="D199">
        <v>1712</v>
      </c>
    </row>
    <row r="200" spans="1:4" x14ac:dyDescent="0.35">
      <c r="A200" t="s">
        <v>548</v>
      </c>
      <c r="B200" s="28">
        <v>44326</v>
      </c>
      <c r="C200" t="s">
        <v>506</v>
      </c>
      <c r="D200">
        <v>3207</v>
      </c>
    </row>
    <row r="201" spans="1:4" x14ac:dyDescent="0.35">
      <c r="A201" t="s">
        <v>549</v>
      </c>
      <c r="B201" s="28">
        <v>44327</v>
      </c>
      <c r="C201" t="s">
        <v>441</v>
      </c>
      <c r="D201">
        <v>2035</v>
      </c>
    </row>
    <row r="202" spans="1:4" x14ac:dyDescent="0.35">
      <c r="A202" t="s">
        <v>549</v>
      </c>
      <c r="B202" s="28">
        <v>44327</v>
      </c>
      <c r="C202" t="s">
        <v>560</v>
      </c>
      <c r="D202">
        <v>1955</v>
      </c>
    </row>
    <row r="203" spans="1:4" x14ac:dyDescent="0.35">
      <c r="A203" t="s">
        <v>549</v>
      </c>
      <c r="B203" s="28">
        <v>44327</v>
      </c>
      <c r="C203" t="s">
        <v>507</v>
      </c>
      <c r="D203">
        <v>4214</v>
      </c>
    </row>
    <row r="204" spans="1:4" x14ac:dyDescent="0.35">
      <c r="A204" t="s">
        <v>549</v>
      </c>
      <c r="B204" s="28">
        <v>44327</v>
      </c>
      <c r="C204" t="s">
        <v>443</v>
      </c>
      <c r="D204">
        <v>2867</v>
      </c>
    </row>
    <row r="205" spans="1:4" x14ac:dyDescent="0.35">
      <c r="A205" t="s">
        <v>549</v>
      </c>
      <c r="B205" s="28">
        <v>44327</v>
      </c>
      <c r="C205" t="s">
        <v>505</v>
      </c>
      <c r="D205">
        <v>4412</v>
      </c>
    </row>
    <row r="206" spans="1:4" x14ac:dyDescent="0.35">
      <c r="A206" t="s">
        <v>549</v>
      </c>
      <c r="B206" s="28">
        <v>44327</v>
      </c>
      <c r="C206" t="s">
        <v>526</v>
      </c>
      <c r="D206">
        <v>14934</v>
      </c>
    </row>
    <row r="207" spans="1:4" x14ac:dyDescent="0.35">
      <c r="A207" t="s">
        <v>549</v>
      </c>
      <c r="B207" s="28">
        <v>44327</v>
      </c>
      <c r="C207" t="s">
        <v>499</v>
      </c>
      <c r="D207">
        <v>5008</v>
      </c>
    </row>
    <row r="208" spans="1:4" x14ac:dyDescent="0.35">
      <c r="A208" t="s">
        <v>549</v>
      </c>
      <c r="B208" s="28">
        <v>44327</v>
      </c>
      <c r="C208" t="s">
        <v>443</v>
      </c>
      <c r="D208">
        <v>20000</v>
      </c>
    </row>
    <row r="209" spans="1:4" x14ac:dyDescent="0.35">
      <c r="A209" t="s">
        <v>549</v>
      </c>
      <c r="B209" s="28">
        <v>44327</v>
      </c>
      <c r="C209" t="s">
        <v>530</v>
      </c>
      <c r="D209">
        <v>4255</v>
      </c>
    </row>
    <row r="210" spans="1:4" x14ac:dyDescent="0.35">
      <c r="A210" t="s">
        <v>549</v>
      </c>
      <c r="B210" s="28">
        <v>44327</v>
      </c>
      <c r="C210" t="s">
        <v>507</v>
      </c>
      <c r="D210">
        <v>4203</v>
      </c>
    </row>
    <row r="211" spans="1:4" x14ac:dyDescent="0.35">
      <c r="A211" t="s">
        <v>551</v>
      </c>
      <c r="B211" s="28">
        <v>44328</v>
      </c>
      <c r="C211" t="s">
        <v>555</v>
      </c>
      <c r="D211">
        <v>927</v>
      </c>
    </row>
    <row r="212" spans="1:4" x14ac:dyDescent="0.35">
      <c r="A212" t="s">
        <v>551</v>
      </c>
      <c r="B212" s="28">
        <v>44328</v>
      </c>
      <c r="C212" t="s">
        <v>555</v>
      </c>
      <c r="D212">
        <v>544</v>
      </c>
    </row>
    <row r="213" spans="1:4" x14ac:dyDescent="0.35">
      <c r="A213" t="s">
        <v>551</v>
      </c>
      <c r="B213" s="28">
        <v>44328</v>
      </c>
      <c r="C213" t="s">
        <v>554</v>
      </c>
      <c r="D213">
        <v>2308</v>
      </c>
    </row>
    <row r="214" spans="1:4" x14ac:dyDescent="0.35">
      <c r="A214" t="s">
        <v>551</v>
      </c>
      <c r="B214" s="28">
        <v>44328</v>
      </c>
      <c r="C214" t="s">
        <v>507</v>
      </c>
      <c r="D214">
        <v>4060</v>
      </c>
    </row>
    <row r="215" spans="1:4" x14ac:dyDescent="0.35">
      <c r="A215" t="s">
        <v>551</v>
      </c>
      <c r="B215" s="28">
        <v>44328</v>
      </c>
      <c r="C215" t="s">
        <v>443</v>
      </c>
      <c r="D215">
        <v>2843</v>
      </c>
    </row>
    <row r="216" spans="1:4" x14ac:dyDescent="0.35">
      <c r="A216" t="s">
        <v>551</v>
      </c>
      <c r="B216" s="28">
        <v>44328</v>
      </c>
      <c r="C216" t="s">
        <v>546</v>
      </c>
      <c r="D216">
        <v>1142</v>
      </c>
    </row>
    <row r="217" spans="1:4" x14ac:dyDescent="0.35">
      <c r="A217" t="s">
        <v>551</v>
      </c>
      <c r="B217" s="28">
        <v>44328</v>
      </c>
      <c r="C217" t="s">
        <v>441</v>
      </c>
      <c r="D217">
        <v>1313</v>
      </c>
    </row>
    <row r="218" spans="1:4" x14ac:dyDescent="0.35">
      <c r="A218" t="s">
        <v>551</v>
      </c>
      <c r="B218" s="28">
        <v>44328</v>
      </c>
      <c r="C218" t="s">
        <v>554</v>
      </c>
      <c r="D218">
        <v>177</v>
      </c>
    </row>
    <row r="219" spans="1:4" x14ac:dyDescent="0.35">
      <c r="A219" t="s">
        <v>551</v>
      </c>
      <c r="B219" s="28">
        <v>44328</v>
      </c>
      <c r="C219" t="s">
        <v>485</v>
      </c>
      <c r="D219">
        <v>562</v>
      </c>
    </row>
    <row r="220" spans="1:4" x14ac:dyDescent="0.35">
      <c r="A220" t="s">
        <v>551</v>
      </c>
      <c r="B220" s="28">
        <v>44328</v>
      </c>
      <c r="C220" t="s">
        <v>530</v>
      </c>
      <c r="D220">
        <v>2000</v>
      </c>
    </row>
    <row r="221" spans="1:4" x14ac:dyDescent="0.35">
      <c r="A221" t="s">
        <v>551</v>
      </c>
      <c r="B221" s="28">
        <v>44328</v>
      </c>
      <c r="C221" t="s">
        <v>530</v>
      </c>
      <c r="D221">
        <v>1360</v>
      </c>
    </row>
    <row r="222" spans="1:4" x14ac:dyDescent="0.35">
      <c r="A222" t="s">
        <v>551</v>
      </c>
      <c r="B222" s="28">
        <v>44328</v>
      </c>
      <c r="C222" t="s">
        <v>449</v>
      </c>
      <c r="D222">
        <v>3192</v>
      </c>
    </row>
    <row r="223" spans="1:4" x14ac:dyDescent="0.35">
      <c r="A223" t="s">
        <v>551</v>
      </c>
      <c r="B223" s="28">
        <v>44328</v>
      </c>
      <c r="C223" t="s">
        <v>534</v>
      </c>
      <c r="D223">
        <v>164</v>
      </c>
    </row>
    <row r="224" spans="1:4" x14ac:dyDescent="0.35">
      <c r="A224" t="s">
        <v>551</v>
      </c>
      <c r="B224" s="28">
        <v>44328</v>
      </c>
      <c r="C224" t="s">
        <v>553</v>
      </c>
      <c r="D224">
        <v>1730</v>
      </c>
    </row>
    <row r="225" spans="1:4" x14ac:dyDescent="0.35">
      <c r="A225" t="s">
        <v>551</v>
      </c>
      <c r="B225" s="28">
        <v>44328</v>
      </c>
      <c r="C225" t="s">
        <v>553</v>
      </c>
      <c r="D225">
        <v>332</v>
      </c>
    </row>
    <row r="226" spans="1:4" x14ac:dyDescent="0.35">
      <c r="A226" t="s">
        <v>551</v>
      </c>
      <c r="B226" s="28">
        <v>44328</v>
      </c>
      <c r="C226" t="s">
        <v>534</v>
      </c>
      <c r="D226">
        <v>654</v>
      </c>
    </row>
    <row r="227" spans="1:4" x14ac:dyDescent="0.35">
      <c r="A227" t="s">
        <v>551</v>
      </c>
      <c r="B227" s="28">
        <v>44328</v>
      </c>
      <c r="C227" t="s">
        <v>504</v>
      </c>
      <c r="D227">
        <v>2867</v>
      </c>
    </row>
    <row r="228" spans="1:4" x14ac:dyDescent="0.35">
      <c r="A228" t="s">
        <v>551</v>
      </c>
      <c r="B228" s="28">
        <v>44328</v>
      </c>
      <c r="C228" t="s">
        <v>507</v>
      </c>
      <c r="D228">
        <v>100000</v>
      </c>
    </row>
    <row r="229" spans="1:4" x14ac:dyDescent="0.35">
      <c r="A229" t="s">
        <v>551</v>
      </c>
      <c r="B229" s="28">
        <v>44328</v>
      </c>
      <c r="C229" t="s">
        <v>560</v>
      </c>
      <c r="D229">
        <v>248</v>
      </c>
    </row>
    <row r="230" spans="1:4" x14ac:dyDescent="0.35">
      <c r="A230" t="s">
        <v>556</v>
      </c>
      <c r="B230" s="28">
        <v>44331</v>
      </c>
      <c r="C230" t="s">
        <v>526</v>
      </c>
      <c r="D230">
        <v>1880</v>
      </c>
    </row>
    <row r="231" spans="1:4" x14ac:dyDescent="0.35">
      <c r="A231" t="s">
        <v>556</v>
      </c>
      <c r="B231" s="28">
        <v>44331</v>
      </c>
      <c r="C231" t="s">
        <v>489</v>
      </c>
      <c r="D231">
        <v>835</v>
      </c>
    </row>
    <row r="232" spans="1:4" x14ac:dyDescent="0.35">
      <c r="A232" t="s">
        <v>556</v>
      </c>
      <c r="B232" s="28">
        <v>44331</v>
      </c>
      <c r="C232" t="s">
        <v>511</v>
      </c>
      <c r="D232">
        <v>2222</v>
      </c>
    </row>
    <row r="233" spans="1:4" x14ac:dyDescent="0.35">
      <c r="A233" t="s">
        <v>556</v>
      </c>
      <c r="B233" s="28">
        <v>44331</v>
      </c>
      <c r="C233" t="s">
        <v>526</v>
      </c>
      <c r="D233">
        <v>1976</v>
      </c>
    </row>
    <row r="234" spans="1:4" x14ac:dyDescent="0.35">
      <c r="A234" t="s">
        <v>556</v>
      </c>
      <c r="B234" s="28">
        <v>44331</v>
      </c>
      <c r="C234" t="s">
        <v>507</v>
      </c>
      <c r="D234">
        <v>3871</v>
      </c>
    </row>
    <row r="235" spans="1:4" x14ac:dyDescent="0.35">
      <c r="A235" t="s">
        <v>556</v>
      </c>
      <c r="B235" s="28">
        <v>44331</v>
      </c>
      <c r="C235" t="s">
        <v>495</v>
      </c>
      <c r="D235">
        <v>500</v>
      </c>
    </row>
    <row r="236" spans="1:4" x14ac:dyDescent="0.35">
      <c r="A236" t="s">
        <v>556</v>
      </c>
      <c r="B236" s="28">
        <v>44331</v>
      </c>
      <c r="C236" t="s">
        <v>505</v>
      </c>
      <c r="D236">
        <v>4674</v>
      </c>
    </row>
    <row r="237" spans="1:4" x14ac:dyDescent="0.35">
      <c r="A237" t="s">
        <v>556</v>
      </c>
      <c r="B237" s="28">
        <v>44331</v>
      </c>
      <c r="C237" t="s">
        <v>495</v>
      </c>
      <c r="D237">
        <v>92</v>
      </c>
    </row>
    <row r="238" spans="1:4" x14ac:dyDescent="0.35">
      <c r="A238" t="s">
        <v>556</v>
      </c>
      <c r="B238" s="28">
        <v>44331</v>
      </c>
      <c r="C238" t="s">
        <v>495</v>
      </c>
      <c r="D238">
        <v>900</v>
      </c>
    </row>
    <row r="239" spans="1:4" x14ac:dyDescent="0.35">
      <c r="A239" t="s">
        <v>557</v>
      </c>
      <c r="B239" s="28">
        <v>44332</v>
      </c>
      <c r="C239" t="s">
        <v>526</v>
      </c>
      <c r="D239">
        <v>1085</v>
      </c>
    </row>
    <row r="240" spans="1:4" x14ac:dyDescent="0.35">
      <c r="A240" t="s">
        <v>557</v>
      </c>
      <c r="B240" s="28">
        <v>44332</v>
      </c>
      <c r="C240" t="s">
        <v>524</v>
      </c>
      <c r="D240">
        <v>135</v>
      </c>
    </row>
    <row r="241" spans="1:4" x14ac:dyDescent="0.35">
      <c r="A241" t="s">
        <v>557</v>
      </c>
      <c r="B241" s="28">
        <v>44332</v>
      </c>
      <c r="C241" t="s">
        <v>546</v>
      </c>
      <c r="D241">
        <v>1198</v>
      </c>
    </row>
    <row r="242" spans="1:4" x14ac:dyDescent="0.35">
      <c r="A242" t="s">
        <v>557</v>
      </c>
      <c r="B242" s="28">
        <v>44332</v>
      </c>
      <c r="C242" t="s">
        <v>443</v>
      </c>
      <c r="D242">
        <v>2549</v>
      </c>
    </row>
    <row r="243" spans="1:4" x14ac:dyDescent="0.35">
      <c r="A243" t="s">
        <v>557</v>
      </c>
      <c r="B243" s="28">
        <v>44332</v>
      </c>
      <c r="C243" t="s">
        <v>449</v>
      </c>
      <c r="D243">
        <v>6903</v>
      </c>
    </row>
    <row r="244" spans="1:4" x14ac:dyDescent="0.35">
      <c r="A244" t="s">
        <v>557</v>
      </c>
      <c r="B244" s="28">
        <v>44332</v>
      </c>
      <c r="C244" t="s">
        <v>441</v>
      </c>
      <c r="D244">
        <v>1820</v>
      </c>
    </row>
    <row r="245" spans="1:4" x14ac:dyDescent="0.35">
      <c r="A245" t="s">
        <v>557</v>
      </c>
      <c r="B245" s="28">
        <v>44332</v>
      </c>
      <c r="C245" t="s">
        <v>530</v>
      </c>
      <c r="D245">
        <v>1891</v>
      </c>
    </row>
    <row r="246" spans="1:4" x14ac:dyDescent="0.35">
      <c r="A246" t="s">
        <v>557</v>
      </c>
      <c r="B246" s="28">
        <v>44332</v>
      </c>
      <c r="C246" t="s">
        <v>489</v>
      </c>
      <c r="D246">
        <v>480</v>
      </c>
    </row>
    <row r="247" spans="1:4" x14ac:dyDescent="0.35">
      <c r="A247" t="s">
        <v>557</v>
      </c>
      <c r="B247" s="28">
        <v>44332</v>
      </c>
      <c r="C247" t="s">
        <v>507</v>
      </c>
      <c r="D247">
        <v>4252</v>
      </c>
    </row>
    <row r="248" spans="1:4" x14ac:dyDescent="0.35">
      <c r="A248" t="s">
        <v>557</v>
      </c>
      <c r="B248" s="28">
        <v>44332</v>
      </c>
      <c r="C248" t="s">
        <v>441</v>
      </c>
      <c r="D248">
        <v>1799</v>
      </c>
    </row>
    <row r="249" spans="1:4" x14ac:dyDescent="0.35">
      <c r="A249" t="s">
        <v>558</v>
      </c>
      <c r="B249" s="28">
        <v>44333</v>
      </c>
      <c r="C249" t="s">
        <v>546</v>
      </c>
      <c r="D249">
        <v>838</v>
      </c>
    </row>
    <row r="250" spans="1:4" x14ac:dyDescent="0.35">
      <c r="A250" t="s">
        <v>558</v>
      </c>
      <c r="B250" s="28">
        <v>44333</v>
      </c>
      <c r="C250" t="s">
        <v>441</v>
      </c>
      <c r="D250">
        <v>1926</v>
      </c>
    </row>
    <row r="251" spans="1:4" x14ac:dyDescent="0.35">
      <c r="A251" t="s">
        <v>558</v>
      </c>
      <c r="B251" s="28">
        <v>44333</v>
      </c>
      <c r="C251" t="s">
        <v>450</v>
      </c>
      <c r="D251">
        <v>2812</v>
      </c>
    </row>
    <row r="252" spans="1:4" x14ac:dyDescent="0.35">
      <c r="A252" t="s">
        <v>558</v>
      </c>
      <c r="B252" s="28">
        <v>44333</v>
      </c>
      <c r="C252" t="s">
        <v>505</v>
      </c>
      <c r="D252">
        <v>5249</v>
      </c>
    </row>
    <row r="253" spans="1:4" x14ac:dyDescent="0.35">
      <c r="A253" t="s">
        <v>558</v>
      </c>
      <c r="B253" s="28">
        <v>44333</v>
      </c>
      <c r="C253" t="s">
        <v>489</v>
      </c>
      <c r="D253">
        <v>158</v>
      </c>
    </row>
    <row r="254" spans="1:4" x14ac:dyDescent="0.35">
      <c r="A254" t="s">
        <v>559</v>
      </c>
      <c r="B254" s="28">
        <v>44334</v>
      </c>
      <c r="C254" t="s">
        <v>570</v>
      </c>
      <c r="D254">
        <v>2968</v>
      </c>
    </row>
    <row r="255" spans="1:4" x14ac:dyDescent="0.35">
      <c r="A255" t="s">
        <v>559</v>
      </c>
      <c r="B255" s="28">
        <v>44334</v>
      </c>
      <c r="C255" t="s">
        <v>507</v>
      </c>
      <c r="D255">
        <v>2018</v>
      </c>
    </row>
    <row r="256" spans="1:4" x14ac:dyDescent="0.35">
      <c r="A256" t="s">
        <v>559</v>
      </c>
      <c r="B256" s="28">
        <v>44334</v>
      </c>
      <c r="C256" t="s">
        <v>546</v>
      </c>
      <c r="D256">
        <v>1998</v>
      </c>
    </row>
    <row r="257" spans="1:4" x14ac:dyDescent="0.35">
      <c r="A257" t="s">
        <v>559</v>
      </c>
      <c r="B257" s="28">
        <v>44334</v>
      </c>
      <c r="C257" t="s">
        <v>441</v>
      </c>
      <c r="D257">
        <v>892</v>
      </c>
    </row>
    <row r="258" spans="1:4" x14ac:dyDescent="0.35">
      <c r="A258" t="s">
        <v>559</v>
      </c>
      <c r="B258" s="28">
        <v>44334</v>
      </c>
      <c r="C258" t="s">
        <v>449</v>
      </c>
      <c r="D258">
        <v>888</v>
      </c>
    </row>
    <row r="259" spans="1:4" x14ac:dyDescent="0.35">
      <c r="A259" t="s">
        <v>559</v>
      </c>
      <c r="B259" s="28">
        <v>44334</v>
      </c>
      <c r="C259" t="s">
        <v>441</v>
      </c>
      <c r="D259">
        <v>1758</v>
      </c>
    </row>
    <row r="260" spans="1:4" x14ac:dyDescent="0.35">
      <c r="A260" t="s">
        <v>559</v>
      </c>
      <c r="B260" s="28">
        <v>44334</v>
      </c>
      <c r="C260" t="s">
        <v>530</v>
      </c>
      <c r="D260">
        <v>2612</v>
      </c>
    </row>
    <row r="261" spans="1:4" x14ac:dyDescent="0.35">
      <c r="A261" t="s">
        <v>561</v>
      </c>
      <c r="B261" s="28">
        <v>44335</v>
      </c>
      <c r="C261" t="s">
        <v>484</v>
      </c>
      <c r="D261">
        <v>5</v>
      </c>
    </row>
    <row r="262" spans="1:4" x14ac:dyDescent="0.35">
      <c r="A262" t="s">
        <v>561</v>
      </c>
      <c r="B262" s="28">
        <v>44335</v>
      </c>
      <c r="C262" t="s">
        <v>484</v>
      </c>
      <c r="D262">
        <v>51</v>
      </c>
    </row>
    <row r="263" spans="1:4" x14ac:dyDescent="0.35">
      <c r="A263" t="s">
        <v>561</v>
      </c>
      <c r="B263" s="28">
        <v>44335</v>
      </c>
      <c r="C263" t="s">
        <v>465</v>
      </c>
      <c r="D263">
        <v>24</v>
      </c>
    </row>
    <row r="264" spans="1:4" x14ac:dyDescent="0.35">
      <c r="A264" t="s">
        <v>561</v>
      </c>
      <c r="B264" s="28">
        <v>44335</v>
      </c>
      <c r="C264" t="s">
        <v>443</v>
      </c>
      <c r="D264">
        <v>10000</v>
      </c>
    </row>
    <row r="265" spans="1:4" x14ac:dyDescent="0.35">
      <c r="A265" t="s">
        <v>561</v>
      </c>
      <c r="B265" s="28">
        <v>44335</v>
      </c>
      <c r="C265" t="s">
        <v>484</v>
      </c>
      <c r="D265">
        <v>94</v>
      </c>
    </row>
    <row r="266" spans="1:4" x14ac:dyDescent="0.35">
      <c r="A266" t="s">
        <v>561</v>
      </c>
      <c r="B266" s="28">
        <v>44335</v>
      </c>
      <c r="C266" t="s">
        <v>467</v>
      </c>
      <c r="D266">
        <v>974</v>
      </c>
    </row>
    <row r="267" spans="1:4" x14ac:dyDescent="0.35">
      <c r="A267" t="s">
        <v>561</v>
      </c>
      <c r="B267" s="28">
        <v>44335</v>
      </c>
      <c r="C267" t="s">
        <v>530</v>
      </c>
      <c r="D267">
        <v>842</v>
      </c>
    </row>
    <row r="268" spans="1:4" x14ac:dyDescent="0.35">
      <c r="A268" t="s">
        <v>561</v>
      </c>
      <c r="B268" s="28">
        <v>44335</v>
      </c>
      <c r="C268" t="s">
        <v>446</v>
      </c>
      <c r="D268">
        <v>1111</v>
      </c>
    </row>
    <row r="269" spans="1:4" x14ac:dyDescent="0.35">
      <c r="A269" t="s">
        <v>563</v>
      </c>
      <c r="B269" s="28">
        <v>44336</v>
      </c>
      <c r="C269" t="s">
        <v>539</v>
      </c>
      <c r="D269">
        <v>624</v>
      </c>
    </row>
    <row r="270" spans="1:4" x14ac:dyDescent="0.35">
      <c r="A270" t="s">
        <v>563</v>
      </c>
      <c r="B270" s="28">
        <v>44336</v>
      </c>
      <c r="C270" t="s">
        <v>443</v>
      </c>
      <c r="D270">
        <v>2389</v>
      </c>
    </row>
    <row r="271" spans="1:4" x14ac:dyDescent="0.35">
      <c r="A271" t="s">
        <v>563</v>
      </c>
      <c r="B271" s="28">
        <v>44336</v>
      </c>
      <c r="C271" t="s">
        <v>502</v>
      </c>
      <c r="D271">
        <v>958</v>
      </c>
    </row>
    <row r="272" spans="1:4" x14ac:dyDescent="0.35">
      <c r="A272" t="s">
        <v>563</v>
      </c>
      <c r="B272" s="28">
        <v>44336</v>
      </c>
      <c r="C272" t="s">
        <v>502</v>
      </c>
      <c r="D272">
        <v>82</v>
      </c>
    </row>
    <row r="273" spans="1:4" x14ac:dyDescent="0.35">
      <c r="A273" t="s">
        <v>563</v>
      </c>
      <c r="B273" s="28">
        <v>44336</v>
      </c>
      <c r="C273" t="s">
        <v>441</v>
      </c>
      <c r="D273">
        <v>1538</v>
      </c>
    </row>
    <row r="274" spans="1:4" x14ac:dyDescent="0.35">
      <c r="A274" t="s">
        <v>563</v>
      </c>
      <c r="B274" s="28">
        <v>44336</v>
      </c>
      <c r="C274" t="s">
        <v>530</v>
      </c>
      <c r="D274">
        <v>1909</v>
      </c>
    </row>
    <row r="275" spans="1:4" x14ac:dyDescent="0.35">
      <c r="A275" t="s">
        <v>563</v>
      </c>
      <c r="B275" s="28">
        <v>44336</v>
      </c>
      <c r="C275" t="s">
        <v>530</v>
      </c>
      <c r="D275">
        <v>580</v>
      </c>
    </row>
    <row r="276" spans="1:4" x14ac:dyDescent="0.35">
      <c r="A276" t="s">
        <v>563</v>
      </c>
      <c r="B276" s="28">
        <v>44336</v>
      </c>
      <c r="C276" t="s">
        <v>441</v>
      </c>
      <c r="D276">
        <v>2035</v>
      </c>
    </row>
    <row r="277" spans="1:4" x14ac:dyDescent="0.35">
      <c r="A277" t="s">
        <v>685</v>
      </c>
      <c r="B277" s="28">
        <v>44337</v>
      </c>
      <c r="C277" t="s">
        <v>441</v>
      </c>
      <c r="D277">
        <v>766</v>
      </c>
    </row>
    <row r="278" spans="1:4" x14ac:dyDescent="0.35">
      <c r="A278" t="s">
        <v>685</v>
      </c>
      <c r="B278" s="28">
        <v>44337</v>
      </c>
      <c r="C278" t="s">
        <v>441</v>
      </c>
      <c r="D278">
        <v>988</v>
      </c>
    </row>
    <row r="279" spans="1:4" x14ac:dyDescent="0.35">
      <c r="A279" t="s">
        <v>685</v>
      </c>
      <c r="B279" s="28">
        <v>44337</v>
      </c>
      <c r="C279" t="s">
        <v>530</v>
      </c>
      <c r="D279">
        <v>2040</v>
      </c>
    </row>
    <row r="280" spans="1:4" x14ac:dyDescent="0.35">
      <c r="A280" t="s">
        <v>564</v>
      </c>
      <c r="B280" s="28">
        <v>44338</v>
      </c>
      <c r="C280" t="s">
        <v>539</v>
      </c>
      <c r="D280">
        <v>50</v>
      </c>
    </row>
    <row r="281" spans="1:4" x14ac:dyDescent="0.35">
      <c r="A281" t="s">
        <v>564</v>
      </c>
      <c r="B281" s="28">
        <v>44338</v>
      </c>
      <c r="C281" t="s">
        <v>539</v>
      </c>
      <c r="D281">
        <v>154</v>
      </c>
    </row>
    <row r="282" spans="1:4" x14ac:dyDescent="0.35">
      <c r="A282" t="s">
        <v>565</v>
      </c>
      <c r="B282" s="28">
        <v>44339</v>
      </c>
      <c r="C282" t="s">
        <v>443</v>
      </c>
      <c r="D282">
        <v>1066</v>
      </c>
    </row>
    <row r="283" spans="1:4" x14ac:dyDescent="0.35">
      <c r="A283" t="s">
        <v>565</v>
      </c>
      <c r="B283" s="28">
        <v>44339</v>
      </c>
      <c r="C283" t="s">
        <v>546</v>
      </c>
      <c r="D283">
        <v>1351</v>
      </c>
    </row>
    <row r="284" spans="1:4" x14ac:dyDescent="0.35">
      <c r="A284" t="s">
        <v>565</v>
      </c>
      <c r="B284" s="28">
        <v>44339</v>
      </c>
      <c r="C284" t="s">
        <v>566</v>
      </c>
      <c r="D284">
        <v>146</v>
      </c>
    </row>
    <row r="285" spans="1:4" x14ac:dyDescent="0.35">
      <c r="A285" t="s">
        <v>565</v>
      </c>
      <c r="B285" s="28">
        <v>44339</v>
      </c>
      <c r="C285" t="s">
        <v>566</v>
      </c>
      <c r="D285">
        <v>102</v>
      </c>
    </row>
    <row r="286" spans="1:4" x14ac:dyDescent="0.35">
      <c r="A286" t="s">
        <v>565</v>
      </c>
      <c r="B286" s="28">
        <v>44339</v>
      </c>
      <c r="C286" t="s">
        <v>530</v>
      </c>
      <c r="D286">
        <v>1690</v>
      </c>
    </row>
    <row r="287" spans="1:4" x14ac:dyDescent="0.35">
      <c r="A287" t="s">
        <v>567</v>
      </c>
      <c r="B287" s="28">
        <v>44340</v>
      </c>
      <c r="C287" t="s">
        <v>539</v>
      </c>
      <c r="D287">
        <v>191</v>
      </c>
    </row>
    <row r="288" spans="1:4" x14ac:dyDescent="0.35">
      <c r="A288" t="s">
        <v>567</v>
      </c>
      <c r="B288" s="28">
        <v>44340</v>
      </c>
      <c r="C288" t="s">
        <v>526</v>
      </c>
      <c r="D288">
        <v>9573</v>
      </c>
    </row>
    <row r="289" spans="1:4" x14ac:dyDescent="0.35">
      <c r="A289" t="s">
        <v>567</v>
      </c>
      <c r="B289" s="28">
        <v>44340</v>
      </c>
      <c r="C289" t="s">
        <v>483</v>
      </c>
      <c r="D289">
        <v>3598</v>
      </c>
    </row>
    <row r="290" spans="1:4" x14ac:dyDescent="0.35">
      <c r="A290" t="s">
        <v>568</v>
      </c>
      <c r="B290" s="28">
        <v>44341</v>
      </c>
      <c r="C290" t="s">
        <v>553</v>
      </c>
      <c r="D290">
        <v>786</v>
      </c>
    </row>
    <row r="291" spans="1:4" x14ac:dyDescent="0.35">
      <c r="A291" t="s">
        <v>568</v>
      </c>
      <c r="B291" s="28">
        <v>44341</v>
      </c>
      <c r="C291" t="s">
        <v>553</v>
      </c>
      <c r="D291">
        <v>202</v>
      </c>
    </row>
    <row r="292" spans="1:4" x14ac:dyDescent="0.35">
      <c r="A292" t="s">
        <v>568</v>
      </c>
      <c r="B292" s="28">
        <v>44341</v>
      </c>
      <c r="C292" t="s">
        <v>505</v>
      </c>
      <c r="D292">
        <v>4151</v>
      </c>
    </row>
    <row r="293" spans="1:4" x14ac:dyDescent="0.35">
      <c r="A293" t="s">
        <v>568</v>
      </c>
      <c r="B293" s="28">
        <v>44341</v>
      </c>
      <c r="C293" t="s">
        <v>546</v>
      </c>
      <c r="D293">
        <v>1754</v>
      </c>
    </row>
    <row r="294" spans="1:4" x14ac:dyDescent="0.35">
      <c r="A294" t="s">
        <v>568</v>
      </c>
      <c r="B294" s="28">
        <v>44341</v>
      </c>
      <c r="C294" t="s">
        <v>507</v>
      </c>
      <c r="D294">
        <v>2899</v>
      </c>
    </row>
    <row r="295" spans="1:4" x14ac:dyDescent="0.35">
      <c r="A295" t="s">
        <v>568</v>
      </c>
      <c r="B295" s="28">
        <v>44341</v>
      </c>
      <c r="C295" t="s">
        <v>451</v>
      </c>
      <c r="D295">
        <v>1351</v>
      </c>
    </row>
    <row r="296" spans="1:4" x14ac:dyDescent="0.35">
      <c r="A296" t="s">
        <v>568</v>
      </c>
      <c r="B296" s="28">
        <v>44341</v>
      </c>
      <c r="C296" t="s">
        <v>492</v>
      </c>
      <c r="D296">
        <v>1254</v>
      </c>
    </row>
    <row r="297" spans="1:4" x14ac:dyDescent="0.35">
      <c r="A297" t="s">
        <v>568</v>
      </c>
      <c r="B297" s="28">
        <v>44341</v>
      </c>
      <c r="C297" t="s">
        <v>555</v>
      </c>
      <c r="D297">
        <v>1637</v>
      </c>
    </row>
    <row r="298" spans="1:4" x14ac:dyDescent="0.35">
      <c r="A298" t="s">
        <v>569</v>
      </c>
      <c r="B298" s="28">
        <v>44342</v>
      </c>
      <c r="C298" t="s">
        <v>507</v>
      </c>
      <c r="D298">
        <v>4300</v>
      </c>
    </row>
    <row r="299" spans="1:4" x14ac:dyDescent="0.35">
      <c r="A299" t="s">
        <v>569</v>
      </c>
      <c r="B299" s="28">
        <v>44342</v>
      </c>
      <c r="C299" t="s">
        <v>485</v>
      </c>
      <c r="D299">
        <v>1512</v>
      </c>
    </row>
    <row r="300" spans="1:4" x14ac:dyDescent="0.35">
      <c r="A300" t="s">
        <v>569</v>
      </c>
      <c r="B300" s="28">
        <v>44342</v>
      </c>
      <c r="C300" t="s">
        <v>505</v>
      </c>
      <c r="D300">
        <v>5398</v>
      </c>
    </row>
    <row r="301" spans="1:4" x14ac:dyDescent="0.35">
      <c r="A301" t="s">
        <v>569</v>
      </c>
      <c r="B301" s="28">
        <v>44342</v>
      </c>
      <c r="C301" t="s">
        <v>505</v>
      </c>
      <c r="D301">
        <v>5049</v>
      </c>
    </row>
    <row r="302" spans="1:4" x14ac:dyDescent="0.35">
      <c r="A302" t="s">
        <v>569</v>
      </c>
      <c r="B302" s="28">
        <v>44342</v>
      </c>
      <c r="C302" t="s">
        <v>526</v>
      </c>
      <c r="D302">
        <v>1948</v>
      </c>
    </row>
    <row r="303" spans="1:4" x14ac:dyDescent="0.35">
      <c r="A303" t="s">
        <v>571</v>
      </c>
      <c r="B303" s="28">
        <v>44343</v>
      </c>
      <c r="C303" t="s">
        <v>497</v>
      </c>
      <c r="D303">
        <v>270</v>
      </c>
    </row>
    <row r="304" spans="1:4" x14ac:dyDescent="0.35">
      <c r="A304" t="s">
        <v>571</v>
      </c>
      <c r="B304" s="28">
        <v>44343</v>
      </c>
      <c r="C304" t="s">
        <v>497</v>
      </c>
      <c r="D304">
        <v>2684</v>
      </c>
    </row>
    <row r="305" spans="1:4" x14ac:dyDescent="0.35">
      <c r="A305" t="s">
        <v>571</v>
      </c>
      <c r="B305" s="28">
        <v>44343</v>
      </c>
      <c r="C305" t="s">
        <v>526</v>
      </c>
      <c r="D305">
        <v>2147</v>
      </c>
    </row>
    <row r="306" spans="1:4" x14ac:dyDescent="0.35">
      <c r="A306" t="s">
        <v>571</v>
      </c>
      <c r="B306" s="28">
        <v>44343</v>
      </c>
      <c r="C306" t="s">
        <v>461</v>
      </c>
      <c r="D306">
        <v>574</v>
      </c>
    </row>
    <row r="307" spans="1:4" x14ac:dyDescent="0.35">
      <c r="A307" t="s">
        <v>572</v>
      </c>
      <c r="B307" s="28">
        <v>44345</v>
      </c>
      <c r="C307" t="s">
        <v>546</v>
      </c>
      <c r="D307">
        <v>2038</v>
      </c>
    </row>
    <row r="308" spans="1:4" x14ac:dyDescent="0.35">
      <c r="A308" t="s">
        <v>572</v>
      </c>
      <c r="B308" s="28">
        <v>44345</v>
      </c>
      <c r="C308" t="s">
        <v>530</v>
      </c>
      <c r="D308">
        <v>2364</v>
      </c>
    </row>
    <row r="309" spans="1:4" x14ac:dyDescent="0.35">
      <c r="A309" t="s">
        <v>572</v>
      </c>
      <c r="B309" s="28">
        <v>44345</v>
      </c>
      <c r="C309" t="s">
        <v>530</v>
      </c>
      <c r="D309">
        <v>85</v>
      </c>
    </row>
    <row r="310" spans="1:4" x14ac:dyDescent="0.35">
      <c r="A310" t="s">
        <v>572</v>
      </c>
      <c r="B310" s="28">
        <v>44345</v>
      </c>
      <c r="C310" t="s">
        <v>530</v>
      </c>
      <c r="D310">
        <v>1458</v>
      </c>
    </row>
    <row r="311" spans="1:4" x14ac:dyDescent="0.35">
      <c r="A311" t="s">
        <v>572</v>
      </c>
      <c r="B311" s="28">
        <v>44345</v>
      </c>
      <c r="C311" t="s">
        <v>502</v>
      </c>
      <c r="D311">
        <v>1082</v>
      </c>
    </row>
    <row r="312" spans="1:4" x14ac:dyDescent="0.35">
      <c r="A312" t="s">
        <v>572</v>
      </c>
      <c r="B312" s="28">
        <v>44345</v>
      </c>
      <c r="C312" t="s">
        <v>450</v>
      </c>
      <c r="D312">
        <v>2076</v>
      </c>
    </row>
    <row r="313" spans="1:4" x14ac:dyDescent="0.35">
      <c r="A313" t="s">
        <v>572</v>
      </c>
      <c r="B313" s="28">
        <v>44345</v>
      </c>
      <c r="C313" t="s">
        <v>449</v>
      </c>
      <c r="D313">
        <v>2000</v>
      </c>
    </row>
    <row r="314" spans="1:4" x14ac:dyDescent="0.35">
      <c r="A314" t="s">
        <v>573</v>
      </c>
      <c r="B314" s="28">
        <v>44346</v>
      </c>
      <c r="C314" t="s">
        <v>507</v>
      </c>
      <c r="D314">
        <v>4201</v>
      </c>
    </row>
    <row r="315" spans="1:4" x14ac:dyDescent="0.35">
      <c r="A315" t="s">
        <v>573</v>
      </c>
      <c r="B315" s="28">
        <v>44346</v>
      </c>
      <c r="C315" t="s">
        <v>504</v>
      </c>
      <c r="D315">
        <v>2437</v>
      </c>
    </row>
    <row r="316" spans="1:4" x14ac:dyDescent="0.35">
      <c r="A316" t="s">
        <v>573</v>
      </c>
      <c r="B316" s="28">
        <v>44346</v>
      </c>
      <c r="C316" t="s">
        <v>451</v>
      </c>
      <c r="D316">
        <v>369</v>
      </c>
    </row>
    <row r="317" spans="1:4" x14ac:dyDescent="0.35">
      <c r="A317" t="s">
        <v>574</v>
      </c>
      <c r="B317" s="28">
        <v>44347</v>
      </c>
      <c r="C317" t="s">
        <v>511</v>
      </c>
      <c r="D317">
        <v>896</v>
      </c>
    </row>
    <row r="318" spans="1:4" x14ac:dyDescent="0.35">
      <c r="A318" t="s">
        <v>574</v>
      </c>
      <c r="B318" s="28">
        <v>44347</v>
      </c>
      <c r="C318" t="s">
        <v>511</v>
      </c>
      <c r="D318">
        <v>202</v>
      </c>
    </row>
    <row r="319" spans="1:4" x14ac:dyDescent="0.35">
      <c r="A319" t="s">
        <v>574</v>
      </c>
      <c r="B319" s="28">
        <v>44347</v>
      </c>
      <c r="C319" t="s">
        <v>493</v>
      </c>
      <c r="D319">
        <v>507</v>
      </c>
    </row>
    <row r="320" spans="1:4" x14ac:dyDescent="0.35">
      <c r="A320" t="s">
        <v>574</v>
      </c>
      <c r="B320" s="28">
        <v>44347</v>
      </c>
      <c r="C320" t="s">
        <v>631</v>
      </c>
      <c r="D320">
        <v>700</v>
      </c>
    </row>
    <row r="321" spans="1:4" x14ac:dyDescent="0.35">
      <c r="A321" t="s">
        <v>574</v>
      </c>
      <c r="B321" s="28">
        <v>44347</v>
      </c>
      <c r="C321" t="s">
        <v>631</v>
      </c>
      <c r="D321">
        <v>206</v>
      </c>
    </row>
    <row r="322" spans="1:4" x14ac:dyDescent="0.35">
      <c r="A322" t="s">
        <v>574</v>
      </c>
      <c r="B322" s="28">
        <v>44347</v>
      </c>
      <c r="C322" t="s">
        <v>441</v>
      </c>
      <c r="D322">
        <v>1746</v>
      </c>
    </row>
    <row r="323" spans="1:4" x14ac:dyDescent="0.35">
      <c r="A323" t="s">
        <v>574</v>
      </c>
      <c r="B323" s="28">
        <v>44347</v>
      </c>
      <c r="C323" t="s">
        <v>504</v>
      </c>
      <c r="D323">
        <v>2930</v>
      </c>
    </row>
    <row r="324" spans="1:4" x14ac:dyDescent="0.35">
      <c r="A324" t="s">
        <v>574</v>
      </c>
      <c r="B324" s="28">
        <v>44347</v>
      </c>
      <c r="C324" t="s">
        <v>443</v>
      </c>
      <c r="D324">
        <v>2657</v>
      </c>
    </row>
    <row r="325" spans="1:4" x14ac:dyDescent="0.35">
      <c r="A325" t="s">
        <v>574</v>
      </c>
      <c r="B325" s="28">
        <v>44347</v>
      </c>
      <c r="C325" t="s">
        <v>534</v>
      </c>
      <c r="D325">
        <v>272</v>
      </c>
    </row>
    <row r="326" spans="1:4" x14ac:dyDescent="0.35">
      <c r="A326" t="s">
        <v>574</v>
      </c>
      <c r="B326" s="28">
        <v>44347</v>
      </c>
      <c r="C326" t="s">
        <v>455</v>
      </c>
      <c r="D326">
        <v>816</v>
      </c>
    </row>
    <row r="327" spans="1:4" x14ac:dyDescent="0.35">
      <c r="A327" t="s">
        <v>574</v>
      </c>
      <c r="B327" s="28">
        <v>44347</v>
      </c>
      <c r="C327" t="s">
        <v>455</v>
      </c>
      <c r="D327">
        <v>428</v>
      </c>
    </row>
    <row r="328" spans="1:4" x14ac:dyDescent="0.35">
      <c r="A328" t="s">
        <v>574</v>
      </c>
      <c r="B328" s="28">
        <v>44347</v>
      </c>
      <c r="C328" t="s">
        <v>546</v>
      </c>
      <c r="D328">
        <v>2010</v>
      </c>
    </row>
    <row r="329" spans="1:4" x14ac:dyDescent="0.35">
      <c r="A329" t="s">
        <v>576</v>
      </c>
      <c r="B329" s="28">
        <v>44348</v>
      </c>
      <c r="C329" t="s">
        <v>526</v>
      </c>
      <c r="D329">
        <v>11437</v>
      </c>
    </row>
    <row r="330" spans="1:4" x14ac:dyDescent="0.35">
      <c r="A330" t="s">
        <v>576</v>
      </c>
      <c r="B330" s="28">
        <v>44348</v>
      </c>
      <c r="C330" t="s">
        <v>443</v>
      </c>
      <c r="D330">
        <v>2475</v>
      </c>
    </row>
    <row r="331" spans="1:4" x14ac:dyDescent="0.35">
      <c r="A331" t="s">
        <v>576</v>
      </c>
      <c r="B331" s="28">
        <v>44348</v>
      </c>
      <c r="C331" t="s">
        <v>443</v>
      </c>
      <c r="D331">
        <v>2750</v>
      </c>
    </row>
    <row r="332" spans="1:4" x14ac:dyDescent="0.35">
      <c r="A332" t="s">
        <v>576</v>
      </c>
      <c r="B332" s="28">
        <v>44348</v>
      </c>
      <c r="C332" t="s">
        <v>499</v>
      </c>
      <c r="D332">
        <v>4846</v>
      </c>
    </row>
    <row r="333" spans="1:4" x14ac:dyDescent="0.35">
      <c r="A333" t="s">
        <v>576</v>
      </c>
      <c r="B333" s="28">
        <v>44348</v>
      </c>
      <c r="C333" t="s">
        <v>443</v>
      </c>
      <c r="D333">
        <v>2980</v>
      </c>
    </row>
    <row r="334" spans="1:4" x14ac:dyDescent="0.35">
      <c r="A334" t="s">
        <v>576</v>
      </c>
      <c r="B334" s="28">
        <v>44348</v>
      </c>
      <c r="C334" t="s">
        <v>505</v>
      </c>
      <c r="D334">
        <v>5728</v>
      </c>
    </row>
    <row r="335" spans="1:4" x14ac:dyDescent="0.35">
      <c r="A335" t="s">
        <v>578</v>
      </c>
      <c r="B335" s="28">
        <v>44349</v>
      </c>
      <c r="C335" t="s">
        <v>553</v>
      </c>
      <c r="D335">
        <v>343</v>
      </c>
    </row>
    <row r="336" spans="1:4" x14ac:dyDescent="0.35">
      <c r="A336" t="s">
        <v>578</v>
      </c>
      <c r="B336" s="28">
        <v>44349</v>
      </c>
      <c r="C336" t="s">
        <v>470</v>
      </c>
      <c r="D336">
        <v>2226</v>
      </c>
    </row>
    <row r="337" spans="1:4" x14ac:dyDescent="0.35">
      <c r="A337" t="s">
        <v>578</v>
      </c>
      <c r="B337" s="28">
        <v>44349</v>
      </c>
      <c r="C337" t="s">
        <v>537</v>
      </c>
      <c r="D337">
        <v>710</v>
      </c>
    </row>
    <row r="338" spans="1:4" x14ac:dyDescent="0.35">
      <c r="A338" t="s">
        <v>578</v>
      </c>
      <c r="B338" s="28">
        <v>44349</v>
      </c>
      <c r="C338" t="s">
        <v>537</v>
      </c>
      <c r="D338">
        <v>2436</v>
      </c>
    </row>
    <row r="339" spans="1:4" x14ac:dyDescent="0.35">
      <c r="A339" t="s">
        <v>578</v>
      </c>
      <c r="B339" s="28">
        <v>44349</v>
      </c>
      <c r="C339" t="s">
        <v>520</v>
      </c>
      <c r="D339">
        <v>998</v>
      </c>
    </row>
    <row r="340" spans="1:4" x14ac:dyDescent="0.35">
      <c r="A340" t="s">
        <v>578</v>
      </c>
      <c r="B340" s="28">
        <v>44349</v>
      </c>
      <c r="C340" t="s">
        <v>501</v>
      </c>
      <c r="D340">
        <v>3910</v>
      </c>
    </row>
    <row r="341" spans="1:4" x14ac:dyDescent="0.35">
      <c r="A341" t="s">
        <v>578</v>
      </c>
      <c r="B341" s="28">
        <v>44349</v>
      </c>
      <c r="C341" t="s">
        <v>502</v>
      </c>
      <c r="D341">
        <v>86</v>
      </c>
    </row>
    <row r="342" spans="1:4" x14ac:dyDescent="0.35">
      <c r="A342" t="s">
        <v>578</v>
      </c>
      <c r="B342" s="28">
        <v>44349</v>
      </c>
      <c r="C342" t="s">
        <v>502</v>
      </c>
      <c r="D342">
        <v>271</v>
      </c>
    </row>
    <row r="343" spans="1:4" x14ac:dyDescent="0.35">
      <c r="A343" t="s">
        <v>578</v>
      </c>
      <c r="B343" s="28">
        <v>44349</v>
      </c>
      <c r="C343" t="s">
        <v>502</v>
      </c>
      <c r="D343">
        <v>381</v>
      </c>
    </row>
    <row r="344" spans="1:4" x14ac:dyDescent="0.35">
      <c r="A344" t="s">
        <v>578</v>
      </c>
      <c r="B344" s="28">
        <v>44349</v>
      </c>
      <c r="C344" t="s">
        <v>526</v>
      </c>
      <c r="D344">
        <v>1692</v>
      </c>
    </row>
    <row r="345" spans="1:4" x14ac:dyDescent="0.35">
      <c r="A345" t="s">
        <v>580</v>
      </c>
      <c r="B345" s="28">
        <v>44350</v>
      </c>
      <c r="C345" t="s">
        <v>581</v>
      </c>
      <c r="D345">
        <v>259</v>
      </c>
    </row>
    <row r="346" spans="1:4" x14ac:dyDescent="0.35">
      <c r="A346" t="s">
        <v>580</v>
      </c>
      <c r="B346" s="28">
        <v>44350</v>
      </c>
      <c r="C346" t="s">
        <v>546</v>
      </c>
      <c r="D346">
        <v>2104</v>
      </c>
    </row>
    <row r="347" spans="1:4" x14ac:dyDescent="0.35">
      <c r="A347" t="s">
        <v>580</v>
      </c>
      <c r="B347" s="28">
        <v>44350</v>
      </c>
      <c r="C347" t="s">
        <v>446</v>
      </c>
      <c r="D347">
        <v>2809</v>
      </c>
    </row>
    <row r="348" spans="1:4" x14ac:dyDescent="0.35">
      <c r="A348" t="s">
        <v>580</v>
      </c>
      <c r="B348" s="28">
        <v>44350</v>
      </c>
      <c r="C348" t="s">
        <v>493</v>
      </c>
      <c r="D348">
        <v>225</v>
      </c>
    </row>
    <row r="349" spans="1:4" x14ac:dyDescent="0.35">
      <c r="A349" t="s">
        <v>580</v>
      </c>
      <c r="B349" s="28">
        <v>44350</v>
      </c>
      <c r="C349" t="s">
        <v>493</v>
      </c>
      <c r="D349">
        <v>426</v>
      </c>
    </row>
    <row r="350" spans="1:4" x14ac:dyDescent="0.35">
      <c r="A350" t="s">
        <v>580</v>
      </c>
      <c r="B350" s="28">
        <v>44350</v>
      </c>
      <c r="C350" t="s">
        <v>493</v>
      </c>
      <c r="D350">
        <v>36</v>
      </c>
    </row>
    <row r="351" spans="1:4" x14ac:dyDescent="0.35">
      <c r="A351" t="s">
        <v>582</v>
      </c>
      <c r="B351" s="28">
        <v>44354</v>
      </c>
      <c r="C351" t="s">
        <v>579</v>
      </c>
      <c r="D351">
        <v>137</v>
      </c>
    </row>
    <row r="352" spans="1:4" x14ac:dyDescent="0.35">
      <c r="A352" t="s">
        <v>582</v>
      </c>
      <c r="B352" s="28">
        <v>44354</v>
      </c>
      <c r="C352" t="s">
        <v>579</v>
      </c>
      <c r="D352">
        <v>766</v>
      </c>
    </row>
    <row r="353" spans="1:4" x14ac:dyDescent="0.35">
      <c r="A353" t="s">
        <v>582</v>
      </c>
      <c r="B353" s="28">
        <v>44354</v>
      </c>
      <c r="C353" t="s">
        <v>579</v>
      </c>
      <c r="D353">
        <v>390</v>
      </c>
    </row>
    <row r="354" spans="1:4" x14ac:dyDescent="0.35">
      <c r="A354" t="s">
        <v>582</v>
      </c>
      <c r="B354" s="28">
        <v>44354</v>
      </c>
      <c r="C354" t="s">
        <v>507</v>
      </c>
      <c r="D354">
        <v>2289</v>
      </c>
    </row>
    <row r="355" spans="1:4" x14ac:dyDescent="0.35">
      <c r="A355" t="s">
        <v>582</v>
      </c>
      <c r="B355" s="28">
        <v>44354</v>
      </c>
      <c r="C355" t="s">
        <v>489</v>
      </c>
      <c r="D355">
        <v>1329</v>
      </c>
    </row>
    <row r="356" spans="1:4" x14ac:dyDescent="0.35">
      <c r="A356" t="s">
        <v>582</v>
      </c>
      <c r="B356" s="28">
        <v>44354</v>
      </c>
      <c r="C356" t="s">
        <v>443</v>
      </c>
      <c r="D356">
        <v>2308</v>
      </c>
    </row>
    <row r="357" spans="1:4" x14ac:dyDescent="0.35">
      <c r="A357" t="s">
        <v>582</v>
      </c>
      <c r="B357" s="28">
        <v>44354</v>
      </c>
      <c r="C357" t="s">
        <v>505</v>
      </c>
      <c r="D357">
        <v>4457</v>
      </c>
    </row>
    <row r="358" spans="1:4" x14ac:dyDescent="0.35">
      <c r="A358" t="s">
        <v>582</v>
      </c>
      <c r="B358" s="28">
        <v>44354</v>
      </c>
      <c r="C358" t="s">
        <v>449</v>
      </c>
      <c r="D358">
        <v>3150</v>
      </c>
    </row>
    <row r="359" spans="1:4" x14ac:dyDescent="0.35">
      <c r="A359" t="s">
        <v>583</v>
      </c>
      <c r="B359" s="28">
        <v>44355</v>
      </c>
      <c r="C359" t="s">
        <v>526</v>
      </c>
      <c r="D359">
        <v>14936</v>
      </c>
    </row>
    <row r="360" spans="1:4" x14ac:dyDescent="0.35">
      <c r="A360" t="s">
        <v>583</v>
      </c>
      <c r="B360" s="28">
        <v>44355</v>
      </c>
      <c r="C360" t="s">
        <v>449</v>
      </c>
      <c r="D360">
        <v>2754</v>
      </c>
    </row>
    <row r="361" spans="1:4" x14ac:dyDescent="0.35">
      <c r="A361" t="s">
        <v>583</v>
      </c>
      <c r="B361" s="28">
        <v>44355</v>
      </c>
      <c r="C361" t="s">
        <v>489</v>
      </c>
      <c r="D361">
        <v>466</v>
      </c>
    </row>
    <row r="362" spans="1:4" x14ac:dyDescent="0.35">
      <c r="A362" t="s">
        <v>583</v>
      </c>
      <c r="B362" s="28">
        <v>44355</v>
      </c>
      <c r="C362" t="s">
        <v>441</v>
      </c>
      <c r="D362">
        <v>1850</v>
      </c>
    </row>
    <row r="363" spans="1:4" x14ac:dyDescent="0.35">
      <c r="A363" t="s">
        <v>583</v>
      </c>
      <c r="B363" s="28">
        <v>44355</v>
      </c>
      <c r="C363" t="s">
        <v>530</v>
      </c>
      <c r="D363">
        <v>3646</v>
      </c>
    </row>
    <row r="364" spans="1:4" x14ac:dyDescent="0.35">
      <c r="A364" t="s">
        <v>583</v>
      </c>
      <c r="B364" s="28">
        <v>44355</v>
      </c>
      <c r="C364" t="s">
        <v>530</v>
      </c>
      <c r="D364">
        <v>1668</v>
      </c>
    </row>
    <row r="365" spans="1:4" x14ac:dyDescent="0.35">
      <c r="A365" t="s">
        <v>583</v>
      </c>
      <c r="B365" s="28">
        <v>44355</v>
      </c>
      <c r="C365" t="s">
        <v>449</v>
      </c>
      <c r="D365">
        <v>1859</v>
      </c>
    </row>
    <row r="366" spans="1:4" x14ac:dyDescent="0.35">
      <c r="A366" t="s">
        <v>583</v>
      </c>
      <c r="B366" s="28">
        <v>44355</v>
      </c>
      <c r="C366" t="s">
        <v>554</v>
      </c>
      <c r="D366">
        <v>2081</v>
      </c>
    </row>
    <row r="367" spans="1:4" x14ac:dyDescent="0.35">
      <c r="A367" t="s">
        <v>583</v>
      </c>
      <c r="B367" s="28">
        <v>44355</v>
      </c>
      <c r="C367" t="s">
        <v>554</v>
      </c>
      <c r="D367">
        <v>794</v>
      </c>
    </row>
    <row r="368" spans="1:4" x14ac:dyDescent="0.35">
      <c r="A368" t="s">
        <v>583</v>
      </c>
      <c r="B368" s="28">
        <v>44355</v>
      </c>
      <c r="C368" t="s">
        <v>554</v>
      </c>
      <c r="D368">
        <v>658</v>
      </c>
    </row>
    <row r="369" spans="1:4" x14ac:dyDescent="0.35">
      <c r="A369" t="s">
        <v>583</v>
      </c>
      <c r="B369" s="28">
        <v>44355</v>
      </c>
      <c r="C369" t="s">
        <v>506</v>
      </c>
      <c r="D369">
        <v>4823</v>
      </c>
    </row>
    <row r="370" spans="1:4" x14ac:dyDescent="0.35">
      <c r="A370" t="s">
        <v>584</v>
      </c>
      <c r="B370" s="28">
        <v>44356</v>
      </c>
      <c r="C370" t="s">
        <v>441</v>
      </c>
      <c r="D370">
        <v>2063</v>
      </c>
    </row>
    <row r="371" spans="1:4" x14ac:dyDescent="0.35">
      <c r="A371" t="s">
        <v>584</v>
      </c>
      <c r="B371" s="28">
        <v>44356</v>
      </c>
      <c r="C371" t="s">
        <v>496</v>
      </c>
      <c r="D371">
        <v>504</v>
      </c>
    </row>
    <row r="372" spans="1:4" x14ac:dyDescent="0.35">
      <c r="A372" t="s">
        <v>584</v>
      </c>
      <c r="B372" s="28">
        <v>44356</v>
      </c>
      <c r="C372" t="s">
        <v>585</v>
      </c>
      <c r="D372">
        <v>344</v>
      </c>
    </row>
    <row r="373" spans="1:4" x14ac:dyDescent="0.35">
      <c r="A373" t="s">
        <v>584</v>
      </c>
      <c r="B373" s="28">
        <v>44356</v>
      </c>
      <c r="C373" t="s">
        <v>585</v>
      </c>
      <c r="D373">
        <v>314</v>
      </c>
    </row>
    <row r="374" spans="1:4" x14ac:dyDescent="0.35">
      <c r="A374" t="s">
        <v>586</v>
      </c>
      <c r="B374" s="28">
        <v>44357</v>
      </c>
      <c r="C374" t="s">
        <v>474</v>
      </c>
      <c r="D374">
        <v>972</v>
      </c>
    </row>
    <row r="375" spans="1:4" x14ac:dyDescent="0.35">
      <c r="A375" t="s">
        <v>586</v>
      </c>
      <c r="B375" s="28">
        <v>44357</v>
      </c>
      <c r="C375" t="s">
        <v>474</v>
      </c>
      <c r="D375">
        <v>48</v>
      </c>
    </row>
    <row r="376" spans="1:4" x14ac:dyDescent="0.35">
      <c r="A376" t="s">
        <v>586</v>
      </c>
      <c r="B376" s="28">
        <v>44357</v>
      </c>
      <c r="C376" t="s">
        <v>441</v>
      </c>
      <c r="D376">
        <v>1060</v>
      </c>
    </row>
    <row r="377" spans="1:4" x14ac:dyDescent="0.35">
      <c r="A377" t="s">
        <v>587</v>
      </c>
      <c r="B377" s="28">
        <v>44359</v>
      </c>
      <c r="C377" t="s">
        <v>526</v>
      </c>
      <c r="D377">
        <v>15076</v>
      </c>
    </row>
    <row r="378" spans="1:4" x14ac:dyDescent="0.35">
      <c r="A378" t="s">
        <v>586</v>
      </c>
      <c r="B378" s="28">
        <v>44357</v>
      </c>
      <c r="C378" t="s">
        <v>444</v>
      </c>
      <c r="D378">
        <v>2222</v>
      </c>
    </row>
    <row r="379" spans="1:4" x14ac:dyDescent="0.35">
      <c r="A379" t="s">
        <v>587</v>
      </c>
      <c r="B379" s="28">
        <v>44359</v>
      </c>
      <c r="C379" t="s">
        <v>451</v>
      </c>
      <c r="D379">
        <v>1182</v>
      </c>
    </row>
    <row r="380" spans="1:4" x14ac:dyDescent="0.35">
      <c r="A380" t="s">
        <v>587</v>
      </c>
      <c r="B380" s="28">
        <v>44359</v>
      </c>
      <c r="C380" t="s">
        <v>530</v>
      </c>
      <c r="D380">
        <v>3556</v>
      </c>
    </row>
    <row r="381" spans="1:4" x14ac:dyDescent="0.35">
      <c r="A381" t="s">
        <v>587</v>
      </c>
      <c r="B381" s="28">
        <v>44359</v>
      </c>
      <c r="C381" t="s">
        <v>451</v>
      </c>
      <c r="D381">
        <v>446</v>
      </c>
    </row>
    <row r="382" spans="1:4" x14ac:dyDescent="0.35">
      <c r="A382" t="s">
        <v>587</v>
      </c>
      <c r="B382" s="28">
        <v>44359</v>
      </c>
      <c r="C382" t="s">
        <v>494</v>
      </c>
      <c r="D382">
        <v>1525</v>
      </c>
    </row>
    <row r="383" spans="1:4" x14ac:dyDescent="0.35">
      <c r="A383" t="s">
        <v>587</v>
      </c>
      <c r="B383" s="28">
        <v>44359</v>
      </c>
      <c r="C383" t="s">
        <v>444</v>
      </c>
      <c r="D383">
        <v>664</v>
      </c>
    </row>
    <row r="384" spans="1:4" x14ac:dyDescent="0.35">
      <c r="A384" t="s">
        <v>587</v>
      </c>
      <c r="B384" s="28">
        <v>44359</v>
      </c>
      <c r="C384" t="s">
        <v>444</v>
      </c>
      <c r="D384">
        <v>202</v>
      </c>
    </row>
    <row r="385" spans="1:4" x14ac:dyDescent="0.35">
      <c r="A385" t="s">
        <v>587</v>
      </c>
      <c r="B385" s="28">
        <v>44359</v>
      </c>
      <c r="C385" t="s">
        <v>505</v>
      </c>
      <c r="D385">
        <v>5410</v>
      </c>
    </row>
    <row r="386" spans="1:4" x14ac:dyDescent="0.35">
      <c r="A386" t="s">
        <v>587</v>
      </c>
      <c r="B386" s="28">
        <v>44359</v>
      </c>
      <c r="C386" t="s">
        <v>506</v>
      </c>
      <c r="D386">
        <v>5085</v>
      </c>
    </row>
    <row r="387" spans="1:4" x14ac:dyDescent="0.35">
      <c r="A387" t="s">
        <v>588</v>
      </c>
      <c r="B387" s="28">
        <v>44360</v>
      </c>
      <c r="C387" t="s">
        <v>443</v>
      </c>
      <c r="D387">
        <v>2339</v>
      </c>
    </row>
    <row r="388" spans="1:4" x14ac:dyDescent="0.35">
      <c r="A388" t="s">
        <v>588</v>
      </c>
      <c r="B388" s="28">
        <v>44360</v>
      </c>
      <c r="C388" t="s">
        <v>441</v>
      </c>
      <c r="D388">
        <v>1827</v>
      </c>
    </row>
    <row r="389" spans="1:4" x14ac:dyDescent="0.35">
      <c r="A389" t="s">
        <v>588</v>
      </c>
      <c r="B389" s="28">
        <v>44360</v>
      </c>
      <c r="C389" t="s">
        <v>504</v>
      </c>
      <c r="D389">
        <v>2424</v>
      </c>
    </row>
    <row r="390" spans="1:4" x14ac:dyDescent="0.35">
      <c r="A390" t="s">
        <v>589</v>
      </c>
      <c r="B390" s="28">
        <v>44361</v>
      </c>
      <c r="C390" t="s">
        <v>530</v>
      </c>
      <c r="D390">
        <v>1114</v>
      </c>
    </row>
    <row r="391" spans="1:4" x14ac:dyDescent="0.35">
      <c r="A391" t="s">
        <v>589</v>
      </c>
      <c r="B391" s="28">
        <v>44361</v>
      </c>
      <c r="C391" t="s">
        <v>530</v>
      </c>
      <c r="D391">
        <v>942</v>
      </c>
    </row>
    <row r="392" spans="1:4" x14ac:dyDescent="0.35">
      <c r="A392" t="s">
        <v>589</v>
      </c>
      <c r="B392" s="28">
        <v>44361</v>
      </c>
      <c r="C392" t="s">
        <v>546</v>
      </c>
      <c r="D392">
        <v>2162</v>
      </c>
    </row>
    <row r="393" spans="1:4" x14ac:dyDescent="0.35">
      <c r="A393" t="s">
        <v>589</v>
      </c>
      <c r="B393" s="28">
        <v>44361</v>
      </c>
      <c r="C393" t="s">
        <v>505</v>
      </c>
      <c r="D393">
        <v>5033</v>
      </c>
    </row>
    <row r="394" spans="1:4" x14ac:dyDescent="0.35">
      <c r="A394" t="s">
        <v>591</v>
      </c>
      <c r="B394" s="28">
        <v>44362</v>
      </c>
      <c r="C394" t="s">
        <v>443</v>
      </c>
      <c r="D394">
        <v>2893</v>
      </c>
    </row>
    <row r="395" spans="1:4" x14ac:dyDescent="0.35">
      <c r="A395" t="s">
        <v>591</v>
      </c>
      <c r="B395" s="28">
        <v>44362</v>
      </c>
      <c r="C395" t="s">
        <v>579</v>
      </c>
      <c r="D395">
        <v>498</v>
      </c>
    </row>
    <row r="396" spans="1:4" x14ac:dyDescent="0.35">
      <c r="A396" t="s">
        <v>591</v>
      </c>
      <c r="B396" s="28">
        <v>44362</v>
      </c>
      <c r="C396" t="s">
        <v>579</v>
      </c>
      <c r="D396">
        <v>359</v>
      </c>
    </row>
    <row r="397" spans="1:4" x14ac:dyDescent="0.35">
      <c r="A397" t="s">
        <v>591</v>
      </c>
      <c r="B397" s="28">
        <v>44362</v>
      </c>
      <c r="C397" t="s">
        <v>579</v>
      </c>
      <c r="D397">
        <v>127</v>
      </c>
    </row>
    <row r="398" spans="1:4" x14ac:dyDescent="0.35">
      <c r="A398" t="s">
        <v>591</v>
      </c>
      <c r="B398" s="28">
        <v>44362</v>
      </c>
      <c r="C398" t="s">
        <v>501</v>
      </c>
      <c r="D398">
        <v>3702</v>
      </c>
    </row>
    <row r="399" spans="1:4" x14ac:dyDescent="0.35">
      <c r="A399" t="s">
        <v>591</v>
      </c>
      <c r="B399" s="28">
        <v>44362</v>
      </c>
      <c r="C399" t="s">
        <v>497</v>
      </c>
      <c r="D399">
        <v>2974</v>
      </c>
    </row>
    <row r="400" spans="1:4" x14ac:dyDescent="0.35">
      <c r="A400" t="s">
        <v>591</v>
      </c>
      <c r="B400" s="28">
        <v>44362</v>
      </c>
      <c r="C400" t="s">
        <v>441</v>
      </c>
      <c r="D400">
        <v>1835</v>
      </c>
    </row>
    <row r="401" spans="1:4" x14ac:dyDescent="0.35">
      <c r="A401" t="s">
        <v>591</v>
      </c>
      <c r="B401" s="28">
        <v>44362</v>
      </c>
      <c r="C401" t="s">
        <v>505</v>
      </c>
      <c r="D401">
        <v>4541</v>
      </c>
    </row>
    <row r="402" spans="1:4" x14ac:dyDescent="0.35">
      <c r="A402" t="s">
        <v>591</v>
      </c>
      <c r="B402" s="28">
        <v>44362</v>
      </c>
      <c r="C402" t="s">
        <v>478</v>
      </c>
      <c r="D402">
        <v>48</v>
      </c>
    </row>
    <row r="403" spans="1:4" x14ac:dyDescent="0.35">
      <c r="A403" t="s">
        <v>591</v>
      </c>
      <c r="B403" s="28">
        <v>44362</v>
      </c>
      <c r="C403" t="s">
        <v>478</v>
      </c>
      <c r="D403">
        <v>136</v>
      </c>
    </row>
    <row r="404" spans="1:4" x14ac:dyDescent="0.35">
      <c r="A404" t="s">
        <v>591</v>
      </c>
      <c r="B404" s="28">
        <v>44362</v>
      </c>
      <c r="C404" t="s">
        <v>450</v>
      </c>
      <c r="D404">
        <v>3230</v>
      </c>
    </row>
    <row r="405" spans="1:4" x14ac:dyDescent="0.35">
      <c r="A405" t="s">
        <v>591</v>
      </c>
      <c r="B405" s="28">
        <v>44362</v>
      </c>
      <c r="C405" t="s">
        <v>443</v>
      </c>
      <c r="D405">
        <v>2199</v>
      </c>
    </row>
    <row r="406" spans="1:4" x14ac:dyDescent="0.35">
      <c r="A406" t="s">
        <v>592</v>
      </c>
      <c r="B406" s="28">
        <v>44363</v>
      </c>
      <c r="C406" t="s">
        <v>526</v>
      </c>
      <c r="D406">
        <v>14449</v>
      </c>
    </row>
    <row r="407" spans="1:4" x14ac:dyDescent="0.35">
      <c r="A407" t="s">
        <v>591</v>
      </c>
      <c r="B407" s="28">
        <v>44362</v>
      </c>
      <c r="C407" t="s">
        <v>449</v>
      </c>
      <c r="D407">
        <v>7481</v>
      </c>
    </row>
    <row r="408" spans="1:4" x14ac:dyDescent="0.35">
      <c r="A408" t="s">
        <v>592</v>
      </c>
      <c r="B408" s="28">
        <v>44363</v>
      </c>
      <c r="C408" t="s">
        <v>504</v>
      </c>
      <c r="D408">
        <v>537</v>
      </c>
    </row>
    <row r="409" spans="1:4" x14ac:dyDescent="0.35">
      <c r="A409" t="s">
        <v>592</v>
      </c>
      <c r="B409" s="28">
        <v>44363</v>
      </c>
      <c r="C409" t="s">
        <v>504</v>
      </c>
      <c r="D409">
        <v>1976</v>
      </c>
    </row>
    <row r="410" spans="1:4" x14ac:dyDescent="0.35">
      <c r="A410" t="s">
        <v>592</v>
      </c>
      <c r="B410" s="28">
        <v>44363</v>
      </c>
      <c r="C410" t="s">
        <v>441</v>
      </c>
      <c r="D410">
        <v>2326</v>
      </c>
    </row>
    <row r="411" spans="1:4" x14ac:dyDescent="0.35">
      <c r="A411" t="s">
        <v>593</v>
      </c>
      <c r="B411" s="28">
        <v>44364</v>
      </c>
      <c r="C411" t="s">
        <v>553</v>
      </c>
      <c r="D411">
        <v>1156</v>
      </c>
    </row>
    <row r="412" spans="1:4" x14ac:dyDescent="0.35">
      <c r="A412" t="s">
        <v>593</v>
      </c>
      <c r="B412" s="28">
        <v>44364</v>
      </c>
      <c r="C412" t="s">
        <v>553</v>
      </c>
      <c r="D412">
        <v>198</v>
      </c>
    </row>
    <row r="413" spans="1:4" x14ac:dyDescent="0.35">
      <c r="A413" t="s">
        <v>593</v>
      </c>
      <c r="B413" s="28">
        <v>44364</v>
      </c>
      <c r="C413" t="s">
        <v>450</v>
      </c>
      <c r="D413">
        <v>2276</v>
      </c>
    </row>
    <row r="414" spans="1:4" x14ac:dyDescent="0.35">
      <c r="A414" t="s">
        <v>593</v>
      </c>
      <c r="B414" s="28">
        <v>44364</v>
      </c>
      <c r="C414" t="s">
        <v>472</v>
      </c>
      <c r="D414">
        <v>1251</v>
      </c>
    </row>
    <row r="415" spans="1:4" x14ac:dyDescent="0.35">
      <c r="A415" t="s">
        <v>593</v>
      </c>
      <c r="B415" s="28">
        <v>44364</v>
      </c>
      <c r="C415" t="s">
        <v>553</v>
      </c>
      <c r="D415">
        <v>1824</v>
      </c>
    </row>
    <row r="416" spans="1:4" x14ac:dyDescent="0.35">
      <c r="A416" t="s">
        <v>593</v>
      </c>
      <c r="B416" s="28">
        <v>44364</v>
      </c>
      <c r="C416" t="s">
        <v>450</v>
      </c>
      <c r="D416">
        <v>3280</v>
      </c>
    </row>
    <row r="417" spans="1:4" x14ac:dyDescent="0.35">
      <c r="A417" t="s">
        <v>593</v>
      </c>
      <c r="B417" s="28">
        <v>44364</v>
      </c>
      <c r="C417" t="s">
        <v>530</v>
      </c>
      <c r="D417">
        <v>2437</v>
      </c>
    </row>
    <row r="418" spans="1:4" x14ac:dyDescent="0.35">
      <c r="A418" t="s">
        <v>593</v>
      </c>
      <c r="B418" s="28">
        <v>44364</v>
      </c>
      <c r="C418" t="s">
        <v>441</v>
      </c>
      <c r="D418">
        <v>2125</v>
      </c>
    </row>
    <row r="419" spans="1:4" x14ac:dyDescent="0.35">
      <c r="A419" t="s">
        <v>594</v>
      </c>
      <c r="B419" s="28">
        <v>44366</v>
      </c>
      <c r="C419" t="s">
        <v>554</v>
      </c>
      <c r="D419">
        <v>1768</v>
      </c>
    </row>
    <row r="420" spans="1:4" x14ac:dyDescent="0.35">
      <c r="A420" t="s">
        <v>594</v>
      </c>
      <c r="B420" s="28">
        <v>44366</v>
      </c>
      <c r="C420" t="s">
        <v>554</v>
      </c>
      <c r="D420">
        <v>67</v>
      </c>
    </row>
    <row r="421" spans="1:4" x14ac:dyDescent="0.35">
      <c r="A421" t="s">
        <v>594</v>
      </c>
      <c r="B421" s="28">
        <v>44366</v>
      </c>
      <c r="C421" t="s">
        <v>554</v>
      </c>
      <c r="D421">
        <v>321</v>
      </c>
    </row>
    <row r="422" spans="1:4" x14ac:dyDescent="0.35">
      <c r="A422" t="s">
        <v>594</v>
      </c>
      <c r="B422" s="28">
        <v>44366</v>
      </c>
      <c r="C422" t="s">
        <v>507</v>
      </c>
      <c r="D422">
        <v>2817</v>
      </c>
    </row>
    <row r="423" spans="1:4" x14ac:dyDescent="0.35">
      <c r="A423" t="s">
        <v>594</v>
      </c>
      <c r="B423" s="28">
        <v>44366</v>
      </c>
      <c r="C423" t="s">
        <v>502</v>
      </c>
      <c r="D423">
        <v>284</v>
      </c>
    </row>
    <row r="424" spans="1:4" x14ac:dyDescent="0.35">
      <c r="A424" t="s">
        <v>594</v>
      </c>
      <c r="B424" s="28">
        <v>44366</v>
      </c>
      <c r="C424" t="s">
        <v>502</v>
      </c>
      <c r="D424">
        <v>1302</v>
      </c>
    </row>
    <row r="425" spans="1:4" x14ac:dyDescent="0.35">
      <c r="A425" t="s">
        <v>594</v>
      </c>
      <c r="B425" s="28">
        <v>44366</v>
      </c>
      <c r="C425" t="s">
        <v>443</v>
      </c>
      <c r="D425">
        <v>10468</v>
      </c>
    </row>
    <row r="426" spans="1:4" x14ac:dyDescent="0.35">
      <c r="A426" t="s">
        <v>594</v>
      </c>
      <c r="B426" s="28">
        <v>44366</v>
      </c>
      <c r="C426" t="s">
        <v>530</v>
      </c>
      <c r="D426">
        <v>2042</v>
      </c>
    </row>
    <row r="427" spans="1:4" x14ac:dyDescent="0.35">
      <c r="A427" t="s">
        <v>594</v>
      </c>
      <c r="B427" s="28">
        <v>44366</v>
      </c>
      <c r="C427" t="s">
        <v>515</v>
      </c>
      <c r="D427">
        <v>4000</v>
      </c>
    </row>
    <row r="428" spans="1:4" x14ac:dyDescent="0.35">
      <c r="A428" t="s">
        <v>594</v>
      </c>
      <c r="B428" s="28">
        <v>44366</v>
      </c>
      <c r="C428" t="s">
        <v>480</v>
      </c>
      <c r="D428">
        <v>2204</v>
      </c>
    </row>
    <row r="429" spans="1:4" x14ac:dyDescent="0.35">
      <c r="A429" t="s">
        <v>594</v>
      </c>
      <c r="B429" s="28">
        <v>44366</v>
      </c>
      <c r="C429" t="s">
        <v>480</v>
      </c>
      <c r="D429">
        <v>308</v>
      </c>
    </row>
    <row r="430" spans="1:4" x14ac:dyDescent="0.35">
      <c r="A430" t="s">
        <v>594</v>
      </c>
      <c r="B430" s="28">
        <v>44366</v>
      </c>
      <c r="C430" t="s">
        <v>480</v>
      </c>
      <c r="D430">
        <v>270</v>
      </c>
    </row>
    <row r="431" spans="1:4" x14ac:dyDescent="0.35">
      <c r="A431" t="s">
        <v>595</v>
      </c>
      <c r="B431" s="28">
        <v>44367</v>
      </c>
      <c r="C431" t="s">
        <v>472</v>
      </c>
      <c r="D431">
        <v>704</v>
      </c>
    </row>
    <row r="432" spans="1:4" x14ac:dyDescent="0.35">
      <c r="A432" t="s">
        <v>595</v>
      </c>
      <c r="B432" s="28">
        <v>44367</v>
      </c>
      <c r="C432" t="s">
        <v>450</v>
      </c>
      <c r="D432">
        <v>3041</v>
      </c>
    </row>
    <row r="433" spans="1:4" x14ac:dyDescent="0.35">
      <c r="A433" t="s">
        <v>595</v>
      </c>
      <c r="B433" s="28">
        <v>44367</v>
      </c>
      <c r="C433" t="s">
        <v>441</v>
      </c>
      <c r="D433">
        <v>2178</v>
      </c>
    </row>
    <row r="434" spans="1:4" x14ac:dyDescent="0.35">
      <c r="A434" t="s">
        <v>595</v>
      </c>
      <c r="B434" s="28">
        <v>44367</v>
      </c>
      <c r="C434" t="s">
        <v>530</v>
      </c>
      <c r="D434">
        <v>1691</v>
      </c>
    </row>
    <row r="435" spans="1:4" x14ac:dyDescent="0.35">
      <c r="A435" t="s">
        <v>595</v>
      </c>
      <c r="B435" s="28">
        <v>44367</v>
      </c>
      <c r="C435" t="s">
        <v>449</v>
      </c>
      <c r="D435">
        <v>3040</v>
      </c>
    </row>
    <row r="436" spans="1:4" x14ac:dyDescent="0.35">
      <c r="A436" t="s">
        <v>595</v>
      </c>
      <c r="B436" s="28">
        <v>44367</v>
      </c>
      <c r="C436" t="s">
        <v>441</v>
      </c>
      <c r="D436">
        <v>1021</v>
      </c>
    </row>
    <row r="437" spans="1:4" x14ac:dyDescent="0.35">
      <c r="A437" t="s">
        <v>595</v>
      </c>
      <c r="B437" s="28">
        <v>44367</v>
      </c>
      <c r="C437" t="s">
        <v>505</v>
      </c>
      <c r="D437">
        <v>4844</v>
      </c>
    </row>
    <row r="438" spans="1:4" x14ac:dyDescent="0.35">
      <c r="A438" t="s">
        <v>596</v>
      </c>
      <c r="B438" s="28">
        <v>44368</v>
      </c>
      <c r="C438" t="s">
        <v>441</v>
      </c>
      <c r="D438">
        <v>1442</v>
      </c>
    </row>
    <row r="439" spans="1:4" x14ac:dyDescent="0.35">
      <c r="A439" t="s">
        <v>596</v>
      </c>
      <c r="B439" s="28">
        <v>44368</v>
      </c>
      <c r="C439" t="s">
        <v>526</v>
      </c>
      <c r="D439">
        <v>11466</v>
      </c>
    </row>
    <row r="440" spans="1:4" x14ac:dyDescent="0.35">
      <c r="A440" t="s">
        <v>596</v>
      </c>
      <c r="B440" s="28">
        <v>44368</v>
      </c>
      <c r="C440" t="s">
        <v>489</v>
      </c>
      <c r="D440">
        <v>605</v>
      </c>
    </row>
    <row r="441" spans="1:4" x14ac:dyDescent="0.35">
      <c r="A441" t="s">
        <v>596</v>
      </c>
      <c r="B441" s="28">
        <v>44368</v>
      </c>
      <c r="C441" t="s">
        <v>530</v>
      </c>
      <c r="D441">
        <v>990</v>
      </c>
    </row>
    <row r="442" spans="1:4" x14ac:dyDescent="0.35">
      <c r="A442" t="s">
        <v>596</v>
      </c>
      <c r="B442" s="28">
        <v>44368</v>
      </c>
      <c r="C442" t="s">
        <v>530</v>
      </c>
      <c r="D442">
        <v>1355</v>
      </c>
    </row>
    <row r="443" spans="1:4" x14ac:dyDescent="0.35">
      <c r="A443" t="s">
        <v>440</v>
      </c>
      <c r="B443" s="28">
        <v>44289</v>
      </c>
      <c r="C443" t="s">
        <v>454</v>
      </c>
      <c r="D443">
        <v>2</v>
      </c>
    </row>
    <row r="444" spans="1:4" x14ac:dyDescent="0.35">
      <c r="A444" t="s">
        <v>596</v>
      </c>
      <c r="B444" s="28">
        <v>44368</v>
      </c>
      <c r="C444" t="s">
        <v>441</v>
      </c>
      <c r="D444">
        <v>1372</v>
      </c>
    </row>
    <row r="445" spans="1:4" x14ac:dyDescent="0.35">
      <c r="A445" t="s">
        <v>596</v>
      </c>
      <c r="B445" s="28">
        <v>44368</v>
      </c>
      <c r="C445" t="s">
        <v>530</v>
      </c>
      <c r="D445">
        <v>3883</v>
      </c>
    </row>
    <row r="446" spans="1:4" x14ac:dyDescent="0.35">
      <c r="A446" t="s">
        <v>598</v>
      </c>
      <c r="B446" s="28">
        <v>44369</v>
      </c>
      <c r="C446" t="s">
        <v>489</v>
      </c>
      <c r="D446">
        <v>371</v>
      </c>
    </row>
    <row r="447" spans="1:4" x14ac:dyDescent="0.35">
      <c r="A447" t="s">
        <v>596</v>
      </c>
      <c r="B447" s="28">
        <v>44368</v>
      </c>
      <c r="C447" t="s">
        <v>441</v>
      </c>
      <c r="D447">
        <v>954</v>
      </c>
    </row>
    <row r="448" spans="1:4" x14ac:dyDescent="0.35">
      <c r="A448" t="s">
        <v>596</v>
      </c>
      <c r="B448" s="28">
        <v>44368</v>
      </c>
      <c r="C448" t="s">
        <v>441</v>
      </c>
      <c r="D448">
        <v>874</v>
      </c>
    </row>
    <row r="449" spans="1:4" x14ac:dyDescent="0.35">
      <c r="A449" t="s">
        <v>599</v>
      </c>
      <c r="B449" s="28">
        <v>44370</v>
      </c>
      <c r="C449" t="s">
        <v>444</v>
      </c>
      <c r="D449">
        <v>162</v>
      </c>
    </row>
    <row r="450" spans="1:4" x14ac:dyDescent="0.35">
      <c r="A450" t="s">
        <v>599</v>
      </c>
      <c r="B450" s="28">
        <v>44370</v>
      </c>
      <c r="C450" t="s">
        <v>444</v>
      </c>
      <c r="D450">
        <v>37</v>
      </c>
    </row>
    <row r="451" spans="1:4" x14ac:dyDescent="0.35">
      <c r="A451" t="s">
        <v>599</v>
      </c>
      <c r="B451" s="28">
        <v>44370</v>
      </c>
      <c r="C451" t="s">
        <v>444</v>
      </c>
      <c r="D451">
        <v>159</v>
      </c>
    </row>
    <row r="452" spans="1:4" x14ac:dyDescent="0.35">
      <c r="A452" t="s">
        <v>599</v>
      </c>
      <c r="B452" s="28">
        <v>44370</v>
      </c>
      <c r="C452" t="s">
        <v>499</v>
      </c>
      <c r="D452">
        <v>5296</v>
      </c>
    </row>
    <row r="453" spans="1:4" x14ac:dyDescent="0.35">
      <c r="A453" t="s">
        <v>599</v>
      </c>
      <c r="B453" s="28">
        <v>44370</v>
      </c>
      <c r="C453" t="s">
        <v>524</v>
      </c>
      <c r="D453">
        <v>558</v>
      </c>
    </row>
    <row r="454" spans="1:4" x14ac:dyDescent="0.35">
      <c r="A454" t="s">
        <v>599</v>
      </c>
      <c r="B454" s="28">
        <v>44370</v>
      </c>
      <c r="C454" t="s">
        <v>443</v>
      </c>
      <c r="D454">
        <v>5288</v>
      </c>
    </row>
    <row r="455" spans="1:4" x14ac:dyDescent="0.35">
      <c r="A455" t="s">
        <v>599</v>
      </c>
      <c r="B455" s="28">
        <v>44370</v>
      </c>
      <c r="C455" t="s">
        <v>526</v>
      </c>
      <c r="D455">
        <v>14894</v>
      </c>
    </row>
    <row r="456" spans="1:4" x14ac:dyDescent="0.35">
      <c r="A456" t="s">
        <v>599</v>
      </c>
      <c r="B456" s="28">
        <v>44370</v>
      </c>
      <c r="C456" t="s">
        <v>446</v>
      </c>
      <c r="D456">
        <v>2453</v>
      </c>
    </row>
    <row r="457" spans="1:4" x14ac:dyDescent="0.35">
      <c r="A457" t="s">
        <v>599</v>
      </c>
      <c r="B457" s="28">
        <v>44370</v>
      </c>
      <c r="C457" t="s">
        <v>502</v>
      </c>
      <c r="D457">
        <v>799</v>
      </c>
    </row>
    <row r="458" spans="1:4" x14ac:dyDescent="0.35">
      <c r="A458" t="s">
        <v>599</v>
      </c>
      <c r="B458" s="28">
        <v>44370</v>
      </c>
      <c r="C458" t="s">
        <v>446</v>
      </c>
      <c r="D458">
        <v>3142</v>
      </c>
    </row>
    <row r="459" spans="1:4" x14ac:dyDescent="0.35">
      <c r="A459" t="s">
        <v>600</v>
      </c>
      <c r="B459" s="28">
        <v>44371</v>
      </c>
      <c r="C459" t="s">
        <v>456</v>
      </c>
      <c r="D459">
        <v>4160</v>
      </c>
    </row>
    <row r="460" spans="1:4" x14ac:dyDescent="0.35">
      <c r="A460" t="s">
        <v>600</v>
      </c>
      <c r="B460" s="28">
        <v>44371</v>
      </c>
      <c r="C460" t="s">
        <v>456</v>
      </c>
      <c r="D460">
        <v>740</v>
      </c>
    </row>
    <row r="461" spans="1:4" x14ac:dyDescent="0.35">
      <c r="A461" t="s">
        <v>600</v>
      </c>
      <c r="B461" s="28">
        <v>44371</v>
      </c>
      <c r="C461" t="s">
        <v>456</v>
      </c>
      <c r="D461">
        <v>206</v>
      </c>
    </row>
    <row r="462" spans="1:4" x14ac:dyDescent="0.35">
      <c r="A462" t="s">
        <v>600</v>
      </c>
      <c r="B462" s="28">
        <v>44371</v>
      </c>
      <c r="C462" t="s">
        <v>530</v>
      </c>
      <c r="D462">
        <v>1916</v>
      </c>
    </row>
    <row r="463" spans="1:4" x14ac:dyDescent="0.35">
      <c r="A463" t="s">
        <v>600</v>
      </c>
      <c r="B463" s="28">
        <v>44371</v>
      </c>
      <c r="C463" t="s">
        <v>443</v>
      </c>
      <c r="D463">
        <v>5134</v>
      </c>
    </row>
    <row r="464" spans="1:4" x14ac:dyDescent="0.35">
      <c r="A464" t="s">
        <v>600</v>
      </c>
      <c r="B464" s="28">
        <v>44371</v>
      </c>
      <c r="C464" t="s">
        <v>501</v>
      </c>
      <c r="D464">
        <v>9734</v>
      </c>
    </row>
    <row r="465" spans="1:4" x14ac:dyDescent="0.35">
      <c r="A465" t="s">
        <v>600</v>
      </c>
      <c r="B465" s="28">
        <v>44371</v>
      </c>
      <c r="C465" t="s">
        <v>444</v>
      </c>
      <c r="D465">
        <v>1000</v>
      </c>
    </row>
    <row r="466" spans="1:4" x14ac:dyDescent="0.35">
      <c r="A466" t="s">
        <v>601</v>
      </c>
      <c r="B466" s="28">
        <v>44373</v>
      </c>
      <c r="C466" t="s">
        <v>499</v>
      </c>
      <c r="D466">
        <v>4680</v>
      </c>
    </row>
    <row r="467" spans="1:4" x14ac:dyDescent="0.35">
      <c r="A467" t="s">
        <v>601</v>
      </c>
      <c r="B467" s="28">
        <v>44373</v>
      </c>
      <c r="C467" t="s">
        <v>450</v>
      </c>
      <c r="D467">
        <v>2875</v>
      </c>
    </row>
    <row r="468" spans="1:4" x14ac:dyDescent="0.35">
      <c r="A468" t="s">
        <v>601</v>
      </c>
      <c r="B468" s="28">
        <v>44373</v>
      </c>
      <c r="C468" t="s">
        <v>505</v>
      </c>
      <c r="D468">
        <v>5050</v>
      </c>
    </row>
    <row r="469" spans="1:4" x14ac:dyDescent="0.35">
      <c r="A469" t="s">
        <v>602</v>
      </c>
      <c r="B469" s="28">
        <v>44374</v>
      </c>
      <c r="C469" t="s">
        <v>443</v>
      </c>
      <c r="D469">
        <v>2360</v>
      </c>
    </row>
    <row r="470" spans="1:4" x14ac:dyDescent="0.35">
      <c r="A470" t="s">
        <v>602</v>
      </c>
      <c r="B470" s="28">
        <v>44374</v>
      </c>
      <c r="C470" t="s">
        <v>539</v>
      </c>
      <c r="D470">
        <v>1018</v>
      </c>
    </row>
    <row r="471" spans="1:4" x14ac:dyDescent="0.35">
      <c r="A471" t="s">
        <v>602</v>
      </c>
      <c r="B471" s="28">
        <v>44374</v>
      </c>
      <c r="C471" t="s">
        <v>483</v>
      </c>
      <c r="D471">
        <v>4744</v>
      </c>
    </row>
    <row r="472" spans="1:4" x14ac:dyDescent="0.35">
      <c r="A472" t="s">
        <v>602</v>
      </c>
      <c r="B472" s="28">
        <v>44374</v>
      </c>
      <c r="C472" t="s">
        <v>449</v>
      </c>
      <c r="D472">
        <v>3108</v>
      </c>
    </row>
    <row r="473" spans="1:4" x14ac:dyDescent="0.35">
      <c r="A473" t="s">
        <v>602</v>
      </c>
      <c r="B473" s="28">
        <v>44374</v>
      </c>
      <c r="C473" t="s">
        <v>505</v>
      </c>
      <c r="D473">
        <v>5681</v>
      </c>
    </row>
    <row r="474" spans="1:4" x14ac:dyDescent="0.35">
      <c r="A474" t="s">
        <v>603</v>
      </c>
      <c r="B474" s="28">
        <v>44375</v>
      </c>
      <c r="C474" t="s">
        <v>550</v>
      </c>
      <c r="D474">
        <v>590</v>
      </c>
    </row>
    <row r="475" spans="1:4" x14ac:dyDescent="0.35">
      <c r="A475" t="s">
        <v>603</v>
      </c>
      <c r="B475" s="28">
        <v>44375</v>
      </c>
      <c r="C475" t="s">
        <v>550</v>
      </c>
      <c r="D475">
        <v>439</v>
      </c>
    </row>
    <row r="476" spans="1:4" x14ac:dyDescent="0.35">
      <c r="A476" t="s">
        <v>603</v>
      </c>
      <c r="B476" s="28">
        <v>44375</v>
      </c>
      <c r="C476" t="s">
        <v>550</v>
      </c>
      <c r="D476">
        <v>105</v>
      </c>
    </row>
    <row r="477" spans="1:4" x14ac:dyDescent="0.35">
      <c r="A477" t="s">
        <v>603</v>
      </c>
      <c r="B477" s="28">
        <v>44375</v>
      </c>
      <c r="C477" t="s">
        <v>581</v>
      </c>
      <c r="D477">
        <v>748</v>
      </c>
    </row>
    <row r="478" spans="1:4" x14ac:dyDescent="0.35">
      <c r="A478" t="s">
        <v>603</v>
      </c>
      <c r="B478" s="28">
        <v>44375</v>
      </c>
      <c r="C478" t="s">
        <v>526</v>
      </c>
      <c r="D478">
        <v>14724</v>
      </c>
    </row>
    <row r="479" spans="1:4" x14ac:dyDescent="0.35">
      <c r="A479" t="s">
        <v>603</v>
      </c>
      <c r="B479" s="28">
        <v>44375</v>
      </c>
      <c r="C479" t="s">
        <v>495</v>
      </c>
      <c r="D479">
        <v>112</v>
      </c>
    </row>
    <row r="480" spans="1:4" x14ac:dyDescent="0.35">
      <c r="A480" t="s">
        <v>603</v>
      </c>
      <c r="B480" s="28">
        <v>44375</v>
      </c>
      <c r="C480" t="s">
        <v>495</v>
      </c>
      <c r="D480">
        <v>1063</v>
      </c>
    </row>
    <row r="481" spans="1:4" x14ac:dyDescent="0.35">
      <c r="A481" t="s">
        <v>603</v>
      </c>
      <c r="B481" s="28">
        <v>44375</v>
      </c>
      <c r="C481" t="s">
        <v>450</v>
      </c>
      <c r="D481">
        <v>2599</v>
      </c>
    </row>
    <row r="482" spans="1:4" x14ac:dyDescent="0.35">
      <c r="A482" t="s">
        <v>604</v>
      </c>
      <c r="B482" s="28">
        <v>44376</v>
      </c>
      <c r="C482" t="s">
        <v>504</v>
      </c>
      <c r="D482">
        <v>11407</v>
      </c>
    </row>
    <row r="483" spans="1:4" x14ac:dyDescent="0.35">
      <c r="A483" t="s">
        <v>604</v>
      </c>
      <c r="B483" s="28">
        <v>44376</v>
      </c>
      <c r="C483" t="s">
        <v>451</v>
      </c>
      <c r="D483">
        <v>1027</v>
      </c>
    </row>
    <row r="484" spans="1:4" x14ac:dyDescent="0.35">
      <c r="A484" t="s">
        <v>604</v>
      </c>
      <c r="B484" s="28">
        <v>44376</v>
      </c>
      <c r="C484" t="s">
        <v>590</v>
      </c>
      <c r="D484">
        <v>848</v>
      </c>
    </row>
    <row r="485" spans="1:4" x14ac:dyDescent="0.35">
      <c r="A485" t="s">
        <v>604</v>
      </c>
      <c r="B485" s="28">
        <v>44376</v>
      </c>
      <c r="C485" t="s">
        <v>441</v>
      </c>
      <c r="D485">
        <v>2064</v>
      </c>
    </row>
    <row r="486" spans="1:4" x14ac:dyDescent="0.35">
      <c r="A486" t="s">
        <v>604</v>
      </c>
      <c r="B486" s="28">
        <v>44376</v>
      </c>
      <c r="C486" t="s">
        <v>451</v>
      </c>
      <c r="D486">
        <v>971</v>
      </c>
    </row>
    <row r="487" spans="1:4" x14ac:dyDescent="0.35">
      <c r="A487" t="s">
        <v>604</v>
      </c>
      <c r="B487" s="28">
        <v>44376</v>
      </c>
      <c r="C487" t="s">
        <v>492</v>
      </c>
      <c r="D487">
        <v>2052</v>
      </c>
    </row>
    <row r="488" spans="1:4" x14ac:dyDescent="0.35">
      <c r="A488" t="s">
        <v>605</v>
      </c>
      <c r="B488" s="28">
        <v>44377</v>
      </c>
      <c r="C488" t="s">
        <v>450</v>
      </c>
      <c r="D488">
        <v>2915</v>
      </c>
    </row>
    <row r="489" spans="1:4" x14ac:dyDescent="0.35">
      <c r="A489" t="s">
        <v>605</v>
      </c>
      <c r="B489" s="28">
        <v>44377</v>
      </c>
      <c r="C489" t="s">
        <v>450</v>
      </c>
      <c r="D489">
        <v>2779</v>
      </c>
    </row>
    <row r="490" spans="1:4" x14ac:dyDescent="0.35">
      <c r="A490" t="s">
        <v>605</v>
      </c>
      <c r="B490" s="28">
        <v>44377</v>
      </c>
      <c r="C490" t="s">
        <v>502</v>
      </c>
      <c r="D490">
        <v>1063</v>
      </c>
    </row>
    <row r="491" spans="1:4" x14ac:dyDescent="0.35">
      <c r="A491" t="s">
        <v>605</v>
      </c>
      <c r="B491" s="28">
        <v>44377</v>
      </c>
      <c r="C491" t="s">
        <v>590</v>
      </c>
      <c r="D491">
        <v>60</v>
      </c>
    </row>
    <row r="492" spans="1:4" x14ac:dyDescent="0.35">
      <c r="A492" t="s">
        <v>605</v>
      </c>
      <c r="B492" s="28">
        <v>44377</v>
      </c>
      <c r="C492" t="s">
        <v>590</v>
      </c>
      <c r="D492">
        <v>106</v>
      </c>
    </row>
    <row r="493" spans="1:4" x14ac:dyDescent="0.35">
      <c r="A493" t="s">
        <v>605</v>
      </c>
      <c r="B493" s="28">
        <v>44377</v>
      </c>
      <c r="C493" t="s">
        <v>606</v>
      </c>
      <c r="D493">
        <v>302</v>
      </c>
    </row>
    <row r="494" spans="1:4" x14ac:dyDescent="0.35">
      <c r="A494" t="s">
        <v>605</v>
      </c>
      <c r="B494" s="28">
        <v>44377</v>
      </c>
      <c r="C494" t="s">
        <v>441</v>
      </c>
      <c r="D494">
        <v>1962</v>
      </c>
    </row>
    <row r="495" spans="1:4" x14ac:dyDescent="0.35">
      <c r="A495" t="s">
        <v>605</v>
      </c>
      <c r="B495" s="28">
        <v>44377</v>
      </c>
      <c r="C495" t="s">
        <v>511</v>
      </c>
      <c r="D495">
        <v>1174</v>
      </c>
    </row>
    <row r="496" spans="1:4" x14ac:dyDescent="0.35">
      <c r="A496" t="s">
        <v>605</v>
      </c>
      <c r="B496" s="28">
        <v>44377</v>
      </c>
      <c r="C496" t="s">
        <v>489</v>
      </c>
      <c r="D496">
        <v>592</v>
      </c>
    </row>
    <row r="497" spans="1:4" x14ac:dyDescent="0.35">
      <c r="A497" t="s">
        <v>605</v>
      </c>
      <c r="B497" s="28">
        <v>44377</v>
      </c>
      <c r="C497" t="s">
        <v>499</v>
      </c>
      <c r="D497">
        <v>4578</v>
      </c>
    </row>
    <row r="498" spans="1:4" x14ac:dyDescent="0.35">
      <c r="A498" t="s">
        <v>605</v>
      </c>
      <c r="B498" s="28">
        <v>44377</v>
      </c>
      <c r="C498" t="s">
        <v>530</v>
      </c>
      <c r="D498">
        <v>2972</v>
      </c>
    </row>
    <row r="499" spans="1:4" x14ac:dyDescent="0.35">
      <c r="A499" t="s">
        <v>605</v>
      </c>
      <c r="B499" s="28">
        <v>44377</v>
      </c>
      <c r="C499" t="s">
        <v>530</v>
      </c>
      <c r="D499">
        <v>2044</v>
      </c>
    </row>
    <row r="500" spans="1:4" x14ac:dyDescent="0.35">
      <c r="A500" t="s">
        <v>605</v>
      </c>
      <c r="B500" s="28">
        <v>44377</v>
      </c>
      <c r="C500" t="s">
        <v>513</v>
      </c>
      <c r="D500">
        <v>1010</v>
      </c>
    </row>
    <row r="501" spans="1:4" x14ac:dyDescent="0.35">
      <c r="A501" t="s">
        <v>607</v>
      </c>
      <c r="B501" s="28">
        <v>44378</v>
      </c>
      <c r="C501" t="s">
        <v>489</v>
      </c>
      <c r="D501">
        <v>532</v>
      </c>
    </row>
    <row r="502" spans="1:4" x14ac:dyDescent="0.35">
      <c r="A502" t="s">
        <v>607</v>
      </c>
      <c r="B502" s="28">
        <v>44378</v>
      </c>
      <c r="C502" t="s">
        <v>496</v>
      </c>
      <c r="D502">
        <v>438</v>
      </c>
    </row>
    <row r="503" spans="1:4" x14ac:dyDescent="0.35">
      <c r="A503" t="s">
        <v>605</v>
      </c>
      <c r="B503" s="28">
        <v>44377</v>
      </c>
      <c r="C503" t="s">
        <v>492</v>
      </c>
      <c r="D503">
        <v>1429</v>
      </c>
    </row>
    <row r="504" spans="1:4" x14ac:dyDescent="0.35">
      <c r="A504" t="s">
        <v>605</v>
      </c>
      <c r="B504" s="28">
        <v>44377</v>
      </c>
      <c r="C504" t="s">
        <v>443</v>
      </c>
      <c r="D504">
        <v>973</v>
      </c>
    </row>
    <row r="505" spans="1:4" x14ac:dyDescent="0.35">
      <c r="A505" t="s">
        <v>608</v>
      </c>
      <c r="B505" s="28">
        <v>44380</v>
      </c>
      <c r="C505" t="s">
        <v>449</v>
      </c>
      <c r="D505">
        <v>1298</v>
      </c>
    </row>
    <row r="506" spans="1:4" x14ac:dyDescent="0.35">
      <c r="A506" t="s">
        <v>608</v>
      </c>
      <c r="B506" s="28">
        <v>44380</v>
      </c>
      <c r="C506" t="s">
        <v>526</v>
      </c>
      <c r="D506">
        <v>65000</v>
      </c>
    </row>
    <row r="507" spans="1:4" x14ac:dyDescent="0.35">
      <c r="A507" t="s">
        <v>608</v>
      </c>
      <c r="B507" s="28">
        <v>44380</v>
      </c>
      <c r="C507" t="s">
        <v>530</v>
      </c>
      <c r="D507">
        <v>3242</v>
      </c>
    </row>
    <row r="508" spans="1:4" x14ac:dyDescent="0.35">
      <c r="A508" t="s">
        <v>609</v>
      </c>
      <c r="B508" s="28">
        <v>44381</v>
      </c>
      <c r="C508" t="s">
        <v>482</v>
      </c>
      <c r="D508">
        <v>1527</v>
      </c>
    </row>
    <row r="509" spans="1:4" x14ac:dyDescent="0.35">
      <c r="A509" t="s">
        <v>609</v>
      </c>
      <c r="B509" s="28">
        <v>44381</v>
      </c>
      <c r="C509" t="s">
        <v>482</v>
      </c>
      <c r="D509">
        <v>942</v>
      </c>
    </row>
    <row r="510" spans="1:4" x14ac:dyDescent="0.35">
      <c r="A510" t="s">
        <v>609</v>
      </c>
      <c r="B510" s="28">
        <v>44381</v>
      </c>
      <c r="C510" t="s">
        <v>552</v>
      </c>
      <c r="D510">
        <v>376</v>
      </c>
    </row>
    <row r="511" spans="1:4" x14ac:dyDescent="0.35">
      <c r="A511" t="s">
        <v>609</v>
      </c>
      <c r="B511" s="28">
        <v>44381</v>
      </c>
      <c r="C511" t="s">
        <v>446</v>
      </c>
      <c r="D511">
        <v>1670</v>
      </c>
    </row>
    <row r="512" spans="1:4" x14ac:dyDescent="0.35">
      <c r="A512" t="s">
        <v>609</v>
      </c>
      <c r="B512" s="28">
        <v>44381</v>
      </c>
      <c r="C512" t="s">
        <v>446</v>
      </c>
      <c r="D512">
        <v>1080</v>
      </c>
    </row>
    <row r="513" spans="1:4" x14ac:dyDescent="0.35">
      <c r="A513" t="s">
        <v>607</v>
      </c>
      <c r="B513" s="28">
        <v>44378</v>
      </c>
      <c r="C513" t="s">
        <v>443</v>
      </c>
      <c r="D513">
        <v>20000</v>
      </c>
    </row>
    <row r="514" spans="1:4" x14ac:dyDescent="0.35">
      <c r="A514" t="s">
        <v>610</v>
      </c>
      <c r="B514" s="28">
        <v>44382</v>
      </c>
      <c r="C514" t="s">
        <v>441</v>
      </c>
      <c r="D514">
        <v>1883</v>
      </c>
    </row>
    <row r="515" spans="1:4" x14ac:dyDescent="0.35">
      <c r="A515" t="s">
        <v>610</v>
      </c>
      <c r="B515" s="28">
        <v>44382</v>
      </c>
      <c r="C515" t="s">
        <v>530</v>
      </c>
      <c r="D515">
        <v>2001</v>
      </c>
    </row>
    <row r="516" spans="1:4" x14ac:dyDescent="0.35">
      <c r="A516" t="s">
        <v>610</v>
      </c>
      <c r="B516" s="28">
        <v>44382</v>
      </c>
      <c r="C516" t="s">
        <v>530</v>
      </c>
      <c r="D516">
        <v>694</v>
      </c>
    </row>
    <row r="517" spans="1:4" x14ac:dyDescent="0.35">
      <c r="A517" t="s">
        <v>610</v>
      </c>
      <c r="B517" s="28">
        <v>44382</v>
      </c>
      <c r="C517" t="s">
        <v>590</v>
      </c>
      <c r="D517">
        <v>1672</v>
      </c>
    </row>
    <row r="518" spans="1:4" x14ac:dyDescent="0.35">
      <c r="A518" t="s">
        <v>610</v>
      </c>
      <c r="B518" s="28">
        <v>44382</v>
      </c>
      <c r="C518" t="s">
        <v>506</v>
      </c>
      <c r="D518">
        <v>4842</v>
      </c>
    </row>
    <row r="519" spans="1:4" x14ac:dyDescent="0.35">
      <c r="A519" t="s">
        <v>610</v>
      </c>
      <c r="B519" s="28">
        <v>44382</v>
      </c>
      <c r="C519" t="s">
        <v>450</v>
      </c>
      <c r="D519">
        <v>2960</v>
      </c>
    </row>
    <row r="520" spans="1:4" x14ac:dyDescent="0.35">
      <c r="A520" t="s">
        <v>611</v>
      </c>
      <c r="B520" s="28">
        <v>44383</v>
      </c>
      <c r="C520" t="s">
        <v>483</v>
      </c>
      <c r="D520">
        <v>3456</v>
      </c>
    </row>
    <row r="521" spans="1:4" x14ac:dyDescent="0.35">
      <c r="A521" t="s">
        <v>611</v>
      </c>
      <c r="B521" s="28">
        <v>44383</v>
      </c>
      <c r="C521" t="s">
        <v>483</v>
      </c>
      <c r="D521">
        <v>1548</v>
      </c>
    </row>
    <row r="522" spans="1:4" x14ac:dyDescent="0.35">
      <c r="A522" t="s">
        <v>611</v>
      </c>
      <c r="B522" s="28">
        <v>44383</v>
      </c>
      <c r="C522" t="s">
        <v>443</v>
      </c>
      <c r="D522">
        <v>10000</v>
      </c>
    </row>
    <row r="523" spans="1:4" x14ac:dyDescent="0.35">
      <c r="A523" t="s">
        <v>611</v>
      </c>
      <c r="B523" s="28">
        <v>44383</v>
      </c>
      <c r="C523" t="s">
        <v>457</v>
      </c>
      <c r="D523">
        <v>500</v>
      </c>
    </row>
    <row r="524" spans="1:4" x14ac:dyDescent="0.35">
      <c r="A524" t="s">
        <v>611</v>
      </c>
      <c r="B524" s="28">
        <v>44383</v>
      </c>
      <c r="C524" t="s">
        <v>494</v>
      </c>
      <c r="D524">
        <v>20000</v>
      </c>
    </row>
    <row r="525" spans="1:4" x14ac:dyDescent="0.35">
      <c r="A525" t="s">
        <v>611</v>
      </c>
      <c r="B525" s="28">
        <v>44383</v>
      </c>
      <c r="C525" t="s">
        <v>444</v>
      </c>
      <c r="D525">
        <v>1000</v>
      </c>
    </row>
    <row r="526" spans="1:4" x14ac:dyDescent="0.35">
      <c r="A526" t="s">
        <v>612</v>
      </c>
      <c r="B526" s="28">
        <v>44384</v>
      </c>
      <c r="C526" t="s">
        <v>546</v>
      </c>
      <c r="D526">
        <v>1913</v>
      </c>
    </row>
    <row r="527" spans="1:4" x14ac:dyDescent="0.35">
      <c r="A527" t="s">
        <v>603</v>
      </c>
      <c r="B527" s="28">
        <v>44375</v>
      </c>
      <c r="C527" t="s">
        <v>552</v>
      </c>
      <c r="D527">
        <v>360</v>
      </c>
    </row>
    <row r="528" spans="1:4" x14ac:dyDescent="0.35">
      <c r="A528" t="s">
        <v>612</v>
      </c>
      <c r="B528" s="28">
        <v>44384</v>
      </c>
      <c r="C528" t="s">
        <v>621</v>
      </c>
      <c r="D528">
        <v>263</v>
      </c>
    </row>
    <row r="529" spans="1:4" x14ac:dyDescent="0.35">
      <c r="A529" t="s">
        <v>612</v>
      </c>
      <c r="B529" s="28">
        <v>44384</v>
      </c>
      <c r="C529" t="s">
        <v>621</v>
      </c>
      <c r="D529">
        <v>416</v>
      </c>
    </row>
    <row r="530" spans="1:4" x14ac:dyDescent="0.35">
      <c r="A530" t="s">
        <v>612</v>
      </c>
      <c r="B530" s="28">
        <v>44384</v>
      </c>
      <c r="C530" t="s">
        <v>441</v>
      </c>
      <c r="D530">
        <v>1380</v>
      </c>
    </row>
    <row r="531" spans="1:4" x14ac:dyDescent="0.35">
      <c r="A531" t="s">
        <v>613</v>
      </c>
      <c r="B531" s="28">
        <v>44385</v>
      </c>
      <c r="C531" t="s">
        <v>449</v>
      </c>
      <c r="D531">
        <v>3018</v>
      </c>
    </row>
    <row r="532" spans="1:4" x14ac:dyDescent="0.35">
      <c r="A532" t="s">
        <v>612</v>
      </c>
      <c r="B532" s="28">
        <v>44384</v>
      </c>
      <c r="C532" t="s">
        <v>579</v>
      </c>
      <c r="D532">
        <v>122</v>
      </c>
    </row>
    <row r="533" spans="1:4" x14ac:dyDescent="0.35">
      <c r="A533" t="s">
        <v>613</v>
      </c>
      <c r="B533" s="28">
        <v>44385</v>
      </c>
      <c r="C533" t="s">
        <v>530</v>
      </c>
      <c r="D533">
        <v>1716</v>
      </c>
    </row>
    <row r="534" spans="1:4" x14ac:dyDescent="0.35">
      <c r="A534" t="s">
        <v>613</v>
      </c>
      <c r="B534" s="28">
        <v>44385</v>
      </c>
      <c r="C534" t="s">
        <v>502</v>
      </c>
      <c r="D534">
        <v>1020</v>
      </c>
    </row>
    <row r="535" spans="1:4" x14ac:dyDescent="0.35">
      <c r="A535" t="s">
        <v>614</v>
      </c>
      <c r="B535" s="28">
        <v>44387</v>
      </c>
      <c r="C535" t="s">
        <v>550</v>
      </c>
      <c r="D535">
        <v>116</v>
      </c>
    </row>
    <row r="536" spans="1:4" x14ac:dyDescent="0.35">
      <c r="A536" t="s">
        <v>614</v>
      </c>
      <c r="B536" s="28">
        <v>44387</v>
      </c>
      <c r="C536" t="s">
        <v>550</v>
      </c>
      <c r="D536">
        <v>978</v>
      </c>
    </row>
    <row r="537" spans="1:4" x14ac:dyDescent="0.35">
      <c r="A537" t="s">
        <v>614</v>
      </c>
      <c r="B537" s="28">
        <v>44387</v>
      </c>
      <c r="C537" t="s">
        <v>553</v>
      </c>
      <c r="D537">
        <v>1516</v>
      </c>
    </row>
    <row r="538" spans="1:4" x14ac:dyDescent="0.35">
      <c r="A538" t="s">
        <v>614</v>
      </c>
      <c r="B538" s="28">
        <v>44387</v>
      </c>
      <c r="C538" t="s">
        <v>553</v>
      </c>
      <c r="D538">
        <v>288</v>
      </c>
    </row>
    <row r="539" spans="1:4" x14ac:dyDescent="0.35">
      <c r="A539" t="s">
        <v>614</v>
      </c>
      <c r="B539" s="28">
        <v>44387</v>
      </c>
      <c r="C539" t="s">
        <v>444</v>
      </c>
      <c r="D539">
        <v>86</v>
      </c>
    </row>
    <row r="540" spans="1:4" x14ac:dyDescent="0.35">
      <c r="A540" t="s">
        <v>614</v>
      </c>
      <c r="B540" s="28">
        <v>44387</v>
      </c>
      <c r="C540" t="s">
        <v>444</v>
      </c>
      <c r="D540">
        <v>558</v>
      </c>
    </row>
    <row r="541" spans="1:4" x14ac:dyDescent="0.35">
      <c r="A541" t="s">
        <v>614</v>
      </c>
      <c r="B541" s="28">
        <v>44387</v>
      </c>
      <c r="C541" t="s">
        <v>444</v>
      </c>
      <c r="D541">
        <v>186</v>
      </c>
    </row>
    <row r="542" spans="1:4" x14ac:dyDescent="0.35">
      <c r="A542" t="s">
        <v>614</v>
      </c>
      <c r="B542" s="28">
        <v>44387</v>
      </c>
      <c r="C542" t="s">
        <v>505</v>
      </c>
      <c r="D542">
        <v>4886</v>
      </c>
    </row>
    <row r="543" spans="1:4" x14ac:dyDescent="0.35">
      <c r="A543" t="s">
        <v>615</v>
      </c>
      <c r="B543" s="28">
        <v>44388</v>
      </c>
      <c r="C543" t="s">
        <v>581</v>
      </c>
      <c r="D543">
        <v>1036</v>
      </c>
    </row>
    <row r="544" spans="1:4" x14ac:dyDescent="0.35">
      <c r="A544" t="s">
        <v>615</v>
      </c>
      <c r="B544" s="28">
        <v>44388</v>
      </c>
      <c r="C544" t="s">
        <v>623</v>
      </c>
      <c r="D544">
        <v>236</v>
      </c>
    </row>
    <row r="545" spans="1:4" x14ac:dyDescent="0.35">
      <c r="A545" t="s">
        <v>615</v>
      </c>
      <c r="B545" s="28">
        <v>44388</v>
      </c>
      <c r="C545" t="s">
        <v>441</v>
      </c>
      <c r="D545">
        <v>2221</v>
      </c>
    </row>
    <row r="546" spans="1:4" x14ac:dyDescent="0.35">
      <c r="A546" t="s">
        <v>615</v>
      </c>
      <c r="B546" s="28">
        <v>44388</v>
      </c>
      <c r="C546" t="s">
        <v>530</v>
      </c>
      <c r="D546">
        <v>1886</v>
      </c>
    </row>
    <row r="547" spans="1:4" x14ac:dyDescent="0.35">
      <c r="A547" t="s">
        <v>615</v>
      </c>
      <c r="B547" s="28">
        <v>44388</v>
      </c>
      <c r="C547" t="s">
        <v>530</v>
      </c>
      <c r="D547">
        <v>890</v>
      </c>
    </row>
    <row r="548" spans="1:4" x14ac:dyDescent="0.35">
      <c r="A548" t="s">
        <v>615</v>
      </c>
      <c r="B548" s="28">
        <v>44388</v>
      </c>
      <c r="C548" t="s">
        <v>546</v>
      </c>
      <c r="D548">
        <v>1871</v>
      </c>
    </row>
    <row r="549" spans="1:4" x14ac:dyDescent="0.35">
      <c r="A549" t="s">
        <v>615</v>
      </c>
      <c r="B549" s="28">
        <v>44388</v>
      </c>
      <c r="C549" t="s">
        <v>511</v>
      </c>
      <c r="D549">
        <v>1581</v>
      </c>
    </row>
    <row r="550" spans="1:4" x14ac:dyDescent="0.35">
      <c r="A550" t="s">
        <v>615</v>
      </c>
      <c r="B550" s="28">
        <v>44388</v>
      </c>
      <c r="C550" t="s">
        <v>590</v>
      </c>
      <c r="D550">
        <v>59</v>
      </c>
    </row>
    <row r="551" spans="1:4" x14ac:dyDescent="0.35">
      <c r="A551" t="s">
        <v>615</v>
      </c>
      <c r="B551" s="28">
        <v>44388</v>
      </c>
      <c r="C551" t="s">
        <v>590</v>
      </c>
      <c r="D551">
        <v>139</v>
      </c>
    </row>
    <row r="552" spans="1:4" x14ac:dyDescent="0.35">
      <c r="A552" t="s">
        <v>615</v>
      </c>
      <c r="B552" s="28">
        <v>44388</v>
      </c>
      <c r="C552" t="s">
        <v>505</v>
      </c>
      <c r="D552">
        <v>4301</v>
      </c>
    </row>
    <row r="553" spans="1:4" x14ac:dyDescent="0.35">
      <c r="A553" t="s">
        <v>616</v>
      </c>
      <c r="B553" s="28">
        <v>44389</v>
      </c>
      <c r="C553" t="s">
        <v>441</v>
      </c>
      <c r="D553">
        <v>1210</v>
      </c>
    </row>
    <row r="554" spans="1:4" x14ac:dyDescent="0.35">
      <c r="A554" t="s">
        <v>616</v>
      </c>
      <c r="B554" s="28">
        <v>44389</v>
      </c>
      <c r="C554" t="s">
        <v>449</v>
      </c>
      <c r="D554">
        <v>3000</v>
      </c>
    </row>
    <row r="555" spans="1:4" x14ac:dyDescent="0.35">
      <c r="A555" t="s">
        <v>616</v>
      </c>
      <c r="B555" s="28">
        <v>44389</v>
      </c>
      <c r="C555" t="s">
        <v>449</v>
      </c>
      <c r="D555">
        <v>7000</v>
      </c>
    </row>
    <row r="556" spans="1:4" x14ac:dyDescent="0.35">
      <c r="A556" t="s">
        <v>616</v>
      </c>
      <c r="B556" s="28">
        <v>44389</v>
      </c>
      <c r="C556" t="s">
        <v>499</v>
      </c>
      <c r="D556">
        <v>1426</v>
      </c>
    </row>
    <row r="557" spans="1:4" x14ac:dyDescent="0.35">
      <c r="A557" t="s">
        <v>616</v>
      </c>
      <c r="B557" s="28">
        <v>44389</v>
      </c>
      <c r="C557" t="s">
        <v>554</v>
      </c>
      <c r="D557">
        <v>114</v>
      </c>
    </row>
    <row r="558" spans="1:4" x14ac:dyDescent="0.35">
      <c r="A558" t="s">
        <v>617</v>
      </c>
      <c r="B558" s="28">
        <v>44390</v>
      </c>
      <c r="C558" t="s">
        <v>570</v>
      </c>
      <c r="D558">
        <v>3356</v>
      </c>
    </row>
    <row r="559" spans="1:4" x14ac:dyDescent="0.35">
      <c r="A559" t="s">
        <v>617</v>
      </c>
      <c r="B559" s="28">
        <v>44390</v>
      </c>
      <c r="C559" t="s">
        <v>570</v>
      </c>
      <c r="D559">
        <v>62</v>
      </c>
    </row>
    <row r="560" spans="1:4" x14ac:dyDescent="0.35">
      <c r="A560" t="s">
        <v>616</v>
      </c>
      <c r="B560" s="28">
        <v>44389</v>
      </c>
      <c r="C560" t="s">
        <v>554</v>
      </c>
      <c r="D560">
        <v>276</v>
      </c>
    </row>
    <row r="561" spans="1:4" x14ac:dyDescent="0.35">
      <c r="A561" t="s">
        <v>617</v>
      </c>
      <c r="B561" s="28">
        <v>44390</v>
      </c>
      <c r="C561" t="s">
        <v>499</v>
      </c>
      <c r="D561">
        <v>1576</v>
      </c>
    </row>
    <row r="562" spans="1:4" x14ac:dyDescent="0.35">
      <c r="A562" t="s">
        <v>617</v>
      </c>
      <c r="B562" s="28">
        <v>44390</v>
      </c>
      <c r="C562" t="s">
        <v>501</v>
      </c>
      <c r="D562">
        <v>4625</v>
      </c>
    </row>
    <row r="563" spans="1:4" x14ac:dyDescent="0.35">
      <c r="A563" t="s">
        <v>618</v>
      </c>
      <c r="B563" s="28">
        <v>44391</v>
      </c>
      <c r="C563" t="s">
        <v>526</v>
      </c>
      <c r="D563">
        <v>11760</v>
      </c>
    </row>
    <row r="564" spans="1:4" x14ac:dyDescent="0.35">
      <c r="A564" t="s">
        <v>618</v>
      </c>
      <c r="B564" s="28">
        <v>44391</v>
      </c>
      <c r="C564" t="s">
        <v>530</v>
      </c>
      <c r="D564">
        <v>1104</v>
      </c>
    </row>
    <row r="565" spans="1:4" x14ac:dyDescent="0.35">
      <c r="A565" t="s">
        <v>618</v>
      </c>
      <c r="B565" s="28">
        <v>44391</v>
      </c>
      <c r="C565" t="s">
        <v>441</v>
      </c>
      <c r="D565">
        <v>1864</v>
      </c>
    </row>
    <row r="566" spans="1:4" x14ac:dyDescent="0.35">
      <c r="A566" t="s">
        <v>618</v>
      </c>
      <c r="B566" s="28">
        <v>44391</v>
      </c>
      <c r="C566" t="s">
        <v>449</v>
      </c>
      <c r="D566">
        <v>3386</v>
      </c>
    </row>
    <row r="567" spans="1:4" x14ac:dyDescent="0.35">
      <c r="A567" t="s">
        <v>618</v>
      </c>
      <c r="B567" s="28">
        <v>44391</v>
      </c>
      <c r="C567" t="s">
        <v>505</v>
      </c>
      <c r="D567">
        <v>6688</v>
      </c>
    </row>
    <row r="568" spans="1:4" x14ac:dyDescent="0.35">
      <c r="A568" t="s">
        <v>619</v>
      </c>
      <c r="B568" s="28">
        <v>44392</v>
      </c>
      <c r="C568" t="s">
        <v>481</v>
      </c>
      <c r="D568">
        <v>1730</v>
      </c>
    </row>
    <row r="569" spans="1:4" x14ac:dyDescent="0.35">
      <c r="A569" t="s">
        <v>619</v>
      </c>
      <c r="B569" s="28">
        <v>44392</v>
      </c>
      <c r="C569" t="s">
        <v>505</v>
      </c>
      <c r="D569">
        <v>4766</v>
      </c>
    </row>
    <row r="570" spans="1:4" x14ac:dyDescent="0.35">
      <c r="A570" t="s">
        <v>619</v>
      </c>
      <c r="B570" s="28">
        <v>44392</v>
      </c>
      <c r="C570" t="s">
        <v>505</v>
      </c>
      <c r="D570">
        <v>5038</v>
      </c>
    </row>
    <row r="571" spans="1:4" x14ac:dyDescent="0.35">
      <c r="A571" t="s">
        <v>619</v>
      </c>
      <c r="B571" s="28">
        <v>44392</v>
      </c>
      <c r="C571" t="s">
        <v>530</v>
      </c>
      <c r="D571">
        <v>2516</v>
      </c>
    </row>
    <row r="572" spans="1:4" x14ac:dyDescent="0.35">
      <c r="A572" t="s">
        <v>620</v>
      </c>
      <c r="B572" s="28">
        <v>44394</v>
      </c>
      <c r="C572" t="s">
        <v>577</v>
      </c>
      <c r="D572">
        <v>518</v>
      </c>
    </row>
    <row r="573" spans="1:4" x14ac:dyDescent="0.35">
      <c r="A573" t="s">
        <v>620</v>
      </c>
      <c r="B573" s="28">
        <v>44394</v>
      </c>
      <c r="C573" t="s">
        <v>441</v>
      </c>
      <c r="D573">
        <v>683</v>
      </c>
    </row>
    <row r="574" spans="1:4" x14ac:dyDescent="0.35">
      <c r="A574" t="s">
        <v>620</v>
      </c>
      <c r="B574" s="28">
        <v>44394</v>
      </c>
      <c r="C574" t="s">
        <v>546</v>
      </c>
      <c r="D574">
        <v>2388</v>
      </c>
    </row>
    <row r="575" spans="1:4" x14ac:dyDescent="0.35">
      <c r="A575" t="s">
        <v>620</v>
      </c>
      <c r="B575" s="28">
        <v>44394</v>
      </c>
      <c r="C575" t="s">
        <v>621</v>
      </c>
      <c r="D575">
        <v>108</v>
      </c>
    </row>
    <row r="576" spans="1:4" x14ac:dyDescent="0.35">
      <c r="A576" t="s">
        <v>620</v>
      </c>
      <c r="B576" s="28">
        <v>44394</v>
      </c>
      <c r="C576" t="s">
        <v>621</v>
      </c>
      <c r="D576">
        <v>292</v>
      </c>
    </row>
    <row r="577" spans="1:4" x14ac:dyDescent="0.35">
      <c r="A577" t="s">
        <v>620</v>
      </c>
      <c r="B577" s="28">
        <v>44394</v>
      </c>
      <c r="C577" t="s">
        <v>505</v>
      </c>
      <c r="D577">
        <v>7074</v>
      </c>
    </row>
    <row r="578" spans="1:4" x14ac:dyDescent="0.35">
      <c r="A578" t="s">
        <v>622</v>
      </c>
      <c r="B578" s="28">
        <v>44395</v>
      </c>
      <c r="C578" t="s">
        <v>441</v>
      </c>
      <c r="D578">
        <v>1674</v>
      </c>
    </row>
    <row r="579" spans="1:4" x14ac:dyDescent="0.35">
      <c r="A579" t="s">
        <v>622</v>
      </c>
      <c r="B579" s="28">
        <v>44395</v>
      </c>
      <c r="C579" t="s">
        <v>530</v>
      </c>
      <c r="D579">
        <v>1705</v>
      </c>
    </row>
    <row r="580" spans="1:4" x14ac:dyDescent="0.35">
      <c r="A580" t="s">
        <v>622</v>
      </c>
      <c r="B580" s="28">
        <v>44395</v>
      </c>
      <c r="C580" t="s">
        <v>530</v>
      </c>
      <c r="D580">
        <v>1052</v>
      </c>
    </row>
    <row r="581" spans="1:4" x14ac:dyDescent="0.35">
      <c r="A581" t="s">
        <v>622</v>
      </c>
      <c r="B581" s="28">
        <v>44395</v>
      </c>
      <c r="C581" t="s">
        <v>441</v>
      </c>
      <c r="D581">
        <v>1823</v>
      </c>
    </row>
    <row r="582" spans="1:4" x14ac:dyDescent="0.35">
      <c r="A582" t="s">
        <v>622</v>
      </c>
      <c r="B582" s="28">
        <v>44395</v>
      </c>
      <c r="C582" t="s">
        <v>553</v>
      </c>
      <c r="D582">
        <v>400</v>
      </c>
    </row>
    <row r="583" spans="1:4" x14ac:dyDescent="0.35">
      <c r="A583" t="s">
        <v>624</v>
      </c>
      <c r="B583" s="28">
        <v>44396</v>
      </c>
      <c r="C583" t="s">
        <v>506</v>
      </c>
      <c r="D583">
        <v>4844</v>
      </c>
    </row>
    <row r="584" spans="1:4" x14ac:dyDescent="0.35">
      <c r="A584" t="s">
        <v>624</v>
      </c>
      <c r="B584" s="28">
        <v>44396</v>
      </c>
      <c r="C584" t="s">
        <v>534</v>
      </c>
      <c r="D584">
        <v>737</v>
      </c>
    </row>
    <row r="585" spans="1:4" x14ac:dyDescent="0.35">
      <c r="A585" t="s">
        <v>625</v>
      </c>
      <c r="B585" s="28">
        <v>44397</v>
      </c>
      <c r="C585" t="s">
        <v>482</v>
      </c>
      <c r="D585">
        <v>1579</v>
      </c>
    </row>
    <row r="586" spans="1:4" x14ac:dyDescent="0.35">
      <c r="A586" t="s">
        <v>625</v>
      </c>
      <c r="B586" s="28">
        <v>44397</v>
      </c>
      <c r="C586" t="s">
        <v>482</v>
      </c>
      <c r="D586">
        <v>534</v>
      </c>
    </row>
    <row r="587" spans="1:4" x14ac:dyDescent="0.35">
      <c r="A587" t="s">
        <v>625</v>
      </c>
      <c r="B587" s="28">
        <v>44397</v>
      </c>
      <c r="C587" t="s">
        <v>482</v>
      </c>
      <c r="D587">
        <v>460</v>
      </c>
    </row>
    <row r="588" spans="1:4" x14ac:dyDescent="0.35">
      <c r="A588" t="s">
        <v>625</v>
      </c>
      <c r="B588" s="28">
        <v>44397</v>
      </c>
      <c r="C588" t="s">
        <v>441</v>
      </c>
      <c r="D588">
        <v>2045</v>
      </c>
    </row>
    <row r="589" spans="1:4" x14ac:dyDescent="0.35">
      <c r="A589" t="s">
        <v>625</v>
      </c>
      <c r="B589" s="28">
        <v>44397</v>
      </c>
      <c r="C589" t="s">
        <v>530</v>
      </c>
      <c r="D589">
        <v>1885</v>
      </c>
    </row>
    <row r="590" spans="1:4" x14ac:dyDescent="0.35">
      <c r="A590" t="s">
        <v>625</v>
      </c>
      <c r="B590" s="28">
        <v>44397</v>
      </c>
      <c r="C590" t="s">
        <v>530</v>
      </c>
      <c r="D590">
        <v>638</v>
      </c>
    </row>
    <row r="591" spans="1:4" x14ac:dyDescent="0.35">
      <c r="A591" t="s">
        <v>625</v>
      </c>
      <c r="B591" s="28">
        <v>44397</v>
      </c>
      <c r="C591" t="s">
        <v>499</v>
      </c>
      <c r="D591">
        <v>2894</v>
      </c>
    </row>
    <row r="592" spans="1:4" x14ac:dyDescent="0.35">
      <c r="A592" t="s">
        <v>625</v>
      </c>
      <c r="B592" s="28">
        <v>44397</v>
      </c>
      <c r="C592" t="s">
        <v>446</v>
      </c>
      <c r="D592">
        <v>768</v>
      </c>
    </row>
    <row r="593" spans="1:4" x14ac:dyDescent="0.35">
      <c r="A593" t="s">
        <v>625</v>
      </c>
      <c r="B593" s="28">
        <v>44397</v>
      </c>
      <c r="C593" t="s">
        <v>446</v>
      </c>
      <c r="D593">
        <v>577</v>
      </c>
    </row>
    <row r="594" spans="1:4" x14ac:dyDescent="0.35">
      <c r="A594" t="s">
        <v>625</v>
      </c>
      <c r="B594" s="28">
        <v>44397</v>
      </c>
      <c r="C594" t="s">
        <v>446</v>
      </c>
      <c r="D594">
        <v>444</v>
      </c>
    </row>
    <row r="595" spans="1:4" x14ac:dyDescent="0.35">
      <c r="A595" t="s">
        <v>626</v>
      </c>
      <c r="B595" s="28">
        <v>44399</v>
      </c>
      <c r="C595" t="s">
        <v>441</v>
      </c>
      <c r="D595">
        <v>2270</v>
      </c>
    </row>
    <row r="596" spans="1:4" x14ac:dyDescent="0.35">
      <c r="A596" t="s">
        <v>625</v>
      </c>
      <c r="B596" s="28">
        <v>44397</v>
      </c>
      <c r="C596" t="s">
        <v>550</v>
      </c>
      <c r="D596">
        <v>1093</v>
      </c>
    </row>
    <row r="597" spans="1:4" x14ac:dyDescent="0.35">
      <c r="A597" t="s">
        <v>626</v>
      </c>
      <c r="B597" s="28">
        <v>44399</v>
      </c>
      <c r="C597" t="s">
        <v>530</v>
      </c>
      <c r="D597">
        <v>1382</v>
      </c>
    </row>
    <row r="598" spans="1:4" x14ac:dyDescent="0.35">
      <c r="A598" t="s">
        <v>626</v>
      </c>
      <c r="B598" s="28">
        <v>44399</v>
      </c>
      <c r="C598" t="s">
        <v>441</v>
      </c>
      <c r="D598">
        <v>898</v>
      </c>
    </row>
    <row r="599" spans="1:4" x14ac:dyDescent="0.35">
      <c r="A599" t="s">
        <v>626</v>
      </c>
      <c r="B599" s="28">
        <v>44399</v>
      </c>
      <c r="C599" t="s">
        <v>530</v>
      </c>
      <c r="D599">
        <v>14655</v>
      </c>
    </row>
    <row r="600" spans="1:4" x14ac:dyDescent="0.35">
      <c r="A600" t="s">
        <v>627</v>
      </c>
      <c r="B600" s="28">
        <v>44401</v>
      </c>
      <c r="C600" t="s">
        <v>526</v>
      </c>
      <c r="D600">
        <v>15260</v>
      </c>
    </row>
    <row r="601" spans="1:4" x14ac:dyDescent="0.35">
      <c r="A601" t="s">
        <v>627</v>
      </c>
      <c r="B601" s="28">
        <v>44401</v>
      </c>
      <c r="C601" t="s">
        <v>546</v>
      </c>
      <c r="D601">
        <v>1350</v>
      </c>
    </row>
    <row r="602" spans="1:4" x14ac:dyDescent="0.35">
      <c r="A602" t="s">
        <v>627</v>
      </c>
      <c r="B602" s="28">
        <v>44401</v>
      </c>
      <c r="C602" t="s">
        <v>443</v>
      </c>
      <c r="D602">
        <v>2976</v>
      </c>
    </row>
    <row r="603" spans="1:4" x14ac:dyDescent="0.35">
      <c r="A603" t="s">
        <v>627</v>
      </c>
      <c r="B603" s="28">
        <v>44401</v>
      </c>
      <c r="C603" t="s">
        <v>524</v>
      </c>
      <c r="D603">
        <v>602</v>
      </c>
    </row>
    <row r="604" spans="1:4" x14ac:dyDescent="0.35">
      <c r="A604" t="s">
        <v>628</v>
      </c>
      <c r="B604" s="28">
        <v>44402</v>
      </c>
      <c r="C604" t="s">
        <v>499</v>
      </c>
      <c r="D604">
        <v>2216</v>
      </c>
    </row>
    <row r="605" spans="1:4" x14ac:dyDescent="0.35">
      <c r="A605" t="s">
        <v>628</v>
      </c>
      <c r="B605" s="28">
        <v>44402</v>
      </c>
      <c r="C605" t="s">
        <v>485</v>
      </c>
      <c r="D605">
        <v>1444</v>
      </c>
    </row>
    <row r="606" spans="1:4" x14ac:dyDescent="0.35">
      <c r="A606" t="s">
        <v>628</v>
      </c>
      <c r="B606" s="28">
        <v>44402</v>
      </c>
      <c r="C606" t="s">
        <v>550</v>
      </c>
      <c r="D606">
        <v>733</v>
      </c>
    </row>
    <row r="607" spans="1:4" x14ac:dyDescent="0.35">
      <c r="A607" t="s">
        <v>628</v>
      </c>
      <c r="B607" s="28">
        <v>44402</v>
      </c>
      <c r="C607" t="s">
        <v>550</v>
      </c>
      <c r="D607">
        <v>855</v>
      </c>
    </row>
    <row r="608" spans="1:4" x14ac:dyDescent="0.35">
      <c r="A608" t="s">
        <v>628</v>
      </c>
      <c r="B608" s="28">
        <v>44402</v>
      </c>
      <c r="C608" t="s">
        <v>550</v>
      </c>
      <c r="D608">
        <v>342</v>
      </c>
    </row>
    <row r="609" spans="1:4" x14ac:dyDescent="0.35">
      <c r="A609" t="s">
        <v>628</v>
      </c>
      <c r="B609" s="28">
        <v>44402</v>
      </c>
      <c r="C609" t="s">
        <v>505</v>
      </c>
      <c r="D609">
        <v>4747</v>
      </c>
    </row>
    <row r="610" spans="1:4" x14ac:dyDescent="0.35">
      <c r="A610" t="s">
        <v>628</v>
      </c>
      <c r="B610" s="28">
        <v>44402</v>
      </c>
      <c r="C610" t="s">
        <v>505</v>
      </c>
      <c r="D610">
        <v>4786</v>
      </c>
    </row>
    <row r="611" spans="1:4" x14ac:dyDescent="0.35">
      <c r="A611" t="s">
        <v>629</v>
      </c>
      <c r="B611" s="28">
        <v>44403</v>
      </c>
      <c r="C611" t="s">
        <v>590</v>
      </c>
      <c r="D611">
        <v>83</v>
      </c>
    </row>
    <row r="612" spans="1:4" x14ac:dyDescent="0.35">
      <c r="A612" t="s">
        <v>629</v>
      </c>
      <c r="B612" s="28">
        <v>44403</v>
      </c>
      <c r="C612" t="s">
        <v>590</v>
      </c>
      <c r="D612">
        <v>79</v>
      </c>
    </row>
    <row r="613" spans="1:4" x14ac:dyDescent="0.35">
      <c r="A613" t="s">
        <v>629</v>
      </c>
      <c r="B613" s="28">
        <v>44403</v>
      </c>
      <c r="C613" t="s">
        <v>570</v>
      </c>
      <c r="D613">
        <v>645</v>
      </c>
    </row>
    <row r="614" spans="1:4" x14ac:dyDescent="0.35">
      <c r="A614" t="s">
        <v>630</v>
      </c>
      <c r="B614" s="28">
        <v>44404</v>
      </c>
      <c r="C614" t="s">
        <v>483</v>
      </c>
      <c r="D614">
        <v>4512</v>
      </c>
    </row>
    <row r="615" spans="1:4" x14ac:dyDescent="0.35">
      <c r="A615" t="s">
        <v>630</v>
      </c>
      <c r="B615" s="28">
        <v>44404</v>
      </c>
      <c r="C615" t="s">
        <v>499</v>
      </c>
      <c r="D615">
        <v>2628</v>
      </c>
    </row>
    <row r="616" spans="1:4" x14ac:dyDescent="0.35">
      <c r="A616" t="s">
        <v>630</v>
      </c>
      <c r="B616" s="28">
        <v>44404</v>
      </c>
      <c r="C616" t="s">
        <v>546</v>
      </c>
      <c r="D616">
        <v>1455</v>
      </c>
    </row>
    <row r="617" spans="1:4" x14ac:dyDescent="0.35">
      <c r="A617" t="s">
        <v>632</v>
      </c>
      <c r="B617" s="28">
        <v>44405</v>
      </c>
      <c r="C617" t="s">
        <v>506</v>
      </c>
      <c r="D617">
        <v>4858</v>
      </c>
    </row>
    <row r="618" spans="1:4" x14ac:dyDescent="0.35">
      <c r="A618" t="s">
        <v>632</v>
      </c>
      <c r="B618" s="28">
        <v>44405</v>
      </c>
      <c r="C618" t="s">
        <v>444</v>
      </c>
      <c r="D618">
        <v>1000</v>
      </c>
    </row>
    <row r="619" spans="1:4" x14ac:dyDescent="0.35">
      <c r="A619" t="s">
        <v>632</v>
      </c>
      <c r="B619" s="28">
        <v>44405</v>
      </c>
      <c r="C619" t="s">
        <v>526</v>
      </c>
      <c r="D619">
        <v>14852</v>
      </c>
    </row>
    <row r="620" spans="1:4" x14ac:dyDescent="0.35">
      <c r="A620" t="s">
        <v>632</v>
      </c>
      <c r="B620" s="28">
        <v>44405</v>
      </c>
      <c r="C620" t="s">
        <v>451</v>
      </c>
      <c r="D620">
        <v>1818</v>
      </c>
    </row>
    <row r="621" spans="1:4" x14ac:dyDescent="0.35">
      <c r="A621" t="s">
        <v>632</v>
      </c>
      <c r="B621" s="28">
        <v>44405</v>
      </c>
      <c r="C621" t="s">
        <v>451</v>
      </c>
      <c r="D621">
        <v>174</v>
      </c>
    </row>
    <row r="622" spans="1:4" x14ac:dyDescent="0.35">
      <c r="A622" t="s">
        <v>632</v>
      </c>
      <c r="B622" s="28">
        <v>44405</v>
      </c>
      <c r="C622" t="s">
        <v>441</v>
      </c>
      <c r="D622">
        <v>1913</v>
      </c>
    </row>
    <row r="623" spans="1:4" x14ac:dyDescent="0.35">
      <c r="A623" t="s">
        <v>632</v>
      </c>
      <c r="B623" s="28">
        <v>44405</v>
      </c>
      <c r="C623" t="s">
        <v>472</v>
      </c>
      <c r="D623">
        <v>2761</v>
      </c>
    </row>
    <row r="624" spans="1:4" x14ac:dyDescent="0.35">
      <c r="A624" t="s">
        <v>632</v>
      </c>
      <c r="B624" s="28">
        <v>44405</v>
      </c>
      <c r="C624" t="s">
        <v>534</v>
      </c>
      <c r="D624">
        <v>800</v>
      </c>
    </row>
    <row r="625" spans="1:4" x14ac:dyDescent="0.35">
      <c r="A625" t="s">
        <v>632</v>
      </c>
      <c r="B625" s="28">
        <v>44405</v>
      </c>
      <c r="C625" t="s">
        <v>443</v>
      </c>
      <c r="D625">
        <v>2692</v>
      </c>
    </row>
    <row r="626" spans="1:4" x14ac:dyDescent="0.35">
      <c r="A626" t="s">
        <v>632</v>
      </c>
      <c r="B626" s="28">
        <v>44405</v>
      </c>
      <c r="C626" t="s">
        <v>530</v>
      </c>
      <c r="D626">
        <v>2559</v>
      </c>
    </row>
    <row r="627" spans="1:4" x14ac:dyDescent="0.35">
      <c r="A627" t="s">
        <v>632</v>
      </c>
      <c r="B627" s="28">
        <v>44405</v>
      </c>
      <c r="C627" t="s">
        <v>590</v>
      </c>
      <c r="D627">
        <v>839</v>
      </c>
    </row>
    <row r="628" spans="1:4" x14ac:dyDescent="0.35">
      <c r="A628" t="s">
        <v>632</v>
      </c>
      <c r="B628" s="28">
        <v>44405</v>
      </c>
      <c r="C628" t="s">
        <v>501</v>
      </c>
      <c r="D628">
        <v>6862</v>
      </c>
    </row>
    <row r="629" spans="1:4" x14ac:dyDescent="0.35">
      <c r="A629" t="s">
        <v>633</v>
      </c>
      <c r="B629" s="28">
        <v>44408</v>
      </c>
      <c r="C629" t="s">
        <v>443</v>
      </c>
      <c r="D629">
        <v>2335</v>
      </c>
    </row>
    <row r="630" spans="1:4" x14ac:dyDescent="0.35">
      <c r="A630" t="s">
        <v>633</v>
      </c>
      <c r="B630" s="28">
        <v>44408</v>
      </c>
      <c r="C630" t="s">
        <v>485</v>
      </c>
      <c r="D630">
        <v>1670</v>
      </c>
    </row>
    <row r="631" spans="1:4" x14ac:dyDescent="0.35">
      <c r="A631" t="s">
        <v>633</v>
      </c>
      <c r="B631" s="28">
        <v>44408</v>
      </c>
      <c r="C631" t="s">
        <v>441</v>
      </c>
      <c r="D631">
        <v>1964</v>
      </c>
    </row>
    <row r="632" spans="1:4" x14ac:dyDescent="0.35">
      <c r="A632" t="s">
        <v>633</v>
      </c>
      <c r="B632" s="28">
        <v>44408</v>
      </c>
      <c r="C632" t="s">
        <v>502</v>
      </c>
      <c r="D632">
        <v>1457</v>
      </c>
    </row>
    <row r="633" spans="1:4" x14ac:dyDescent="0.35">
      <c r="A633" t="s">
        <v>633</v>
      </c>
      <c r="B633" s="28">
        <v>44408</v>
      </c>
      <c r="C633" t="s">
        <v>566</v>
      </c>
      <c r="D633">
        <v>84</v>
      </c>
    </row>
    <row r="634" spans="1:4" x14ac:dyDescent="0.35">
      <c r="A634" t="s">
        <v>633</v>
      </c>
      <c r="B634" s="28">
        <v>44408</v>
      </c>
      <c r="C634" t="s">
        <v>566</v>
      </c>
      <c r="D634">
        <v>136</v>
      </c>
    </row>
    <row r="635" spans="1:4" x14ac:dyDescent="0.35">
      <c r="A635" t="s">
        <v>633</v>
      </c>
      <c r="B635" s="28">
        <v>44408</v>
      </c>
      <c r="C635" t="s">
        <v>621</v>
      </c>
      <c r="D635">
        <v>1564</v>
      </c>
    </row>
    <row r="636" spans="1:4" x14ac:dyDescent="0.35">
      <c r="A636" t="s">
        <v>633</v>
      </c>
      <c r="B636" s="28">
        <v>44408</v>
      </c>
      <c r="C636" t="s">
        <v>553</v>
      </c>
      <c r="D636">
        <v>5002</v>
      </c>
    </row>
    <row r="637" spans="1:4" x14ac:dyDescent="0.35">
      <c r="A637" t="s">
        <v>633</v>
      </c>
      <c r="B637" s="28">
        <v>44408</v>
      </c>
      <c r="C637" t="s">
        <v>509</v>
      </c>
      <c r="D637">
        <v>590</v>
      </c>
    </row>
    <row r="638" spans="1:4" x14ac:dyDescent="0.35">
      <c r="A638" t="s">
        <v>633</v>
      </c>
      <c r="B638" s="28">
        <v>44408</v>
      </c>
      <c r="C638" t="s">
        <v>478</v>
      </c>
      <c r="D638">
        <v>141</v>
      </c>
    </row>
    <row r="639" spans="1:4" x14ac:dyDescent="0.35">
      <c r="A639" t="s">
        <v>633</v>
      </c>
      <c r="B639" s="28">
        <v>44408</v>
      </c>
      <c r="C639" t="s">
        <v>478</v>
      </c>
      <c r="D639">
        <v>11</v>
      </c>
    </row>
    <row r="640" spans="1:4" x14ac:dyDescent="0.35">
      <c r="A640" t="s">
        <v>633</v>
      </c>
      <c r="B640" s="28">
        <v>44408</v>
      </c>
      <c r="C640" t="s">
        <v>577</v>
      </c>
      <c r="D640">
        <v>160</v>
      </c>
    </row>
    <row r="641" spans="1:4" x14ac:dyDescent="0.35">
      <c r="A641" t="s">
        <v>634</v>
      </c>
      <c r="B641" s="28">
        <v>44409</v>
      </c>
      <c r="C641" t="s">
        <v>441</v>
      </c>
      <c r="D641">
        <v>1859</v>
      </c>
    </row>
    <row r="642" spans="1:4" x14ac:dyDescent="0.35">
      <c r="A642" t="s">
        <v>634</v>
      </c>
      <c r="B642" s="28">
        <v>44409</v>
      </c>
      <c r="C642" t="s">
        <v>546</v>
      </c>
      <c r="D642">
        <v>1221</v>
      </c>
    </row>
    <row r="643" spans="1:4" x14ac:dyDescent="0.35">
      <c r="A643" t="s">
        <v>634</v>
      </c>
      <c r="B643" s="28">
        <v>44409</v>
      </c>
      <c r="C643" t="s">
        <v>444</v>
      </c>
      <c r="D643">
        <v>770</v>
      </c>
    </row>
    <row r="644" spans="1:4" x14ac:dyDescent="0.35">
      <c r="A644" t="s">
        <v>634</v>
      </c>
      <c r="B644" s="28">
        <v>44409</v>
      </c>
      <c r="C644" t="s">
        <v>444</v>
      </c>
      <c r="D644">
        <v>72</v>
      </c>
    </row>
    <row r="645" spans="1:4" x14ac:dyDescent="0.35">
      <c r="A645" t="s">
        <v>634</v>
      </c>
      <c r="B645" s="28">
        <v>44409</v>
      </c>
      <c r="C645" t="s">
        <v>444</v>
      </c>
      <c r="D645">
        <v>169</v>
      </c>
    </row>
    <row r="646" spans="1:4" x14ac:dyDescent="0.35">
      <c r="A646" t="s">
        <v>634</v>
      </c>
      <c r="B646" s="28">
        <v>44409</v>
      </c>
      <c r="C646" t="s">
        <v>495</v>
      </c>
      <c r="D646">
        <v>630</v>
      </c>
    </row>
    <row r="647" spans="1:4" x14ac:dyDescent="0.35">
      <c r="A647" t="s">
        <v>635</v>
      </c>
      <c r="B647" s="28">
        <v>44410</v>
      </c>
      <c r="C647" t="s">
        <v>495</v>
      </c>
      <c r="D647">
        <v>712</v>
      </c>
    </row>
    <row r="648" spans="1:4" x14ac:dyDescent="0.35">
      <c r="A648" t="s">
        <v>635</v>
      </c>
      <c r="B648" s="28">
        <v>44410</v>
      </c>
      <c r="C648" t="s">
        <v>480</v>
      </c>
      <c r="D648">
        <v>138</v>
      </c>
    </row>
    <row r="649" spans="1:4" x14ac:dyDescent="0.35">
      <c r="A649" t="s">
        <v>635</v>
      </c>
      <c r="B649" s="28">
        <v>44410</v>
      </c>
      <c r="C649" t="s">
        <v>480</v>
      </c>
      <c r="D649">
        <v>64</v>
      </c>
    </row>
    <row r="650" spans="1:4" x14ac:dyDescent="0.35">
      <c r="A650" t="s">
        <v>635</v>
      </c>
      <c r="B650" s="28">
        <v>44410</v>
      </c>
      <c r="C650" t="s">
        <v>480</v>
      </c>
      <c r="D650">
        <v>1651</v>
      </c>
    </row>
    <row r="651" spans="1:4" x14ac:dyDescent="0.35">
      <c r="A651" t="s">
        <v>636</v>
      </c>
      <c r="B651" s="28">
        <v>44411</v>
      </c>
      <c r="C651" t="s">
        <v>502</v>
      </c>
      <c r="D651">
        <v>694</v>
      </c>
    </row>
    <row r="652" spans="1:4" x14ac:dyDescent="0.35">
      <c r="A652" t="s">
        <v>636</v>
      </c>
      <c r="B652" s="28">
        <v>44411</v>
      </c>
      <c r="C652" t="s">
        <v>449</v>
      </c>
      <c r="D652">
        <v>3260</v>
      </c>
    </row>
    <row r="653" spans="1:4" x14ac:dyDescent="0.35">
      <c r="A653" t="s">
        <v>636</v>
      </c>
      <c r="B653" s="28">
        <v>44411</v>
      </c>
      <c r="C653" t="s">
        <v>530</v>
      </c>
      <c r="D653">
        <v>422</v>
      </c>
    </row>
    <row r="654" spans="1:4" x14ac:dyDescent="0.35">
      <c r="A654" t="s">
        <v>636</v>
      </c>
      <c r="B654" s="28">
        <v>44411</v>
      </c>
      <c r="C654" t="s">
        <v>530</v>
      </c>
      <c r="D654">
        <v>1652</v>
      </c>
    </row>
    <row r="655" spans="1:4" x14ac:dyDescent="0.35">
      <c r="A655" t="s">
        <v>636</v>
      </c>
      <c r="B655" s="28">
        <v>44411</v>
      </c>
      <c r="C655" t="s">
        <v>505</v>
      </c>
      <c r="D655">
        <v>6046</v>
      </c>
    </row>
    <row r="656" spans="1:4" x14ac:dyDescent="0.35">
      <c r="A656" t="s">
        <v>637</v>
      </c>
      <c r="B656" s="28">
        <v>44412</v>
      </c>
      <c r="C656" t="s">
        <v>504</v>
      </c>
      <c r="D656">
        <v>292</v>
      </c>
    </row>
    <row r="657" spans="1:4" x14ac:dyDescent="0.35">
      <c r="A657" t="s">
        <v>637</v>
      </c>
      <c r="B657" s="28">
        <v>44412</v>
      </c>
      <c r="C657" t="s">
        <v>504</v>
      </c>
      <c r="D657">
        <v>2142</v>
      </c>
    </row>
    <row r="658" spans="1:4" x14ac:dyDescent="0.35">
      <c r="A658" t="s">
        <v>637</v>
      </c>
      <c r="B658" s="28">
        <v>44412</v>
      </c>
      <c r="C658" t="s">
        <v>590</v>
      </c>
      <c r="D658">
        <v>920</v>
      </c>
    </row>
    <row r="659" spans="1:4" x14ac:dyDescent="0.35">
      <c r="A659" t="s">
        <v>637</v>
      </c>
      <c r="B659" s="28">
        <v>44412</v>
      </c>
      <c r="C659" t="s">
        <v>507</v>
      </c>
      <c r="D659">
        <v>3667</v>
      </c>
    </row>
    <row r="660" spans="1:4" x14ac:dyDescent="0.35">
      <c r="A660" t="s">
        <v>637</v>
      </c>
      <c r="B660" s="28">
        <v>44412</v>
      </c>
      <c r="C660" t="s">
        <v>446</v>
      </c>
      <c r="D660">
        <v>692</v>
      </c>
    </row>
    <row r="661" spans="1:4" x14ac:dyDescent="0.35">
      <c r="A661" t="s">
        <v>637</v>
      </c>
      <c r="B661" s="28">
        <v>44412</v>
      </c>
      <c r="C661" t="s">
        <v>446</v>
      </c>
      <c r="D661">
        <v>165</v>
      </c>
    </row>
    <row r="662" spans="1:4" x14ac:dyDescent="0.35">
      <c r="A662" t="s">
        <v>637</v>
      </c>
      <c r="B662" s="28">
        <v>44412</v>
      </c>
      <c r="C662" t="s">
        <v>446</v>
      </c>
      <c r="D662">
        <v>488</v>
      </c>
    </row>
    <row r="663" spans="1:4" x14ac:dyDescent="0.35">
      <c r="A663" t="s">
        <v>638</v>
      </c>
      <c r="B663" s="28">
        <v>44413</v>
      </c>
      <c r="C663" t="s">
        <v>526</v>
      </c>
      <c r="D663">
        <v>1832</v>
      </c>
    </row>
    <row r="664" spans="1:4" x14ac:dyDescent="0.35">
      <c r="A664" t="s">
        <v>638</v>
      </c>
      <c r="B664" s="28">
        <v>44413</v>
      </c>
      <c r="C664" t="s">
        <v>546</v>
      </c>
      <c r="D664">
        <v>1731</v>
      </c>
    </row>
    <row r="665" spans="1:4" x14ac:dyDescent="0.35">
      <c r="A665" t="s">
        <v>638</v>
      </c>
      <c r="B665" s="28">
        <v>44413</v>
      </c>
      <c r="C665" t="s">
        <v>507</v>
      </c>
      <c r="D665">
        <v>3270</v>
      </c>
    </row>
    <row r="666" spans="1:4" x14ac:dyDescent="0.35">
      <c r="A666" t="s">
        <v>638</v>
      </c>
      <c r="B666" s="28">
        <v>44413</v>
      </c>
      <c r="C666" t="s">
        <v>441</v>
      </c>
      <c r="D666">
        <v>1593</v>
      </c>
    </row>
    <row r="667" spans="1:4" x14ac:dyDescent="0.35">
      <c r="A667" t="s">
        <v>638</v>
      </c>
      <c r="B667" s="28">
        <v>44413</v>
      </c>
      <c r="C667" t="s">
        <v>526</v>
      </c>
      <c r="D667">
        <v>520</v>
      </c>
    </row>
    <row r="668" spans="1:4" x14ac:dyDescent="0.35">
      <c r="A668" t="s">
        <v>638</v>
      </c>
      <c r="B668" s="28">
        <v>44413</v>
      </c>
      <c r="C668" t="s">
        <v>497</v>
      </c>
      <c r="D668">
        <v>3218</v>
      </c>
    </row>
    <row r="669" spans="1:4" x14ac:dyDescent="0.35">
      <c r="A669" t="s">
        <v>638</v>
      </c>
      <c r="B669" s="28">
        <v>44413</v>
      </c>
      <c r="C669" t="s">
        <v>497</v>
      </c>
      <c r="D669">
        <v>696</v>
      </c>
    </row>
    <row r="670" spans="1:4" x14ac:dyDescent="0.35">
      <c r="A670" t="s">
        <v>639</v>
      </c>
      <c r="B670" s="28">
        <v>44415</v>
      </c>
      <c r="C670" t="s">
        <v>456</v>
      </c>
      <c r="D670">
        <v>3990</v>
      </c>
    </row>
    <row r="671" spans="1:4" x14ac:dyDescent="0.35">
      <c r="A671" t="s">
        <v>639</v>
      </c>
      <c r="B671" s="28">
        <v>44415</v>
      </c>
      <c r="C671" t="s">
        <v>456</v>
      </c>
      <c r="D671">
        <v>490</v>
      </c>
    </row>
    <row r="672" spans="1:4" x14ac:dyDescent="0.35">
      <c r="A672" t="s">
        <v>639</v>
      </c>
      <c r="B672" s="28">
        <v>44415</v>
      </c>
      <c r="C672" t="s">
        <v>456</v>
      </c>
      <c r="D672">
        <v>712</v>
      </c>
    </row>
    <row r="673" spans="1:4" x14ac:dyDescent="0.35">
      <c r="A673" t="s">
        <v>639</v>
      </c>
      <c r="B673" s="28">
        <v>44415</v>
      </c>
      <c r="C673" t="s">
        <v>441</v>
      </c>
      <c r="D673">
        <v>2020</v>
      </c>
    </row>
    <row r="674" spans="1:4" x14ac:dyDescent="0.35">
      <c r="A674" t="s">
        <v>639</v>
      </c>
      <c r="B674" s="28">
        <v>44415</v>
      </c>
      <c r="C674" t="s">
        <v>443</v>
      </c>
      <c r="D674">
        <v>2247</v>
      </c>
    </row>
    <row r="675" spans="1:4" x14ac:dyDescent="0.35">
      <c r="A675" t="s">
        <v>639</v>
      </c>
      <c r="B675" s="28">
        <v>44415</v>
      </c>
      <c r="C675" t="s">
        <v>530</v>
      </c>
      <c r="D675">
        <v>10000</v>
      </c>
    </row>
    <row r="676" spans="1:4" x14ac:dyDescent="0.35">
      <c r="A676" t="s">
        <v>639</v>
      </c>
      <c r="B676" s="28">
        <v>44415</v>
      </c>
      <c r="C676" t="s">
        <v>507</v>
      </c>
      <c r="D676">
        <v>4191</v>
      </c>
    </row>
    <row r="677" spans="1:4" x14ac:dyDescent="0.35">
      <c r="A677" t="s">
        <v>639</v>
      </c>
      <c r="B677" s="28">
        <v>44415</v>
      </c>
      <c r="C677" t="s">
        <v>530</v>
      </c>
      <c r="D677">
        <v>2770</v>
      </c>
    </row>
    <row r="678" spans="1:4" x14ac:dyDescent="0.35">
      <c r="A678" t="s">
        <v>639</v>
      </c>
      <c r="B678" s="28">
        <v>44415</v>
      </c>
      <c r="C678" t="s">
        <v>530</v>
      </c>
      <c r="D678">
        <v>728</v>
      </c>
    </row>
    <row r="679" spans="1:4" x14ac:dyDescent="0.35">
      <c r="A679" t="s">
        <v>640</v>
      </c>
      <c r="B679" s="28">
        <v>44416</v>
      </c>
      <c r="C679" t="s">
        <v>441</v>
      </c>
      <c r="D679">
        <v>1877</v>
      </c>
    </row>
    <row r="680" spans="1:4" x14ac:dyDescent="0.35">
      <c r="A680" t="s">
        <v>640</v>
      </c>
      <c r="B680" s="28">
        <v>44416</v>
      </c>
      <c r="C680" t="s">
        <v>546</v>
      </c>
      <c r="D680">
        <v>1866</v>
      </c>
    </row>
    <row r="681" spans="1:4" x14ac:dyDescent="0.35">
      <c r="A681" t="s">
        <v>640</v>
      </c>
      <c r="B681" s="28">
        <v>44416</v>
      </c>
      <c r="C681" t="s">
        <v>506</v>
      </c>
      <c r="D681">
        <v>4386</v>
      </c>
    </row>
    <row r="682" spans="1:4" x14ac:dyDescent="0.35">
      <c r="A682" t="s">
        <v>640</v>
      </c>
      <c r="B682" s="28">
        <v>44416</v>
      </c>
      <c r="C682" t="s">
        <v>449</v>
      </c>
      <c r="D682">
        <v>2949</v>
      </c>
    </row>
    <row r="683" spans="1:4" x14ac:dyDescent="0.35">
      <c r="A683" t="s">
        <v>641</v>
      </c>
      <c r="B683" s="28">
        <v>44417</v>
      </c>
      <c r="C683" t="s">
        <v>505</v>
      </c>
      <c r="D683">
        <v>4519</v>
      </c>
    </row>
    <row r="684" spans="1:4" x14ac:dyDescent="0.35">
      <c r="A684" t="s">
        <v>641</v>
      </c>
      <c r="B684" s="28">
        <v>44417</v>
      </c>
      <c r="C684" t="s">
        <v>456</v>
      </c>
      <c r="D684">
        <v>214</v>
      </c>
    </row>
    <row r="685" spans="1:4" x14ac:dyDescent="0.35">
      <c r="A685" t="s">
        <v>641</v>
      </c>
      <c r="B685" s="28">
        <v>44417</v>
      </c>
      <c r="C685" t="s">
        <v>507</v>
      </c>
      <c r="D685">
        <v>3122</v>
      </c>
    </row>
    <row r="686" spans="1:4" x14ac:dyDescent="0.35">
      <c r="A686" t="s">
        <v>641</v>
      </c>
      <c r="B686" s="28">
        <v>44417</v>
      </c>
      <c r="C686" t="s">
        <v>530</v>
      </c>
      <c r="D686">
        <v>2024</v>
      </c>
    </row>
    <row r="687" spans="1:4" x14ac:dyDescent="0.35">
      <c r="A687" t="s">
        <v>641</v>
      </c>
      <c r="B687" s="28">
        <v>44417</v>
      </c>
      <c r="C687" t="s">
        <v>446</v>
      </c>
      <c r="D687">
        <v>2764</v>
      </c>
    </row>
    <row r="688" spans="1:4" x14ac:dyDescent="0.35">
      <c r="A688" t="s">
        <v>642</v>
      </c>
      <c r="B688" s="28">
        <v>44418</v>
      </c>
      <c r="C688" t="s">
        <v>526</v>
      </c>
      <c r="D688">
        <v>13589</v>
      </c>
    </row>
    <row r="689" spans="1:4" x14ac:dyDescent="0.35">
      <c r="A689" t="s">
        <v>642</v>
      </c>
      <c r="B689" s="28">
        <v>44418</v>
      </c>
      <c r="C689" t="s">
        <v>643</v>
      </c>
      <c r="D689">
        <v>1502</v>
      </c>
    </row>
    <row r="690" spans="1:4" x14ac:dyDescent="0.35">
      <c r="A690" t="s">
        <v>642</v>
      </c>
      <c r="B690" s="28">
        <v>44418</v>
      </c>
      <c r="C690" t="s">
        <v>441</v>
      </c>
      <c r="D690">
        <v>1836</v>
      </c>
    </row>
    <row r="691" spans="1:4" x14ac:dyDescent="0.35">
      <c r="A691" t="s">
        <v>642</v>
      </c>
      <c r="B691" s="28">
        <v>44418</v>
      </c>
      <c r="C691" t="s">
        <v>474</v>
      </c>
      <c r="D691">
        <v>1286</v>
      </c>
    </row>
    <row r="692" spans="1:4" x14ac:dyDescent="0.35">
      <c r="A692" t="s">
        <v>644</v>
      </c>
      <c r="B692" s="28">
        <v>44419</v>
      </c>
      <c r="C692" t="s">
        <v>507</v>
      </c>
      <c r="D692">
        <v>4107</v>
      </c>
    </row>
    <row r="693" spans="1:4" x14ac:dyDescent="0.35">
      <c r="A693" t="s">
        <v>644</v>
      </c>
      <c r="B693" s="28">
        <v>44419</v>
      </c>
      <c r="C693" t="s">
        <v>550</v>
      </c>
      <c r="D693">
        <v>1312</v>
      </c>
    </row>
    <row r="694" spans="1:4" x14ac:dyDescent="0.35">
      <c r="A694" t="s">
        <v>644</v>
      </c>
      <c r="B694" s="28">
        <v>44419</v>
      </c>
      <c r="C694" t="s">
        <v>550</v>
      </c>
      <c r="D694">
        <v>286</v>
      </c>
    </row>
    <row r="695" spans="1:4" x14ac:dyDescent="0.35">
      <c r="A695" t="s">
        <v>642</v>
      </c>
      <c r="B695" s="28">
        <v>44418</v>
      </c>
      <c r="C695" t="s">
        <v>449</v>
      </c>
      <c r="D695">
        <v>15000</v>
      </c>
    </row>
    <row r="696" spans="1:4" x14ac:dyDescent="0.35">
      <c r="A696" t="s">
        <v>644</v>
      </c>
      <c r="B696" s="28">
        <v>44419</v>
      </c>
      <c r="C696" t="s">
        <v>443</v>
      </c>
      <c r="D696">
        <v>2768</v>
      </c>
    </row>
    <row r="697" spans="1:4" x14ac:dyDescent="0.35">
      <c r="A697" t="s">
        <v>644</v>
      </c>
      <c r="B697" s="28">
        <v>44419</v>
      </c>
      <c r="C697" t="s">
        <v>441</v>
      </c>
      <c r="D697">
        <v>1407</v>
      </c>
    </row>
    <row r="698" spans="1:4" x14ac:dyDescent="0.35">
      <c r="A698" t="s">
        <v>644</v>
      </c>
      <c r="B698" s="28">
        <v>44419</v>
      </c>
      <c r="C698" t="s">
        <v>505</v>
      </c>
      <c r="D698">
        <v>5354</v>
      </c>
    </row>
    <row r="699" spans="1:4" x14ac:dyDescent="0.35">
      <c r="A699" t="s">
        <v>644</v>
      </c>
      <c r="B699" s="28">
        <v>44419</v>
      </c>
      <c r="C699" t="s">
        <v>566</v>
      </c>
      <c r="D699">
        <v>271</v>
      </c>
    </row>
    <row r="700" spans="1:4" x14ac:dyDescent="0.35">
      <c r="A700" t="s">
        <v>645</v>
      </c>
      <c r="B700" s="28">
        <v>44420</v>
      </c>
      <c r="C700" t="s">
        <v>526</v>
      </c>
      <c r="D700">
        <v>2334</v>
      </c>
    </row>
    <row r="701" spans="1:4" x14ac:dyDescent="0.35">
      <c r="A701" t="s">
        <v>645</v>
      </c>
      <c r="B701" s="28">
        <v>44420</v>
      </c>
      <c r="C701" t="s">
        <v>502</v>
      </c>
      <c r="D701">
        <v>698</v>
      </c>
    </row>
    <row r="702" spans="1:4" x14ac:dyDescent="0.35">
      <c r="A702" t="s">
        <v>645</v>
      </c>
      <c r="B702" s="28">
        <v>44420</v>
      </c>
      <c r="C702" t="s">
        <v>534</v>
      </c>
      <c r="D702">
        <v>929</v>
      </c>
    </row>
    <row r="703" spans="1:4" x14ac:dyDescent="0.35">
      <c r="A703" t="s">
        <v>645</v>
      </c>
      <c r="B703" s="28">
        <v>44420</v>
      </c>
      <c r="C703" t="s">
        <v>511</v>
      </c>
      <c r="D703">
        <v>1023</v>
      </c>
    </row>
    <row r="704" spans="1:4" x14ac:dyDescent="0.35">
      <c r="A704" t="s">
        <v>645</v>
      </c>
      <c r="B704" s="28">
        <v>44420</v>
      </c>
      <c r="C704" t="s">
        <v>444</v>
      </c>
      <c r="D704">
        <v>1000</v>
      </c>
    </row>
    <row r="705" spans="1:4" x14ac:dyDescent="0.35">
      <c r="A705" t="s">
        <v>645</v>
      </c>
      <c r="B705" s="28">
        <v>44420</v>
      </c>
      <c r="C705" t="s">
        <v>526</v>
      </c>
      <c r="D705">
        <v>2133</v>
      </c>
    </row>
    <row r="706" spans="1:4" x14ac:dyDescent="0.35">
      <c r="A706" t="s">
        <v>646</v>
      </c>
      <c r="B706" s="28">
        <v>44421</v>
      </c>
      <c r="C706" t="s">
        <v>441</v>
      </c>
      <c r="D706">
        <v>1223</v>
      </c>
    </row>
    <row r="707" spans="1:4" x14ac:dyDescent="0.35">
      <c r="A707" t="s">
        <v>647</v>
      </c>
      <c r="B707" s="28">
        <v>44422</v>
      </c>
      <c r="C707" t="s">
        <v>441</v>
      </c>
      <c r="D707">
        <v>1022</v>
      </c>
    </row>
    <row r="708" spans="1:4" x14ac:dyDescent="0.35">
      <c r="A708" t="s">
        <v>647</v>
      </c>
      <c r="B708" s="28">
        <v>44422</v>
      </c>
      <c r="C708" t="s">
        <v>450</v>
      </c>
      <c r="D708">
        <v>2711</v>
      </c>
    </row>
    <row r="709" spans="1:4" x14ac:dyDescent="0.35">
      <c r="A709" t="s">
        <v>647</v>
      </c>
      <c r="B709" s="28">
        <v>44422</v>
      </c>
      <c r="C709" t="s">
        <v>550</v>
      </c>
      <c r="D709">
        <v>1118</v>
      </c>
    </row>
    <row r="710" spans="1:4" x14ac:dyDescent="0.35">
      <c r="A710" t="s">
        <v>647</v>
      </c>
      <c r="B710" s="28">
        <v>44422</v>
      </c>
      <c r="C710" t="s">
        <v>444</v>
      </c>
      <c r="D710">
        <v>55</v>
      </c>
    </row>
    <row r="711" spans="1:4" x14ac:dyDescent="0.35">
      <c r="A711" t="s">
        <v>647</v>
      </c>
      <c r="B711" s="28">
        <v>44422</v>
      </c>
      <c r="C711" t="s">
        <v>444</v>
      </c>
      <c r="D711">
        <v>47</v>
      </c>
    </row>
    <row r="712" spans="1:4" x14ac:dyDescent="0.35">
      <c r="A712" t="s">
        <v>647</v>
      </c>
      <c r="B712" s="28">
        <v>44422</v>
      </c>
      <c r="C712" t="s">
        <v>444</v>
      </c>
      <c r="D712">
        <v>689</v>
      </c>
    </row>
    <row r="713" spans="1:4" x14ac:dyDescent="0.35">
      <c r="A713" t="s">
        <v>648</v>
      </c>
      <c r="B713" s="28">
        <v>44430</v>
      </c>
      <c r="C713" t="s">
        <v>441</v>
      </c>
      <c r="D713">
        <v>2034</v>
      </c>
    </row>
    <row r="714" spans="1:4" x14ac:dyDescent="0.35">
      <c r="A714" t="s">
        <v>648</v>
      </c>
      <c r="B714" s="28">
        <v>44430</v>
      </c>
      <c r="C714" t="s">
        <v>507</v>
      </c>
      <c r="D714">
        <v>4449</v>
      </c>
    </row>
    <row r="715" spans="1:4" x14ac:dyDescent="0.35">
      <c r="A715" t="s">
        <v>647</v>
      </c>
      <c r="B715" s="28">
        <v>44422</v>
      </c>
      <c r="C715" t="s">
        <v>444</v>
      </c>
      <c r="D715">
        <v>1000</v>
      </c>
    </row>
    <row r="716" spans="1:4" x14ac:dyDescent="0.35">
      <c r="A716" t="s">
        <v>648</v>
      </c>
      <c r="B716" s="28">
        <v>44430</v>
      </c>
      <c r="C716" t="s">
        <v>441</v>
      </c>
      <c r="D716">
        <v>2187</v>
      </c>
    </row>
    <row r="717" spans="1:4" x14ac:dyDescent="0.35">
      <c r="A717" t="s">
        <v>648</v>
      </c>
      <c r="B717" s="28">
        <v>44430</v>
      </c>
      <c r="C717" t="s">
        <v>530</v>
      </c>
      <c r="D717">
        <v>5626</v>
      </c>
    </row>
    <row r="718" spans="1:4" x14ac:dyDescent="0.35">
      <c r="A718" t="s">
        <v>649</v>
      </c>
      <c r="B718" s="28">
        <v>44431</v>
      </c>
      <c r="C718" t="s">
        <v>482</v>
      </c>
      <c r="D718">
        <v>8267</v>
      </c>
    </row>
    <row r="719" spans="1:4" x14ac:dyDescent="0.35">
      <c r="A719" t="s">
        <v>649</v>
      </c>
      <c r="B719" s="28">
        <v>44431</v>
      </c>
      <c r="C719" t="s">
        <v>443</v>
      </c>
      <c r="D719">
        <v>2138</v>
      </c>
    </row>
    <row r="720" spans="1:4" x14ac:dyDescent="0.35">
      <c r="A720" t="s">
        <v>649</v>
      </c>
      <c r="B720" s="28">
        <v>44431</v>
      </c>
      <c r="C720" t="s">
        <v>499</v>
      </c>
      <c r="D720">
        <v>4306</v>
      </c>
    </row>
    <row r="721" spans="1:4" x14ac:dyDescent="0.35">
      <c r="A721" t="s">
        <v>649</v>
      </c>
      <c r="B721" s="28">
        <v>44431</v>
      </c>
      <c r="C721" t="s">
        <v>526</v>
      </c>
      <c r="D721">
        <v>1480</v>
      </c>
    </row>
    <row r="722" spans="1:4" x14ac:dyDescent="0.35">
      <c r="A722" t="s">
        <v>648</v>
      </c>
      <c r="B722" s="28">
        <v>44430</v>
      </c>
      <c r="C722" t="s">
        <v>507</v>
      </c>
      <c r="D722">
        <v>10685</v>
      </c>
    </row>
    <row r="723" spans="1:4" x14ac:dyDescent="0.35">
      <c r="A723" t="s">
        <v>650</v>
      </c>
      <c r="B723" s="28">
        <v>44432</v>
      </c>
      <c r="C723" t="s">
        <v>524</v>
      </c>
      <c r="D723">
        <v>25</v>
      </c>
    </row>
    <row r="724" spans="1:4" x14ac:dyDescent="0.35">
      <c r="A724" t="s">
        <v>650</v>
      </c>
      <c r="B724" s="28">
        <v>44432</v>
      </c>
      <c r="C724" t="s">
        <v>443</v>
      </c>
      <c r="D724">
        <v>2637</v>
      </c>
    </row>
    <row r="725" spans="1:4" x14ac:dyDescent="0.35">
      <c r="A725" t="s">
        <v>650</v>
      </c>
      <c r="B725" s="28">
        <v>44432</v>
      </c>
      <c r="C725" t="s">
        <v>546</v>
      </c>
      <c r="D725">
        <v>2416</v>
      </c>
    </row>
    <row r="726" spans="1:4" x14ac:dyDescent="0.35">
      <c r="A726" t="s">
        <v>648</v>
      </c>
      <c r="B726" s="28">
        <v>44430</v>
      </c>
      <c r="C726" t="s">
        <v>507</v>
      </c>
      <c r="D726">
        <v>14</v>
      </c>
    </row>
    <row r="727" spans="1:4" x14ac:dyDescent="0.35">
      <c r="A727" t="s">
        <v>651</v>
      </c>
      <c r="B727" s="28">
        <v>44433</v>
      </c>
      <c r="C727" t="s">
        <v>505</v>
      </c>
      <c r="D727">
        <v>6276</v>
      </c>
    </row>
    <row r="728" spans="1:4" x14ac:dyDescent="0.35">
      <c r="A728" t="s">
        <v>651</v>
      </c>
      <c r="B728" s="28">
        <v>44433</v>
      </c>
      <c r="C728" t="s">
        <v>449</v>
      </c>
      <c r="D728">
        <v>8000</v>
      </c>
    </row>
    <row r="729" spans="1:4" x14ac:dyDescent="0.35">
      <c r="A729" t="s">
        <v>651</v>
      </c>
      <c r="B729" s="28">
        <v>44433</v>
      </c>
      <c r="C729" t="s">
        <v>570</v>
      </c>
      <c r="D729">
        <v>3893</v>
      </c>
    </row>
    <row r="730" spans="1:4" x14ac:dyDescent="0.35">
      <c r="A730" t="s">
        <v>651</v>
      </c>
      <c r="B730" s="28">
        <v>44433</v>
      </c>
      <c r="C730" t="s">
        <v>577</v>
      </c>
      <c r="D730">
        <v>238</v>
      </c>
    </row>
    <row r="731" spans="1:4" x14ac:dyDescent="0.35">
      <c r="A731" t="s">
        <v>651</v>
      </c>
      <c r="B731" s="28">
        <v>44433</v>
      </c>
      <c r="C731" t="s">
        <v>530</v>
      </c>
      <c r="D731">
        <v>1704</v>
      </c>
    </row>
    <row r="732" spans="1:4" x14ac:dyDescent="0.35">
      <c r="A732" t="s">
        <v>651</v>
      </c>
      <c r="B732" s="28">
        <v>44433</v>
      </c>
      <c r="C732" t="s">
        <v>449</v>
      </c>
      <c r="D732">
        <v>2650</v>
      </c>
    </row>
    <row r="733" spans="1:4" x14ac:dyDescent="0.35">
      <c r="A733" t="s">
        <v>651</v>
      </c>
      <c r="B733" s="28">
        <v>44433</v>
      </c>
      <c r="C733" t="s">
        <v>446</v>
      </c>
      <c r="D733">
        <v>2500</v>
      </c>
    </row>
    <row r="734" spans="1:4" x14ac:dyDescent="0.35">
      <c r="A734" t="s">
        <v>652</v>
      </c>
      <c r="B734" s="28">
        <v>44434</v>
      </c>
      <c r="C734" t="s">
        <v>546</v>
      </c>
      <c r="D734">
        <v>2713</v>
      </c>
    </row>
    <row r="735" spans="1:4" x14ac:dyDescent="0.35">
      <c r="A735" t="s">
        <v>652</v>
      </c>
      <c r="B735" s="28">
        <v>44434</v>
      </c>
      <c r="C735" t="s">
        <v>492</v>
      </c>
      <c r="D735">
        <v>2319</v>
      </c>
    </row>
    <row r="736" spans="1:4" x14ac:dyDescent="0.35">
      <c r="A736" t="s">
        <v>652</v>
      </c>
      <c r="B736" s="28">
        <v>44434</v>
      </c>
      <c r="C736" t="s">
        <v>485</v>
      </c>
      <c r="D736">
        <v>1490</v>
      </c>
    </row>
    <row r="737" spans="1:4" x14ac:dyDescent="0.35">
      <c r="A737" t="s">
        <v>652</v>
      </c>
      <c r="B737" s="28">
        <v>44434</v>
      </c>
      <c r="C737" t="s">
        <v>446</v>
      </c>
      <c r="D737">
        <v>672</v>
      </c>
    </row>
    <row r="738" spans="1:4" x14ac:dyDescent="0.35">
      <c r="A738" t="s">
        <v>652</v>
      </c>
      <c r="B738" s="28">
        <v>44434</v>
      </c>
      <c r="C738" t="s">
        <v>446</v>
      </c>
      <c r="D738">
        <v>1192</v>
      </c>
    </row>
    <row r="739" spans="1:4" x14ac:dyDescent="0.35">
      <c r="A739" t="s">
        <v>652</v>
      </c>
      <c r="B739" s="28">
        <v>44434</v>
      </c>
      <c r="C739" t="s">
        <v>446</v>
      </c>
      <c r="D739">
        <v>230</v>
      </c>
    </row>
    <row r="740" spans="1:4" x14ac:dyDescent="0.35">
      <c r="A740" t="s">
        <v>653</v>
      </c>
      <c r="B740" s="28">
        <v>44436</v>
      </c>
      <c r="C740" t="s">
        <v>441</v>
      </c>
      <c r="D740">
        <v>1822</v>
      </c>
    </row>
    <row r="741" spans="1:4" x14ac:dyDescent="0.35">
      <c r="A741" t="s">
        <v>655</v>
      </c>
      <c r="B741" s="28">
        <v>44437</v>
      </c>
      <c r="C741" t="s">
        <v>495</v>
      </c>
      <c r="D741">
        <v>502</v>
      </c>
    </row>
    <row r="742" spans="1:4" x14ac:dyDescent="0.35">
      <c r="A742" t="s">
        <v>655</v>
      </c>
      <c r="B742" s="28">
        <v>44437</v>
      </c>
      <c r="C742" t="s">
        <v>507</v>
      </c>
      <c r="D742">
        <v>4200</v>
      </c>
    </row>
    <row r="743" spans="1:4" x14ac:dyDescent="0.35">
      <c r="A743" t="s">
        <v>655</v>
      </c>
      <c r="B743" s="28">
        <v>44437</v>
      </c>
      <c r="C743" t="s">
        <v>507</v>
      </c>
      <c r="D743">
        <v>3339</v>
      </c>
    </row>
    <row r="744" spans="1:4" x14ac:dyDescent="0.35">
      <c r="A744" t="s">
        <v>655</v>
      </c>
      <c r="B744" s="28">
        <v>44437</v>
      </c>
      <c r="C744" t="s">
        <v>530</v>
      </c>
      <c r="D744">
        <v>2348</v>
      </c>
    </row>
    <row r="745" spans="1:4" x14ac:dyDescent="0.35">
      <c r="A745" t="s">
        <v>655</v>
      </c>
      <c r="B745" s="28">
        <v>44437</v>
      </c>
      <c r="C745" t="s">
        <v>661</v>
      </c>
      <c r="D745">
        <v>998</v>
      </c>
    </row>
    <row r="746" spans="1:4" x14ac:dyDescent="0.35">
      <c r="A746" t="s">
        <v>656</v>
      </c>
      <c r="B746" s="28">
        <v>44438</v>
      </c>
      <c r="C746" t="s">
        <v>441</v>
      </c>
      <c r="D746">
        <v>1983</v>
      </c>
    </row>
    <row r="747" spans="1:4" x14ac:dyDescent="0.35">
      <c r="A747" t="s">
        <v>656</v>
      </c>
      <c r="B747" s="28">
        <v>44438</v>
      </c>
      <c r="C747" t="s">
        <v>443</v>
      </c>
      <c r="D747">
        <v>2593</v>
      </c>
    </row>
    <row r="748" spans="1:4" x14ac:dyDescent="0.35">
      <c r="A748" t="s">
        <v>656</v>
      </c>
      <c r="B748" s="28">
        <v>44438</v>
      </c>
      <c r="C748" t="s">
        <v>461</v>
      </c>
      <c r="D748">
        <v>350</v>
      </c>
    </row>
    <row r="749" spans="1:4" x14ac:dyDescent="0.35">
      <c r="A749" t="s">
        <v>656</v>
      </c>
      <c r="B749" s="28">
        <v>44438</v>
      </c>
      <c r="C749" t="s">
        <v>441</v>
      </c>
      <c r="D749">
        <v>2105</v>
      </c>
    </row>
    <row r="750" spans="1:4" x14ac:dyDescent="0.35">
      <c r="A750" t="s">
        <v>656</v>
      </c>
      <c r="B750" s="28">
        <v>44438</v>
      </c>
      <c r="C750" t="s">
        <v>505</v>
      </c>
      <c r="D750">
        <v>5085</v>
      </c>
    </row>
    <row r="751" spans="1:4" x14ac:dyDescent="0.35">
      <c r="A751" t="s">
        <v>656</v>
      </c>
      <c r="B751" s="28">
        <v>44438</v>
      </c>
      <c r="C751" t="s">
        <v>577</v>
      </c>
      <c r="D751">
        <v>250</v>
      </c>
    </row>
    <row r="752" spans="1:4" x14ac:dyDescent="0.35">
      <c r="A752" t="s">
        <v>656</v>
      </c>
      <c r="B752" s="28">
        <v>44438</v>
      </c>
      <c r="C752" t="s">
        <v>461</v>
      </c>
      <c r="D752">
        <v>22</v>
      </c>
    </row>
    <row r="753" spans="1:4" x14ac:dyDescent="0.35">
      <c r="A753" t="s">
        <v>657</v>
      </c>
      <c r="B753" s="28">
        <v>44439</v>
      </c>
      <c r="C753" t="s">
        <v>654</v>
      </c>
      <c r="D753">
        <v>1927</v>
      </c>
    </row>
    <row r="754" spans="1:4" x14ac:dyDescent="0.35">
      <c r="A754" t="s">
        <v>657</v>
      </c>
      <c r="B754" s="28">
        <v>44439</v>
      </c>
      <c r="C754" t="s">
        <v>537</v>
      </c>
      <c r="D754">
        <v>2138</v>
      </c>
    </row>
    <row r="755" spans="1:4" x14ac:dyDescent="0.35">
      <c r="A755" t="s">
        <v>657</v>
      </c>
      <c r="B755" s="28">
        <v>44439</v>
      </c>
      <c r="C755" t="s">
        <v>537</v>
      </c>
      <c r="D755">
        <v>332</v>
      </c>
    </row>
    <row r="756" spans="1:4" x14ac:dyDescent="0.35">
      <c r="A756" t="s">
        <v>657</v>
      </c>
      <c r="B756" s="28">
        <v>44439</v>
      </c>
      <c r="C756" t="s">
        <v>483</v>
      </c>
      <c r="D756">
        <v>4491</v>
      </c>
    </row>
    <row r="757" spans="1:4" x14ac:dyDescent="0.35">
      <c r="A757" t="s">
        <v>657</v>
      </c>
      <c r="B757" s="28">
        <v>44439</v>
      </c>
      <c r="C757" t="s">
        <v>443</v>
      </c>
      <c r="D757">
        <v>2307</v>
      </c>
    </row>
    <row r="758" spans="1:4" x14ac:dyDescent="0.35">
      <c r="A758" t="s">
        <v>648</v>
      </c>
      <c r="B758" s="28">
        <v>44430</v>
      </c>
      <c r="C758" t="s">
        <v>443</v>
      </c>
      <c r="D758">
        <v>7000</v>
      </c>
    </row>
    <row r="759" spans="1:4" x14ac:dyDescent="0.35">
      <c r="A759" t="s">
        <v>657</v>
      </c>
      <c r="B759" s="28">
        <v>44439</v>
      </c>
      <c r="C759" t="s">
        <v>489</v>
      </c>
      <c r="D759">
        <v>123</v>
      </c>
    </row>
    <row r="760" spans="1:4" x14ac:dyDescent="0.35">
      <c r="A760" t="s">
        <v>657</v>
      </c>
      <c r="B760" s="28">
        <v>44439</v>
      </c>
      <c r="C760" t="s">
        <v>489</v>
      </c>
      <c r="D760">
        <v>1009</v>
      </c>
    </row>
    <row r="761" spans="1:4" x14ac:dyDescent="0.35">
      <c r="A761" t="s">
        <v>657</v>
      </c>
      <c r="B761" s="28">
        <v>44439</v>
      </c>
      <c r="C761" t="s">
        <v>449</v>
      </c>
      <c r="D761">
        <v>2899</v>
      </c>
    </row>
    <row r="762" spans="1:4" x14ac:dyDescent="0.35">
      <c r="A762" t="s">
        <v>657</v>
      </c>
      <c r="B762" s="28">
        <v>44439</v>
      </c>
      <c r="C762" t="s">
        <v>496</v>
      </c>
      <c r="D762">
        <v>1025</v>
      </c>
    </row>
    <row r="763" spans="1:4" x14ac:dyDescent="0.35">
      <c r="A763" t="s">
        <v>657</v>
      </c>
      <c r="B763" s="28">
        <v>44439</v>
      </c>
      <c r="C763" t="s">
        <v>443</v>
      </c>
      <c r="D763">
        <v>2434</v>
      </c>
    </row>
    <row r="764" spans="1:4" x14ac:dyDescent="0.35">
      <c r="A764" t="s">
        <v>658</v>
      </c>
      <c r="B764" s="28">
        <v>44440</v>
      </c>
      <c r="C764" t="s">
        <v>552</v>
      </c>
      <c r="D764">
        <v>116</v>
      </c>
    </row>
    <row r="765" spans="1:4" x14ac:dyDescent="0.35">
      <c r="A765" t="s">
        <v>658</v>
      </c>
      <c r="B765" s="28">
        <v>44440</v>
      </c>
      <c r="C765" t="s">
        <v>552</v>
      </c>
      <c r="D765">
        <v>302</v>
      </c>
    </row>
    <row r="766" spans="1:4" x14ac:dyDescent="0.35">
      <c r="A766" t="s">
        <v>658</v>
      </c>
      <c r="B766" s="28">
        <v>44440</v>
      </c>
      <c r="C766" t="s">
        <v>530</v>
      </c>
      <c r="D766">
        <v>2564</v>
      </c>
    </row>
    <row r="767" spans="1:4" x14ac:dyDescent="0.35">
      <c r="A767" t="s">
        <v>658</v>
      </c>
      <c r="B767" s="28">
        <v>44440</v>
      </c>
      <c r="C767" t="s">
        <v>590</v>
      </c>
      <c r="D767">
        <v>1664</v>
      </c>
    </row>
    <row r="768" spans="1:4" x14ac:dyDescent="0.35">
      <c r="A768" t="s">
        <v>659</v>
      </c>
      <c r="B768" s="28">
        <v>44441</v>
      </c>
      <c r="C768" t="s">
        <v>443</v>
      </c>
      <c r="D768">
        <v>2628</v>
      </c>
    </row>
    <row r="769" spans="1:4" x14ac:dyDescent="0.35">
      <c r="A769" t="s">
        <v>658</v>
      </c>
      <c r="B769" s="28">
        <v>44440</v>
      </c>
      <c r="C769" t="s">
        <v>489</v>
      </c>
      <c r="D769">
        <v>177</v>
      </c>
    </row>
    <row r="770" spans="1:4" x14ac:dyDescent="0.35">
      <c r="A770" t="s">
        <v>658</v>
      </c>
      <c r="B770" s="28">
        <v>44440</v>
      </c>
      <c r="C770" t="s">
        <v>579</v>
      </c>
      <c r="D770">
        <v>1286</v>
      </c>
    </row>
    <row r="771" spans="1:4" x14ac:dyDescent="0.35">
      <c r="A771" t="s">
        <v>659</v>
      </c>
      <c r="B771" s="28">
        <v>44441</v>
      </c>
      <c r="C771" t="s">
        <v>441</v>
      </c>
      <c r="D771">
        <v>1728</v>
      </c>
    </row>
    <row r="772" spans="1:4" x14ac:dyDescent="0.35">
      <c r="A772" t="s">
        <v>659</v>
      </c>
      <c r="B772" s="28">
        <v>44441</v>
      </c>
      <c r="C772" t="s">
        <v>506</v>
      </c>
      <c r="D772">
        <v>4921</v>
      </c>
    </row>
    <row r="773" spans="1:4" x14ac:dyDescent="0.35">
      <c r="A773" t="s">
        <v>660</v>
      </c>
      <c r="B773" s="28">
        <v>44443</v>
      </c>
      <c r="C773" t="s">
        <v>443</v>
      </c>
      <c r="D773">
        <v>1824</v>
      </c>
    </row>
    <row r="774" spans="1:4" x14ac:dyDescent="0.35">
      <c r="A774" t="s">
        <v>660</v>
      </c>
      <c r="B774" s="28">
        <v>44443</v>
      </c>
      <c r="C774" t="s">
        <v>451</v>
      </c>
      <c r="D774">
        <v>816</v>
      </c>
    </row>
    <row r="775" spans="1:4" x14ac:dyDescent="0.35">
      <c r="A775" t="s">
        <v>660</v>
      </c>
      <c r="B775" s="28">
        <v>44443</v>
      </c>
      <c r="C775" t="s">
        <v>472</v>
      </c>
      <c r="D775">
        <v>1891</v>
      </c>
    </row>
    <row r="776" spans="1:4" x14ac:dyDescent="0.35">
      <c r="A776" t="s">
        <v>660</v>
      </c>
      <c r="B776" s="28">
        <v>44443</v>
      </c>
      <c r="C776" t="s">
        <v>566</v>
      </c>
      <c r="D776">
        <v>122</v>
      </c>
    </row>
    <row r="777" spans="1:4" x14ac:dyDescent="0.35">
      <c r="A777" t="s">
        <v>660</v>
      </c>
      <c r="B777" s="28">
        <v>44443</v>
      </c>
      <c r="C777" t="s">
        <v>566</v>
      </c>
      <c r="D777">
        <v>28</v>
      </c>
    </row>
    <row r="778" spans="1:4" x14ac:dyDescent="0.35">
      <c r="A778" t="s">
        <v>660</v>
      </c>
      <c r="B778" s="28">
        <v>44443</v>
      </c>
      <c r="C778" t="s">
        <v>590</v>
      </c>
      <c r="D778">
        <v>50</v>
      </c>
    </row>
    <row r="779" spans="1:4" x14ac:dyDescent="0.35">
      <c r="A779" t="s">
        <v>660</v>
      </c>
      <c r="B779" s="28">
        <v>44443</v>
      </c>
      <c r="C779" t="s">
        <v>590</v>
      </c>
      <c r="D779">
        <v>56</v>
      </c>
    </row>
    <row r="780" spans="1:4" x14ac:dyDescent="0.35">
      <c r="A780" t="s">
        <v>660</v>
      </c>
      <c r="B780" s="28">
        <v>44443</v>
      </c>
      <c r="C780" t="s">
        <v>661</v>
      </c>
      <c r="D780">
        <v>1130</v>
      </c>
    </row>
    <row r="781" spans="1:4" x14ac:dyDescent="0.35">
      <c r="A781" t="s">
        <v>660</v>
      </c>
      <c r="B781" s="28">
        <v>44443</v>
      </c>
      <c r="C781" t="s">
        <v>451</v>
      </c>
      <c r="D781">
        <v>428</v>
      </c>
    </row>
    <row r="782" spans="1:4" x14ac:dyDescent="0.35">
      <c r="A782" t="s">
        <v>660</v>
      </c>
      <c r="B782" s="28">
        <v>44443</v>
      </c>
      <c r="C782" t="s">
        <v>441</v>
      </c>
      <c r="D782">
        <v>1880</v>
      </c>
    </row>
    <row r="783" spans="1:4" x14ac:dyDescent="0.35">
      <c r="A783" t="s">
        <v>660</v>
      </c>
      <c r="B783" s="28">
        <v>44443</v>
      </c>
      <c r="C783" t="s">
        <v>530</v>
      </c>
      <c r="D783">
        <v>2250</v>
      </c>
    </row>
    <row r="784" spans="1:4" x14ac:dyDescent="0.35">
      <c r="A784" t="s">
        <v>662</v>
      </c>
      <c r="B784" s="28">
        <v>44444</v>
      </c>
      <c r="C784" t="s">
        <v>554</v>
      </c>
      <c r="D784">
        <v>2098</v>
      </c>
    </row>
    <row r="785" spans="1:4" x14ac:dyDescent="0.35">
      <c r="A785" t="s">
        <v>662</v>
      </c>
      <c r="B785" s="28">
        <v>44444</v>
      </c>
      <c r="C785" t="s">
        <v>554</v>
      </c>
      <c r="D785">
        <v>670</v>
      </c>
    </row>
    <row r="786" spans="1:4" x14ac:dyDescent="0.35">
      <c r="A786" t="s">
        <v>662</v>
      </c>
      <c r="B786" s="28">
        <v>44444</v>
      </c>
      <c r="C786" t="s">
        <v>554</v>
      </c>
      <c r="D786">
        <v>633</v>
      </c>
    </row>
    <row r="787" spans="1:4" x14ac:dyDescent="0.35">
      <c r="A787" t="s">
        <v>662</v>
      </c>
      <c r="B787" s="28">
        <v>44444</v>
      </c>
      <c r="C787" t="s">
        <v>526</v>
      </c>
      <c r="D787">
        <v>13620</v>
      </c>
    </row>
    <row r="788" spans="1:4" x14ac:dyDescent="0.35">
      <c r="A788" t="s">
        <v>662</v>
      </c>
      <c r="B788" s="28">
        <v>44444</v>
      </c>
      <c r="C788" t="s">
        <v>449</v>
      </c>
      <c r="D788">
        <v>2814</v>
      </c>
    </row>
    <row r="789" spans="1:4" x14ac:dyDescent="0.35">
      <c r="A789" t="s">
        <v>662</v>
      </c>
      <c r="B789" s="28">
        <v>44444</v>
      </c>
      <c r="C789" t="s">
        <v>441</v>
      </c>
      <c r="D789">
        <v>1859</v>
      </c>
    </row>
    <row r="790" spans="1:4" x14ac:dyDescent="0.35">
      <c r="A790" t="s">
        <v>687</v>
      </c>
      <c r="B790" s="28">
        <v>44445</v>
      </c>
      <c r="C790" t="s">
        <v>478</v>
      </c>
      <c r="D790">
        <v>101</v>
      </c>
    </row>
    <row r="791" spans="1:4" x14ac:dyDescent="0.35">
      <c r="A791" t="s">
        <v>687</v>
      </c>
      <c r="B791" s="28">
        <v>44445</v>
      </c>
      <c r="C791" t="s">
        <v>444</v>
      </c>
      <c r="D791">
        <v>1314</v>
      </c>
    </row>
    <row r="792" spans="1:4" x14ac:dyDescent="0.35">
      <c r="A792" t="s">
        <v>687</v>
      </c>
      <c r="B792" s="28">
        <v>44445</v>
      </c>
      <c r="C792" t="s">
        <v>444</v>
      </c>
      <c r="D792">
        <v>100</v>
      </c>
    </row>
    <row r="793" spans="1:4" x14ac:dyDescent="0.35">
      <c r="A793" t="s">
        <v>687</v>
      </c>
      <c r="B793" s="28">
        <v>44445</v>
      </c>
      <c r="C793" t="s">
        <v>444</v>
      </c>
      <c r="D793">
        <v>98</v>
      </c>
    </row>
    <row r="794" spans="1:4" x14ac:dyDescent="0.35">
      <c r="A794" t="s">
        <v>687</v>
      </c>
      <c r="B794" s="28">
        <v>44445</v>
      </c>
      <c r="C794" t="s">
        <v>502</v>
      </c>
      <c r="D794">
        <v>1383</v>
      </c>
    </row>
    <row r="795" spans="1:4" x14ac:dyDescent="0.35">
      <c r="A795" t="s">
        <v>687</v>
      </c>
      <c r="B795" s="28">
        <v>44445</v>
      </c>
      <c r="C795" t="s">
        <v>502</v>
      </c>
      <c r="D795">
        <v>326</v>
      </c>
    </row>
    <row r="796" spans="1:4" x14ac:dyDescent="0.35">
      <c r="A796" t="s">
        <v>687</v>
      </c>
      <c r="B796" s="28">
        <v>44445</v>
      </c>
      <c r="C796" t="s">
        <v>499</v>
      </c>
      <c r="D796">
        <v>4140</v>
      </c>
    </row>
    <row r="797" spans="1:4" x14ac:dyDescent="0.35">
      <c r="A797" t="s">
        <v>687</v>
      </c>
      <c r="B797" s="28">
        <v>44445</v>
      </c>
      <c r="C797" t="s">
        <v>443</v>
      </c>
      <c r="D797">
        <v>2630</v>
      </c>
    </row>
    <row r="798" spans="1:4" x14ac:dyDescent="0.35">
      <c r="A798" t="s">
        <v>687</v>
      </c>
      <c r="B798" s="28">
        <v>44445</v>
      </c>
      <c r="C798" t="s">
        <v>581</v>
      </c>
      <c r="D798">
        <v>210</v>
      </c>
    </row>
    <row r="799" spans="1:4" x14ac:dyDescent="0.35">
      <c r="A799" t="s">
        <v>687</v>
      </c>
      <c r="B799" s="28">
        <v>44445</v>
      </c>
      <c r="C799" t="s">
        <v>443</v>
      </c>
      <c r="D799">
        <v>2089</v>
      </c>
    </row>
    <row r="800" spans="1:4" x14ac:dyDescent="0.35">
      <c r="A800" t="s">
        <v>687</v>
      </c>
      <c r="B800" s="28">
        <v>44445</v>
      </c>
      <c r="C800" t="s">
        <v>505</v>
      </c>
      <c r="D800">
        <v>4916</v>
      </c>
    </row>
    <row r="801" spans="1:4" x14ac:dyDescent="0.35">
      <c r="A801" t="s">
        <v>688</v>
      </c>
      <c r="B801" s="28">
        <v>44446</v>
      </c>
      <c r="C801" t="s">
        <v>449</v>
      </c>
      <c r="D801">
        <v>916</v>
      </c>
    </row>
    <row r="802" spans="1:4" x14ac:dyDescent="0.35">
      <c r="A802" t="s">
        <v>687</v>
      </c>
      <c r="B802" s="28">
        <v>44445</v>
      </c>
      <c r="C802" t="s">
        <v>689</v>
      </c>
      <c r="D802">
        <v>1036</v>
      </c>
    </row>
    <row r="803" spans="1:4" x14ac:dyDescent="0.35">
      <c r="A803" t="s">
        <v>688</v>
      </c>
      <c r="B803" s="28">
        <v>44446</v>
      </c>
      <c r="C803" t="s">
        <v>441</v>
      </c>
      <c r="D803">
        <v>1990</v>
      </c>
    </row>
    <row r="804" spans="1:4" x14ac:dyDescent="0.35">
      <c r="A804" t="s">
        <v>688</v>
      </c>
      <c r="B804" s="28">
        <v>44446</v>
      </c>
      <c r="C804" t="s">
        <v>530</v>
      </c>
      <c r="D804">
        <v>1735</v>
      </c>
    </row>
    <row r="805" spans="1:4" x14ac:dyDescent="0.35">
      <c r="A805" t="s">
        <v>688</v>
      </c>
      <c r="B805" s="28">
        <v>44446</v>
      </c>
      <c r="C805" t="s">
        <v>443</v>
      </c>
      <c r="D805">
        <v>2841</v>
      </c>
    </row>
    <row r="806" spans="1:4" x14ac:dyDescent="0.35">
      <c r="A806" t="s">
        <v>688</v>
      </c>
      <c r="B806" s="28">
        <v>44446</v>
      </c>
      <c r="C806" t="s">
        <v>506</v>
      </c>
      <c r="D806">
        <v>4912</v>
      </c>
    </row>
    <row r="807" spans="1:4" x14ac:dyDescent="0.35">
      <c r="A807" t="s">
        <v>688</v>
      </c>
      <c r="B807" s="28">
        <v>44446</v>
      </c>
      <c r="C807" t="s">
        <v>505</v>
      </c>
      <c r="D807">
        <v>4394</v>
      </c>
    </row>
    <row r="808" spans="1:4" x14ac:dyDescent="0.35">
      <c r="A808" t="s">
        <v>690</v>
      </c>
      <c r="B808" s="28">
        <v>44447</v>
      </c>
      <c r="C808" t="s">
        <v>443</v>
      </c>
      <c r="D808">
        <v>7000</v>
      </c>
    </row>
    <row r="809" spans="1:4" x14ac:dyDescent="0.35">
      <c r="A809" t="s">
        <v>690</v>
      </c>
      <c r="B809" s="28">
        <v>44447</v>
      </c>
      <c r="C809" t="s">
        <v>495</v>
      </c>
      <c r="D809">
        <v>1199</v>
      </c>
    </row>
    <row r="810" spans="1:4" x14ac:dyDescent="0.35">
      <c r="A810" t="s">
        <v>690</v>
      </c>
      <c r="B810" s="28">
        <v>44447</v>
      </c>
      <c r="C810" t="s">
        <v>506</v>
      </c>
      <c r="D810">
        <v>4920</v>
      </c>
    </row>
    <row r="811" spans="1:4" x14ac:dyDescent="0.35">
      <c r="A811" t="s">
        <v>691</v>
      </c>
      <c r="B811" s="28">
        <v>44448</v>
      </c>
      <c r="C811" t="s">
        <v>550</v>
      </c>
      <c r="D811">
        <v>1218</v>
      </c>
    </row>
    <row r="812" spans="1:4" x14ac:dyDescent="0.35">
      <c r="A812" t="s">
        <v>691</v>
      </c>
      <c r="B812" s="28">
        <v>44448</v>
      </c>
      <c r="C812" t="s">
        <v>550</v>
      </c>
      <c r="D812">
        <v>298</v>
      </c>
    </row>
    <row r="813" spans="1:4" x14ac:dyDescent="0.35">
      <c r="A813" t="s">
        <v>691</v>
      </c>
      <c r="B813" s="28">
        <v>44448</v>
      </c>
      <c r="C813" t="s">
        <v>579</v>
      </c>
      <c r="D813">
        <v>2761</v>
      </c>
    </row>
    <row r="814" spans="1:4" x14ac:dyDescent="0.35">
      <c r="A814" t="s">
        <v>691</v>
      </c>
      <c r="B814" s="28">
        <v>44448</v>
      </c>
      <c r="C814" t="s">
        <v>441</v>
      </c>
      <c r="D814">
        <v>2021</v>
      </c>
    </row>
    <row r="815" spans="1:4" x14ac:dyDescent="0.35">
      <c r="A815" t="s">
        <v>691</v>
      </c>
      <c r="B815" s="28">
        <v>44448</v>
      </c>
      <c r="C815" t="s">
        <v>511</v>
      </c>
      <c r="D815">
        <v>2618</v>
      </c>
    </row>
    <row r="816" spans="1:4" x14ac:dyDescent="0.35">
      <c r="A816" t="s">
        <v>692</v>
      </c>
      <c r="B816" s="28">
        <v>44450</v>
      </c>
      <c r="C816" t="s">
        <v>461</v>
      </c>
      <c r="D816">
        <v>440</v>
      </c>
    </row>
    <row r="817" spans="1:4" x14ac:dyDescent="0.35">
      <c r="A817" t="s">
        <v>692</v>
      </c>
      <c r="B817" s="28">
        <v>44450</v>
      </c>
      <c r="C817" t="s">
        <v>461</v>
      </c>
      <c r="D817">
        <v>74</v>
      </c>
    </row>
    <row r="818" spans="1:4" x14ac:dyDescent="0.35">
      <c r="A818" t="s">
        <v>692</v>
      </c>
      <c r="B818" s="28">
        <v>44450</v>
      </c>
      <c r="C818" t="s">
        <v>530</v>
      </c>
      <c r="D818">
        <v>2276</v>
      </c>
    </row>
    <row r="819" spans="1:4" x14ac:dyDescent="0.35">
      <c r="A819" t="s">
        <v>692</v>
      </c>
      <c r="B819" s="28">
        <v>44450</v>
      </c>
      <c r="C819" t="s">
        <v>530</v>
      </c>
      <c r="D819">
        <v>2022</v>
      </c>
    </row>
    <row r="820" spans="1:4" x14ac:dyDescent="0.35">
      <c r="A820" t="s">
        <v>697</v>
      </c>
      <c r="B820" s="28">
        <v>44451</v>
      </c>
      <c r="C820" t="s">
        <v>441</v>
      </c>
      <c r="D820">
        <v>1785</v>
      </c>
    </row>
    <row r="821" spans="1:4" x14ac:dyDescent="0.35">
      <c r="A821" t="s">
        <v>697</v>
      </c>
      <c r="B821" s="28">
        <v>44451</v>
      </c>
      <c r="C821" t="s">
        <v>505</v>
      </c>
      <c r="D821">
        <v>7013</v>
      </c>
    </row>
    <row r="822" spans="1:4" x14ac:dyDescent="0.35">
      <c r="A822" t="s">
        <v>698</v>
      </c>
      <c r="B822" s="28">
        <v>44452</v>
      </c>
      <c r="C822" t="s">
        <v>485</v>
      </c>
      <c r="D822">
        <v>1062</v>
      </c>
    </row>
    <row r="823" spans="1:4" x14ac:dyDescent="0.35">
      <c r="A823" t="s">
        <v>698</v>
      </c>
      <c r="B823" s="28">
        <v>44452</v>
      </c>
      <c r="C823" t="s">
        <v>483</v>
      </c>
      <c r="D823">
        <v>4195</v>
      </c>
    </row>
    <row r="824" spans="1:4" x14ac:dyDescent="0.35">
      <c r="A824" t="s">
        <v>698</v>
      </c>
      <c r="B824" s="28">
        <v>44452</v>
      </c>
      <c r="C824" t="s">
        <v>441</v>
      </c>
      <c r="D824">
        <v>2232</v>
      </c>
    </row>
    <row r="825" spans="1:4" x14ac:dyDescent="0.35">
      <c r="A825" t="s">
        <v>698</v>
      </c>
      <c r="B825" s="28">
        <v>44452</v>
      </c>
      <c r="C825" t="s">
        <v>552</v>
      </c>
      <c r="D825">
        <v>462</v>
      </c>
    </row>
    <row r="826" spans="1:4" x14ac:dyDescent="0.35">
      <c r="A826" t="s">
        <v>699</v>
      </c>
      <c r="B826" s="28">
        <v>44453</v>
      </c>
      <c r="C826" t="s">
        <v>590</v>
      </c>
      <c r="D826">
        <v>2200</v>
      </c>
    </row>
    <row r="827" spans="1:4" x14ac:dyDescent="0.35">
      <c r="A827" t="s">
        <v>699</v>
      </c>
      <c r="B827" s="28">
        <v>44453</v>
      </c>
      <c r="C827" t="s">
        <v>441</v>
      </c>
      <c r="D827">
        <v>1968</v>
      </c>
    </row>
    <row r="828" spans="1:4" x14ac:dyDescent="0.35">
      <c r="A828" t="s">
        <v>699</v>
      </c>
      <c r="B828" s="28">
        <v>44453</v>
      </c>
      <c r="C828" t="s">
        <v>441</v>
      </c>
      <c r="D828">
        <v>913</v>
      </c>
    </row>
    <row r="829" spans="1:4" x14ac:dyDescent="0.35">
      <c r="A829" t="s">
        <v>699</v>
      </c>
      <c r="B829" s="28">
        <v>44453</v>
      </c>
      <c r="C829" t="s">
        <v>590</v>
      </c>
      <c r="D829">
        <v>94</v>
      </c>
    </row>
    <row r="830" spans="1:4" x14ac:dyDescent="0.35">
      <c r="A830" t="s">
        <v>699</v>
      </c>
      <c r="B830" s="28">
        <v>44453</v>
      </c>
      <c r="C830" t="s">
        <v>590</v>
      </c>
      <c r="D830">
        <v>11</v>
      </c>
    </row>
    <row r="831" spans="1:4" x14ac:dyDescent="0.35">
      <c r="A831" t="s">
        <v>699</v>
      </c>
      <c r="B831" s="28">
        <v>44453</v>
      </c>
      <c r="C831" t="s">
        <v>530</v>
      </c>
      <c r="D831">
        <v>4502</v>
      </c>
    </row>
    <row r="832" spans="1:4" x14ac:dyDescent="0.35">
      <c r="A832" t="s">
        <v>699</v>
      </c>
      <c r="B832" s="28">
        <v>44453</v>
      </c>
      <c r="C832" t="s">
        <v>446</v>
      </c>
      <c r="D832">
        <v>783</v>
      </c>
    </row>
    <row r="833" spans="1:4" x14ac:dyDescent="0.35">
      <c r="A833" t="s">
        <v>699</v>
      </c>
      <c r="B833" s="28">
        <v>44453</v>
      </c>
      <c r="C833" t="s">
        <v>446</v>
      </c>
      <c r="D833">
        <v>367</v>
      </c>
    </row>
    <row r="834" spans="1:4" x14ac:dyDescent="0.35">
      <c r="A834" t="s">
        <v>699</v>
      </c>
      <c r="B834" s="28">
        <v>44453</v>
      </c>
      <c r="C834" t="s">
        <v>446</v>
      </c>
      <c r="D834">
        <v>154</v>
      </c>
    </row>
    <row r="835" spans="1:4" x14ac:dyDescent="0.35">
      <c r="A835" t="s">
        <v>700</v>
      </c>
      <c r="B835" s="28">
        <v>44454</v>
      </c>
      <c r="C835" t="s">
        <v>449</v>
      </c>
      <c r="D835">
        <v>2855</v>
      </c>
    </row>
    <row r="836" spans="1:4" x14ac:dyDescent="0.35">
      <c r="A836" t="s">
        <v>700</v>
      </c>
      <c r="B836" s="28">
        <v>44454</v>
      </c>
      <c r="C836" t="s">
        <v>552</v>
      </c>
      <c r="D836">
        <v>1105</v>
      </c>
    </row>
    <row r="837" spans="1:4" x14ac:dyDescent="0.35">
      <c r="A837" t="s">
        <v>700</v>
      </c>
      <c r="B837" s="28">
        <v>44454</v>
      </c>
      <c r="C837" t="s">
        <v>577</v>
      </c>
      <c r="D837">
        <v>65</v>
      </c>
    </row>
    <row r="838" spans="1:4" x14ac:dyDescent="0.35">
      <c r="A838" t="s">
        <v>700</v>
      </c>
      <c r="B838" s="28">
        <v>44454</v>
      </c>
      <c r="C838" t="s">
        <v>577</v>
      </c>
      <c r="D838">
        <v>151</v>
      </c>
    </row>
    <row r="839" spans="1:4" x14ac:dyDescent="0.35">
      <c r="A839" t="s">
        <v>700</v>
      </c>
      <c r="B839" s="28">
        <v>44454</v>
      </c>
      <c r="C839" t="s">
        <v>530</v>
      </c>
      <c r="D839">
        <v>1384</v>
      </c>
    </row>
    <row r="840" spans="1:4" x14ac:dyDescent="0.35">
      <c r="A840" t="s">
        <v>700</v>
      </c>
      <c r="B840" s="28">
        <v>44454</v>
      </c>
      <c r="C840" t="s">
        <v>506</v>
      </c>
      <c r="D840">
        <v>2818</v>
      </c>
    </row>
    <row r="841" spans="1:4" x14ac:dyDescent="0.35">
      <c r="A841" t="s">
        <v>701</v>
      </c>
      <c r="B841" s="28">
        <v>44455</v>
      </c>
      <c r="C841" t="s">
        <v>470</v>
      </c>
      <c r="D841">
        <v>2413</v>
      </c>
    </row>
    <row r="842" spans="1:4" x14ac:dyDescent="0.35">
      <c r="A842" t="s">
        <v>701</v>
      </c>
      <c r="B842" s="28">
        <v>44455</v>
      </c>
      <c r="C842" t="s">
        <v>507</v>
      </c>
      <c r="D842">
        <v>1542</v>
      </c>
    </row>
    <row r="843" spans="1:4" x14ac:dyDescent="0.35">
      <c r="A843" t="s">
        <v>701</v>
      </c>
      <c r="B843" s="28">
        <v>44455</v>
      </c>
      <c r="C843" t="s">
        <v>501</v>
      </c>
      <c r="D843">
        <v>5232</v>
      </c>
    </row>
    <row r="844" spans="1:4" x14ac:dyDescent="0.35">
      <c r="A844" t="s">
        <v>702</v>
      </c>
      <c r="B844" s="28">
        <v>44457</v>
      </c>
      <c r="C844" t="s">
        <v>443</v>
      </c>
      <c r="D844">
        <v>19800</v>
      </c>
    </row>
    <row r="845" spans="1:4" x14ac:dyDescent="0.35">
      <c r="A845" t="s">
        <v>702</v>
      </c>
      <c r="B845" s="28">
        <v>44457</v>
      </c>
      <c r="C845" t="s">
        <v>492</v>
      </c>
      <c r="D845">
        <v>2092</v>
      </c>
    </row>
    <row r="846" spans="1:4" x14ac:dyDescent="0.35">
      <c r="A846" t="s">
        <v>702</v>
      </c>
      <c r="B846" s="28">
        <v>44457</v>
      </c>
      <c r="C846" t="s">
        <v>478</v>
      </c>
      <c r="D846">
        <v>53</v>
      </c>
    </row>
    <row r="847" spans="1:4" x14ac:dyDescent="0.35">
      <c r="A847" t="s">
        <v>702</v>
      </c>
      <c r="B847" s="28">
        <v>44457</v>
      </c>
      <c r="C847" t="s">
        <v>478</v>
      </c>
      <c r="D847">
        <v>110</v>
      </c>
    </row>
    <row r="848" spans="1:4" x14ac:dyDescent="0.35">
      <c r="A848" t="s">
        <v>703</v>
      </c>
      <c r="B848" s="28">
        <v>44458</v>
      </c>
      <c r="C848" t="s">
        <v>451</v>
      </c>
      <c r="D848">
        <v>601</v>
      </c>
    </row>
    <row r="849" spans="1:4" x14ac:dyDescent="0.35">
      <c r="A849" t="s">
        <v>703</v>
      </c>
      <c r="B849" s="28">
        <v>44458</v>
      </c>
      <c r="C849" t="s">
        <v>590</v>
      </c>
      <c r="D849">
        <v>47</v>
      </c>
    </row>
    <row r="850" spans="1:4" x14ac:dyDescent="0.35">
      <c r="A850" t="s">
        <v>703</v>
      </c>
      <c r="B850" s="28">
        <v>44458</v>
      </c>
      <c r="C850" t="s">
        <v>590</v>
      </c>
      <c r="D850">
        <v>5</v>
      </c>
    </row>
    <row r="851" spans="1:4" x14ac:dyDescent="0.35">
      <c r="A851" t="s">
        <v>703</v>
      </c>
      <c r="B851" s="28">
        <v>44458</v>
      </c>
      <c r="C851" t="s">
        <v>461</v>
      </c>
      <c r="D851">
        <v>272</v>
      </c>
    </row>
    <row r="852" spans="1:4" x14ac:dyDescent="0.35">
      <c r="A852" t="s">
        <v>703</v>
      </c>
      <c r="B852" s="28">
        <v>44458</v>
      </c>
      <c r="C852" t="s">
        <v>451</v>
      </c>
      <c r="D852">
        <v>701</v>
      </c>
    </row>
    <row r="853" spans="1:4" x14ac:dyDescent="0.35">
      <c r="A853" t="s">
        <v>703</v>
      </c>
      <c r="B853" s="28">
        <v>44458</v>
      </c>
      <c r="C853" t="s">
        <v>474</v>
      </c>
      <c r="D853">
        <v>500</v>
      </c>
    </row>
    <row r="854" spans="1:4" x14ac:dyDescent="0.35">
      <c r="A854" t="s">
        <v>703</v>
      </c>
      <c r="B854" s="28">
        <v>44458</v>
      </c>
      <c r="C854" t="s">
        <v>704</v>
      </c>
      <c r="D854">
        <v>657</v>
      </c>
    </row>
    <row r="855" spans="1:4" x14ac:dyDescent="0.35">
      <c r="A855" t="s">
        <v>703</v>
      </c>
      <c r="B855" s="28">
        <v>44458</v>
      </c>
      <c r="C855" t="s">
        <v>461</v>
      </c>
      <c r="D855">
        <v>240</v>
      </c>
    </row>
    <row r="856" spans="1:4" x14ac:dyDescent="0.35">
      <c r="A856" t="s">
        <v>703</v>
      </c>
      <c r="B856" s="28">
        <v>44458</v>
      </c>
      <c r="C856" t="s">
        <v>449</v>
      </c>
      <c r="D856">
        <v>12616</v>
      </c>
    </row>
    <row r="857" spans="1:4" x14ac:dyDescent="0.35">
      <c r="A857" t="s">
        <v>703</v>
      </c>
      <c r="B857" s="28">
        <v>44458</v>
      </c>
      <c r="C857" t="s">
        <v>505</v>
      </c>
      <c r="D857">
        <v>5062</v>
      </c>
    </row>
    <row r="858" spans="1:4" x14ac:dyDescent="0.35">
      <c r="A858" t="s">
        <v>705</v>
      </c>
      <c r="B858" s="28">
        <v>44459</v>
      </c>
      <c r="C858" t="s">
        <v>443</v>
      </c>
      <c r="D858">
        <v>2704</v>
      </c>
    </row>
    <row r="859" spans="1:4" x14ac:dyDescent="0.35">
      <c r="A859" t="s">
        <v>702</v>
      </c>
      <c r="B859" s="28">
        <v>44457</v>
      </c>
      <c r="C859" t="s">
        <v>507</v>
      </c>
      <c r="D859">
        <v>9925</v>
      </c>
    </row>
    <row r="860" spans="1:4" x14ac:dyDescent="0.35">
      <c r="A860" t="s">
        <v>702</v>
      </c>
      <c r="B860" s="28">
        <v>44457</v>
      </c>
      <c r="C860" t="s">
        <v>507</v>
      </c>
      <c r="D860">
        <v>10353</v>
      </c>
    </row>
    <row r="861" spans="1:4" x14ac:dyDescent="0.35">
      <c r="A861" t="s">
        <v>705</v>
      </c>
      <c r="B861" s="28">
        <v>44459</v>
      </c>
      <c r="C861" t="s">
        <v>590</v>
      </c>
      <c r="D861">
        <v>1059</v>
      </c>
    </row>
    <row r="862" spans="1:4" x14ac:dyDescent="0.35">
      <c r="A862" t="s">
        <v>705</v>
      </c>
      <c r="B862" s="28">
        <v>44459</v>
      </c>
      <c r="C862" t="s">
        <v>530</v>
      </c>
      <c r="D862">
        <v>3882</v>
      </c>
    </row>
    <row r="863" spans="1:4" x14ac:dyDescent="0.35">
      <c r="A863" t="s">
        <v>705</v>
      </c>
      <c r="B863" s="28">
        <v>44459</v>
      </c>
      <c r="C863" t="s">
        <v>570</v>
      </c>
      <c r="D863">
        <v>112</v>
      </c>
    </row>
    <row r="864" spans="1:4" x14ac:dyDescent="0.35">
      <c r="A864" t="s">
        <v>706</v>
      </c>
      <c r="B864" s="28">
        <v>44460</v>
      </c>
      <c r="C864" t="s">
        <v>449</v>
      </c>
      <c r="D864">
        <v>2932</v>
      </c>
    </row>
    <row r="865" spans="1:4" x14ac:dyDescent="0.35">
      <c r="A865" t="s">
        <v>706</v>
      </c>
      <c r="B865" s="28">
        <v>44460</v>
      </c>
      <c r="C865" t="s">
        <v>441</v>
      </c>
      <c r="D865">
        <v>2046</v>
      </c>
    </row>
    <row r="866" spans="1:4" x14ac:dyDescent="0.35">
      <c r="A866" t="s">
        <v>706</v>
      </c>
      <c r="B866" s="28">
        <v>44460</v>
      </c>
      <c r="C866" t="s">
        <v>499</v>
      </c>
      <c r="D866">
        <v>2676</v>
      </c>
    </row>
    <row r="867" spans="1:4" x14ac:dyDescent="0.35">
      <c r="A867" t="s">
        <v>706</v>
      </c>
      <c r="B867" s="28">
        <v>44460</v>
      </c>
      <c r="C867" t="s">
        <v>481</v>
      </c>
      <c r="D867">
        <v>1614</v>
      </c>
    </row>
    <row r="868" spans="1:4" x14ac:dyDescent="0.35">
      <c r="A868" t="s">
        <v>706</v>
      </c>
      <c r="B868" s="28">
        <v>44460</v>
      </c>
      <c r="C868" t="s">
        <v>481</v>
      </c>
      <c r="D868">
        <v>792</v>
      </c>
    </row>
    <row r="869" spans="1:4" x14ac:dyDescent="0.35">
      <c r="A869" t="s">
        <v>706</v>
      </c>
      <c r="B869" s="28">
        <v>44460</v>
      </c>
      <c r="C869" t="s">
        <v>530</v>
      </c>
      <c r="D869">
        <v>1758</v>
      </c>
    </row>
    <row r="870" spans="1:4" x14ac:dyDescent="0.35">
      <c r="A870" t="s">
        <v>706</v>
      </c>
      <c r="B870" s="28">
        <v>44460</v>
      </c>
      <c r="C870" t="s">
        <v>530</v>
      </c>
      <c r="D870">
        <v>682</v>
      </c>
    </row>
    <row r="871" spans="1:4" x14ac:dyDescent="0.35">
      <c r="A871" t="s">
        <v>706</v>
      </c>
      <c r="B871" s="28">
        <v>44460</v>
      </c>
      <c r="C871" t="s">
        <v>537</v>
      </c>
      <c r="D871">
        <v>1988</v>
      </c>
    </row>
    <row r="872" spans="1:4" x14ac:dyDescent="0.35">
      <c r="A872" t="s">
        <v>706</v>
      </c>
      <c r="B872" s="28">
        <v>44460</v>
      </c>
      <c r="C872" t="s">
        <v>537</v>
      </c>
      <c r="D872">
        <v>132</v>
      </c>
    </row>
    <row r="873" spans="1:4" x14ac:dyDescent="0.35">
      <c r="A873" t="s">
        <v>707</v>
      </c>
      <c r="B873" s="28">
        <v>44461</v>
      </c>
      <c r="C873" t="s">
        <v>441</v>
      </c>
      <c r="D873">
        <v>1876</v>
      </c>
    </row>
    <row r="874" spans="1:4" x14ac:dyDescent="0.35">
      <c r="A874" t="s">
        <v>707</v>
      </c>
      <c r="B874" s="28">
        <v>44461</v>
      </c>
      <c r="C874" t="s">
        <v>566</v>
      </c>
      <c r="D874">
        <v>147</v>
      </c>
    </row>
    <row r="875" spans="1:4" x14ac:dyDescent="0.35">
      <c r="A875" t="s">
        <v>707</v>
      </c>
      <c r="B875" s="28">
        <v>44461</v>
      </c>
      <c r="C875" t="s">
        <v>530</v>
      </c>
      <c r="D875">
        <v>3326</v>
      </c>
    </row>
    <row r="876" spans="1:4" x14ac:dyDescent="0.35">
      <c r="A876" t="s">
        <v>707</v>
      </c>
      <c r="B876" s="28">
        <v>44461</v>
      </c>
      <c r="C876" t="s">
        <v>530</v>
      </c>
      <c r="D876">
        <v>360</v>
      </c>
    </row>
    <row r="877" spans="1:4" x14ac:dyDescent="0.35">
      <c r="A877" t="s">
        <v>707</v>
      </c>
      <c r="B877" s="28">
        <v>44461</v>
      </c>
      <c r="C877" t="s">
        <v>443</v>
      </c>
      <c r="D877">
        <v>2187</v>
      </c>
    </row>
    <row r="878" spans="1:4" x14ac:dyDescent="0.35">
      <c r="A878" t="s">
        <v>707</v>
      </c>
      <c r="B878" s="28">
        <v>44461</v>
      </c>
      <c r="C878" t="s">
        <v>505</v>
      </c>
      <c r="D878">
        <v>5552</v>
      </c>
    </row>
    <row r="879" spans="1:4" x14ac:dyDescent="0.35">
      <c r="A879" t="s">
        <v>707</v>
      </c>
      <c r="B879" s="28">
        <v>44461</v>
      </c>
      <c r="C879" t="s">
        <v>530</v>
      </c>
      <c r="D879">
        <v>4048</v>
      </c>
    </row>
    <row r="880" spans="1:4" x14ac:dyDescent="0.35">
      <c r="A880" t="s">
        <v>707</v>
      </c>
      <c r="B880" s="28">
        <v>44461</v>
      </c>
      <c r="C880" t="s">
        <v>495</v>
      </c>
      <c r="D880">
        <v>211</v>
      </c>
    </row>
    <row r="881" spans="1:4" x14ac:dyDescent="0.35">
      <c r="A881" t="s">
        <v>708</v>
      </c>
      <c r="B881" s="28">
        <v>44462</v>
      </c>
      <c r="C881" t="s">
        <v>497</v>
      </c>
      <c r="D881">
        <v>1886</v>
      </c>
    </row>
    <row r="882" spans="1:4" x14ac:dyDescent="0.35">
      <c r="A882" t="s">
        <v>708</v>
      </c>
      <c r="B882" s="28">
        <v>44462</v>
      </c>
      <c r="C882" t="s">
        <v>497</v>
      </c>
      <c r="D882">
        <v>292</v>
      </c>
    </row>
    <row r="883" spans="1:4" x14ac:dyDescent="0.35">
      <c r="A883" t="s">
        <v>708</v>
      </c>
      <c r="B883" s="28">
        <v>44462</v>
      </c>
      <c r="C883" t="s">
        <v>554</v>
      </c>
      <c r="D883">
        <v>290</v>
      </c>
    </row>
    <row r="884" spans="1:4" x14ac:dyDescent="0.35">
      <c r="A884" t="s">
        <v>709</v>
      </c>
      <c r="B884" s="28">
        <v>44464</v>
      </c>
      <c r="C884" t="s">
        <v>492</v>
      </c>
      <c r="D884">
        <v>1878</v>
      </c>
    </row>
    <row r="885" spans="1:4" x14ac:dyDescent="0.35">
      <c r="A885" t="s">
        <v>709</v>
      </c>
      <c r="B885" s="28">
        <v>44464</v>
      </c>
      <c r="C885" t="s">
        <v>443</v>
      </c>
      <c r="D885">
        <v>2204</v>
      </c>
    </row>
    <row r="886" spans="1:4" x14ac:dyDescent="0.35">
      <c r="A886" t="s">
        <v>709</v>
      </c>
      <c r="B886" s="28">
        <v>44464</v>
      </c>
      <c r="C886" t="s">
        <v>443</v>
      </c>
      <c r="D886">
        <v>3000</v>
      </c>
    </row>
    <row r="887" spans="1:4" x14ac:dyDescent="0.35">
      <c r="A887" t="s">
        <v>709</v>
      </c>
      <c r="B887" s="28">
        <v>44464</v>
      </c>
      <c r="C887" t="s">
        <v>499</v>
      </c>
      <c r="D887">
        <v>910</v>
      </c>
    </row>
    <row r="888" spans="1:4" x14ac:dyDescent="0.35">
      <c r="A888" t="s">
        <v>709</v>
      </c>
      <c r="B888" s="28">
        <v>44464</v>
      </c>
      <c r="C888" t="s">
        <v>461</v>
      </c>
      <c r="D888">
        <v>298</v>
      </c>
    </row>
    <row r="889" spans="1:4" x14ac:dyDescent="0.35">
      <c r="A889" t="s">
        <v>712</v>
      </c>
      <c r="B889" s="28">
        <v>44465</v>
      </c>
      <c r="C889" t="s">
        <v>577</v>
      </c>
      <c r="D889">
        <v>479</v>
      </c>
    </row>
    <row r="890" spans="1:4" x14ac:dyDescent="0.35">
      <c r="A890" t="s">
        <v>712</v>
      </c>
      <c r="B890" s="28">
        <v>44465</v>
      </c>
      <c r="C890" t="s">
        <v>566</v>
      </c>
      <c r="D890">
        <v>209</v>
      </c>
    </row>
    <row r="891" spans="1:4" x14ac:dyDescent="0.35">
      <c r="A891" t="s">
        <v>712</v>
      </c>
      <c r="B891" s="28">
        <v>44465</v>
      </c>
      <c r="C891" t="s">
        <v>526</v>
      </c>
      <c r="D891">
        <v>14531</v>
      </c>
    </row>
    <row r="892" spans="1:4" x14ac:dyDescent="0.35">
      <c r="A892" t="s">
        <v>712</v>
      </c>
      <c r="B892" s="28">
        <v>44465</v>
      </c>
      <c r="C892" t="s">
        <v>489</v>
      </c>
      <c r="D892">
        <v>585</v>
      </c>
    </row>
    <row r="893" spans="1:4" x14ac:dyDescent="0.35">
      <c r="A893" t="s">
        <v>712</v>
      </c>
      <c r="B893" s="28">
        <v>44465</v>
      </c>
      <c r="C893" t="s">
        <v>505</v>
      </c>
      <c r="D893">
        <v>5355</v>
      </c>
    </row>
    <row r="894" spans="1:4" x14ac:dyDescent="0.35">
      <c r="A894" t="s">
        <v>712</v>
      </c>
      <c r="B894" s="28">
        <v>44465</v>
      </c>
      <c r="C894" t="s">
        <v>590</v>
      </c>
      <c r="D894">
        <v>938</v>
      </c>
    </row>
    <row r="895" spans="1:4" x14ac:dyDescent="0.35">
      <c r="A895" t="s">
        <v>713</v>
      </c>
      <c r="B895" s="28">
        <v>44467</v>
      </c>
      <c r="C895" t="s">
        <v>714</v>
      </c>
      <c r="D895">
        <v>642</v>
      </c>
    </row>
    <row r="896" spans="1:4" x14ac:dyDescent="0.35">
      <c r="A896" t="s">
        <v>713</v>
      </c>
      <c r="B896" s="28">
        <v>44467</v>
      </c>
      <c r="C896" t="s">
        <v>489</v>
      </c>
      <c r="D896">
        <v>348</v>
      </c>
    </row>
    <row r="897" spans="1:4" x14ac:dyDescent="0.35">
      <c r="A897" t="s">
        <v>713</v>
      </c>
      <c r="B897" s="28">
        <v>44467</v>
      </c>
      <c r="C897" t="s">
        <v>441</v>
      </c>
      <c r="D897">
        <v>2119</v>
      </c>
    </row>
    <row r="898" spans="1:4" x14ac:dyDescent="0.35">
      <c r="A898" t="s">
        <v>713</v>
      </c>
      <c r="B898" s="28">
        <v>44467</v>
      </c>
      <c r="C898" t="s">
        <v>530</v>
      </c>
      <c r="D898">
        <v>3074</v>
      </c>
    </row>
    <row r="899" spans="1:4" x14ac:dyDescent="0.35">
      <c r="A899" t="s">
        <v>713</v>
      </c>
      <c r="B899" s="28">
        <v>44467</v>
      </c>
      <c r="C899" t="s">
        <v>449</v>
      </c>
      <c r="D899">
        <v>3314</v>
      </c>
    </row>
    <row r="900" spans="1:4" x14ac:dyDescent="0.35">
      <c r="A900" t="s">
        <v>715</v>
      </c>
      <c r="B900" s="28">
        <v>44468</v>
      </c>
      <c r="C900" t="s">
        <v>506</v>
      </c>
      <c r="D900">
        <v>4823</v>
      </c>
    </row>
    <row r="901" spans="1:4" x14ac:dyDescent="0.35">
      <c r="A901" t="s">
        <v>715</v>
      </c>
      <c r="B901" s="28">
        <v>44468</v>
      </c>
      <c r="C901" t="s">
        <v>443</v>
      </c>
      <c r="D901">
        <v>2556</v>
      </c>
    </row>
    <row r="902" spans="1:4" x14ac:dyDescent="0.35">
      <c r="A902" t="s">
        <v>715</v>
      </c>
      <c r="B902" s="28">
        <v>44468</v>
      </c>
      <c r="C902" t="s">
        <v>443</v>
      </c>
      <c r="D902">
        <v>2689</v>
      </c>
    </row>
    <row r="903" spans="1:4" x14ac:dyDescent="0.35">
      <c r="A903" t="s">
        <v>715</v>
      </c>
      <c r="B903" s="28">
        <v>44468</v>
      </c>
      <c r="C903" t="s">
        <v>513</v>
      </c>
      <c r="D903">
        <v>1502</v>
      </c>
    </row>
    <row r="904" spans="1:4" x14ac:dyDescent="0.35">
      <c r="A904" t="s">
        <v>715</v>
      </c>
      <c r="B904" s="28">
        <v>44468</v>
      </c>
      <c r="C904" t="s">
        <v>441</v>
      </c>
      <c r="D904">
        <v>1982</v>
      </c>
    </row>
    <row r="905" spans="1:4" x14ac:dyDescent="0.35">
      <c r="A905" t="s">
        <v>716</v>
      </c>
      <c r="B905" s="28">
        <v>44469</v>
      </c>
      <c r="C905" t="s">
        <v>590</v>
      </c>
      <c r="D905">
        <v>1392</v>
      </c>
    </row>
    <row r="906" spans="1:4" x14ac:dyDescent="0.35">
      <c r="A906" t="s">
        <v>716</v>
      </c>
      <c r="B906" s="28">
        <v>44469</v>
      </c>
      <c r="C906" t="s">
        <v>499</v>
      </c>
      <c r="D906">
        <v>3192</v>
      </c>
    </row>
    <row r="907" spans="1:4" x14ac:dyDescent="0.35">
      <c r="A907" t="s">
        <v>716</v>
      </c>
      <c r="B907" s="28">
        <v>44469</v>
      </c>
      <c r="C907" t="s">
        <v>441</v>
      </c>
      <c r="D907">
        <v>1886</v>
      </c>
    </row>
    <row r="908" spans="1:4" x14ac:dyDescent="0.35">
      <c r="A908" t="s">
        <v>716</v>
      </c>
      <c r="B908" s="28">
        <v>44469</v>
      </c>
      <c r="C908" t="s">
        <v>489</v>
      </c>
      <c r="D908">
        <v>42</v>
      </c>
    </row>
    <row r="909" spans="1:4" x14ac:dyDescent="0.35">
      <c r="A909" t="s">
        <v>716</v>
      </c>
      <c r="B909" s="28">
        <v>44469</v>
      </c>
      <c r="C909" t="s">
        <v>530</v>
      </c>
      <c r="D909">
        <v>2246</v>
      </c>
    </row>
    <row r="910" spans="1:4" x14ac:dyDescent="0.35">
      <c r="A910" t="s">
        <v>716</v>
      </c>
      <c r="B910" s="28">
        <v>44469</v>
      </c>
      <c r="C910" t="s">
        <v>530</v>
      </c>
      <c r="D910">
        <v>1662</v>
      </c>
    </row>
    <row r="911" spans="1:4" x14ac:dyDescent="0.35">
      <c r="A911" t="s">
        <v>716</v>
      </c>
      <c r="B911" s="28">
        <v>44469</v>
      </c>
      <c r="C911" t="s">
        <v>446</v>
      </c>
      <c r="D911">
        <v>991</v>
      </c>
    </row>
    <row r="912" spans="1:4" x14ac:dyDescent="0.35">
      <c r="A912" t="s">
        <v>716</v>
      </c>
      <c r="B912" s="28">
        <v>44469</v>
      </c>
      <c r="C912" t="s">
        <v>446</v>
      </c>
      <c r="D912">
        <v>982</v>
      </c>
    </row>
    <row r="913" spans="1:4" x14ac:dyDescent="0.35">
      <c r="A913" t="s">
        <v>716</v>
      </c>
      <c r="B913" s="28">
        <v>44469</v>
      </c>
      <c r="C913" t="s">
        <v>446</v>
      </c>
      <c r="D913">
        <v>272</v>
      </c>
    </row>
    <row r="914" spans="1:4" x14ac:dyDescent="0.35">
      <c r="A914" t="s">
        <v>717</v>
      </c>
      <c r="B914" s="28">
        <v>44471</v>
      </c>
      <c r="C914" t="s">
        <v>502</v>
      </c>
      <c r="D914">
        <v>1498</v>
      </c>
    </row>
    <row r="915" spans="1:4" x14ac:dyDescent="0.35">
      <c r="A915" t="s">
        <v>717</v>
      </c>
      <c r="B915" s="28">
        <v>44471</v>
      </c>
      <c r="C915" t="s">
        <v>499</v>
      </c>
      <c r="D915">
        <v>4000</v>
      </c>
    </row>
    <row r="916" spans="1:4" x14ac:dyDescent="0.35">
      <c r="A916" t="s">
        <v>717</v>
      </c>
      <c r="B916" s="28">
        <v>44471</v>
      </c>
      <c r="C916" t="s">
        <v>441</v>
      </c>
      <c r="D916">
        <v>2101</v>
      </c>
    </row>
    <row r="917" spans="1:4" x14ac:dyDescent="0.35">
      <c r="A917" t="s">
        <v>717</v>
      </c>
      <c r="B917" s="28">
        <v>44471</v>
      </c>
      <c r="C917" t="s">
        <v>446</v>
      </c>
      <c r="D917">
        <v>1297</v>
      </c>
    </row>
    <row r="918" spans="1:4" x14ac:dyDescent="0.35">
      <c r="A918" t="s">
        <v>718</v>
      </c>
      <c r="B918" s="28">
        <v>44472</v>
      </c>
      <c r="C918" t="s">
        <v>590</v>
      </c>
      <c r="D918">
        <v>51</v>
      </c>
    </row>
    <row r="919" spans="1:4" x14ac:dyDescent="0.35">
      <c r="A919" t="s">
        <v>718</v>
      </c>
      <c r="B919" s="28">
        <v>44472</v>
      </c>
      <c r="C919" t="s">
        <v>590</v>
      </c>
      <c r="D919">
        <v>163</v>
      </c>
    </row>
    <row r="920" spans="1:4" x14ac:dyDescent="0.35">
      <c r="A920" t="s">
        <v>718</v>
      </c>
      <c r="B920" s="28">
        <v>44472</v>
      </c>
      <c r="C920" t="s">
        <v>621</v>
      </c>
      <c r="D920">
        <v>1384</v>
      </c>
    </row>
    <row r="921" spans="1:4" x14ac:dyDescent="0.35">
      <c r="A921" t="s">
        <v>718</v>
      </c>
      <c r="B921" s="28">
        <v>44472</v>
      </c>
      <c r="C921" t="s">
        <v>621</v>
      </c>
      <c r="D921">
        <v>360</v>
      </c>
    </row>
    <row r="922" spans="1:4" x14ac:dyDescent="0.35">
      <c r="A922" t="s">
        <v>718</v>
      </c>
      <c r="B922" s="28">
        <v>44472</v>
      </c>
      <c r="C922" t="s">
        <v>441</v>
      </c>
      <c r="D922">
        <v>1814</v>
      </c>
    </row>
    <row r="923" spans="1:4" x14ac:dyDescent="0.35">
      <c r="A923" t="s">
        <v>718</v>
      </c>
      <c r="B923" s="28">
        <v>44472</v>
      </c>
      <c r="C923" t="s">
        <v>505</v>
      </c>
      <c r="D923">
        <v>5025</v>
      </c>
    </row>
    <row r="924" spans="1:4" x14ac:dyDescent="0.35">
      <c r="A924" t="s">
        <v>718</v>
      </c>
      <c r="B924" s="28">
        <v>44472</v>
      </c>
      <c r="C924" t="s">
        <v>492</v>
      </c>
      <c r="D924">
        <v>1418</v>
      </c>
    </row>
    <row r="925" spans="1:4" x14ac:dyDescent="0.35">
      <c r="A925" t="s">
        <v>720</v>
      </c>
      <c r="B925" s="28">
        <v>44473</v>
      </c>
      <c r="C925" t="s">
        <v>456</v>
      </c>
      <c r="D925">
        <v>424</v>
      </c>
    </row>
    <row r="926" spans="1:4" x14ac:dyDescent="0.35">
      <c r="A926" t="s">
        <v>720</v>
      </c>
      <c r="B926" s="28">
        <v>44473</v>
      </c>
      <c r="C926" t="s">
        <v>456</v>
      </c>
      <c r="D926">
        <v>4495</v>
      </c>
    </row>
    <row r="927" spans="1:4" x14ac:dyDescent="0.35">
      <c r="A927" t="s">
        <v>720</v>
      </c>
      <c r="B927" s="28">
        <v>44473</v>
      </c>
      <c r="C927" t="s">
        <v>534</v>
      </c>
      <c r="D927">
        <v>694</v>
      </c>
    </row>
    <row r="928" spans="1:4" x14ac:dyDescent="0.35">
      <c r="A928" t="s">
        <v>720</v>
      </c>
      <c r="B928" s="28">
        <v>44473</v>
      </c>
      <c r="C928" t="s">
        <v>441</v>
      </c>
      <c r="D928">
        <v>1410</v>
      </c>
    </row>
    <row r="929" spans="1:4" x14ac:dyDescent="0.35">
      <c r="A929" t="s">
        <v>720</v>
      </c>
      <c r="B929" s="28">
        <v>44473</v>
      </c>
      <c r="C929" t="s">
        <v>446</v>
      </c>
      <c r="D929">
        <v>2245</v>
      </c>
    </row>
    <row r="930" spans="1:4" x14ac:dyDescent="0.35">
      <c r="A930" t="s">
        <v>720</v>
      </c>
      <c r="B930" s="28">
        <v>44473</v>
      </c>
      <c r="C930" t="s">
        <v>487</v>
      </c>
      <c r="D930">
        <v>514</v>
      </c>
    </row>
    <row r="931" spans="1:4" x14ac:dyDescent="0.35">
      <c r="A931" t="s">
        <v>720</v>
      </c>
      <c r="B931" s="28">
        <v>44473</v>
      </c>
      <c r="C931" t="s">
        <v>443</v>
      </c>
      <c r="D931">
        <v>2791</v>
      </c>
    </row>
    <row r="932" spans="1:4" x14ac:dyDescent="0.35">
      <c r="A932" t="s">
        <v>721</v>
      </c>
      <c r="B932" s="28">
        <v>44475</v>
      </c>
      <c r="C932" t="s">
        <v>590</v>
      </c>
      <c r="D932">
        <v>933</v>
      </c>
    </row>
    <row r="933" spans="1:4" x14ac:dyDescent="0.35">
      <c r="A933" t="s">
        <v>721</v>
      </c>
      <c r="B933" s="28">
        <v>44475</v>
      </c>
      <c r="C933" t="s">
        <v>495</v>
      </c>
      <c r="D933">
        <v>210</v>
      </c>
    </row>
    <row r="934" spans="1:4" x14ac:dyDescent="0.35">
      <c r="A934" t="s">
        <v>722</v>
      </c>
      <c r="B934" s="28">
        <v>44478</v>
      </c>
      <c r="C934" t="s">
        <v>497</v>
      </c>
      <c r="D934">
        <v>3222</v>
      </c>
    </row>
    <row r="935" spans="1:4" x14ac:dyDescent="0.35">
      <c r="A935" t="s">
        <v>722</v>
      </c>
      <c r="B935" s="28">
        <v>44478</v>
      </c>
      <c r="C935" t="s">
        <v>534</v>
      </c>
      <c r="D935">
        <v>1280</v>
      </c>
    </row>
    <row r="936" spans="1:4" x14ac:dyDescent="0.35">
      <c r="A936" t="s">
        <v>722</v>
      </c>
      <c r="B936" s="28">
        <v>44478</v>
      </c>
      <c r="C936" t="s">
        <v>441</v>
      </c>
      <c r="D936">
        <v>1940</v>
      </c>
    </row>
    <row r="937" spans="1:4" x14ac:dyDescent="0.35">
      <c r="A937" t="s">
        <v>722</v>
      </c>
      <c r="B937" s="28">
        <v>44478</v>
      </c>
      <c r="C937" t="s">
        <v>511</v>
      </c>
      <c r="D937">
        <v>1250</v>
      </c>
    </row>
    <row r="938" spans="1:4" x14ac:dyDescent="0.35">
      <c r="A938" t="s">
        <v>722</v>
      </c>
      <c r="B938" s="28">
        <v>44478</v>
      </c>
      <c r="C938" t="s">
        <v>511</v>
      </c>
      <c r="D938">
        <v>358</v>
      </c>
    </row>
    <row r="939" spans="1:4" x14ac:dyDescent="0.35">
      <c r="A939" t="s">
        <v>722</v>
      </c>
      <c r="B939" s="28">
        <v>44478</v>
      </c>
      <c r="C939" t="s">
        <v>550</v>
      </c>
      <c r="D939">
        <v>2104</v>
      </c>
    </row>
    <row r="940" spans="1:4" x14ac:dyDescent="0.35">
      <c r="A940" t="s">
        <v>723</v>
      </c>
      <c r="B940" s="28">
        <v>44479</v>
      </c>
      <c r="C940" t="s">
        <v>526</v>
      </c>
      <c r="D940">
        <v>15020</v>
      </c>
    </row>
    <row r="941" spans="1:4" x14ac:dyDescent="0.35">
      <c r="A941" t="s">
        <v>723</v>
      </c>
      <c r="B941" s="28">
        <v>44479</v>
      </c>
      <c r="C941" t="s">
        <v>505</v>
      </c>
      <c r="D941">
        <v>5387</v>
      </c>
    </row>
    <row r="942" spans="1:4" x14ac:dyDescent="0.35">
      <c r="A942" t="s">
        <v>723</v>
      </c>
      <c r="B942" s="28">
        <v>44479</v>
      </c>
      <c r="C942" t="s">
        <v>489</v>
      </c>
      <c r="D942">
        <v>407</v>
      </c>
    </row>
    <row r="943" spans="1:4" x14ac:dyDescent="0.35">
      <c r="A943" t="s">
        <v>723</v>
      </c>
      <c r="B943" s="28">
        <v>44479</v>
      </c>
      <c r="C943" t="s">
        <v>530</v>
      </c>
      <c r="D943">
        <v>3714</v>
      </c>
    </row>
    <row r="944" spans="1:4" x14ac:dyDescent="0.35">
      <c r="A944" t="s">
        <v>723</v>
      </c>
      <c r="B944" s="28">
        <v>44479</v>
      </c>
      <c r="C944" t="s">
        <v>530</v>
      </c>
      <c r="D944">
        <v>1270</v>
      </c>
    </row>
    <row r="945" spans="1:4" x14ac:dyDescent="0.35">
      <c r="A945" t="s">
        <v>723</v>
      </c>
      <c r="B945" s="28">
        <v>44479</v>
      </c>
      <c r="C945" t="s">
        <v>590</v>
      </c>
      <c r="D945">
        <v>272</v>
      </c>
    </row>
    <row r="946" spans="1:4" x14ac:dyDescent="0.35">
      <c r="A946" t="s">
        <v>726</v>
      </c>
      <c r="B946" s="28">
        <v>44480</v>
      </c>
      <c r="C946" t="s">
        <v>449</v>
      </c>
      <c r="D946">
        <v>3151</v>
      </c>
    </row>
    <row r="947" spans="1:4" x14ac:dyDescent="0.35">
      <c r="A947" t="s">
        <v>726</v>
      </c>
      <c r="B947" s="28">
        <v>44480</v>
      </c>
      <c r="C947" t="s">
        <v>499</v>
      </c>
      <c r="D947">
        <v>1946</v>
      </c>
    </row>
    <row r="948" spans="1:4" x14ac:dyDescent="0.35">
      <c r="A948" t="s">
        <v>726</v>
      </c>
      <c r="B948" s="28">
        <v>44480</v>
      </c>
      <c r="C948" t="s">
        <v>552</v>
      </c>
      <c r="D948">
        <v>87</v>
      </c>
    </row>
    <row r="949" spans="1:4" x14ac:dyDescent="0.35">
      <c r="A949" t="s">
        <v>726</v>
      </c>
      <c r="B949" s="28">
        <v>44480</v>
      </c>
      <c r="C949" t="s">
        <v>552</v>
      </c>
      <c r="D949">
        <v>365</v>
      </c>
    </row>
    <row r="950" spans="1:4" x14ac:dyDescent="0.35">
      <c r="A950" t="s">
        <v>726</v>
      </c>
      <c r="B950" s="28">
        <v>44480</v>
      </c>
      <c r="C950" t="s">
        <v>441</v>
      </c>
      <c r="D950">
        <v>1361</v>
      </c>
    </row>
    <row r="951" spans="1:4" x14ac:dyDescent="0.35">
      <c r="A951" t="s">
        <v>726</v>
      </c>
      <c r="B951" s="28">
        <v>44480</v>
      </c>
      <c r="C951" t="s">
        <v>507</v>
      </c>
      <c r="D951">
        <v>702</v>
      </c>
    </row>
    <row r="952" spans="1:4" x14ac:dyDescent="0.35">
      <c r="A952" t="s">
        <v>727</v>
      </c>
      <c r="B952" s="28">
        <v>44481</v>
      </c>
      <c r="C952" t="s">
        <v>728</v>
      </c>
      <c r="D952">
        <v>2012</v>
      </c>
    </row>
    <row r="953" spans="1:4" x14ac:dyDescent="0.35">
      <c r="A953" t="s">
        <v>727</v>
      </c>
      <c r="B953" s="28">
        <v>44481</v>
      </c>
      <c r="C953" t="s">
        <v>507</v>
      </c>
      <c r="D953">
        <v>4294</v>
      </c>
    </row>
    <row r="954" spans="1:4" x14ac:dyDescent="0.35">
      <c r="A954" t="s">
        <v>727</v>
      </c>
      <c r="B954" s="28">
        <v>44481</v>
      </c>
      <c r="C954" t="s">
        <v>451</v>
      </c>
      <c r="D954">
        <v>1255</v>
      </c>
    </row>
    <row r="955" spans="1:4" x14ac:dyDescent="0.35">
      <c r="A955" t="s">
        <v>727</v>
      </c>
      <c r="B955" s="28">
        <v>44481</v>
      </c>
      <c r="C955" t="s">
        <v>441</v>
      </c>
      <c r="D955">
        <v>1718</v>
      </c>
    </row>
    <row r="956" spans="1:4" x14ac:dyDescent="0.35">
      <c r="A956" t="s">
        <v>727</v>
      </c>
      <c r="B956" s="28">
        <v>44481</v>
      </c>
      <c r="C956" t="s">
        <v>478</v>
      </c>
      <c r="D956">
        <v>100</v>
      </c>
    </row>
    <row r="957" spans="1:4" x14ac:dyDescent="0.35">
      <c r="A957" t="s">
        <v>727</v>
      </c>
      <c r="B957" s="28">
        <v>44481</v>
      </c>
      <c r="C957" t="s">
        <v>472</v>
      </c>
      <c r="D957">
        <v>2092</v>
      </c>
    </row>
    <row r="958" spans="1:4" x14ac:dyDescent="0.35">
      <c r="A958" t="s">
        <v>727</v>
      </c>
      <c r="B958" s="28">
        <v>44481</v>
      </c>
      <c r="C958" t="s">
        <v>489</v>
      </c>
      <c r="D958">
        <v>280</v>
      </c>
    </row>
    <row r="959" spans="1:4" x14ac:dyDescent="0.35">
      <c r="A959" t="s">
        <v>729</v>
      </c>
      <c r="B959" s="28">
        <v>44482</v>
      </c>
      <c r="C959" t="s">
        <v>507</v>
      </c>
      <c r="D959">
        <v>2774</v>
      </c>
    </row>
    <row r="960" spans="1:4" x14ac:dyDescent="0.35">
      <c r="A960" t="s">
        <v>729</v>
      </c>
      <c r="B960" s="28">
        <v>44482</v>
      </c>
      <c r="C960" t="s">
        <v>566</v>
      </c>
      <c r="D960">
        <v>58</v>
      </c>
    </row>
    <row r="961" spans="1:4" x14ac:dyDescent="0.35">
      <c r="A961" t="s">
        <v>729</v>
      </c>
      <c r="B961" s="28">
        <v>44482</v>
      </c>
      <c r="C961" t="s">
        <v>566</v>
      </c>
      <c r="D961">
        <v>110</v>
      </c>
    </row>
    <row r="962" spans="1:4" x14ac:dyDescent="0.35">
      <c r="A962" t="s">
        <v>729</v>
      </c>
      <c r="B962" s="28">
        <v>44482</v>
      </c>
      <c r="C962" t="s">
        <v>443</v>
      </c>
      <c r="D962">
        <v>2422</v>
      </c>
    </row>
    <row r="963" spans="1:4" x14ac:dyDescent="0.35">
      <c r="A963" t="s">
        <v>729</v>
      </c>
      <c r="B963" s="28">
        <v>44482</v>
      </c>
      <c r="C963" t="s">
        <v>505</v>
      </c>
      <c r="D963">
        <v>7591</v>
      </c>
    </row>
    <row r="964" spans="1:4" x14ac:dyDescent="0.35">
      <c r="A964" t="s">
        <v>729</v>
      </c>
      <c r="B964" s="28">
        <v>44482</v>
      </c>
      <c r="C964" t="s">
        <v>441</v>
      </c>
      <c r="D964">
        <v>2037</v>
      </c>
    </row>
    <row r="965" spans="1:4" x14ac:dyDescent="0.35">
      <c r="A965" t="s">
        <v>730</v>
      </c>
      <c r="B965" s="28">
        <v>44483</v>
      </c>
      <c r="C965" t="s">
        <v>590</v>
      </c>
      <c r="D965">
        <v>1095</v>
      </c>
    </row>
    <row r="966" spans="1:4" x14ac:dyDescent="0.35">
      <c r="A966" t="s">
        <v>730</v>
      </c>
      <c r="B966" s="28">
        <v>44483</v>
      </c>
      <c r="C966" t="s">
        <v>461</v>
      </c>
      <c r="D966">
        <v>226</v>
      </c>
    </row>
    <row r="967" spans="1:4" x14ac:dyDescent="0.35">
      <c r="A967" t="s">
        <v>730</v>
      </c>
      <c r="B967" s="28">
        <v>44483</v>
      </c>
      <c r="C967" t="s">
        <v>441</v>
      </c>
      <c r="D967">
        <v>1023</v>
      </c>
    </row>
    <row r="968" spans="1:4" x14ac:dyDescent="0.35">
      <c r="A968" t="s">
        <v>730</v>
      </c>
      <c r="B968" s="28">
        <v>44483</v>
      </c>
      <c r="C968" t="s">
        <v>526</v>
      </c>
      <c r="D968">
        <v>15644</v>
      </c>
    </row>
    <row r="969" spans="1:4" x14ac:dyDescent="0.35">
      <c r="A969" t="s">
        <v>730</v>
      </c>
      <c r="B969" s="28">
        <v>44483</v>
      </c>
      <c r="C969" t="s">
        <v>461</v>
      </c>
      <c r="D969">
        <v>122</v>
      </c>
    </row>
    <row r="970" spans="1:4" x14ac:dyDescent="0.35">
      <c r="A970" t="s">
        <v>730</v>
      </c>
      <c r="B970" s="28">
        <v>44483</v>
      </c>
      <c r="C970" t="s">
        <v>530</v>
      </c>
      <c r="D970">
        <v>3281</v>
      </c>
    </row>
    <row r="971" spans="1:4" x14ac:dyDescent="0.35">
      <c r="A971" t="s">
        <v>731</v>
      </c>
      <c r="B971" s="28">
        <v>44485</v>
      </c>
      <c r="C971" t="s">
        <v>449</v>
      </c>
      <c r="D971">
        <v>818</v>
      </c>
    </row>
    <row r="972" spans="1:4" x14ac:dyDescent="0.35">
      <c r="A972" t="s">
        <v>731</v>
      </c>
      <c r="B972" s="28">
        <v>44485</v>
      </c>
      <c r="C972" t="s">
        <v>443</v>
      </c>
      <c r="D972">
        <v>2554</v>
      </c>
    </row>
    <row r="973" spans="1:4" x14ac:dyDescent="0.35">
      <c r="A973" t="s">
        <v>731</v>
      </c>
      <c r="B973" s="28">
        <v>44485</v>
      </c>
      <c r="C973" t="s">
        <v>461</v>
      </c>
      <c r="D973">
        <v>31</v>
      </c>
    </row>
    <row r="974" spans="1:4" x14ac:dyDescent="0.35">
      <c r="A974" t="s">
        <v>731</v>
      </c>
      <c r="B974" s="28">
        <v>44485</v>
      </c>
      <c r="C974" t="s">
        <v>461</v>
      </c>
      <c r="D974">
        <v>57</v>
      </c>
    </row>
    <row r="975" spans="1:4" x14ac:dyDescent="0.35">
      <c r="A975" t="s">
        <v>732</v>
      </c>
      <c r="B975" s="28">
        <v>44486</v>
      </c>
      <c r="C975" t="s">
        <v>553</v>
      </c>
      <c r="D975">
        <v>3370</v>
      </c>
    </row>
    <row r="976" spans="1:4" x14ac:dyDescent="0.35">
      <c r="A976" t="s">
        <v>732</v>
      </c>
      <c r="B976" s="28">
        <v>44486</v>
      </c>
      <c r="C976" t="s">
        <v>553</v>
      </c>
      <c r="D976">
        <v>618</v>
      </c>
    </row>
    <row r="977" spans="1:4" x14ac:dyDescent="0.35">
      <c r="A977" t="s">
        <v>732</v>
      </c>
      <c r="B977" s="28">
        <v>44486</v>
      </c>
      <c r="C977" t="s">
        <v>449</v>
      </c>
      <c r="D977">
        <v>2958</v>
      </c>
    </row>
    <row r="978" spans="1:4" x14ac:dyDescent="0.35">
      <c r="A978" t="s">
        <v>732</v>
      </c>
      <c r="B978" s="28">
        <v>44486</v>
      </c>
      <c r="C978" t="s">
        <v>441</v>
      </c>
      <c r="D978">
        <v>432</v>
      </c>
    </row>
    <row r="979" spans="1:4" x14ac:dyDescent="0.35">
      <c r="A979" t="s">
        <v>732</v>
      </c>
      <c r="B979" s="28">
        <v>44486</v>
      </c>
      <c r="C979" t="s">
        <v>441</v>
      </c>
      <c r="D979">
        <v>771</v>
      </c>
    </row>
    <row r="980" spans="1:4" x14ac:dyDescent="0.35">
      <c r="A980" t="s">
        <v>732</v>
      </c>
      <c r="B980" s="28">
        <v>44486</v>
      </c>
      <c r="C980" t="s">
        <v>665</v>
      </c>
      <c r="D980">
        <v>742</v>
      </c>
    </row>
    <row r="981" spans="1:4" x14ac:dyDescent="0.35">
      <c r="A981" t="s">
        <v>732</v>
      </c>
      <c r="B981" s="28">
        <v>44486</v>
      </c>
      <c r="C981" t="s">
        <v>449</v>
      </c>
      <c r="D981">
        <v>3000</v>
      </c>
    </row>
    <row r="982" spans="1:4" x14ac:dyDescent="0.35">
      <c r="A982" t="s">
        <v>733</v>
      </c>
      <c r="B982" s="28">
        <v>44487</v>
      </c>
      <c r="C982" t="s">
        <v>495</v>
      </c>
      <c r="D982">
        <v>28</v>
      </c>
    </row>
    <row r="983" spans="1:4" x14ac:dyDescent="0.35">
      <c r="A983" t="s">
        <v>733</v>
      </c>
      <c r="B983" s="28">
        <v>44487</v>
      </c>
      <c r="C983" t="s">
        <v>495</v>
      </c>
      <c r="D983">
        <v>24</v>
      </c>
    </row>
    <row r="984" spans="1:4" x14ac:dyDescent="0.35">
      <c r="A984" t="s">
        <v>733</v>
      </c>
      <c r="B984" s="28">
        <v>44487</v>
      </c>
      <c r="C984" t="s">
        <v>495</v>
      </c>
      <c r="D984">
        <v>807</v>
      </c>
    </row>
    <row r="985" spans="1:4" x14ac:dyDescent="0.35">
      <c r="A985" t="s">
        <v>733</v>
      </c>
      <c r="B985" s="28">
        <v>44487</v>
      </c>
      <c r="C985" t="s">
        <v>441</v>
      </c>
      <c r="D985">
        <v>1943</v>
      </c>
    </row>
    <row r="986" spans="1:4" x14ac:dyDescent="0.35">
      <c r="A986" t="s">
        <v>733</v>
      </c>
      <c r="B986" s="28">
        <v>44487</v>
      </c>
      <c r="C986" t="s">
        <v>480</v>
      </c>
      <c r="D986">
        <v>2345</v>
      </c>
    </row>
    <row r="987" spans="1:4" x14ac:dyDescent="0.35">
      <c r="A987" t="s">
        <v>733</v>
      </c>
      <c r="B987" s="28">
        <v>44487</v>
      </c>
      <c r="C987" t="s">
        <v>550</v>
      </c>
      <c r="D987">
        <v>2000</v>
      </c>
    </row>
    <row r="988" spans="1:4" x14ac:dyDescent="0.35">
      <c r="A988" t="s">
        <v>734</v>
      </c>
      <c r="B988" s="28">
        <v>44488</v>
      </c>
      <c r="C988" t="s">
        <v>530</v>
      </c>
      <c r="D988">
        <v>1958</v>
      </c>
    </row>
    <row r="989" spans="1:4" x14ac:dyDescent="0.35">
      <c r="A989" t="s">
        <v>734</v>
      </c>
      <c r="B989" s="28">
        <v>44488</v>
      </c>
      <c r="C989" t="s">
        <v>526</v>
      </c>
      <c r="D989">
        <v>14794</v>
      </c>
    </row>
    <row r="990" spans="1:4" x14ac:dyDescent="0.35">
      <c r="A990" t="s">
        <v>734</v>
      </c>
      <c r="B990" s="28">
        <v>44488</v>
      </c>
      <c r="C990" t="s">
        <v>502</v>
      </c>
      <c r="D990">
        <v>104</v>
      </c>
    </row>
    <row r="991" spans="1:4" x14ac:dyDescent="0.35">
      <c r="A991" t="s">
        <v>734</v>
      </c>
      <c r="B991" s="28">
        <v>44488</v>
      </c>
      <c r="C991" t="s">
        <v>502</v>
      </c>
      <c r="D991">
        <v>1067</v>
      </c>
    </row>
    <row r="992" spans="1:4" x14ac:dyDescent="0.35">
      <c r="A992" t="s">
        <v>734</v>
      </c>
      <c r="B992" s="28">
        <v>44488</v>
      </c>
      <c r="C992" t="s">
        <v>577</v>
      </c>
      <c r="D992">
        <v>208</v>
      </c>
    </row>
    <row r="993" spans="1:4" x14ac:dyDescent="0.35">
      <c r="A993" t="s">
        <v>734</v>
      </c>
      <c r="B993" s="28">
        <v>44488</v>
      </c>
      <c r="C993" t="s">
        <v>505</v>
      </c>
      <c r="D993">
        <v>7218</v>
      </c>
    </row>
    <row r="994" spans="1:4" x14ac:dyDescent="0.35">
      <c r="A994" t="s">
        <v>735</v>
      </c>
      <c r="B994" s="28">
        <v>44489</v>
      </c>
      <c r="C994" t="s">
        <v>621</v>
      </c>
      <c r="D994">
        <v>1021</v>
      </c>
    </row>
    <row r="995" spans="1:4" x14ac:dyDescent="0.35">
      <c r="A995" t="s">
        <v>735</v>
      </c>
      <c r="B995" s="28">
        <v>44489</v>
      </c>
      <c r="C995" t="s">
        <v>621</v>
      </c>
      <c r="D995">
        <v>330</v>
      </c>
    </row>
    <row r="996" spans="1:4" x14ac:dyDescent="0.35">
      <c r="A996" t="s">
        <v>735</v>
      </c>
      <c r="B996" s="28">
        <v>44489</v>
      </c>
      <c r="C996" t="s">
        <v>530</v>
      </c>
      <c r="D996">
        <v>756</v>
      </c>
    </row>
    <row r="997" spans="1:4" x14ac:dyDescent="0.35">
      <c r="A997" t="s">
        <v>735</v>
      </c>
      <c r="B997" s="28">
        <v>44489</v>
      </c>
      <c r="C997" t="s">
        <v>530</v>
      </c>
      <c r="D997">
        <v>1086</v>
      </c>
    </row>
    <row r="998" spans="1:4" x14ac:dyDescent="0.35">
      <c r="A998" t="s">
        <v>735</v>
      </c>
      <c r="B998" s="28">
        <v>44489</v>
      </c>
      <c r="C998" t="s">
        <v>552</v>
      </c>
      <c r="D998">
        <v>682</v>
      </c>
    </row>
    <row r="999" spans="1:4" x14ac:dyDescent="0.35">
      <c r="A999" t="s">
        <v>735</v>
      </c>
      <c r="B999" s="28">
        <v>44489</v>
      </c>
      <c r="C999" t="s">
        <v>552</v>
      </c>
      <c r="D999">
        <v>242</v>
      </c>
    </row>
    <row r="1000" spans="1:4" x14ac:dyDescent="0.35">
      <c r="A1000" t="s">
        <v>735</v>
      </c>
      <c r="B1000" s="28">
        <v>44489</v>
      </c>
      <c r="C1000" t="s">
        <v>472</v>
      </c>
      <c r="D1000">
        <v>1022</v>
      </c>
    </row>
    <row r="1001" spans="1:4" x14ac:dyDescent="0.35">
      <c r="A1001" t="s">
        <v>735</v>
      </c>
      <c r="B1001" s="28">
        <v>44489</v>
      </c>
      <c r="C1001" t="s">
        <v>474</v>
      </c>
      <c r="D1001">
        <v>1332</v>
      </c>
    </row>
    <row r="1002" spans="1:4" x14ac:dyDescent="0.35">
      <c r="A1002" t="s">
        <v>735</v>
      </c>
      <c r="B1002" s="28">
        <v>44489</v>
      </c>
      <c r="C1002" t="s">
        <v>504</v>
      </c>
      <c r="D1002">
        <v>1585</v>
      </c>
    </row>
    <row r="1003" spans="1:4" x14ac:dyDescent="0.35">
      <c r="A1003" t="s">
        <v>735</v>
      </c>
      <c r="B1003" s="28">
        <v>44489</v>
      </c>
      <c r="C1003" t="s">
        <v>504</v>
      </c>
      <c r="D1003">
        <v>810</v>
      </c>
    </row>
    <row r="1004" spans="1:4" x14ac:dyDescent="0.35">
      <c r="A1004" t="s">
        <v>736</v>
      </c>
      <c r="B1004" s="28">
        <v>44490</v>
      </c>
      <c r="C1004" t="s">
        <v>450</v>
      </c>
      <c r="D1004">
        <v>2441</v>
      </c>
    </row>
    <row r="1005" spans="1:4" x14ac:dyDescent="0.35">
      <c r="A1005" t="s">
        <v>736</v>
      </c>
      <c r="B1005" s="28">
        <v>44490</v>
      </c>
      <c r="C1005" t="s">
        <v>590</v>
      </c>
      <c r="D1005">
        <v>877</v>
      </c>
    </row>
    <row r="1006" spans="1:4" x14ac:dyDescent="0.35">
      <c r="A1006" t="s">
        <v>736</v>
      </c>
      <c r="B1006" s="28">
        <v>44490</v>
      </c>
      <c r="C1006" t="s">
        <v>530</v>
      </c>
      <c r="D1006">
        <v>4207</v>
      </c>
    </row>
    <row r="1007" spans="1:4" x14ac:dyDescent="0.35">
      <c r="A1007" t="s">
        <v>736</v>
      </c>
      <c r="B1007" s="28">
        <v>44490</v>
      </c>
      <c r="C1007" t="s">
        <v>455</v>
      </c>
      <c r="D1007">
        <v>498</v>
      </c>
    </row>
    <row r="1008" spans="1:4" x14ac:dyDescent="0.35">
      <c r="A1008" t="s">
        <v>737</v>
      </c>
      <c r="B1008" s="28">
        <v>44491</v>
      </c>
      <c r="C1008" t="s">
        <v>530</v>
      </c>
      <c r="D1008">
        <v>3141</v>
      </c>
    </row>
    <row r="1009" spans="1:4" x14ac:dyDescent="0.35">
      <c r="A1009" t="s">
        <v>738</v>
      </c>
      <c r="B1009" s="28">
        <v>44492</v>
      </c>
      <c r="C1009" t="s">
        <v>449</v>
      </c>
      <c r="D1009">
        <v>3218</v>
      </c>
    </row>
    <row r="1010" spans="1:4" x14ac:dyDescent="0.35">
      <c r="A1010" t="s">
        <v>738</v>
      </c>
      <c r="B1010" s="28">
        <v>44492</v>
      </c>
      <c r="C1010" t="s">
        <v>495</v>
      </c>
      <c r="D1010">
        <v>221</v>
      </c>
    </row>
    <row r="1011" spans="1:4" x14ac:dyDescent="0.35">
      <c r="A1011" t="s">
        <v>739</v>
      </c>
      <c r="B1011" s="28">
        <v>44494</v>
      </c>
      <c r="C1011" t="s">
        <v>507</v>
      </c>
      <c r="D1011">
        <v>3500</v>
      </c>
    </row>
    <row r="1012" spans="1:4" x14ac:dyDescent="0.35">
      <c r="A1012" t="s">
        <v>739</v>
      </c>
      <c r="B1012" s="28">
        <v>44494</v>
      </c>
      <c r="C1012" t="s">
        <v>443</v>
      </c>
      <c r="D1012">
        <v>3122</v>
      </c>
    </row>
    <row r="1013" spans="1:4" x14ac:dyDescent="0.35">
      <c r="A1013" t="s">
        <v>740</v>
      </c>
      <c r="B1013" s="28">
        <v>44495</v>
      </c>
      <c r="C1013" t="s">
        <v>550</v>
      </c>
      <c r="D1013">
        <v>2110</v>
      </c>
    </row>
    <row r="1014" spans="1:4" x14ac:dyDescent="0.35">
      <c r="A1014" t="s">
        <v>740</v>
      </c>
      <c r="B1014" s="28">
        <v>44495</v>
      </c>
      <c r="C1014" t="s">
        <v>534</v>
      </c>
      <c r="D1014">
        <v>116</v>
      </c>
    </row>
    <row r="1015" spans="1:4" x14ac:dyDescent="0.35">
      <c r="A1015" t="s">
        <v>740</v>
      </c>
      <c r="B1015" s="28">
        <v>44495</v>
      </c>
      <c r="C1015" t="s">
        <v>534</v>
      </c>
      <c r="D1015">
        <v>456</v>
      </c>
    </row>
    <row r="1016" spans="1:4" x14ac:dyDescent="0.35">
      <c r="A1016" t="s">
        <v>740</v>
      </c>
      <c r="B1016" s="28">
        <v>44495</v>
      </c>
      <c r="C1016" t="s">
        <v>526</v>
      </c>
      <c r="D1016">
        <v>15626</v>
      </c>
    </row>
    <row r="1017" spans="1:4" x14ac:dyDescent="0.35">
      <c r="A1017" t="s">
        <v>740</v>
      </c>
      <c r="B1017" s="28">
        <v>44495</v>
      </c>
      <c r="C1017" t="s">
        <v>441</v>
      </c>
      <c r="D1017">
        <v>1811</v>
      </c>
    </row>
    <row r="1018" spans="1:4" x14ac:dyDescent="0.35">
      <c r="A1018" t="s">
        <v>740</v>
      </c>
      <c r="B1018" s="28">
        <v>44495</v>
      </c>
      <c r="C1018" t="s">
        <v>492</v>
      </c>
      <c r="D1018">
        <v>2180</v>
      </c>
    </row>
    <row r="1019" spans="1:4" x14ac:dyDescent="0.35">
      <c r="A1019" t="s">
        <v>741</v>
      </c>
      <c r="B1019" s="28">
        <v>44496</v>
      </c>
      <c r="C1019" t="s">
        <v>443</v>
      </c>
      <c r="D1019">
        <v>2284</v>
      </c>
    </row>
    <row r="1020" spans="1:4" x14ac:dyDescent="0.35">
      <c r="A1020" t="s">
        <v>741</v>
      </c>
      <c r="B1020" s="28">
        <v>44496</v>
      </c>
      <c r="C1020" t="s">
        <v>504</v>
      </c>
      <c r="D1020">
        <v>1579</v>
      </c>
    </row>
    <row r="1021" spans="1:4" x14ac:dyDescent="0.35">
      <c r="A1021" t="s">
        <v>741</v>
      </c>
      <c r="B1021" s="28">
        <v>44496</v>
      </c>
      <c r="C1021" t="s">
        <v>504</v>
      </c>
      <c r="D1021">
        <v>337</v>
      </c>
    </row>
    <row r="1022" spans="1:4" x14ac:dyDescent="0.35">
      <c r="A1022" t="s">
        <v>741</v>
      </c>
      <c r="B1022" s="28">
        <v>44496</v>
      </c>
      <c r="C1022" t="s">
        <v>504</v>
      </c>
      <c r="D1022">
        <v>456</v>
      </c>
    </row>
    <row r="1023" spans="1:4" x14ac:dyDescent="0.35">
      <c r="A1023" t="s">
        <v>741</v>
      </c>
      <c r="B1023" s="28">
        <v>44496</v>
      </c>
      <c r="C1023" t="s">
        <v>441</v>
      </c>
      <c r="D1023">
        <v>1629</v>
      </c>
    </row>
    <row r="1024" spans="1:4" x14ac:dyDescent="0.35">
      <c r="A1024" t="s">
        <v>742</v>
      </c>
      <c r="B1024" s="28">
        <v>44497</v>
      </c>
      <c r="C1024" t="s">
        <v>441</v>
      </c>
      <c r="D1024">
        <v>998</v>
      </c>
    </row>
    <row r="1025" spans="1:4" x14ac:dyDescent="0.35">
      <c r="A1025" t="s">
        <v>742</v>
      </c>
      <c r="B1025" s="28">
        <v>44497</v>
      </c>
      <c r="C1025" t="s">
        <v>470</v>
      </c>
      <c r="D1025">
        <v>1886</v>
      </c>
    </row>
    <row r="1026" spans="1:4" x14ac:dyDescent="0.35">
      <c r="A1026" t="s">
        <v>742</v>
      </c>
      <c r="B1026" s="28">
        <v>44497</v>
      </c>
      <c r="C1026" t="s">
        <v>470</v>
      </c>
      <c r="D1026">
        <v>1032</v>
      </c>
    </row>
    <row r="1027" spans="1:4" x14ac:dyDescent="0.35">
      <c r="A1027" t="s">
        <v>742</v>
      </c>
      <c r="B1027" s="28">
        <v>44497</v>
      </c>
      <c r="C1027" t="s">
        <v>449</v>
      </c>
      <c r="D1027">
        <v>3081</v>
      </c>
    </row>
    <row r="1028" spans="1:4" x14ac:dyDescent="0.35">
      <c r="A1028" t="s">
        <v>743</v>
      </c>
      <c r="B1028" s="28">
        <v>44499</v>
      </c>
      <c r="C1028" t="s">
        <v>577</v>
      </c>
      <c r="D1028">
        <v>288</v>
      </c>
    </row>
    <row r="1029" spans="1:4" x14ac:dyDescent="0.35">
      <c r="A1029" t="s">
        <v>743</v>
      </c>
      <c r="B1029" s="28">
        <v>44499</v>
      </c>
      <c r="C1029" t="s">
        <v>513</v>
      </c>
      <c r="D1029">
        <v>12</v>
      </c>
    </row>
    <row r="1030" spans="1:4" x14ac:dyDescent="0.35">
      <c r="A1030" t="s">
        <v>743</v>
      </c>
      <c r="B1030" s="28">
        <v>44499</v>
      </c>
      <c r="C1030" t="s">
        <v>489</v>
      </c>
      <c r="D1030">
        <v>102</v>
      </c>
    </row>
    <row r="1031" spans="1:4" x14ac:dyDescent="0.35">
      <c r="A1031" t="s">
        <v>743</v>
      </c>
      <c r="B1031" s="28">
        <v>44499</v>
      </c>
      <c r="C1031" t="s">
        <v>478</v>
      </c>
      <c r="D1031">
        <v>112</v>
      </c>
    </row>
    <row r="1032" spans="1:4" x14ac:dyDescent="0.35">
      <c r="A1032" t="s">
        <v>743</v>
      </c>
      <c r="B1032" s="28">
        <v>44499</v>
      </c>
      <c r="C1032" t="s">
        <v>478</v>
      </c>
      <c r="D1032">
        <v>26</v>
      </c>
    </row>
    <row r="1033" spans="1:4" x14ac:dyDescent="0.35">
      <c r="A1033" t="s">
        <v>743</v>
      </c>
      <c r="B1033" s="28">
        <v>44499</v>
      </c>
      <c r="C1033" t="s">
        <v>441</v>
      </c>
      <c r="D1033">
        <v>1602</v>
      </c>
    </row>
    <row r="1034" spans="1:4" x14ac:dyDescent="0.35">
      <c r="A1034" t="s">
        <v>743</v>
      </c>
      <c r="B1034" s="28">
        <v>44499</v>
      </c>
      <c r="C1034" t="s">
        <v>506</v>
      </c>
      <c r="D1034">
        <v>4905</v>
      </c>
    </row>
    <row r="1035" spans="1:4" x14ac:dyDescent="0.35">
      <c r="A1035" t="s">
        <v>743</v>
      </c>
      <c r="B1035" s="28">
        <v>44499</v>
      </c>
      <c r="C1035" t="s">
        <v>553</v>
      </c>
      <c r="D1035">
        <v>945</v>
      </c>
    </row>
    <row r="1036" spans="1:4" x14ac:dyDescent="0.35">
      <c r="A1036" t="s">
        <v>744</v>
      </c>
      <c r="B1036" s="28">
        <v>44500</v>
      </c>
      <c r="C1036" t="s">
        <v>443</v>
      </c>
      <c r="D1036">
        <v>2135</v>
      </c>
    </row>
    <row r="1037" spans="1:4" x14ac:dyDescent="0.35">
      <c r="A1037" t="s">
        <v>744</v>
      </c>
      <c r="B1037" s="28">
        <v>44500</v>
      </c>
      <c r="C1037" t="s">
        <v>443</v>
      </c>
      <c r="D1037">
        <v>2854</v>
      </c>
    </row>
    <row r="1038" spans="1:4" x14ac:dyDescent="0.35">
      <c r="A1038" t="s">
        <v>744</v>
      </c>
      <c r="B1038" s="28">
        <v>44500</v>
      </c>
      <c r="C1038" t="s">
        <v>461</v>
      </c>
      <c r="D1038">
        <v>434</v>
      </c>
    </row>
    <row r="1039" spans="1:4" x14ac:dyDescent="0.35">
      <c r="A1039" t="s">
        <v>744</v>
      </c>
      <c r="B1039" s="28">
        <v>44500</v>
      </c>
      <c r="C1039" t="s">
        <v>546</v>
      </c>
      <c r="D1039">
        <v>984</v>
      </c>
    </row>
    <row r="1040" spans="1:4" x14ac:dyDescent="0.35">
      <c r="A1040" t="s">
        <v>744</v>
      </c>
      <c r="B1040" s="28">
        <v>44500</v>
      </c>
      <c r="C1040" t="s">
        <v>746</v>
      </c>
      <c r="D1040">
        <v>84</v>
      </c>
    </row>
    <row r="1041" spans="1:4" x14ac:dyDescent="0.35">
      <c r="A1041" t="s">
        <v>744</v>
      </c>
      <c r="B1041" s="28">
        <v>44500</v>
      </c>
      <c r="C1041" t="s">
        <v>746</v>
      </c>
      <c r="D1041">
        <v>560</v>
      </c>
    </row>
    <row r="1042" spans="1:4" x14ac:dyDescent="0.35">
      <c r="A1042" t="s">
        <v>744</v>
      </c>
      <c r="B1042" s="47">
        <v>44500</v>
      </c>
      <c r="C1042" t="s">
        <v>537</v>
      </c>
      <c r="D1042">
        <v>240</v>
      </c>
    </row>
    <row r="1043" spans="1:4" x14ac:dyDescent="0.35">
      <c r="A1043" t="s">
        <v>744</v>
      </c>
      <c r="B1043" s="47">
        <v>44500</v>
      </c>
      <c r="C1043" t="s">
        <v>537</v>
      </c>
      <c r="D1043">
        <v>1942</v>
      </c>
    </row>
    <row r="1044" spans="1:4" x14ac:dyDescent="0.35">
      <c r="A1044" t="s">
        <v>744</v>
      </c>
      <c r="B1044" s="47">
        <v>44500</v>
      </c>
      <c r="C1044" t="s">
        <v>451</v>
      </c>
      <c r="D1044">
        <v>683</v>
      </c>
    </row>
    <row r="1045" spans="1:4" x14ac:dyDescent="0.35">
      <c r="A1045" t="s">
        <v>747</v>
      </c>
      <c r="B1045" s="47">
        <v>44501</v>
      </c>
      <c r="C1045" t="s">
        <v>507</v>
      </c>
      <c r="D1045">
        <v>4482</v>
      </c>
    </row>
    <row r="1046" spans="1:4" x14ac:dyDescent="0.35">
      <c r="A1046" t="s">
        <v>747</v>
      </c>
      <c r="B1046" s="47">
        <v>44501</v>
      </c>
      <c r="C1046" t="s">
        <v>502</v>
      </c>
      <c r="D1046">
        <v>120</v>
      </c>
    </row>
    <row r="1047" spans="1:4" x14ac:dyDescent="0.35">
      <c r="A1047" t="s">
        <v>747</v>
      </c>
      <c r="B1047" s="47">
        <v>44501</v>
      </c>
      <c r="C1047" t="s">
        <v>502</v>
      </c>
      <c r="D1047">
        <v>859</v>
      </c>
    </row>
    <row r="1048" spans="1:4" x14ac:dyDescent="0.35">
      <c r="A1048" t="s">
        <v>747</v>
      </c>
      <c r="B1048" s="47">
        <v>44501</v>
      </c>
      <c r="C1048" t="s">
        <v>499</v>
      </c>
      <c r="D1048">
        <v>1868</v>
      </c>
    </row>
    <row r="1049" spans="1:4" x14ac:dyDescent="0.35">
      <c r="A1049" t="s">
        <v>747</v>
      </c>
      <c r="B1049" s="47">
        <v>44501</v>
      </c>
      <c r="C1049" t="s">
        <v>590</v>
      </c>
      <c r="D1049">
        <v>178</v>
      </c>
    </row>
    <row r="1050" spans="1:4" x14ac:dyDescent="0.35">
      <c r="A1050" t="s">
        <v>747</v>
      </c>
      <c r="B1050" s="47">
        <v>44501</v>
      </c>
      <c r="C1050" t="s">
        <v>590</v>
      </c>
      <c r="D1050">
        <v>242</v>
      </c>
    </row>
    <row r="1051" spans="1:4" x14ac:dyDescent="0.35">
      <c r="A1051" t="s">
        <v>747</v>
      </c>
      <c r="B1051" s="47">
        <v>44501</v>
      </c>
      <c r="C1051" t="s">
        <v>530</v>
      </c>
      <c r="D1051">
        <v>4399</v>
      </c>
    </row>
    <row r="1052" spans="1:4" x14ac:dyDescent="0.35">
      <c r="A1052" t="s">
        <v>747</v>
      </c>
      <c r="B1052" s="47">
        <v>44501</v>
      </c>
      <c r="C1052" t="s">
        <v>443</v>
      </c>
      <c r="D1052">
        <v>2300</v>
      </c>
    </row>
    <row r="1053" spans="1:4" x14ac:dyDescent="0.35">
      <c r="A1053" t="s">
        <v>747</v>
      </c>
      <c r="B1053" s="47">
        <v>44501</v>
      </c>
      <c r="C1053" t="s">
        <v>505</v>
      </c>
      <c r="D1053">
        <v>7366</v>
      </c>
    </row>
    <row r="1054" spans="1:4" x14ac:dyDescent="0.35">
      <c r="A1054" t="s">
        <v>748</v>
      </c>
      <c r="B1054" s="47">
        <v>44502</v>
      </c>
      <c r="C1054" t="s">
        <v>441</v>
      </c>
      <c r="D1054">
        <v>581</v>
      </c>
    </row>
    <row r="1055" spans="1:4" x14ac:dyDescent="0.35">
      <c r="A1055" t="s">
        <v>748</v>
      </c>
      <c r="B1055" s="47">
        <v>44502</v>
      </c>
      <c r="C1055" t="s">
        <v>526</v>
      </c>
      <c r="D1055">
        <v>14952</v>
      </c>
    </row>
    <row r="1056" spans="1:4" x14ac:dyDescent="0.35">
      <c r="A1056" t="s">
        <v>748</v>
      </c>
      <c r="B1056" s="47">
        <v>44502</v>
      </c>
      <c r="C1056" t="s">
        <v>489</v>
      </c>
      <c r="D1056">
        <v>122</v>
      </c>
    </row>
    <row r="1057" spans="1:4" x14ac:dyDescent="0.35">
      <c r="A1057" t="s">
        <v>748</v>
      </c>
      <c r="B1057" s="47">
        <v>44502</v>
      </c>
      <c r="C1057" t="s">
        <v>489</v>
      </c>
      <c r="D1057">
        <v>563</v>
      </c>
    </row>
    <row r="1058" spans="1:4" x14ac:dyDescent="0.35">
      <c r="A1058" t="s">
        <v>748</v>
      </c>
      <c r="B1058" s="47">
        <v>44502</v>
      </c>
      <c r="C1058" t="s">
        <v>441</v>
      </c>
      <c r="D1058">
        <v>917</v>
      </c>
    </row>
    <row r="1059" spans="1:4" x14ac:dyDescent="0.35">
      <c r="A1059" t="s">
        <v>749</v>
      </c>
      <c r="B1059" s="47">
        <v>44503</v>
      </c>
      <c r="C1059" t="s">
        <v>489</v>
      </c>
      <c r="D1059">
        <v>344</v>
      </c>
    </row>
    <row r="1060" spans="1:4" x14ac:dyDescent="0.35">
      <c r="A1060" t="s">
        <v>749</v>
      </c>
      <c r="B1060" s="47">
        <v>44503</v>
      </c>
      <c r="C1060" t="s">
        <v>483</v>
      </c>
      <c r="D1060">
        <v>5817</v>
      </c>
    </row>
    <row r="1061" spans="1:4" x14ac:dyDescent="0.35">
      <c r="A1061" t="s">
        <v>749</v>
      </c>
      <c r="B1061" s="47">
        <v>44503</v>
      </c>
      <c r="C1061" t="s">
        <v>483</v>
      </c>
      <c r="D1061">
        <v>2583</v>
      </c>
    </row>
    <row r="1062" spans="1:4" x14ac:dyDescent="0.35">
      <c r="A1062" t="s">
        <v>749</v>
      </c>
      <c r="B1062" s="47">
        <v>44503</v>
      </c>
      <c r="C1062" t="s">
        <v>495</v>
      </c>
      <c r="D1062">
        <v>200</v>
      </c>
    </row>
    <row r="1063" spans="1:4" x14ac:dyDescent="0.35">
      <c r="A1063" t="s">
        <v>749</v>
      </c>
      <c r="B1063" s="47">
        <v>44503</v>
      </c>
      <c r="C1063" t="s">
        <v>530</v>
      </c>
      <c r="D1063">
        <v>2459</v>
      </c>
    </row>
    <row r="1064" spans="1:4" x14ac:dyDescent="0.35">
      <c r="A1064" t="s">
        <v>749</v>
      </c>
      <c r="B1064" s="47">
        <v>44503</v>
      </c>
      <c r="C1064" t="s">
        <v>530</v>
      </c>
      <c r="D1064">
        <v>2138</v>
      </c>
    </row>
    <row r="1065" spans="1:4" x14ac:dyDescent="0.35">
      <c r="A1065" t="s">
        <v>749</v>
      </c>
      <c r="B1065" s="47">
        <v>44503</v>
      </c>
      <c r="C1065" t="s">
        <v>534</v>
      </c>
      <c r="D1065">
        <v>2610</v>
      </c>
    </row>
    <row r="1066" spans="1:4" x14ac:dyDescent="0.35">
      <c r="A1066" t="s">
        <v>750</v>
      </c>
      <c r="B1066" s="47">
        <v>44504</v>
      </c>
      <c r="C1066" t="s">
        <v>441</v>
      </c>
      <c r="D1066">
        <v>1494</v>
      </c>
    </row>
    <row r="1067" spans="1:4" x14ac:dyDescent="0.35">
      <c r="A1067" t="s">
        <v>712</v>
      </c>
      <c r="B1067" s="47">
        <v>44465</v>
      </c>
      <c r="C1067" t="s">
        <v>505</v>
      </c>
      <c r="D1067">
        <v>418</v>
      </c>
    </row>
    <row r="1068" spans="1:4" x14ac:dyDescent="0.35">
      <c r="A1068" t="s">
        <v>751</v>
      </c>
      <c r="B1068" s="47">
        <v>44506</v>
      </c>
      <c r="C1068" t="s">
        <v>546</v>
      </c>
      <c r="D1068">
        <v>2379</v>
      </c>
    </row>
    <row r="1069" spans="1:4" x14ac:dyDescent="0.35">
      <c r="A1069" t="s">
        <v>751</v>
      </c>
      <c r="B1069" s="47">
        <v>44506</v>
      </c>
      <c r="C1069" t="s">
        <v>446</v>
      </c>
      <c r="D1069">
        <v>3129</v>
      </c>
    </row>
    <row r="1070" spans="1:4" x14ac:dyDescent="0.35">
      <c r="A1070" t="s">
        <v>751</v>
      </c>
      <c r="B1070" s="47">
        <v>44506</v>
      </c>
      <c r="C1070" t="s">
        <v>590</v>
      </c>
      <c r="D1070">
        <v>1309</v>
      </c>
    </row>
    <row r="1071" spans="1:4" x14ac:dyDescent="0.35">
      <c r="A1071" t="s">
        <v>751</v>
      </c>
      <c r="B1071" s="47">
        <v>44506</v>
      </c>
      <c r="C1071" t="s">
        <v>485</v>
      </c>
      <c r="D1071">
        <v>1500</v>
      </c>
    </row>
    <row r="1072" spans="1:4" x14ac:dyDescent="0.35">
      <c r="A1072" t="s">
        <v>751</v>
      </c>
      <c r="B1072" s="47">
        <v>44506</v>
      </c>
      <c r="C1072" t="s">
        <v>552</v>
      </c>
      <c r="D1072">
        <v>146</v>
      </c>
    </row>
    <row r="1073" spans="1:4" x14ac:dyDescent="0.35">
      <c r="A1073" t="s">
        <v>751</v>
      </c>
      <c r="B1073" s="47">
        <v>44506</v>
      </c>
      <c r="C1073" t="s">
        <v>446</v>
      </c>
      <c r="D1073">
        <v>1678</v>
      </c>
    </row>
    <row r="1074" spans="1:4" x14ac:dyDescent="0.35">
      <c r="A1074" t="s">
        <v>751</v>
      </c>
      <c r="B1074" s="47">
        <v>44506</v>
      </c>
      <c r="C1074" t="s">
        <v>446</v>
      </c>
      <c r="D1074">
        <v>1093</v>
      </c>
    </row>
    <row r="1075" spans="1:4" x14ac:dyDescent="0.35">
      <c r="A1075" t="s">
        <v>751</v>
      </c>
      <c r="B1075" s="47">
        <v>44506</v>
      </c>
      <c r="C1075" t="s">
        <v>446</v>
      </c>
      <c r="D1075">
        <v>482</v>
      </c>
    </row>
    <row r="1076" spans="1:4" x14ac:dyDescent="0.35">
      <c r="A1076" t="s">
        <v>752</v>
      </c>
      <c r="B1076" s="47">
        <v>44507</v>
      </c>
      <c r="C1076" t="s">
        <v>746</v>
      </c>
      <c r="D1076">
        <v>70</v>
      </c>
    </row>
    <row r="1077" spans="1:4" x14ac:dyDescent="0.35">
      <c r="A1077" t="s">
        <v>752</v>
      </c>
      <c r="B1077" s="47">
        <v>44507</v>
      </c>
      <c r="C1077" t="s">
        <v>746</v>
      </c>
      <c r="D1077">
        <v>31</v>
      </c>
    </row>
    <row r="1078" spans="1:4" x14ac:dyDescent="0.35">
      <c r="A1078" t="s">
        <v>753</v>
      </c>
      <c r="B1078" s="47">
        <v>44508</v>
      </c>
      <c r="C1078" t="s">
        <v>443</v>
      </c>
      <c r="D1078">
        <v>2586</v>
      </c>
    </row>
    <row r="1079" spans="1:4" x14ac:dyDescent="0.35">
      <c r="A1079" t="s">
        <v>753</v>
      </c>
      <c r="B1079" s="47">
        <v>44508</v>
      </c>
      <c r="C1079" t="s">
        <v>526</v>
      </c>
      <c r="D1079">
        <v>12718</v>
      </c>
    </row>
    <row r="1080" spans="1:4" x14ac:dyDescent="0.35">
      <c r="A1080" t="s">
        <v>753</v>
      </c>
      <c r="B1080" s="47">
        <v>44508</v>
      </c>
      <c r="C1080" t="s">
        <v>444</v>
      </c>
      <c r="D1080">
        <v>1010</v>
      </c>
    </row>
    <row r="1081" spans="1:4" x14ac:dyDescent="0.35">
      <c r="A1081" t="s">
        <v>753</v>
      </c>
      <c r="B1081" s="47">
        <v>44508</v>
      </c>
      <c r="C1081" t="s">
        <v>494</v>
      </c>
      <c r="D1081">
        <v>10000</v>
      </c>
    </row>
    <row r="1082" spans="1:4" x14ac:dyDescent="0.35">
      <c r="A1082" t="s">
        <v>753</v>
      </c>
      <c r="B1082" s="47">
        <v>44508</v>
      </c>
      <c r="C1082" t="s">
        <v>444</v>
      </c>
      <c r="D1082">
        <v>997</v>
      </c>
    </row>
    <row r="1083" spans="1:4" x14ac:dyDescent="0.35">
      <c r="A1083" t="s">
        <v>753</v>
      </c>
      <c r="B1083" s="47">
        <v>44508</v>
      </c>
      <c r="C1083" t="s">
        <v>754</v>
      </c>
      <c r="D1083">
        <v>429</v>
      </c>
    </row>
    <row r="1084" spans="1:4" x14ac:dyDescent="0.35">
      <c r="A1084" t="s">
        <v>753</v>
      </c>
      <c r="B1084" s="47">
        <v>44508</v>
      </c>
      <c r="C1084" t="s">
        <v>666</v>
      </c>
      <c r="D1084">
        <v>59</v>
      </c>
    </row>
    <row r="1085" spans="1:4" x14ac:dyDescent="0.35">
      <c r="A1085" t="s">
        <v>753</v>
      </c>
      <c r="B1085" s="47">
        <v>44508</v>
      </c>
      <c r="C1085" t="s">
        <v>666</v>
      </c>
      <c r="D1085">
        <v>519</v>
      </c>
    </row>
    <row r="1086" spans="1:4" x14ac:dyDescent="0.35">
      <c r="A1086" t="s">
        <v>753</v>
      </c>
      <c r="B1086" s="47">
        <v>44508</v>
      </c>
      <c r="C1086" t="s">
        <v>665</v>
      </c>
      <c r="D1086">
        <v>1004</v>
      </c>
    </row>
    <row r="1087" spans="1:4" x14ac:dyDescent="0.35">
      <c r="A1087" t="s">
        <v>753</v>
      </c>
      <c r="B1087" s="47">
        <v>44508</v>
      </c>
      <c r="C1087" t="s">
        <v>506</v>
      </c>
      <c r="D1087">
        <v>4832</v>
      </c>
    </row>
    <row r="1088" spans="1:4" x14ac:dyDescent="0.35">
      <c r="A1088" t="s">
        <v>755</v>
      </c>
      <c r="B1088" s="47">
        <v>44509</v>
      </c>
      <c r="C1088" t="s">
        <v>530</v>
      </c>
      <c r="D1088">
        <v>5026</v>
      </c>
    </row>
    <row r="1089" spans="1:4" x14ac:dyDescent="0.35">
      <c r="A1089" t="s">
        <v>755</v>
      </c>
      <c r="B1089" s="47">
        <v>44509</v>
      </c>
      <c r="C1089" t="s">
        <v>441</v>
      </c>
      <c r="D1089">
        <v>1845</v>
      </c>
    </row>
    <row r="1090" spans="1:4" x14ac:dyDescent="0.35">
      <c r="A1090" t="s">
        <v>755</v>
      </c>
      <c r="B1090" s="47">
        <v>44509</v>
      </c>
      <c r="C1090" t="s">
        <v>505</v>
      </c>
      <c r="D1090">
        <v>6428</v>
      </c>
    </row>
    <row r="1091" spans="1:4" x14ac:dyDescent="0.35">
      <c r="A1091" t="s">
        <v>756</v>
      </c>
      <c r="B1091" s="47">
        <v>44510</v>
      </c>
      <c r="C1091" t="s">
        <v>570</v>
      </c>
      <c r="D1091">
        <v>4129</v>
      </c>
    </row>
    <row r="1092" spans="1:4" x14ac:dyDescent="0.35">
      <c r="A1092" t="s">
        <v>756</v>
      </c>
      <c r="B1092" s="47">
        <v>44510</v>
      </c>
      <c r="C1092" t="s">
        <v>570</v>
      </c>
      <c r="D1092">
        <v>778</v>
      </c>
    </row>
    <row r="1093" spans="1:4" x14ac:dyDescent="0.35">
      <c r="A1093" t="s">
        <v>756</v>
      </c>
      <c r="B1093" s="47">
        <v>44510</v>
      </c>
      <c r="C1093" t="s">
        <v>579</v>
      </c>
      <c r="D1093">
        <v>441</v>
      </c>
    </row>
    <row r="1094" spans="1:4" x14ac:dyDescent="0.35">
      <c r="A1094" t="s">
        <v>756</v>
      </c>
      <c r="B1094" s="47">
        <v>44510</v>
      </c>
      <c r="C1094" t="s">
        <v>579</v>
      </c>
      <c r="D1094">
        <v>1472</v>
      </c>
    </row>
    <row r="1095" spans="1:4" x14ac:dyDescent="0.35">
      <c r="A1095" t="s">
        <v>756</v>
      </c>
      <c r="B1095" s="47">
        <v>44510</v>
      </c>
      <c r="C1095" t="s">
        <v>449</v>
      </c>
      <c r="D1095">
        <v>3053</v>
      </c>
    </row>
    <row r="1096" spans="1:4" x14ac:dyDescent="0.35">
      <c r="A1096" t="s">
        <v>756</v>
      </c>
      <c r="B1096" s="47">
        <v>44510</v>
      </c>
      <c r="C1096" t="s">
        <v>497</v>
      </c>
      <c r="D1096">
        <v>167</v>
      </c>
    </row>
    <row r="1097" spans="1:4" x14ac:dyDescent="0.35">
      <c r="A1097" t="s">
        <v>756</v>
      </c>
      <c r="B1097" s="47">
        <v>44510</v>
      </c>
      <c r="C1097" t="s">
        <v>497</v>
      </c>
      <c r="D1097">
        <v>891</v>
      </c>
    </row>
    <row r="1098" spans="1:4" x14ac:dyDescent="0.35">
      <c r="A1098" t="s">
        <v>756</v>
      </c>
      <c r="B1098" s="47">
        <v>44510</v>
      </c>
      <c r="C1098" t="s">
        <v>443</v>
      </c>
      <c r="D1098">
        <v>2678</v>
      </c>
    </row>
    <row r="1099" spans="1:4" x14ac:dyDescent="0.35">
      <c r="A1099" t="s">
        <v>756</v>
      </c>
      <c r="B1099" s="47">
        <v>44510</v>
      </c>
      <c r="C1099" t="s">
        <v>441</v>
      </c>
      <c r="D1099">
        <v>1572</v>
      </c>
    </row>
    <row r="1100" spans="1:4" x14ac:dyDescent="0.35">
      <c r="A1100" t="s">
        <v>756</v>
      </c>
      <c r="B1100" s="47">
        <v>44510</v>
      </c>
      <c r="C1100" t="s">
        <v>443</v>
      </c>
      <c r="D1100">
        <v>3230</v>
      </c>
    </row>
    <row r="1101" spans="1:4" x14ac:dyDescent="0.35">
      <c r="A1101" t="s">
        <v>757</v>
      </c>
      <c r="B1101" s="47">
        <v>44511</v>
      </c>
      <c r="C1101" t="s">
        <v>530</v>
      </c>
      <c r="D1101">
        <v>1912</v>
      </c>
    </row>
    <row r="1102" spans="1:4" x14ac:dyDescent="0.35">
      <c r="A1102" t="s">
        <v>757</v>
      </c>
      <c r="B1102" s="47">
        <v>44511</v>
      </c>
      <c r="C1102" t="s">
        <v>530</v>
      </c>
      <c r="D1102">
        <v>1752</v>
      </c>
    </row>
    <row r="1103" spans="1:4" x14ac:dyDescent="0.35">
      <c r="A1103" t="s">
        <v>758</v>
      </c>
      <c r="B1103" s="47">
        <v>44513</v>
      </c>
      <c r="C1103" t="s">
        <v>553</v>
      </c>
      <c r="D1103">
        <v>1102</v>
      </c>
    </row>
    <row r="1104" spans="1:4" x14ac:dyDescent="0.35">
      <c r="A1104" t="s">
        <v>758</v>
      </c>
      <c r="B1104" s="47">
        <v>44513</v>
      </c>
      <c r="C1104" t="s">
        <v>553</v>
      </c>
      <c r="D1104">
        <v>218</v>
      </c>
    </row>
    <row r="1105" spans="1:4" x14ac:dyDescent="0.35">
      <c r="A1105" t="s">
        <v>758</v>
      </c>
      <c r="B1105" s="47">
        <v>44513</v>
      </c>
      <c r="C1105" t="s">
        <v>509</v>
      </c>
      <c r="D1105">
        <v>13491</v>
      </c>
    </row>
    <row r="1106" spans="1:4" x14ac:dyDescent="0.35">
      <c r="A1106" t="s">
        <v>758</v>
      </c>
      <c r="B1106" s="47">
        <v>44513</v>
      </c>
      <c r="C1106" t="s">
        <v>449</v>
      </c>
      <c r="D1106">
        <v>3000</v>
      </c>
    </row>
    <row r="1107" spans="1:4" x14ac:dyDescent="0.35">
      <c r="A1107" t="s">
        <v>758</v>
      </c>
      <c r="B1107" s="47">
        <v>44513</v>
      </c>
      <c r="C1107" t="s">
        <v>451</v>
      </c>
      <c r="D1107">
        <v>1774</v>
      </c>
    </row>
    <row r="1108" spans="1:4" x14ac:dyDescent="0.35">
      <c r="A1108" t="s">
        <v>758</v>
      </c>
      <c r="B1108" s="47">
        <v>44513</v>
      </c>
      <c r="C1108" t="s">
        <v>492</v>
      </c>
      <c r="D1108">
        <v>1202</v>
      </c>
    </row>
    <row r="1109" spans="1:4" x14ac:dyDescent="0.35">
      <c r="A1109" t="s">
        <v>758</v>
      </c>
      <c r="B1109" s="47">
        <v>44513</v>
      </c>
      <c r="C1109" t="s">
        <v>443</v>
      </c>
      <c r="D1109">
        <v>2282</v>
      </c>
    </row>
    <row r="1110" spans="1:4" x14ac:dyDescent="0.35">
      <c r="A1110" t="s">
        <v>758</v>
      </c>
      <c r="B1110" s="47">
        <v>44513</v>
      </c>
      <c r="C1110" t="s">
        <v>461</v>
      </c>
      <c r="D1110">
        <v>14</v>
      </c>
    </row>
    <row r="1111" spans="1:4" x14ac:dyDescent="0.35">
      <c r="A1111" t="s">
        <v>758</v>
      </c>
      <c r="B1111" s="47">
        <v>44513</v>
      </c>
      <c r="C1111" t="s">
        <v>461</v>
      </c>
      <c r="D1111">
        <v>298</v>
      </c>
    </row>
    <row r="1112" spans="1:4" x14ac:dyDescent="0.35">
      <c r="A1112" t="s">
        <v>759</v>
      </c>
      <c r="B1112" s="47">
        <v>44514</v>
      </c>
      <c r="C1112" t="s">
        <v>581</v>
      </c>
      <c r="D1112">
        <v>334</v>
      </c>
    </row>
    <row r="1113" spans="1:4" x14ac:dyDescent="0.35">
      <c r="A1113" t="s">
        <v>759</v>
      </c>
      <c r="B1113" s="47">
        <v>44514</v>
      </c>
      <c r="C1113" t="s">
        <v>575</v>
      </c>
      <c r="D1113">
        <v>328</v>
      </c>
    </row>
    <row r="1114" spans="1:4" x14ac:dyDescent="0.35">
      <c r="A1114" t="s">
        <v>759</v>
      </c>
      <c r="B1114" s="47">
        <v>44514</v>
      </c>
      <c r="C1114" t="s">
        <v>575</v>
      </c>
      <c r="D1114">
        <v>176</v>
      </c>
    </row>
    <row r="1115" spans="1:4" x14ac:dyDescent="0.35">
      <c r="A1115" t="s">
        <v>759</v>
      </c>
      <c r="B1115" s="47">
        <v>44514</v>
      </c>
      <c r="C1115" t="s">
        <v>443</v>
      </c>
      <c r="D1115">
        <v>1930</v>
      </c>
    </row>
    <row r="1116" spans="1:4" x14ac:dyDescent="0.35">
      <c r="A1116" t="s">
        <v>759</v>
      </c>
      <c r="B1116" s="47">
        <v>44514</v>
      </c>
      <c r="C1116" t="s">
        <v>443</v>
      </c>
      <c r="D1116">
        <v>3085</v>
      </c>
    </row>
    <row r="1117" spans="1:4" x14ac:dyDescent="0.35">
      <c r="A1117" t="s">
        <v>759</v>
      </c>
      <c r="B1117" s="47">
        <v>44514</v>
      </c>
      <c r="C1117" t="s">
        <v>546</v>
      </c>
      <c r="D1117">
        <v>917</v>
      </c>
    </row>
    <row r="1118" spans="1:4" x14ac:dyDescent="0.35">
      <c r="A1118" t="s">
        <v>759</v>
      </c>
      <c r="B1118" s="47">
        <v>44514</v>
      </c>
      <c r="C1118" t="s">
        <v>441</v>
      </c>
      <c r="D1118">
        <v>1268</v>
      </c>
    </row>
    <row r="1119" spans="1:4" x14ac:dyDescent="0.35">
      <c r="A1119" t="s">
        <v>759</v>
      </c>
      <c r="B1119" s="47">
        <v>44514</v>
      </c>
      <c r="C1119" t="s">
        <v>461</v>
      </c>
      <c r="D1119">
        <v>377</v>
      </c>
    </row>
    <row r="1120" spans="1:4" x14ac:dyDescent="0.35">
      <c r="A1120" t="s">
        <v>759</v>
      </c>
      <c r="B1120" s="47">
        <v>44514</v>
      </c>
      <c r="C1120" t="s">
        <v>546</v>
      </c>
      <c r="D1120">
        <v>706</v>
      </c>
    </row>
    <row r="1121" spans="1:4" x14ac:dyDescent="0.35">
      <c r="A1121" t="s">
        <v>759</v>
      </c>
      <c r="B1121" s="47">
        <v>44514</v>
      </c>
      <c r="C1121" t="s">
        <v>546</v>
      </c>
      <c r="D1121">
        <v>1696</v>
      </c>
    </row>
    <row r="1122" spans="1:4" x14ac:dyDescent="0.35">
      <c r="A1122" t="s">
        <v>759</v>
      </c>
      <c r="B1122" s="47">
        <v>44514</v>
      </c>
      <c r="C1122" t="s">
        <v>495</v>
      </c>
      <c r="D1122">
        <v>1169</v>
      </c>
    </row>
    <row r="1123" spans="1:4" x14ac:dyDescent="0.35">
      <c r="A1123" t="s">
        <v>762</v>
      </c>
      <c r="B1123" s="47">
        <v>44515</v>
      </c>
      <c r="C1123" t="s">
        <v>499</v>
      </c>
      <c r="D1123">
        <v>2812</v>
      </c>
    </row>
    <row r="1124" spans="1:4" x14ac:dyDescent="0.35">
      <c r="A1124" t="s">
        <v>762</v>
      </c>
      <c r="B1124" s="47">
        <v>44515</v>
      </c>
      <c r="C1124" t="s">
        <v>526</v>
      </c>
      <c r="D1124">
        <v>14584</v>
      </c>
    </row>
    <row r="1125" spans="1:4" x14ac:dyDescent="0.35">
      <c r="A1125" t="s">
        <v>762</v>
      </c>
      <c r="B1125" s="47">
        <v>44515</v>
      </c>
      <c r="C1125" t="s">
        <v>443</v>
      </c>
      <c r="D1125">
        <v>7000</v>
      </c>
    </row>
    <row r="1126" spans="1:4" x14ac:dyDescent="0.35">
      <c r="A1126" t="s">
        <v>762</v>
      </c>
      <c r="B1126" s="47">
        <v>44515</v>
      </c>
      <c r="C1126" t="s">
        <v>546</v>
      </c>
      <c r="D1126">
        <v>1091</v>
      </c>
    </row>
    <row r="1127" spans="1:4" x14ac:dyDescent="0.35">
      <c r="A1127" t="s">
        <v>763</v>
      </c>
      <c r="B1127" s="47">
        <v>44516</v>
      </c>
      <c r="C1127" t="s">
        <v>577</v>
      </c>
      <c r="D1127">
        <v>54</v>
      </c>
    </row>
    <row r="1128" spans="1:4" x14ac:dyDescent="0.35">
      <c r="A1128" t="s">
        <v>763</v>
      </c>
      <c r="B1128" s="47">
        <v>44516</v>
      </c>
      <c r="C1128" t="s">
        <v>577</v>
      </c>
      <c r="D1128">
        <v>52</v>
      </c>
    </row>
    <row r="1129" spans="1:4" x14ac:dyDescent="0.35">
      <c r="A1129" t="s">
        <v>763</v>
      </c>
      <c r="B1129" s="47">
        <v>44516</v>
      </c>
      <c r="C1129" t="s">
        <v>546</v>
      </c>
      <c r="D1129">
        <v>812</v>
      </c>
    </row>
    <row r="1130" spans="1:4" x14ac:dyDescent="0.35">
      <c r="A1130" t="s">
        <v>763</v>
      </c>
      <c r="B1130" s="47">
        <v>44516</v>
      </c>
      <c r="C1130" t="s">
        <v>530</v>
      </c>
      <c r="D1130">
        <v>3067</v>
      </c>
    </row>
    <row r="1131" spans="1:4" x14ac:dyDescent="0.35">
      <c r="A1131" t="s">
        <v>763</v>
      </c>
      <c r="B1131" s="47">
        <v>44516</v>
      </c>
      <c r="C1131" t="s">
        <v>443</v>
      </c>
      <c r="D1131">
        <v>2773</v>
      </c>
    </row>
    <row r="1132" spans="1:4" x14ac:dyDescent="0.35">
      <c r="A1132" t="s">
        <v>763</v>
      </c>
      <c r="B1132" s="47">
        <v>44516</v>
      </c>
      <c r="C1132" t="s">
        <v>441</v>
      </c>
      <c r="D1132">
        <v>1379</v>
      </c>
    </row>
    <row r="1133" spans="1:4" x14ac:dyDescent="0.35">
      <c r="A1133" t="s">
        <v>763</v>
      </c>
      <c r="B1133" s="47">
        <v>44516</v>
      </c>
      <c r="C1133" t="s">
        <v>449</v>
      </c>
      <c r="D1133">
        <v>6000</v>
      </c>
    </row>
    <row r="1134" spans="1:4" x14ac:dyDescent="0.35">
      <c r="A1134" t="s">
        <v>763</v>
      </c>
      <c r="B1134" s="47">
        <v>44516</v>
      </c>
      <c r="C1134" t="s">
        <v>764</v>
      </c>
      <c r="D1134">
        <v>380</v>
      </c>
    </row>
    <row r="1135" spans="1:4" x14ac:dyDescent="0.35">
      <c r="A1135" t="s">
        <v>763</v>
      </c>
      <c r="B1135" s="47">
        <v>44516</v>
      </c>
      <c r="C1135" t="s">
        <v>505</v>
      </c>
      <c r="D1135">
        <v>6479</v>
      </c>
    </row>
    <row r="1136" spans="1:4" x14ac:dyDescent="0.35">
      <c r="A1136" t="s">
        <v>763</v>
      </c>
      <c r="B1136" s="47">
        <v>44516</v>
      </c>
      <c r="C1136" t="s">
        <v>765</v>
      </c>
      <c r="D1136">
        <v>4482</v>
      </c>
    </row>
    <row r="1137" spans="1:4" x14ac:dyDescent="0.35">
      <c r="A1137" t="s">
        <v>763</v>
      </c>
      <c r="B1137" s="47">
        <v>44516</v>
      </c>
      <c r="C1137" t="s">
        <v>765</v>
      </c>
      <c r="D1137">
        <v>312</v>
      </c>
    </row>
    <row r="1138" spans="1:4" x14ac:dyDescent="0.35">
      <c r="A1138" t="s">
        <v>766</v>
      </c>
      <c r="B1138" s="47">
        <v>44517</v>
      </c>
      <c r="C1138" t="s">
        <v>456</v>
      </c>
      <c r="D1138">
        <v>651</v>
      </c>
    </row>
    <row r="1139" spans="1:4" x14ac:dyDescent="0.35">
      <c r="A1139" t="s">
        <v>766</v>
      </c>
      <c r="B1139" s="47">
        <v>44517</v>
      </c>
      <c r="C1139" t="s">
        <v>456</v>
      </c>
      <c r="D1139">
        <v>1018</v>
      </c>
    </row>
    <row r="1140" spans="1:4" x14ac:dyDescent="0.35">
      <c r="A1140" t="s">
        <v>766</v>
      </c>
      <c r="B1140" s="47">
        <v>44517</v>
      </c>
      <c r="C1140" t="s">
        <v>456</v>
      </c>
      <c r="D1140">
        <v>4437</v>
      </c>
    </row>
    <row r="1141" spans="1:4" x14ac:dyDescent="0.35">
      <c r="A1141" t="s">
        <v>766</v>
      </c>
      <c r="B1141" s="47">
        <v>44517</v>
      </c>
      <c r="C1141" t="s">
        <v>485</v>
      </c>
      <c r="D1141">
        <v>862</v>
      </c>
    </row>
    <row r="1142" spans="1:4" x14ac:dyDescent="0.35">
      <c r="A1142" t="s">
        <v>763</v>
      </c>
      <c r="B1142" s="47">
        <v>44516</v>
      </c>
      <c r="C1142" t="s">
        <v>764</v>
      </c>
      <c r="D1142">
        <v>320</v>
      </c>
    </row>
    <row r="1143" spans="1:4" x14ac:dyDescent="0.35">
      <c r="A1143" t="s">
        <v>766</v>
      </c>
      <c r="B1143" s="47">
        <v>44517</v>
      </c>
      <c r="C1143" t="s">
        <v>485</v>
      </c>
      <c r="D1143">
        <v>870</v>
      </c>
    </row>
    <row r="1144" spans="1:4" x14ac:dyDescent="0.35">
      <c r="A1144" t="s">
        <v>766</v>
      </c>
      <c r="B1144" s="47">
        <v>44517</v>
      </c>
      <c r="C1144" t="s">
        <v>507</v>
      </c>
      <c r="D1144">
        <v>2870</v>
      </c>
    </row>
    <row r="1145" spans="1:4" x14ac:dyDescent="0.35">
      <c r="A1145" t="s">
        <v>766</v>
      </c>
      <c r="B1145" s="47">
        <v>44517</v>
      </c>
      <c r="C1145" t="s">
        <v>554</v>
      </c>
      <c r="D1145">
        <v>828</v>
      </c>
    </row>
    <row r="1146" spans="1:4" x14ac:dyDescent="0.35">
      <c r="A1146" t="s">
        <v>766</v>
      </c>
      <c r="B1146" s="47">
        <v>44517</v>
      </c>
      <c r="C1146" t="s">
        <v>554</v>
      </c>
      <c r="D1146">
        <v>643</v>
      </c>
    </row>
    <row r="1147" spans="1:4" x14ac:dyDescent="0.35">
      <c r="A1147" t="s">
        <v>766</v>
      </c>
      <c r="B1147" s="47">
        <v>44517</v>
      </c>
      <c r="C1147" t="s">
        <v>554</v>
      </c>
      <c r="D1147">
        <v>17</v>
      </c>
    </row>
    <row r="1148" spans="1:4" x14ac:dyDescent="0.35">
      <c r="A1148" t="s">
        <v>766</v>
      </c>
      <c r="B1148" s="47">
        <v>44517</v>
      </c>
      <c r="C1148" t="s">
        <v>554</v>
      </c>
      <c r="D1148">
        <v>578</v>
      </c>
    </row>
    <row r="1149" spans="1:4" x14ac:dyDescent="0.35">
      <c r="A1149" t="s">
        <v>766</v>
      </c>
      <c r="B1149" s="47">
        <v>44517</v>
      </c>
      <c r="C1149" t="s">
        <v>590</v>
      </c>
      <c r="D1149">
        <v>346</v>
      </c>
    </row>
    <row r="1150" spans="1:4" x14ac:dyDescent="0.35">
      <c r="A1150" t="s">
        <v>766</v>
      </c>
      <c r="B1150" s="47">
        <v>44517</v>
      </c>
      <c r="C1150" t="s">
        <v>590</v>
      </c>
      <c r="D1150">
        <v>203</v>
      </c>
    </row>
    <row r="1151" spans="1:4" x14ac:dyDescent="0.35">
      <c r="A1151" t="s">
        <v>766</v>
      </c>
      <c r="B1151" s="47">
        <v>44517</v>
      </c>
      <c r="C1151" t="s">
        <v>590</v>
      </c>
      <c r="D1151">
        <v>153</v>
      </c>
    </row>
    <row r="1152" spans="1:4" x14ac:dyDescent="0.35">
      <c r="A1152" t="s">
        <v>766</v>
      </c>
      <c r="B1152" s="47">
        <v>44517</v>
      </c>
      <c r="C1152" t="s">
        <v>511</v>
      </c>
      <c r="D1152">
        <v>325</v>
      </c>
    </row>
    <row r="1153" spans="1:4" x14ac:dyDescent="0.35">
      <c r="A1153" t="s">
        <v>767</v>
      </c>
      <c r="B1153" s="47">
        <v>44518</v>
      </c>
      <c r="C1153" t="s">
        <v>441</v>
      </c>
      <c r="D1153">
        <v>918</v>
      </c>
    </row>
    <row r="1154" spans="1:4" x14ac:dyDescent="0.35">
      <c r="A1154" t="s">
        <v>767</v>
      </c>
      <c r="B1154" s="47">
        <v>44518</v>
      </c>
      <c r="C1154" t="s">
        <v>530</v>
      </c>
      <c r="D1154">
        <v>2579</v>
      </c>
    </row>
    <row r="1155" spans="1:4" x14ac:dyDescent="0.35">
      <c r="A1155" t="s">
        <v>767</v>
      </c>
      <c r="B1155" s="47">
        <v>44518</v>
      </c>
      <c r="C1155" t="s">
        <v>526</v>
      </c>
      <c r="D1155">
        <v>14721</v>
      </c>
    </row>
    <row r="1156" spans="1:4" x14ac:dyDescent="0.35">
      <c r="A1156" t="s">
        <v>767</v>
      </c>
      <c r="B1156" s="47">
        <v>44518</v>
      </c>
      <c r="C1156" t="s">
        <v>443</v>
      </c>
      <c r="D1156">
        <v>2810</v>
      </c>
    </row>
    <row r="1157" spans="1:4" x14ac:dyDescent="0.35">
      <c r="A1157" t="s">
        <v>767</v>
      </c>
      <c r="B1157" s="47">
        <v>44518</v>
      </c>
      <c r="C1157" t="s">
        <v>546</v>
      </c>
      <c r="D1157">
        <v>1576</v>
      </c>
    </row>
    <row r="1158" spans="1:4" x14ac:dyDescent="0.35">
      <c r="A1158" t="s">
        <v>767</v>
      </c>
      <c r="B1158" s="47">
        <v>44518</v>
      </c>
      <c r="C1158" t="s">
        <v>480</v>
      </c>
      <c r="D1158">
        <v>2469</v>
      </c>
    </row>
    <row r="1159" spans="1:4" x14ac:dyDescent="0.35">
      <c r="A1159" t="s">
        <v>768</v>
      </c>
      <c r="B1159" s="47">
        <v>44520</v>
      </c>
      <c r="C1159" t="s">
        <v>546</v>
      </c>
      <c r="D1159">
        <v>2516</v>
      </c>
    </row>
    <row r="1160" spans="1:4" x14ac:dyDescent="0.35">
      <c r="A1160" t="s">
        <v>768</v>
      </c>
      <c r="B1160" s="47">
        <v>44520</v>
      </c>
      <c r="C1160" t="s">
        <v>441</v>
      </c>
      <c r="D1160">
        <v>783</v>
      </c>
    </row>
    <row r="1161" spans="1:4" x14ac:dyDescent="0.35">
      <c r="A1161" t="s">
        <v>768</v>
      </c>
      <c r="B1161" s="47">
        <v>44520</v>
      </c>
      <c r="C1161" t="s">
        <v>441</v>
      </c>
      <c r="D1161">
        <v>834</v>
      </c>
    </row>
    <row r="1162" spans="1:4" x14ac:dyDescent="0.35">
      <c r="A1162" t="s">
        <v>768</v>
      </c>
      <c r="B1162" s="47">
        <v>44520</v>
      </c>
      <c r="C1162" t="s">
        <v>502</v>
      </c>
      <c r="D1162">
        <v>1140</v>
      </c>
    </row>
    <row r="1163" spans="1:4" x14ac:dyDescent="0.35">
      <c r="A1163" t="s">
        <v>768</v>
      </c>
      <c r="B1163" s="47">
        <v>44520</v>
      </c>
      <c r="C1163" t="s">
        <v>530</v>
      </c>
      <c r="D1163">
        <v>10000</v>
      </c>
    </row>
    <row r="1164" spans="1:4" x14ac:dyDescent="0.35">
      <c r="A1164" t="s">
        <v>768</v>
      </c>
      <c r="B1164" s="47">
        <v>44520</v>
      </c>
      <c r="C1164" t="s">
        <v>530</v>
      </c>
      <c r="D1164">
        <v>706</v>
      </c>
    </row>
    <row r="1165" spans="1:4" x14ac:dyDescent="0.35">
      <c r="A1165" t="s">
        <v>768</v>
      </c>
      <c r="B1165" s="47">
        <v>44520</v>
      </c>
      <c r="C1165" t="s">
        <v>530</v>
      </c>
      <c r="D1165">
        <v>655</v>
      </c>
    </row>
    <row r="1166" spans="1:4" x14ac:dyDescent="0.35">
      <c r="A1166" t="s">
        <v>769</v>
      </c>
      <c r="B1166" s="47">
        <v>44521</v>
      </c>
      <c r="C1166" t="s">
        <v>443</v>
      </c>
      <c r="D1166">
        <v>5861</v>
      </c>
    </row>
    <row r="1167" spans="1:4" x14ac:dyDescent="0.35">
      <c r="A1167" t="s">
        <v>769</v>
      </c>
      <c r="B1167" s="47">
        <v>44521</v>
      </c>
      <c r="C1167" t="s">
        <v>495</v>
      </c>
      <c r="D1167">
        <v>980</v>
      </c>
    </row>
    <row r="1168" spans="1:4" x14ac:dyDescent="0.35">
      <c r="A1168" t="s">
        <v>769</v>
      </c>
      <c r="B1168" s="47">
        <v>44521</v>
      </c>
      <c r="C1168" t="s">
        <v>546</v>
      </c>
      <c r="D1168">
        <v>1283</v>
      </c>
    </row>
    <row r="1169" spans="1:4" x14ac:dyDescent="0.35">
      <c r="A1169" t="s">
        <v>769</v>
      </c>
      <c r="B1169" s="47">
        <v>44521</v>
      </c>
      <c r="C1169" t="s">
        <v>575</v>
      </c>
      <c r="D1169">
        <v>927</v>
      </c>
    </row>
    <row r="1170" spans="1:4" x14ac:dyDescent="0.35">
      <c r="A1170" t="s">
        <v>769</v>
      </c>
      <c r="B1170" s="47">
        <v>44521</v>
      </c>
      <c r="C1170" t="s">
        <v>530</v>
      </c>
      <c r="D1170">
        <v>1688</v>
      </c>
    </row>
    <row r="1171" spans="1:4" x14ac:dyDescent="0.35">
      <c r="A1171" t="s">
        <v>769</v>
      </c>
      <c r="B1171" s="47">
        <v>44521</v>
      </c>
      <c r="C1171" t="s">
        <v>441</v>
      </c>
      <c r="D1171">
        <v>1968</v>
      </c>
    </row>
    <row r="1172" spans="1:4" x14ac:dyDescent="0.35">
      <c r="A1172" t="s">
        <v>769</v>
      </c>
      <c r="B1172" s="47">
        <v>44521</v>
      </c>
      <c r="C1172" t="s">
        <v>449</v>
      </c>
      <c r="D1172">
        <v>1322</v>
      </c>
    </row>
    <row r="1173" spans="1:4" x14ac:dyDescent="0.35">
      <c r="A1173" t="s">
        <v>769</v>
      </c>
      <c r="B1173" s="47">
        <v>44521</v>
      </c>
      <c r="C1173" t="s">
        <v>499</v>
      </c>
      <c r="D1173">
        <v>1922</v>
      </c>
    </row>
    <row r="1174" spans="1:4" x14ac:dyDescent="0.35">
      <c r="A1174" t="s">
        <v>769</v>
      </c>
      <c r="B1174" s="47">
        <v>44521</v>
      </c>
      <c r="C1174" t="s">
        <v>530</v>
      </c>
      <c r="D1174">
        <v>1630</v>
      </c>
    </row>
    <row r="1175" spans="1:4" x14ac:dyDescent="0.35">
      <c r="A1175" t="s">
        <v>774</v>
      </c>
      <c r="B1175" s="47">
        <v>44522</v>
      </c>
      <c r="C1175" t="s">
        <v>579</v>
      </c>
      <c r="D1175">
        <v>1096</v>
      </c>
    </row>
    <row r="1176" spans="1:4" x14ac:dyDescent="0.35">
      <c r="A1176" t="s">
        <v>774</v>
      </c>
      <c r="B1176" s="47">
        <v>44522</v>
      </c>
      <c r="C1176" t="s">
        <v>579</v>
      </c>
      <c r="D1176">
        <v>728</v>
      </c>
    </row>
    <row r="1177" spans="1:4" x14ac:dyDescent="0.35">
      <c r="A1177" t="s">
        <v>774</v>
      </c>
      <c r="B1177" s="47">
        <v>44522</v>
      </c>
      <c r="C1177" t="s">
        <v>775</v>
      </c>
      <c r="D1177">
        <v>92</v>
      </c>
    </row>
    <row r="1178" spans="1:4" x14ac:dyDescent="0.35">
      <c r="A1178" t="s">
        <v>774</v>
      </c>
      <c r="B1178" s="47">
        <v>44522</v>
      </c>
      <c r="C1178" t="s">
        <v>775</v>
      </c>
      <c r="D1178">
        <v>190</v>
      </c>
    </row>
    <row r="1179" spans="1:4" x14ac:dyDescent="0.35">
      <c r="A1179" t="s">
        <v>774</v>
      </c>
      <c r="B1179" s="47">
        <v>44522</v>
      </c>
      <c r="C1179" t="s">
        <v>539</v>
      </c>
      <c r="D1179">
        <v>574</v>
      </c>
    </row>
    <row r="1180" spans="1:4" x14ac:dyDescent="0.35">
      <c r="A1180" t="s">
        <v>774</v>
      </c>
      <c r="B1180" s="47">
        <v>44522</v>
      </c>
      <c r="C1180" t="s">
        <v>539</v>
      </c>
      <c r="D1180">
        <v>212</v>
      </c>
    </row>
    <row r="1181" spans="1:4" x14ac:dyDescent="0.35">
      <c r="A1181" t="s">
        <v>774</v>
      </c>
      <c r="B1181" s="47">
        <v>44522</v>
      </c>
      <c r="C1181" t="s">
        <v>489</v>
      </c>
      <c r="D1181">
        <v>758</v>
      </c>
    </row>
    <row r="1182" spans="1:4" x14ac:dyDescent="0.35">
      <c r="A1182" t="s">
        <v>774</v>
      </c>
      <c r="B1182" s="47">
        <v>44522</v>
      </c>
      <c r="C1182" t="s">
        <v>775</v>
      </c>
      <c r="D1182">
        <v>120</v>
      </c>
    </row>
    <row r="1183" spans="1:4" x14ac:dyDescent="0.35">
      <c r="A1183" t="s">
        <v>774</v>
      </c>
      <c r="B1183" s="47">
        <v>44522</v>
      </c>
      <c r="C1183" t="s">
        <v>446</v>
      </c>
      <c r="D1183">
        <v>550</v>
      </c>
    </row>
    <row r="1184" spans="1:4" x14ac:dyDescent="0.35">
      <c r="A1184" t="s">
        <v>774</v>
      </c>
      <c r="B1184" s="47">
        <v>44522</v>
      </c>
      <c r="C1184" t="s">
        <v>509</v>
      </c>
      <c r="D1184">
        <v>522</v>
      </c>
    </row>
    <row r="1185" spans="1:4" x14ac:dyDescent="0.35">
      <c r="A1185" t="s">
        <v>776</v>
      </c>
      <c r="B1185" s="47">
        <v>44523</v>
      </c>
      <c r="C1185" t="s">
        <v>511</v>
      </c>
      <c r="D1185">
        <v>34</v>
      </c>
    </row>
    <row r="1186" spans="1:4" x14ac:dyDescent="0.35">
      <c r="A1186" t="s">
        <v>776</v>
      </c>
      <c r="B1186" s="47">
        <v>44523</v>
      </c>
      <c r="C1186" t="s">
        <v>511</v>
      </c>
      <c r="D1186">
        <v>113</v>
      </c>
    </row>
    <row r="1187" spans="1:4" x14ac:dyDescent="0.35">
      <c r="A1187" t="s">
        <v>776</v>
      </c>
      <c r="B1187" s="47">
        <v>44523</v>
      </c>
      <c r="C1187" t="s">
        <v>511</v>
      </c>
      <c r="D1187">
        <v>1080</v>
      </c>
    </row>
    <row r="1188" spans="1:4" x14ac:dyDescent="0.35">
      <c r="A1188" t="s">
        <v>776</v>
      </c>
      <c r="B1188" s="47">
        <v>44523</v>
      </c>
      <c r="C1188" t="s">
        <v>621</v>
      </c>
      <c r="D1188">
        <v>896</v>
      </c>
    </row>
    <row r="1189" spans="1:4" x14ac:dyDescent="0.35">
      <c r="A1189" t="s">
        <v>776</v>
      </c>
      <c r="B1189" s="47">
        <v>44523</v>
      </c>
      <c r="C1189" t="s">
        <v>621</v>
      </c>
      <c r="D1189">
        <v>220</v>
      </c>
    </row>
    <row r="1190" spans="1:4" x14ac:dyDescent="0.35">
      <c r="A1190" t="s">
        <v>776</v>
      </c>
      <c r="B1190" s="47">
        <v>44523</v>
      </c>
      <c r="C1190" t="s">
        <v>494</v>
      </c>
      <c r="D1190">
        <v>10542</v>
      </c>
    </row>
    <row r="1191" spans="1:4" x14ac:dyDescent="0.35">
      <c r="A1191" t="s">
        <v>777</v>
      </c>
      <c r="B1191" s="47">
        <v>44524</v>
      </c>
      <c r="C1191" t="s">
        <v>483</v>
      </c>
      <c r="D1191">
        <v>4066</v>
      </c>
    </row>
    <row r="1192" spans="1:4" x14ac:dyDescent="0.35">
      <c r="A1192" t="s">
        <v>777</v>
      </c>
      <c r="B1192" s="47">
        <v>44524</v>
      </c>
      <c r="C1192" t="s">
        <v>443</v>
      </c>
      <c r="D1192">
        <v>1910</v>
      </c>
    </row>
    <row r="1193" spans="1:4" x14ac:dyDescent="0.35">
      <c r="A1193" t="s">
        <v>776</v>
      </c>
      <c r="B1193" s="47">
        <v>44523</v>
      </c>
      <c r="C1193" t="s">
        <v>489</v>
      </c>
      <c r="D1193">
        <v>132</v>
      </c>
    </row>
    <row r="1194" spans="1:4" x14ac:dyDescent="0.35">
      <c r="A1194" t="s">
        <v>777</v>
      </c>
      <c r="B1194" s="47">
        <v>44524</v>
      </c>
      <c r="C1194" t="s">
        <v>526</v>
      </c>
      <c r="D1194">
        <v>14597</v>
      </c>
    </row>
    <row r="1195" spans="1:4" x14ac:dyDescent="0.35">
      <c r="A1195" t="s">
        <v>777</v>
      </c>
      <c r="B1195" s="47">
        <v>44524</v>
      </c>
      <c r="C1195" t="s">
        <v>443</v>
      </c>
      <c r="D1195">
        <v>5000</v>
      </c>
    </row>
    <row r="1196" spans="1:4" x14ac:dyDescent="0.35">
      <c r="A1196" t="s">
        <v>777</v>
      </c>
      <c r="B1196" s="47">
        <v>44524</v>
      </c>
      <c r="C1196" t="s">
        <v>534</v>
      </c>
      <c r="D1196">
        <v>44</v>
      </c>
    </row>
    <row r="1197" spans="1:4" x14ac:dyDescent="0.35">
      <c r="A1197" t="s">
        <v>777</v>
      </c>
      <c r="B1197" s="47">
        <v>44524</v>
      </c>
      <c r="C1197" t="s">
        <v>534</v>
      </c>
      <c r="D1197">
        <v>25</v>
      </c>
    </row>
    <row r="1198" spans="1:4" x14ac:dyDescent="0.35">
      <c r="A1198" t="s">
        <v>777</v>
      </c>
      <c r="B1198" s="47">
        <v>44524</v>
      </c>
      <c r="C1198" t="s">
        <v>489</v>
      </c>
      <c r="D1198">
        <v>120</v>
      </c>
    </row>
    <row r="1199" spans="1:4" x14ac:dyDescent="0.35">
      <c r="A1199" t="s">
        <v>777</v>
      </c>
      <c r="B1199" s="47">
        <v>44524</v>
      </c>
      <c r="C1199" t="s">
        <v>495</v>
      </c>
      <c r="D1199">
        <v>318</v>
      </c>
    </row>
    <row r="1200" spans="1:4" x14ac:dyDescent="0.35">
      <c r="A1200" t="s">
        <v>777</v>
      </c>
      <c r="B1200" s="47">
        <v>44524</v>
      </c>
      <c r="C1200" t="s">
        <v>449</v>
      </c>
      <c r="D1200">
        <v>3468</v>
      </c>
    </row>
    <row r="1201" spans="1:4" x14ac:dyDescent="0.35">
      <c r="A1201" t="s">
        <v>778</v>
      </c>
      <c r="B1201" s="47">
        <v>44525</v>
      </c>
      <c r="C1201" t="s">
        <v>530</v>
      </c>
      <c r="D1201">
        <v>3142</v>
      </c>
    </row>
    <row r="1202" spans="1:4" x14ac:dyDescent="0.35">
      <c r="A1202" t="s">
        <v>778</v>
      </c>
      <c r="B1202" s="47">
        <v>44525</v>
      </c>
      <c r="C1202" t="s">
        <v>443</v>
      </c>
      <c r="D1202">
        <v>2651</v>
      </c>
    </row>
    <row r="1203" spans="1:4" x14ac:dyDescent="0.35">
      <c r="A1203" t="s">
        <v>778</v>
      </c>
      <c r="B1203" s="47">
        <v>44525</v>
      </c>
      <c r="C1203" t="s">
        <v>443</v>
      </c>
      <c r="D1203">
        <v>2854</v>
      </c>
    </row>
    <row r="1204" spans="1:4" x14ac:dyDescent="0.35">
      <c r="A1204" t="s">
        <v>791</v>
      </c>
      <c r="B1204" s="47">
        <v>44527</v>
      </c>
      <c r="C1204" t="s">
        <v>441</v>
      </c>
      <c r="D1204">
        <v>1695</v>
      </c>
    </row>
    <row r="1205" spans="1:4" x14ac:dyDescent="0.35">
      <c r="A1205" t="s">
        <v>791</v>
      </c>
      <c r="B1205" s="47">
        <v>44527</v>
      </c>
      <c r="C1205" t="s">
        <v>546</v>
      </c>
      <c r="D1205">
        <v>1928</v>
      </c>
    </row>
    <row r="1206" spans="1:4" x14ac:dyDescent="0.35">
      <c r="A1206" t="s">
        <v>791</v>
      </c>
      <c r="B1206" s="47">
        <v>44527</v>
      </c>
      <c r="C1206" t="s">
        <v>537</v>
      </c>
      <c r="D1206">
        <v>854</v>
      </c>
    </row>
    <row r="1207" spans="1:4" x14ac:dyDescent="0.35">
      <c r="A1207" t="s">
        <v>791</v>
      </c>
      <c r="B1207" s="47">
        <v>44527</v>
      </c>
      <c r="C1207" t="s">
        <v>537</v>
      </c>
      <c r="D1207">
        <v>2124</v>
      </c>
    </row>
    <row r="1208" spans="1:4" x14ac:dyDescent="0.35">
      <c r="A1208" t="s">
        <v>791</v>
      </c>
      <c r="B1208" s="47">
        <v>44527</v>
      </c>
      <c r="C1208" t="s">
        <v>446</v>
      </c>
      <c r="D1208">
        <v>310</v>
      </c>
    </row>
    <row r="1209" spans="1:4" x14ac:dyDescent="0.35">
      <c r="A1209" t="s">
        <v>791</v>
      </c>
      <c r="B1209" s="47">
        <v>44527</v>
      </c>
      <c r="C1209" t="s">
        <v>446</v>
      </c>
      <c r="D1209">
        <v>1058</v>
      </c>
    </row>
    <row r="1210" spans="1:4" x14ac:dyDescent="0.35">
      <c r="A1210" t="s">
        <v>791</v>
      </c>
      <c r="B1210" s="47">
        <v>44527</v>
      </c>
      <c r="C1210" t="s">
        <v>446</v>
      </c>
      <c r="D1210">
        <v>597</v>
      </c>
    </row>
    <row r="1211" spans="1:4" x14ac:dyDescent="0.35">
      <c r="A1211" t="s">
        <v>791</v>
      </c>
      <c r="B1211" s="47">
        <v>44527</v>
      </c>
      <c r="C1211" t="s">
        <v>505</v>
      </c>
      <c r="D1211">
        <v>4045</v>
      </c>
    </row>
    <row r="1212" spans="1:4" x14ac:dyDescent="0.35">
      <c r="A1212" t="s">
        <v>792</v>
      </c>
      <c r="B1212" s="47">
        <v>44528</v>
      </c>
      <c r="C1212" t="s">
        <v>579</v>
      </c>
      <c r="D1212">
        <v>185</v>
      </c>
    </row>
    <row r="1213" spans="1:4" x14ac:dyDescent="0.35">
      <c r="A1213" t="s">
        <v>792</v>
      </c>
      <c r="B1213" s="47">
        <v>44528</v>
      </c>
      <c r="C1213" t="s">
        <v>579</v>
      </c>
      <c r="D1213">
        <v>564</v>
      </c>
    </row>
    <row r="1214" spans="1:4" x14ac:dyDescent="0.35">
      <c r="A1214" t="s">
        <v>792</v>
      </c>
      <c r="B1214" s="47">
        <v>44528</v>
      </c>
      <c r="C1214" t="s">
        <v>579</v>
      </c>
      <c r="D1214">
        <v>854</v>
      </c>
    </row>
    <row r="1215" spans="1:4" x14ac:dyDescent="0.35">
      <c r="A1215" t="s">
        <v>792</v>
      </c>
      <c r="B1215" s="47">
        <v>44528</v>
      </c>
      <c r="C1215" t="s">
        <v>553</v>
      </c>
      <c r="D1215">
        <v>676</v>
      </c>
    </row>
    <row r="1216" spans="1:4" x14ac:dyDescent="0.35">
      <c r="A1216" t="s">
        <v>792</v>
      </c>
      <c r="B1216" s="47">
        <v>44528</v>
      </c>
      <c r="C1216" t="s">
        <v>553</v>
      </c>
      <c r="D1216">
        <v>111</v>
      </c>
    </row>
    <row r="1217" spans="1:4" x14ac:dyDescent="0.35">
      <c r="A1217" t="s">
        <v>792</v>
      </c>
      <c r="B1217" s="47">
        <v>44528</v>
      </c>
      <c r="C1217" t="s">
        <v>449</v>
      </c>
      <c r="D1217">
        <v>3195</v>
      </c>
    </row>
    <row r="1218" spans="1:4" x14ac:dyDescent="0.35">
      <c r="A1218" t="s">
        <v>792</v>
      </c>
      <c r="B1218" s="47">
        <v>44528</v>
      </c>
      <c r="C1218" t="s">
        <v>654</v>
      </c>
      <c r="D1218">
        <v>364</v>
      </c>
    </row>
    <row r="1219" spans="1:4" x14ac:dyDescent="0.35">
      <c r="A1219" t="s">
        <v>792</v>
      </c>
      <c r="B1219" s="47">
        <v>44528</v>
      </c>
      <c r="C1219" t="s">
        <v>441</v>
      </c>
      <c r="D1219">
        <v>1123</v>
      </c>
    </row>
    <row r="1220" spans="1:4" x14ac:dyDescent="0.35">
      <c r="A1220" t="s">
        <v>792</v>
      </c>
      <c r="B1220" s="47">
        <v>44528</v>
      </c>
      <c r="C1220" t="s">
        <v>553</v>
      </c>
      <c r="D1220">
        <v>441</v>
      </c>
    </row>
    <row r="1221" spans="1:4" x14ac:dyDescent="0.35">
      <c r="A1221" t="s">
        <v>792</v>
      </c>
      <c r="B1221" s="47">
        <v>44528</v>
      </c>
      <c r="C1221" t="s">
        <v>443</v>
      </c>
      <c r="D1221">
        <v>2452</v>
      </c>
    </row>
    <row r="1222" spans="1:4" x14ac:dyDescent="0.35">
      <c r="A1222" t="s">
        <v>793</v>
      </c>
      <c r="B1222" s="47">
        <v>44529</v>
      </c>
      <c r="C1222" t="s">
        <v>530</v>
      </c>
      <c r="D1222">
        <v>1422</v>
      </c>
    </row>
    <row r="1223" spans="1:4" x14ac:dyDescent="0.35">
      <c r="A1223" t="s">
        <v>793</v>
      </c>
      <c r="B1223" s="47">
        <v>44529</v>
      </c>
      <c r="C1223" t="s">
        <v>449</v>
      </c>
      <c r="D1223">
        <v>1720</v>
      </c>
    </row>
    <row r="1224" spans="1:4" x14ac:dyDescent="0.35">
      <c r="A1224" t="s">
        <v>794</v>
      </c>
      <c r="B1224" s="47">
        <v>44530</v>
      </c>
      <c r="C1224" t="s">
        <v>665</v>
      </c>
      <c r="D1224">
        <v>1327</v>
      </c>
    </row>
    <row r="1225" spans="1:4" x14ac:dyDescent="0.35">
      <c r="A1225" t="s">
        <v>794</v>
      </c>
      <c r="B1225" s="47">
        <v>44530</v>
      </c>
      <c r="C1225" t="s">
        <v>665</v>
      </c>
      <c r="D1225">
        <v>100</v>
      </c>
    </row>
    <row r="1226" spans="1:4" x14ac:dyDescent="0.35">
      <c r="A1226" t="s">
        <v>794</v>
      </c>
      <c r="B1226" s="47">
        <v>44530</v>
      </c>
      <c r="C1226" t="s">
        <v>552</v>
      </c>
      <c r="D1226">
        <v>226</v>
      </c>
    </row>
    <row r="1227" spans="1:4" x14ac:dyDescent="0.35">
      <c r="A1227" t="s">
        <v>794</v>
      </c>
      <c r="B1227" s="47">
        <v>44530</v>
      </c>
      <c r="C1227" t="s">
        <v>552</v>
      </c>
      <c r="D1227">
        <v>250</v>
      </c>
    </row>
    <row r="1228" spans="1:4" x14ac:dyDescent="0.35">
      <c r="A1228" t="s">
        <v>794</v>
      </c>
      <c r="B1228" s="47">
        <v>44530</v>
      </c>
      <c r="C1228" t="s">
        <v>590</v>
      </c>
      <c r="D1228">
        <v>40</v>
      </c>
    </row>
    <row r="1229" spans="1:4" x14ac:dyDescent="0.35">
      <c r="A1229" t="s">
        <v>794</v>
      </c>
      <c r="B1229" s="47">
        <v>44530</v>
      </c>
      <c r="C1229" t="s">
        <v>590</v>
      </c>
      <c r="D1229">
        <v>106</v>
      </c>
    </row>
    <row r="1230" spans="1:4" x14ac:dyDescent="0.35">
      <c r="A1230" t="s">
        <v>794</v>
      </c>
      <c r="B1230" s="47">
        <v>44530</v>
      </c>
      <c r="C1230" t="s">
        <v>495</v>
      </c>
      <c r="D1230">
        <v>55</v>
      </c>
    </row>
    <row r="1231" spans="1:4" x14ac:dyDescent="0.35">
      <c r="A1231" t="s">
        <v>794</v>
      </c>
      <c r="B1231" s="47">
        <v>44530</v>
      </c>
      <c r="C1231" t="s">
        <v>495</v>
      </c>
      <c r="D1231">
        <v>964</v>
      </c>
    </row>
    <row r="1232" spans="1:4" x14ac:dyDescent="0.35">
      <c r="A1232" t="s">
        <v>794</v>
      </c>
      <c r="B1232" s="47">
        <v>44530</v>
      </c>
      <c r="C1232" t="s">
        <v>575</v>
      </c>
      <c r="D1232">
        <v>7</v>
      </c>
    </row>
    <row r="1233" spans="1:4" x14ac:dyDescent="0.35">
      <c r="A1233" t="s">
        <v>794</v>
      </c>
      <c r="B1233" s="47">
        <v>44530</v>
      </c>
      <c r="C1233" t="s">
        <v>575</v>
      </c>
      <c r="D1233">
        <v>14</v>
      </c>
    </row>
    <row r="1234" spans="1:4" x14ac:dyDescent="0.35">
      <c r="A1234" t="s">
        <v>794</v>
      </c>
      <c r="B1234" s="47">
        <v>44530</v>
      </c>
      <c r="C1234" t="s">
        <v>461</v>
      </c>
      <c r="D1234">
        <v>21</v>
      </c>
    </row>
    <row r="1235" spans="1:4" x14ac:dyDescent="0.35">
      <c r="A1235" t="s">
        <v>794</v>
      </c>
      <c r="B1235" s="47">
        <v>44530</v>
      </c>
      <c r="C1235" t="s">
        <v>461</v>
      </c>
      <c r="D1235">
        <v>525</v>
      </c>
    </row>
    <row r="1236" spans="1:4" x14ac:dyDescent="0.35">
      <c r="A1236" t="s">
        <v>794</v>
      </c>
      <c r="B1236" s="47">
        <v>44530</v>
      </c>
      <c r="C1236" t="s">
        <v>575</v>
      </c>
      <c r="D1236">
        <v>11</v>
      </c>
    </row>
    <row r="1237" spans="1:4" x14ac:dyDescent="0.35">
      <c r="A1237" t="s">
        <v>795</v>
      </c>
      <c r="B1237" s="47">
        <v>44531</v>
      </c>
      <c r="C1237" t="s">
        <v>554</v>
      </c>
      <c r="D1237">
        <v>53</v>
      </c>
    </row>
    <row r="1238" spans="1:4" x14ac:dyDescent="0.35">
      <c r="A1238" t="s">
        <v>795</v>
      </c>
      <c r="B1238" s="47">
        <v>44531</v>
      </c>
      <c r="C1238" t="s">
        <v>554</v>
      </c>
      <c r="D1238">
        <v>806</v>
      </c>
    </row>
    <row r="1239" spans="1:4" x14ac:dyDescent="0.35">
      <c r="A1239" t="s">
        <v>795</v>
      </c>
      <c r="B1239" s="47">
        <v>44531</v>
      </c>
      <c r="C1239" t="s">
        <v>554</v>
      </c>
      <c r="D1239">
        <v>450</v>
      </c>
    </row>
    <row r="1240" spans="1:4" x14ac:dyDescent="0.35">
      <c r="A1240" t="s">
        <v>795</v>
      </c>
      <c r="B1240" s="47">
        <v>44531</v>
      </c>
      <c r="C1240" t="s">
        <v>449</v>
      </c>
      <c r="D1240">
        <v>3810</v>
      </c>
    </row>
    <row r="1241" spans="1:4" x14ac:dyDescent="0.35">
      <c r="A1241" t="s">
        <v>795</v>
      </c>
      <c r="B1241" s="47">
        <v>44531</v>
      </c>
      <c r="C1241" t="s">
        <v>554</v>
      </c>
      <c r="D1241">
        <v>669</v>
      </c>
    </row>
    <row r="1242" spans="1:4" x14ac:dyDescent="0.35">
      <c r="A1242" t="s">
        <v>795</v>
      </c>
      <c r="B1242" s="47">
        <v>44531</v>
      </c>
      <c r="C1242" t="s">
        <v>502</v>
      </c>
      <c r="D1242">
        <v>207</v>
      </c>
    </row>
    <row r="1243" spans="1:4" x14ac:dyDescent="0.35">
      <c r="A1243" t="s">
        <v>795</v>
      </c>
      <c r="B1243" s="47">
        <v>44531</v>
      </c>
      <c r="C1243" t="s">
        <v>502</v>
      </c>
      <c r="D1243">
        <v>824</v>
      </c>
    </row>
    <row r="1244" spans="1:4" x14ac:dyDescent="0.35">
      <c r="A1244" t="s">
        <v>795</v>
      </c>
      <c r="B1244" s="47">
        <v>44531</v>
      </c>
      <c r="C1244" t="s">
        <v>499</v>
      </c>
      <c r="D1244">
        <v>760</v>
      </c>
    </row>
    <row r="1245" spans="1:4" x14ac:dyDescent="0.35">
      <c r="A1245" t="s">
        <v>795</v>
      </c>
      <c r="B1245" s="47">
        <v>44531</v>
      </c>
      <c r="C1245" t="s">
        <v>505</v>
      </c>
      <c r="D1245">
        <v>5084</v>
      </c>
    </row>
    <row r="1246" spans="1:4" x14ac:dyDescent="0.35">
      <c r="A1246" t="s">
        <v>796</v>
      </c>
      <c r="B1246" s="47">
        <v>44532</v>
      </c>
      <c r="C1246" t="s">
        <v>441</v>
      </c>
      <c r="D1246">
        <v>1342</v>
      </c>
    </row>
    <row r="1247" spans="1:4" x14ac:dyDescent="0.35">
      <c r="A1247" t="s">
        <v>796</v>
      </c>
      <c r="B1247" s="47">
        <v>44532</v>
      </c>
      <c r="C1247" t="s">
        <v>506</v>
      </c>
      <c r="D1247">
        <v>4856</v>
      </c>
    </row>
    <row r="1248" spans="1:4" x14ac:dyDescent="0.35">
      <c r="A1248" t="s">
        <v>796</v>
      </c>
      <c r="B1248" s="47">
        <v>44532</v>
      </c>
      <c r="C1248" t="s">
        <v>530</v>
      </c>
      <c r="D1248">
        <v>4877</v>
      </c>
    </row>
    <row r="1249" spans="1:4" x14ac:dyDescent="0.35">
      <c r="A1249" t="s">
        <v>796</v>
      </c>
      <c r="B1249" s="47">
        <v>44532</v>
      </c>
      <c r="C1249" t="s">
        <v>505</v>
      </c>
      <c r="D1249">
        <v>5723</v>
      </c>
    </row>
    <row r="1250" spans="1:4" x14ac:dyDescent="0.35">
      <c r="A1250" t="s">
        <v>796</v>
      </c>
      <c r="B1250" s="47">
        <v>44532</v>
      </c>
      <c r="C1250" t="s">
        <v>480</v>
      </c>
      <c r="D1250">
        <v>932</v>
      </c>
    </row>
    <row r="1251" spans="1:4" x14ac:dyDescent="0.35">
      <c r="A1251" t="s">
        <v>796</v>
      </c>
      <c r="B1251" s="47">
        <v>44532</v>
      </c>
      <c r="C1251" t="s">
        <v>480</v>
      </c>
      <c r="D1251">
        <v>428</v>
      </c>
    </row>
    <row r="1252" spans="1:4" x14ac:dyDescent="0.35">
      <c r="A1252" t="s">
        <v>797</v>
      </c>
      <c r="B1252" s="47">
        <v>44534</v>
      </c>
      <c r="C1252" t="s">
        <v>443</v>
      </c>
      <c r="D1252">
        <v>2215</v>
      </c>
    </row>
    <row r="1253" spans="1:4" x14ac:dyDescent="0.35">
      <c r="A1253" t="s">
        <v>797</v>
      </c>
      <c r="B1253" s="47">
        <v>44534</v>
      </c>
      <c r="C1253" t="s">
        <v>489</v>
      </c>
      <c r="D1253">
        <v>559</v>
      </c>
    </row>
    <row r="1254" spans="1:4" x14ac:dyDescent="0.35">
      <c r="A1254" t="s">
        <v>797</v>
      </c>
      <c r="B1254" s="47">
        <v>44534</v>
      </c>
      <c r="C1254" t="s">
        <v>474</v>
      </c>
      <c r="D1254">
        <v>121</v>
      </c>
    </row>
    <row r="1255" spans="1:4" x14ac:dyDescent="0.35">
      <c r="A1255" t="s">
        <v>797</v>
      </c>
      <c r="B1255" s="47">
        <v>44534</v>
      </c>
      <c r="C1255" t="s">
        <v>474</v>
      </c>
      <c r="D1255">
        <v>767</v>
      </c>
    </row>
    <row r="1256" spans="1:4" x14ac:dyDescent="0.35">
      <c r="A1256" t="s">
        <v>797</v>
      </c>
      <c r="B1256" s="47">
        <v>44534</v>
      </c>
      <c r="C1256" t="s">
        <v>441</v>
      </c>
      <c r="D1256">
        <v>1908</v>
      </c>
    </row>
    <row r="1257" spans="1:4" x14ac:dyDescent="0.35">
      <c r="A1257" t="s">
        <v>797</v>
      </c>
      <c r="B1257" s="47">
        <v>44534</v>
      </c>
      <c r="C1257" t="s">
        <v>489</v>
      </c>
      <c r="D1257">
        <v>242</v>
      </c>
    </row>
    <row r="1258" spans="1:4" x14ac:dyDescent="0.35">
      <c r="A1258" t="s">
        <v>798</v>
      </c>
      <c r="B1258" s="47">
        <v>44535</v>
      </c>
      <c r="C1258" t="s">
        <v>482</v>
      </c>
      <c r="D1258">
        <v>4334</v>
      </c>
    </row>
    <row r="1259" spans="1:4" x14ac:dyDescent="0.35">
      <c r="A1259" t="s">
        <v>798</v>
      </c>
      <c r="B1259" s="47">
        <v>44535</v>
      </c>
      <c r="C1259" t="s">
        <v>461</v>
      </c>
      <c r="D1259">
        <v>17</v>
      </c>
    </row>
    <row r="1260" spans="1:4" x14ac:dyDescent="0.35">
      <c r="A1260" t="s">
        <v>798</v>
      </c>
      <c r="B1260" s="47">
        <v>44535</v>
      </c>
      <c r="C1260" t="s">
        <v>461</v>
      </c>
      <c r="D1260">
        <v>205</v>
      </c>
    </row>
    <row r="1261" spans="1:4" x14ac:dyDescent="0.35">
      <c r="A1261" t="s">
        <v>798</v>
      </c>
      <c r="B1261" s="47">
        <v>44535</v>
      </c>
      <c r="C1261" t="s">
        <v>509</v>
      </c>
      <c r="D1261">
        <v>5396</v>
      </c>
    </row>
    <row r="1262" spans="1:4" x14ac:dyDescent="0.35">
      <c r="A1262" t="s">
        <v>798</v>
      </c>
      <c r="B1262" s="47">
        <v>44535</v>
      </c>
      <c r="C1262" t="s">
        <v>441</v>
      </c>
      <c r="D1262">
        <v>1836</v>
      </c>
    </row>
    <row r="1263" spans="1:4" x14ac:dyDescent="0.35">
      <c r="A1263" t="s">
        <v>798</v>
      </c>
      <c r="B1263" s="47">
        <v>44535</v>
      </c>
      <c r="C1263" t="s">
        <v>502</v>
      </c>
      <c r="D1263">
        <v>400</v>
      </c>
    </row>
    <row r="1264" spans="1:4" x14ac:dyDescent="0.35">
      <c r="A1264" t="s">
        <v>798</v>
      </c>
      <c r="B1264" s="47">
        <v>44535</v>
      </c>
      <c r="C1264" t="s">
        <v>446</v>
      </c>
      <c r="D1264">
        <v>3050</v>
      </c>
    </row>
    <row r="1265" spans="1:4" x14ac:dyDescent="0.35">
      <c r="A1265" t="s">
        <v>798</v>
      </c>
      <c r="B1265" s="47">
        <v>44535</v>
      </c>
      <c r="C1265" t="s">
        <v>537</v>
      </c>
      <c r="D1265">
        <v>260</v>
      </c>
    </row>
    <row r="1266" spans="1:4" x14ac:dyDescent="0.35">
      <c r="A1266" t="s">
        <v>798</v>
      </c>
      <c r="B1266" s="47">
        <v>44535</v>
      </c>
      <c r="C1266" t="s">
        <v>537</v>
      </c>
      <c r="D1266">
        <v>2204</v>
      </c>
    </row>
    <row r="1267" spans="1:4" x14ac:dyDescent="0.35">
      <c r="A1267" t="s">
        <v>798</v>
      </c>
      <c r="B1267" s="47">
        <v>44535</v>
      </c>
      <c r="C1267" t="s">
        <v>443</v>
      </c>
      <c r="D1267">
        <v>1926</v>
      </c>
    </row>
    <row r="1268" spans="1:4" x14ac:dyDescent="0.35">
      <c r="A1268" t="s">
        <v>803</v>
      </c>
      <c r="B1268" s="47">
        <v>44536</v>
      </c>
      <c r="C1268" t="s">
        <v>526</v>
      </c>
      <c r="D1268">
        <v>14520</v>
      </c>
    </row>
    <row r="1269" spans="1:4" x14ac:dyDescent="0.35">
      <c r="A1269" t="s">
        <v>803</v>
      </c>
      <c r="B1269" s="47">
        <v>44536</v>
      </c>
      <c r="C1269" t="s">
        <v>664</v>
      </c>
      <c r="D1269">
        <v>2806</v>
      </c>
    </row>
    <row r="1270" spans="1:4" x14ac:dyDescent="0.35">
      <c r="A1270" t="s">
        <v>803</v>
      </c>
      <c r="B1270" s="47">
        <v>44536</v>
      </c>
      <c r="C1270" t="s">
        <v>664</v>
      </c>
      <c r="D1270">
        <v>532</v>
      </c>
    </row>
    <row r="1271" spans="1:4" x14ac:dyDescent="0.35">
      <c r="A1271" t="s">
        <v>803</v>
      </c>
      <c r="B1271" s="47">
        <v>44536</v>
      </c>
      <c r="C1271" t="s">
        <v>804</v>
      </c>
      <c r="D1271">
        <v>119</v>
      </c>
    </row>
    <row r="1272" spans="1:4" x14ac:dyDescent="0.35">
      <c r="A1272" t="s">
        <v>803</v>
      </c>
      <c r="B1272" s="47">
        <v>44536</v>
      </c>
      <c r="C1272" t="s">
        <v>804</v>
      </c>
      <c r="D1272">
        <v>181</v>
      </c>
    </row>
    <row r="1273" spans="1:4" x14ac:dyDescent="0.35">
      <c r="A1273" t="s">
        <v>803</v>
      </c>
      <c r="B1273" s="47">
        <v>44536</v>
      </c>
      <c r="C1273" t="s">
        <v>804</v>
      </c>
      <c r="D1273">
        <v>616</v>
      </c>
    </row>
    <row r="1274" spans="1:4" x14ac:dyDescent="0.35">
      <c r="A1274" t="s">
        <v>803</v>
      </c>
      <c r="B1274" s="47">
        <v>44536</v>
      </c>
      <c r="C1274" t="s">
        <v>530</v>
      </c>
      <c r="D1274">
        <v>2312</v>
      </c>
    </row>
    <row r="1275" spans="1:4" x14ac:dyDescent="0.35">
      <c r="A1275" t="s">
        <v>803</v>
      </c>
      <c r="B1275" s="47">
        <v>44536</v>
      </c>
      <c r="C1275" t="s">
        <v>770</v>
      </c>
      <c r="D1275">
        <v>208</v>
      </c>
    </row>
    <row r="1276" spans="1:4" x14ac:dyDescent="0.35">
      <c r="A1276" t="s">
        <v>803</v>
      </c>
      <c r="B1276" s="47">
        <v>44536</v>
      </c>
      <c r="C1276" t="s">
        <v>770</v>
      </c>
      <c r="D1276">
        <v>1781</v>
      </c>
    </row>
    <row r="1277" spans="1:4" x14ac:dyDescent="0.35">
      <c r="A1277" t="s">
        <v>805</v>
      </c>
      <c r="B1277" s="47">
        <v>44537</v>
      </c>
      <c r="C1277" t="s">
        <v>450</v>
      </c>
      <c r="D1277">
        <v>2548</v>
      </c>
    </row>
    <row r="1278" spans="1:4" x14ac:dyDescent="0.35">
      <c r="A1278" t="s">
        <v>805</v>
      </c>
      <c r="B1278" s="47">
        <v>44537</v>
      </c>
      <c r="C1278" t="s">
        <v>444</v>
      </c>
      <c r="D1278">
        <v>1402</v>
      </c>
    </row>
    <row r="1279" spans="1:4" x14ac:dyDescent="0.35">
      <c r="A1279" t="s">
        <v>805</v>
      </c>
      <c r="B1279" s="47">
        <v>44537</v>
      </c>
      <c r="C1279" t="s">
        <v>444</v>
      </c>
      <c r="D1279">
        <v>155</v>
      </c>
    </row>
    <row r="1280" spans="1:4" x14ac:dyDescent="0.35">
      <c r="A1280" t="s">
        <v>805</v>
      </c>
      <c r="B1280" s="47">
        <v>44537</v>
      </c>
      <c r="C1280" t="s">
        <v>444</v>
      </c>
      <c r="D1280">
        <v>286</v>
      </c>
    </row>
    <row r="1281" spans="1:4" x14ac:dyDescent="0.35">
      <c r="A1281" t="s">
        <v>803</v>
      </c>
      <c r="B1281" s="47">
        <v>44536</v>
      </c>
      <c r="C1281" t="s">
        <v>764</v>
      </c>
      <c r="D1281">
        <v>350</v>
      </c>
    </row>
    <row r="1282" spans="1:4" x14ac:dyDescent="0.35">
      <c r="A1282" t="s">
        <v>805</v>
      </c>
      <c r="B1282" s="47">
        <v>44537</v>
      </c>
      <c r="C1282" t="s">
        <v>577</v>
      </c>
      <c r="D1282">
        <v>236</v>
      </c>
    </row>
    <row r="1283" spans="1:4" x14ac:dyDescent="0.35">
      <c r="A1283" t="s">
        <v>805</v>
      </c>
      <c r="B1283" s="47">
        <v>44537</v>
      </c>
      <c r="C1283" t="s">
        <v>552</v>
      </c>
      <c r="D1283">
        <v>130</v>
      </c>
    </row>
    <row r="1284" spans="1:4" x14ac:dyDescent="0.35">
      <c r="A1284" t="s">
        <v>805</v>
      </c>
      <c r="B1284" s="47">
        <v>44537</v>
      </c>
      <c r="C1284" t="s">
        <v>804</v>
      </c>
      <c r="D1284">
        <v>594</v>
      </c>
    </row>
    <row r="1285" spans="1:4" x14ac:dyDescent="0.35">
      <c r="A1285" t="s">
        <v>805</v>
      </c>
      <c r="B1285" s="47">
        <v>44537</v>
      </c>
      <c r="C1285" t="s">
        <v>451</v>
      </c>
      <c r="D1285">
        <v>1480</v>
      </c>
    </row>
    <row r="1286" spans="1:4" x14ac:dyDescent="0.35">
      <c r="A1286" t="s">
        <v>805</v>
      </c>
      <c r="B1286" s="47">
        <v>44537</v>
      </c>
      <c r="C1286" t="s">
        <v>481</v>
      </c>
      <c r="D1286">
        <v>2148</v>
      </c>
    </row>
    <row r="1287" spans="1:4" x14ac:dyDescent="0.35">
      <c r="A1287" t="s">
        <v>805</v>
      </c>
      <c r="B1287" s="47">
        <v>44537</v>
      </c>
      <c r="C1287" t="s">
        <v>509</v>
      </c>
      <c r="D1287">
        <v>621</v>
      </c>
    </row>
    <row r="1288" spans="1:4" x14ac:dyDescent="0.35">
      <c r="A1288" t="s">
        <v>805</v>
      </c>
      <c r="B1288" s="47">
        <v>44537</v>
      </c>
      <c r="C1288" t="s">
        <v>481</v>
      </c>
      <c r="D1288">
        <v>2033</v>
      </c>
    </row>
    <row r="1289" spans="1:4" x14ac:dyDescent="0.35">
      <c r="A1289" t="s">
        <v>806</v>
      </c>
      <c r="B1289" s="47">
        <v>44538</v>
      </c>
      <c r="C1289" t="s">
        <v>505</v>
      </c>
      <c r="D1289">
        <v>7709</v>
      </c>
    </row>
    <row r="1290" spans="1:4" x14ac:dyDescent="0.35">
      <c r="A1290" t="s">
        <v>806</v>
      </c>
      <c r="B1290" s="47">
        <v>44538</v>
      </c>
      <c r="C1290" t="s">
        <v>550</v>
      </c>
      <c r="D1290">
        <v>404</v>
      </c>
    </row>
    <row r="1291" spans="1:4" x14ac:dyDescent="0.35">
      <c r="A1291" t="s">
        <v>806</v>
      </c>
      <c r="B1291" s="47">
        <v>44538</v>
      </c>
      <c r="C1291" t="s">
        <v>550</v>
      </c>
      <c r="D1291">
        <v>161</v>
      </c>
    </row>
    <row r="1292" spans="1:4" x14ac:dyDescent="0.35">
      <c r="A1292" t="s">
        <v>806</v>
      </c>
      <c r="B1292" s="47">
        <v>44538</v>
      </c>
      <c r="C1292" t="s">
        <v>550</v>
      </c>
      <c r="D1292">
        <v>457</v>
      </c>
    </row>
    <row r="1293" spans="1:4" x14ac:dyDescent="0.35">
      <c r="A1293" t="s">
        <v>806</v>
      </c>
      <c r="B1293" s="47">
        <v>44538</v>
      </c>
      <c r="C1293" t="s">
        <v>441</v>
      </c>
      <c r="D1293">
        <v>1146</v>
      </c>
    </row>
    <row r="1294" spans="1:4" x14ac:dyDescent="0.35">
      <c r="A1294" t="s">
        <v>806</v>
      </c>
      <c r="B1294" s="47">
        <v>44538</v>
      </c>
      <c r="C1294" t="s">
        <v>590</v>
      </c>
      <c r="D1294">
        <v>982</v>
      </c>
    </row>
    <row r="1295" spans="1:4" x14ac:dyDescent="0.35">
      <c r="A1295" t="s">
        <v>806</v>
      </c>
      <c r="B1295" s="47">
        <v>44538</v>
      </c>
      <c r="C1295" t="s">
        <v>443</v>
      </c>
      <c r="D1295">
        <v>2512</v>
      </c>
    </row>
    <row r="1296" spans="1:4" x14ac:dyDescent="0.35">
      <c r="A1296" t="s">
        <v>806</v>
      </c>
      <c r="B1296" s="47">
        <v>44538</v>
      </c>
      <c r="C1296" t="s">
        <v>530</v>
      </c>
      <c r="D1296">
        <v>3144</v>
      </c>
    </row>
    <row r="1297" spans="1:4" x14ac:dyDescent="0.35">
      <c r="A1297" t="s">
        <v>806</v>
      </c>
      <c r="B1297" s="47">
        <v>44538</v>
      </c>
      <c r="C1297" t="s">
        <v>530</v>
      </c>
      <c r="D1297">
        <v>1134</v>
      </c>
    </row>
    <row r="1298" spans="1:4" x14ac:dyDescent="0.35">
      <c r="A1298" t="s">
        <v>806</v>
      </c>
      <c r="B1298" s="47">
        <v>44538</v>
      </c>
      <c r="C1298" t="s">
        <v>451</v>
      </c>
      <c r="D1298">
        <v>1014</v>
      </c>
    </row>
    <row r="1299" spans="1:4" x14ac:dyDescent="0.35">
      <c r="A1299" t="s">
        <v>807</v>
      </c>
      <c r="B1299" s="47">
        <v>44539</v>
      </c>
      <c r="C1299" t="s">
        <v>501</v>
      </c>
      <c r="D1299">
        <v>4731</v>
      </c>
    </row>
    <row r="1300" spans="1:4" x14ac:dyDescent="0.35">
      <c r="A1300" t="s">
        <v>807</v>
      </c>
      <c r="B1300" s="47">
        <v>44539</v>
      </c>
      <c r="C1300" t="s">
        <v>492</v>
      </c>
      <c r="D1300">
        <v>1479</v>
      </c>
    </row>
    <row r="1301" spans="1:4" x14ac:dyDescent="0.35">
      <c r="A1301" t="s">
        <v>807</v>
      </c>
      <c r="B1301" s="47">
        <v>44539</v>
      </c>
      <c r="C1301" t="s">
        <v>461</v>
      </c>
      <c r="D1301">
        <v>246</v>
      </c>
    </row>
    <row r="1302" spans="1:4" x14ac:dyDescent="0.35">
      <c r="A1302" t="s">
        <v>807</v>
      </c>
      <c r="B1302" s="47">
        <v>44539</v>
      </c>
      <c r="C1302" t="s">
        <v>546</v>
      </c>
      <c r="D1302">
        <v>1052</v>
      </c>
    </row>
    <row r="1303" spans="1:4" x14ac:dyDescent="0.35">
      <c r="A1303" t="s">
        <v>808</v>
      </c>
      <c r="B1303" s="47">
        <v>44541</v>
      </c>
      <c r="C1303" t="s">
        <v>497</v>
      </c>
      <c r="D1303">
        <v>2994</v>
      </c>
    </row>
    <row r="1304" spans="1:4" x14ac:dyDescent="0.35">
      <c r="A1304" t="s">
        <v>809</v>
      </c>
      <c r="B1304" s="47">
        <v>44542</v>
      </c>
      <c r="C1304" t="s">
        <v>506</v>
      </c>
      <c r="D1304">
        <v>4902</v>
      </c>
    </row>
    <row r="1305" spans="1:4" x14ac:dyDescent="0.35">
      <c r="A1305" t="s">
        <v>807</v>
      </c>
      <c r="B1305" s="47">
        <v>44539</v>
      </c>
      <c r="C1305" t="s">
        <v>461</v>
      </c>
      <c r="D1305">
        <v>134</v>
      </c>
    </row>
    <row r="1306" spans="1:4" x14ac:dyDescent="0.35">
      <c r="A1306" t="s">
        <v>809</v>
      </c>
      <c r="B1306" s="47">
        <v>44542</v>
      </c>
      <c r="C1306" t="s">
        <v>441</v>
      </c>
      <c r="D1306">
        <v>1294</v>
      </c>
    </row>
    <row r="1307" spans="1:4" x14ac:dyDescent="0.35">
      <c r="A1307" t="s">
        <v>808</v>
      </c>
      <c r="B1307" s="47">
        <v>44541</v>
      </c>
      <c r="C1307" t="s">
        <v>478</v>
      </c>
      <c r="D1307">
        <v>120</v>
      </c>
    </row>
    <row r="1308" spans="1:4" x14ac:dyDescent="0.35">
      <c r="A1308" t="s">
        <v>809</v>
      </c>
      <c r="B1308" s="47">
        <v>44542</v>
      </c>
      <c r="C1308" t="s">
        <v>441</v>
      </c>
      <c r="D1308">
        <v>1977</v>
      </c>
    </row>
    <row r="1309" spans="1:4" x14ac:dyDescent="0.35">
      <c r="A1309" t="s">
        <v>809</v>
      </c>
      <c r="B1309" s="47">
        <v>44542</v>
      </c>
      <c r="C1309" t="s">
        <v>481</v>
      </c>
      <c r="D1309">
        <v>2081</v>
      </c>
    </row>
    <row r="1310" spans="1:4" x14ac:dyDescent="0.35">
      <c r="A1310" t="s">
        <v>809</v>
      </c>
      <c r="B1310" s="47">
        <v>44542</v>
      </c>
      <c r="C1310" t="s">
        <v>489</v>
      </c>
      <c r="D1310">
        <v>117</v>
      </c>
    </row>
    <row r="1311" spans="1:4" x14ac:dyDescent="0.35">
      <c r="A1311" t="s">
        <v>809</v>
      </c>
      <c r="B1311" s="47">
        <v>44542</v>
      </c>
      <c r="C1311" t="s">
        <v>502</v>
      </c>
      <c r="D1311">
        <v>111</v>
      </c>
    </row>
    <row r="1312" spans="1:4" x14ac:dyDescent="0.35">
      <c r="A1312" t="s">
        <v>809</v>
      </c>
      <c r="B1312" s="47">
        <v>44542</v>
      </c>
      <c r="C1312" t="s">
        <v>502</v>
      </c>
      <c r="D1312">
        <v>356</v>
      </c>
    </row>
    <row r="1313" spans="1:4" x14ac:dyDescent="0.35">
      <c r="A1313" t="s">
        <v>809</v>
      </c>
      <c r="B1313" s="47">
        <v>44542</v>
      </c>
      <c r="C1313" t="s">
        <v>770</v>
      </c>
      <c r="D1313">
        <v>1352</v>
      </c>
    </row>
    <row r="1314" spans="1:4" x14ac:dyDescent="0.35">
      <c r="A1314" t="s">
        <v>809</v>
      </c>
      <c r="B1314" s="47">
        <v>44542</v>
      </c>
      <c r="C1314" t="s">
        <v>770</v>
      </c>
      <c r="D1314">
        <v>978</v>
      </c>
    </row>
    <row r="1315" spans="1:4" x14ac:dyDescent="0.35">
      <c r="A1315" t="s">
        <v>809</v>
      </c>
      <c r="B1315" s="47">
        <v>44542</v>
      </c>
      <c r="C1315" t="s">
        <v>502</v>
      </c>
      <c r="D1315">
        <v>160</v>
      </c>
    </row>
    <row r="1316" spans="1:4" x14ac:dyDescent="0.35">
      <c r="A1316" t="s">
        <v>809</v>
      </c>
      <c r="B1316" s="47">
        <v>44542</v>
      </c>
      <c r="C1316" t="s">
        <v>590</v>
      </c>
      <c r="D1316">
        <v>509</v>
      </c>
    </row>
    <row r="1317" spans="1:4" x14ac:dyDescent="0.35">
      <c r="A1317" t="s">
        <v>809</v>
      </c>
      <c r="B1317" s="47">
        <v>44542</v>
      </c>
      <c r="C1317" t="s">
        <v>590</v>
      </c>
      <c r="D1317">
        <v>293</v>
      </c>
    </row>
    <row r="1318" spans="1:4" x14ac:dyDescent="0.35">
      <c r="A1318" t="s">
        <v>809</v>
      </c>
      <c r="B1318" s="47">
        <v>44542</v>
      </c>
      <c r="C1318" t="s">
        <v>590</v>
      </c>
      <c r="D1318">
        <v>310</v>
      </c>
    </row>
    <row r="1319" spans="1:4" x14ac:dyDescent="0.35">
      <c r="A1319" t="s">
        <v>810</v>
      </c>
      <c r="B1319" s="47">
        <v>44543</v>
      </c>
      <c r="C1319" t="s">
        <v>443</v>
      </c>
      <c r="D1319">
        <v>1968</v>
      </c>
    </row>
    <row r="1320" spans="1:4" x14ac:dyDescent="0.35">
      <c r="A1320" t="s">
        <v>810</v>
      </c>
      <c r="B1320" s="47">
        <v>44543</v>
      </c>
      <c r="C1320" t="s">
        <v>552</v>
      </c>
      <c r="D1320">
        <v>274</v>
      </c>
    </row>
    <row r="1321" spans="1:4" x14ac:dyDescent="0.35">
      <c r="A1321" t="s">
        <v>810</v>
      </c>
      <c r="B1321" s="47">
        <v>44543</v>
      </c>
      <c r="C1321" t="s">
        <v>441</v>
      </c>
      <c r="D1321">
        <v>1841</v>
      </c>
    </row>
    <row r="1322" spans="1:4" x14ac:dyDescent="0.35">
      <c r="A1322" t="s">
        <v>810</v>
      </c>
      <c r="B1322" s="47">
        <v>44543</v>
      </c>
      <c r="C1322" t="s">
        <v>530</v>
      </c>
      <c r="D1322">
        <v>2524</v>
      </c>
    </row>
    <row r="1323" spans="1:4" x14ac:dyDescent="0.35">
      <c r="A1323" t="s">
        <v>810</v>
      </c>
      <c r="B1323" s="47">
        <v>44543</v>
      </c>
      <c r="C1323" t="s">
        <v>530</v>
      </c>
      <c r="D1323">
        <v>2430</v>
      </c>
    </row>
    <row r="1324" spans="1:4" x14ac:dyDescent="0.35">
      <c r="A1324" t="s">
        <v>810</v>
      </c>
      <c r="B1324" s="47">
        <v>44543</v>
      </c>
      <c r="C1324" t="s">
        <v>511</v>
      </c>
      <c r="D1324">
        <v>1622</v>
      </c>
    </row>
    <row r="1325" spans="1:4" x14ac:dyDescent="0.35">
      <c r="A1325" t="s">
        <v>810</v>
      </c>
      <c r="B1325" s="47">
        <v>44543</v>
      </c>
      <c r="C1325" t="s">
        <v>511</v>
      </c>
      <c r="D1325">
        <v>1183</v>
      </c>
    </row>
    <row r="1326" spans="1:4" x14ac:dyDescent="0.35">
      <c r="A1326" t="s">
        <v>811</v>
      </c>
      <c r="B1326" s="47">
        <v>44544</v>
      </c>
      <c r="C1326" t="s">
        <v>546</v>
      </c>
      <c r="D1326">
        <v>1006</v>
      </c>
    </row>
    <row r="1327" spans="1:4" x14ac:dyDescent="0.35">
      <c r="A1327" t="s">
        <v>811</v>
      </c>
      <c r="B1327" s="47">
        <v>44544</v>
      </c>
      <c r="C1327" t="s">
        <v>489</v>
      </c>
      <c r="D1327">
        <v>559</v>
      </c>
    </row>
    <row r="1328" spans="1:4" x14ac:dyDescent="0.35">
      <c r="A1328" t="s">
        <v>811</v>
      </c>
      <c r="B1328" s="47">
        <v>44544</v>
      </c>
      <c r="C1328" t="s">
        <v>474</v>
      </c>
      <c r="D1328">
        <v>486</v>
      </c>
    </row>
    <row r="1329" spans="1:4" x14ac:dyDescent="0.35">
      <c r="A1329" t="s">
        <v>811</v>
      </c>
      <c r="B1329" s="47">
        <v>44544</v>
      </c>
      <c r="C1329" t="s">
        <v>480</v>
      </c>
      <c r="D1329">
        <v>2217</v>
      </c>
    </row>
    <row r="1330" spans="1:4" x14ac:dyDescent="0.35">
      <c r="A1330" t="s">
        <v>812</v>
      </c>
      <c r="B1330" s="47">
        <v>44545</v>
      </c>
      <c r="C1330" t="s">
        <v>546</v>
      </c>
      <c r="D1330">
        <v>1191</v>
      </c>
    </row>
    <row r="1331" spans="1:4" x14ac:dyDescent="0.35">
      <c r="A1331" t="s">
        <v>812</v>
      </c>
      <c r="B1331" s="47">
        <v>44545</v>
      </c>
      <c r="C1331" t="s">
        <v>446</v>
      </c>
      <c r="D1331">
        <v>526</v>
      </c>
    </row>
    <row r="1332" spans="1:4" x14ac:dyDescent="0.35">
      <c r="A1332" t="s">
        <v>812</v>
      </c>
      <c r="B1332" s="47">
        <v>44545</v>
      </c>
      <c r="C1332" t="s">
        <v>546</v>
      </c>
      <c r="D1332">
        <v>360</v>
      </c>
    </row>
    <row r="1333" spans="1:4" x14ac:dyDescent="0.35">
      <c r="A1333" t="s">
        <v>812</v>
      </c>
      <c r="B1333" s="47">
        <v>44545</v>
      </c>
      <c r="C1333" t="s">
        <v>546</v>
      </c>
      <c r="D1333">
        <v>358</v>
      </c>
    </row>
    <row r="1334" spans="1:4" x14ac:dyDescent="0.35">
      <c r="A1334" t="s">
        <v>812</v>
      </c>
      <c r="B1334" s="47">
        <v>44545</v>
      </c>
      <c r="C1334" t="s">
        <v>441</v>
      </c>
      <c r="D1334">
        <v>1984</v>
      </c>
    </row>
    <row r="1335" spans="1:4" x14ac:dyDescent="0.35">
      <c r="A1335" t="s">
        <v>812</v>
      </c>
      <c r="B1335" s="47">
        <v>44545</v>
      </c>
      <c r="C1335" t="s">
        <v>481</v>
      </c>
      <c r="D1335">
        <v>1887</v>
      </c>
    </row>
    <row r="1336" spans="1:4" x14ac:dyDescent="0.35">
      <c r="A1336" t="s">
        <v>812</v>
      </c>
      <c r="B1336" s="47">
        <v>44545</v>
      </c>
      <c r="C1336" t="s">
        <v>526</v>
      </c>
      <c r="D1336">
        <v>14485</v>
      </c>
    </row>
    <row r="1337" spans="1:4" x14ac:dyDescent="0.35">
      <c r="A1337" t="s">
        <v>812</v>
      </c>
      <c r="B1337" s="47">
        <v>44545</v>
      </c>
      <c r="C1337" t="s">
        <v>499</v>
      </c>
      <c r="D1337">
        <v>1286</v>
      </c>
    </row>
    <row r="1338" spans="1:4" x14ac:dyDescent="0.35">
      <c r="A1338" t="s">
        <v>812</v>
      </c>
      <c r="B1338" s="47">
        <v>44545</v>
      </c>
      <c r="C1338" t="s">
        <v>489</v>
      </c>
      <c r="D1338">
        <v>343</v>
      </c>
    </row>
    <row r="1339" spans="1:4" x14ac:dyDescent="0.35">
      <c r="A1339" t="s">
        <v>812</v>
      </c>
      <c r="B1339" s="47">
        <v>44545</v>
      </c>
      <c r="C1339" t="s">
        <v>443</v>
      </c>
      <c r="D1339">
        <v>2602</v>
      </c>
    </row>
    <row r="1340" spans="1:4" x14ac:dyDescent="0.35">
      <c r="A1340" t="s">
        <v>812</v>
      </c>
      <c r="B1340" s="47">
        <v>44545</v>
      </c>
      <c r="C1340" t="s">
        <v>443</v>
      </c>
      <c r="D1340">
        <v>2457</v>
      </c>
    </row>
    <row r="1341" spans="1:4" x14ac:dyDescent="0.35">
      <c r="A1341" t="s">
        <v>812</v>
      </c>
      <c r="B1341" s="47">
        <v>44545</v>
      </c>
      <c r="C1341" t="s">
        <v>495</v>
      </c>
      <c r="D1341">
        <v>180</v>
      </c>
    </row>
    <row r="1342" spans="1:4" x14ac:dyDescent="0.35">
      <c r="A1342" t="s">
        <v>812</v>
      </c>
      <c r="B1342" s="47">
        <v>44545</v>
      </c>
      <c r="C1342" t="s">
        <v>505</v>
      </c>
      <c r="D1342">
        <v>7480</v>
      </c>
    </row>
    <row r="1343" spans="1:4" x14ac:dyDescent="0.35">
      <c r="A1343" t="s">
        <v>812</v>
      </c>
      <c r="B1343" s="47">
        <v>44545</v>
      </c>
      <c r="C1343" t="s">
        <v>813</v>
      </c>
      <c r="D1343">
        <v>1549</v>
      </c>
    </row>
    <row r="1344" spans="1:4" x14ac:dyDescent="0.35">
      <c r="A1344" t="s">
        <v>812</v>
      </c>
      <c r="B1344" s="47">
        <v>44545</v>
      </c>
      <c r="C1344" t="s">
        <v>478</v>
      </c>
      <c r="D1344">
        <v>49</v>
      </c>
    </row>
    <row r="1345" spans="1:4" x14ac:dyDescent="0.35">
      <c r="A1345" t="s">
        <v>812</v>
      </c>
      <c r="B1345" s="47">
        <v>44545</v>
      </c>
      <c r="C1345" t="s">
        <v>478</v>
      </c>
      <c r="D1345">
        <v>106</v>
      </c>
    </row>
    <row r="1346" spans="1:4" x14ac:dyDescent="0.35">
      <c r="A1346" t="s">
        <v>812</v>
      </c>
      <c r="B1346" s="47">
        <v>44545</v>
      </c>
      <c r="C1346" t="s">
        <v>449</v>
      </c>
      <c r="D1346">
        <v>4122</v>
      </c>
    </row>
    <row r="1347" spans="1:4" x14ac:dyDescent="0.35">
      <c r="A1347" t="s">
        <v>814</v>
      </c>
      <c r="B1347" s="47">
        <v>44546</v>
      </c>
      <c r="C1347" t="s">
        <v>546</v>
      </c>
      <c r="D1347">
        <v>689</v>
      </c>
    </row>
    <row r="1348" spans="1:4" x14ac:dyDescent="0.35">
      <c r="A1348" t="s">
        <v>814</v>
      </c>
      <c r="B1348" s="47">
        <v>44546</v>
      </c>
      <c r="C1348" t="s">
        <v>530</v>
      </c>
      <c r="D1348">
        <v>3883</v>
      </c>
    </row>
    <row r="1349" spans="1:4" x14ac:dyDescent="0.35">
      <c r="A1349" t="s">
        <v>814</v>
      </c>
      <c r="B1349" s="47">
        <v>44546</v>
      </c>
      <c r="C1349" t="s">
        <v>530</v>
      </c>
      <c r="D1349">
        <v>412</v>
      </c>
    </row>
    <row r="1350" spans="1:4" x14ac:dyDescent="0.35">
      <c r="A1350" t="s">
        <v>814</v>
      </c>
      <c r="B1350" s="47">
        <v>44546</v>
      </c>
      <c r="C1350" t="s">
        <v>546</v>
      </c>
      <c r="D1350">
        <v>202</v>
      </c>
    </row>
    <row r="1351" spans="1:4" x14ac:dyDescent="0.35">
      <c r="A1351" t="s">
        <v>814</v>
      </c>
      <c r="B1351" s="47">
        <v>44546</v>
      </c>
      <c r="C1351" t="s">
        <v>461</v>
      </c>
      <c r="D1351">
        <v>21</v>
      </c>
    </row>
    <row r="1352" spans="1:4" x14ac:dyDescent="0.35">
      <c r="A1352" t="s">
        <v>814</v>
      </c>
      <c r="B1352" s="47">
        <v>44546</v>
      </c>
      <c r="C1352" t="s">
        <v>461</v>
      </c>
      <c r="D1352">
        <v>132</v>
      </c>
    </row>
    <row r="1353" spans="1:4" x14ac:dyDescent="0.35">
      <c r="A1353" t="s">
        <v>814</v>
      </c>
      <c r="B1353" s="47">
        <v>44546</v>
      </c>
      <c r="C1353" t="s">
        <v>666</v>
      </c>
      <c r="D1353">
        <v>662</v>
      </c>
    </row>
    <row r="1354" spans="1:4" x14ac:dyDescent="0.35">
      <c r="A1354" t="s">
        <v>814</v>
      </c>
      <c r="B1354" s="47">
        <v>44546</v>
      </c>
      <c r="C1354" t="s">
        <v>666</v>
      </c>
      <c r="D1354">
        <v>240</v>
      </c>
    </row>
    <row r="1355" spans="1:4" x14ac:dyDescent="0.35">
      <c r="A1355" t="s">
        <v>814</v>
      </c>
      <c r="B1355" s="47">
        <v>44546</v>
      </c>
      <c r="C1355" t="s">
        <v>461</v>
      </c>
      <c r="D1355">
        <v>349</v>
      </c>
    </row>
    <row r="1356" spans="1:4" x14ac:dyDescent="0.35">
      <c r="A1356" t="s">
        <v>815</v>
      </c>
      <c r="B1356" s="47">
        <v>44548</v>
      </c>
      <c r="C1356" t="s">
        <v>470</v>
      </c>
      <c r="D1356">
        <v>1987</v>
      </c>
    </row>
    <row r="1357" spans="1:4" x14ac:dyDescent="0.35">
      <c r="A1357" t="s">
        <v>815</v>
      </c>
      <c r="B1357" s="47">
        <v>44548</v>
      </c>
      <c r="C1357" t="s">
        <v>441</v>
      </c>
      <c r="D1357">
        <v>1749</v>
      </c>
    </row>
    <row r="1358" spans="1:4" x14ac:dyDescent="0.35">
      <c r="A1358" t="s">
        <v>815</v>
      </c>
      <c r="B1358" s="47">
        <v>44548</v>
      </c>
      <c r="C1358" t="s">
        <v>577</v>
      </c>
      <c r="D1358">
        <v>54</v>
      </c>
    </row>
    <row r="1359" spans="1:4" x14ac:dyDescent="0.35">
      <c r="A1359" t="s">
        <v>815</v>
      </c>
      <c r="B1359" s="47">
        <v>44548</v>
      </c>
      <c r="C1359" t="s">
        <v>577</v>
      </c>
      <c r="D1359">
        <v>56</v>
      </c>
    </row>
    <row r="1360" spans="1:4" x14ac:dyDescent="0.35">
      <c r="A1360" t="s">
        <v>815</v>
      </c>
      <c r="B1360" s="47">
        <v>44548</v>
      </c>
      <c r="C1360" t="s">
        <v>502</v>
      </c>
      <c r="D1360">
        <v>256</v>
      </c>
    </row>
    <row r="1361" spans="1:4" x14ac:dyDescent="0.35">
      <c r="A1361" t="s">
        <v>815</v>
      </c>
      <c r="B1361" s="47">
        <v>44548</v>
      </c>
      <c r="C1361" t="s">
        <v>552</v>
      </c>
      <c r="D1361">
        <v>826</v>
      </c>
    </row>
    <row r="1362" spans="1:4" x14ac:dyDescent="0.35">
      <c r="A1362" t="s">
        <v>815</v>
      </c>
      <c r="B1362" s="47">
        <v>44548</v>
      </c>
      <c r="C1362" t="s">
        <v>495</v>
      </c>
      <c r="D1362">
        <v>46</v>
      </c>
    </row>
    <row r="1363" spans="1:4" x14ac:dyDescent="0.35">
      <c r="A1363" t="s">
        <v>815</v>
      </c>
      <c r="B1363" s="47">
        <v>44548</v>
      </c>
      <c r="C1363" t="s">
        <v>495</v>
      </c>
      <c r="D1363">
        <v>73</v>
      </c>
    </row>
    <row r="1364" spans="1:4" x14ac:dyDescent="0.35">
      <c r="A1364" t="s">
        <v>815</v>
      </c>
      <c r="B1364" s="47">
        <v>44548</v>
      </c>
      <c r="C1364" t="s">
        <v>495</v>
      </c>
      <c r="D1364">
        <v>1227</v>
      </c>
    </row>
    <row r="1365" spans="1:4" x14ac:dyDescent="0.35">
      <c r="A1365" t="s">
        <v>816</v>
      </c>
      <c r="B1365" s="47">
        <v>44549</v>
      </c>
      <c r="C1365" t="s">
        <v>546</v>
      </c>
      <c r="D1365">
        <v>1732</v>
      </c>
    </row>
    <row r="1366" spans="1:4" x14ac:dyDescent="0.35">
      <c r="A1366" t="s">
        <v>816</v>
      </c>
      <c r="B1366" s="47">
        <v>44549</v>
      </c>
      <c r="C1366" t="s">
        <v>704</v>
      </c>
      <c r="D1366">
        <v>32</v>
      </c>
    </row>
    <row r="1367" spans="1:4" x14ac:dyDescent="0.35">
      <c r="A1367" t="s">
        <v>816</v>
      </c>
      <c r="B1367" s="47">
        <v>44549</v>
      </c>
      <c r="C1367" t="s">
        <v>704</v>
      </c>
      <c r="D1367">
        <v>2115</v>
      </c>
    </row>
    <row r="1368" spans="1:4" x14ac:dyDescent="0.35">
      <c r="A1368" t="s">
        <v>816</v>
      </c>
      <c r="B1368" s="47">
        <v>44549</v>
      </c>
      <c r="C1368" t="s">
        <v>499</v>
      </c>
      <c r="D1368">
        <v>636</v>
      </c>
    </row>
    <row r="1369" spans="1:4" x14ac:dyDescent="0.35">
      <c r="A1369" t="s">
        <v>816</v>
      </c>
      <c r="B1369" s="47">
        <v>44549</v>
      </c>
      <c r="C1369" t="s">
        <v>499</v>
      </c>
      <c r="D1369">
        <v>551</v>
      </c>
    </row>
    <row r="1370" spans="1:4" x14ac:dyDescent="0.35">
      <c r="A1370" t="s">
        <v>816</v>
      </c>
      <c r="B1370" s="47">
        <v>44549</v>
      </c>
      <c r="C1370" t="s">
        <v>499</v>
      </c>
      <c r="D1370">
        <v>543</v>
      </c>
    </row>
    <row r="1371" spans="1:4" x14ac:dyDescent="0.35">
      <c r="A1371" t="s">
        <v>816</v>
      </c>
      <c r="B1371" s="47">
        <v>44549</v>
      </c>
      <c r="C1371" t="s">
        <v>450</v>
      </c>
      <c r="D1371">
        <v>2675</v>
      </c>
    </row>
    <row r="1372" spans="1:4" x14ac:dyDescent="0.35">
      <c r="A1372" t="s">
        <v>816</v>
      </c>
      <c r="B1372" s="47">
        <v>44549</v>
      </c>
      <c r="C1372" t="s">
        <v>770</v>
      </c>
      <c r="D1372">
        <v>5000</v>
      </c>
    </row>
    <row r="1373" spans="1:4" x14ac:dyDescent="0.35">
      <c r="A1373" t="s">
        <v>817</v>
      </c>
      <c r="B1373" s="47">
        <v>44550</v>
      </c>
      <c r="C1373" t="s">
        <v>530</v>
      </c>
      <c r="D1373">
        <v>2762</v>
      </c>
    </row>
    <row r="1374" spans="1:4" x14ac:dyDescent="0.35">
      <c r="A1374" t="s">
        <v>817</v>
      </c>
      <c r="B1374" s="47">
        <v>44550</v>
      </c>
      <c r="C1374" t="s">
        <v>530</v>
      </c>
      <c r="D1374">
        <v>528</v>
      </c>
    </row>
    <row r="1375" spans="1:4" x14ac:dyDescent="0.35">
      <c r="A1375" t="s">
        <v>817</v>
      </c>
      <c r="B1375" s="47">
        <v>44550</v>
      </c>
      <c r="C1375" t="s">
        <v>554</v>
      </c>
      <c r="D1375">
        <v>207</v>
      </c>
    </row>
    <row r="1376" spans="1:4" x14ac:dyDescent="0.35">
      <c r="A1376" t="s">
        <v>817</v>
      </c>
      <c r="B1376" s="47">
        <v>44550</v>
      </c>
      <c r="C1376" t="s">
        <v>554</v>
      </c>
      <c r="D1376">
        <v>2650</v>
      </c>
    </row>
    <row r="1377" spans="1:4" x14ac:dyDescent="0.35">
      <c r="A1377" t="s">
        <v>817</v>
      </c>
      <c r="B1377" s="47">
        <v>44550</v>
      </c>
      <c r="C1377" t="s">
        <v>441</v>
      </c>
      <c r="D1377">
        <v>451</v>
      </c>
    </row>
    <row r="1378" spans="1:4" x14ac:dyDescent="0.35">
      <c r="A1378" t="s">
        <v>817</v>
      </c>
      <c r="B1378" s="47">
        <v>44550</v>
      </c>
      <c r="C1378" t="s">
        <v>546</v>
      </c>
      <c r="D1378">
        <v>682</v>
      </c>
    </row>
    <row r="1379" spans="1:4" x14ac:dyDescent="0.35">
      <c r="A1379" t="s">
        <v>817</v>
      </c>
      <c r="B1379" s="47">
        <v>44550</v>
      </c>
      <c r="C1379" t="s">
        <v>554</v>
      </c>
      <c r="D1379">
        <v>1125</v>
      </c>
    </row>
    <row r="1380" spans="1:4" x14ac:dyDescent="0.35">
      <c r="A1380" t="s">
        <v>817</v>
      </c>
      <c r="B1380" s="47">
        <v>44550</v>
      </c>
      <c r="C1380" t="s">
        <v>449</v>
      </c>
      <c r="D1380">
        <v>3345</v>
      </c>
    </row>
    <row r="1381" spans="1:4" x14ac:dyDescent="0.35">
      <c r="A1381" t="s">
        <v>817</v>
      </c>
      <c r="B1381" s="47">
        <v>44550</v>
      </c>
      <c r="C1381" t="s">
        <v>494</v>
      </c>
      <c r="D1381">
        <v>2030</v>
      </c>
    </row>
    <row r="1382" spans="1:4" x14ac:dyDescent="0.35">
      <c r="A1382" t="s">
        <v>817</v>
      </c>
      <c r="B1382" s="47">
        <v>44550</v>
      </c>
      <c r="C1382" t="s">
        <v>472</v>
      </c>
      <c r="D1382">
        <v>1509</v>
      </c>
    </row>
    <row r="1383" spans="1:4" x14ac:dyDescent="0.35">
      <c r="A1383" t="s">
        <v>817</v>
      </c>
      <c r="B1383" s="47">
        <v>44550</v>
      </c>
      <c r="C1383" t="s">
        <v>480</v>
      </c>
      <c r="D1383">
        <v>396</v>
      </c>
    </row>
    <row r="1384" spans="1:4" x14ac:dyDescent="0.35">
      <c r="A1384" t="s">
        <v>817</v>
      </c>
      <c r="B1384" s="47">
        <v>44550</v>
      </c>
      <c r="C1384" t="s">
        <v>480</v>
      </c>
      <c r="D1384">
        <v>420</v>
      </c>
    </row>
    <row r="1385" spans="1:4" x14ac:dyDescent="0.35">
      <c r="A1385" t="s">
        <v>817</v>
      </c>
      <c r="B1385" s="47">
        <v>44550</v>
      </c>
      <c r="C1385" t="s">
        <v>590</v>
      </c>
      <c r="D1385">
        <v>557</v>
      </c>
    </row>
    <row r="1386" spans="1:4" x14ac:dyDescent="0.35">
      <c r="A1386" t="s">
        <v>817</v>
      </c>
      <c r="B1386" s="47">
        <v>44550</v>
      </c>
      <c r="C1386" t="s">
        <v>590</v>
      </c>
      <c r="D1386">
        <v>194</v>
      </c>
    </row>
    <row r="1387" spans="1:4" x14ac:dyDescent="0.35">
      <c r="A1387" t="s">
        <v>817</v>
      </c>
      <c r="B1387" s="47">
        <v>44550</v>
      </c>
      <c r="C1387" t="s">
        <v>441</v>
      </c>
      <c r="D1387">
        <v>1499</v>
      </c>
    </row>
    <row r="1388" spans="1:4" x14ac:dyDescent="0.35">
      <c r="A1388" t="s">
        <v>817</v>
      </c>
      <c r="B1388" s="47">
        <v>44550</v>
      </c>
      <c r="C1388" t="s">
        <v>443</v>
      </c>
      <c r="D1388">
        <v>2244</v>
      </c>
    </row>
    <row r="1389" spans="1:4" x14ac:dyDescent="0.35">
      <c r="A1389" t="s">
        <v>818</v>
      </c>
      <c r="B1389" s="47">
        <v>44551</v>
      </c>
      <c r="C1389" t="s">
        <v>553</v>
      </c>
      <c r="D1389">
        <v>1230</v>
      </c>
    </row>
    <row r="1390" spans="1:4" x14ac:dyDescent="0.35">
      <c r="A1390" t="s">
        <v>818</v>
      </c>
      <c r="B1390" s="47">
        <v>44551</v>
      </c>
      <c r="C1390" t="s">
        <v>553</v>
      </c>
      <c r="D1390">
        <v>268</v>
      </c>
    </row>
    <row r="1391" spans="1:4" x14ac:dyDescent="0.35">
      <c r="A1391" t="s">
        <v>818</v>
      </c>
      <c r="B1391" s="47">
        <v>44551</v>
      </c>
      <c r="C1391" t="s">
        <v>530</v>
      </c>
      <c r="D1391">
        <v>1338</v>
      </c>
    </row>
    <row r="1392" spans="1:4" x14ac:dyDescent="0.35">
      <c r="A1392" t="s">
        <v>818</v>
      </c>
      <c r="B1392" s="47">
        <v>44551</v>
      </c>
      <c r="C1392" t="s">
        <v>530</v>
      </c>
      <c r="D1392">
        <v>576</v>
      </c>
    </row>
    <row r="1393" spans="1:4" x14ac:dyDescent="0.35">
      <c r="A1393" t="s">
        <v>818</v>
      </c>
      <c r="B1393" s="47">
        <v>44551</v>
      </c>
      <c r="C1393" t="s">
        <v>575</v>
      </c>
      <c r="D1393">
        <v>500</v>
      </c>
    </row>
    <row r="1394" spans="1:4" x14ac:dyDescent="0.35">
      <c r="A1394" t="s">
        <v>818</v>
      </c>
      <c r="B1394" s="47">
        <v>44551</v>
      </c>
      <c r="C1394" t="s">
        <v>575</v>
      </c>
      <c r="D1394">
        <v>136</v>
      </c>
    </row>
    <row r="1395" spans="1:4" x14ac:dyDescent="0.35">
      <c r="A1395" t="s">
        <v>818</v>
      </c>
      <c r="B1395" s="47">
        <v>44551</v>
      </c>
      <c r="C1395" t="s">
        <v>441</v>
      </c>
      <c r="D1395">
        <v>201</v>
      </c>
    </row>
    <row r="1396" spans="1:4" x14ac:dyDescent="0.35">
      <c r="A1396" t="s">
        <v>818</v>
      </c>
      <c r="B1396" s="47">
        <v>44551</v>
      </c>
      <c r="C1396" t="s">
        <v>539</v>
      </c>
      <c r="D1396">
        <v>277</v>
      </c>
    </row>
    <row r="1397" spans="1:4" x14ac:dyDescent="0.35">
      <c r="A1397" t="s">
        <v>818</v>
      </c>
      <c r="B1397" s="47">
        <v>44551</v>
      </c>
      <c r="C1397" t="s">
        <v>494</v>
      </c>
      <c r="D1397">
        <v>4</v>
      </c>
    </row>
    <row r="1398" spans="1:4" x14ac:dyDescent="0.35">
      <c r="A1398" t="s">
        <v>818</v>
      </c>
      <c r="B1398" s="47">
        <v>44551</v>
      </c>
      <c r="C1398" t="s">
        <v>449</v>
      </c>
      <c r="D1398">
        <v>3334</v>
      </c>
    </row>
    <row r="1399" spans="1:4" x14ac:dyDescent="0.35">
      <c r="A1399" t="s">
        <v>818</v>
      </c>
      <c r="B1399" s="47">
        <v>44551</v>
      </c>
      <c r="C1399" t="s">
        <v>665</v>
      </c>
      <c r="D1399">
        <v>1243</v>
      </c>
    </row>
    <row r="1400" spans="1:4" x14ac:dyDescent="0.35">
      <c r="A1400" t="s">
        <v>818</v>
      </c>
      <c r="B1400" s="47">
        <v>44551</v>
      </c>
      <c r="C1400" t="s">
        <v>497</v>
      </c>
      <c r="D1400">
        <v>2144</v>
      </c>
    </row>
    <row r="1401" spans="1:4" x14ac:dyDescent="0.35">
      <c r="A1401" t="s">
        <v>818</v>
      </c>
      <c r="B1401" s="47">
        <v>44551</v>
      </c>
      <c r="C1401" t="s">
        <v>497</v>
      </c>
      <c r="D1401">
        <v>70</v>
      </c>
    </row>
    <row r="1402" spans="1:4" x14ac:dyDescent="0.35">
      <c r="A1402" t="s">
        <v>818</v>
      </c>
      <c r="B1402" s="47">
        <v>44551</v>
      </c>
      <c r="C1402" t="s">
        <v>497</v>
      </c>
      <c r="D1402">
        <v>1038</v>
      </c>
    </row>
    <row r="1403" spans="1:4" x14ac:dyDescent="0.35">
      <c r="A1403" t="s">
        <v>818</v>
      </c>
      <c r="B1403" s="47">
        <v>44551</v>
      </c>
      <c r="C1403" t="s">
        <v>481</v>
      </c>
      <c r="D1403">
        <v>1062</v>
      </c>
    </row>
    <row r="1404" spans="1:4" x14ac:dyDescent="0.35">
      <c r="A1404" t="s">
        <v>818</v>
      </c>
      <c r="B1404" s="47">
        <v>44551</v>
      </c>
      <c r="C1404" t="s">
        <v>481</v>
      </c>
      <c r="D1404">
        <v>934</v>
      </c>
    </row>
    <row r="1405" spans="1:4" x14ac:dyDescent="0.35">
      <c r="A1405" t="s">
        <v>818</v>
      </c>
      <c r="B1405" s="47">
        <v>44551</v>
      </c>
      <c r="C1405" t="s">
        <v>537</v>
      </c>
      <c r="D1405">
        <v>1640</v>
      </c>
    </row>
    <row r="1406" spans="1:4" x14ac:dyDescent="0.35">
      <c r="A1406" t="s">
        <v>818</v>
      </c>
      <c r="B1406" s="47">
        <v>44551</v>
      </c>
      <c r="C1406" t="s">
        <v>530</v>
      </c>
      <c r="D1406">
        <v>2549</v>
      </c>
    </row>
    <row r="1407" spans="1:4" x14ac:dyDescent="0.35">
      <c r="A1407" t="s">
        <v>819</v>
      </c>
      <c r="B1407" s="47">
        <v>44552</v>
      </c>
      <c r="C1407" t="s">
        <v>820</v>
      </c>
      <c r="D1407">
        <v>300</v>
      </c>
    </row>
    <row r="1408" spans="1:4" x14ac:dyDescent="0.35">
      <c r="A1408" t="s">
        <v>819</v>
      </c>
      <c r="B1408" s="47">
        <v>44552</v>
      </c>
      <c r="C1408" t="s">
        <v>449</v>
      </c>
      <c r="D1408">
        <v>2548</v>
      </c>
    </row>
    <row r="1409" spans="1:4" x14ac:dyDescent="0.35">
      <c r="A1409" t="s">
        <v>819</v>
      </c>
      <c r="B1409" s="47">
        <v>44552</v>
      </c>
      <c r="C1409" t="s">
        <v>449</v>
      </c>
      <c r="D1409">
        <v>950</v>
      </c>
    </row>
    <row r="1410" spans="1:4" x14ac:dyDescent="0.35">
      <c r="A1410" t="s">
        <v>819</v>
      </c>
      <c r="B1410" s="47">
        <v>44552</v>
      </c>
      <c r="C1410" t="s">
        <v>534</v>
      </c>
      <c r="D1410">
        <v>2247</v>
      </c>
    </row>
    <row r="1411" spans="1:4" x14ac:dyDescent="0.35">
      <c r="A1411" t="s">
        <v>819</v>
      </c>
      <c r="B1411" s="47">
        <v>44552</v>
      </c>
      <c r="C1411" t="s">
        <v>443</v>
      </c>
      <c r="D1411">
        <v>2052</v>
      </c>
    </row>
    <row r="1412" spans="1:4" x14ac:dyDescent="0.35">
      <c r="A1412" t="s">
        <v>821</v>
      </c>
      <c r="B1412" s="47">
        <v>44553</v>
      </c>
      <c r="C1412" t="s">
        <v>546</v>
      </c>
      <c r="D1412">
        <v>1360</v>
      </c>
    </row>
    <row r="1413" spans="1:4" x14ac:dyDescent="0.35">
      <c r="A1413" t="s">
        <v>821</v>
      </c>
      <c r="B1413" s="47">
        <v>44553</v>
      </c>
      <c r="C1413" t="s">
        <v>506</v>
      </c>
      <c r="D1413">
        <v>4847</v>
      </c>
    </row>
    <row r="1414" spans="1:4" x14ac:dyDescent="0.35">
      <c r="A1414" t="s">
        <v>821</v>
      </c>
      <c r="B1414" s="47">
        <v>44553</v>
      </c>
      <c r="C1414" t="s">
        <v>455</v>
      </c>
      <c r="D1414">
        <v>351</v>
      </c>
    </row>
    <row r="1415" spans="1:4" x14ac:dyDescent="0.35">
      <c r="A1415" t="s">
        <v>821</v>
      </c>
      <c r="B1415" s="47">
        <v>44553</v>
      </c>
      <c r="C1415" t="s">
        <v>455</v>
      </c>
      <c r="D1415">
        <v>107</v>
      </c>
    </row>
    <row r="1416" spans="1:4" x14ac:dyDescent="0.35">
      <c r="A1416" t="s">
        <v>821</v>
      </c>
      <c r="B1416" s="47">
        <v>44553</v>
      </c>
      <c r="C1416" t="s">
        <v>505</v>
      </c>
      <c r="D1416">
        <v>6867</v>
      </c>
    </row>
    <row r="1417" spans="1:4" x14ac:dyDescent="0.35">
      <c r="A1417" t="s">
        <v>822</v>
      </c>
      <c r="B1417" s="47">
        <v>44555</v>
      </c>
      <c r="C1417" t="s">
        <v>546</v>
      </c>
      <c r="D1417">
        <v>1143</v>
      </c>
    </row>
    <row r="1418" spans="1:4" x14ac:dyDescent="0.35">
      <c r="A1418" t="s">
        <v>823</v>
      </c>
      <c r="B1418" s="47">
        <v>44554</v>
      </c>
      <c r="C1418" t="s">
        <v>443</v>
      </c>
      <c r="D1418">
        <v>7298</v>
      </c>
    </row>
    <row r="1419" spans="1:4" x14ac:dyDescent="0.35">
      <c r="A1419" t="s">
        <v>822</v>
      </c>
      <c r="B1419" s="47">
        <v>44555</v>
      </c>
      <c r="C1419" t="s">
        <v>461</v>
      </c>
      <c r="D1419">
        <v>422</v>
      </c>
    </row>
    <row r="1420" spans="1:4" x14ac:dyDescent="0.35">
      <c r="A1420" t="s">
        <v>822</v>
      </c>
      <c r="B1420" s="47">
        <v>44555</v>
      </c>
      <c r="C1420" t="s">
        <v>461</v>
      </c>
      <c r="D1420">
        <v>18</v>
      </c>
    </row>
    <row r="1421" spans="1:4" x14ac:dyDescent="0.35">
      <c r="A1421" t="s">
        <v>822</v>
      </c>
      <c r="B1421" s="47">
        <v>44555</v>
      </c>
      <c r="C1421" t="s">
        <v>534</v>
      </c>
      <c r="D1421">
        <v>320</v>
      </c>
    </row>
    <row r="1422" spans="1:4" x14ac:dyDescent="0.35">
      <c r="A1422" t="s">
        <v>822</v>
      </c>
      <c r="B1422" s="47">
        <v>44555</v>
      </c>
      <c r="C1422" t="s">
        <v>534</v>
      </c>
      <c r="D1422">
        <v>264</v>
      </c>
    </row>
    <row r="1423" spans="1:4" x14ac:dyDescent="0.35">
      <c r="A1423" t="s">
        <v>822</v>
      </c>
      <c r="B1423" s="47">
        <v>44555</v>
      </c>
      <c r="C1423" t="s">
        <v>511</v>
      </c>
      <c r="D1423">
        <v>2149</v>
      </c>
    </row>
    <row r="1424" spans="1:4" x14ac:dyDescent="0.35">
      <c r="A1424" t="s">
        <v>824</v>
      </c>
      <c r="B1424" s="47">
        <v>44556</v>
      </c>
      <c r="C1424" t="s">
        <v>451</v>
      </c>
      <c r="D1424">
        <v>1580</v>
      </c>
    </row>
    <row r="1425" spans="1:4" x14ac:dyDescent="0.35">
      <c r="A1425" t="s">
        <v>824</v>
      </c>
      <c r="B1425" s="47">
        <v>44556</v>
      </c>
      <c r="C1425" t="s">
        <v>443</v>
      </c>
      <c r="D1425">
        <v>2686</v>
      </c>
    </row>
    <row r="1426" spans="1:4" x14ac:dyDescent="0.35">
      <c r="A1426" t="s">
        <v>824</v>
      </c>
      <c r="B1426" s="47">
        <v>44556</v>
      </c>
      <c r="C1426" t="s">
        <v>502</v>
      </c>
      <c r="D1426">
        <v>289</v>
      </c>
    </row>
    <row r="1427" spans="1:4" x14ac:dyDescent="0.35">
      <c r="A1427" t="s">
        <v>824</v>
      </c>
      <c r="B1427" s="47">
        <v>44556</v>
      </c>
      <c r="C1427" t="s">
        <v>577</v>
      </c>
      <c r="D1427">
        <v>104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2137-10EB-4C11-9670-42F3D4F9C95E}">
  <sheetPr codeName="Sheet3"/>
  <dimension ref="A1:D1232"/>
  <sheetViews>
    <sheetView rightToLeft="1" topLeftCell="A47" zoomScale="160" zoomScaleNormal="160" workbookViewId="0">
      <selection activeCell="C71" sqref="C71"/>
    </sheetView>
  </sheetViews>
  <sheetFormatPr defaultRowHeight="14.5" x14ac:dyDescent="0.35"/>
  <cols>
    <col min="1" max="1" width="8.453125" bestFit="1" customWidth="1"/>
    <col min="2" max="2" width="15.54296875" bestFit="1" customWidth="1"/>
    <col min="3" max="3" width="9.54296875" bestFit="1" customWidth="1"/>
    <col min="4" max="4" width="14.26953125" bestFit="1" customWidth="1"/>
  </cols>
  <sheetData>
    <row r="1" spans="1:4" x14ac:dyDescent="0.35">
      <c r="A1" t="s">
        <v>0</v>
      </c>
      <c r="B1" t="s">
        <v>439</v>
      </c>
      <c r="C1" t="s">
        <v>427</v>
      </c>
      <c r="D1" t="s">
        <v>15</v>
      </c>
    </row>
    <row r="2" spans="1:4" x14ac:dyDescent="0.35">
      <c r="A2" t="s">
        <v>440</v>
      </c>
      <c r="B2" s="28">
        <v>44289</v>
      </c>
      <c r="C2" t="s">
        <v>441</v>
      </c>
      <c r="D2">
        <v>-2048</v>
      </c>
    </row>
    <row r="3" spans="1:4" x14ac:dyDescent="0.35">
      <c r="A3" t="s">
        <v>442</v>
      </c>
      <c r="B3" s="28">
        <v>44290</v>
      </c>
      <c r="C3" t="s">
        <v>443</v>
      </c>
      <c r="D3">
        <v>-2068</v>
      </c>
    </row>
    <row r="4" spans="1:4" x14ac:dyDescent="0.35">
      <c r="A4" t="s">
        <v>442</v>
      </c>
      <c r="B4" s="28">
        <v>44290</v>
      </c>
      <c r="C4" t="s">
        <v>444</v>
      </c>
      <c r="D4">
        <v>-1776</v>
      </c>
    </row>
    <row r="5" spans="1:4" x14ac:dyDescent="0.35">
      <c r="A5" t="s">
        <v>445</v>
      </c>
      <c r="B5" s="28">
        <v>44291</v>
      </c>
      <c r="C5" t="s">
        <v>443</v>
      </c>
      <c r="D5">
        <v>-3552</v>
      </c>
    </row>
    <row r="6" spans="1:4" x14ac:dyDescent="0.35">
      <c r="A6" t="s">
        <v>445</v>
      </c>
      <c r="B6" s="28">
        <v>44291</v>
      </c>
      <c r="C6" t="s">
        <v>441</v>
      </c>
      <c r="D6">
        <v>-2142</v>
      </c>
    </row>
    <row r="7" spans="1:4" x14ac:dyDescent="0.35">
      <c r="A7" t="s">
        <v>445</v>
      </c>
      <c r="B7" s="28">
        <v>44291</v>
      </c>
      <c r="C7" t="s">
        <v>446</v>
      </c>
      <c r="D7">
        <v>-3184</v>
      </c>
    </row>
    <row r="8" spans="1:4" x14ac:dyDescent="0.35">
      <c r="A8" t="s">
        <v>447</v>
      </c>
      <c r="B8" s="28">
        <v>44292</v>
      </c>
      <c r="C8" t="s">
        <v>441</v>
      </c>
      <c r="D8">
        <v>-2638</v>
      </c>
    </row>
    <row r="9" spans="1:4" x14ac:dyDescent="0.35">
      <c r="A9" t="s">
        <v>448</v>
      </c>
      <c r="B9" s="28">
        <v>44293</v>
      </c>
      <c r="C9" t="s">
        <v>443</v>
      </c>
      <c r="D9">
        <v>-1900</v>
      </c>
    </row>
    <row r="10" spans="1:4" x14ac:dyDescent="0.35">
      <c r="A10" t="s">
        <v>448</v>
      </c>
      <c r="B10" s="28">
        <v>44293</v>
      </c>
      <c r="C10" t="s">
        <v>449</v>
      </c>
      <c r="D10">
        <v>-1976</v>
      </c>
    </row>
    <row r="11" spans="1:4" x14ac:dyDescent="0.35">
      <c r="A11" t="s">
        <v>448</v>
      </c>
      <c r="B11" s="28">
        <v>44293</v>
      </c>
      <c r="C11" t="s">
        <v>450</v>
      </c>
      <c r="D11">
        <v>-7248</v>
      </c>
    </row>
    <row r="12" spans="1:4" x14ac:dyDescent="0.35">
      <c r="A12" t="s">
        <v>448</v>
      </c>
      <c r="B12" s="28">
        <v>44293</v>
      </c>
      <c r="C12" t="s">
        <v>451</v>
      </c>
      <c r="D12">
        <v>-1780</v>
      </c>
    </row>
    <row r="13" spans="1:4" x14ac:dyDescent="0.35">
      <c r="A13" t="s">
        <v>448</v>
      </c>
      <c r="B13" s="28">
        <v>44293</v>
      </c>
      <c r="C13" t="s">
        <v>441</v>
      </c>
      <c r="D13">
        <v>-99</v>
      </c>
    </row>
    <row r="14" spans="1:4" x14ac:dyDescent="0.35">
      <c r="A14" t="s">
        <v>452</v>
      </c>
      <c r="B14" s="28">
        <v>44276</v>
      </c>
      <c r="C14" t="s">
        <v>453</v>
      </c>
      <c r="D14">
        <v>-1</v>
      </c>
    </row>
    <row r="15" spans="1:4" x14ac:dyDescent="0.35">
      <c r="A15" t="s">
        <v>452</v>
      </c>
      <c r="B15" s="28">
        <v>44276</v>
      </c>
      <c r="C15" t="s">
        <v>454</v>
      </c>
      <c r="D15">
        <v>-2</v>
      </c>
    </row>
    <row r="16" spans="1:4" x14ac:dyDescent="0.35">
      <c r="A16" t="s">
        <v>452</v>
      </c>
      <c r="B16" s="28">
        <v>44276</v>
      </c>
      <c r="C16" t="s">
        <v>455</v>
      </c>
      <c r="D16">
        <v>-3</v>
      </c>
    </row>
    <row r="17" spans="1:4" x14ac:dyDescent="0.35">
      <c r="A17" t="s">
        <v>452</v>
      </c>
      <c r="B17" s="28">
        <v>44276</v>
      </c>
      <c r="C17" t="s">
        <v>456</v>
      </c>
      <c r="D17">
        <v>-3</v>
      </c>
    </row>
    <row r="18" spans="1:4" x14ac:dyDescent="0.35">
      <c r="A18" t="s">
        <v>452</v>
      </c>
      <c r="B18" s="28">
        <v>44276</v>
      </c>
      <c r="C18" t="s">
        <v>457</v>
      </c>
      <c r="D18">
        <v>-4</v>
      </c>
    </row>
    <row r="19" spans="1:4" x14ac:dyDescent="0.35">
      <c r="A19" t="s">
        <v>452</v>
      </c>
      <c r="B19" s="28">
        <v>44276</v>
      </c>
      <c r="C19" t="s">
        <v>458</v>
      </c>
      <c r="D19">
        <v>-5</v>
      </c>
    </row>
    <row r="20" spans="1:4" x14ac:dyDescent="0.35">
      <c r="A20" t="s">
        <v>452</v>
      </c>
      <c r="B20" s="28">
        <v>44276</v>
      </c>
      <c r="C20" t="s">
        <v>459</v>
      </c>
      <c r="D20">
        <v>-5</v>
      </c>
    </row>
    <row r="21" spans="1:4" x14ac:dyDescent="0.35">
      <c r="A21" t="s">
        <v>452</v>
      </c>
      <c r="B21" s="28">
        <v>44276</v>
      </c>
      <c r="C21" t="s">
        <v>460</v>
      </c>
      <c r="D21">
        <v>-13</v>
      </c>
    </row>
    <row r="22" spans="1:4" x14ac:dyDescent="0.35">
      <c r="A22" t="s">
        <v>452</v>
      </c>
      <c r="B22" s="28">
        <v>44276</v>
      </c>
      <c r="C22" t="s">
        <v>461</v>
      </c>
      <c r="D22">
        <v>-16</v>
      </c>
    </row>
    <row r="23" spans="1:4" x14ac:dyDescent="0.35">
      <c r="A23" t="s">
        <v>452</v>
      </c>
      <c r="B23" s="28">
        <v>44276</v>
      </c>
      <c r="C23" t="s">
        <v>462</v>
      </c>
      <c r="D23">
        <v>-16</v>
      </c>
    </row>
    <row r="24" spans="1:4" x14ac:dyDescent="0.35">
      <c r="A24" t="s">
        <v>452</v>
      </c>
      <c r="B24" s="28">
        <v>44276</v>
      </c>
      <c r="C24" t="s">
        <v>463</v>
      </c>
      <c r="D24">
        <v>-20</v>
      </c>
    </row>
    <row r="25" spans="1:4" x14ac:dyDescent="0.35">
      <c r="A25" t="s">
        <v>452</v>
      </c>
      <c r="B25" s="28">
        <v>44276</v>
      </c>
      <c r="C25" t="s">
        <v>464</v>
      </c>
      <c r="D25">
        <v>-20</v>
      </c>
    </row>
    <row r="26" spans="1:4" x14ac:dyDescent="0.35">
      <c r="A26" t="s">
        <v>452</v>
      </c>
      <c r="B26" s="28">
        <v>44276</v>
      </c>
      <c r="C26" t="s">
        <v>465</v>
      </c>
      <c r="D26">
        <v>-24</v>
      </c>
    </row>
    <row r="27" spans="1:4" x14ac:dyDescent="0.35">
      <c r="A27" t="s">
        <v>452</v>
      </c>
      <c r="B27" s="28">
        <v>44276</v>
      </c>
      <c r="C27" t="s">
        <v>466</v>
      </c>
      <c r="D27">
        <v>-30</v>
      </c>
    </row>
    <row r="28" spans="1:4" x14ac:dyDescent="0.35">
      <c r="A28" t="s">
        <v>452</v>
      </c>
      <c r="B28" s="28">
        <v>44276</v>
      </c>
      <c r="C28" t="s">
        <v>467</v>
      </c>
      <c r="D28">
        <v>-30</v>
      </c>
    </row>
    <row r="29" spans="1:4" x14ac:dyDescent="0.35">
      <c r="A29" t="s">
        <v>452</v>
      </c>
      <c r="B29" s="28">
        <v>44276</v>
      </c>
      <c r="C29" t="s">
        <v>468</v>
      </c>
      <c r="D29">
        <v>-42</v>
      </c>
    </row>
    <row r="30" spans="1:4" x14ac:dyDescent="0.35">
      <c r="A30" t="s">
        <v>452</v>
      </c>
      <c r="B30" s="28">
        <v>44276</v>
      </c>
      <c r="C30" t="s">
        <v>469</v>
      </c>
      <c r="D30">
        <v>-52.5</v>
      </c>
    </row>
    <row r="31" spans="1:4" x14ac:dyDescent="0.35">
      <c r="A31" t="s">
        <v>452</v>
      </c>
      <c r="B31" s="28">
        <v>44276</v>
      </c>
      <c r="C31" t="s">
        <v>470</v>
      </c>
      <c r="D31">
        <v>-73</v>
      </c>
    </row>
    <row r="32" spans="1:4" x14ac:dyDescent="0.35">
      <c r="A32" t="s">
        <v>452</v>
      </c>
      <c r="B32" s="28">
        <v>44276</v>
      </c>
      <c r="C32" t="s">
        <v>471</v>
      </c>
      <c r="D32">
        <v>-82</v>
      </c>
    </row>
    <row r="33" spans="1:4" x14ac:dyDescent="0.35">
      <c r="A33" t="s">
        <v>452</v>
      </c>
      <c r="B33" s="28">
        <v>44276</v>
      </c>
      <c r="C33" t="s">
        <v>472</v>
      </c>
      <c r="D33">
        <v>-84</v>
      </c>
    </row>
    <row r="34" spans="1:4" x14ac:dyDescent="0.35">
      <c r="A34" t="s">
        <v>452</v>
      </c>
      <c r="B34" s="28">
        <v>44276</v>
      </c>
      <c r="C34" t="s">
        <v>473</v>
      </c>
      <c r="D34">
        <v>-85</v>
      </c>
    </row>
    <row r="35" spans="1:4" x14ac:dyDescent="0.35">
      <c r="A35" t="s">
        <v>452</v>
      </c>
      <c r="B35" s="28">
        <v>44276</v>
      </c>
      <c r="C35" t="s">
        <v>474</v>
      </c>
      <c r="D35">
        <v>-94</v>
      </c>
    </row>
    <row r="36" spans="1:4" x14ac:dyDescent="0.35">
      <c r="A36" t="s">
        <v>452</v>
      </c>
      <c r="B36" s="28">
        <v>44276</v>
      </c>
      <c r="C36" t="s">
        <v>475</v>
      </c>
      <c r="D36">
        <v>-110</v>
      </c>
    </row>
    <row r="37" spans="1:4" x14ac:dyDescent="0.35">
      <c r="A37" t="s">
        <v>452</v>
      </c>
      <c r="B37" s="28">
        <v>44276</v>
      </c>
      <c r="C37" t="s">
        <v>476</v>
      </c>
      <c r="D37">
        <v>-165</v>
      </c>
    </row>
    <row r="38" spans="1:4" x14ac:dyDescent="0.35">
      <c r="A38" t="s">
        <v>452</v>
      </c>
      <c r="B38" s="28">
        <v>44276</v>
      </c>
      <c r="C38" t="s">
        <v>477</v>
      </c>
      <c r="D38">
        <v>-187</v>
      </c>
    </row>
    <row r="39" spans="1:4" x14ac:dyDescent="0.35">
      <c r="A39" t="s">
        <v>452</v>
      </c>
      <c r="B39" s="28">
        <v>44276</v>
      </c>
      <c r="C39" t="s">
        <v>478</v>
      </c>
      <c r="D39">
        <v>-204</v>
      </c>
    </row>
    <row r="40" spans="1:4" x14ac:dyDescent="0.35">
      <c r="A40" t="s">
        <v>452</v>
      </c>
      <c r="B40" s="28">
        <v>44276</v>
      </c>
      <c r="C40" t="s">
        <v>479</v>
      </c>
      <c r="D40">
        <v>-222</v>
      </c>
    </row>
    <row r="41" spans="1:4" x14ac:dyDescent="0.35">
      <c r="A41" t="s">
        <v>452</v>
      </c>
      <c r="B41" s="28">
        <v>44276</v>
      </c>
      <c r="C41" t="s">
        <v>480</v>
      </c>
      <c r="D41">
        <v>-245</v>
      </c>
    </row>
    <row r="42" spans="1:4" x14ac:dyDescent="0.35">
      <c r="A42" t="s">
        <v>452</v>
      </c>
      <c r="B42" s="28">
        <v>44276</v>
      </c>
      <c r="C42" t="s">
        <v>481</v>
      </c>
      <c r="D42">
        <v>-341</v>
      </c>
    </row>
    <row r="43" spans="1:4" x14ac:dyDescent="0.35">
      <c r="A43" t="s">
        <v>452</v>
      </c>
      <c r="B43" s="28">
        <v>44276</v>
      </c>
      <c r="C43" t="s">
        <v>482</v>
      </c>
      <c r="D43">
        <v>-346</v>
      </c>
    </row>
    <row r="44" spans="1:4" x14ac:dyDescent="0.35">
      <c r="A44" t="s">
        <v>452</v>
      </c>
      <c r="B44" s="28">
        <v>44276</v>
      </c>
      <c r="C44" t="s">
        <v>483</v>
      </c>
      <c r="D44">
        <v>-394</v>
      </c>
    </row>
    <row r="45" spans="1:4" x14ac:dyDescent="0.35">
      <c r="A45" t="s">
        <v>452</v>
      </c>
      <c r="B45" s="28">
        <v>44276</v>
      </c>
      <c r="C45" t="s">
        <v>484</v>
      </c>
      <c r="D45">
        <v>-398</v>
      </c>
    </row>
    <row r="46" spans="1:4" x14ac:dyDescent="0.35">
      <c r="A46" t="s">
        <v>452</v>
      </c>
      <c r="B46" s="28">
        <v>44276</v>
      </c>
      <c r="C46" t="s">
        <v>485</v>
      </c>
      <c r="D46">
        <v>-575</v>
      </c>
    </row>
    <row r="47" spans="1:4" x14ac:dyDescent="0.35">
      <c r="A47" t="s">
        <v>452</v>
      </c>
      <c r="B47" s="28">
        <v>44276</v>
      </c>
      <c r="C47" t="s">
        <v>486</v>
      </c>
      <c r="D47">
        <v>-578</v>
      </c>
    </row>
    <row r="48" spans="1:4" x14ac:dyDescent="0.35">
      <c r="A48" t="s">
        <v>452</v>
      </c>
      <c r="B48" s="28">
        <v>44276</v>
      </c>
      <c r="C48" t="s">
        <v>487</v>
      </c>
      <c r="D48">
        <v>-593</v>
      </c>
    </row>
    <row r="49" spans="1:4" x14ac:dyDescent="0.35">
      <c r="A49" t="s">
        <v>452</v>
      </c>
      <c r="B49" s="28">
        <v>44276</v>
      </c>
      <c r="C49" t="s">
        <v>488</v>
      </c>
      <c r="D49">
        <v>-630</v>
      </c>
    </row>
    <row r="50" spans="1:4" x14ac:dyDescent="0.35">
      <c r="A50" t="s">
        <v>452</v>
      </c>
      <c r="B50" s="28">
        <v>44276</v>
      </c>
      <c r="C50" t="s">
        <v>489</v>
      </c>
      <c r="D50">
        <v>-684</v>
      </c>
    </row>
    <row r="51" spans="1:4" x14ac:dyDescent="0.35">
      <c r="A51" t="s">
        <v>452</v>
      </c>
      <c r="B51" s="28">
        <v>44276</v>
      </c>
      <c r="C51" t="s">
        <v>490</v>
      </c>
      <c r="D51">
        <v>-529</v>
      </c>
    </row>
    <row r="52" spans="1:4" x14ac:dyDescent="0.35">
      <c r="A52" t="s">
        <v>452</v>
      </c>
      <c r="B52" s="28">
        <v>44276</v>
      </c>
      <c r="C52" t="s">
        <v>491</v>
      </c>
      <c r="D52">
        <v>-730</v>
      </c>
    </row>
    <row r="53" spans="1:4" x14ac:dyDescent="0.35">
      <c r="A53" t="s">
        <v>452</v>
      </c>
      <c r="B53" s="28">
        <v>44276</v>
      </c>
      <c r="C53" t="s">
        <v>492</v>
      </c>
      <c r="D53">
        <v>-770</v>
      </c>
    </row>
    <row r="54" spans="1:4" x14ac:dyDescent="0.35">
      <c r="A54" t="s">
        <v>452</v>
      </c>
      <c r="B54" s="28">
        <v>44276</v>
      </c>
      <c r="C54" t="s">
        <v>493</v>
      </c>
      <c r="D54">
        <v>-771</v>
      </c>
    </row>
    <row r="55" spans="1:4" x14ac:dyDescent="0.35">
      <c r="A55" t="s">
        <v>452</v>
      </c>
      <c r="B55" s="28">
        <v>44276</v>
      </c>
      <c r="C55" t="s">
        <v>444</v>
      </c>
      <c r="D55">
        <v>-919</v>
      </c>
    </row>
    <row r="56" spans="1:4" x14ac:dyDescent="0.35">
      <c r="A56" t="s">
        <v>452</v>
      </c>
      <c r="B56" s="28">
        <v>44276</v>
      </c>
      <c r="C56" t="s">
        <v>494</v>
      </c>
      <c r="D56">
        <v>-939</v>
      </c>
    </row>
    <row r="57" spans="1:4" x14ac:dyDescent="0.35">
      <c r="A57" t="s">
        <v>452</v>
      </c>
      <c r="B57" s="28">
        <v>44276</v>
      </c>
      <c r="C57" t="s">
        <v>495</v>
      </c>
      <c r="D57">
        <v>-1093</v>
      </c>
    </row>
    <row r="58" spans="1:4" x14ac:dyDescent="0.35">
      <c r="A58" t="s">
        <v>452</v>
      </c>
      <c r="B58" s="28">
        <v>44276</v>
      </c>
      <c r="C58" t="s">
        <v>496</v>
      </c>
      <c r="D58">
        <v>-1199</v>
      </c>
    </row>
    <row r="59" spans="1:4" x14ac:dyDescent="0.35">
      <c r="A59" t="s">
        <v>452</v>
      </c>
      <c r="B59" s="28">
        <v>44276</v>
      </c>
      <c r="C59" t="s">
        <v>497</v>
      </c>
      <c r="D59">
        <v>-1348</v>
      </c>
    </row>
    <row r="60" spans="1:4" x14ac:dyDescent="0.35">
      <c r="A60" t="s">
        <v>452</v>
      </c>
      <c r="B60" s="28">
        <v>44276</v>
      </c>
      <c r="C60" t="s">
        <v>498</v>
      </c>
      <c r="D60">
        <v>-1563</v>
      </c>
    </row>
    <row r="61" spans="1:4" x14ac:dyDescent="0.35">
      <c r="A61" t="s">
        <v>452</v>
      </c>
      <c r="B61" s="28">
        <v>44276</v>
      </c>
      <c r="C61" t="s">
        <v>499</v>
      </c>
      <c r="D61">
        <v>-1829</v>
      </c>
    </row>
    <row r="62" spans="1:4" x14ac:dyDescent="0.35">
      <c r="A62" t="s">
        <v>452</v>
      </c>
      <c r="B62" s="28">
        <v>44276</v>
      </c>
      <c r="C62" t="s">
        <v>500</v>
      </c>
      <c r="D62">
        <v>-2185</v>
      </c>
    </row>
    <row r="63" spans="1:4" x14ac:dyDescent="0.35">
      <c r="A63" t="s">
        <v>452</v>
      </c>
      <c r="B63" s="28">
        <v>44276</v>
      </c>
      <c r="C63" t="s">
        <v>501</v>
      </c>
      <c r="D63">
        <v>-3783</v>
      </c>
    </row>
    <row r="64" spans="1:4" x14ac:dyDescent="0.35">
      <c r="A64" t="s">
        <v>452</v>
      </c>
      <c r="B64" s="28">
        <v>44276</v>
      </c>
      <c r="C64" t="s">
        <v>502</v>
      </c>
      <c r="D64">
        <v>-4322</v>
      </c>
    </row>
    <row r="65" spans="1:4" x14ac:dyDescent="0.35">
      <c r="A65" t="s">
        <v>452</v>
      </c>
      <c r="B65" s="28">
        <v>44276</v>
      </c>
      <c r="C65" t="s">
        <v>449</v>
      </c>
      <c r="D65">
        <v>-4999</v>
      </c>
    </row>
    <row r="66" spans="1:4" x14ac:dyDescent="0.35">
      <c r="A66" t="s">
        <v>452</v>
      </c>
      <c r="B66" s="28">
        <v>44276</v>
      </c>
      <c r="C66" t="s">
        <v>503</v>
      </c>
      <c r="D66">
        <v>-7581</v>
      </c>
    </row>
    <row r="67" spans="1:4" x14ac:dyDescent="0.35">
      <c r="A67" t="s">
        <v>452</v>
      </c>
      <c r="B67" s="28">
        <v>44276</v>
      </c>
      <c r="C67" t="s">
        <v>504</v>
      </c>
      <c r="D67">
        <v>-8375</v>
      </c>
    </row>
    <row r="68" spans="1:4" x14ac:dyDescent="0.35">
      <c r="A68" t="s">
        <v>452</v>
      </c>
      <c r="B68" s="28">
        <v>44276</v>
      </c>
      <c r="C68" t="s">
        <v>505</v>
      </c>
      <c r="D68">
        <v>-8674</v>
      </c>
    </row>
    <row r="69" spans="1:4" x14ac:dyDescent="0.35">
      <c r="A69" t="s">
        <v>452</v>
      </c>
      <c r="B69" s="28">
        <v>44276</v>
      </c>
      <c r="C69" t="s">
        <v>506</v>
      </c>
      <c r="D69">
        <v>-10308</v>
      </c>
    </row>
    <row r="70" spans="1:4" x14ac:dyDescent="0.35">
      <c r="A70" t="s">
        <v>452</v>
      </c>
      <c r="B70" s="28">
        <v>44276</v>
      </c>
      <c r="C70" t="s">
        <v>443</v>
      </c>
      <c r="D70">
        <v>-18547</v>
      </c>
    </row>
    <row r="71" spans="1:4" x14ac:dyDescent="0.35">
      <c r="A71" t="s">
        <v>452</v>
      </c>
      <c r="B71" s="28">
        <v>44276</v>
      </c>
      <c r="C71" t="s">
        <v>507</v>
      </c>
      <c r="D71">
        <v>-34877.5</v>
      </c>
    </row>
    <row r="72" spans="1:4" x14ac:dyDescent="0.35">
      <c r="A72" t="s">
        <v>508</v>
      </c>
      <c r="B72" s="28">
        <v>44294</v>
      </c>
      <c r="C72" t="s">
        <v>509</v>
      </c>
      <c r="D72">
        <v>-2981</v>
      </c>
    </row>
    <row r="73" spans="1:4" x14ac:dyDescent="0.35">
      <c r="A73" t="s">
        <v>508</v>
      </c>
      <c r="B73" s="28">
        <v>44294</v>
      </c>
      <c r="C73" t="s">
        <v>489</v>
      </c>
      <c r="D73">
        <v>-698</v>
      </c>
    </row>
    <row r="74" spans="1:4" x14ac:dyDescent="0.35">
      <c r="A74" t="s">
        <v>508</v>
      </c>
      <c r="B74" s="28">
        <v>44294</v>
      </c>
      <c r="C74" t="s">
        <v>507</v>
      </c>
      <c r="D74">
        <v>-5546</v>
      </c>
    </row>
    <row r="75" spans="1:4" x14ac:dyDescent="0.35">
      <c r="A75" t="s">
        <v>510</v>
      </c>
      <c r="B75" s="28">
        <v>44296</v>
      </c>
      <c r="C75" t="s">
        <v>443</v>
      </c>
      <c r="D75">
        <v>-2010</v>
      </c>
    </row>
    <row r="76" spans="1:4" x14ac:dyDescent="0.35">
      <c r="A76" t="s">
        <v>510</v>
      </c>
      <c r="B76" s="28">
        <v>44296</v>
      </c>
      <c r="C76" t="s">
        <v>511</v>
      </c>
      <c r="D76">
        <v>-1524</v>
      </c>
    </row>
    <row r="77" spans="1:4" x14ac:dyDescent="0.35">
      <c r="A77" t="s">
        <v>510</v>
      </c>
      <c r="B77" s="28">
        <v>44296</v>
      </c>
      <c r="C77" t="s">
        <v>449</v>
      </c>
      <c r="D77">
        <v>-2044</v>
      </c>
    </row>
    <row r="78" spans="1:4" x14ac:dyDescent="0.35">
      <c r="A78" t="s">
        <v>510</v>
      </c>
      <c r="B78" s="28">
        <v>44296</v>
      </c>
      <c r="C78" t="s">
        <v>450</v>
      </c>
      <c r="D78">
        <v>-5456</v>
      </c>
    </row>
    <row r="79" spans="1:4" x14ac:dyDescent="0.35">
      <c r="A79" t="s">
        <v>510</v>
      </c>
      <c r="B79" s="28">
        <v>44296</v>
      </c>
      <c r="C79" t="s">
        <v>505</v>
      </c>
      <c r="D79">
        <v>-5026</v>
      </c>
    </row>
    <row r="80" spans="1:4" x14ac:dyDescent="0.35">
      <c r="A80" t="s">
        <v>510</v>
      </c>
      <c r="B80" s="28">
        <v>44296</v>
      </c>
      <c r="C80" t="s">
        <v>502</v>
      </c>
      <c r="D80">
        <v>-970</v>
      </c>
    </row>
    <row r="81" spans="1:4" x14ac:dyDescent="0.35">
      <c r="A81" t="s">
        <v>510</v>
      </c>
      <c r="B81" s="28">
        <v>44296</v>
      </c>
      <c r="C81" t="s">
        <v>504</v>
      </c>
      <c r="D81">
        <v>-5178</v>
      </c>
    </row>
    <row r="82" spans="1:4" x14ac:dyDescent="0.35">
      <c r="A82" t="s">
        <v>512</v>
      </c>
      <c r="B82" s="28">
        <v>44297</v>
      </c>
      <c r="C82" t="s">
        <v>443</v>
      </c>
      <c r="D82">
        <v>-2186</v>
      </c>
    </row>
    <row r="83" spans="1:4" x14ac:dyDescent="0.35">
      <c r="A83" t="s">
        <v>512</v>
      </c>
      <c r="B83" s="28">
        <v>44297</v>
      </c>
      <c r="C83" t="s">
        <v>505</v>
      </c>
      <c r="D83">
        <v>-4816</v>
      </c>
    </row>
    <row r="84" spans="1:4" x14ac:dyDescent="0.35">
      <c r="A84" t="s">
        <v>512</v>
      </c>
      <c r="B84" s="28">
        <v>44297</v>
      </c>
      <c r="C84" t="s">
        <v>441</v>
      </c>
      <c r="D84">
        <v>-1190</v>
      </c>
    </row>
    <row r="85" spans="1:4" x14ac:dyDescent="0.35">
      <c r="A85" t="s">
        <v>512</v>
      </c>
      <c r="B85" s="28">
        <v>44297</v>
      </c>
      <c r="C85" t="s">
        <v>513</v>
      </c>
      <c r="D85">
        <v>-1010</v>
      </c>
    </row>
    <row r="86" spans="1:4" x14ac:dyDescent="0.35">
      <c r="A86" t="s">
        <v>512</v>
      </c>
      <c r="B86" s="28">
        <v>44297</v>
      </c>
      <c r="C86" t="s">
        <v>507</v>
      </c>
      <c r="D86">
        <v>-4228</v>
      </c>
    </row>
    <row r="87" spans="1:4" x14ac:dyDescent="0.35">
      <c r="A87" t="s">
        <v>514</v>
      </c>
      <c r="B87" s="28">
        <v>44298</v>
      </c>
      <c r="C87" t="s">
        <v>443</v>
      </c>
      <c r="D87">
        <v>-878</v>
      </c>
    </row>
    <row r="88" spans="1:4" x14ac:dyDescent="0.35">
      <c r="A88" t="s">
        <v>514</v>
      </c>
      <c r="B88" s="28">
        <v>44298</v>
      </c>
      <c r="C88" t="s">
        <v>450</v>
      </c>
      <c r="D88">
        <v>-1938</v>
      </c>
    </row>
    <row r="89" spans="1:4" x14ac:dyDescent="0.35">
      <c r="A89" t="s">
        <v>514</v>
      </c>
      <c r="B89" s="28">
        <v>44298</v>
      </c>
      <c r="C89" t="s">
        <v>489</v>
      </c>
      <c r="D89">
        <v>-648</v>
      </c>
    </row>
    <row r="90" spans="1:4" x14ac:dyDescent="0.35">
      <c r="A90" t="s">
        <v>514</v>
      </c>
      <c r="B90" s="28">
        <v>44298</v>
      </c>
      <c r="C90" t="s">
        <v>480</v>
      </c>
      <c r="D90">
        <v>-2534</v>
      </c>
    </row>
    <row r="91" spans="1:4" x14ac:dyDescent="0.35">
      <c r="A91" t="s">
        <v>514</v>
      </c>
      <c r="B91" s="28">
        <v>44298</v>
      </c>
      <c r="C91" t="s">
        <v>515</v>
      </c>
      <c r="D91">
        <v>-3767</v>
      </c>
    </row>
    <row r="92" spans="1:4" x14ac:dyDescent="0.35">
      <c r="A92" t="s">
        <v>516</v>
      </c>
      <c r="B92" s="28">
        <v>44299</v>
      </c>
      <c r="C92" t="s">
        <v>443</v>
      </c>
      <c r="D92">
        <v>-4470</v>
      </c>
    </row>
    <row r="93" spans="1:4" x14ac:dyDescent="0.35">
      <c r="A93" t="s">
        <v>516</v>
      </c>
      <c r="B93" s="28">
        <v>44299</v>
      </c>
      <c r="C93" t="s">
        <v>449</v>
      </c>
      <c r="D93">
        <v>-2074</v>
      </c>
    </row>
    <row r="94" spans="1:4" x14ac:dyDescent="0.35">
      <c r="A94" t="s">
        <v>516</v>
      </c>
      <c r="B94" s="28">
        <v>44299</v>
      </c>
      <c r="C94" t="s">
        <v>507</v>
      </c>
      <c r="D94">
        <v>-996</v>
      </c>
    </row>
    <row r="95" spans="1:4" x14ac:dyDescent="0.35">
      <c r="A95" t="s">
        <v>516</v>
      </c>
      <c r="B95" s="28">
        <v>44299</v>
      </c>
      <c r="C95" t="s">
        <v>507</v>
      </c>
      <c r="D95">
        <v>-3004</v>
      </c>
    </row>
    <row r="96" spans="1:4" x14ac:dyDescent="0.35">
      <c r="A96" t="s">
        <v>517</v>
      </c>
      <c r="B96" s="28">
        <v>44300</v>
      </c>
      <c r="C96" t="s">
        <v>443</v>
      </c>
      <c r="D96">
        <v>-3182</v>
      </c>
    </row>
    <row r="97" spans="1:4" x14ac:dyDescent="0.35">
      <c r="A97" t="s">
        <v>517</v>
      </c>
      <c r="B97" s="28">
        <v>44300</v>
      </c>
      <c r="C97" t="s">
        <v>449</v>
      </c>
      <c r="D97">
        <v>-4144</v>
      </c>
    </row>
    <row r="98" spans="1:4" x14ac:dyDescent="0.35">
      <c r="A98" t="s">
        <v>517</v>
      </c>
      <c r="B98" s="28">
        <v>44300</v>
      </c>
      <c r="C98" t="s">
        <v>450</v>
      </c>
      <c r="D98">
        <v>-5270</v>
      </c>
    </row>
    <row r="99" spans="1:4" x14ac:dyDescent="0.35">
      <c r="A99" t="s">
        <v>517</v>
      </c>
      <c r="B99" s="28">
        <v>44300</v>
      </c>
      <c r="C99" t="s">
        <v>502</v>
      </c>
      <c r="D99">
        <v>-996</v>
      </c>
    </row>
    <row r="100" spans="1:4" x14ac:dyDescent="0.35">
      <c r="A100" t="s">
        <v>517</v>
      </c>
      <c r="B100" s="28">
        <v>44300</v>
      </c>
      <c r="C100" t="s">
        <v>470</v>
      </c>
      <c r="D100">
        <v>-2760</v>
      </c>
    </row>
    <row r="101" spans="1:4" x14ac:dyDescent="0.35">
      <c r="A101" t="s">
        <v>517</v>
      </c>
      <c r="B101" s="28">
        <v>44300</v>
      </c>
      <c r="C101" t="s">
        <v>506</v>
      </c>
      <c r="D101">
        <v>-5135</v>
      </c>
    </row>
    <row r="102" spans="1:4" x14ac:dyDescent="0.35">
      <c r="A102" t="s">
        <v>518</v>
      </c>
      <c r="B102" s="28">
        <v>44301</v>
      </c>
      <c r="C102" t="s">
        <v>443</v>
      </c>
      <c r="D102">
        <v>-1496</v>
      </c>
    </row>
    <row r="103" spans="1:4" x14ac:dyDescent="0.35">
      <c r="A103" t="s">
        <v>518</v>
      </c>
      <c r="B103" s="28">
        <v>44301</v>
      </c>
      <c r="C103" t="s">
        <v>495</v>
      </c>
      <c r="D103">
        <v>-1500</v>
      </c>
    </row>
    <row r="104" spans="1:4" x14ac:dyDescent="0.35">
      <c r="A104" t="s">
        <v>518</v>
      </c>
      <c r="B104" s="28">
        <v>44301</v>
      </c>
      <c r="C104" t="s">
        <v>482</v>
      </c>
      <c r="D104">
        <v>-600</v>
      </c>
    </row>
    <row r="105" spans="1:4" x14ac:dyDescent="0.35">
      <c r="A105" t="s">
        <v>518</v>
      </c>
      <c r="B105" s="28">
        <v>44301</v>
      </c>
      <c r="C105" t="s">
        <v>441</v>
      </c>
      <c r="D105">
        <v>-1052</v>
      </c>
    </row>
    <row r="106" spans="1:4" x14ac:dyDescent="0.35">
      <c r="A106" t="s">
        <v>518</v>
      </c>
      <c r="B106" s="28">
        <v>44301</v>
      </c>
      <c r="C106" t="s">
        <v>507</v>
      </c>
      <c r="D106">
        <v>-2144</v>
      </c>
    </row>
    <row r="107" spans="1:4" x14ac:dyDescent="0.35">
      <c r="A107" t="s">
        <v>518</v>
      </c>
      <c r="B107" s="28">
        <v>44301</v>
      </c>
      <c r="C107" t="s">
        <v>472</v>
      </c>
      <c r="D107">
        <v>-1654</v>
      </c>
    </row>
    <row r="108" spans="1:4" x14ac:dyDescent="0.35">
      <c r="A108" t="s">
        <v>517</v>
      </c>
      <c r="B108" s="28">
        <v>44300</v>
      </c>
      <c r="C108" t="s">
        <v>482</v>
      </c>
      <c r="D108">
        <v>-990</v>
      </c>
    </row>
    <row r="109" spans="1:4" x14ac:dyDescent="0.35">
      <c r="A109" t="s">
        <v>519</v>
      </c>
      <c r="B109" s="28">
        <v>44303</v>
      </c>
      <c r="C109" t="s">
        <v>443</v>
      </c>
      <c r="D109">
        <v>-2490</v>
      </c>
    </row>
    <row r="110" spans="1:4" x14ac:dyDescent="0.35">
      <c r="A110" t="s">
        <v>519</v>
      </c>
      <c r="B110" s="28">
        <v>44303</v>
      </c>
      <c r="C110" t="s">
        <v>520</v>
      </c>
      <c r="D110">
        <v>-998</v>
      </c>
    </row>
    <row r="111" spans="1:4" x14ac:dyDescent="0.35">
      <c r="A111" t="s">
        <v>519</v>
      </c>
      <c r="B111" s="28">
        <v>44303</v>
      </c>
      <c r="C111" t="s">
        <v>449</v>
      </c>
      <c r="D111">
        <v>-1850</v>
      </c>
    </row>
    <row r="112" spans="1:4" x14ac:dyDescent="0.35">
      <c r="A112" t="s">
        <v>519</v>
      </c>
      <c r="B112" s="28">
        <v>44303</v>
      </c>
      <c r="C112" t="s">
        <v>492</v>
      </c>
      <c r="D112">
        <v>-62</v>
      </c>
    </row>
    <row r="113" spans="1:4" x14ac:dyDescent="0.35">
      <c r="A113" t="s">
        <v>519</v>
      </c>
      <c r="B113" s="28">
        <v>44303</v>
      </c>
      <c r="C113" t="s">
        <v>504</v>
      </c>
      <c r="D113">
        <v>-5016</v>
      </c>
    </row>
    <row r="114" spans="1:4" x14ac:dyDescent="0.35">
      <c r="A114" t="s">
        <v>519</v>
      </c>
      <c r="B114" s="28">
        <v>44303</v>
      </c>
      <c r="C114" t="s">
        <v>490</v>
      </c>
      <c r="D114">
        <v>-5035</v>
      </c>
    </row>
    <row r="115" spans="1:4" x14ac:dyDescent="0.35">
      <c r="A115" t="s">
        <v>519</v>
      </c>
      <c r="B115" s="28">
        <v>44303</v>
      </c>
      <c r="C115" t="s">
        <v>446</v>
      </c>
      <c r="D115">
        <v>-5089</v>
      </c>
    </row>
    <row r="116" spans="1:4" x14ac:dyDescent="0.35">
      <c r="A116" t="s">
        <v>519</v>
      </c>
      <c r="B116" s="28">
        <v>44303</v>
      </c>
      <c r="C116" t="s">
        <v>507</v>
      </c>
      <c r="D116">
        <v>-2420</v>
      </c>
    </row>
    <row r="117" spans="1:4" x14ac:dyDescent="0.35">
      <c r="A117" t="s">
        <v>521</v>
      </c>
      <c r="B117" s="28">
        <v>44304</v>
      </c>
      <c r="C117" t="s">
        <v>443</v>
      </c>
      <c r="D117">
        <v>-4425</v>
      </c>
    </row>
    <row r="118" spans="1:4" x14ac:dyDescent="0.35">
      <c r="A118" t="s">
        <v>521</v>
      </c>
      <c r="B118" s="28">
        <v>44304</v>
      </c>
      <c r="C118" t="s">
        <v>450</v>
      </c>
      <c r="D118">
        <v>-4626</v>
      </c>
    </row>
    <row r="119" spans="1:4" x14ac:dyDescent="0.35">
      <c r="A119" t="s">
        <v>521</v>
      </c>
      <c r="B119" s="28">
        <v>44304</v>
      </c>
      <c r="C119" t="s">
        <v>505</v>
      </c>
      <c r="D119">
        <v>-5240</v>
      </c>
    </row>
    <row r="120" spans="1:4" x14ac:dyDescent="0.35">
      <c r="A120" t="s">
        <v>521</v>
      </c>
      <c r="B120" s="28">
        <v>44304</v>
      </c>
      <c r="C120" t="s">
        <v>443</v>
      </c>
      <c r="D120">
        <v>-905</v>
      </c>
    </row>
    <row r="121" spans="1:4" x14ac:dyDescent="0.35">
      <c r="A121" t="s">
        <v>522</v>
      </c>
      <c r="B121" s="28">
        <v>44305</v>
      </c>
      <c r="C121" t="s">
        <v>509</v>
      </c>
      <c r="D121">
        <v>-3094</v>
      </c>
    </row>
    <row r="122" spans="1:4" x14ac:dyDescent="0.35">
      <c r="A122" t="s">
        <v>523</v>
      </c>
      <c r="B122" s="28">
        <v>44306</v>
      </c>
      <c r="C122" t="s">
        <v>443</v>
      </c>
      <c r="D122">
        <v>-3794</v>
      </c>
    </row>
    <row r="123" spans="1:4" x14ac:dyDescent="0.35">
      <c r="A123" t="s">
        <v>523</v>
      </c>
      <c r="B123" s="28">
        <v>44306</v>
      </c>
      <c r="C123" t="s">
        <v>484</v>
      </c>
      <c r="D123">
        <v>-140</v>
      </c>
    </row>
    <row r="124" spans="1:4" x14ac:dyDescent="0.35">
      <c r="A124" t="s">
        <v>523</v>
      </c>
      <c r="B124" s="28">
        <v>44306</v>
      </c>
      <c r="C124" t="s">
        <v>505</v>
      </c>
      <c r="D124">
        <v>-4970</v>
      </c>
    </row>
    <row r="125" spans="1:4" x14ac:dyDescent="0.35">
      <c r="A125" t="s">
        <v>523</v>
      </c>
      <c r="B125" s="28">
        <v>44306</v>
      </c>
      <c r="C125" t="s">
        <v>497</v>
      </c>
      <c r="D125">
        <v>-3992</v>
      </c>
    </row>
    <row r="126" spans="1:4" x14ac:dyDescent="0.35">
      <c r="A126" t="s">
        <v>523</v>
      </c>
      <c r="B126" s="28">
        <v>44306</v>
      </c>
      <c r="C126" t="s">
        <v>524</v>
      </c>
      <c r="D126">
        <v>-127</v>
      </c>
    </row>
    <row r="127" spans="1:4" x14ac:dyDescent="0.35">
      <c r="A127" t="s">
        <v>523</v>
      </c>
      <c r="B127" s="28">
        <v>44306</v>
      </c>
      <c r="C127" t="s">
        <v>515</v>
      </c>
      <c r="D127">
        <v>-1918</v>
      </c>
    </row>
    <row r="128" spans="1:4" x14ac:dyDescent="0.35">
      <c r="A128" t="s">
        <v>523</v>
      </c>
      <c r="B128" s="28">
        <v>44306</v>
      </c>
      <c r="C128" t="s">
        <v>524</v>
      </c>
      <c r="D128">
        <v>-47</v>
      </c>
    </row>
    <row r="129" spans="1:4" x14ac:dyDescent="0.35">
      <c r="A129" t="s">
        <v>525</v>
      </c>
      <c r="B129" s="28">
        <v>44307</v>
      </c>
      <c r="C129" t="s">
        <v>511</v>
      </c>
      <c r="D129">
        <v>-1498</v>
      </c>
    </row>
    <row r="130" spans="1:4" x14ac:dyDescent="0.35">
      <c r="A130" t="s">
        <v>525</v>
      </c>
      <c r="B130" s="28">
        <v>44307</v>
      </c>
      <c r="C130" t="s">
        <v>441</v>
      </c>
      <c r="D130">
        <v>-4292</v>
      </c>
    </row>
    <row r="131" spans="1:4" x14ac:dyDescent="0.35">
      <c r="A131" t="s">
        <v>525</v>
      </c>
      <c r="B131" s="28">
        <v>44307</v>
      </c>
      <c r="C131" t="s">
        <v>504</v>
      </c>
      <c r="D131">
        <v>-5000</v>
      </c>
    </row>
    <row r="132" spans="1:4" x14ac:dyDescent="0.35">
      <c r="A132" t="s">
        <v>525</v>
      </c>
      <c r="B132" s="28">
        <v>44307</v>
      </c>
      <c r="C132" t="s">
        <v>526</v>
      </c>
      <c r="D132">
        <v>-15202</v>
      </c>
    </row>
    <row r="133" spans="1:4" x14ac:dyDescent="0.35">
      <c r="A133" t="s">
        <v>525</v>
      </c>
      <c r="B133" s="28">
        <v>44307</v>
      </c>
      <c r="C133" t="s">
        <v>507</v>
      </c>
      <c r="D133">
        <v>-3734</v>
      </c>
    </row>
    <row r="134" spans="1:4" x14ac:dyDescent="0.35">
      <c r="A134" t="s">
        <v>525</v>
      </c>
      <c r="B134" s="28">
        <v>44307</v>
      </c>
      <c r="C134" t="s">
        <v>515</v>
      </c>
      <c r="D134">
        <v>-2242</v>
      </c>
    </row>
    <row r="135" spans="1:4" x14ac:dyDescent="0.35">
      <c r="A135" t="s">
        <v>527</v>
      </c>
      <c r="B135" s="28">
        <v>44308</v>
      </c>
      <c r="C135" t="s">
        <v>443</v>
      </c>
      <c r="D135">
        <v>-1066</v>
      </c>
    </row>
    <row r="136" spans="1:4" x14ac:dyDescent="0.35">
      <c r="A136" t="s">
        <v>528</v>
      </c>
      <c r="B136" s="28">
        <v>44310</v>
      </c>
      <c r="C136" t="s">
        <v>443</v>
      </c>
      <c r="D136">
        <v>-2020</v>
      </c>
    </row>
    <row r="137" spans="1:4" x14ac:dyDescent="0.35">
      <c r="A137" t="s">
        <v>528</v>
      </c>
      <c r="B137" s="28">
        <v>44310</v>
      </c>
      <c r="C137" t="s">
        <v>449</v>
      </c>
      <c r="D137">
        <v>-1744</v>
      </c>
    </row>
    <row r="138" spans="1:4" x14ac:dyDescent="0.35">
      <c r="A138" t="s">
        <v>528</v>
      </c>
      <c r="B138" s="28">
        <v>44310</v>
      </c>
      <c r="C138" t="s">
        <v>450</v>
      </c>
      <c r="D138">
        <v>-2926</v>
      </c>
    </row>
    <row r="139" spans="1:4" x14ac:dyDescent="0.35">
      <c r="A139" t="s">
        <v>528</v>
      </c>
      <c r="B139" s="28">
        <v>44310</v>
      </c>
      <c r="C139" t="s">
        <v>505</v>
      </c>
      <c r="D139">
        <v>-5128</v>
      </c>
    </row>
    <row r="140" spans="1:4" x14ac:dyDescent="0.35">
      <c r="A140" t="s">
        <v>528</v>
      </c>
      <c r="B140" s="28">
        <v>44310</v>
      </c>
      <c r="C140" t="s">
        <v>441</v>
      </c>
      <c r="D140">
        <v>-3775</v>
      </c>
    </row>
    <row r="141" spans="1:4" x14ac:dyDescent="0.35">
      <c r="A141" t="s">
        <v>528</v>
      </c>
      <c r="B141" s="28">
        <v>44310</v>
      </c>
      <c r="C141" t="s">
        <v>506</v>
      </c>
      <c r="D141">
        <v>-4996</v>
      </c>
    </row>
    <row r="142" spans="1:4" x14ac:dyDescent="0.35">
      <c r="A142" t="s">
        <v>528</v>
      </c>
      <c r="B142" s="28">
        <v>44310</v>
      </c>
      <c r="C142" t="s">
        <v>501</v>
      </c>
      <c r="D142">
        <v>-3972</v>
      </c>
    </row>
    <row r="143" spans="1:4" x14ac:dyDescent="0.35">
      <c r="A143" t="s">
        <v>528</v>
      </c>
      <c r="B143" s="28">
        <v>44310</v>
      </c>
      <c r="C143" t="s">
        <v>507</v>
      </c>
      <c r="D143">
        <v>-5310</v>
      </c>
    </row>
    <row r="144" spans="1:4" x14ac:dyDescent="0.35">
      <c r="A144" t="s">
        <v>528</v>
      </c>
      <c r="B144" s="28">
        <v>44310</v>
      </c>
      <c r="C144" t="s">
        <v>441</v>
      </c>
      <c r="D144">
        <v>-677</v>
      </c>
    </row>
    <row r="145" spans="1:4" x14ac:dyDescent="0.35">
      <c r="A145" t="s">
        <v>529</v>
      </c>
      <c r="B145" s="28">
        <v>44311</v>
      </c>
      <c r="C145" t="s">
        <v>443</v>
      </c>
      <c r="D145">
        <v>-4590</v>
      </c>
    </row>
    <row r="146" spans="1:4" x14ac:dyDescent="0.35">
      <c r="A146" t="s">
        <v>529</v>
      </c>
      <c r="B146" s="28">
        <v>44311</v>
      </c>
      <c r="C146" t="s">
        <v>450</v>
      </c>
      <c r="D146">
        <v>-2698</v>
      </c>
    </row>
    <row r="147" spans="1:4" x14ac:dyDescent="0.35">
      <c r="A147" t="s">
        <v>529</v>
      </c>
      <c r="B147" s="28">
        <v>44311</v>
      </c>
      <c r="C147" t="s">
        <v>530</v>
      </c>
      <c r="D147">
        <v>-4748</v>
      </c>
    </row>
    <row r="148" spans="1:4" x14ac:dyDescent="0.35">
      <c r="A148" t="s">
        <v>529</v>
      </c>
      <c r="B148" s="28">
        <v>44311</v>
      </c>
      <c r="C148" t="s">
        <v>441</v>
      </c>
      <c r="D148">
        <v>-4238</v>
      </c>
    </row>
    <row r="149" spans="1:4" x14ac:dyDescent="0.35">
      <c r="A149" t="s">
        <v>529</v>
      </c>
      <c r="B149" s="28">
        <v>44311</v>
      </c>
      <c r="C149" t="s">
        <v>507</v>
      </c>
      <c r="D149">
        <v>-4112</v>
      </c>
    </row>
    <row r="150" spans="1:4" x14ac:dyDescent="0.35">
      <c r="A150" t="s">
        <v>529</v>
      </c>
      <c r="B150" s="28">
        <v>44311</v>
      </c>
      <c r="C150" t="s">
        <v>499</v>
      </c>
      <c r="D150">
        <v>-5592</v>
      </c>
    </row>
    <row r="151" spans="1:4" x14ac:dyDescent="0.35">
      <c r="A151" t="s">
        <v>531</v>
      </c>
      <c r="B151" s="28">
        <v>44312</v>
      </c>
      <c r="C151" t="s">
        <v>489</v>
      </c>
      <c r="D151">
        <v>-1482</v>
      </c>
    </row>
    <row r="152" spans="1:4" x14ac:dyDescent="0.35">
      <c r="A152" t="s">
        <v>531</v>
      </c>
      <c r="B152" s="28">
        <v>44312</v>
      </c>
      <c r="C152" t="s">
        <v>505</v>
      </c>
      <c r="D152">
        <v>-5068</v>
      </c>
    </row>
    <row r="153" spans="1:4" x14ac:dyDescent="0.35">
      <c r="A153" t="s">
        <v>531</v>
      </c>
      <c r="B153" s="28">
        <v>44312</v>
      </c>
      <c r="C153" t="s">
        <v>499</v>
      </c>
      <c r="D153">
        <v>-3962</v>
      </c>
    </row>
    <row r="154" spans="1:4" x14ac:dyDescent="0.35">
      <c r="A154" t="s">
        <v>531</v>
      </c>
      <c r="B154" s="28">
        <v>44312</v>
      </c>
      <c r="C154" t="s">
        <v>443</v>
      </c>
      <c r="D154">
        <v>-2272</v>
      </c>
    </row>
    <row r="155" spans="1:4" x14ac:dyDescent="0.35">
      <c r="A155" t="s">
        <v>532</v>
      </c>
      <c r="B155" s="28">
        <v>44313</v>
      </c>
      <c r="C155" t="s">
        <v>443</v>
      </c>
      <c r="D155">
        <v>-2380</v>
      </c>
    </row>
    <row r="156" spans="1:4" x14ac:dyDescent="0.35">
      <c r="A156" t="s">
        <v>532</v>
      </c>
      <c r="B156" s="28">
        <v>44313</v>
      </c>
      <c r="C156" t="s">
        <v>461</v>
      </c>
      <c r="D156">
        <v>-406</v>
      </c>
    </row>
    <row r="157" spans="1:4" x14ac:dyDescent="0.35">
      <c r="A157" t="s">
        <v>532</v>
      </c>
      <c r="B157" s="28">
        <v>44313</v>
      </c>
      <c r="C157" t="s">
        <v>441</v>
      </c>
      <c r="D157">
        <v>-1044</v>
      </c>
    </row>
    <row r="158" spans="1:4" x14ac:dyDescent="0.35">
      <c r="A158" t="s">
        <v>532</v>
      </c>
      <c r="B158" s="28">
        <v>44313</v>
      </c>
      <c r="C158" t="s">
        <v>470</v>
      </c>
      <c r="D158">
        <v>-1452</v>
      </c>
    </row>
    <row r="159" spans="1:4" x14ac:dyDescent="0.35">
      <c r="A159" t="s">
        <v>532</v>
      </c>
      <c r="B159" s="28">
        <v>44313</v>
      </c>
      <c r="C159" t="s">
        <v>499</v>
      </c>
      <c r="D159">
        <v>-3476</v>
      </c>
    </row>
    <row r="160" spans="1:4" x14ac:dyDescent="0.35">
      <c r="A160" t="s">
        <v>532</v>
      </c>
      <c r="B160" s="28">
        <v>44313</v>
      </c>
      <c r="C160" t="s">
        <v>526</v>
      </c>
      <c r="D160">
        <v>-16377</v>
      </c>
    </row>
    <row r="161" spans="1:4" x14ac:dyDescent="0.35">
      <c r="A161" t="s">
        <v>533</v>
      </c>
      <c r="B161" s="28">
        <v>44314</v>
      </c>
      <c r="C161" t="s">
        <v>443</v>
      </c>
      <c r="D161">
        <v>-796</v>
      </c>
    </row>
    <row r="162" spans="1:4" x14ac:dyDescent="0.35">
      <c r="A162" t="s">
        <v>533</v>
      </c>
      <c r="B162" s="28">
        <v>44314</v>
      </c>
      <c r="C162" t="s">
        <v>449</v>
      </c>
      <c r="D162">
        <v>-1814</v>
      </c>
    </row>
    <row r="163" spans="1:4" x14ac:dyDescent="0.35">
      <c r="A163" t="s">
        <v>533</v>
      </c>
      <c r="B163" s="28">
        <v>44314</v>
      </c>
      <c r="C163" t="s">
        <v>450</v>
      </c>
      <c r="D163">
        <v>-1834</v>
      </c>
    </row>
    <row r="164" spans="1:4" x14ac:dyDescent="0.35">
      <c r="A164" t="s">
        <v>533</v>
      </c>
      <c r="B164" s="28">
        <v>44314</v>
      </c>
      <c r="C164" t="s">
        <v>451</v>
      </c>
      <c r="D164">
        <v>-2100</v>
      </c>
    </row>
    <row r="165" spans="1:4" x14ac:dyDescent="0.35">
      <c r="A165" t="s">
        <v>533</v>
      </c>
      <c r="B165" s="28">
        <v>44314</v>
      </c>
      <c r="C165" t="s">
        <v>534</v>
      </c>
      <c r="D165">
        <v>-560</v>
      </c>
    </row>
    <row r="166" spans="1:4" x14ac:dyDescent="0.35">
      <c r="A166" t="s">
        <v>533</v>
      </c>
      <c r="B166" s="28">
        <v>44314</v>
      </c>
      <c r="C166" t="s">
        <v>502</v>
      </c>
      <c r="D166">
        <v>-1528</v>
      </c>
    </row>
    <row r="167" spans="1:4" x14ac:dyDescent="0.35">
      <c r="A167" t="s">
        <v>533</v>
      </c>
      <c r="B167" s="28">
        <v>44314</v>
      </c>
      <c r="C167" t="s">
        <v>530</v>
      </c>
      <c r="D167">
        <v>-5108</v>
      </c>
    </row>
    <row r="168" spans="1:4" x14ac:dyDescent="0.35">
      <c r="A168" t="s">
        <v>533</v>
      </c>
      <c r="B168" s="28">
        <v>44314</v>
      </c>
      <c r="C168" t="s">
        <v>441</v>
      </c>
      <c r="D168">
        <v>-2008</v>
      </c>
    </row>
    <row r="169" spans="1:4" x14ac:dyDescent="0.35">
      <c r="A169" t="s">
        <v>533</v>
      </c>
      <c r="B169" s="28">
        <v>44314</v>
      </c>
      <c r="C169" t="s">
        <v>472</v>
      </c>
      <c r="D169">
        <v>-1042</v>
      </c>
    </row>
    <row r="170" spans="1:4" x14ac:dyDescent="0.35">
      <c r="A170" t="s">
        <v>533</v>
      </c>
      <c r="B170" s="28">
        <v>44314</v>
      </c>
      <c r="C170" t="s">
        <v>507</v>
      </c>
      <c r="D170">
        <v>-4514</v>
      </c>
    </row>
    <row r="171" spans="1:4" x14ac:dyDescent="0.35">
      <c r="A171" t="s">
        <v>535</v>
      </c>
      <c r="B171" s="28">
        <v>44315</v>
      </c>
      <c r="C171" t="s">
        <v>443</v>
      </c>
      <c r="D171">
        <v>-2066</v>
      </c>
    </row>
    <row r="172" spans="1:4" x14ac:dyDescent="0.35">
      <c r="A172" t="s">
        <v>535</v>
      </c>
      <c r="B172" s="28">
        <v>44315</v>
      </c>
      <c r="C172" t="s">
        <v>441</v>
      </c>
      <c r="D172">
        <v>-2016</v>
      </c>
    </row>
    <row r="173" spans="1:4" x14ac:dyDescent="0.35">
      <c r="A173" t="s">
        <v>535</v>
      </c>
      <c r="B173" s="28">
        <v>44315</v>
      </c>
      <c r="C173" t="s">
        <v>526</v>
      </c>
      <c r="D173">
        <v>-16567</v>
      </c>
    </row>
    <row r="174" spans="1:4" x14ac:dyDescent="0.35">
      <c r="A174" t="s">
        <v>536</v>
      </c>
      <c r="B174" s="28">
        <v>44317</v>
      </c>
      <c r="C174" t="s">
        <v>443</v>
      </c>
      <c r="D174">
        <v>-4514</v>
      </c>
    </row>
    <row r="175" spans="1:4" x14ac:dyDescent="0.35">
      <c r="A175" t="s">
        <v>536</v>
      </c>
      <c r="B175" s="28">
        <v>44317</v>
      </c>
      <c r="C175" t="s">
        <v>537</v>
      </c>
      <c r="D175">
        <v>-2120</v>
      </c>
    </row>
    <row r="176" spans="1:4" x14ac:dyDescent="0.35">
      <c r="A176" t="s">
        <v>536</v>
      </c>
      <c r="B176" s="28">
        <v>44317</v>
      </c>
      <c r="C176" t="s">
        <v>449</v>
      </c>
      <c r="D176">
        <v>-3684</v>
      </c>
    </row>
    <row r="177" spans="1:4" x14ac:dyDescent="0.35">
      <c r="A177" t="s">
        <v>536</v>
      </c>
      <c r="B177" s="28">
        <v>44317</v>
      </c>
      <c r="C177" t="s">
        <v>501</v>
      </c>
      <c r="D177">
        <v>-9807</v>
      </c>
    </row>
    <row r="178" spans="1:4" x14ac:dyDescent="0.35">
      <c r="A178" t="s">
        <v>536</v>
      </c>
      <c r="B178" s="28">
        <v>44317</v>
      </c>
      <c r="C178" t="s">
        <v>446</v>
      </c>
      <c r="D178">
        <v>-5138</v>
      </c>
    </row>
    <row r="179" spans="1:4" x14ac:dyDescent="0.35">
      <c r="A179" t="s">
        <v>536</v>
      </c>
      <c r="B179" s="28">
        <v>44317</v>
      </c>
      <c r="C179" t="s">
        <v>507</v>
      </c>
      <c r="D179">
        <v>-2290</v>
      </c>
    </row>
    <row r="180" spans="1:4" x14ac:dyDescent="0.35">
      <c r="A180" t="s">
        <v>538</v>
      </c>
      <c r="B180" s="28">
        <v>44318</v>
      </c>
      <c r="C180" t="s">
        <v>449</v>
      </c>
      <c r="D180">
        <v>-1942</v>
      </c>
    </row>
    <row r="181" spans="1:4" x14ac:dyDescent="0.35">
      <c r="A181" t="s">
        <v>538</v>
      </c>
      <c r="B181" s="28">
        <v>44318</v>
      </c>
      <c r="C181" t="s">
        <v>492</v>
      </c>
      <c r="D181">
        <v>-1994</v>
      </c>
    </row>
    <row r="182" spans="1:4" x14ac:dyDescent="0.35">
      <c r="A182" t="s">
        <v>538</v>
      </c>
      <c r="B182" s="28">
        <v>44318</v>
      </c>
      <c r="C182" t="s">
        <v>530</v>
      </c>
      <c r="D182">
        <v>-3646</v>
      </c>
    </row>
    <row r="183" spans="1:4" x14ac:dyDescent="0.35">
      <c r="A183" t="s">
        <v>538</v>
      </c>
      <c r="B183" s="28">
        <v>44318</v>
      </c>
      <c r="C183" t="s">
        <v>441</v>
      </c>
      <c r="D183">
        <v>-120</v>
      </c>
    </row>
    <row r="184" spans="1:4" x14ac:dyDescent="0.35">
      <c r="A184" t="s">
        <v>538</v>
      </c>
      <c r="B184" s="28">
        <v>44318</v>
      </c>
      <c r="C184" t="s">
        <v>480</v>
      </c>
      <c r="D184">
        <v>-1998</v>
      </c>
    </row>
    <row r="185" spans="1:4" x14ac:dyDescent="0.35">
      <c r="A185" t="s">
        <v>538</v>
      </c>
      <c r="B185" s="28">
        <v>44318</v>
      </c>
      <c r="C185" t="s">
        <v>539</v>
      </c>
      <c r="D185">
        <v>-1016</v>
      </c>
    </row>
    <row r="186" spans="1:4" x14ac:dyDescent="0.35">
      <c r="A186" t="s">
        <v>538</v>
      </c>
      <c r="B186" s="28">
        <v>44318</v>
      </c>
      <c r="C186" t="s">
        <v>524</v>
      </c>
      <c r="D186">
        <v>-144</v>
      </c>
    </row>
    <row r="187" spans="1:4" x14ac:dyDescent="0.35">
      <c r="A187" t="s">
        <v>538</v>
      </c>
      <c r="B187" s="28">
        <v>44318</v>
      </c>
      <c r="C187" t="s">
        <v>524</v>
      </c>
      <c r="D187">
        <v>-98</v>
      </c>
    </row>
    <row r="188" spans="1:4" x14ac:dyDescent="0.35">
      <c r="A188" t="s">
        <v>540</v>
      </c>
      <c r="B188" s="28">
        <v>44319</v>
      </c>
      <c r="C188" t="s">
        <v>450</v>
      </c>
      <c r="D188">
        <v>-2152</v>
      </c>
    </row>
    <row r="189" spans="1:4" x14ac:dyDescent="0.35">
      <c r="A189" t="s">
        <v>540</v>
      </c>
      <c r="B189" s="28">
        <v>44319</v>
      </c>
      <c r="C189" t="s">
        <v>505</v>
      </c>
      <c r="D189">
        <v>-4724</v>
      </c>
    </row>
    <row r="190" spans="1:4" x14ac:dyDescent="0.35">
      <c r="A190" t="s">
        <v>540</v>
      </c>
      <c r="B190" s="28">
        <v>44319</v>
      </c>
      <c r="C190" t="s">
        <v>506</v>
      </c>
      <c r="D190">
        <v>-5196</v>
      </c>
    </row>
    <row r="191" spans="1:4" x14ac:dyDescent="0.35">
      <c r="A191" t="s">
        <v>540</v>
      </c>
      <c r="B191" s="28">
        <v>44319</v>
      </c>
      <c r="C191" t="s">
        <v>507</v>
      </c>
      <c r="D191">
        <v>-2026</v>
      </c>
    </row>
    <row r="192" spans="1:4" x14ac:dyDescent="0.35">
      <c r="A192" t="s">
        <v>541</v>
      </c>
      <c r="B192" s="28">
        <v>44320</v>
      </c>
      <c r="C192" t="s">
        <v>526</v>
      </c>
      <c r="D192">
        <v>-16031</v>
      </c>
    </row>
    <row r="193" spans="1:4" x14ac:dyDescent="0.35">
      <c r="A193" t="s">
        <v>542</v>
      </c>
      <c r="B193" s="28">
        <v>44321</v>
      </c>
      <c r="C193" t="s">
        <v>443</v>
      </c>
      <c r="D193">
        <v>-2096</v>
      </c>
    </row>
    <row r="194" spans="1:4" x14ac:dyDescent="0.35">
      <c r="A194" t="s">
        <v>542</v>
      </c>
      <c r="B194" s="28">
        <v>44321</v>
      </c>
      <c r="C194" t="s">
        <v>511</v>
      </c>
      <c r="D194">
        <v>-998</v>
      </c>
    </row>
    <row r="195" spans="1:4" x14ac:dyDescent="0.35">
      <c r="A195" t="s">
        <v>542</v>
      </c>
      <c r="B195" s="28">
        <v>44321</v>
      </c>
      <c r="C195" t="s">
        <v>534</v>
      </c>
      <c r="D195">
        <v>-804</v>
      </c>
    </row>
    <row r="196" spans="1:4" x14ac:dyDescent="0.35">
      <c r="A196" t="s">
        <v>542</v>
      </c>
      <c r="B196" s="28">
        <v>44321</v>
      </c>
      <c r="C196" t="s">
        <v>499</v>
      </c>
      <c r="D196">
        <v>-852</v>
      </c>
    </row>
    <row r="197" spans="1:4" x14ac:dyDescent="0.35">
      <c r="A197" t="s">
        <v>542</v>
      </c>
      <c r="B197" s="28">
        <v>44321</v>
      </c>
      <c r="C197" t="s">
        <v>441</v>
      </c>
      <c r="D197">
        <v>-3056</v>
      </c>
    </row>
    <row r="198" spans="1:4" x14ac:dyDescent="0.35">
      <c r="A198" t="s">
        <v>542</v>
      </c>
      <c r="B198" s="28">
        <v>44321</v>
      </c>
      <c r="C198" t="s">
        <v>543</v>
      </c>
      <c r="D198">
        <v>-53</v>
      </c>
    </row>
    <row r="199" spans="1:4" x14ac:dyDescent="0.35">
      <c r="A199" t="s">
        <v>542</v>
      </c>
      <c r="B199" s="28">
        <v>44321</v>
      </c>
      <c r="C199" t="s">
        <v>543</v>
      </c>
      <c r="D199">
        <v>-37</v>
      </c>
    </row>
    <row r="200" spans="1:4" x14ac:dyDescent="0.35">
      <c r="A200" t="s">
        <v>544</v>
      </c>
      <c r="B200" s="28">
        <v>44322</v>
      </c>
      <c r="C200" t="s">
        <v>449</v>
      </c>
      <c r="D200">
        <v>-3508</v>
      </c>
    </row>
    <row r="201" spans="1:4" x14ac:dyDescent="0.35">
      <c r="A201" t="s">
        <v>544</v>
      </c>
      <c r="B201" s="28">
        <v>44322</v>
      </c>
      <c r="C201" t="s">
        <v>502</v>
      </c>
      <c r="D201">
        <v>-976</v>
      </c>
    </row>
    <row r="202" spans="1:4" x14ac:dyDescent="0.35">
      <c r="A202" t="s">
        <v>545</v>
      </c>
      <c r="B202" s="28">
        <v>44324</v>
      </c>
      <c r="C202" t="s">
        <v>443</v>
      </c>
      <c r="D202">
        <v>-3257</v>
      </c>
    </row>
    <row r="203" spans="1:4" x14ac:dyDescent="0.35">
      <c r="A203" t="s">
        <v>545</v>
      </c>
      <c r="B203" s="28">
        <v>44324</v>
      </c>
      <c r="C203" t="s">
        <v>449</v>
      </c>
      <c r="D203">
        <v>-2118</v>
      </c>
    </row>
    <row r="204" spans="1:4" x14ac:dyDescent="0.35">
      <c r="A204" t="s">
        <v>545</v>
      </c>
      <c r="B204" s="28">
        <v>44324</v>
      </c>
      <c r="C204" t="s">
        <v>505</v>
      </c>
      <c r="D204">
        <v>-4784</v>
      </c>
    </row>
    <row r="205" spans="1:4" x14ac:dyDescent="0.35">
      <c r="A205" t="s">
        <v>545</v>
      </c>
      <c r="B205" s="28">
        <v>44324</v>
      </c>
      <c r="C205" t="s">
        <v>444</v>
      </c>
      <c r="D205">
        <v>-1492</v>
      </c>
    </row>
    <row r="206" spans="1:4" x14ac:dyDescent="0.35">
      <c r="A206" t="s">
        <v>545</v>
      </c>
      <c r="B206" s="28">
        <v>44324</v>
      </c>
      <c r="C206" t="s">
        <v>441</v>
      </c>
      <c r="D206">
        <v>-2006</v>
      </c>
    </row>
    <row r="207" spans="1:4" x14ac:dyDescent="0.35">
      <c r="A207" t="s">
        <v>545</v>
      </c>
      <c r="B207" s="28">
        <v>44324</v>
      </c>
      <c r="C207" t="s">
        <v>546</v>
      </c>
      <c r="D207">
        <v>-2998</v>
      </c>
    </row>
    <row r="208" spans="1:4" x14ac:dyDescent="0.35">
      <c r="A208" t="s">
        <v>547</v>
      </c>
      <c r="B208" s="28">
        <v>44325</v>
      </c>
      <c r="C208" t="s">
        <v>443</v>
      </c>
      <c r="D208">
        <v>-2010</v>
      </c>
    </row>
    <row r="209" spans="1:4" x14ac:dyDescent="0.35">
      <c r="A209" t="s">
        <v>547</v>
      </c>
      <c r="B209" s="28">
        <v>44325</v>
      </c>
      <c r="C209" t="s">
        <v>449</v>
      </c>
      <c r="D209">
        <v>-4214</v>
      </c>
    </row>
    <row r="210" spans="1:4" x14ac:dyDescent="0.35">
      <c r="A210" t="s">
        <v>547</v>
      </c>
      <c r="B210" s="28">
        <v>44325</v>
      </c>
      <c r="C210" t="s">
        <v>441</v>
      </c>
      <c r="D210">
        <v>-1864</v>
      </c>
    </row>
    <row r="211" spans="1:4" x14ac:dyDescent="0.35">
      <c r="A211" t="s">
        <v>547</v>
      </c>
      <c r="B211" s="28">
        <v>44325</v>
      </c>
      <c r="C211" t="s">
        <v>499</v>
      </c>
      <c r="D211">
        <v>-2122</v>
      </c>
    </row>
    <row r="212" spans="1:4" x14ac:dyDescent="0.35">
      <c r="A212" t="s">
        <v>548</v>
      </c>
      <c r="B212" s="28">
        <v>44326</v>
      </c>
      <c r="C212" t="s">
        <v>443</v>
      </c>
      <c r="D212">
        <v>-1502</v>
      </c>
    </row>
    <row r="213" spans="1:4" x14ac:dyDescent="0.35">
      <c r="A213" t="s">
        <v>548</v>
      </c>
      <c r="B213" s="28">
        <v>44326</v>
      </c>
      <c r="C213" t="s">
        <v>537</v>
      </c>
      <c r="D213">
        <v>-1866</v>
      </c>
    </row>
    <row r="214" spans="1:4" x14ac:dyDescent="0.35">
      <c r="A214" t="s">
        <v>548</v>
      </c>
      <c r="B214" s="28">
        <v>44326</v>
      </c>
      <c r="C214" t="s">
        <v>449</v>
      </c>
      <c r="D214">
        <v>-1794</v>
      </c>
    </row>
    <row r="215" spans="1:4" x14ac:dyDescent="0.35">
      <c r="A215" t="s">
        <v>548</v>
      </c>
      <c r="B215" s="28">
        <v>44326</v>
      </c>
      <c r="C215" t="s">
        <v>493</v>
      </c>
      <c r="D215">
        <v>-147</v>
      </c>
    </row>
    <row r="216" spans="1:4" x14ac:dyDescent="0.35">
      <c r="A216" t="s">
        <v>548</v>
      </c>
      <c r="B216" s="28">
        <v>44326</v>
      </c>
      <c r="C216" t="s">
        <v>502</v>
      </c>
      <c r="D216">
        <v>-1132</v>
      </c>
    </row>
    <row r="217" spans="1:4" x14ac:dyDescent="0.35">
      <c r="A217" t="s">
        <v>548</v>
      </c>
      <c r="B217" s="28">
        <v>44326</v>
      </c>
      <c r="C217" t="s">
        <v>530</v>
      </c>
      <c r="D217">
        <v>-4412</v>
      </c>
    </row>
    <row r="218" spans="1:4" x14ac:dyDescent="0.35">
      <c r="A218" t="s">
        <v>548</v>
      </c>
      <c r="B218" s="28">
        <v>44326</v>
      </c>
      <c r="C218" t="s">
        <v>506</v>
      </c>
      <c r="D218">
        <v>-5031</v>
      </c>
    </row>
    <row r="219" spans="1:4" x14ac:dyDescent="0.35">
      <c r="A219" t="s">
        <v>548</v>
      </c>
      <c r="B219" s="28">
        <v>44326</v>
      </c>
      <c r="C219" t="s">
        <v>501</v>
      </c>
      <c r="D219">
        <v>-4844</v>
      </c>
    </row>
    <row r="220" spans="1:4" x14ac:dyDescent="0.35">
      <c r="A220" t="s">
        <v>549</v>
      </c>
      <c r="B220" s="28">
        <v>44327</v>
      </c>
      <c r="C220" t="s">
        <v>511</v>
      </c>
      <c r="D220">
        <v>-184</v>
      </c>
    </row>
    <row r="221" spans="1:4" x14ac:dyDescent="0.35">
      <c r="A221" t="s">
        <v>549</v>
      </c>
      <c r="B221" s="28">
        <v>44327</v>
      </c>
      <c r="C221" t="s">
        <v>505</v>
      </c>
      <c r="D221">
        <v>-5088</v>
      </c>
    </row>
    <row r="222" spans="1:4" x14ac:dyDescent="0.35">
      <c r="A222" t="s">
        <v>549</v>
      </c>
      <c r="B222" s="28">
        <v>44327</v>
      </c>
      <c r="C222" t="s">
        <v>467</v>
      </c>
      <c r="D222">
        <v>-994</v>
      </c>
    </row>
    <row r="223" spans="1:4" x14ac:dyDescent="0.35">
      <c r="A223" t="s">
        <v>549</v>
      </c>
      <c r="B223" s="28">
        <v>44327</v>
      </c>
      <c r="C223" t="s">
        <v>550</v>
      </c>
      <c r="D223">
        <v>-500</v>
      </c>
    </row>
    <row r="224" spans="1:4" x14ac:dyDescent="0.35">
      <c r="A224" t="s">
        <v>549</v>
      </c>
      <c r="B224" s="28">
        <v>44327</v>
      </c>
      <c r="C224" t="s">
        <v>530</v>
      </c>
      <c r="D224">
        <v>-4084</v>
      </c>
    </row>
    <row r="225" spans="1:4" x14ac:dyDescent="0.35">
      <c r="A225" t="s">
        <v>549</v>
      </c>
      <c r="B225" s="28">
        <v>44327</v>
      </c>
      <c r="C225" t="s">
        <v>441</v>
      </c>
      <c r="D225">
        <v>-2004</v>
      </c>
    </row>
    <row r="226" spans="1:4" x14ac:dyDescent="0.35">
      <c r="A226" t="s">
        <v>549</v>
      </c>
      <c r="B226" s="28">
        <v>44327</v>
      </c>
      <c r="C226" t="s">
        <v>507</v>
      </c>
      <c r="D226">
        <v>-2986</v>
      </c>
    </row>
    <row r="227" spans="1:4" x14ac:dyDescent="0.35">
      <c r="A227" t="s">
        <v>549</v>
      </c>
      <c r="B227" s="28">
        <v>44327</v>
      </c>
      <c r="C227" t="s">
        <v>499</v>
      </c>
      <c r="D227">
        <v>-4883</v>
      </c>
    </row>
    <row r="228" spans="1:4" x14ac:dyDescent="0.35">
      <c r="A228" t="s">
        <v>549</v>
      </c>
      <c r="B228" s="28">
        <v>44327</v>
      </c>
      <c r="C228" t="s">
        <v>483</v>
      </c>
      <c r="D228">
        <v>-1012</v>
      </c>
    </row>
    <row r="229" spans="1:4" x14ac:dyDescent="0.35">
      <c r="A229" t="s">
        <v>549</v>
      </c>
      <c r="B229" s="28">
        <v>44327</v>
      </c>
      <c r="C229" t="s">
        <v>526</v>
      </c>
      <c r="D229">
        <v>-17022</v>
      </c>
    </row>
    <row r="230" spans="1:4" x14ac:dyDescent="0.35">
      <c r="A230" t="s">
        <v>549</v>
      </c>
      <c r="B230" s="28">
        <v>44327</v>
      </c>
      <c r="C230" t="s">
        <v>483</v>
      </c>
      <c r="D230">
        <v>-8504</v>
      </c>
    </row>
    <row r="231" spans="1:4" x14ac:dyDescent="0.35">
      <c r="A231" t="s">
        <v>551</v>
      </c>
      <c r="B231" s="28">
        <v>44328</v>
      </c>
      <c r="C231" t="s">
        <v>443</v>
      </c>
      <c r="D231">
        <v>-2247</v>
      </c>
    </row>
    <row r="232" spans="1:4" x14ac:dyDescent="0.35">
      <c r="A232" t="s">
        <v>551</v>
      </c>
      <c r="B232" s="28">
        <v>44328</v>
      </c>
      <c r="C232" t="s">
        <v>449</v>
      </c>
      <c r="D232">
        <v>-1795</v>
      </c>
    </row>
    <row r="233" spans="1:4" x14ac:dyDescent="0.35">
      <c r="A233" t="s">
        <v>551</v>
      </c>
      <c r="B233" s="28">
        <v>44328</v>
      </c>
      <c r="C233" t="s">
        <v>505</v>
      </c>
      <c r="D233">
        <v>-4992</v>
      </c>
    </row>
    <row r="234" spans="1:4" x14ac:dyDescent="0.35">
      <c r="A234" t="s">
        <v>551</v>
      </c>
      <c r="B234" s="28">
        <v>44328</v>
      </c>
      <c r="C234" t="s">
        <v>552</v>
      </c>
      <c r="D234">
        <v>-798</v>
      </c>
    </row>
    <row r="235" spans="1:4" x14ac:dyDescent="0.35">
      <c r="A235" t="s">
        <v>551</v>
      </c>
      <c r="B235" s="28">
        <v>44328</v>
      </c>
      <c r="C235" t="s">
        <v>553</v>
      </c>
      <c r="D235">
        <v>-1559</v>
      </c>
    </row>
    <row r="236" spans="1:4" x14ac:dyDescent="0.35">
      <c r="A236" t="s">
        <v>551</v>
      </c>
      <c r="B236" s="28">
        <v>44328</v>
      </c>
      <c r="C236" t="s">
        <v>554</v>
      </c>
      <c r="D236">
        <v>-2485</v>
      </c>
    </row>
    <row r="237" spans="1:4" x14ac:dyDescent="0.35">
      <c r="A237" t="s">
        <v>551</v>
      </c>
      <c r="B237" s="28">
        <v>44328</v>
      </c>
      <c r="C237" t="s">
        <v>515</v>
      </c>
      <c r="D237">
        <v>-145</v>
      </c>
    </row>
    <row r="238" spans="1:4" x14ac:dyDescent="0.35">
      <c r="A238" t="s">
        <v>551</v>
      </c>
      <c r="B238" s="28">
        <v>44328</v>
      </c>
      <c r="C238" t="s">
        <v>546</v>
      </c>
      <c r="D238">
        <v>-1923</v>
      </c>
    </row>
    <row r="239" spans="1:4" x14ac:dyDescent="0.35">
      <c r="A239" t="s">
        <v>551</v>
      </c>
      <c r="B239" s="28">
        <v>44328</v>
      </c>
      <c r="C239" t="s">
        <v>494</v>
      </c>
      <c r="D239">
        <v>-1128</v>
      </c>
    </row>
    <row r="240" spans="1:4" x14ac:dyDescent="0.35">
      <c r="A240" t="s">
        <v>549</v>
      </c>
      <c r="B240" s="28">
        <v>44327</v>
      </c>
      <c r="C240" t="s">
        <v>555</v>
      </c>
      <c r="D240">
        <v>-1496</v>
      </c>
    </row>
    <row r="241" spans="1:4" x14ac:dyDescent="0.35">
      <c r="A241" t="s">
        <v>556</v>
      </c>
      <c r="B241" s="28">
        <v>44331</v>
      </c>
      <c r="C241" t="s">
        <v>511</v>
      </c>
      <c r="D241">
        <v>-1456</v>
      </c>
    </row>
    <row r="242" spans="1:4" x14ac:dyDescent="0.35">
      <c r="A242" t="s">
        <v>556</v>
      </c>
      <c r="B242" s="28">
        <v>44331</v>
      </c>
      <c r="C242" t="s">
        <v>489</v>
      </c>
      <c r="D242">
        <v>-1703</v>
      </c>
    </row>
    <row r="243" spans="1:4" x14ac:dyDescent="0.35">
      <c r="A243" t="s">
        <v>556</v>
      </c>
      <c r="B243" s="28">
        <v>44331</v>
      </c>
      <c r="C243" t="s">
        <v>495</v>
      </c>
      <c r="D243">
        <v>-1454</v>
      </c>
    </row>
    <row r="244" spans="1:4" x14ac:dyDescent="0.35">
      <c r="A244" t="s">
        <v>556</v>
      </c>
      <c r="B244" s="28">
        <v>44331</v>
      </c>
      <c r="C244" t="s">
        <v>507</v>
      </c>
      <c r="D244">
        <v>-1976</v>
      </c>
    </row>
    <row r="245" spans="1:4" x14ac:dyDescent="0.35">
      <c r="A245" t="s">
        <v>557</v>
      </c>
      <c r="B245" s="28">
        <v>44332</v>
      </c>
      <c r="C245" t="s">
        <v>443</v>
      </c>
      <c r="D245">
        <v>-3492</v>
      </c>
    </row>
    <row r="246" spans="1:4" x14ac:dyDescent="0.35">
      <c r="A246" t="s">
        <v>557</v>
      </c>
      <c r="B246" s="28">
        <v>44332</v>
      </c>
      <c r="C246" t="s">
        <v>505</v>
      </c>
      <c r="D246">
        <v>-5214</v>
      </c>
    </row>
    <row r="247" spans="1:4" x14ac:dyDescent="0.35">
      <c r="A247" t="s">
        <v>557</v>
      </c>
      <c r="B247" s="28">
        <v>44332</v>
      </c>
      <c r="C247" t="s">
        <v>534</v>
      </c>
      <c r="D247">
        <v>-1548</v>
      </c>
    </row>
    <row r="248" spans="1:4" x14ac:dyDescent="0.35">
      <c r="A248" t="s">
        <v>557</v>
      </c>
      <c r="B248" s="28">
        <v>44332</v>
      </c>
      <c r="C248" t="s">
        <v>530</v>
      </c>
      <c r="D248">
        <v>-2128</v>
      </c>
    </row>
    <row r="249" spans="1:4" x14ac:dyDescent="0.35">
      <c r="A249" t="s">
        <v>557</v>
      </c>
      <c r="B249" s="28">
        <v>44332</v>
      </c>
      <c r="C249" t="s">
        <v>480</v>
      </c>
      <c r="D249">
        <v>-1530</v>
      </c>
    </row>
    <row r="250" spans="1:4" x14ac:dyDescent="0.35">
      <c r="A250" t="s">
        <v>557</v>
      </c>
      <c r="B250" s="28">
        <v>44332</v>
      </c>
      <c r="C250" t="s">
        <v>481</v>
      </c>
      <c r="D250">
        <v>-1998</v>
      </c>
    </row>
    <row r="251" spans="1:4" x14ac:dyDescent="0.35">
      <c r="A251" t="s">
        <v>557</v>
      </c>
      <c r="B251" s="28">
        <v>44332</v>
      </c>
      <c r="C251" t="s">
        <v>524</v>
      </c>
      <c r="D251">
        <v>-135</v>
      </c>
    </row>
    <row r="252" spans="1:4" x14ac:dyDescent="0.35">
      <c r="A252" t="s">
        <v>557</v>
      </c>
      <c r="B252" s="28">
        <v>44332</v>
      </c>
      <c r="C252" t="s">
        <v>441</v>
      </c>
      <c r="D252">
        <v>-1064</v>
      </c>
    </row>
    <row r="253" spans="1:4" x14ac:dyDescent="0.35">
      <c r="A253" t="s">
        <v>558</v>
      </c>
      <c r="B253" s="28">
        <v>44333</v>
      </c>
      <c r="C253" t="s">
        <v>449</v>
      </c>
      <c r="D253">
        <v>-1757</v>
      </c>
    </row>
    <row r="254" spans="1:4" x14ac:dyDescent="0.35">
      <c r="A254" t="s">
        <v>558</v>
      </c>
      <c r="B254" s="28">
        <v>44333</v>
      </c>
      <c r="C254" t="s">
        <v>505</v>
      </c>
      <c r="D254">
        <v>-4982</v>
      </c>
    </row>
    <row r="255" spans="1:4" x14ac:dyDescent="0.35">
      <c r="A255" t="s">
        <v>558</v>
      </c>
      <c r="B255" s="28">
        <v>44333</v>
      </c>
      <c r="C255" t="s">
        <v>493</v>
      </c>
      <c r="D255">
        <v>-1014</v>
      </c>
    </row>
    <row r="256" spans="1:4" x14ac:dyDescent="0.35">
      <c r="A256" t="s">
        <v>558</v>
      </c>
      <c r="B256" s="28">
        <v>44333</v>
      </c>
      <c r="C256" t="s">
        <v>480</v>
      </c>
      <c r="D256">
        <v>-146</v>
      </c>
    </row>
    <row r="257" spans="1:4" x14ac:dyDescent="0.35">
      <c r="A257" t="s">
        <v>558</v>
      </c>
      <c r="B257" s="28">
        <v>44333</v>
      </c>
      <c r="C257" t="s">
        <v>526</v>
      </c>
      <c r="D257">
        <v>-15610</v>
      </c>
    </row>
    <row r="258" spans="1:4" x14ac:dyDescent="0.35">
      <c r="A258" t="s">
        <v>558</v>
      </c>
      <c r="B258" s="28">
        <v>44333</v>
      </c>
      <c r="C258" t="s">
        <v>546</v>
      </c>
      <c r="D258">
        <v>-2342</v>
      </c>
    </row>
    <row r="259" spans="1:4" x14ac:dyDescent="0.35">
      <c r="A259" t="s">
        <v>558</v>
      </c>
      <c r="B259" s="28">
        <v>44333</v>
      </c>
      <c r="C259" t="s">
        <v>507</v>
      </c>
      <c r="D259">
        <v>-3591</v>
      </c>
    </row>
    <row r="260" spans="1:4" x14ac:dyDescent="0.35">
      <c r="A260" t="s">
        <v>559</v>
      </c>
      <c r="B260" s="28">
        <v>44334</v>
      </c>
      <c r="C260" t="s">
        <v>443</v>
      </c>
      <c r="D260">
        <v>-4224</v>
      </c>
    </row>
    <row r="261" spans="1:4" x14ac:dyDescent="0.35">
      <c r="A261" t="s">
        <v>559</v>
      </c>
      <c r="B261" s="28">
        <v>44334</v>
      </c>
      <c r="C261" t="s">
        <v>449</v>
      </c>
      <c r="D261">
        <v>-2032</v>
      </c>
    </row>
    <row r="262" spans="1:4" x14ac:dyDescent="0.35">
      <c r="A262" t="s">
        <v>559</v>
      </c>
      <c r="B262" s="28">
        <v>44334</v>
      </c>
      <c r="C262" t="s">
        <v>560</v>
      </c>
      <c r="D262">
        <v>-2196</v>
      </c>
    </row>
    <row r="263" spans="1:4" x14ac:dyDescent="0.35">
      <c r="A263" t="s">
        <v>559</v>
      </c>
      <c r="B263" s="28">
        <v>44334</v>
      </c>
      <c r="C263" t="s">
        <v>485</v>
      </c>
      <c r="D263">
        <v>-1090</v>
      </c>
    </row>
    <row r="264" spans="1:4" x14ac:dyDescent="0.35">
      <c r="A264" t="s">
        <v>561</v>
      </c>
      <c r="B264" s="28">
        <v>44335</v>
      </c>
      <c r="C264" t="s">
        <v>443</v>
      </c>
      <c r="D264">
        <v>-3490</v>
      </c>
    </row>
    <row r="265" spans="1:4" x14ac:dyDescent="0.35">
      <c r="A265" t="s">
        <v>561</v>
      </c>
      <c r="B265" s="28">
        <v>44335</v>
      </c>
      <c r="C265" t="s">
        <v>484</v>
      </c>
      <c r="D265">
        <v>-150</v>
      </c>
    </row>
    <row r="266" spans="1:4" x14ac:dyDescent="0.35">
      <c r="A266" t="s">
        <v>561</v>
      </c>
      <c r="B266" s="28">
        <v>44335</v>
      </c>
      <c r="C266" t="s">
        <v>467</v>
      </c>
      <c r="D266">
        <v>-2672</v>
      </c>
    </row>
    <row r="267" spans="1:4" x14ac:dyDescent="0.35">
      <c r="A267" t="s">
        <v>561</v>
      </c>
      <c r="B267" s="28">
        <v>44335</v>
      </c>
      <c r="C267" t="s">
        <v>507</v>
      </c>
      <c r="D267">
        <v>-5082</v>
      </c>
    </row>
    <row r="268" spans="1:4" x14ac:dyDescent="0.35">
      <c r="A268" t="s">
        <v>561</v>
      </c>
      <c r="B268" s="28">
        <v>44335</v>
      </c>
      <c r="C268" t="s">
        <v>507</v>
      </c>
      <c r="D268">
        <v>-2442</v>
      </c>
    </row>
    <row r="269" spans="1:4" x14ac:dyDescent="0.35">
      <c r="A269" t="s">
        <v>561</v>
      </c>
      <c r="B269" s="28">
        <v>44335</v>
      </c>
      <c r="C269" t="s">
        <v>562</v>
      </c>
      <c r="D269">
        <v>-206</v>
      </c>
    </row>
    <row r="270" spans="1:4" x14ac:dyDescent="0.35">
      <c r="A270" t="s">
        <v>563</v>
      </c>
      <c r="B270" s="28">
        <v>44336</v>
      </c>
      <c r="C270" t="s">
        <v>443</v>
      </c>
      <c r="D270">
        <v>-2060</v>
      </c>
    </row>
    <row r="271" spans="1:4" x14ac:dyDescent="0.35">
      <c r="A271" t="s">
        <v>563</v>
      </c>
      <c r="B271" s="28">
        <v>44336</v>
      </c>
      <c r="C271" t="s">
        <v>502</v>
      </c>
      <c r="D271">
        <v>-1032</v>
      </c>
    </row>
    <row r="272" spans="1:4" x14ac:dyDescent="0.35">
      <c r="A272" t="s">
        <v>563</v>
      </c>
      <c r="B272" s="28">
        <v>44336</v>
      </c>
      <c r="C272" t="s">
        <v>526</v>
      </c>
      <c r="D272">
        <v>-15134</v>
      </c>
    </row>
    <row r="273" spans="1:4" x14ac:dyDescent="0.35">
      <c r="A273" t="s">
        <v>563</v>
      </c>
      <c r="B273" s="28">
        <v>44336</v>
      </c>
      <c r="C273" t="s">
        <v>485</v>
      </c>
      <c r="D273">
        <v>-20</v>
      </c>
    </row>
    <row r="274" spans="1:4" x14ac:dyDescent="0.35">
      <c r="A274" t="s">
        <v>564</v>
      </c>
      <c r="B274" s="28">
        <v>44338</v>
      </c>
      <c r="C274" t="s">
        <v>443</v>
      </c>
      <c r="D274">
        <v>-2079</v>
      </c>
    </row>
    <row r="275" spans="1:4" x14ac:dyDescent="0.35">
      <c r="A275" t="s">
        <v>564</v>
      </c>
      <c r="B275" s="28">
        <v>44338</v>
      </c>
      <c r="C275" t="s">
        <v>441</v>
      </c>
      <c r="D275">
        <v>-4447</v>
      </c>
    </row>
    <row r="276" spans="1:4" x14ac:dyDescent="0.35">
      <c r="A276" t="s">
        <v>564</v>
      </c>
      <c r="B276" s="28">
        <v>44338</v>
      </c>
      <c r="C276" t="s">
        <v>504</v>
      </c>
      <c r="D276">
        <v>-5031</v>
      </c>
    </row>
    <row r="277" spans="1:4" x14ac:dyDescent="0.35">
      <c r="A277" t="s">
        <v>564</v>
      </c>
      <c r="B277" s="28">
        <v>44338</v>
      </c>
      <c r="C277" t="s">
        <v>499</v>
      </c>
      <c r="D277">
        <v>-39</v>
      </c>
    </row>
    <row r="278" spans="1:4" x14ac:dyDescent="0.35">
      <c r="A278" t="s">
        <v>564</v>
      </c>
      <c r="B278" s="28">
        <v>44338</v>
      </c>
      <c r="C278" t="s">
        <v>546</v>
      </c>
      <c r="D278">
        <v>-2692</v>
      </c>
    </row>
    <row r="279" spans="1:4" x14ac:dyDescent="0.35">
      <c r="A279" t="s">
        <v>565</v>
      </c>
      <c r="B279" s="28">
        <v>44339</v>
      </c>
      <c r="C279" t="s">
        <v>443</v>
      </c>
      <c r="D279">
        <v>-4154</v>
      </c>
    </row>
    <row r="280" spans="1:4" x14ac:dyDescent="0.35">
      <c r="A280" t="s">
        <v>565</v>
      </c>
      <c r="B280" s="28">
        <v>44339</v>
      </c>
      <c r="C280" t="s">
        <v>566</v>
      </c>
      <c r="D280">
        <v>-15</v>
      </c>
    </row>
    <row r="281" spans="1:4" x14ac:dyDescent="0.35">
      <c r="A281" t="s">
        <v>565</v>
      </c>
      <c r="B281" s="28">
        <v>44339</v>
      </c>
      <c r="C281" t="s">
        <v>530</v>
      </c>
      <c r="D281">
        <v>-5154</v>
      </c>
    </row>
    <row r="282" spans="1:4" x14ac:dyDescent="0.35">
      <c r="A282" t="s">
        <v>565</v>
      </c>
      <c r="B282" s="28">
        <v>44339</v>
      </c>
      <c r="C282" t="s">
        <v>441</v>
      </c>
      <c r="D282">
        <v>-3724</v>
      </c>
    </row>
    <row r="283" spans="1:4" x14ac:dyDescent="0.35">
      <c r="A283" t="s">
        <v>565</v>
      </c>
      <c r="B283" s="28">
        <v>44339</v>
      </c>
      <c r="C283" t="s">
        <v>507</v>
      </c>
      <c r="D283">
        <v>-1997</v>
      </c>
    </row>
    <row r="284" spans="1:4" x14ac:dyDescent="0.35">
      <c r="A284" t="s">
        <v>565</v>
      </c>
      <c r="B284" s="28">
        <v>44339</v>
      </c>
      <c r="C284" t="s">
        <v>526</v>
      </c>
      <c r="D284">
        <v>-15542</v>
      </c>
    </row>
    <row r="285" spans="1:4" x14ac:dyDescent="0.35">
      <c r="A285" t="s">
        <v>565</v>
      </c>
      <c r="B285" s="28">
        <v>44339</v>
      </c>
      <c r="C285" t="s">
        <v>441</v>
      </c>
      <c r="D285">
        <v>-1085</v>
      </c>
    </row>
    <row r="286" spans="1:4" x14ac:dyDescent="0.35">
      <c r="A286" t="s">
        <v>565</v>
      </c>
      <c r="B286" s="28">
        <v>44339</v>
      </c>
      <c r="C286" t="s">
        <v>507</v>
      </c>
      <c r="D286">
        <v>-3379</v>
      </c>
    </row>
    <row r="287" spans="1:4" x14ac:dyDescent="0.35">
      <c r="A287" t="s">
        <v>565</v>
      </c>
      <c r="B287" s="28">
        <v>44339</v>
      </c>
      <c r="C287" t="s">
        <v>485</v>
      </c>
      <c r="D287">
        <v>-1754</v>
      </c>
    </row>
    <row r="288" spans="1:4" x14ac:dyDescent="0.35">
      <c r="A288" t="s">
        <v>567</v>
      </c>
      <c r="B288" s="28">
        <v>44340</v>
      </c>
      <c r="C288" t="s">
        <v>443</v>
      </c>
      <c r="D288">
        <v>-2381</v>
      </c>
    </row>
    <row r="289" spans="1:4" x14ac:dyDescent="0.35">
      <c r="A289" t="s">
        <v>567</v>
      </c>
      <c r="B289" s="28">
        <v>44340</v>
      </c>
      <c r="C289" t="s">
        <v>449</v>
      </c>
      <c r="D289">
        <v>-1875</v>
      </c>
    </row>
    <row r="290" spans="1:4" x14ac:dyDescent="0.35">
      <c r="A290" t="s">
        <v>567</v>
      </c>
      <c r="B290" s="28">
        <v>44340</v>
      </c>
      <c r="C290" t="s">
        <v>509</v>
      </c>
      <c r="D290">
        <v>-2751</v>
      </c>
    </row>
    <row r="291" spans="1:4" x14ac:dyDescent="0.35">
      <c r="A291" t="s">
        <v>567</v>
      </c>
      <c r="B291" s="28">
        <v>44340</v>
      </c>
      <c r="C291" t="s">
        <v>505</v>
      </c>
      <c r="D291">
        <v>-5087</v>
      </c>
    </row>
    <row r="292" spans="1:4" x14ac:dyDescent="0.35">
      <c r="A292" t="s">
        <v>567</v>
      </c>
      <c r="B292" s="28">
        <v>44340</v>
      </c>
      <c r="C292" t="s">
        <v>492</v>
      </c>
      <c r="D292">
        <v>-510</v>
      </c>
    </row>
    <row r="293" spans="1:4" x14ac:dyDescent="0.35">
      <c r="A293" t="s">
        <v>567</v>
      </c>
      <c r="B293" s="28">
        <v>44340</v>
      </c>
      <c r="C293" t="s">
        <v>441</v>
      </c>
      <c r="D293">
        <v>-4502</v>
      </c>
    </row>
    <row r="294" spans="1:4" x14ac:dyDescent="0.35">
      <c r="A294" t="s">
        <v>568</v>
      </c>
      <c r="B294" s="28">
        <v>44341</v>
      </c>
      <c r="C294" t="s">
        <v>451</v>
      </c>
      <c r="D294">
        <v>-1291</v>
      </c>
    </row>
    <row r="295" spans="1:4" x14ac:dyDescent="0.35">
      <c r="A295" t="s">
        <v>568</v>
      </c>
      <c r="B295" s="28">
        <v>44341</v>
      </c>
      <c r="C295" t="s">
        <v>534</v>
      </c>
      <c r="D295">
        <v>-6</v>
      </c>
    </row>
    <row r="296" spans="1:4" x14ac:dyDescent="0.35">
      <c r="A296" t="s">
        <v>568</v>
      </c>
      <c r="B296" s="28">
        <v>44341</v>
      </c>
      <c r="C296" t="s">
        <v>530</v>
      </c>
      <c r="D296">
        <v>-4955</v>
      </c>
    </row>
    <row r="297" spans="1:4" x14ac:dyDescent="0.35">
      <c r="A297" t="s">
        <v>568</v>
      </c>
      <c r="B297" s="28">
        <v>44341</v>
      </c>
      <c r="C297" t="s">
        <v>441</v>
      </c>
      <c r="D297">
        <v>-1185</v>
      </c>
    </row>
    <row r="298" spans="1:4" x14ac:dyDescent="0.35">
      <c r="A298" t="s">
        <v>568</v>
      </c>
      <c r="B298" s="28">
        <v>44341</v>
      </c>
      <c r="C298" t="s">
        <v>555</v>
      </c>
      <c r="D298">
        <v>-1688</v>
      </c>
    </row>
    <row r="299" spans="1:4" x14ac:dyDescent="0.35">
      <c r="A299" t="s">
        <v>568</v>
      </c>
      <c r="B299" s="28">
        <v>44341</v>
      </c>
      <c r="C299" t="s">
        <v>507</v>
      </c>
      <c r="D299">
        <v>-6026</v>
      </c>
    </row>
    <row r="300" spans="1:4" x14ac:dyDescent="0.35">
      <c r="A300" t="s">
        <v>568</v>
      </c>
      <c r="B300" s="28">
        <v>44341</v>
      </c>
      <c r="C300" t="s">
        <v>553</v>
      </c>
      <c r="D300">
        <v>-1834</v>
      </c>
    </row>
    <row r="301" spans="1:4" x14ac:dyDescent="0.35">
      <c r="A301" t="s">
        <v>568</v>
      </c>
      <c r="B301" s="28">
        <v>44341</v>
      </c>
      <c r="C301" t="s">
        <v>546</v>
      </c>
      <c r="D301">
        <v>-2928</v>
      </c>
    </row>
    <row r="302" spans="1:4" x14ac:dyDescent="0.35">
      <c r="A302" t="s">
        <v>569</v>
      </c>
      <c r="B302" s="28">
        <v>44342</v>
      </c>
      <c r="C302" t="s">
        <v>443</v>
      </c>
      <c r="D302">
        <v>-1984</v>
      </c>
    </row>
    <row r="303" spans="1:4" x14ac:dyDescent="0.35">
      <c r="A303" t="s">
        <v>569</v>
      </c>
      <c r="B303" s="28">
        <v>44342</v>
      </c>
      <c r="C303" t="s">
        <v>441</v>
      </c>
      <c r="D303">
        <v>-2119</v>
      </c>
    </row>
    <row r="304" spans="1:4" x14ac:dyDescent="0.35">
      <c r="A304" t="s">
        <v>569</v>
      </c>
      <c r="B304" s="28">
        <v>44342</v>
      </c>
      <c r="C304" t="s">
        <v>570</v>
      </c>
      <c r="D304">
        <v>-3000</v>
      </c>
    </row>
    <row r="305" spans="1:4" x14ac:dyDescent="0.35">
      <c r="A305" t="s">
        <v>571</v>
      </c>
      <c r="B305" s="28">
        <v>44343</v>
      </c>
      <c r="C305" t="s">
        <v>461</v>
      </c>
      <c r="D305">
        <v>-446</v>
      </c>
    </row>
    <row r="306" spans="1:4" x14ac:dyDescent="0.35">
      <c r="A306" t="s">
        <v>571</v>
      </c>
      <c r="B306" s="28">
        <v>44343</v>
      </c>
      <c r="C306" t="s">
        <v>530</v>
      </c>
      <c r="D306">
        <v>-4752</v>
      </c>
    </row>
    <row r="307" spans="1:4" x14ac:dyDescent="0.35">
      <c r="A307" t="s">
        <v>571</v>
      </c>
      <c r="B307" s="28">
        <v>44343</v>
      </c>
      <c r="C307" t="s">
        <v>441</v>
      </c>
      <c r="D307">
        <v>-1819</v>
      </c>
    </row>
    <row r="308" spans="1:4" x14ac:dyDescent="0.35">
      <c r="A308" t="s">
        <v>571</v>
      </c>
      <c r="B308" s="28">
        <v>44343</v>
      </c>
      <c r="C308" t="s">
        <v>497</v>
      </c>
      <c r="D308">
        <v>-3090</v>
      </c>
    </row>
    <row r="309" spans="1:4" x14ac:dyDescent="0.35">
      <c r="A309" t="s">
        <v>571</v>
      </c>
      <c r="B309" s="28">
        <v>44343</v>
      </c>
      <c r="C309" t="s">
        <v>526</v>
      </c>
      <c r="D309">
        <v>-15478</v>
      </c>
    </row>
    <row r="310" spans="1:4" x14ac:dyDescent="0.35">
      <c r="A310" t="s">
        <v>571</v>
      </c>
      <c r="B310" s="28">
        <v>44343</v>
      </c>
      <c r="C310" t="s">
        <v>494</v>
      </c>
      <c r="D310">
        <v>-1912</v>
      </c>
    </row>
    <row r="311" spans="1:4" x14ac:dyDescent="0.35">
      <c r="A311" t="s">
        <v>572</v>
      </c>
      <c r="B311" s="28">
        <v>44345</v>
      </c>
      <c r="C311" t="s">
        <v>443</v>
      </c>
      <c r="D311">
        <v>-4292</v>
      </c>
    </row>
    <row r="312" spans="1:4" x14ac:dyDescent="0.35">
      <c r="A312" t="s">
        <v>572</v>
      </c>
      <c r="B312" s="28">
        <v>44345</v>
      </c>
      <c r="C312" t="s">
        <v>502</v>
      </c>
      <c r="D312">
        <v>-1028</v>
      </c>
    </row>
    <row r="313" spans="1:4" x14ac:dyDescent="0.35">
      <c r="A313" t="s">
        <v>572</v>
      </c>
      <c r="B313" s="28">
        <v>44345</v>
      </c>
      <c r="C313" t="s">
        <v>530</v>
      </c>
      <c r="D313">
        <v>-4529</v>
      </c>
    </row>
    <row r="314" spans="1:4" x14ac:dyDescent="0.35">
      <c r="A314" t="s">
        <v>572</v>
      </c>
      <c r="B314" s="28">
        <v>44345</v>
      </c>
      <c r="C314" t="s">
        <v>441</v>
      </c>
      <c r="D314">
        <v>-2030</v>
      </c>
    </row>
    <row r="315" spans="1:4" x14ac:dyDescent="0.35">
      <c r="A315" t="s">
        <v>572</v>
      </c>
      <c r="B315" s="28">
        <v>44345</v>
      </c>
      <c r="C315" t="s">
        <v>499</v>
      </c>
      <c r="D315">
        <v>-2099</v>
      </c>
    </row>
    <row r="316" spans="1:4" x14ac:dyDescent="0.35">
      <c r="A316" t="s">
        <v>572</v>
      </c>
      <c r="B316" s="28">
        <v>44345</v>
      </c>
      <c r="C316" t="s">
        <v>515</v>
      </c>
      <c r="D316">
        <v>-163</v>
      </c>
    </row>
    <row r="317" spans="1:4" x14ac:dyDescent="0.35">
      <c r="A317" t="s">
        <v>572</v>
      </c>
      <c r="B317" s="28">
        <v>44345</v>
      </c>
      <c r="C317" t="s">
        <v>546</v>
      </c>
      <c r="D317">
        <v>-3081</v>
      </c>
    </row>
    <row r="318" spans="1:4" x14ac:dyDescent="0.35">
      <c r="A318" t="s">
        <v>573</v>
      </c>
      <c r="B318" s="28">
        <v>44346</v>
      </c>
      <c r="C318" t="s">
        <v>443</v>
      </c>
      <c r="D318">
        <v>-3122</v>
      </c>
    </row>
    <row r="319" spans="1:4" x14ac:dyDescent="0.35">
      <c r="A319" t="s">
        <v>573</v>
      </c>
      <c r="B319" s="28">
        <v>44346</v>
      </c>
      <c r="C319" t="s">
        <v>507</v>
      </c>
      <c r="D319">
        <v>-5196</v>
      </c>
    </row>
    <row r="320" spans="1:4" x14ac:dyDescent="0.35">
      <c r="A320" t="s">
        <v>573</v>
      </c>
      <c r="B320" s="28">
        <v>44346</v>
      </c>
      <c r="C320" t="s">
        <v>526</v>
      </c>
      <c r="D320">
        <v>-15995</v>
      </c>
    </row>
    <row r="321" spans="1:4" x14ac:dyDescent="0.35">
      <c r="A321" t="s">
        <v>574</v>
      </c>
      <c r="B321" s="28">
        <v>44347</v>
      </c>
      <c r="C321" t="s">
        <v>575</v>
      </c>
      <c r="D321">
        <v>-82</v>
      </c>
    </row>
    <row r="322" spans="1:4" x14ac:dyDescent="0.35">
      <c r="A322" t="s">
        <v>574</v>
      </c>
      <c r="B322" s="28">
        <v>44347</v>
      </c>
      <c r="C322" t="s">
        <v>443</v>
      </c>
      <c r="D322">
        <v>-3208</v>
      </c>
    </row>
    <row r="323" spans="1:4" x14ac:dyDescent="0.35">
      <c r="A323" t="s">
        <v>574</v>
      </c>
      <c r="B323" s="28">
        <v>44347</v>
      </c>
      <c r="C323" t="s">
        <v>441</v>
      </c>
      <c r="D323">
        <v>-100</v>
      </c>
    </row>
    <row r="324" spans="1:4" x14ac:dyDescent="0.35">
      <c r="A324" t="s">
        <v>574</v>
      </c>
      <c r="B324" s="28">
        <v>44347</v>
      </c>
      <c r="C324" t="s">
        <v>507</v>
      </c>
      <c r="D324">
        <v>-4900</v>
      </c>
    </row>
    <row r="325" spans="1:4" x14ac:dyDescent="0.35">
      <c r="A325" t="s">
        <v>574</v>
      </c>
      <c r="B325" s="28">
        <v>44347</v>
      </c>
      <c r="C325" t="s">
        <v>546</v>
      </c>
      <c r="D325">
        <v>-1554</v>
      </c>
    </row>
    <row r="326" spans="1:4" x14ac:dyDescent="0.35">
      <c r="A326" t="s">
        <v>574</v>
      </c>
      <c r="B326" s="28">
        <v>44347</v>
      </c>
      <c r="C326" t="s">
        <v>483</v>
      </c>
      <c r="D326">
        <v>-2022</v>
      </c>
    </row>
    <row r="327" spans="1:4" x14ac:dyDescent="0.35">
      <c r="A327" t="s">
        <v>576</v>
      </c>
      <c r="B327" s="28">
        <v>44348</v>
      </c>
      <c r="C327" t="s">
        <v>577</v>
      </c>
      <c r="D327">
        <v>-344</v>
      </c>
    </row>
    <row r="328" spans="1:4" x14ac:dyDescent="0.35">
      <c r="A328" t="s">
        <v>576</v>
      </c>
      <c r="B328" s="28">
        <v>44348</v>
      </c>
      <c r="C328" t="s">
        <v>530</v>
      </c>
      <c r="D328">
        <v>-5054</v>
      </c>
    </row>
    <row r="329" spans="1:4" x14ac:dyDescent="0.35">
      <c r="A329" t="s">
        <v>576</v>
      </c>
      <c r="B329" s="28">
        <v>44348</v>
      </c>
      <c r="C329" t="s">
        <v>499</v>
      </c>
      <c r="D329">
        <v>-4032</v>
      </c>
    </row>
    <row r="330" spans="1:4" x14ac:dyDescent="0.35">
      <c r="A330" t="s">
        <v>576</v>
      </c>
      <c r="B330" s="28">
        <v>44348</v>
      </c>
      <c r="C330" t="s">
        <v>507</v>
      </c>
      <c r="D330">
        <v>-5727</v>
      </c>
    </row>
    <row r="331" spans="1:4" x14ac:dyDescent="0.35">
      <c r="A331" t="s">
        <v>578</v>
      </c>
      <c r="B331" s="28">
        <v>44349</v>
      </c>
      <c r="C331" t="s">
        <v>537</v>
      </c>
      <c r="D331">
        <v>-2193</v>
      </c>
    </row>
    <row r="332" spans="1:4" x14ac:dyDescent="0.35">
      <c r="A332" t="s">
        <v>578</v>
      </c>
      <c r="B332" s="28">
        <v>44349</v>
      </c>
      <c r="C332" t="s">
        <v>505</v>
      </c>
      <c r="D332">
        <v>-4289</v>
      </c>
    </row>
    <row r="333" spans="1:4" x14ac:dyDescent="0.35">
      <c r="A333" t="s">
        <v>578</v>
      </c>
      <c r="B333" s="28">
        <v>44349</v>
      </c>
      <c r="C333" t="s">
        <v>579</v>
      </c>
      <c r="D333">
        <v>-501</v>
      </c>
    </row>
    <row r="334" spans="1:4" x14ac:dyDescent="0.35">
      <c r="A334" t="s">
        <v>578</v>
      </c>
      <c r="B334" s="28">
        <v>44349</v>
      </c>
      <c r="C334" t="s">
        <v>502</v>
      </c>
      <c r="D334">
        <v>-756</v>
      </c>
    </row>
    <row r="335" spans="1:4" x14ac:dyDescent="0.35">
      <c r="A335" t="s">
        <v>578</v>
      </c>
      <c r="B335" s="28">
        <v>44349</v>
      </c>
      <c r="C335" t="s">
        <v>446</v>
      </c>
      <c r="D335">
        <v>-2809</v>
      </c>
    </row>
    <row r="336" spans="1:4" x14ac:dyDescent="0.35">
      <c r="A336" t="s">
        <v>578</v>
      </c>
      <c r="B336" s="28">
        <v>44349</v>
      </c>
      <c r="C336" t="s">
        <v>472</v>
      </c>
      <c r="D336">
        <v>-1771</v>
      </c>
    </row>
    <row r="337" spans="1:4" x14ac:dyDescent="0.35">
      <c r="A337" t="s">
        <v>580</v>
      </c>
      <c r="B337" s="28">
        <v>44350</v>
      </c>
      <c r="C337" t="s">
        <v>443</v>
      </c>
      <c r="D337">
        <v>-2038</v>
      </c>
    </row>
    <row r="338" spans="1:4" x14ac:dyDescent="0.35">
      <c r="A338" t="s">
        <v>580</v>
      </c>
      <c r="B338" s="28">
        <v>44350</v>
      </c>
      <c r="C338" t="s">
        <v>581</v>
      </c>
      <c r="D338">
        <v>-174</v>
      </c>
    </row>
    <row r="339" spans="1:4" x14ac:dyDescent="0.35">
      <c r="A339" t="s">
        <v>580</v>
      </c>
      <c r="B339" s="28">
        <v>44350</v>
      </c>
      <c r="C339" t="s">
        <v>526</v>
      </c>
      <c r="D339">
        <v>-16613</v>
      </c>
    </row>
    <row r="340" spans="1:4" x14ac:dyDescent="0.35">
      <c r="A340" t="s">
        <v>580</v>
      </c>
      <c r="B340" s="28">
        <v>44350</v>
      </c>
      <c r="C340" t="s">
        <v>539</v>
      </c>
      <c r="D340">
        <v>-1031</v>
      </c>
    </row>
    <row r="341" spans="1:4" x14ac:dyDescent="0.35">
      <c r="A341" t="s">
        <v>580</v>
      </c>
      <c r="B341" s="28">
        <v>44350</v>
      </c>
      <c r="C341" t="s">
        <v>546</v>
      </c>
      <c r="D341">
        <v>-1974</v>
      </c>
    </row>
    <row r="342" spans="1:4" x14ac:dyDescent="0.35">
      <c r="A342" t="s">
        <v>582</v>
      </c>
      <c r="B342" s="28">
        <v>44354</v>
      </c>
      <c r="C342" t="s">
        <v>443</v>
      </c>
      <c r="D342">
        <v>-6137</v>
      </c>
    </row>
    <row r="343" spans="1:4" x14ac:dyDescent="0.35">
      <c r="A343" t="s">
        <v>582</v>
      </c>
      <c r="B343" s="28">
        <v>44354</v>
      </c>
      <c r="C343" t="s">
        <v>489</v>
      </c>
      <c r="D343">
        <v>-1258</v>
      </c>
    </row>
    <row r="344" spans="1:4" x14ac:dyDescent="0.35">
      <c r="A344" t="s">
        <v>582</v>
      </c>
      <c r="B344" s="28">
        <v>44354</v>
      </c>
      <c r="C344" t="s">
        <v>566</v>
      </c>
      <c r="D344">
        <v>-198</v>
      </c>
    </row>
    <row r="345" spans="1:4" x14ac:dyDescent="0.35">
      <c r="A345" t="s">
        <v>582</v>
      </c>
      <c r="B345" s="28">
        <v>44354</v>
      </c>
      <c r="C345" t="s">
        <v>441</v>
      </c>
      <c r="D345">
        <v>-25</v>
      </c>
    </row>
    <row r="346" spans="1:4" x14ac:dyDescent="0.35">
      <c r="A346" t="s">
        <v>582</v>
      </c>
      <c r="B346" s="28">
        <v>44354</v>
      </c>
      <c r="C346" t="s">
        <v>504</v>
      </c>
      <c r="D346">
        <v>-4982</v>
      </c>
    </row>
    <row r="347" spans="1:4" x14ac:dyDescent="0.35">
      <c r="A347" t="s">
        <v>583</v>
      </c>
      <c r="B347" s="28">
        <v>44355</v>
      </c>
      <c r="C347" t="s">
        <v>443</v>
      </c>
      <c r="D347">
        <v>-1938</v>
      </c>
    </row>
    <row r="348" spans="1:4" x14ac:dyDescent="0.35">
      <c r="A348" t="s">
        <v>583</v>
      </c>
      <c r="B348" s="28">
        <v>44355</v>
      </c>
      <c r="C348" t="s">
        <v>505</v>
      </c>
      <c r="D348">
        <v>-10216</v>
      </c>
    </row>
    <row r="349" spans="1:4" x14ac:dyDescent="0.35">
      <c r="A349" t="s">
        <v>583</v>
      </c>
      <c r="B349" s="28">
        <v>44355</v>
      </c>
      <c r="C349" t="s">
        <v>530</v>
      </c>
      <c r="D349">
        <v>-4477</v>
      </c>
    </row>
    <row r="350" spans="1:4" x14ac:dyDescent="0.35">
      <c r="A350" t="s">
        <v>583</v>
      </c>
      <c r="B350" s="28">
        <v>44355</v>
      </c>
      <c r="C350" t="s">
        <v>499</v>
      </c>
      <c r="D350">
        <v>-5655</v>
      </c>
    </row>
    <row r="351" spans="1:4" x14ac:dyDescent="0.35">
      <c r="A351" t="s">
        <v>583</v>
      </c>
      <c r="B351" s="28">
        <v>44355</v>
      </c>
      <c r="C351" t="s">
        <v>526</v>
      </c>
      <c r="D351">
        <v>-15518</v>
      </c>
    </row>
    <row r="352" spans="1:4" x14ac:dyDescent="0.35">
      <c r="A352" t="s">
        <v>583</v>
      </c>
      <c r="B352" s="28">
        <v>44355</v>
      </c>
      <c r="C352" t="s">
        <v>554</v>
      </c>
      <c r="D352">
        <v>-3093</v>
      </c>
    </row>
    <row r="353" spans="1:4" x14ac:dyDescent="0.35">
      <c r="A353" t="s">
        <v>583</v>
      </c>
      <c r="B353" s="28">
        <v>44355</v>
      </c>
      <c r="C353" t="s">
        <v>472</v>
      </c>
      <c r="D353">
        <v>-1026</v>
      </c>
    </row>
    <row r="354" spans="1:4" x14ac:dyDescent="0.35">
      <c r="A354" t="s">
        <v>582</v>
      </c>
      <c r="B354" s="28">
        <v>44354</v>
      </c>
      <c r="C354" t="s">
        <v>566</v>
      </c>
      <c r="D354">
        <v>-26</v>
      </c>
    </row>
    <row r="355" spans="1:4" x14ac:dyDescent="0.35">
      <c r="A355" t="s">
        <v>584</v>
      </c>
      <c r="B355" s="28">
        <v>44356</v>
      </c>
      <c r="C355" t="s">
        <v>474</v>
      </c>
      <c r="D355">
        <v>-1050</v>
      </c>
    </row>
    <row r="356" spans="1:4" x14ac:dyDescent="0.35">
      <c r="A356" t="s">
        <v>584</v>
      </c>
      <c r="B356" s="28">
        <v>44356</v>
      </c>
      <c r="C356" t="s">
        <v>449</v>
      </c>
      <c r="D356">
        <v>-2041</v>
      </c>
    </row>
    <row r="357" spans="1:4" x14ac:dyDescent="0.35">
      <c r="A357" t="s">
        <v>584</v>
      </c>
      <c r="B357" s="28">
        <v>44356</v>
      </c>
      <c r="C357" t="s">
        <v>585</v>
      </c>
      <c r="D357">
        <v>-658</v>
      </c>
    </row>
    <row r="358" spans="1:4" x14ac:dyDescent="0.35">
      <c r="A358" t="s">
        <v>584</v>
      </c>
      <c r="B358" s="28">
        <v>44356</v>
      </c>
      <c r="C358" t="s">
        <v>507</v>
      </c>
      <c r="D358">
        <v>-3325</v>
      </c>
    </row>
    <row r="359" spans="1:4" x14ac:dyDescent="0.35">
      <c r="A359" t="s">
        <v>586</v>
      </c>
      <c r="B359" s="28">
        <v>44357</v>
      </c>
      <c r="C359" t="s">
        <v>443</v>
      </c>
      <c r="D359">
        <v>-1488</v>
      </c>
    </row>
    <row r="360" spans="1:4" x14ac:dyDescent="0.35">
      <c r="A360" t="s">
        <v>586</v>
      </c>
      <c r="B360" s="28">
        <v>44357</v>
      </c>
      <c r="C360" t="s">
        <v>483</v>
      </c>
      <c r="D360">
        <v>-3997</v>
      </c>
    </row>
    <row r="361" spans="1:4" x14ac:dyDescent="0.35">
      <c r="A361" t="s">
        <v>586</v>
      </c>
      <c r="B361" s="28">
        <v>44357</v>
      </c>
      <c r="C361" t="s">
        <v>526</v>
      </c>
      <c r="D361">
        <v>-15913</v>
      </c>
    </row>
    <row r="362" spans="1:4" x14ac:dyDescent="0.35">
      <c r="A362" t="s">
        <v>587</v>
      </c>
      <c r="B362" s="28">
        <v>44359</v>
      </c>
      <c r="C362" t="s">
        <v>443</v>
      </c>
      <c r="D362">
        <v>-1099</v>
      </c>
    </row>
    <row r="363" spans="1:4" x14ac:dyDescent="0.35">
      <c r="A363" t="s">
        <v>587</v>
      </c>
      <c r="B363" s="28">
        <v>44359</v>
      </c>
      <c r="C363" t="s">
        <v>537</v>
      </c>
      <c r="D363">
        <v>-2111</v>
      </c>
    </row>
    <row r="364" spans="1:4" x14ac:dyDescent="0.35">
      <c r="A364" t="s">
        <v>587</v>
      </c>
      <c r="B364" s="28">
        <v>44359</v>
      </c>
      <c r="C364" t="s">
        <v>449</v>
      </c>
      <c r="D364">
        <v>-2065</v>
      </c>
    </row>
    <row r="365" spans="1:4" x14ac:dyDescent="0.35">
      <c r="A365" t="s">
        <v>587</v>
      </c>
      <c r="B365" s="28">
        <v>44359</v>
      </c>
      <c r="C365" t="s">
        <v>444</v>
      </c>
      <c r="D365">
        <v>-1938</v>
      </c>
    </row>
    <row r="366" spans="1:4" x14ac:dyDescent="0.35">
      <c r="A366" t="s">
        <v>587</v>
      </c>
      <c r="B366" s="28">
        <v>44359</v>
      </c>
      <c r="C366" t="s">
        <v>451</v>
      </c>
      <c r="D366">
        <v>-2056</v>
      </c>
    </row>
    <row r="367" spans="1:4" x14ac:dyDescent="0.35">
      <c r="A367" t="s">
        <v>587</v>
      </c>
      <c r="B367" s="28">
        <v>44359</v>
      </c>
      <c r="C367" t="s">
        <v>507</v>
      </c>
      <c r="D367">
        <v>-5374</v>
      </c>
    </row>
    <row r="368" spans="1:4" x14ac:dyDescent="0.35">
      <c r="A368" t="s">
        <v>587</v>
      </c>
      <c r="B368" s="28">
        <v>44359</v>
      </c>
      <c r="C368" t="s">
        <v>455</v>
      </c>
      <c r="D368">
        <v>-1216</v>
      </c>
    </row>
    <row r="369" spans="1:4" x14ac:dyDescent="0.35">
      <c r="A369" t="s">
        <v>587</v>
      </c>
      <c r="B369" s="28">
        <v>44359</v>
      </c>
      <c r="C369" t="s">
        <v>526</v>
      </c>
      <c r="D369">
        <v>-7554</v>
      </c>
    </row>
    <row r="370" spans="1:4" x14ac:dyDescent="0.35">
      <c r="A370" t="s">
        <v>587</v>
      </c>
      <c r="B370" s="28">
        <v>44359</v>
      </c>
      <c r="C370" t="s">
        <v>507</v>
      </c>
      <c r="D370">
        <v>-1131</v>
      </c>
    </row>
    <row r="371" spans="1:4" x14ac:dyDescent="0.35">
      <c r="A371" t="s">
        <v>588</v>
      </c>
      <c r="B371" s="28">
        <v>44360</v>
      </c>
      <c r="C371" t="s">
        <v>449</v>
      </c>
      <c r="D371">
        <v>-2048</v>
      </c>
    </row>
    <row r="372" spans="1:4" x14ac:dyDescent="0.35">
      <c r="A372" t="s">
        <v>588</v>
      </c>
      <c r="B372" s="28">
        <v>44360</v>
      </c>
      <c r="C372" t="s">
        <v>534</v>
      </c>
      <c r="D372">
        <v>-66</v>
      </c>
    </row>
    <row r="373" spans="1:4" x14ac:dyDescent="0.35">
      <c r="A373" t="s">
        <v>588</v>
      </c>
      <c r="B373" s="28">
        <v>44360</v>
      </c>
      <c r="C373" t="s">
        <v>497</v>
      </c>
      <c r="D373">
        <v>-1050</v>
      </c>
    </row>
    <row r="374" spans="1:4" x14ac:dyDescent="0.35">
      <c r="A374" t="s">
        <v>588</v>
      </c>
      <c r="B374" s="28">
        <v>44360</v>
      </c>
      <c r="C374" t="s">
        <v>579</v>
      </c>
      <c r="D374">
        <v>-1898</v>
      </c>
    </row>
    <row r="375" spans="1:4" x14ac:dyDescent="0.35">
      <c r="A375" t="s">
        <v>588</v>
      </c>
      <c r="B375" s="28">
        <v>44360</v>
      </c>
      <c r="C375" t="s">
        <v>507</v>
      </c>
      <c r="D375">
        <v>-4257</v>
      </c>
    </row>
    <row r="376" spans="1:4" x14ac:dyDescent="0.35">
      <c r="A376" t="s">
        <v>589</v>
      </c>
      <c r="B376" s="28">
        <v>44361</v>
      </c>
      <c r="C376" t="s">
        <v>449</v>
      </c>
      <c r="D376">
        <v>-3780</v>
      </c>
    </row>
    <row r="377" spans="1:4" x14ac:dyDescent="0.35">
      <c r="A377" t="s">
        <v>589</v>
      </c>
      <c r="B377" s="28">
        <v>44361</v>
      </c>
      <c r="C377" t="s">
        <v>505</v>
      </c>
      <c r="D377">
        <v>-4551</v>
      </c>
    </row>
    <row r="378" spans="1:4" x14ac:dyDescent="0.35">
      <c r="A378" t="s">
        <v>589</v>
      </c>
      <c r="B378" s="28">
        <v>44361</v>
      </c>
      <c r="C378" t="s">
        <v>485</v>
      </c>
      <c r="D378">
        <v>-290</v>
      </c>
    </row>
    <row r="379" spans="1:4" x14ac:dyDescent="0.35">
      <c r="A379" t="s">
        <v>589</v>
      </c>
      <c r="B379" s="28">
        <v>44361</v>
      </c>
      <c r="C379" t="s">
        <v>590</v>
      </c>
      <c r="D379">
        <v>-1010</v>
      </c>
    </row>
    <row r="380" spans="1:4" x14ac:dyDescent="0.35">
      <c r="A380" t="s">
        <v>589</v>
      </c>
      <c r="B380" s="28">
        <v>44361</v>
      </c>
      <c r="C380" t="s">
        <v>507</v>
      </c>
      <c r="D380">
        <v>-3989</v>
      </c>
    </row>
    <row r="381" spans="1:4" x14ac:dyDescent="0.35">
      <c r="A381" t="s">
        <v>591</v>
      </c>
      <c r="B381" s="28">
        <v>44362</v>
      </c>
      <c r="C381" t="s">
        <v>443</v>
      </c>
      <c r="D381">
        <v>-537</v>
      </c>
    </row>
    <row r="382" spans="1:4" x14ac:dyDescent="0.35">
      <c r="A382" t="s">
        <v>591</v>
      </c>
      <c r="B382" s="28">
        <v>44362</v>
      </c>
      <c r="C382" t="s">
        <v>449</v>
      </c>
      <c r="D382">
        <v>-2052</v>
      </c>
    </row>
    <row r="383" spans="1:4" x14ac:dyDescent="0.35">
      <c r="A383" t="s">
        <v>591</v>
      </c>
      <c r="B383" s="28">
        <v>44362</v>
      </c>
      <c r="C383" t="s">
        <v>450</v>
      </c>
      <c r="D383">
        <v>-2005</v>
      </c>
    </row>
    <row r="384" spans="1:4" x14ac:dyDescent="0.35">
      <c r="A384" t="s">
        <v>591</v>
      </c>
      <c r="B384" s="28">
        <v>44362</v>
      </c>
      <c r="C384" t="s">
        <v>492</v>
      </c>
      <c r="D384">
        <v>-404</v>
      </c>
    </row>
    <row r="385" spans="1:4" x14ac:dyDescent="0.35">
      <c r="A385" t="s">
        <v>591</v>
      </c>
      <c r="B385" s="28">
        <v>44362</v>
      </c>
      <c r="C385" t="s">
        <v>507</v>
      </c>
      <c r="D385">
        <v>-999</v>
      </c>
    </row>
    <row r="386" spans="1:4" x14ac:dyDescent="0.35">
      <c r="A386" t="s">
        <v>591</v>
      </c>
      <c r="B386" s="28">
        <v>44362</v>
      </c>
      <c r="C386" t="s">
        <v>499</v>
      </c>
      <c r="D386">
        <v>-3879</v>
      </c>
    </row>
    <row r="387" spans="1:4" x14ac:dyDescent="0.35">
      <c r="A387" t="s">
        <v>591</v>
      </c>
      <c r="B387" s="28">
        <v>44362</v>
      </c>
      <c r="C387" t="s">
        <v>478</v>
      </c>
      <c r="D387">
        <v>-252</v>
      </c>
    </row>
    <row r="388" spans="1:4" x14ac:dyDescent="0.35">
      <c r="A388" t="s">
        <v>591</v>
      </c>
      <c r="B388" s="28">
        <v>44362</v>
      </c>
      <c r="C388" t="s">
        <v>507</v>
      </c>
      <c r="D388">
        <v>-3843</v>
      </c>
    </row>
    <row r="389" spans="1:4" x14ac:dyDescent="0.35">
      <c r="A389" t="s">
        <v>592</v>
      </c>
      <c r="B389" s="28">
        <v>44363</v>
      </c>
      <c r="C389" t="s">
        <v>443</v>
      </c>
      <c r="D389">
        <v>-520</v>
      </c>
    </row>
    <row r="390" spans="1:4" x14ac:dyDescent="0.35">
      <c r="A390" t="s">
        <v>592</v>
      </c>
      <c r="B390" s="28">
        <v>44363</v>
      </c>
      <c r="C390" t="s">
        <v>441</v>
      </c>
      <c r="D390">
        <v>-1032</v>
      </c>
    </row>
    <row r="391" spans="1:4" x14ac:dyDescent="0.35">
      <c r="A391" t="s">
        <v>592</v>
      </c>
      <c r="B391" s="28">
        <v>44363</v>
      </c>
      <c r="C391" t="s">
        <v>526</v>
      </c>
      <c r="D391">
        <v>-16548</v>
      </c>
    </row>
    <row r="392" spans="1:4" x14ac:dyDescent="0.35">
      <c r="A392" t="s">
        <v>592</v>
      </c>
      <c r="B392" s="28">
        <v>44363</v>
      </c>
      <c r="C392" t="s">
        <v>546</v>
      </c>
      <c r="D392">
        <v>-358</v>
      </c>
    </row>
    <row r="393" spans="1:4" x14ac:dyDescent="0.35">
      <c r="A393" t="s">
        <v>593</v>
      </c>
      <c r="B393" s="28">
        <v>44364</v>
      </c>
      <c r="C393" t="s">
        <v>443</v>
      </c>
      <c r="D393">
        <v>-511</v>
      </c>
    </row>
    <row r="394" spans="1:4" x14ac:dyDescent="0.35">
      <c r="A394" t="s">
        <v>593</v>
      </c>
      <c r="B394" s="28">
        <v>44364</v>
      </c>
      <c r="C394" t="s">
        <v>507</v>
      </c>
      <c r="D394">
        <v>-3334</v>
      </c>
    </row>
    <row r="395" spans="1:4" x14ac:dyDescent="0.35">
      <c r="A395" t="s">
        <v>593</v>
      </c>
      <c r="B395" s="28">
        <v>44364</v>
      </c>
      <c r="C395" t="s">
        <v>553</v>
      </c>
      <c r="D395">
        <v>-3178</v>
      </c>
    </row>
    <row r="396" spans="1:4" x14ac:dyDescent="0.35">
      <c r="A396" t="s">
        <v>593</v>
      </c>
      <c r="B396" s="28">
        <v>44364</v>
      </c>
      <c r="C396" t="s">
        <v>546</v>
      </c>
      <c r="D396">
        <v>-1076</v>
      </c>
    </row>
    <row r="397" spans="1:4" x14ac:dyDescent="0.35">
      <c r="A397" t="s">
        <v>593</v>
      </c>
      <c r="B397" s="28">
        <v>44364</v>
      </c>
      <c r="C397" t="s">
        <v>494</v>
      </c>
      <c r="D397">
        <v>-204</v>
      </c>
    </row>
    <row r="398" spans="1:4" x14ac:dyDescent="0.35">
      <c r="A398" t="s">
        <v>594</v>
      </c>
      <c r="B398" s="28">
        <v>44366</v>
      </c>
      <c r="C398" t="s">
        <v>443</v>
      </c>
      <c r="D398">
        <v>-4000</v>
      </c>
    </row>
    <row r="399" spans="1:4" x14ac:dyDescent="0.35">
      <c r="A399" t="s">
        <v>594</v>
      </c>
      <c r="B399" s="28">
        <v>44366</v>
      </c>
      <c r="C399" t="s">
        <v>443</v>
      </c>
      <c r="D399">
        <v>-1542</v>
      </c>
    </row>
    <row r="400" spans="1:4" x14ac:dyDescent="0.35">
      <c r="A400" t="s">
        <v>594</v>
      </c>
      <c r="B400" s="28">
        <v>44366</v>
      </c>
      <c r="C400" t="s">
        <v>449</v>
      </c>
      <c r="D400">
        <v>-2021</v>
      </c>
    </row>
    <row r="401" spans="1:4" x14ac:dyDescent="0.35">
      <c r="A401" t="s">
        <v>594</v>
      </c>
      <c r="B401" s="28">
        <v>44366</v>
      </c>
      <c r="C401" t="s">
        <v>493</v>
      </c>
      <c r="D401">
        <v>-210</v>
      </c>
    </row>
    <row r="402" spans="1:4" x14ac:dyDescent="0.35">
      <c r="A402" t="s">
        <v>594</v>
      </c>
      <c r="B402" s="28">
        <v>44366</v>
      </c>
      <c r="C402" t="s">
        <v>502</v>
      </c>
      <c r="D402">
        <v>-1486</v>
      </c>
    </row>
    <row r="403" spans="1:4" x14ac:dyDescent="0.35">
      <c r="A403" t="s">
        <v>594</v>
      </c>
      <c r="B403" s="28">
        <v>44366</v>
      </c>
      <c r="C403" t="s">
        <v>501</v>
      </c>
      <c r="D403">
        <v>-5090</v>
      </c>
    </row>
    <row r="404" spans="1:4" x14ac:dyDescent="0.35">
      <c r="A404" t="s">
        <v>594</v>
      </c>
      <c r="B404" s="28">
        <v>44366</v>
      </c>
      <c r="C404" t="s">
        <v>507</v>
      </c>
      <c r="D404">
        <v>-4936</v>
      </c>
    </row>
    <row r="405" spans="1:4" x14ac:dyDescent="0.35">
      <c r="A405" t="s">
        <v>594</v>
      </c>
      <c r="B405" s="28">
        <v>44366</v>
      </c>
      <c r="C405" t="s">
        <v>554</v>
      </c>
      <c r="D405">
        <v>-2986</v>
      </c>
    </row>
    <row r="406" spans="1:4" x14ac:dyDescent="0.35">
      <c r="A406" t="s">
        <v>594</v>
      </c>
      <c r="B406" s="28">
        <v>44366</v>
      </c>
      <c r="C406" t="s">
        <v>472</v>
      </c>
      <c r="D406">
        <v>-2046</v>
      </c>
    </row>
    <row r="407" spans="1:4" x14ac:dyDescent="0.35">
      <c r="A407" t="s">
        <v>595</v>
      </c>
      <c r="B407" s="28">
        <v>44367</v>
      </c>
      <c r="C407" t="s">
        <v>443</v>
      </c>
      <c r="D407">
        <v>-1698</v>
      </c>
    </row>
    <row r="408" spans="1:4" x14ac:dyDescent="0.35">
      <c r="A408" t="s">
        <v>595</v>
      </c>
      <c r="B408" s="28">
        <v>44367</v>
      </c>
      <c r="C408" t="s">
        <v>449</v>
      </c>
      <c r="D408">
        <v>-4053</v>
      </c>
    </row>
    <row r="409" spans="1:4" x14ac:dyDescent="0.35">
      <c r="A409" t="s">
        <v>595</v>
      </c>
      <c r="B409" s="28">
        <v>44367</v>
      </c>
      <c r="C409" t="s">
        <v>505</v>
      </c>
      <c r="D409">
        <v>-4900</v>
      </c>
    </row>
    <row r="410" spans="1:4" x14ac:dyDescent="0.35">
      <c r="A410" t="s">
        <v>595</v>
      </c>
      <c r="B410" s="28">
        <v>44367</v>
      </c>
      <c r="C410" t="s">
        <v>504</v>
      </c>
      <c r="D410">
        <v>-4443</v>
      </c>
    </row>
    <row r="411" spans="1:4" x14ac:dyDescent="0.35">
      <c r="A411" t="s">
        <v>595</v>
      </c>
      <c r="B411" s="28">
        <v>44367</v>
      </c>
      <c r="C411" t="s">
        <v>499</v>
      </c>
      <c r="D411">
        <v>-5730</v>
      </c>
    </row>
    <row r="412" spans="1:4" x14ac:dyDescent="0.35">
      <c r="A412" t="s">
        <v>595</v>
      </c>
      <c r="B412" s="28">
        <v>44367</v>
      </c>
      <c r="C412" t="s">
        <v>526</v>
      </c>
      <c r="D412">
        <v>-15495</v>
      </c>
    </row>
    <row r="413" spans="1:4" x14ac:dyDescent="0.35">
      <c r="A413" t="s">
        <v>596</v>
      </c>
      <c r="B413" s="28">
        <v>44368</v>
      </c>
      <c r="C413" t="s">
        <v>537</v>
      </c>
      <c r="D413">
        <v>-2098</v>
      </c>
    </row>
    <row r="414" spans="1:4" x14ac:dyDescent="0.35">
      <c r="A414" t="s">
        <v>596</v>
      </c>
      <c r="B414" s="28">
        <v>44368</v>
      </c>
      <c r="C414" t="s">
        <v>489</v>
      </c>
      <c r="D414">
        <v>-896</v>
      </c>
    </row>
    <row r="415" spans="1:4" x14ac:dyDescent="0.35">
      <c r="A415" t="s">
        <v>596</v>
      </c>
      <c r="B415" s="28">
        <v>44368</v>
      </c>
      <c r="C415" t="s">
        <v>505</v>
      </c>
      <c r="D415">
        <v>-4692</v>
      </c>
    </row>
    <row r="416" spans="1:4" x14ac:dyDescent="0.35">
      <c r="A416" t="s">
        <v>596</v>
      </c>
      <c r="B416" s="28">
        <v>44368</v>
      </c>
      <c r="C416" t="s">
        <v>492</v>
      </c>
      <c r="D416">
        <v>-18</v>
      </c>
    </row>
    <row r="417" spans="1:4" x14ac:dyDescent="0.35">
      <c r="A417" t="s">
        <v>596</v>
      </c>
      <c r="B417" s="28">
        <v>44368</v>
      </c>
      <c r="C417" t="s">
        <v>501</v>
      </c>
      <c r="D417">
        <v>-4960</v>
      </c>
    </row>
    <row r="418" spans="1:4" x14ac:dyDescent="0.35">
      <c r="A418" t="s">
        <v>596</v>
      </c>
      <c r="B418" s="28">
        <v>44368</v>
      </c>
      <c r="C418" t="s">
        <v>526</v>
      </c>
      <c r="D418">
        <v>-7092</v>
      </c>
    </row>
    <row r="419" spans="1:4" x14ac:dyDescent="0.35">
      <c r="A419" t="s">
        <v>596</v>
      </c>
      <c r="B419" s="28">
        <v>44368</v>
      </c>
      <c r="C419" t="s">
        <v>597</v>
      </c>
      <c r="D419">
        <v>-2</v>
      </c>
    </row>
    <row r="420" spans="1:4" x14ac:dyDescent="0.35">
      <c r="A420" t="s">
        <v>598</v>
      </c>
      <c r="B420" s="28">
        <v>44369</v>
      </c>
      <c r="C420" t="s">
        <v>443</v>
      </c>
      <c r="D420">
        <v>-1492</v>
      </c>
    </row>
    <row r="421" spans="1:4" x14ac:dyDescent="0.35">
      <c r="A421" t="s">
        <v>598</v>
      </c>
      <c r="B421" s="28">
        <v>44369</v>
      </c>
      <c r="C421" t="s">
        <v>530</v>
      </c>
      <c r="D421">
        <v>-4603</v>
      </c>
    </row>
    <row r="422" spans="1:4" x14ac:dyDescent="0.35">
      <c r="A422" t="s">
        <v>598</v>
      </c>
      <c r="B422" s="28">
        <v>44369</v>
      </c>
      <c r="C422" t="s">
        <v>441</v>
      </c>
      <c r="D422">
        <v>-3592</v>
      </c>
    </row>
    <row r="423" spans="1:4" x14ac:dyDescent="0.35">
      <c r="A423" t="s">
        <v>598</v>
      </c>
      <c r="B423" s="28">
        <v>44369</v>
      </c>
      <c r="C423" t="s">
        <v>499</v>
      </c>
      <c r="D423">
        <v>-1990</v>
      </c>
    </row>
    <row r="424" spans="1:4" x14ac:dyDescent="0.35">
      <c r="A424" t="s">
        <v>599</v>
      </c>
      <c r="B424" s="28">
        <v>44370</v>
      </c>
      <c r="C424" t="s">
        <v>443</v>
      </c>
      <c r="D424">
        <v>-2362</v>
      </c>
    </row>
    <row r="425" spans="1:4" x14ac:dyDescent="0.35">
      <c r="A425" t="s">
        <v>599</v>
      </c>
      <c r="B425" s="28">
        <v>44370</v>
      </c>
      <c r="C425" t="s">
        <v>444</v>
      </c>
      <c r="D425">
        <v>-2058</v>
      </c>
    </row>
    <row r="426" spans="1:4" x14ac:dyDescent="0.35">
      <c r="A426" t="s">
        <v>599</v>
      </c>
      <c r="B426" s="28">
        <v>44370</v>
      </c>
      <c r="C426" t="s">
        <v>492</v>
      </c>
      <c r="D426">
        <v>-1246</v>
      </c>
    </row>
    <row r="427" spans="1:4" x14ac:dyDescent="0.35">
      <c r="A427" t="s">
        <v>599</v>
      </c>
      <c r="B427" s="28">
        <v>44370</v>
      </c>
      <c r="C427" t="s">
        <v>502</v>
      </c>
      <c r="D427">
        <v>-788</v>
      </c>
    </row>
    <row r="428" spans="1:4" x14ac:dyDescent="0.35">
      <c r="A428" t="s">
        <v>599</v>
      </c>
      <c r="B428" s="28">
        <v>44370</v>
      </c>
      <c r="C428" t="s">
        <v>530</v>
      </c>
      <c r="D428">
        <v>-4304</v>
      </c>
    </row>
    <row r="429" spans="1:4" x14ac:dyDescent="0.35">
      <c r="A429" t="s">
        <v>599</v>
      </c>
      <c r="B429" s="28">
        <v>44370</v>
      </c>
      <c r="C429" t="s">
        <v>441</v>
      </c>
      <c r="D429">
        <v>-2062</v>
      </c>
    </row>
    <row r="430" spans="1:4" x14ac:dyDescent="0.35">
      <c r="A430" t="s">
        <v>599</v>
      </c>
      <c r="B430" s="28">
        <v>44370</v>
      </c>
      <c r="C430" t="s">
        <v>446</v>
      </c>
      <c r="D430">
        <v>-2453</v>
      </c>
    </row>
    <row r="431" spans="1:4" x14ac:dyDescent="0.35">
      <c r="A431" t="s">
        <v>599</v>
      </c>
      <c r="B431" s="28">
        <v>44370</v>
      </c>
      <c r="C431" t="s">
        <v>524</v>
      </c>
      <c r="D431">
        <v>-430</v>
      </c>
    </row>
    <row r="432" spans="1:4" x14ac:dyDescent="0.35">
      <c r="A432" t="s">
        <v>600</v>
      </c>
      <c r="B432" s="28">
        <v>44371</v>
      </c>
      <c r="C432" t="s">
        <v>530</v>
      </c>
      <c r="D432">
        <v>-4298</v>
      </c>
    </row>
    <row r="433" spans="1:4" x14ac:dyDescent="0.35">
      <c r="A433" t="s">
        <v>600</v>
      </c>
      <c r="B433" s="28">
        <v>44371</v>
      </c>
      <c r="C433" t="s">
        <v>441</v>
      </c>
      <c r="D433">
        <v>-2112</v>
      </c>
    </row>
    <row r="434" spans="1:4" x14ac:dyDescent="0.35">
      <c r="A434" t="s">
        <v>600</v>
      </c>
      <c r="B434" s="28">
        <v>44371</v>
      </c>
      <c r="C434" t="s">
        <v>526</v>
      </c>
      <c r="D434">
        <v>-14991</v>
      </c>
    </row>
    <row r="435" spans="1:4" x14ac:dyDescent="0.35">
      <c r="A435" t="s">
        <v>600</v>
      </c>
      <c r="B435" s="28">
        <v>44371</v>
      </c>
      <c r="C435" t="s">
        <v>456</v>
      </c>
      <c r="D435">
        <v>-5006</v>
      </c>
    </row>
    <row r="436" spans="1:4" x14ac:dyDescent="0.35">
      <c r="A436" t="s">
        <v>600</v>
      </c>
      <c r="B436" s="28">
        <v>44371</v>
      </c>
      <c r="C436" t="s">
        <v>507</v>
      </c>
      <c r="D436">
        <v>-7166</v>
      </c>
    </row>
    <row r="437" spans="1:4" x14ac:dyDescent="0.35">
      <c r="A437" t="s">
        <v>601</v>
      </c>
      <c r="B437" s="28">
        <v>44373</v>
      </c>
      <c r="C437" t="s">
        <v>443</v>
      </c>
      <c r="D437">
        <v>-2058</v>
      </c>
    </row>
    <row r="438" spans="1:4" x14ac:dyDescent="0.35">
      <c r="A438" t="s">
        <v>601</v>
      </c>
      <c r="B438" s="28">
        <v>44373</v>
      </c>
      <c r="C438" t="s">
        <v>511</v>
      </c>
      <c r="D438">
        <v>-1478</v>
      </c>
    </row>
    <row r="439" spans="1:4" x14ac:dyDescent="0.35">
      <c r="A439" t="s">
        <v>601</v>
      </c>
      <c r="B439" s="28">
        <v>44373</v>
      </c>
      <c r="C439" t="s">
        <v>550</v>
      </c>
      <c r="D439">
        <v>-2048</v>
      </c>
    </row>
    <row r="440" spans="1:4" x14ac:dyDescent="0.35">
      <c r="A440" t="s">
        <v>602</v>
      </c>
      <c r="B440" s="28">
        <v>44374</v>
      </c>
      <c r="C440" t="s">
        <v>443</v>
      </c>
      <c r="D440">
        <v>-2038</v>
      </c>
    </row>
    <row r="441" spans="1:4" x14ac:dyDescent="0.35">
      <c r="A441" t="s">
        <v>602</v>
      </c>
      <c r="B441" s="28">
        <v>44374</v>
      </c>
      <c r="C441" t="s">
        <v>505</v>
      </c>
      <c r="D441">
        <v>-9812</v>
      </c>
    </row>
    <row r="442" spans="1:4" x14ac:dyDescent="0.35">
      <c r="A442" t="s">
        <v>602</v>
      </c>
      <c r="B442" s="28">
        <v>44374</v>
      </c>
      <c r="C442" t="s">
        <v>530</v>
      </c>
      <c r="D442">
        <v>-4748</v>
      </c>
    </row>
    <row r="443" spans="1:4" x14ac:dyDescent="0.35">
      <c r="A443" t="s">
        <v>602</v>
      </c>
      <c r="B443" s="28">
        <v>44374</v>
      </c>
      <c r="C443" t="s">
        <v>499</v>
      </c>
      <c r="D443">
        <v>-3801</v>
      </c>
    </row>
    <row r="444" spans="1:4" x14ac:dyDescent="0.35">
      <c r="A444" t="s">
        <v>602</v>
      </c>
      <c r="B444" s="28">
        <v>44374</v>
      </c>
      <c r="C444" t="s">
        <v>472</v>
      </c>
      <c r="D444">
        <v>-2174</v>
      </c>
    </row>
    <row r="445" spans="1:4" x14ac:dyDescent="0.35">
      <c r="A445" t="s">
        <v>603</v>
      </c>
      <c r="B445" s="28">
        <v>44375</v>
      </c>
      <c r="C445" t="s">
        <v>443</v>
      </c>
      <c r="D445">
        <v>-5096</v>
      </c>
    </row>
    <row r="446" spans="1:4" x14ac:dyDescent="0.35">
      <c r="A446" t="s">
        <v>603</v>
      </c>
      <c r="B446" s="28">
        <v>44375</v>
      </c>
      <c r="C446" t="s">
        <v>449</v>
      </c>
      <c r="D446">
        <v>-28</v>
      </c>
    </row>
    <row r="447" spans="1:4" x14ac:dyDescent="0.35">
      <c r="A447" t="s">
        <v>603</v>
      </c>
      <c r="B447" s="28">
        <v>44375</v>
      </c>
      <c r="C447" t="s">
        <v>495</v>
      </c>
      <c r="D447">
        <v>-1550</v>
      </c>
    </row>
    <row r="448" spans="1:4" x14ac:dyDescent="0.35">
      <c r="A448" t="s">
        <v>603</v>
      </c>
      <c r="B448" s="28">
        <v>44375</v>
      </c>
      <c r="C448" t="s">
        <v>581</v>
      </c>
      <c r="D448">
        <v>-556</v>
      </c>
    </row>
    <row r="449" spans="1:4" x14ac:dyDescent="0.35">
      <c r="A449" t="s">
        <v>603</v>
      </c>
      <c r="B449" s="28">
        <v>44375</v>
      </c>
      <c r="C449" t="s">
        <v>526</v>
      </c>
      <c r="D449">
        <v>-16225</v>
      </c>
    </row>
    <row r="450" spans="1:4" x14ac:dyDescent="0.35">
      <c r="A450" t="s">
        <v>603</v>
      </c>
      <c r="B450" s="28">
        <v>44375</v>
      </c>
      <c r="C450" t="s">
        <v>485</v>
      </c>
      <c r="D450">
        <v>-1892</v>
      </c>
    </row>
    <row r="451" spans="1:4" x14ac:dyDescent="0.35">
      <c r="A451" t="s">
        <v>604</v>
      </c>
      <c r="B451" s="28">
        <v>44376</v>
      </c>
      <c r="C451" t="s">
        <v>443</v>
      </c>
      <c r="D451">
        <v>-3972</v>
      </c>
    </row>
    <row r="452" spans="1:4" x14ac:dyDescent="0.35">
      <c r="A452" t="s">
        <v>604</v>
      </c>
      <c r="B452" s="28">
        <v>44376</v>
      </c>
      <c r="C452" t="s">
        <v>451</v>
      </c>
      <c r="D452">
        <v>-1999</v>
      </c>
    </row>
    <row r="453" spans="1:4" x14ac:dyDescent="0.35">
      <c r="A453" t="s">
        <v>604</v>
      </c>
      <c r="B453" s="28">
        <v>44376</v>
      </c>
      <c r="C453" t="s">
        <v>492</v>
      </c>
      <c r="D453">
        <v>-114</v>
      </c>
    </row>
    <row r="454" spans="1:4" x14ac:dyDescent="0.35">
      <c r="A454" t="s">
        <v>604</v>
      </c>
      <c r="B454" s="28">
        <v>44376</v>
      </c>
      <c r="C454" t="s">
        <v>441</v>
      </c>
      <c r="D454">
        <v>-41</v>
      </c>
    </row>
    <row r="455" spans="1:4" x14ac:dyDescent="0.35">
      <c r="A455" t="s">
        <v>604</v>
      </c>
      <c r="B455" s="28">
        <v>44376</v>
      </c>
      <c r="C455" t="s">
        <v>504</v>
      </c>
      <c r="D455">
        <v>-4966</v>
      </c>
    </row>
    <row r="456" spans="1:4" x14ac:dyDescent="0.35">
      <c r="A456" t="s">
        <v>604</v>
      </c>
      <c r="B456" s="28">
        <v>44376</v>
      </c>
      <c r="C456" t="s">
        <v>526</v>
      </c>
      <c r="D456">
        <v>-15354</v>
      </c>
    </row>
    <row r="457" spans="1:4" x14ac:dyDescent="0.35">
      <c r="A457" t="s">
        <v>604</v>
      </c>
      <c r="B457" s="28">
        <v>44376</v>
      </c>
      <c r="C457" t="s">
        <v>441</v>
      </c>
      <c r="D457">
        <v>-2153</v>
      </c>
    </row>
    <row r="458" spans="1:4" x14ac:dyDescent="0.35">
      <c r="A458" t="s">
        <v>605</v>
      </c>
      <c r="B458" s="28">
        <v>44377</v>
      </c>
      <c r="C458" t="s">
        <v>443</v>
      </c>
      <c r="D458">
        <v>-2096</v>
      </c>
    </row>
    <row r="459" spans="1:4" x14ac:dyDescent="0.35">
      <c r="A459" t="s">
        <v>605</v>
      </c>
      <c r="B459" s="28">
        <v>44377</v>
      </c>
      <c r="C459" t="s">
        <v>489</v>
      </c>
      <c r="D459">
        <v>-1350</v>
      </c>
    </row>
    <row r="460" spans="1:4" x14ac:dyDescent="0.35">
      <c r="A460" t="s">
        <v>605</v>
      </c>
      <c r="B460" s="28">
        <v>44377</v>
      </c>
      <c r="C460" t="s">
        <v>581</v>
      </c>
      <c r="D460">
        <v>-173</v>
      </c>
    </row>
    <row r="461" spans="1:4" x14ac:dyDescent="0.35">
      <c r="A461" t="s">
        <v>605</v>
      </c>
      <c r="B461" s="28">
        <v>44377</v>
      </c>
      <c r="C461" t="s">
        <v>606</v>
      </c>
      <c r="D461">
        <v>-217</v>
      </c>
    </row>
    <row r="462" spans="1:4" x14ac:dyDescent="0.35">
      <c r="A462" t="s">
        <v>605</v>
      </c>
      <c r="B462" s="28">
        <v>44377</v>
      </c>
      <c r="C462" t="s">
        <v>502</v>
      </c>
      <c r="D462">
        <v>-982</v>
      </c>
    </row>
    <row r="463" spans="1:4" x14ac:dyDescent="0.35">
      <c r="A463" t="s">
        <v>605</v>
      </c>
      <c r="B463" s="28">
        <v>44377</v>
      </c>
      <c r="C463" t="s">
        <v>530</v>
      </c>
      <c r="D463">
        <v>-2146</v>
      </c>
    </row>
    <row r="464" spans="1:4" x14ac:dyDescent="0.35">
      <c r="A464" t="s">
        <v>605</v>
      </c>
      <c r="B464" s="28">
        <v>44377</v>
      </c>
      <c r="C464" t="s">
        <v>441</v>
      </c>
      <c r="D464">
        <v>-2453</v>
      </c>
    </row>
    <row r="465" spans="1:4" x14ac:dyDescent="0.35">
      <c r="A465" t="s">
        <v>605</v>
      </c>
      <c r="B465" s="28">
        <v>44377</v>
      </c>
      <c r="C465" t="s">
        <v>507</v>
      </c>
      <c r="D465">
        <v>-2621</v>
      </c>
    </row>
    <row r="466" spans="1:4" x14ac:dyDescent="0.35">
      <c r="A466" t="s">
        <v>605</v>
      </c>
      <c r="B466" s="28">
        <v>44377</v>
      </c>
      <c r="C466" t="s">
        <v>441</v>
      </c>
      <c r="D466">
        <v>-2104</v>
      </c>
    </row>
    <row r="467" spans="1:4" x14ac:dyDescent="0.35">
      <c r="A467" t="s">
        <v>605</v>
      </c>
      <c r="B467" s="28">
        <v>44377</v>
      </c>
      <c r="C467" t="s">
        <v>511</v>
      </c>
      <c r="D467">
        <v>-1010</v>
      </c>
    </row>
    <row r="468" spans="1:4" x14ac:dyDescent="0.35">
      <c r="A468" t="s">
        <v>607</v>
      </c>
      <c r="B468" s="28">
        <v>44378</v>
      </c>
      <c r="C468" t="s">
        <v>443</v>
      </c>
      <c r="D468">
        <v>-2029</v>
      </c>
    </row>
    <row r="469" spans="1:4" x14ac:dyDescent="0.35">
      <c r="A469" t="s">
        <v>608</v>
      </c>
      <c r="B469" s="28">
        <v>44380</v>
      </c>
      <c r="C469" t="s">
        <v>443</v>
      </c>
      <c r="D469">
        <v>-4037</v>
      </c>
    </row>
    <row r="470" spans="1:4" x14ac:dyDescent="0.35">
      <c r="A470" t="s">
        <v>608</v>
      </c>
      <c r="B470" s="28">
        <v>44380</v>
      </c>
      <c r="C470" t="s">
        <v>511</v>
      </c>
      <c r="D470">
        <v>-419</v>
      </c>
    </row>
    <row r="471" spans="1:4" x14ac:dyDescent="0.35">
      <c r="A471" t="s">
        <v>608</v>
      </c>
      <c r="B471" s="28">
        <v>44380</v>
      </c>
      <c r="C471" t="s">
        <v>449</v>
      </c>
      <c r="D471">
        <v>-466</v>
      </c>
    </row>
    <row r="472" spans="1:4" x14ac:dyDescent="0.35">
      <c r="A472" t="s">
        <v>608</v>
      </c>
      <c r="B472" s="28">
        <v>44380</v>
      </c>
      <c r="C472" t="s">
        <v>505</v>
      </c>
      <c r="D472">
        <v>-4967</v>
      </c>
    </row>
    <row r="473" spans="1:4" x14ac:dyDescent="0.35">
      <c r="A473" t="s">
        <v>608</v>
      </c>
      <c r="B473" s="28">
        <v>44380</v>
      </c>
      <c r="C473" t="s">
        <v>534</v>
      </c>
      <c r="D473">
        <v>-830</v>
      </c>
    </row>
    <row r="474" spans="1:4" x14ac:dyDescent="0.35">
      <c r="A474" t="s">
        <v>608</v>
      </c>
      <c r="B474" s="28">
        <v>44380</v>
      </c>
      <c r="C474" t="s">
        <v>530</v>
      </c>
      <c r="D474">
        <v>-4110</v>
      </c>
    </row>
    <row r="475" spans="1:4" x14ac:dyDescent="0.35">
      <c r="A475" t="s">
        <v>608</v>
      </c>
      <c r="B475" s="28">
        <v>44380</v>
      </c>
      <c r="C475" t="s">
        <v>441</v>
      </c>
      <c r="D475">
        <v>-1931</v>
      </c>
    </row>
    <row r="476" spans="1:4" x14ac:dyDescent="0.35">
      <c r="A476" t="s">
        <v>608</v>
      </c>
      <c r="B476" s="28">
        <v>44380</v>
      </c>
      <c r="C476" t="s">
        <v>590</v>
      </c>
      <c r="D476">
        <v>-1008</v>
      </c>
    </row>
    <row r="477" spans="1:4" x14ac:dyDescent="0.35">
      <c r="A477" t="s">
        <v>607</v>
      </c>
      <c r="B477" s="28">
        <v>44378</v>
      </c>
      <c r="C477" t="s">
        <v>450</v>
      </c>
      <c r="D477">
        <v>-20000</v>
      </c>
    </row>
    <row r="478" spans="1:4" x14ac:dyDescent="0.35">
      <c r="A478" t="s">
        <v>609</v>
      </c>
      <c r="B478" s="28">
        <v>44381</v>
      </c>
      <c r="C478" t="s">
        <v>443</v>
      </c>
      <c r="D478">
        <v>-2028</v>
      </c>
    </row>
    <row r="479" spans="1:4" x14ac:dyDescent="0.35">
      <c r="A479" t="s">
        <v>609</v>
      </c>
      <c r="B479" s="28">
        <v>44381</v>
      </c>
      <c r="C479" t="s">
        <v>492</v>
      </c>
      <c r="D479">
        <v>-226</v>
      </c>
    </row>
    <row r="480" spans="1:4" x14ac:dyDescent="0.35">
      <c r="A480" t="s">
        <v>609</v>
      </c>
      <c r="B480" s="28">
        <v>44381</v>
      </c>
      <c r="C480" t="s">
        <v>482</v>
      </c>
      <c r="D480">
        <v>-4927</v>
      </c>
    </row>
    <row r="481" spans="1:4" x14ac:dyDescent="0.35">
      <c r="A481" t="s">
        <v>609</v>
      </c>
      <c r="B481" s="28">
        <v>44381</v>
      </c>
      <c r="C481" t="s">
        <v>441</v>
      </c>
      <c r="D481">
        <v>-1996</v>
      </c>
    </row>
    <row r="482" spans="1:4" x14ac:dyDescent="0.35">
      <c r="A482" t="s">
        <v>609</v>
      </c>
      <c r="B482" s="28">
        <v>44381</v>
      </c>
      <c r="C482" t="s">
        <v>446</v>
      </c>
      <c r="D482">
        <v>-3091</v>
      </c>
    </row>
    <row r="483" spans="1:4" x14ac:dyDescent="0.35">
      <c r="A483" t="s">
        <v>609</v>
      </c>
      <c r="B483" s="28">
        <v>44381</v>
      </c>
      <c r="C483" t="s">
        <v>590</v>
      </c>
      <c r="D483">
        <v>-1500</v>
      </c>
    </row>
    <row r="484" spans="1:4" x14ac:dyDescent="0.35">
      <c r="A484" t="s">
        <v>610</v>
      </c>
      <c r="B484" s="28">
        <v>44382</v>
      </c>
      <c r="C484" t="s">
        <v>443</v>
      </c>
      <c r="D484">
        <v>-2028</v>
      </c>
    </row>
    <row r="485" spans="1:4" x14ac:dyDescent="0.35">
      <c r="A485" t="s">
        <v>610</v>
      </c>
      <c r="B485" s="28">
        <v>44382</v>
      </c>
      <c r="C485" t="s">
        <v>492</v>
      </c>
      <c r="D485">
        <v>-100</v>
      </c>
    </row>
    <row r="486" spans="1:4" x14ac:dyDescent="0.35">
      <c r="A486" t="s">
        <v>610</v>
      </c>
      <c r="B486" s="28">
        <v>44382</v>
      </c>
      <c r="C486" t="s">
        <v>530</v>
      </c>
      <c r="D486">
        <v>-4826</v>
      </c>
    </row>
    <row r="487" spans="1:4" x14ac:dyDescent="0.35">
      <c r="A487" t="s">
        <v>611</v>
      </c>
      <c r="B487" s="28">
        <v>44383</v>
      </c>
      <c r="C487" t="s">
        <v>443</v>
      </c>
      <c r="D487">
        <v>-1868</v>
      </c>
    </row>
    <row r="488" spans="1:4" x14ac:dyDescent="0.35">
      <c r="A488" t="s">
        <v>611</v>
      </c>
      <c r="B488" s="28">
        <v>44383</v>
      </c>
      <c r="C488" t="s">
        <v>505</v>
      </c>
      <c r="D488">
        <v>-4277</v>
      </c>
    </row>
    <row r="489" spans="1:4" x14ac:dyDescent="0.35">
      <c r="A489" t="s">
        <v>611</v>
      </c>
      <c r="B489" s="28">
        <v>44383</v>
      </c>
      <c r="C489" t="s">
        <v>441</v>
      </c>
      <c r="D489">
        <v>-2015</v>
      </c>
    </row>
    <row r="490" spans="1:4" x14ac:dyDescent="0.35">
      <c r="A490" t="s">
        <v>611</v>
      </c>
      <c r="B490" s="28">
        <v>44383</v>
      </c>
      <c r="C490" t="s">
        <v>497</v>
      </c>
      <c r="D490">
        <v>-1014</v>
      </c>
    </row>
    <row r="491" spans="1:4" x14ac:dyDescent="0.35">
      <c r="A491" t="s">
        <v>611</v>
      </c>
      <c r="B491" s="28">
        <v>44383</v>
      </c>
      <c r="C491" t="s">
        <v>590</v>
      </c>
      <c r="D491">
        <v>-1521</v>
      </c>
    </row>
    <row r="492" spans="1:4" x14ac:dyDescent="0.35">
      <c r="A492" t="s">
        <v>612</v>
      </c>
      <c r="B492" s="28">
        <v>44384</v>
      </c>
      <c r="C492" t="s">
        <v>537</v>
      </c>
      <c r="D492">
        <v>-2094</v>
      </c>
    </row>
    <row r="493" spans="1:4" x14ac:dyDescent="0.35">
      <c r="A493" t="s">
        <v>612</v>
      </c>
      <c r="B493" s="28">
        <v>44384</v>
      </c>
      <c r="C493" t="s">
        <v>530</v>
      </c>
      <c r="D493">
        <v>-4808</v>
      </c>
    </row>
    <row r="494" spans="1:4" x14ac:dyDescent="0.35">
      <c r="A494" t="s">
        <v>612</v>
      </c>
      <c r="B494" s="28">
        <v>44384</v>
      </c>
      <c r="C494" t="s">
        <v>507</v>
      </c>
      <c r="D494">
        <v>-2794</v>
      </c>
    </row>
    <row r="495" spans="1:4" x14ac:dyDescent="0.35">
      <c r="A495" t="s">
        <v>612</v>
      </c>
      <c r="B495" s="28">
        <v>44384</v>
      </c>
      <c r="C495" t="s">
        <v>550</v>
      </c>
      <c r="D495">
        <v>-122</v>
      </c>
    </row>
    <row r="496" spans="1:4" x14ac:dyDescent="0.35">
      <c r="A496" t="s">
        <v>613</v>
      </c>
      <c r="B496" s="28">
        <v>44385</v>
      </c>
      <c r="C496" t="s">
        <v>502</v>
      </c>
      <c r="D496">
        <v>-988</v>
      </c>
    </row>
    <row r="497" spans="1:4" x14ac:dyDescent="0.35">
      <c r="A497" t="s">
        <v>613</v>
      </c>
      <c r="B497" s="28">
        <v>44385</v>
      </c>
      <c r="C497" t="s">
        <v>506</v>
      </c>
      <c r="D497">
        <v>-5382</v>
      </c>
    </row>
    <row r="498" spans="1:4" x14ac:dyDescent="0.35">
      <c r="A498" t="s">
        <v>614</v>
      </c>
      <c r="B498" s="28">
        <v>44387</v>
      </c>
      <c r="C498" t="s">
        <v>443</v>
      </c>
      <c r="D498">
        <v>-1000</v>
      </c>
    </row>
    <row r="499" spans="1:4" x14ac:dyDescent="0.35">
      <c r="A499" t="s">
        <v>614</v>
      </c>
      <c r="B499" s="28">
        <v>44387</v>
      </c>
      <c r="C499" t="s">
        <v>444</v>
      </c>
      <c r="D499">
        <v>-1986</v>
      </c>
    </row>
    <row r="500" spans="1:4" x14ac:dyDescent="0.35">
      <c r="A500" t="s">
        <v>614</v>
      </c>
      <c r="B500" s="28">
        <v>44387</v>
      </c>
      <c r="C500" t="s">
        <v>553</v>
      </c>
      <c r="D500">
        <v>-2019</v>
      </c>
    </row>
    <row r="501" spans="1:4" x14ac:dyDescent="0.35">
      <c r="A501" t="s">
        <v>614</v>
      </c>
      <c r="B501" s="28">
        <v>44387</v>
      </c>
      <c r="C501" t="s">
        <v>590</v>
      </c>
      <c r="D501">
        <v>-980</v>
      </c>
    </row>
    <row r="502" spans="1:4" x14ac:dyDescent="0.35">
      <c r="A502" t="s">
        <v>614</v>
      </c>
      <c r="B502" s="28">
        <v>44387</v>
      </c>
      <c r="C502" t="s">
        <v>553</v>
      </c>
      <c r="D502">
        <v>-185</v>
      </c>
    </row>
    <row r="503" spans="1:4" x14ac:dyDescent="0.35">
      <c r="A503" t="s">
        <v>615</v>
      </c>
      <c r="B503" s="28">
        <v>44388</v>
      </c>
      <c r="C503" t="s">
        <v>511</v>
      </c>
      <c r="D503">
        <v>-422</v>
      </c>
    </row>
    <row r="504" spans="1:4" x14ac:dyDescent="0.35">
      <c r="A504" t="s">
        <v>615</v>
      </c>
      <c r="B504" s="28">
        <v>44388</v>
      </c>
      <c r="C504" t="s">
        <v>581</v>
      </c>
      <c r="D504">
        <v>-196</v>
      </c>
    </row>
    <row r="505" spans="1:4" x14ac:dyDescent="0.35">
      <c r="A505" t="s">
        <v>615</v>
      </c>
      <c r="B505" s="28">
        <v>44388</v>
      </c>
      <c r="C505" t="s">
        <v>530</v>
      </c>
      <c r="D505">
        <v>-3875</v>
      </c>
    </row>
    <row r="506" spans="1:4" x14ac:dyDescent="0.35">
      <c r="A506" t="s">
        <v>615</v>
      </c>
      <c r="B506" s="28">
        <v>44388</v>
      </c>
      <c r="C506" t="s">
        <v>482</v>
      </c>
      <c r="D506">
        <v>-4983</v>
      </c>
    </row>
    <row r="507" spans="1:4" x14ac:dyDescent="0.35">
      <c r="A507" t="s">
        <v>615</v>
      </c>
      <c r="B507" s="28">
        <v>44388</v>
      </c>
      <c r="C507" t="s">
        <v>485</v>
      </c>
      <c r="D507">
        <v>-30</v>
      </c>
    </row>
    <row r="508" spans="1:4" x14ac:dyDescent="0.35">
      <c r="A508" t="s">
        <v>615</v>
      </c>
      <c r="B508" s="28">
        <v>44388</v>
      </c>
      <c r="C508" t="s">
        <v>485</v>
      </c>
      <c r="D508">
        <v>-2096</v>
      </c>
    </row>
    <row r="509" spans="1:4" x14ac:dyDescent="0.35">
      <c r="A509" t="s">
        <v>616</v>
      </c>
      <c r="B509" s="28">
        <v>44389</v>
      </c>
      <c r="C509" t="s">
        <v>449</v>
      </c>
      <c r="D509">
        <v>-1961</v>
      </c>
    </row>
    <row r="510" spans="1:4" x14ac:dyDescent="0.35">
      <c r="A510" t="s">
        <v>616</v>
      </c>
      <c r="B510" s="28">
        <v>44389</v>
      </c>
      <c r="C510" t="s">
        <v>513</v>
      </c>
      <c r="D510">
        <v>-398</v>
      </c>
    </row>
    <row r="511" spans="1:4" x14ac:dyDescent="0.35">
      <c r="A511" t="s">
        <v>616</v>
      </c>
      <c r="B511" s="28">
        <v>44389</v>
      </c>
      <c r="C511" t="s">
        <v>457</v>
      </c>
      <c r="D511">
        <v>-528</v>
      </c>
    </row>
    <row r="512" spans="1:4" x14ac:dyDescent="0.35">
      <c r="A512" t="s">
        <v>616</v>
      </c>
      <c r="B512" s="28">
        <v>44389</v>
      </c>
      <c r="C512" t="s">
        <v>570</v>
      </c>
      <c r="D512">
        <v>-4031</v>
      </c>
    </row>
    <row r="513" spans="1:4" x14ac:dyDescent="0.35">
      <c r="A513" t="s">
        <v>617</v>
      </c>
      <c r="B513" s="28">
        <v>44390</v>
      </c>
      <c r="C513" t="s">
        <v>443</v>
      </c>
      <c r="D513">
        <v>-2722</v>
      </c>
    </row>
    <row r="514" spans="1:4" x14ac:dyDescent="0.35">
      <c r="A514" t="s">
        <v>617</v>
      </c>
      <c r="B514" s="28">
        <v>44390</v>
      </c>
      <c r="C514" t="s">
        <v>449</v>
      </c>
      <c r="D514">
        <v>-2094</v>
      </c>
    </row>
    <row r="515" spans="1:4" x14ac:dyDescent="0.35">
      <c r="A515" t="s">
        <v>617</v>
      </c>
      <c r="B515" s="28">
        <v>44390</v>
      </c>
      <c r="C515" t="s">
        <v>492</v>
      </c>
      <c r="D515">
        <v>-4</v>
      </c>
    </row>
    <row r="516" spans="1:4" x14ac:dyDescent="0.35">
      <c r="A516" t="s">
        <v>617</v>
      </c>
      <c r="B516" s="28">
        <v>44390</v>
      </c>
      <c r="C516" t="s">
        <v>550</v>
      </c>
      <c r="D516">
        <v>-1151</v>
      </c>
    </row>
    <row r="517" spans="1:4" x14ac:dyDescent="0.35">
      <c r="A517" t="s">
        <v>617</v>
      </c>
      <c r="B517" s="28">
        <v>44390</v>
      </c>
      <c r="C517" t="s">
        <v>530</v>
      </c>
      <c r="D517">
        <v>-2548</v>
      </c>
    </row>
    <row r="518" spans="1:4" x14ac:dyDescent="0.35">
      <c r="A518" t="s">
        <v>617</v>
      </c>
      <c r="B518" s="28">
        <v>44390</v>
      </c>
      <c r="C518" t="s">
        <v>441</v>
      </c>
      <c r="D518">
        <v>-435</v>
      </c>
    </row>
    <row r="519" spans="1:4" x14ac:dyDescent="0.35">
      <c r="A519" t="s">
        <v>618</v>
      </c>
      <c r="B519" s="28">
        <v>44391</v>
      </c>
      <c r="C519" t="s">
        <v>443</v>
      </c>
      <c r="D519">
        <v>-1552</v>
      </c>
    </row>
    <row r="520" spans="1:4" x14ac:dyDescent="0.35">
      <c r="A520" t="s">
        <v>618</v>
      </c>
      <c r="B520" s="28">
        <v>44391</v>
      </c>
      <c r="C520" t="s">
        <v>449</v>
      </c>
      <c r="D520">
        <v>-949</v>
      </c>
    </row>
    <row r="521" spans="1:4" x14ac:dyDescent="0.35">
      <c r="A521" t="s">
        <v>618</v>
      </c>
      <c r="B521" s="28">
        <v>44391</v>
      </c>
      <c r="C521" t="s">
        <v>489</v>
      </c>
      <c r="D521">
        <v>-21</v>
      </c>
    </row>
    <row r="522" spans="1:4" x14ac:dyDescent="0.35">
      <c r="A522" t="s">
        <v>618</v>
      </c>
      <c r="B522" s="28">
        <v>44391</v>
      </c>
      <c r="C522" t="s">
        <v>505</v>
      </c>
      <c r="D522">
        <v>-4604</v>
      </c>
    </row>
    <row r="523" spans="1:4" x14ac:dyDescent="0.35">
      <c r="A523" t="s">
        <v>618</v>
      </c>
      <c r="B523" s="28">
        <v>44391</v>
      </c>
      <c r="C523" t="s">
        <v>534</v>
      </c>
      <c r="D523">
        <v>-399</v>
      </c>
    </row>
    <row r="524" spans="1:4" x14ac:dyDescent="0.35">
      <c r="A524" t="s">
        <v>618</v>
      </c>
      <c r="B524" s="28">
        <v>44391</v>
      </c>
      <c r="C524" t="s">
        <v>552</v>
      </c>
      <c r="D524">
        <v>-811</v>
      </c>
    </row>
    <row r="525" spans="1:4" x14ac:dyDescent="0.35">
      <c r="A525" t="s">
        <v>618</v>
      </c>
      <c r="B525" s="28">
        <v>44391</v>
      </c>
      <c r="C525" t="s">
        <v>546</v>
      </c>
      <c r="D525">
        <v>-3132</v>
      </c>
    </row>
    <row r="526" spans="1:4" x14ac:dyDescent="0.35">
      <c r="A526" t="s">
        <v>619</v>
      </c>
      <c r="B526" s="28">
        <v>44392</v>
      </c>
      <c r="C526" t="s">
        <v>443</v>
      </c>
      <c r="D526">
        <v>-1890</v>
      </c>
    </row>
    <row r="527" spans="1:4" x14ac:dyDescent="0.35">
      <c r="A527" t="s">
        <v>619</v>
      </c>
      <c r="B527" s="28">
        <v>44392</v>
      </c>
      <c r="C527" t="s">
        <v>449</v>
      </c>
      <c r="D527">
        <v>-3363</v>
      </c>
    </row>
    <row r="528" spans="1:4" x14ac:dyDescent="0.35">
      <c r="A528" t="s">
        <v>619</v>
      </c>
      <c r="B528" s="28">
        <v>44392</v>
      </c>
      <c r="C528" t="s">
        <v>530</v>
      </c>
      <c r="D528">
        <v>-2032</v>
      </c>
    </row>
    <row r="529" spans="1:4" x14ac:dyDescent="0.35">
      <c r="A529" t="s">
        <v>619</v>
      </c>
      <c r="B529" s="28">
        <v>44392</v>
      </c>
      <c r="C529" t="s">
        <v>507</v>
      </c>
      <c r="D529">
        <v>-8336</v>
      </c>
    </row>
    <row r="530" spans="1:4" x14ac:dyDescent="0.35">
      <c r="A530" t="s">
        <v>619</v>
      </c>
      <c r="B530" s="28">
        <v>44392</v>
      </c>
      <c r="C530" t="s">
        <v>481</v>
      </c>
      <c r="D530">
        <v>-1826</v>
      </c>
    </row>
    <row r="531" spans="1:4" x14ac:dyDescent="0.35">
      <c r="A531" t="s">
        <v>619</v>
      </c>
      <c r="B531" s="28">
        <v>44392</v>
      </c>
      <c r="C531" t="s">
        <v>441</v>
      </c>
      <c r="D531">
        <v>-1051</v>
      </c>
    </row>
    <row r="532" spans="1:4" x14ac:dyDescent="0.35">
      <c r="A532" t="s">
        <v>620</v>
      </c>
      <c r="B532" s="28">
        <v>44394</v>
      </c>
      <c r="C532" t="s">
        <v>449</v>
      </c>
      <c r="D532">
        <v>-1925</v>
      </c>
    </row>
    <row r="533" spans="1:4" x14ac:dyDescent="0.35">
      <c r="A533" t="s">
        <v>620</v>
      </c>
      <c r="B533" s="28">
        <v>44394</v>
      </c>
      <c r="C533" t="s">
        <v>621</v>
      </c>
      <c r="D533">
        <v>-200</v>
      </c>
    </row>
    <row r="534" spans="1:4" x14ac:dyDescent="0.35">
      <c r="A534" t="s">
        <v>620</v>
      </c>
      <c r="B534" s="28">
        <v>44394</v>
      </c>
      <c r="C534" t="s">
        <v>546</v>
      </c>
      <c r="D534">
        <v>-1725</v>
      </c>
    </row>
    <row r="535" spans="1:4" x14ac:dyDescent="0.35">
      <c r="A535" t="s">
        <v>622</v>
      </c>
      <c r="B535" s="28">
        <v>44395</v>
      </c>
      <c r="C535" t="s">
        <v>443</v>
      </c>
      <c r="D535">
        <v>-2014</v>
      </c>
    </row>
    <row r="536" spans="1:4" x14ac:dyDescent="0.35">
      <c r="A536" t="s">
        <v>622</v>
      </c>
      <c r="B536" s="28">
        <v>44395</v>
      </c>
      <c r="C536" t="s">
        <v>449</v>
      </c>
      <c r="D536">
        <v>-1863</v>
      </c>
    </row>
    <row r="537" spans="1:4" x14ac:dyDescent="0.35">
      <c r="A537" t="s">
        <v>622</v>
      </c>
      <c r="B537" s="28">
        <v>44395</v>
      </c>
      <c r="C537" t="s">
        <v>623</v>
      </c>
      <c r="D537">
        <v>-236</v>
      </c>
    </row>
    <row r="538" spans="1:4" x14ac:dyDescent="0.35">
      <c r="A538" t="s">
        <v>622</v>
      </c>
      <c r="B538" s="28">
        <v>44395</v>
      </c>
      <c r="C538" t="s">
        <v>506</v>
      </c>
      <c r="D538">
        <v>-5084</v>
      </c>
    </row>
    <row r="539" spans="1:4" x14ac:dyDescent="0.35">
      <c r="A539" t="s">
        <v>624</v>
      </c>
      <c r="B539" s="28">
        <v>44396</v>
      </c>
      <c r="C539" t="s">
        <v>443</v>
      </c>
      <c r="D539">
        <v>-2514</v>
      </c>
    </row>
    <row r="540" spans="1:4" x14ac:dyDescent="0.35">
      <c r="A540" t="s">
        <v>624</v>
      </c>
      <c r="B540" s="28">
        <v>44396</v>
      </c>
      <c r="C540" t="s">
        <v>449</v>
      </c>
      <c r="D540">
        <v>-1885</v>
      </c>
    </row>
    <row r="541" spans="1:4" x14ac:dyDescent="0.35">
      <c r="A541" t="s">
        <v>624</v>
      </c>
      <c r="B541" s="28">
        <v>44396</v>
      </c>
      <c r="C541" t="s">
        <v>505</v>
      </c>
      <c r="D541">
        <v>-4797</v>
      </c>
    </row>
    <row r="542" spans="1:4" x14ac:dyDescent="0.35">
      <c r="A542" t="s">
        <v>624</v>
      </c>
      <c r="B542" s="28">
        <v>44396</v>
      </c>
      <c r="C542" t="s">
        <v>507</v>
      </c>
      <c r="D542">
        <v>-5546</v>
      </c>
    </row>
    <row r="543" spans="1:4" x14ac:dyDescent="0.35">
      <c r="A543" t="s">
        <v>624</v>
      </c>
      <c r="B543" s="28">
        <v>44396</v>
      </c>
      <c r="C543" t="s">
        <v>546</v>
      </c>
      <c r="D543">
        <v>-2137</v>
      </c>
    </row>
    <row r="544" spans="1:4" x14ac:dyDescent="0.35">
      <c r="A544" t="s">
        <v>624</v>
      </c>
      <c r="B544" s="28">
        <v>44396</v>
      </c>
      <c r="C544" t="s">
        <v>546</v>
      </c>
      <c r="D544">
        <v>-605</v>
      </c>
    </row>
    <row r="545" spans="1:4" x14ac:dyDescent="0.35">
      <c r="A545" t="s">
        <v>625</v>
      </c>
      <c r="B545" s="28">
        <v>44397</v>
      </c>
      <c r="C545" t="s">
        <v>443</v>
      </c>
      <c r="D545">
        <v>-4004</v>
      </c>
    </row>
    <row r="546" spans="1:4" x14ac:dyDescent="0.35">
      <c r="A546" t="s">
        <v>625</v>
      </c>
      <c r="B546" s="28">
        <v>44397</v>
      </c>
      <c r="C546" t="s">
        <v>511</v>
      </c>
      <c r="D546">
        <v>-1206</v>
      </c>
    </row>
    <row r="547" spans="1:4" x14ac:dyDescent="0.35">
      <c r="A547" t="s">
        <v>625</v>
      </c>
      <c r="B547" s="28">
        <v>44397</v>
      </c>
      <c r="C547" t="s">
        <v>534</v>
      </c>
      <c r="D547">
        <v>-212</v>
      </c>
    </row>
    <row r="548" spans="1:4" x14ac:dyDescent="0.35">
      <c r="A548" t="s">
        <v>625</v>
      </c>
      <c r="B548" s="28">
        <v>44397</v>
      </c>
      <c r="C548" t="s">
        <v>446</v>
      </c>
      <c r="D548">
        <v>-3040</v>
      </c>
    </row>
    <row r="549" spans="1:4" x14ac:dyDescent="0.35">
      <c r="A549" t="s">
        <v>625</v>
      </c>
      <c r="B549" s="28">
        <v>44397</v>
      </c>
      <c r="C549" t="s">
        <v>590</v>
      </c>
      <c r="D549">
        <v>-625</v>
      </c>
    </row>
    <row r="550" spans="1:4" x14ac:dyDescent="0.35">
      <c r="A550" t="s">
        <v>625</v>
      </c>
      <c r="B550" s="28">
        <v>44397</v>
      </c>
      <c r="C550" t="s">
        <v>507</v>
      </c>
      <c r="D550">
        <v>-8190</v>
      </c>
    </row>
    <row r="551" spans="1:4" x14ac:dyDescent="0.35">
      <c r="A551" t="s">
        <v>626</v>
      </c>
      <c r="B551" s="28">
        <v>44399</v>
      </c>
      <c r="C551" t="s">
        <v>443</v>
      </c>
      <c r="D551">
        <v>-2002</v>
      </c>
    </row>
    <row r="552" spans="1:4" x14ac:dyDescent="0.35">
      <c r="A552" t="s">
        <v>626</v>
      </c>
      <c r="B552" s="28">
        <v>44399</v>
      </c>
      <c r="C552" t="s">
        <v>449</v>
      </c>
      <c r="D552">
        <v>-1103</v>
      </c>
    </row>
    <row r="553" spans="1:4" x14ac:dyDescent="0.35">
      <c r="A553" t="s">
        <v>626</v>
      </c>
      <c r="B553" s="28">
        <v>44399</v>
      </c>
      <c r="C553" t="s">
        <v>482</v>
      </c>
      <c r="D553">
        <v>-3175</v>
      </c>
    </row>
    <row r="554" spans="1:4" x14ac:dyDescent="0.35">
      <c r="A554" t="s">
        <v>626</v>
      </c>
      <c r="B554" s="28">
        <v>44399</v>
      </c>
      <c r="C554" t="s">
        <v>507</v>
      </c>
      <c r="D554">
        <v>-4317</v>
      </c>
    </row>
    <row r="555" spans="1:4" x14ac:dyDescent="0.35">
      <c r="A555" t="s">
        <v>626</v>
      </c>
      <c r="B555" s="28">
        <v>44399</v>
      </c>
      <c r="C555" t="s">
        <v>481</v>
      </c>
      <c r="D555">
        <v>-1053</v>
      </c>
    </row>
    <row r="556" spans="1:4" x14ac:dyDescent="0.35">
      <c r="A556" t="s">
        <v>626</v>
      </c>
      <c r="B556" s="28">
        <v>44399</v>
      </c>
      <c r="C556" t="s">
        <v>546</v>
      </c>
      <c r="D556">
        <v>-2806</v>
      </c>
    </row>
    <row r="557" spans="1:4" x14ac:dyDescent="0.35">
      <c r="A557" t="s">
        <v>627</v>
      </c>
      <c r="B557" s="28">
        <v>44401</v>
      </c>
      <c r="C557" t="s">
        <v>443</v>
      </c>
      <c r="D557">
        <v>-2810</v>
      </c>
    </row>
    <row r="558" spans="1:4" x14ac:dyDescent="0.35">
      <c r="A558" t="s">
        <v>627</v>
      </c>
      <c r="B558" s="28">
        <v>44401</v>
      </c>
      <c r="C558" t="s">
        <v>449</v>
      </c>
      <c r="D558">
        <v>-1925</v>
      </c>
    </row>
    <row r="559" spans="1:4" x14ac:dyDescent="0.35">
      <c r="A559" t="s">
        <v>627</v>
      </c>
      <c r="B559" s="28">
        <v>44401</v>
      </c>
      <c r="C559" t="s">
        <v>505</v>
      </c>
      <c r="D559">
        <v>-5348</v>
      </c>
    </row>
    <row r="560" spans="1:4" x14ac:dyDescent="0.35">
      <c r="A560" t="s">
        <v>627</v>
      </c>
      <c r="B560" s="28">
        <v>44401</v>
      </c>
      <c r="C560" t="s">
        <v>534</v>
      </c>
      <c r="D560">
        <v>-1649</v>
      </c>
    </row>
    <row r="561" spans="1:4" x14ac:dyDescent="0.35">
      <c r="A561" t="s">
        <v>627</v>
      </c>
      <c r="B561" s="28">
        <v>44401</v>
      </c>
      <c r="C561" t="s">
        <v>577</v>
      </c>
      <c r="D561">
        <v>-280</v>
      </c>
    </row>
    <row r="562" spans="1:4" x14ac:dyDescent="0.35">
      <c r="A562" t="s">
        <v>627</v>
      </c>
      <c r="B562" s="28">
        <v>44401</v>
      </c>
      <c r="C562" t="s">
        <v>530</v>
      </c>
      <c r="D562">
        <v>-4896</v>
      </c>
    </row>
    <row r="563" spans="1:4" x14ac:dyDescent="0.35">
      <c r="A563" t="s">
        <v>627</v>
      </c>
      <c r="B563" s="28">
        <v>44401</v>
      </c>
      <c r="C563" t="s">
        <v>441</v>
      </c>
      <c r="D563">
        <v>-3829</v>
      </c>
    </row>
    <row r="564" spans="1:4" x14ac:dyDescent="0.35">
      <c r="A564" t="s">
        <v>627</v>
      </c>
      <c r="B564" s="28">
        <v>44401</v>
      </c>
      <c r="C564" t="s">
        <v>524</v>
      </c>
      <c r="D564">
        <v>-656</v>
      </c>
    </row>
    <row r="565" spans="1:4" x14ac:dyDescent="0.35">
      <c r="A565" t="s">
        <v>627</v>
      </c>
      <c r="B565" s="28">
        <v>44401</v>
      </c>
      <c r="C565" t="s">
        <v>546</v>
      </c>
      <c r="D565">
        <v>-2766</v>
      </c>
    </row>
    <row r="566" spans="1:4" x14ac:dyDescent="0.35">
      <c r="A566" t="s">
        <v>628</v>
      </c>
      <c r="B566" s="28">
        <v>44402</v>
      </c>
      <c r="C566" t="s">
        <v>509</v>
      </c>
      <c r="D566">
        <v>-250</v>
      </c>
    </row>
    <row r="567" spans="1:4" x14ac:dyDescent="0.35">
      <c r="A567" t="s">
        <v>628</v>
      </c>
      <c r="B567" s="28">
        <v>44402</v>
      </c>
      <c r="C567" t="s">
        <v>534</v>
      </c>
      <c r="D567">
        <v>-2539</v>
      </c>
    </row>
    <row r="568" spans="1:4" x14ac:dyDescent="0.35">
      <c r="A568" t="s">
        <v>628</v>
      </c>
      <c r="B568" s="28">
        <v>44402</v>
      </c>
      <c r="C568" t="s">
        <v>550</v>
      </c>
      <c r="D568">
        <v>-2144</v>
      </c>
    </row>
    <row r="569" spans="1:4" x14ac:dyDescent="0.35">
      <c r="A569" t="s">
        <v>628</v>
      </c>
      <c r="B569" s="28">
        <v>44402</v>
      </c>
      <c r="C569" t="s">
        <v>441</v>
      </c>
      <c r="D569">
        <v>-2122</v>
      </c>
    </row>
    <row r="570" spans="1:4" x14ac:dyDescent="0.35">
      <c r="A570" t="s">
        <v>628</v>
      </c>
      <c r="B570" s="28">
        <v>44402</v>
      </c>
      <c r="C570" t="s">
        <v>499</v>
      </c>
      <c r="D570">
        <v>-3598</v>
      </c>
    </row>
    <row r="571" spans="1:4" x14ac:dyDescent="0.35">
      <c r="A571" t="s">
        <v>628</v>
      </c>
      <c r="B571" s="28">
        <v>44402</v>
      </c>
      <c r="C571" t="s">
        <v>524</v>
      </c>
      <c r="D571">
        <v>-83</v>
      </c>
    </row>
    <row r="572" spans="1:4" x14ac:dyDescent="0.35">
      <c r="A572" t="s">
        <v>629</v>
      </c>
      <c r="B572" s="28">
        <v>44403</v>
      </c>
      <c r="C572" t="s">
        <v>443</v>
      </c>
      <c r="D572">
        <v>-2066</v>
      </c>
    </row>
    <row r="573" spans="1:4" x14ac:dyDescent="0.35">
      <c r="A573" t="s">
        <v>629</v>
      </c>
      <c r="B573" s="28">
        <v>44403</v>
      </c>
      <c r="C573" t="s">
        <v>449</v>
      </c>
      <c r="D573">
        <v>-1840</v>
      </c>
    </row>
    <row r="574" spans="1:4" x14ac:dyDescent="0.35">
      <c r="A574" t="s">
        <v>629</v>
      </c>
      <c r="B574" s="28">
        <v>44403</v>
      </c>
      <c r="C574" t="s">
        <v>513</v>
      </c>
      <c r="D574">
        <v>-1056</v>
      </c>
    </row>
    <row r="575" spans="1:4" x14ac:dyDescent="0.35">
      <c r="A575" t="s">
        <v>629</v>
      </c>
      <c r="B575" s="28">
        <v>44403</v>
      </c>
      <c r="C575" t="s">
        <v>441</v>
      </c>
      <c r="D575">
        <v>-2502</v>
      </c>
    </row>
    <row r="576" spans="1:4" x14ac:dyDescent="0.35">
      <c r="A576" t="s">
        <v>629</v>
      </c>
      <c r="B576" s="28">
        <v>44403</v>
      </c>
      <c r="C576" t="s">
        <v>507</v>
      </c>
      <c r="D576">
        <v>-8722</v>
      </c>
    </row>
    <row r="577" spans="1:4" x14ac:dyDescent="0.35">
      <c r="A577" t="s">
        <v>630</v>
      </c>
      <c r="B577" s="28">
        <v>44404</v>
      </c>
      <c r="C577" t="s">
        <v>505</v>
      </c>
      <c r="D577">
        <v>-4938</v>
      </c>
    </row>
    <row r="578" spans="1:4" x14ac:dyDescent="0.35">
      <c r="A578" t="s">
        <v>630</v>
      </c>
      <c r="B578" s="28">
        <v>44404</v>
      </c>
      <c r="C578" t="s">
        <v>441</v>
      </c>
      <c r="D578">
        <v>-3926</v>
      </c>
    </row>
    <row r="579" spans="1:4" x14ac:dyDescent="0.35">
      <c r="A579" t="s">
        <v>630</v>
      </c>
      <c r="B579" s="28">
        <v>44404</v>
      </c>
      <c r="C579" t="s">
        <v>631</v>
      </c>
      <c r="D579">
        <v>-866</v>
      </c>
    </row>
    <row r="580" spans="1:4" x14ac:dyDescent="0.35">
      <c r="A580" t="s">
        <v>630</v>
      </c>
      <c r="B580" s="28">
        <v>44404</v>
      </c>
      <c r="C580" t="s">
        <v>506</v>
      </c>
      <c r="D580">
        <v>-4996</v>
      </c>
    </row>
    <row r="581" spans="1:4" x14ac:dyDescent="0.35">
      <c r="A581" t="s">
        <v>630</v>
      </c>
      <c r="B581" s="28">
        <v>44404</v>
      </c>
      <c r="C581" t="s">
        <v>483</v>
      </c>
      <c r="D581">
        <v>-3009</v>
      </c>
    </row>
    <row r="582" spans="1:4" x14ac:dyDescent="0.35">
      <c r="A582" t="s">
        <v>630</v>
      </c>
      <c r="B582" s="28">
        <v>44404</v>
      </c>
      <c r="C582" t="s">
        <v>494</v>
      </c>
      <c r="D582">
        <v>-59</v>
      </c>
    </row>
    <row r="583" spans="1:4" x14ac:dyDescent="0.35">
      <c r="A583" t="s">
        <v>630</v>
      </c>
      <c r="B583" s="28">
        <v>44404</v>
      </c>
      <c r="C583" t="s">
        <v>483</v>
      </c>
      <c r="D583">
        <v>-2013</v>
      </c>
    </row>
    <row r="584" spans="1:4" x14ac:dyDescent="0.35">
      <c r="A584" t="s">
        <v>632</v>
      </c>
      <c r="B584" s="28">
        <v>44405</v>
      </c>
      <c r="C584" t="s">
        <v>443</v>
      </c>
      <c r="D584">
        <v>-4026</v>
      </c>
    </row>
    <row r="585" spans="1:4" x14ac:dyDescent="0.35">
      <c r="A585" t="s">
        <v>632</v>
      </c>
      <c r="B585" s="28">
        <v>44405</v>
      </c>
      <c r="C585" t="s">
        <v>449</v>
      </c>
      <c r="D585">
        <v>-1064</v>
      </c>
    </row>
    <row r="586" spans="1:4" x14ac:dyDescent="0.35">
      <c r="A586" t="s">
        <v>632</v>
      </c>
      <c r="B586" s="28">
        <v>44405</v>
      </c>
      <c r="C586" t="s">
        <v>505</v>
      </c>
      <c r="D586">
        <v>-4223</v>
      </c>
    </row>
    <row r="587" spans="1:4" x14ac:dyDescent="0.35">
      <c r="A587" t="s">
        <v>632</v>
      </c>
      <c r="B587" s="28">
        <v>44405</v>
      </c>
      <c r="C587" t="s">
        <v>451</v>
      </c>
      <c r="D587">
        <v>-1982</v>
      </c>
    </row>
    <row r="588" spans="1:4" x14ac:dyDescent="0.35">
      <c r="A588" t="s">
        <v>632</v>
      </c>
      <c r="B588" s="28">
        <v>44405</v>
      </c>
      <c r="C588" t="s">
        <v>530</v>
      </c>
      <c r="D588">
        <v>-5268</v>
      </c>
    </row>
    <row r="589" spans="1:4" x14ac:dyDescent="0.35">
      <c r="A589" t="s">
        <v>632</v>
      </c>
      <c r="B589" s="28">
        <v>44405</v>
      </c>
      <c r="C589" t="s">
        <v>441</v>
      </c>
      <c r="D589">
        <v>-1030</v>
      </c>
    </row>
    <row r="590" spans="1:4" x14ac:dyDescent="0.35">
      <c r="A590" t="s">
        <v>632</v>
      </c>
      <c r="B590" s="28">
        <v>44405</v>
      </c>
      <c r="C590" t="s">
        <v>590</v>
      </c>
      <c r="D590">
        <v>-942</v>
      </c>
    </row>
    <row r="591" spans="1:4" x14ac:dyDescent="0.35">
      <c r="A591" t="s">
        <v>633</v>
      </c>
      <c r="B591" s="28">
        <v>44408</v>
      </c>
      <c r="C591" t="s">
        <v>509</v>
      </c>
      <c r="D591">
        <v>-496</v>
      </c>
    </row>
    <row r="592" spans="1:4" x14ac:dyDescent="0.35">
      <c r="A592" t="s">
        <v>633</v>
      </c>
      <c r="B592" s="28">
        <v>44408</v>
      </c>
      <c r="C592" t="s">
        <v>507</v>
      </c>
      <c r="D592">
        <v>-3143</v>
      </c>
    </row>
    <row r="593" spans="1:4" x14ac:dyDescent="0.35">
      <c r="A593" t="s">
        <v>633</v>
      </c>
      <c r="B593" s="28">
        <v>44408</v>
      </c>
      <c r="C593" t="s">
        <v>553</v>
      </c>
      <c r="D593">
        <v>-1001</v>
      </c>
    </row>
    <row r="594" spans="1:4" x14ac:dyDescent="0.35">
      <c r="A594" t="s">
        <v>633</v>
      </c>
      <c r="B594" s="28">
        <v>44408</v>
      </c>
      <c r="C594" t="s">
        <v>478</v>
      </c>
      <c r="D594">
        <v>-271</v>
      </c>
    </row>
    <row r="595" spans="1:4" x14ac:dyDescent="0.35">
      <c r="A595" t="s">
        <v>633</v>
      </c>
      <c r="B595" s="28">
        <v>44408</v>
      </c>
      <c r="C595" t="s">
        <v>621</v>
      </c>
      <c r="D595">
        <v>-2443</v>
      </c>
    </row>
    <row r="596" spans="1:4" x14ac:dyDescent="0.35">
      <c r="A596" t="s">
        <v>633</v>
      </c>
      <c r="B596" s="28">
        <v>44408</v>
      </c>
      <c r="C596" t="s">
        <v>507</v>
      </c>
      <c r="D596">
        <v>-5935</v>
      </c>
    </row>
    <row r="597" spans="1:4" x14ac:dyDescent="0.35">
      <c r="A597" t="s">
        <v>633</v>
      </c>
      <c r="B597" s="28">
        <v>44408</v>
      </c>
      <c r="C597" t="s">
        <v>553</v>
      </c>
      <c r="D597">
        <v>-4001</v>
      </c>
    </row>
    <row r="598" spans="1:4" x14ac:dyDescent="0.35">
      <c r="A598" t="s">
        <v>634</v>
      </c>
      <c r="B598" s="28">
        <v>44409</v>
      </c>
      <c r="C598" t="s">
        <v>444</v>
      </c>
      <c r="D598">
        <v>-2276</v>
      </c>
    </row>
    <row r="599" spans="1:4" x14ac:dyDescent="0.35">
      <c r="A599" t="s">
        <v>634</v>
      </c>
      <c r="B599" s="28">
        <v>44409</v>
      </c>
      <c r="C599" t="s">
        <v>495</v>
      </c>
      <c r="D599">
        <v>-1448</v>
      </c>
    </row>
    <row r="600" spans="1:4" x14ac:dyDescent="0.35">
      <c r="A600" t="s">
        <v>634</v>
      </c>
      <c r="B600" s="28">
        <v>44409</v>
      </c>
      <c r="C600" t="s">
        <v>631</v>
      </c>
      <c r="D600">
        <v>-40</v>
      </c>
    </row>
    <row r="601" spans="1:4" x14ac:dyDescent="0.35">
      <c r="A601" t="s">
        <v>634</v>
      </c>
      <c r="B601" s="28">
        <v>44409</v>
      </c>
      <c r="C601" t="s">
        <v>507</v>
      </c>
      <c r="D601">
        <v>-4814</v>
      </c>
    </row>
    <row r="602" spans="1:4" x14ac:dyDescent="0.35">
      <c r="A602" t="s">
        <v>635</v>
      </c>
      <c r="B602" s="28">
        <v>44410</v>
      </c>
      <c r="C602" t="s">
        <v>443</v>
      </c>
      <c r="D602">
        <v>-2734</v>
      </c>
    </row>
    <row r="603" spans="1:4" x14ac:dyDescent="0.35">
      <c r="A603" t="s">
        <v>635</v>
      </c>
      <c r="B603" s="28">
        <v>44410</v>
      </c>
      <c r="C603" t="s">
        <v>505</v>
      </c>
      <c r="D603">
        <v>-5134</v>
      </c>
    </row>
    <row r="604" spans="1:4" x14ac:dyDescent="0.35">
      <c r="A604" t="s">
        <v>635</v>
      </c>
      <c r="B604" s="28">
        <v>44410</v>
      </c>
      <c r="C604" t="s">
        <v>480</v>
      </c>
      <c r="D604">
        <v>-1994</v>
      </c>
    </row>
    <row r="605" spans="1:4" x14ac:dyDescent="0.35">
      <c r="A605" t="s">
        <v>635</v>
      </c>
      <c r="B605" s="28">
        <v>44410</v>
      </c>
      <c r="C605" t="s">
        <v>590</v>
      </c>
      <c r="D605">
        <v>-938</v>
      </c>
    </row>
    <row r="606" spans="1:4" x14ac:dyDescent="0.35">
      <c r="A606" t="s">
        <v>636</v>
      </c>
      <c r="B606" s="28">
        <v>44411</v>
      </c>
      <c r="C606" t="s">
        <v>443</v>
      </c>
      <c r="D606">
        <v>-823</v>
      </c>
    </row>
    <row r="607" spans="1:4" x14ac:dyDescent="0.35">
      <c r="A607" t="s">
        <v>636</v>
      </c>
      <c r="B607" s="28">
        <v>44411</v>
      </c>
      <c r="C607" t="s">
        <v>502</v>
      </c>
      <c r="D607">
        <v>-2096</v>
      </c>
    </row>
    <row r="608" spans="1:4" x14ac:dyDescent="0.35">
      <c r="A608" t="s">
        <v>636</v>
      </c>
      <c r="B608" s="28">
        <v>44411</v>
      </c>
      <c r="C608" t="s">
        <v>530</v>
      </c>
      <c r="D608">
        <v>-2640</v>
      </c>
    </row>
    <row r="609" spans="1:4" x14ac:dyDescent="0.35">
      <c r="A609" t="s">
        <v>637</v>
      </c>
      <c r="B609" s="28">
        <v>44412</v>
      </c>
      <c r="C609" t="s">
        <v>443</v>
      </c>
      <c r="D609">
        <v>-1980</v>
      </c>
    </row>
    <row r="610" spans="1:4" x14ac:dyDescent="0.35">
      <c r="A610" t="s">
        <v>637</v>
      </c>
      <c r="B610" s="28">
        <v>44412</v>
      </c>
      <c r="C610" t="s">
        <v>505</v>
      </c>
      <c r="D610">
        <v>-4994</v>
      </c>
    </row>
    <row r="611" spans="1:4" x14ac:dyDescent="0.35">
      <c r="A611" t="s">
        <v>637</v>
      </c>
      <c r="B611" s="28">
        <v>44412</v>
      </c>
      <c r="C611" t="s">
        <v>507</v>
      </c>
      <c r="D611">
        <v>-5617</v>
      </c>
    </row>
    <row r="612" spans="1:4" x14ac:dyDescent="0.35">
      <c r="A612" t="s">
        <v>637</v>
      </c>
      <c r="B612" s="28">
        <v>44412</v>
      </c>
      <c r="C612" t="s">
        <v>446</v>
      </c>
      <c r="D612">
        <v>-3235</v>
      </c>
    </row>
    <row r="613" spans="1:4" x14ac:dyDescent="0.35">
      <c r="A613" t="s">
        <v>638</v>
      </c>
      <c r="B613" s="28">
        <v>44413</v>
      </c>
      <c r="C613" t="s">
        <v>441</v>
      </c>
      <c r="D613">
        <v>-493</v>
      </c>
    </row>
    <row r="614" spans="1:4" x14ac:dyDescent="0.35">
      <c r="A614" t="s">
        <v>638</v>
      </c>
      <c r="B614" s="28">
        <v>44413</v>
      </c>
      <c r="C614" t="s">
        <v>539</v>
      </c>
      <c r="D614">
        <v>-37</v>
      </c>
    </row>
    <row r="615" spans="1:4" x14ac:dyDescent="0.35">
      <c r="A615" t="s">
        <v>638</v>
      </c>
      <c r="B615" s="28">
        <v>44413</v>
      </c>
      <c r="C615" t="s">
        <v>497</v>
      </c>
      <c r="D615">
        <v>-998</v>
      </c>
    </row>
    <row r="616" spans="1:4" x14ac:dyDescent="0.35">
      <c r="A616" t="s">
        <v>639</v>
      </c>
      <c r="B616" s="28">
        <v>44415</v>
      </c>
      <c r="C616" t="s">
        <v>443</v>
      </c>
      <c r="D616">
        <v>-2052</v>
      </c>
    </row>
    <row r="617" spans="1:4" x14ac:dyDescent="0.35">
      <c r="A617" t="s">
        <v>639</v>
      </c>
      <c r="B617" s="28">
        <v>44415</v>
      </c>
      <c r="C617" t="s">
        <v>449</v>
      </c>
      <c r="D617">
        <v>-1186</v>
      </c>
    </row>
    <row r="618" spans="1:4" x14ac:dyDescent="0.35">
      <c r="A618" t="s">
        <v>639</v>
      </c>
      <c r="B618" s="28">
        <v>44415</v>
      </c>
      <c r="C618" t="s">
        <v>534</v>
      </c>
      <c r="D618">
        <v>-278</v>
      </c>
    </row>
    <row r="619" spans="1:4" x14ac:dyDescent="0.35">
      <c r="A619" t="s">
        <v>639</v>
      </c>
      <c r="B619" s="28">
        <v>44415</v>
      </c>
      <c r="C619" t="s">
        <v>530</v>
      </c>
      <c r="D619">
        <v>-4440</v>
      </c>
    </row>
    <row r="620" spans="1:4" x14ac:dyDescent="0.35">
      <c r="A620" t="s">
        <v>639</v>
      </c>
      <c r="B620" s="28">
        <v>44415</v>
      </c>
      <c r="C620" t="s">
        <v>441</v>
      </c>
      <c r="D620">
        <v>-2064</v>
      </c>
    </row>
    <row r="621" spans="1:4" x14ac:dyDescent="0.35">
      <c r="A621" t="s">
        <v>639</v>
      </c>
      <c r="B621" s="28">
        <v>44415</v>
      </c>
      <c r="C621" t="s">
        <v>456</v>
      </c>
      <c r="D621">
        <v>-5503</v>
      </c>
    </row>
    <row r="622" spans="1:4" x14ac:dyDescent="0.35">
      <c r="A622" t="s">
        <v>640</v>
      </c>
      <c r="B622" s="28">
        <v>44416</v>
      </c>
      <c r="C622" t="s">
        <v>443</v>
      </c>
      <c r="D622">
        <v>-1025</v>
      </c>
    </row>
    <row r="623" spans="1:4" x14ac:dyDescent="0.35">
      <c r="A623" t="s">
        <v>640</v>
      </c>
      <c r="B623" s="28">
        <v>44416</v>
      </c>
      <c r="C623" t="s">
        <v>449</v>
      </c>
      <c r="D623">
        <v>-1867</v>
      </c>
    </row>
    <row r="624" spans="1:4" x14ac:dyDescent="0.35">
      <c r="A624" t="s">
        <v>640</v>
      </c>
      <c r="B624" s="28">
        <v>44416</v>
      </c>
      <c r="C624" t="s">
        <v>505</v>
      </c>
      <c r="D624">
        <v>-4820</v>
      </c>
    </row>
    <row r="625" spans="1:4" x14ac:dyDescent="0.35">
      <c r="A625" t="s">
        <v>640</v>
      </c>
      <c r="B625" s="28">
        <v>44416</v>
      </c>
      <c r="C625" t="s">
        <v>441</v>
      </c>
      <c r="D625">
        <v>-2052</v>
      </c>
    </row>
    <row r="626" spans="1:4" x14ac:dyDescent="0.35">
      <c r="A626" t="s">
        <v>640</v>
      </c>
      <c r="B626" s="28">
        <v>44416</v>
      </c>
      <c r="C626" t="s">
        <v>506</v>
      </c>
      <c r="D626">
        <v>-5202</v>
      </c>
    </row>
    <row r="627" spans="1:4" x14ac:dyDescent="0.35">
      <c r="A627" t="s">
        <v>640</v>
      </c>
      <c r="B627" s="28">
        <v>44416</v>
      </c>
      <c r="C627" t="s">
        <v>499</v>
      </c>
      <c r="D627">
        <v>-1982</v>
      </c>
    </row>
    <row r="628" spans="1:4" x14ac:dyDescent="0.35">
      <c r="A628" t="s">
        <v>640</v>
      </c>
      <c r="B628" s="28">
        <v>44416</v>
      </c>
      <c r="C628" t="s">
        <v>546</v>
      </c>
      <c r="D628">
        <v>-999</v>
      </c>
    </row>
    <row r="629" spans="1:4" x14ac:dyDescent="0.35">
      <c r="A629" t="s">
        <v>641</v>
      </c>
      <c r="B629" s="28">
        <v>44417</v>
      </c>
      <c r="C629" t="s">
        <v>449</v>
      </c>
      <c r="D629">
        <v>-4018</v>
      </c>
    </row>
    <row r="630" spans="1:4" x14ac:dyDescent="0.35">
      <c r="A630" t="s">
        <v>641</v>
      </c>
      <c r="B630" s="28">
        <v>44417</v>
      </c>
      <c r="C630" t="s">
        <v>506</v>
      </c>
      <c r="D630">
        <v>-5253</v>
      </c>
    </row>
    <row r="631" spans="1:4" x14ac:dyDescent="0.35">
      <c r="A631" t="s">
        <v>641</v>
      </c>
      <c r="B631" s="28">
        <v>44417</v>
      </c>
      <c r="C631" t="s">
        <v>499</v>
      </c>
      <c r="D631">
        <v>-3771</v>
      </c>
    </row>
    <row r="632" spans="1:4" x14ac:dyDescent="0.35">
      <c r="A632" t="s">
        <v>641</v>
      </c>
      <c r="B632" s="28">
        <v>44417</v>
      </c>
      <c r="C632" t="s">
        <v>507</v>
      </c>
      <c r="D632">
        <v>-4428</v>
      </c>
    </row>
    <row r="633" spans="1:4" x14ac:dyDescent="0.35">
      <c r="A633" t="s">
        <v>642</v>
      </c>
      <c r="B633" s="28">
        <v>44418</v>
      </c>
      <c r="C633" t="s">
        <v>643</v>
      </c>
      <c r="D633">
        <v>-1502</v>
      </c>
    </row>
    <row r="634" spans="1:4" x14ac:dyDescent="0.35">
      <c r="A634" t="s">
        <v>642</v>
      </c>
      <c r="B634" s="28">
        <v>44418</v>
      </c>
      <c r="C634" t="s">
        <v>474</v>
      </c>
      <c r="D634">
        <v>-1000</v>
      </c>
    </row>
    <row r="635" spans="1:4" x14ac:dyDescent="0.35">
      <c r="A635" t="s">
        <v>642</v>
      </c>
      <c r="B635" s="28">
        <v>44418</v>
      </c>
      <c r="C635" t="s">
        <v>449</v>
      </c>
      <c r="D635">
        <v>-1894</v>
      </c>
    </row>
    <row r="636" spans="1:4" x14ac:dyDescent="0.35">
      <c r="A636" t="s">
        <v>642</v>
      </c>
      <c r="B636" s="28">
        <v>44418</v>
      </c>
      <c r="C636" t="s">
        <v>499</v>
      </c>
      <c r="D636">
        <v>-1821</v>
      </c>
    </row>
    <row r="637" spans="1:4" x14ac:dyDescent="0.35">
      <c r="A637" t="s">
        <v>642</v>
      </c>
      <c r="B637" s="28">
        <v>44418</v>
      </c>
      <c r="C637" t="s">
        <v>441</v>
      </c>
      <c r="D637">
        <v>-1030</v>
      </c>
    </row>
    <row r="638" spans="1:4" x14ac:dyDescent="0.35">
      <c r="A638" t="s">
        <v>644</v>
      </c>
      <c r="B638" s="28">
        <v>44419</v>
      </c>
      <c r="C638" t="s">
        <v>511</v>
      </c>
      <c r="D638">
        <v>-1012</v>
      </c>
    </row>
    <row r="639" spans="1:4" x14ac:dyDescent="0.35">
      <c r="A639" t="s">
        <v>644</v>
      </c>
      <c r="B639" s="28">
        <v>44419</v>
      </c>
      <c r="C639" t="s">
        <v>449</v>
      </c>
      <c r="D639">
        <v>-3696</v>
      </c>
    </row>
    <row r="640" spans="1:4" x14ac:dyDescent="0.35">
      <c r="A640" t="s">
        <v>644</v>
      </c>
      <c r="B640" s="28">
        <v>44419</v>
      </c>
      <c r="C640" t="s">
        <v>577</v>
      </c>
      <c r="D640">
        <v>-610</v>
      </c>
    </row>
    <row r="641" spans="1:4" x14ac:dyDescent="0.35">
      <c r="A641" t="s">
        <v>644</v>
      </c>
      <c r="B641" s="28">
        <v>44419</v>
      </c>
      <c r="C641" t="s">
        <v>579</v>
      </c>
      <c r="D641">
        <v>-4047</v>
      </c>
    </row>
    <row r="642" spans="1:4" x14ac:dyDescent="0.35">
      <c r="A642" t="s">
        <v>644</v>
      </c>
      <c r="B642" s="28">
        <v>44419</v>
      </c>
      <c r="C642" t="s">
        <v>566</v>
      </c>
      <c r="D642">
        <v>-500</v>
      </c>
    </row>
    <row r="643" spans="1:4" x14ac:dyDescent="0.35">
      <c r="A643" t="s">
        <v>644</v>
      </c>
      <c r="B643" s="28">
        <v>44419</v>
      </c>
      <c r="C643" t="s">
        <v>530</v>
      </c>
      <c r="D643">
        <v>-4238</v>
      </c>
    </row>
    <row r="644" spans="1:4" x14ac:dyDescent="0.35">
      <c r="A644" t="s">
        <v>644</v>
      </c>
      <c r="B644" s="28">
        <v>44419</v>
      </c>
      <c r="C644" t="s">
        <v>441</v>
      </c>
      <c r="D644">
        <v>-322</v>
      </c>
    </row>
    <row r="645" spans="1:4" x14ac:dyDescent="0.35">
      <c r="A645" t="s">
        <v>644</v>
      </c>
      <c r="B645" s="28">
        <v>44419</v>
      </c>
      <c r="C645" t="s">
        <v>441</v>
      </c>
      <c r="D645">
        <v>-1944</v>
      </c>
    </row>
    <row r="646" spans="1:4" x14ac:dyDescent="0.35">
      <c r="A646" t="s">
        <v>645</v>
      </c>
      <c r="B646" s="28">
        <v>44420</v>
      </c>
      <c r="C646" t="s">
        <v>550</v>
      </c>
      <c r="D646">
        <v>-233</v>
      </c>
    </row>
    <row r="647" spans="1:4" x14ac:dyDescent="0.35">
      <c r="A647" t="s">
        <v>645</v>
      </c>
      <c r="B647" s="28">
        <v>44420</v>
      </c>
      <c r="C647" t="s">
        <v>502</v>
      </c>
      <c r="D647">
        <v>-536</v>
      </c>
    </row>
    <row r="648" spans="1:4" x14ac:dyDescent="0.35">
      <c r="A648" t="s">
        <v>645</v>
      </c>
      <c r="B648" s="28">
        <v>44420</v>
      </c>
      <c r="C648" t="s">
        <v>480</v>
      </c>
      <c r="D648">
        <v>-760</v>
      </c>
    </row>
    <row r="649" spans="1:4" x14ac:dyDescent="0.35">
      <c r="A649" t="s">
        <v>645</v>
      </c>
      <c r="B649" s="28">
        <v>44420</v>
      </c>
      <c r="C649" t="s">
        <v>496</v>
      </c>
      <c r="D649">
        <v>-1025</v>
      </c>
    </row>
    <row r="650" spans="1:4" x14ac:dyDescent="0.35">
      <c r="A650" t="s">
        <v>646</v>
      </c>
      <c r="B650" s="28">
        <v>44421</v>
      </c>
      <c r="C650" t="s">
        <v>526</v>
      </c>
      <c r="D650">
        <v>-2824</v>
      </c>
    </row>
    <row r="651" spans="1:4" x14ac:dyDescent="0.35">
      <c r="A651" t="s">
        <v>647</v>
      </c>
      <c r="B651" s="28">
        <v>44422</v>
      </c>
      <c r="C651" t="s">
        <v>449</v>
      </c>
      <c r="D651">
        <v>-8146</v>
      </c>
    </row>
    <row r="652" spans="1:4" x14ac:dyDescent="0.35">
      <c r="A652" t="s">
        <v>647</v>
      </c>
      <c r="B652" s="28">
        <v>44422</v>
      </c>
      <c r="C652" t="s">
        <v>444</v>
      </c>
      <c r="D652">
        <v>-2040</v>
      </c>
    </row>
    <row r="653" spans="1:4" x14ac:dyDescent="0.35">
      <c r="A653" t="s">
        <v>647</v>
      </c>
      <c r="B653" s="28">
        <v>44422</v>
      </c>
      <c r="C653" t="s">
        <v>550</v>
      </c>
      <c r="D653">
        <v>-1014</v>
      </c>
    </row>
    <row r="654" spans="1:4" x14ac:dyDescent="0.35">
      <c r="A654" t="s">
        <v>647</v>
      </c>
      <c r="B654" s="28">
        <v>44422</v>
      </c>
      <c r="C654" t="s">
        <v>507</v>
      </c>
      <c r="D654">
        <v>-5693</v>
      </c>
    </row>
    <row r="655" spans="1:4" x14ac:dyDescent="0.35">
      <c r="A655" t="s">
        <v>647</v>
      </c>
      <c r="B655" s="28">
        <v>44422</v>
      </c>
      <c r="C655" t="s">
        <v>494</v>
      </c>
      <c r="D655">
        <v>-5198</v>
      </c>
    </row>
    <row r="656" spans="1:4" x14ac:dyDescent="0.35">
      <c r="A656" t="s">
        <v>648</v>
      </c>
      <c r="B656" s="28">
        <v>44430</v>
      </c>
      <c r="C656" t="s">
        <v>505</v>
      </c>
      <c r="D656">
        <v>-5466</v>
      </c>
    </row>
    <row r="657" spans="1:4" x14ac:dyDescent="0.35">
      <c r="A657" t="s">
        <v>648</v>
      </c>
      <c r="B657" s="28">
        <v>44430</v>
      </c>
      <c r="C657" t="s">
        <v>530</v>
      </c>
      <c r="D657">
        <v>-994</v>
      </c>
    </row>
    <row r="658" spans="1:4" x14ac:dyDescent="0.35">
      <c r="A658" t="s">
        <v>648</v>
      </c>
      <c r="B658" s="28">
        <v>44430</v>
      </c>
      <c r="C658" t="s">
        <v>507</v>
      </c>
      <c r="D658">
        <v>-3828</v>
      </c>
    </row>
    <row r="659" spans="1:4" x14ac:dyDescent="0.35">
      <c r="A659" t="s">
        <v>648</v>
      </c>
      <c r="B659" s="28">
        <v>44430</v>
      </c>
      <c r="C659" t="s">
        <v>499</v>
      </c>
      <c r="D659">
        <v>-3959</v>
      </c>
    </row>
    <row r="660" spans="1:4" x14ac:dyDescent="0.35">
      <c r="A660" t="s">
        <v>649</v>
      </c>
      <c r="B660" s="28">
        <v>44431</v>
      </c>
      <c r="C660" t="s">
        <v>443</v>
      </c>
      <c r="D660">
        <v>-2294</v>
      </c>
    </row>
    <row r="661" spans="1:4" x14ac:dyDescent="0.35">
      <c r="A661" t="s">
        <v>649</v>
      </c>
      <c r="B661" s="28">
        <v>44431</v>
      </c>
      <c r="C661" t="s">
        <v>449</v>
      </c>
      <c r="D661">
        <v>-2117</v>
      </c>
    </row>
    <row r="662" spans="1:4" x14ac:dyDescent="0.35">
      <c r="A662" t="s">
        <v>649</v>
      </c>
      <c r="B662" s="28">
        <v>44431</v>
      </c>
      <c r="C662" t="s">
        <v>492</v>
      </c>
      <c r="D662">
        <v>-492</v>
      </c>
    </row>
    <row r="663" spans="1:4" x14ac:dyDescent="0.35">
      <c r="A663" t="s">
        <v>649</v>
      </c>
      <c r="B663" s="28">
        <v>44431</v>
      </c>
      <c r="C663" t="s">
        <v>441</v>
      </c>
      <c r="D663">
        <v>-4710</v>
      </c>
    </row>
    <row r="664" spans="1:4" x14ac:dyDescent="0.35">
      <c r="A664" t="s">
        <v>649</v>
      </c>
      <c r="B664" s="28">
        <v>44431</v>
      </c>
      <c r="C664" t="s">
        <v>492</v>
      </c>
      <c r="D664">
        <v>-1175</v>
      </c>
    </row>
    <row r="665" spans="1:4" x14ac:dyDescent="0.35">
      <c r="A665" t="s">
        <v>650</v>
      </c>
      <c r="B665" s="28">
        <v>44432</v>
      </c>
      <c r="C665" t="s">
        <v>443</v>
      </c>
      <c r="D665">
        <v>-2043</v>
      </c>
    </row>
    <row r="666" spans="1:4" x14ac:dyDescent="0.35">
      <c r="A666" t="s">
        <v>650</v>
      </c>
      <c r="B666" s="28">
        <v>44432</v>
      </c>
      <c r="C666" t="s">
        <v>511</v>
      </c>
      <c r="D666">
        <v>-507</v>
      </c>
    </row>
    <row r="667" spans="1:4" x14ac:dyDescent="0.35">
      <c r="A667" t="s">
        <v>650</v>
      </c>
      <c r="B667" s="28">
        <v>44432</v>
      </c>
      <c r="C667" t="s">
        <v>441</v>
      </c>
      <c r="D667">
        <v>-2013</v>
      </c>
    </row>
    <row r="668" spans="1:4" x14ac:dyDescent="0.35">
      <c r="A668" t="s">
        <v>650</v>
      </c>
      <c r="B668" s="28">
        <v>44432</v>
      </c>
      <c r="C668" t="s">
        <v>497</v>
      </c>
      <c r="D668">
        <v>-1238</v>
      </c>
    </row>
    <row r="669" spans="1:4" x14ac:dyDescent="0.35">
      <c r="A669" t="s">
        <v>650</v>
      </c>
      <c r="B669" s="28">
        <v>44432</v>
      </c>
      <c r="C669" t="s">
        <v>483</v>
      </c>
      <c r="D669">
        <v>-3039</v>
      </c>
    </row>
    <row r="670" spans="1:4" x14ac:dyDescent="0.35">
      <c r="A670" t="s">
        <v>650</v>
      </c>
      <c r="B670" s="28">
        <v>44432</v>
      </c>
      <c r="C670" t="s">
        <v>524</v>
      </c>
      <c r="D670">
        <v>-25</v>
      </c>
    </row>
    <row r="671" spans="1:4" x14ac:dyDescent="0.35">
      <c r="A671" t="s">
        <v>650</v>
      </c>
      <c r="B671" s="28">
        <v>44432</v>
      </c>
      <c r="C671" t="s">
        <v>546</v>
      </c>
      <c r="D671">
        <v>-1734</v>
      </c>
    </row>
    <row r="672" spans="1:4" x14ac:dyDescent="0.35">
      <c r="A672" t="s">
        <v>651</v>
      </c>
      <c r="B672" s="28">
        <v>44433</v>
      </c>
      <c r="C672" t="s">
        <v>443</v>
      </c>
      <c r="D672">
        <v>-3359</v>
      </c>
    </row>
    <row r="673" spans="1:4" x14ac:dyDescent="0.35">
      <c r="A673" t="s">
        <v>651</v>
      </c>
      <c r="B673" s="28">
        <v>44433</v>
      </c>
      <c r="C673" t="s">
        <v>505</v>
      </c>
      <c r="D673">
        <v>-5003</v>
      </c>
    </row>
    <row r="674" spans="1:4" x14ac:dyDescent="0.35">
      <c r="A674" t="s">
        <v>651</v>
      </c>
      <c r="B674" s="28">
        <v>44433</v>
      </c>
      <c r="C674" t="s">
        <v>577</v>
      </c>
      <c r="D674">
        <v>-350</v>
      </c>
    </row>
    <row r="675" spans="1:4" x14ac:dyDescent="0.35">
      <c r="A675" t="s">
        <v>651</v>
      </c>
      <c r="B675" s="28">
        <v>44433</v>
      </c>
      <c r="C675" t="s">
        <v>530</v>
      </c>
      <c r="D675">
        <v>-3198</v>
      </c>
    </row>
    <row r="676" spans="1:4" x14ac:dyDescent="0.35">
      <c r="A676" t="s">
        <v>651</v>
      </c>
      <c r="B676" s="28">
        <v>44433</v>
      </c>
      <c r="C676" t="s">
        <v>441</v>
      </c>
      <c r="D676">
        <v>-1051</v>
      </c>
    </row>
    <row r="677" spans="1:4" x14ac:dyDescent="0.35">
      <c r="A677" t="s">
        <v>651</v>
      </c>
      <c r="B677" s="28">
        <v>44433</v>
      </c>
      <c r="C677" t="s">
        <v>441</v>
      </c>
      <c r="D677">
        <v>-1030</v>
      </c>
    </row>
    <row r="678" spans="1:4" x14ac:dyDescent="0.35">
      <c r="A678" t="s">
        <v>652</v>
      </c>
      <c r="B678" s="28">
        <v>44434</v>
      </c>
      <c r="C678" t="s">
        <v>449</v>
      </c>
      <c r="D678">
        <v>-2054</v>
      </c>
    </row>
    <row r="679" spans="1:4" x14ac:dyDescent="0.35">
      <c r="A679" t="s">
        <v>652</v>
      </c>
      <c r="B679" s="28">
        <v>44434</v>
      </c>
      <c r="C679" t="s">
        <v>492</v>
      </c>
      <c r="D679">
        <v>-2092</v>
      </c>
    </row>
    <row r="680" spans="1:4" x14ac:dyDescent="0.35">
      <c r="A680" t="s">
        <v>652</v>
      </c>
      <c r="B680" s="28">
        <v>44434</v>
      </c>
      <c r="C680" t="s">
        <v>446</v>
      </c>
      <c r="D680">
        <v>-3007</v>
      </c>
    </row>
    <row r="681" spans="1:4" x14ac:dyDescent="0.35">
      <c r="A681" t="s">
        <v>652</v>
      </c>
      <c r="B681" s="28">
        <v>44434</v>
      </c>
      <c r="C681" t="s">
        <v>546</v>
      </c>
      <c r="D681">
        <v>-2219</v>
      </c>
    </row>
    <row r="682" spans="1:4" x14ac:dyDescent="0.35">
      <c r="A682" t="s">
        <v>653</v>
      </c>
      <c r="B682" s="28">
        <v>44436</v>
      </c>
      <c r="C682" t="s">
        <v>449</v>
      </c>
      <c r="D682">
        <v>-5770</v>
      </c>
    </row>
    <row r="683" spans="1:4" x14ac:dyDescent="0.35">
      <c r="A683" t="s">
        <v>653</v>
      </c>
      <c r="B683" s="28">
        <v>44436</v>
      </c>
      <c r="C683" t="s">
        <v>505</v>
      </c>
      <c r="D683">
        <v>-4988</v>
      </c>
    </row>
    <row r="684" spans="1:4" x14ac:dyDescent="0.35">
      <c r="A684" t="s">
        <v>653</v>
      </c>
      <c r="B684" s="28">
        <v>44436</v>
      </c>
      <c r="C684" t="s">
        <v>492</v>
      </c>
      <c r="D684">
        <v>-896</v>
      </c>
    </row>
    <row r="685" spans="1:4" x14ac:dyDescent="0.35">
      <c r="A685" t="s">
        <v>653</v>
      </c>
      <c r="B685" s="28">
        <v>44436</v>
      </c>
      <c r="C685" t="s">
        <v>654</v>
      </c>
      <c r="D685">
        <v>-734</v>
      </c>
    </row>
    <row r="686" spans="1:4" x14ac:dyDescent="0.35">
      <c r="A686" t="s">
        <v>653</v>
      </c>
      <c r="B686" s="28">
        <v>44436</v>
      </c>
      <c r="C686" t="s">
        <v>441</v>
      </c>
      <c r="D686">
        <v>-2047</v>
      </c>
    </row>
    <row r="687" spans="1:4" x14ac:dyDescent="0.35">
      <c r="A687" t="s">
        <v>653</v>
      </c>
      <c r="B687" s="28">
        <v>44436</v>
      </c>
      <c r="C687" t="s">
        <v>526</v>
      </c>
      <c r="D687">
        <v>-16019</v>
      </c>
    </row>
    <row r="688" spans="1:4" x14ac:dyDescent="0.35">
      <c r="A688" t="s">
        <v>653</v>
      </c>
      <c r="B688" s="28">
        <v>44436</v>
      </c>
      <c r="C688" t="s">
        <v>494</v>
      </c>
      <c r="D688">
        <v>-5157</v>
      </c>
    </row>
    <row r="689" spans="1:4" x14ac:dyDescent="0.35">
      <c r="A689" t="s">
        <v>653</v>
      </c>
      <c r="B689" s="28">
        <v>44436</v>
      </c>
      <c r="C689" t="s">
        <v>492</v>
      </c>
      <c r="D689">
        <v>-354</v>
      </c>
    </row>
    <row r="690" spans="1:4" x14ac:dyDescent="0.35">
      <c r="A690" t="s">
        <v>655</v>
      </c>
      <c r="B690" s="28">
        <v>44437</v>
      </c>
      <c r="C690" t="s">
        <v>443</v>
      </c>
      <c r="D690">
        <v>-4026</v>
      </c>
    </row>
    <row r="691" spans="1:4" x14ac:dyDescent="0.35">
      <c r="A691" t="s">
        <v>655</v>
      </c>
      <c r="B691" s="28">
        <v>44437</v>
      </c>
      <c r="C691" t="s">
        <v>449</v>
      </c>
      <c r="D691">
        <v>-1915</v>
      </c>
    </row>
    <row r="692" spans="1:4" x14ac:dyDescent="0.35">
      <c r="A692" t="s">
        <v>655</v>
      </c>
      <c r="B692" s="28">
        <v>44437</v>
      </c>
      <c r="C692" t="s">
        <v>509</v>
      </c>
      <c r="D692">
        <v>-504</v>
      </c>
    </row>
    <row r="693" spans="1:4" x14ac:dyDescent="0.35">
      <c r="A693" t="s">
        <v>655</v>
      </c>
      <c r="B693" s="28">
        <v>44437</v>
      </c>
      <c r="C693" t="s">
        <v>530</v>
      </c>
      <c r="D693">
        <v>-2379</v>
      </c>
    </row>
    <row r="694" spans="1:4" x14ac:dyDescent="0.35">
      <c r="A694" t="s">
        <v>655</v>
      </c>
      <c r="B694" s="28">
        <v>44437</v>
      </c>
      <c r="C694" t="s">
        <v>441</v>
      </c>
      <c r="D694">
        <v>-1271</v>
      </c>
    </row>
    <row r="695" spans="1:4" x14ac:dyDescent="0.35">
      <c r="A695" t="s">
        <v>655</v>
      </c>
      <c r="B695" s="28">
        <v>44437</v>
      </c>
      <c r="C695" t="s">
        <v>499</v>
      </c>
      <c r="D695">
        <v>-3678</v>
      </c>
    </row>
    <row r="696" spans="1:4" x14ac:dyDescent="0.35">
      <c r="A696" t="s">
        <v>655</v>
      </c>
      <c r="B696" s="28">
        <v>44437</v>
      </c>
      <c r="C696" t="s">
        <v>441</v>
      </c>
      <c r="D696">
        <v>-1874</v>
      </c>
    </row>
    <row r="697" spans="1:4" x14ac:dyDescent="0.35">
      <c r="A697" t="s">
        <v>656</v>
      </c>
      <c r="B697" s="28">
        <v>44438</v>
      </c>
      <c r="C697" t="s">
        <v>443</v>
      </c>
      <c r="D697">
        <v>-2064</v>
      </c>
    </row>
    <row r="698" spans="1:4" x14ac:dyDescent="0.35">
      <c r="A698" t="s">
        <v>656</v>
      </c>
      <c r="B698" s="28">
        <v>44438</v>
      </c>
      <c r="C698" t="s">
        <v>537</v>
      </c>
      <c r="D698">
        <v>-2075</v>
      </c>
    </row>
    <row r="699" spans="1:4" x14ac:dyDescent="0.35">
      <c r="A699" t="s">
        <v>656</v>
      </c>
      <c r="B699" s="28">
        <v>44438</v>
      </c>
      <c r="C699" t="s">
        <v>461</v>
      </c>
      <c r="D699">
        <v>-500</v>
      </c>
    </row>
    <row r="700" spans="1:4" x14ac:dyDescent="0.35">
      <c r="A700" t="s">
        <v>656</v>
      </c>
      <c r="B700" s="28">
        <v>44438</v>
      </c>
      <c r="C700" t="s">
        <v>530</v>
      </c>
      <c r="D700">
        <v>-647</v>
      </c>
    </row>
    <row r="701" spans="1:4" x14ac:dyDescent="0.35">
      <c r="A701" t="s">
        <v>656</v>
      </c>
      <c r="B701" s="28">
        <v>44438</v>
      </c>
      <c r="C701" t="s">
        <v>441</v>
      </c>
      <c r="D701">
        <v>-1942</v>
      </c>
    </row>
    <row r="702" spans="1:4" x14ac:dyDescent="0.35">
      <c r="A702" t="s">
        <v>648</v>
      </c>
      <c r="B702" s="28">
        <v>44430</v>
      </c>
      <c r="C702" t="s">
        <v>450</v>
      </c>
      <c r="D702">
        <v>-7000</v>
      </c>
    </row>
    <row r="703" spans="1:4" x14ac:dyDescent="0.35">
      <c r="A703" t="s">
        <v>657</v>
      </c>
      <c r="B703" s="28">
        <v>44439</v>
      </c>
      <c r="C703" t="s">
        <v>443</v>
      </c>
      <c r="D703">
        <v>-2287</v>
      </c>
    </row>
    <row r="704" spans="1:4" x14ac:dyDescent="0.35">
      <c r="A704" t="s">
        <v>657</v>
      </c>
      <c r="B704" s="28">
        <v>44439</v>
      </c>
      <c r="C704" t="s">
        <v>449</v>
      </c>
      <c r="D704">
        <v>-2053</v>
      </c>
    </row>
    <row r="705" spans="1:4" x14ac:dyDescent="0.35">
      <c r="A705" t="s">
        <v>657</v>
      </c>
      <c r="B705" s="28">
        <v>44439</v>
      </c>
      <c r="C705" t="s">
        <v>489</v>
      </c>
      <c r="D705">
        <v>-1048</v>
      </c>
    </row>
    <row r="706" spans="1:4" x14ac:dyDescent="0.35">
      <c r="A706" t="s">
        <v>658</v>
      </c>
      <c r="B706" s="28">
        <v>44440</v>
      </c>
      <c r="C706" t="s">
        <v>449</v>
      </c>
      <c r="D706">
        <v>-2148</v>
      </c>
    </row>
    <row r="707" spans="1:4" x14ac:dyDescent="0.35">
      <c r="A707" t="s">
        <v>658</v>
      </c>
      <c r="B707" s="28">
        <v>44440</v>
      </c>
      <c r="C707" t="s">
        <v>509</v>
      </c>
      <c r="D707">
        <v>-1216</v>
      </c>
    </row>
    <row r="708" spans="1:4" x14ac:dyDescent="0.35">
      <c r="A708" t="s">
        <v>658</v>
      </c>
      <c r="B708" s="28">
        <v>44440</v>
      </c>
      <c r="C708" t="s">
        <v>505</v>
      </c>
      <c r="D708">
        <v>-4955</v>
      </c>
    </row>
    <row r="709" spans="1:4" x14ac:dyDescent="0.35">
      <c r="A709" t="s">
        <v>658</v>
      </c>
      <c r="B709" s="28">
        <v>44440</v>
      </c>
      <c r="C709" t="s">
        <v>530</v>
      </c>
      <c r="D709">
        <v>-4902</v>
      </c>
    </row>
    <row r="710" spans="1:4" x14ac:dyDescent="0.35">
      <c r="A710" t="s">
        <v>658</v>
      </c>
      <c r="B710" s="28">
        <v>44440</v>
      </c>
      <c r="C710" t="s">
        <v>441</v>
      </c>
      <c r="D710">
        <v>-2349</v>
      </c>
    </row>
    <row r="711" spans="1:4" x14ac:dyDescent="0.35">
      <c r="A711" t="s">
        <v>658</v>
      </c>
      <c r="B711" s="28">
        <v>44440</v>
      </c>
      <c r="C711" t="s">
        <v>501</v>
      </c>
      <c r="D711">
        <v>-1420</v>
      </c>
    </row>
    <row r="712" spans="1:4" x14ac:dyDescent="0.35">
      <c r="A712" t="s">
        <v>659</v>
      </c>
      <c r="B712" s="28">
        <v>44441</v>
      </c>
      <c r="C712" t="s">
        <v>443</v>
      </c>
      <c r="D712">
        <v>-1141</v>
      </c>
    </row>
    <row r="713" spans="1:4" x14ac:dyDescent="0.35">
      <c r="A713" t="s">
        <v>659</v>
      </c>
      <c r="B713" s="28">
        <v>44441</v>
      </c>
      <c r="C713" t="s">
        <v>449</v>
      </c>
      <c r="D713">
        <v>-2132</v>
      </c>
    </row>
    <row r="714" spans="1:4" x14ac:dyDescent="0.35">
      <c r="A714" t="s">
        <v>659</v>
      </c>
      <c r="B714" s="28">
        <v>44441</v>
      </c>
      <c r="C714" t="s">
        <v>492</v>
      </c>
      <c r="D714">
        <v>-240</v>
      </c>
    </row>
    <row r="715" spans="1:4" x14ac:dyDescent="0.35">
      <c r="A715" t="s">
        <v>660</v>
      </c>
      <c r="B715" s="28">
        <v>44443</v>
      </c>
      <c r="C715" t="s">
        <v>449</v>
      </c>
      <c r="D715">
        <v>-1958</v>
      </c>
    </row>
    <row r="716" spans="1:4" x14ac:dyDescent="0.35">
      <c r="A716" t="s">
        <v>660</v>
      </c>
      <c r="B716" s="28">
        <v>44443</v>
      </c>
      <c r="C716" t="s">
        <v>451</v>
      </c>
      <c r="D716">
        <v>-1043</v>
      </c>
    </row>
    <row r="717" spans="1:4" x14ac:dyDescent="0.35">
      <c r="A717" t="s">
        <v>660</v>
      </c>
      <c r="B717" s="28">
        <v>44443</v>
      </c>
      <c r="C717" t="s">
        <v>661</v>
      </c>
      <c r="D717">
        <v>-2128</v>
      </c>
    </row>
    <row r="718" spans="1:4" x14ac:dyDescent="0.35">
      <c r="A718" t="s">
        <v>660</v>
      </c>
      <c r="B718" s="28">
        <v>44443</v>
      </c>
      <c r="C718" t="s">
        <v>530</v>
      </c>
      <c r="D718">
        <v>-3494</v>
      </c>
    </row>
    <row r="719" spans="1:4" x14ac:dyDescent="0.35">
      <c r="A719" t="s">
        <v>660</v>
      </c>
      <c r="B719" s="28">
        <v>44443</v>
      </c>
      <c r="C719" t="s">
        <v>441</v>
      </c>
      <c r="D719">
        <v>-3882</v>
      </c>
    </row>
    <row r="720" spans="1:4" x14ac:dyDescent="0.35">
      <c r="A720" t="s">
        <v>660</v>
      </c>
      <c r="B720" s="28">
        <v>44443</v>
      </c>
      <c r="C720" t="s">
        <v>590</v>
      </c>
      <c r="D720">
        <v>-918</v>
      </c>
    </row>
    <row r="721" spans="1:4" x14ac:dyDescent="0.35">
      <c r="A721" t="s">
        <v>662</v>
      </c>
      <c r="B721" s="28">
        <v>44444</v>
      </c>
      <c r="C721" t="s">
        <v>663</v>
      </c>
      <c r="D721">
        <v>-178</v>
      </c>
    </row>
    <row r="722" spans="1:4" x14ac:dyDescent="0.35">
      <c r="A722" t="s">
        <v>662</v>
      </c>
      <c r="B722" s="28">
        <v>44444</v>
      </c>
      <c r="C722" t="s">
        <v>443</v>
      </c>
      <c r="D722">
        <v>-1438</v>
      </c>
    </row>
    <row r="723" spans="1:4" x14ac:dyDescent="0.35">
      <c r="A723" t="s">
        <v>662</v>
      </c>
      <c r="B723" s="28">
        <v>44444</v>
      </c>
      <c r="C723" t="s">
        <v>449</v>
      </c>
      <c r="D723">
        <v>-3857</v>
      </c>
    </row>
    <row r="724" spans="1:4" x14ac:dyDescent="0.35">
      <c r="A724" t="s">
        <v>662</v>
      </c>
      <c r="B724" s="28">
        <v>44444</v>
      </c>
      <c r="C724" t="s">
        <v>441</v>
      </c>
      <c r="D724">
        <v>-1493</v>
      </c>
    </row>
    <row r="725" spans="1:4" x14ac:dyDescent="0.35">
      <c r="A725" t="s">
        <v>662</v>
      </c>
      <c r="B725" s="28">
        <v>44444</v>
      </c>
      <c r="C725" t="s">
        <v>526</v>
      </c>
      <c r="D725">
        <v>-15650</v>
      </c>
    </row>
    <row r="726" spans="1:4" x14ac:dyDescent="0.35">
      <c r="A726" t="s">
        <v>662</v>
      </c>
      <c r="B726" s="28">
        <v>44444</v>
      </c>
      <c r="C726" t="s">
        <v>554</v>
      </c>
      <c r="D726">
        <v>-3000</v>
      </c>
    </row>
    <row r="727" spans="1:4" x14ac:dyDescent="0.35">
      <c r="A727" t="s">
        <v>687</v>
      </c>
      <c r="B727" s="28">
        <v>44445</v>
      </c>
      <c r="C727" t="s">
        <v>443</v>
      </c>
      <c r="D727">
        <v>-1889</v>
      </c>
    </row>
    <row r="728" spans="1:4" x14ac:dyDescent="0.35">
      <c r="A728" t="s">
        <v>687</v>
      </c>
      <c r="B728" s="28">
        <v>44445</v>
      </c>
      <c r="C728" t="s">
        <v>509</v>
      </c>
      <c r="D728">
        <v>-1112</v>
      </c>
    </row>
    <row r="729" spans="1:4" x14ac:dyDescent="0.35">
      <c r="A729" t="s">
        <v>687</v>
      </c>
      <c r="B729" s="28">
        <v>44445</v>
      </c>
      <c r="C729" t="s">
        <v>505</v>
      </c>
      <c r="D729">
        <v>-5170</v>
      </c>
    </row>
    <row r="730" spans="1:4" x14ac:dyDescent="0.35">
      <c r="A730" t="s">
        <v>687</v>
      </c>
      <c r="B730" s="28">
        <v>44445</v>
      </c>
      <c r="C730" t="s">
        <v>444</v>
      </c>
      <c r="D730">
        <v>-2073</v>
      </c>
    </row>
    <row r="731" spans="1:4" x14ac:dyDescent="0.35">
      <c r="A731" t="s">
        <v>687</v>
      </c>
      <c r="B731" s="28">
        <v>44445</v>
      </c>
      <c r="C731" t="s">
        <v>581</v>
      </c>
      <c r="D731">
        <v>-98</v>
      </c>
    </row>
    <row r="732" spans="1:4" x14ac:dyDescent="0.35">
      <c r="A732" t="s">
        <v>687</v>
      </c>
      <c r="B732" s="28">
        <v>44445</v>
      </c>
      <c r="C732" t="s">
        <v>502</v>
      </c>
      <c r="D732">
        <v>-1749</v>
      </c>
    </row>
    <row r="733" spans="1:4" x14ac:dyDescent="0.35">
      <c r="A733" t="s">
        <v>687</v>
      </c>
      <c r="B733" s="28">
        <v>44445</v>
      </c>
      <c r="C733" t="s">
        <v>581</v>
      </c>
      <c r="D733">
        <v>-1036</v>
      </c>
    </row>
    <row r="734" spans="1:4" x14ac:dyDescent="0.35">
      <c r="A734" t="s">
        <v>688</v>
      </c>
      <c r="B734" s="28">
        <v>44446</v>
      </c>
      <c r="C734" t="s">
        <v>443</v>
      </c>
      <c r="D734">
        <v>-4160</v>
      </c>
    </row>
    <row r="735" spans="1:4" x14ac:dyDescent="0.35">
      <c r="A735" t="s">
        <v>688</v>
      </c>
      <c r="B735" s="28">
        <v>44446</v>
      </c>
      <c r="C735" t="s">
        <v>689</v>
      </c>
      <c r="D735">
        <v>-1015</v>
      </c>
    </row>
    <row r="736" spans="1:4" x14ac:dyDescent="0.35">
      <c r="A736" t="s">
        <v>688</v>
      </c>
      <c r="B736" s="28">
        <v>44446</v>
      </c>
      <c r="C736" t="s">
        <v>511</v>
      </c>
      <c r="D736">
        <v>-1006</v>
      </c>
    </row>
    <row r="737" spans="1:4" x14ac:dyDescent="0.35">
      <c r="A737" t="s">
        <v>688</v>
      </c>
      <c r="B737" s="28">
        <v>44446</v>
      </c>
      <c r="C737" t="s">
        <v>505</v>
      </c>
      <c r="D737">
        <v>-5222</v>
      </c>
    </row>
    <row r="738" spans="1:4" x14ac:dyDescent="0.35">
      <c r="A738" t="s">
        <v>688</v>
      </c>
      <c r="B738" s="28">
        <v>44446</v>
      </c>
      <c r="C738" t="s">
        <v>492</v>
      </c>
      <c r="D738">
        <v>-265</v>
      </c>
    </row>
    <row r="739" spans="1:4" x14ac:dyDescent="0.35">
      <c r="A739" t="s">
        <v>688</v>
      </c>
      <c r="B739" s="28">
        <v>44446</v>
      </c>
      <c r="C739" t="s">
        <v>530</v>
      </c>
      <c r="D739">
        <v>-4455</v>
      </c>
    </row>
    <row r="740" spans="1:4" x14ac:dyDescent="0.35">
      <c r="A740" t="s">
        <v>688</v>
      </c>
      <c r="B740" s="28">
        <v>44446</v>
      </c>
      <c r="C740" t="s">
        <v>506</v>
      </c>
      <c r="D740">
        <v>-5167</v>
      </c>
    </row>
    <row r="741" spans="1:4" x14ac:dyDescent="0.35">
      <c r="A741" t="s">
        <v>688</v>
      </c>
      <c r="B741" s="28">
        <v>44446</v>
      </c>
      <c r="C741" t="s">
        <v>570</v>
      </c>
      <c r="D741">
        <v>-4005</v>
      </c>
    </row>
    <row r="742" spans="1:4" x14ac:dyDescent="0.35">
      <c r="A742" t="s">
        <v>690</v>
      </c>
      <c r="B742" s="28">
        <v>44447</v>
      </c>
      <c r="C742" t="s">
        <v>443</v>
      </c>
      <c r="D742">
        <v>-1918</v>
      </c>
    </row>
    <row r="743" spans="1:4" x14ac:dyDescent="0.35">
      <c r="A743" t="s">
        <v>690</v>
      </c>
      <c r="B743" s="28">
        <v>44447</v>
      </c>
      <c r="C743" t="s">
        <v>495</v>
      </c>
      <c r="D743">
        <v>-1448</v>
      </c>
    </row>
    <row r="744" spans="1:4" x14ac:dyDescent="0.35">
      <c r="A744" t="s">
        <v>690</v>
      </c>
      <c r="B744" s="28">
        <v>44447</v>
      </c>
      <c r="C744" t="s">
        <v>483</v>
      </c>
      <c r="D744">
        <v>-3035</v>
      </c>
    </row>
    <row r="745" spans="1:4" x14ac:dyDescent="0.35">
      <c r="A745" t="s">
        <v>690</v>
      </c>
      <c r="B745" s="28">
        <v>44447</v>
      </c>
      <c r="C745" t="s">
        <v>590</v>
      </c>
      <c r="D745">
        <v>-918</v>
      </c>
    </row>
    <row r="746" spans="1:4" x14ac:dyDescent="0.35">
      <c r="A746" t="s">
        <v>690</v>
      </c>
      <c r="B746" s="28">
        <v>44447</v>
      </c>
      <c r="C746" t="s">
        <v>483</v>
      </c>
      <c r="D746">
        <v>-1895</v>
      </c>
    </row>
    <row r="747" spans="1:4" x14ac:dyDescent="0.35">
      <c r="A747" t="s">
        <v>691</v>
      </c>
      <c r="B747" s="28">
        <v>44448</v>
      </c>
      <c r="C747" t="s">
        <v>550</v>
      </c>
      <c r="D747">
        <v>-2761</v>
      </c>
    </row>
    <row r="748" spans="1:4" x14ac:dyDescent="0.35">
      <c r="A748" t="s">
        <v>691</v>
      </c>
      <c r="B748" s="28">
        <v>44448</v>
      </c>
      <c r="C748" t="s">
        <v>550</v>
      </c>
      <c r="D748">
        <v>-2005</v>
      </c>
    </row>
    <row r="749" spans="1:4" x14ac:dyDescent="0.35">
      <c r="A749" t="s">
        <v>691</v>
      </c>
      <c r="B749" s="28">
        <v>44448</v>
      </c>
      <c r="C749" t="s">
        <v>526</v>
      </c>
      <c r="D749">
        <v>-17444</v>
      </c>
    </row>
    <row r="750" spans="1:4" x14ac:dyDescent="0.35">
      <c r="A750" t="s">
        <v>692</v>
      </c>
      <c r="B750" s="28">
        <v>44450</v>
      </c>
      <c r="C750" t="s">
        <v>443</v>
      </c>
      <c r="D750">
        <v>-6107</v>
      </c>
    </row>
    <row r="751" spans="1:4" x14ac:dyDescent="0.35">
      <c r="A751" t="s">
        <v>692</v>
      </c>
      <c r="B751" s="28">
        <v>44450</v>
      </c>
      <c r="C751" t="s">
        <v>537</v>
      </c>
      <c r="D751">
        <v>-2139</v>
      </c>
    </row>
    <row r="752" spans="1:4" x14ac:dyDescent="0.35">
      <c r="A752" t="s">
        <v>692</v>
      </c>
      <c r="B752" s="28">
        <v>44450</v>
      </c>
      <c r="C752" t="s">
        <v>461</v>
      </c>
      <c r="D752">
        <v>-514</v>
      </c>
    </row>
    <row r="753" spans="1:4" x14ac:dyDescent="0.35">
      <c r="A753" t="s">
        <v>692</v>
      </c>
      <c r="B753" s="28">
        <v>44450</v>
      </c>
      <c r="C753" t="s">
        <v>509</v>
      </c>
      <c r="D753">
        <v>-523</v>
      </c>
    </row>
    <row r="754" spans="1:4" x14ac:dyDescent="0.35">
      <c r="A754" t="s">
        <v>692</v>
      </c>
      <c r="B754" s="28">
        <v>44450</v>
      </c>
      <c r="C754" t="s">
        <v>492</v>
      </c>
      <c r="D754">
        <v>-123</v>
      </c>
    </row>
    <row r="755" spans="1:4" x14ac:dyDescent="0.35">
      <c r="A755" t="s">
        <v>692</v>
      </c>
      <c r="B755" s="28">
        <v>44450</v>
      </c>
      <c r="C755" t="s">
        <v>530</v>
      </c>
      <c r="D755">
        <v>-5063</v>
      </c>
    </row>
    <row r="756" spans="1:4" x14ac:dyDescent="0.35">
      <c r="A756" t="s">
        <v>692</v>
      </c>
      <c r="B756" s="28">
        <v>44450</v>
      </c>
      <c r="C756" t="s">
        <v>441</v>
      </c>
      <c r="D756">
        <v>-2038</v>
      </c>
    </row>
    <row r="757" spans="1:4" x14ac:dyDescent="0.35">
      <c r="A757" t="s">
        <v>692</v>
      </c>
      <c r="B757" s="28">
        <v>44450</v>
      </c>
      <c r="C757" t="s">
        <v>470</v>
      </c>
      <c r="D757">
        <v>-1764</v>
      </c>
    </row>
    <row r="758" spans="1:4" x14ac:dyDescent="0.35">
      <c r="A758" t="s">
        <v>697</v>
      </c>
      <c r="B758" s="28">
        <v>44451</v>
      </c>
      <c r="C758" t="s">
        <v>443</v>
      </c>
      <c r="D758">
        <v>-2196</v>
      </c>
    </row>
    <row r="759" spans="1:4" x14ac:dyDescent="0.35">
      <c r="A759" t="s">
        <v>697</v>
      </c>
      <c r="B759" s="28">
        <v>44451</v>
      </c>
      <c r="C759" t="s">
        <v>449</v>
      </c>
      <c r="D759">
        <v>-38</v>
      </c>
    </row>
    <row r="760" spans="1:4" x14ac:dyDescent="0.35">
      <c r="A760" t="s">
        <v>697</v>
      </c>
      <c r="B760" s="28">
        <v>44451</v>
      </c>
      <c r="C760" t="s">
        <v>505</v>
      </c>
      <c r="D760">
        <v>-4939</v>
      </c>
    </row>
    <row r="761" spans="1:4" x14ac:dyDescent="0.35">
      <c r="A761" t="s">
        <v>698</v>
      </c>
      <c r="B761" s="28">
        <v>44452</v>
      </c>
      <c r="C761" t="s">
        <v>566</v>
      </c>
      <c r="D761">
        <v>-100</v>
      </c>
    </row>
    <row r="762" spans="1:4" x14ac:dyDescent="0.35">
      <c r="A762" t="s">
        <v>699</v>
      </c>
      <c r="B762" s="28">
        <v>44453</v>
      </c>
      <c r="C762" t="s">
        <v>449</v>
      </c>
      <c r="D762">
        <v>-1478</v>
      </c>
    </row>
    <row r="763" spans="1:4" x14ac:dyDescent="0.35">
      <c r="A763" t="s">
        <v>699</v>
      </c>
      <c r="B763" s="28">
        <v>44453</v>
      </c>
      <c r="C763" t="s">
        <v>530</v>
      </c>
      <c r="D763">
        <v>-5189</v>
      </c>
    </row>
    <row r="764" spans="1:4" x14ac:dyDescent="0.35">
      <c r="A764" t="s">
        <v>699</v>
      </c>
      <c r="B764" s="28">
        <v>44453</v>
      </c>
      <c r="C764" t="s">
        <v>497</v>
      </c>
      <c r="D764">
        <v>-1688</v>
      </c>
    </row>
    <row r="765" spans="1:4" x14ac:dyDescent="0.35">
      <c r="A765" t="s">
        <v>699</v>
      </c>
      <c r="B765" s="28">
        <v>44453</v>
      </c>
      <c r="C765" t="s">
        <v>526</v>
      </c>
      <c r="D765">
        <v>-15628</v>
      </c>
    </row>
    <row r="766" spans="1:4" x14ac:dyDescent="0.35">
      <c r="A766" t="s">
        <v>699</v>
      </c>
      <c r="B766" s="28">
        <v>44453</v>
      </c>
      <c r="C766" t="s">
        <v>446</v>
      </c>
      <c r="D766">
        <v>-5580</v>
      </c>
    </row>
    <row r="767" spans="1:4" x14ac:dyDescent="0.35">
      <c r="A767" t="s">
        <v>699</v>
      </c>
      <c r="B767" s="28">
        <v>44453</v>
      </c>
      <c r="C767" t="s">
        <v>590</v>
      </c>
      <c r="D767">
        <v>-914</v>
      </c>
    </row>
    <row r="768" spans="1:4" x14ac:dyDescent="0.35">
      <c r="A768" t="s">
        <v>700</v>
      </c>
      <c r="B768" s="28">
        <v>44454</v>
      </c>
      <c r="C768" t="s">
        <v>577</v>
      </c>
      <c r="D768">
        <v>-35</v>
      </c>
    </row>
    <row r="769" spans="1:4" x14ac:dyDescent="0.35">
      <c r="A769" t="s">
        <v>700</v>
      </c>
      <c r="B769" s="28">
        <v>44454</v>
      </c>
      <c r="C769" t="s">
        <v>552</v>
      </c>
      <c r="D769">
        <v>-1996</v>
      </c>
    </row>
    <row r="770" spans="1:4" x14ac:dyDescent="0.35">
      <c r="A770" t="s">
        <v>700</v>
      </c>
      <c r="B770" s="28">
        <v>44454</v>
      </c>
      <c r="C770" t="s">
        <v>530</v>
      </c>
      <c r="D770">
        <v>-4609</v>
      </c>
    </row>
    <row r="771" spans="1:4" x14ac:dyDescent="0.35">
      <c r="A771" t="s">
        <v>700</v>
      </c>
      <c r="B771" s="28">
        <v>44454</v>
      </c>
      <c r="C771" t="s">
        <v>506</v>
      </c>
      <c r="D771">
        <v>-5167</v>
      </c>
    </row>
    <row r="772" spans="1:4" x14ac:dyDescent="0.35">
      <c r="A772" t="s">
        <v>700</v>
      </c>
      <c r="B772" s="28">
        <v>44454</v>
      </c>
      <c r="C772" t="s">
        <v>483</v>
      </c>
      <c r="D772">
        <v>-2537</v>
      </c>
    </row>
    <row r="773" spans="1:4" x14ac:dyDescent="0.35">
      <c r="A773" t="s">
        <v>701</v>
      </c>
      <c r="B773" s="28">
        <v>44455</v>
      </c>
      <c r="C773" t="s">
        <v>443</v>
      </c>
      <c r="D773">
        <v>-1362</v>
      </c>
    </row>
    <row r="774" spans="1:4" x14ac:dyDescent="0.35">
      <c r="A774" t="s">
        <v>701</v>
      </c>
      <c r="B774" s="28">
        <v>44455</v>
      </c>
      <c r="C774" t="s">
        <v>507</v>
      </c>
      <c r="D774">
        <v>-5274</v>
      </c>
    </row>
    <row r="775" spans="1:4" x14ac:dyDescent="0.35">
      <c r="A775" t="s">
        <v>702</v>
      </c>
      <c r="B775" s="28">
        <v>44457</v>
      </c>
      <c r="C775" t="s">
        <v>443</v>
      </c>
      <c r="D775">
        <v>-2499</v>
      </c>
    </row>
    <row r="776" spans="1:4" x14ac:dyDescent="0.35">
      <c r="A776" t="s">
        <v>702</v>
      </c>
      <c r="B776" s="28">
        <v>44457</v>
      </c>
      <c r="C776" t="s">
        <v>449</v>
      </c>
      <c r="D776">
        <v>-4070</v>
      </c>
    </row>
    <row r="777" spans="1:4" x14ac:dyDescent="0.35">
      <c r="A777" t="s">
        <v>702</v>
      </c>
      <c r="B777" s="28">
        <v>44457</v>
      </c>
      <c r="C777" t="s">
        <v>505</v>
      </c>
      <c r="D777">
        <v>-5031</v>
      </c>
    </row>
    <row r="778" spans="1:4" x14ac:dyDescent="0.35">
      <c r="A778" t="s">
        <v>702</v>
      </c>
      <c r="B778" s="28">
        <v>44457</v>
      </c>
      <c r="C778" t="s">
        <v>526</v>
      </c>
      <c r="D778">
        <v>-16727</v>
      </c>
    </row>
    <row r="779" spans="1:4" x14ac:dyDescent="0.35">
      <c r="A779" t="s">
        <v>702</v>
      </c>
      <c r="B779" s="28">
        <v>44457</v>
      </c>
      <c r="C779" t="s">
        <v>478</v>
      </c>
      <c r="D779">
        <v>-272</v>
      </c>
    </row>
    <row r="780" spans="1:4" x14ac:dyDescent="0.35">
      <c r="A780" t="s">
        <v>702</v>
      </c>
      <c r="B780" s="28">
        <v>44457</v>
      </c>
      <c r="C780" t="s">
        <v>483</v>
      </c>
      <c r="D780">
        <v>-2523</v>
      </c>
    </row>
    <row r="781" spans="1:4" x14ac:dyDescent="0.35">
      <c r="A781" t="s">
        <v>703</v>
      </c>
      <c r="B781" s="28">
        <v>44458</v>
      </c>
      <c r="C781" t="s">
        <v>443</v>
      </c>
      <c r="D781">
        <v>-2054</v>
      </c>
    </row>
    <row r="782" spans="1:4" x14ac:dyDescent="0.35">
      <c r="A782" t="s">
        <v>703</v>
      </c>
      <c r="B782" s="28">
        <v>44458</v>
      </c>
      <c r="C782" t="s">
        <v>474</v>
      </c>
      <c r="D782">
        <v>-500</v>
      </c>
    </row>
    <row r="783" spans="1:4" x14ac:dyDescent="0.35">
      <c r="A783" t="s">
        <v>703</v>
      </c>
      <c r="B783" s="28">
        <v>44458</v>
      </c>
      <c r="C783" t="s">
        <v>461</v>
      </c>
      <c r="D783">
        <v>-512</v>
      </c>
    </row>
    <row r="784" spans="1:4" x14ac:dyDescent="0.35">
      <c r="A784" t="s">
        <v>703</v>
      </c>
      <c r="B784" s="28">
        <v>44458</v>
      </c>
      <c r="C784" t="s">
        <v>449</v>
      </c>
      <c r="D784">
        <v>-2030</v>
      </c>
    </row>
    <row r="785" spans="1:4" x14ac:dyDescent="0.35">
      <c r="A785" t="s">
        <v>703</v>
      </c>
      <c r="B785" s="28">
        <v>44458</v>
      </c>
      <c r="C785" t="s">
        <v>451</v>
      </c>
      <c r="D785">
        <v>-1513</v>
      </c>
    </row>
    <row r="786" spans="1:4" x14ac:dyDescent="0.35">
      <c r="A786" t="s">
        <v>703</v>
      </c>
      <c r="B786" s="28">
        <v>44458</v>
      </c>
      <c r="C786" t="s">
        <v>492</v>
      </c>
      <c r="D786">
        <v>-974</v>
      </c>
    </row>
    <row r="787" spans="1:4" x14ac:dyDescent="0.35">
      <c r="A787" t="s">
        <v>703</v>
      </c>
      <c r="B787" s="28">
        <v>44458</v>
      </c>
      <c r="C787" t="s">
        <v>507</v>
      </c>
      <c r="D787">
        <v>-2922</v>
      </c>
    </row>
    <row r="788" spans="1:4" x14ac:dyDescent="0.35">
      <c r="A788" t="s">
        <v>703</v>
      </c>
      <c r="B788" s="28">
        <v>44458</v>
      </c>
      <c r="C788" t="s">
        <v>590</v>
      </c>
      <c r="D788">
        <v>-892</v>
      </c>
    </row>
    <row r="789" spans="1:4" x14ac:dyDescent="0.35">
      <c r="A789" t="s">
        <v>703</v>
      </c>
      <c r="B789" s="28">
        <v>44458</v>
      </c>
      <c r="C789" t="s">
        <v>492</v>
      </c>
      <c r="D789">
        <v>-1006</v>
      </c>
    </row>
    <row r="790" spans="1:4" x14ac:dyDescent="0.35">
      <c r="A790" t="s">
        <v>703</v>
      </c>
      <c r="B790" s="28">
        <v>44458</v>
      </c>
      <c r="C790" t="s">
        <v>507</v>
      </c>
      <c r="D790">
        <v>-1390</v>
      </c>
    </row>
    <row r="791" spans="1:4" x14ac:dyDescent="0.35">
      <c r="A791" t="s">
        <v>705</v>
      </c>
      <c r="B791" s="28">
        <v>44459</v>
      </c>
      <c r="C791" t="s">
        <v>443</v>
      </c>
      <c r="D791">
        <v>-942</v>
      </c>
    </row>
    <row r="792" spans="1:4" x14ac:dyDescent="0.35">
      <c r="A792" t="s">
        <v>705</v>
      </c>
      <c r="B792" s="28">
        <v>44459</v>
      </c>
      <c r="C792" t="s">
        <v>449</v>
      </c>
      <c r="D792">
        <v>-1858</v>
      </c>
    </row>
    <row r="793" spans="1:4" x14ac:dyDescent="0.35">
      <c r="A793" t="s">
        <v>705</v>
      </c>
      <c r="B793" s="28">
        <v>44459</v>
      </c>
      <c r="C793" t="s">
        <v>526</v>
      </c>
      <c r="D793">
        <v>-3804</v>
      </c>
    </row>
    <row r="794" spans="1:4" x14ac:dyDescent="0.35">
      <c r="A794" t="s">
        <v>705</v>
      </c>
      <c r="B794" s="28">
        <v>44459</v>
      </c>
      <c r="C794" t="s">
        <v>665</v>
      </c>
      <c r="D794">
        <v>-350</v>
      </c>
    </row>
    <row r="795" spans="1:4" x14ac:dyDescent="0.35">
      <c r="A795" t="s">
        <v>705</v>
      </c>
      <c r="B795" s="28">
        <v>44459</v>
      </c>
      <c r="C795" t="s">
        <v>492</v>
      </c>
      <c r="D795">
        <v>-979</v>
      </c>
    </row>
    <row r="796" spans="1:4" x14ac:dyDescent="0.35">
      <c r="A796" t="s">
        <v>705</v>
      </c>
      <c r="B796" s="28">
        <v>44459</v>
      </c>
      <c r="C796" t="s">
        <v>530</v>
      </c>
      <c r="D796">
        <v>-4210</v>
      </c>
    </row>
    <row r="797" spans="1:4" x14ac:dyDescent="0.35">
      <c r="A797" t="s">
        <v>706</v>
      </c>
      <c r="B797" s="28">
        <v>44460</v>
      </c>
      <c r="C797" t="s">
        <v>481</v>
      </c>
      <c r="D797">
        <v>-2058</v>
      </c>
    </row>
    <row r="798" spans="1:4" x14ac:dyDescent="0.35">
      <c r="A798" t="s">
        <v>707</v>
      </c>
      <c r="B798" s="28">
        <v>44461</v>
      </c>
      <c r="C798" t="s">
        <v>449</v>
      </c>
      <c r="D798">
        <v>-1932</v>
      </c>
    </row>
    <row r="799" spans="1:4" x14ac:dyDescent="0.35">
      <c r="A799" t="s">
        <v>707</v>
      </c>
      <c r="B799" s="28">
        <v>44461</v>
      </c>
      <c r="C799" t="s">
        <v>441</v>
      </c>
      <c r="D799">
        <v>-502</v>
      </c>
    </row>
    <row r="800" spans="1:4" x14ac:dyDescent="0.35">
      <c r="A800" t="s">
        <v>707</v>
      </c>
      <c r="B800" s="28">
        <v>44461</v>
      </c>
      <c r="C800" t="s">
        <v>501</v>
      </c>
      <c r="D800">
        <v>-3181</v>
      </c>
    </row>
    <row r="801" spans="1:4" x14ac:dyDescent="0.35">
      <c r="A801" t="s">
        <v>707</v>
      </c>
      <c r="B801" s="28">
        <v>44461</v>
      </c>
      <c r="C801" t="s">
        <v>507</v>
      </c>
      <c r="D801">
        <v>-16916</v>
      </c>
    </row>
    <row r="802" spans="1:4" x14ac:dyDescent="0.35">
      <c r="A802" t="s">
        <v>707</v>
      </c>
      <c r="B802" s="28">
        <v>44461</v>
      </c>
      <c r="C802" t="s">
        <v>485</v>
      </c>
      <c r="D802">
        <v>-498</v>
      </c>
    </row>
    <row r="803" spans="1:4" x14ac:dyDescent="0.35">
      <c r="A803" t="s">
        <v>707</v>
      </c>
      <c r="B803" s="28">
        <v>44461</v>
      </c>
      <c r="C803" t="s">
        <v>590</v>
      </c>
      <c r="D803">
        <v>-1000</v>
      </c>
    </row>
    <row r="804" spans="1:4" x14ac:dyDescent="0.35">
      <c r="A804" t="s">
        <v>708</v>
      </c>
      <c r="B804" s="28">
        <v>44462</v>
      </c>
      <c r="C804" t="s">
        <v>495</v>
      </c>
      <c r="D804">
        <v>-200</v>
      </c>
    </row>
    <row r="805" spans="1:4" x14ac:dyDescent="0.35">
      <c r="A805" t="s">
        <v>708</v>
      </c>
      <c r="B805" s="28">
        <v>44462</v>
      </c>
      <c r="C805" t="s">
        <v>441</v>
      </c>
      <c r="D805">
        <v>-3899</v>
      </c>
    </row>
    <row r="806" spans="1:4" x14ac:dyDescent="0.35">
      <c r="A806" t="s">
        <v>708</v>
      </c>
      <c r="B806" s="28">
        <v>44462</v>
      </c>
      <c r="C806" t="s">
        <v>497</v>
      </c>
      <c r="D806">
        <v>-1980</v>
      </c>
    </row>
    <row r="807" spans="1:4" x14ac:dyDescent="0.35">
      <c r="A807" t="s">
        <v>708</v>
      </c>
      <c r="B807" s="28">
        <v>44462</v>
      </c>
      <c r="C807" t="s">
        <v>554</v>
      </c>
      <c r="D807">
        <v>-691</v>
      </c>
    </row>
    <row r="808" spans="1:4" x14ac:dyDescent="0.35">
      <c r="A808" t="s">
        <v>708</v>
      </c>
      <c r="B808" s="28">
        <v>44462</v>
      </c>
      <c r="C808" t="s">
        <v>546</v>
      </c>
      <c r="D808">
        <v>-1776</v>
      </c>
    </row>
    <row r="809" spans="1:4" x14ac:dyDescent="0.35">
      <c r="A809" t="s">
        <v>709</v>
      </c>
      <c r="B809" s="28">
        <v>44464</v>
      </c>
      <c r="C809" t="s">
        <v>443</v>
      </c>
      <c r="D809">
        <v>-2654</v>
      </c>
    </row>
    <row r="810" spans="1:4" x14ac:dyDescent="0.35">
      <c r="A810" t="s">
        <v>709</v>
      </c>
      <c r="B810" s="28">
        <v>44464</v>
      </c>
      <c r="C810" t="s">
        <v>461</v>
      </c>
      <c r="D810">
        <v>-152</v>
      </c>
    </row>
    <row r="811" spans="1:4" x14ac:dyDescent="0.35">
      <c r="A811" t="s">
        <v>709</v>
      </c>
      <c r="B811" s="28">
        <v>44464</v>
      </c>
      <c r="C811" t="s">
        <v>511</v>
      </c>
      <c r="D811">
        <v>-1498</v>
      </c>
    </row>
    <row r="812" spans="1:4" x14ac:dyDescent="0.35">
      <c r="A812" t="s">
        <v>709</v>
      </c>
      <c r="B812" s="28">
        <v>44464</v>
      </c>
      <c r="C812" t="s">
        <v>449</v>
      </c>
      <c r="D812">
        <v>-4059</v>
      </c>
    </row>
    <row r="813" spans="1:4" x14ac:dyDescent="0.35">
      <c r="A813" t="s">
        <v>709</v>
      </c>
      <c r="B813" s="28">
        <v>44464</v>
      </c>
      <c r="C813" t="s">
        <v>505</v>
      </c>
      <c r="D813">
        <v>-5071</v>
      </c>
    </row>
    <row r="814" spans="1:4" x14ac:dyDescent="0.35">
      <c r="A814" t="s">
        <v>709</v>
      </c>
      <c r="B814" s="28">
        <v>44464</v>
      </c>
      <c r="C814" t="s">
        <v>441</v>
      </c>
      <c r="D814">
        <v>-2028</v>
      </c>
    </row>
    <row r="815" spans="1:4" x14ac:dyDescent="0.35">
      <c r="A815" t="s">
        <v>709</v>
      </c>
      <c r="B815" s="28">
        <v>44464</v>
      </c>
      <c r="C815" t="s">
        <v>507</v>
      </c>
      <c r="D815">
        <v>-3936</v>
      </c>
    </row>
    <row r="816" spans="1:4" x14ac:dyDescent="0.35">
      <c r="A816" t="s">
        <v>712</v>
      </c>
      <c r="B816" s="28">
        <v>44465</v>
      </c>
      <c r="C816" t="s">
        <v>443</v>
      </c>
      <c r="D816">
        <v>-2038</v>
      </c>
    </row>
    <row r="817" spans="1:4" x14ac:dyDescent="0.35">
      <c r="A817" t="s">
        <v>712</v>
      </c>
      <c r="B817" s="28">
        <v>44465</v>
      </c>
      <c r="C817" t="s">
        <v>489</v>
      </c>
      <c r="D817">
        <v>-857</v>
      </c>
    </row>
    <row r="818" spans="1:4" x14ac:dyDescent="0.35">
      <c r="A818" t="s">
        <v>712</v>
      </c>
      <c r="B818" s="28">
        <v>44465</v>
      </c>
      <c r="C818" t="s">
        <v>577</v>
      </c>
      <c r="D818">
        <v>-660</v>
      </c>
    </row>
    <row r="819" spans="1:4" x14ac:dyDescent="0.35">
      <c r="A819" t="s">
        <v>712</v>
      </c>
      <c r="B819" s="28">
        <v>44465</v>
      </c>
      <c r="C819" t="s">
        <v>566</v>
      </c>
      <c r="D819">
        <v>-406</v>
      </c>
    </row>
    <row r="820" spans="1:4" x14ac:dyDescent="0.35">
      <c r="A820" t="s">
        <v>712</v>
      </c>
      <c r="B820" s="28">
        <v>44465</v>
      </c>
      <c r="C820" t="s">
        <v>441</v>
      </c>
      <c r="D820">
        <v>-2181</v>
      </c>
    </row>
    <row r="821" spans="1:4" x14ac:dyDescent="0.35">
      <c r="A821" t="s">
        <v>712</v>
      </c>
      <c r="B821" s="28">
        <v>44465</v>
      </c>
      <c r="C821" t="s">
        <v>590</v>
      </c>
      <c r="D821">
        <v>-998</v>
      </c>
    </row>
    <row r="822" spans="1:4" x14ac:dyDescent="0.35">
      <c r="A822" t="s">
        <v>712</v>
      </c>
      <c r="B822" s="28">
        <v>44465</v>
      </c>
      <c r="C822" t="s">
        <v>507</v>
      </c>
      <c r="D822">
        <v>-2472</v>
      </c>
    </row>
    <row r="823" spans="1:4" x14ac:dyDescent="0.35">
      <c r="A823" t="s">
        <v>713</v>
      </c>
      <c r="B823" s="28">
        <v>44467</v>
      </c>
      <c r="C823" t="s">
        <v>449</v>
      </c>
      <c r="D823">
        <v>-2280</v>
      </c>
    </row>
    <row r="824" spans="1:4" x14ac:dyDescent="0.35">
      <c r="A824" t="s">
        <v>713</v>
      </c>
      <c r="B824" s="28">
        <v>44467</v>
      </c>
      <c r="C824" t="s">
        <v>714</v>
      </c>
      <c r="D824">
        <v>-642</v>
      </c>
    </row>
    <row r="825" spans="1:4" x14ac:dyDescent="0.35">
      <c r="A825" t="s">
        <v>713</v>
      </c>
      <c r="B825" s="28">
        <v>44467</v>
      </c>
      <c r="C825" t="s">
        <v>530</v>
      </c>
      <c r="D825">
        <v>-5202</v>
      </c>
    </row>
    <row r="826" spans="1:4" x14ac:dyDescent="0.35">
      <c r="A826" t="s">
        <v>713</v>
      </c>
      <c r="B826" s="28">
        <v>44467</v>
      </c>
      <c r="C826" t="s">
        <v>441</v>
      </c>
      <c r="D826">
        <v>-2255</v>
      </c>
    </row>
    <row r="827" spans="1:4" x14ac:dyDescent="0.35">
      <c r="A827" t="s">
        <v>713</v>
      </c>
      <c r="B827" s="28">
        <v>44467</v>
      </c>
      <c r="C827" t="s">
        <v>470</v>
      </c>
      <c r="D827">
        <v>-1672</v>
      </c>
    </row>
    <row r="828" spans="1:4" x14ac:dyDescent="0.35">
      <c r="A828" t="s">
        <v>713</v>
      </c>
      <c r="B828" s="28">
        <v>44467</v>
      </c>
      <c r="C828" t="s">
        <v>506</v>
      </c>
      <c r="D828">
        <v>-4999</v>
      </c>
    </row>
    <row r="829" spans="1:4" x14ac:dyDescent="0.35">
      <c r="A829" t="s">
        <v>713</v>
      </c>
      <c r="B829" s="28">
        <v>44467</v>
      </c>
      <c r="C829" t="s">
        <v>526</v>
      </c>
      <c r="D829">
        <v>-15008</v>
      </c>
    </row>
    <row r="830" spans="1:4" x14ac:dyDescent="0.35">
      <c r="A830" t="s">
        <v>713</v>
      </c>
      <c r="B830" s="28">
        <v>44467</v>
      </c>
      <c r="C830" t="s">
        <v>507</v>
      </c>
      <c r="D830">
        <v>-3368</v>
      </c>
    </row>
    <row r="831" spans="1:4" x14ac:dyDescent="0.35">
      <c r="A831" t="s">
        <v>715</v>
      </c>
      <c r="B831" s="28">
        <v>44468</v>
      </c>
      <c r="C831" t="s">
        <v>443</v>
      </c>
      <c r="D831">
        <v>-4593</v>
      </c>
    </row>
    <row r="832" spans="1:4" x14ac:dyDescent="0.35">
      <c r="A832" t="s">
        <v>715</v>
      </c>
      <c r="B832" s="28">
        <v>44468</v>
      </c>
      <c r="C832" t="s">
        <v>505</v>
      </c>
      <c r="D832">
        <v>-4852</v>
      </c>
    </row>
    <row r="833" spans="1:4" x14ac:dyDescent="0.35">
      <c r="A833" t="s">
        <v>715</v>
      </c>
      <c r="B833" s="28">
        <v>44468</v>
      </c>
      <c r="C833" t="s">
        <v>530</v>
      </c>
      <c r="D833">
        <v>-4685</v>
      </c>
    </row>
    <row r="834" spans="1:4" x14ac:dyDescent="0.35">
      <c r="A834" t="s">
        <v>715</v>
      </c>
      <c r="B834" s="28">
        <v>44468</v>
      </c>
      <c r="C834" t="s">
        <v>441</v>
      </c>
      <c r="D834">
        <v>-1504</v>
      </c>
    </row>
    <row r="835" spans="1:4" x14ac:dyDescent="0.35">
      <c r="A835" t="s">
        <v>715</v>
      </c>
      <c r="B835" s="28">
        <v>44468</v>
      </c>
      <c r="C835" t="s">
        <v>590</v>
      </c>
      <c r="D835">
        <v>-2046</v>
      </c>
    </row>
    <row r="836" spans="1:4" x14ac:dyDescent="0.35">
      <c r="A836" t="s">
        <v>716</v>
      </c>
      <c r="B836" s="28">
        <v>44469</v>
      </c>
      <c r="C836" t="s">
        <v>489</v>
      </c>
      <c r="D836">
        <v>-83</v>
      </c>
    </row>
    <row r="837" spans="1:4" x14ac:dyDescent="0.35">
      <c r="A837" t="s">
        <v>716</v>
      </c>
      <c r="B837" s="28">
        <v>44469</v>
      </c>
      <c r="C837" t="s">
        <v>530</v>
      </c>
      <c r="D837">
        <v>-4153</v>
      </c>
    </row>
    <row r="838" spans="1:4" x14ac:dyDescent="0.35">
      <c r="A838" t="s">
        <v>716</v>
      </c>
      <c r="B838" s="28">
        <v>44469</v>
      </c>
      <c r="C838" t="s">
        <v>446</v>
      </c>
      <c r="D838">
        <v>-3277</v>
      </c>
    </row>
    <row r="839" spans="1:4" x14ac:dyDescent="0.35">
      <c r="A839" t="s">
        <v>716</v>
      </c>
      <c r="B839" s="28">
        <v>44469</v>
      </c>
      <c r="C839" t="s">
        <v>507</v>
      </c>
      <c r="D839">
        <v>-3425</v>
      </c>
    </row>
    <row r="840" spans="1:4" x14ac:dyDescent="0.35">
      <c r="A840" t="s">
        <v>717</v>
      </c>
      <c r="B840" s="28">
        <v>44471</v>
      </c>
      <c r="C840" t="s">
        <v>449</v>
      </c>
      <c r="D840">
        <v>-1326</v>
      </c>
    </row>
    <row r="841" spans="1:4" x14ac:dyDescent="0.35">
      <c r="A841" t="s">
        <v>717</v>
      </c>
      <c r="B841" s="28">
        <v>44471</v>
      </c>
      <c r="C841" t="s">
        <v>502</v>
      </c>
      <c r="D841">
        <v>-1231</v>
      </c>
    </row>
    <row r="842" spans="1:4" x14ac:dyDescent="0.35">
      <c r="A842" t="s">
        <v>717</v>
      </c>
      <c r="B842" s="28">
        <v>44471</v>
      </c>
      <c r="C842" t="s">
        <v>441</v>
      </c>
      <c r="D842">
        <v>-1551</v>
      </c>
    </row>
    <row r="843" spans="1:4" x14ac:dyDescent="0.35">
      <c r="A843" t="s">
        <v>718</v>
      </c>
      <c r="B843" s="28">
        <v>44472</v>
      </c>
      <c r="C843" t="s">
        <v>443</v>
      </c>
      <c r="D843">
        <v>-4678</v>
      </c>
    </row>
    <row r="844" spans="1:4" x14ac:dyDescent="0.35">
      <c r="A844" t="s">
        <v>718</v>
      </c>
      <c r="B844" s="28">
        <v>44472</v>
      </c>
      <c r="C844" t="s">
        <v>509</v>
      </c>
      <c r="D844">
        <v>-1581</v>
      </c>
    </row>
    <row r="845" spans="1:4" x14ac:dyDescent="0.35">
      <c r="A845" t="s">
        <v>718</v>
      </c>
      <c r="B845" s="28">
        <v>44472</v>
      </c>
      <c r="C845" t="s">
        <v>492</v>
      </c>
      <c r="D845">
        <v>-126</v>
      </c>
    </row>
    <row r="846" spans="1:4" x14ac:dyDescent="0.35">
      <c r="A846" t="s">
        <v>718</v>
      </c>
      <c r="B846" s="28">
        <v>44472</v>
      </c>
      <c r="C846" t="s">
        <v>441</v>
      </c>
      <c r="D846">
        <v>-1038</v>
      </c>
    </row>
    <row r="847" spans="1:4" x14ac:dyDescent="0.35">
      <c r="A847" t="s">
        <v>718</v>
      </c>
      <c r="B847" s="28">
        <v>44472</v>
      </c>
      <c r="C847" t="s">
        <v>507</v>
      </c>
      <c r="D847">
        <v>-702</v>
      </c>
    </row>
    <row r="848" spans="1:4" x14ac:dyDescent="0.35">
      <c r="A848" t="s">
        <v>718</v>
      </c>
      <c r="B848" s="28">
        <v>44472</v>
      </c>
      <c r="C848" t="s">
        <v>499</v>
      </c>
      <c r="D848">
        <v>-2103</v>
      </c>
    </row>
    <row r="849" spans="1:4" x14ac:dyDescent="0.35">
      <c r="A849" t="s">
        <v>718</v>
      </c>
      <c r="B849" s="28">
        <v>44472</v>
      </c>
      <c r="C849" t="s">
        <v>526</v>
      </c>
      <c r="D849">
        <v>-15452</v>
      </c>
    </row>
    <row r="850" spans="1:4" x14ac:dyDescent="0.35">
      <c r="A850" t="s">
        <v>718</v>
      </c>
      <c r="B850" s="28">
        <v>44472</v>
      </c>
      <c r="C850" t="s">
        <v>590</v>
      </c>
      <c r="D850">
        <v>-1016</v>
      </c>
    </row>
    <row r="851" spans="1:4" x14ac:dyDescent="0.35">
      <c r="A851" t="s">
        <v>718</v>
      </c>
      <c r="B851" s="28">
        <v>44472</v>
      </c>
      <c r="C851" t="s">
        <v>494</v>
      </c>
      <c r="D851">
        <v>-5052</v>
      </c>
    </row>
    <row r="852" spans="1:4" x14ac:dyDescent="0.35">
      <c r="A852" t="s">
        <v>720</v>
      </c>
      <c r="B852" s="28">
        <v>44473</v>
      </c>
      <c r="C852" t="s">
        <v>443</v>
      </c>
      <c r="D852">
        <v>-1783</v>
      </c>
    </row>
    <row r="853" spans="1:4" x14ac:dyDescent="0.35">
      <c r="A853" t="s">
        <v>720</v>
      </c>
      <c r="B853" s="28">
        <v>44473</v>
      </c>
      <c r="C853" t="s">
        <v>474</v>
      </c>
      <c r="D853">
        <v>-499</v>
      </c>
    </row>
    <row r="854" spans="1:4" x14ac:dyDescent="0.35">
      <c r="A854" t="s">
        <v>720</v>
      </c>
      <c r="B854" s="28">
        <v>44473</v>
      </c>
      <c r="C854" t="s">
        <v>505</v>
      </c>
      <c r="D854">
        <v>-4812</v>
      </c>
    </row>
    <row r="855" spans="1:4" x14ac:dyDescent="0.35">
      <c r="A855" t="s">
        <v>720</v>
      </c>
      <c r="B855" s="28">
        <v>44473</v>
      </c>
      <c r="C855" t="s">
        <v>530</v>
      </c>
      <c r="D855">
        <v>-2710</v>
      </c>
    </row>
    <row r="856" spans="1:4" x14ac:dyDescent="0.35">
      <c r="A856" t="s">
        <v>720</v>
      </c>
      <c r="B856" s="28">
        <v>44473</v>
      </c>
      <c r="C856" t="s">
        <v>456</v>
      </c>
      <c r="D856">
        <v>-4802</v>
      </c>
    </row>
    <row r="857" spans="1:4" x14ac:dyDescent="0.35">
      <c r="A857" t="s">
        <v>720</v>
      </c>
      <c r="B857" s="28">
        <v>44473</v>
      </c>
      <c r="C857" t="s">
        <v>590</v>
      </c>
      <c r="D857">
        <v>-1010</v>
      </c>
    </row>
    <row r="858" spans="1:4" x14ac:dyDescent="0.35">
      <c r="A858" t="s">
        <v>722</v>
      </c>
      <c r="B858" s="28">
        <v>44478</v>
      </c>
      <c r="C858" t="s">
        <v>537</v>
      </c>
      <c r="D858">
        <v>-956</v>
      </c>
    </row>
    <row r="859" spans="1:4" x14ac:dyDescent="0.35">
      <c r="A859" t="s">
        <v>722</v>
      </c>
      <c r="B859" s="28">
        <v>44478</v>
      </c>
      <c r="C859" t="s">
        <v>511</v>
      </c>
      <c r="D859">
        <v>-500</v>
      </c>
    </row>
    <row r="860" spans="1:4" x14ac:dyDescent="0.35">
      <c r="A860" t="s">
        <v>722</v>
      </c>
      <c r="B860" s="28">
        <v>44478</v>
      </c>
      <c r="C860" t="s">
        <v>509</v>
      </c>
      <c r="D860">
        <v>-1428</v>
      </c>
    </row>
    <row r="861" spans="1:4" x14ac:dyDescent="0.35">
      <c r="A861" t="s">
        <v>722</v>
      </c>
      <c r="B861" s="28">
        <v>44478</v>
      </c>
      <c r="C861" t="s">
        <v>550</v>
      </c>
      <c r="D861">
        <v>-2026</v>
      </c>
    </row>
    <row r="862" spans="1:4" x14ac:dyDescent="0.35">
      <c r="A862" t="s">
        <v>722</v>
      </c>
      <c r="B862" s="28">
        <v>44478</v>
      </c>
      <c r="C862" t="s">
        <v>441</v>
      </c>
      <c r="D862">
        <v>-2019</v>
      </c>
    </row>
    <row r="863" spans="1:4" x14ac:dyDescent="0.35">
      <c r="A863" t="s">
        <v>722</v>
      </c>
      <c r="B863" s="28">
        <v>44478</v>
      </c>
      <c r="C863" t="s">
        <v>509</v>
      </c>
      <c r="D863">
        <v>-487</v>
      </c>
    </row>
    <row r="864" spans="1:4" x14ac:dyDescent="0.35">
      <c r="A864" t="s">
        <v>723</v>
      </c>
      <c r="B864" s="28">
        <v>44479</v>
      </c>
      <c r="C864" t="s">
        <v>449</v>
      </c>
      <c r="D864">
        <v>-1697</v>
      </c>
    </row>
    <row r="865" spans="1:4" x14ac:dyDescent="0.35">
      <c r="A865" t="s">
        <v>723</v>
      </c>
      <c r="B865" s="28">
        <v>44479</v>
      </c>
      <c r="C865" t="s">
        <v>489</v>
      </c>
      <c r="D865">
        <v>-703</v>
      </c>
    </row>
    <row r="866" spans="1:4" x14ac:dyDescent="0.35">
      <c r="A866" t="s">
        <v>723</v>
      </c>
      <c r="B866" s="28">
        <v>44479</v>
      </c>
      <c r="C866" t="s">
        <v>654</v>
      </c>
      <c r="D866">
        <v>-853</v>
      </c>
    </row>
    <row r="867" spans="1:4" x14ac:dyDescent="0.35">
      <c r="A867" t="s">
        <v>723</v>
      </c>
      <c r="B867" s="28">
        <v>44479</v>
      </c>
      <c r="C867" t="s">
        <v>530</v>
      </c>
      <c r="D867">
        <v>-4879</v>
      </c>
    </row>
    <row r="868" spans="1:4" x14ac:dyDescent="0.35">
      <c r="A868" t="s">
        <v>723</v>
      </c>
      <c r="B868" s="28">
        <v>44479</v>
      </c>
      <c r="C868" t="s">
        <v>441</v>
      </c>
      <c r="D868">
        <v>-2100</v>
      </c>
    </row>
    <row r="869" spans="1:4" x14ac:dyDescent="0.35">
      <c r="A869" t="s">
        <v>723</v>
      </c>
      <c r="B869" s="28">
        <v>44479</v>
      </c>
      <c r="C869" t="s">
        <v>504</v>
      </c>
      <c r="D869">
        <v>-5567</v>
      </c>
    </row>
    <row r="870" spans="1:4" x14ac:dyDescent="0.35">
      <c r="A870" t="s">
        <v>723</v>
      </c>
      <c r="B870" s="28">
        <v>44479</v>
      </c>
      <c r="C870" t="s">
        <v>526</v>
      </c>
      <c r="D870">
        <v>-15341</v>
      </c>
    </row>
    <row r="871" spans="1:4" x14ac:dyDescent="0.35">
      <c r="A871" t="s">
        <v>726</v>
      </c>
      <c r="B871" s="28">
        <v>44480</v>
      </c>
      <c r="C871" t="s">
        <v>443</v>
      </c>
      <c r="D871">
        <v>-1150</v>
      </c>
    </row>
    <row r="872" spans="1:4" x14ac:dyDescent="0.35">
      <c r="A872" t="s">
        <v>726</v>
      </c>
      <c r="B872" s="28">
        <v>44480</v>
      </c>
      <c r="C872" t="s">
        <v>449</v>
      </c>
      <c r="D872">
        <v>-3806</v>
      </c>
    </row>
    <row r="873" spans="1:4" x14ac:dyDescent="0.35">
      <c r="A873" t="s">
        <v>726</v>
      </c>
      <c r="B873" s="28">
        <v>44480</v>
      </c>
      <c r="C873" t="s">
        <v>505</v>
      </c>
      <c r="D873">
        <v>-4626</v>
      </c>
    </row>
    <row r="874" spans="1:4" x14ac:dyDescent="0.35">
      <c r="A874" t="s">
        <v>726</v>
      </c>
      <c r="B874" s="28">
        <v>44480</v>
      </c>
      <c r="C874" t="s">
        <v>513</v>
      </c>
      <c r="D874">
        <v>-12</v>
      </c>
    </row>
    <row r="875" spans="1:4" x14ac:dyDescent="0.35">
      <c r="A875" t="s">
        <v>726</v>
      </c>
      <c r="B875" s="28">
        <v>44480</v>
      </c>
      <c r="C875" t="s">
        <v>621</v>
      </c>
      <c r="D875">
        <v>-854</v>
      </c>
    </row>
    <row r="876" spans="1:4" x14ac:dyDescent="0.35">
      <c r="A876" t="s">
        <v>727</v>
      </c>
      <c r="B876" s="28">
        <v>44481</v>
      </c>
      <c r="C876" t="s">
        <v>451</v>
      </c>
      <c r="D876">
        <v>-938</v>
      </c>
    </row>
    <row r="877" spans="1:4" x14ac:dyDescent="0.35">
      <c r="A877" t="s">
        <v>727</v>
      </c>
      <c r="B877" s="28">
        <v>44481</v>
      </c>
      <c r="C877" t="s">
        <v>492</v>
      </c>
      <c r="D877">
        <v>-983</v>
      </c>
    </row>
    <row r="878" spans="1:4" x14ac:dyDescent="0.35">
      <c r="A878" t="s">
        <v>727</v>
      </c>
      <c r="B878" s="28">
        <v>44481</v>
      </c>
      <c r="C878" t="s">
        <v>441</v>
      </c>
      <c r="D878">
        <v>-2113</v>
      </c>
    </row>
    <row r="879" spans="1:4" x14ac:dyDescent="0.35">
      <c r="A879" t="s">
        <v>727</v>
      </c>
      <c r="B879" s="28">
        <v>44481</v>
      </c>
      <c r="C879" t="s">
        <v>499</v>
      </c>
      <c r="D879">
        <v>-1841</v>
      </c>
    </row>
    <row r="880" spans="1:4" x14ac:dyDescent="0.35">
      <c r="A880" t="s">
        <v>727</v>
      </c>
      <c r="B880" s="28">
        <v>44481</v>
      </c>
      <c r="C880" t="s">
        <v>472</v>
      </c>
      <c r="D880">
        <v>-2112</v>
      </c>
    </row>
    <row r="881" spans="1:4" x14ac:dyDescent="0.35">
      <c r="A881" t="s">
        <v>727</v>
      </c>
      <c r="B881" s="28">
        <v>44481</v>
      </c>
      <c r="C881" t="s">
        <v>494</v>
      </c>
      <c r="D881">
        <v>-4327</v>
      </c>
    </row>
    <row r="882" spans="1:4" x14ac:dyDescent="0.35">
      <c r="A882" t="s">
        <v>727</v>
      </c>
      <c r="B882" s="28">
        <v>44481</v>
      </c>
      <c r="C882" t="s">
        <v>492</v>
      </c>
      <c r="D882">
        <v>-153</v>
      </c>
    </row>
    <row r="883" spans="1:4" x14ac:dyDescent="0.35">
      <c r="A883" t="s">
        <v>729</v>
      </c>
      <c r="B883" s="28">
        <v>44482</v>
      </c>
      <c r="C883" t="s">
        <v>443</v>
      </c>
      <c r="D883">
        <v>-3169</v>
      </c>
    </row>
    <row r="884" spans="1:4" x14ac:dyDescent="0.35">
      <c r="A884" t="s">
        <v>729</v>
      </c>
      <c r="B884" s="28">
        <v>44482</v>
      </c>
      <c r="C884" t="s">
        <v>509</v>
      </c>
      <c r="D884">
        <v>-503</v>
      </c>
    </row>
    <row r="885" spans="1:4" x14ac:dyDescent="0.35">
      <c r="A885" t="s">
        <v>730</v>
      </c>
      <c r="B885" s="28">
        <v>44483</v>
      </c>
      <c r="C885" t="s">
        <v>461</v>
      </c>
      <c r="D885">
        <v>-494</v>
      </c>
    </row>
    <row r="886" spans="1:4" x14ac:dyDescent="0.35">
      <c r="A886" t="s">
        <v>730</v>
      </c>
      <c r="B886" s="28">
        <v>44483</v>
      </c>
      <c r="C886" t="s">
        <v>526</v>
      </c>
      <c r="D886">
        <v>-16631</v>
      </c>
    </row>
    <row r="887" spans="1:4" x14ac:dyDescent="0.35">
      <c r="A887" t="s">
        <v>730</v>
      </c>
      <c r="B887" s="28">
        <v>44483</v>
      </c>
      <c r="C887" t="s">
        <v>530</v>
      </c>
      <c r="D887">
        <v>-4766</v>
      </c>
    </row>
    <row r="888" spans="1:4" x14ac:dyDescent="0.35">
      <c r="A888" t="s">
        <v>731</v>
      </c>
      <c r="B888" s="28">
        <v>44485</v>
      </c>
      <c r="C888" t="s">
        <v>443</v>
      </c>
      <c r="D888">
        <v>-3050</v>
      </c>
    </row>
    <row r="889" spans="1:4" x14ac:dyDescent="0.35">
      <c r="A889" t="s">
        <v>731</v>
      </c>
      <c r="B889" s="28">
        <v>44485</v>
      </c>
      <c r="C889" t="s">
        <v>461</v>
      </c>
      <c r="D889">
        <v>-77</v>
      </c>
    </row>
    <row r="890" spans="1:4" x14ac:dyDescent="0.35">
      <c r="A890" t="s">
        <v>731</v>
      </c>
      <c r="B890" s="28">
        <v>44485</v>
      </c>
      <c r="C890" t="s">
        <v>505</v>
      </c>
      <c r="D890">
        <v>-4848</v>
      </c>
    </row>
    <row r="891" spans="1:4" x14ac:dyDescent="0.35">
      <c r="A891" t="s">
        <v>731</v>
      </c>
      <c r="B891" s="28">
        <v>44485</v>
      </c>
      <c r="C891" t="s">
        <v>534</v>
      </c>
      <c r="D891">
        <v>-552</v>
      </c>
    </row>
    <row r="892" spans="1:4" x14ac:dyDescent="0.35">
      <c r="A892" t="s">
        <v>731</v>
      </c>
      <c r="B892" s="28">
        <v>44485</v>
      </c>
      <c r="C892" t="s">
        <v>501</v>
      </c>
      <c r="D892">
        <v>-1387</v>
      </c>
    </row>
    <row r="893" spans="1:4" x14ac:dyDescent="0.35">
      <c r="A893" t="s">
        <v>731</v>
      </c>
      <c r="B893" s="28">
        <v>44485</v>
      </c>
      <c r="C893" t="s">
        <v>507</v>
      </c>
      <c r="D893">
        <v>-2086</v>
      </c>
    </row>
    <row r="894" spans="1:4" x14ac:dyDescent="0.35">
      <c r="A894" t="s">
        <v>732</v>
      </c>
      <c r="B894" s="28">
        <v>44486</v>
      </c>
      <c r="C894" t="s">
        <v>443</v>
      </c>
      <c r="D894">
        <v>-2994</v>
      </c>
    </row>
    <row r="895" spans="1:4" x14ac:dyDescent="0.35">
      <c r="A895" t="s">
        <v>732</v>
      </c>
      <c r="B895" s="28">
        <v>44486</v>
      </c>
      <c r="C895" t="s">
        <v>495</v>
      </c>
      <c r="D895">
        <v>-1454</v>
      </c>
    </row>
    <row r="896" spans="1:4" x14ac:dyDescent="0.35">
      <c r="A896" t="s">
        <v>732</v>
      </c>
      <c r="B896" s="28">
        <v>44486</v>
      </c>
      <c r="C896" t="s">
        <v>441</v>
      </c>
      <c r="D896">
        <v>-2256</v>
      </c>
    </row>
    <row r="897" spans="1:4" x14ac:dyDescent="0.35">
      <c r="A897" t="s">
        <v>732</v>
      </c>
      <c r="B897" s="28">
        <v>44486</v>
      </c>
      <c r="C897" t="s">
        <v>483</v>
      </c>
      <c r="D897">
        <v>-2405</v>
      </c>
    </row>
    <row r="898" spans="1:4" x14ac:dyDescent="0.35">
      <c r="A898" t="s">
        <v>732</v>
      </c>
      <c r="B898" s="28">
        <v>44486</v>
      </c>
      <c r="C898" t="s">
        <v>553</v>
      </c>
      <c r="D898">
        <v>-985</v>
      </c>
    </row>
    <row r="899" spans="1:4" x14ac:dyDescent="0.35">
      <c r="A899" t="s">
        <v>732</v>
      </c>
      <c r="B899" s="28">
        <v>44486</v>
      </c>
      <c r="C899" t="s">
        <v>665</v>
      </c>
      <c r="D899">
        <v>-873</v>
      </c>
    </row>
    <row r="900" spans="1:4" x14ac:dyDescent="0.35">
      <c r="A900" t="s">
        <v>732</v>
      </c>
      <c r="B900" s="28">
        <v>44486</v>
      </c>
      <c r="C900" t="s">
        <v>483</v>
      </c>
      <c r="D900">
        <v>-2514</v>
      </c>
    </row>
    <row r="901" spans="1:4" x14ac:dyDescent="0.35">
      <c r="A901" t="s">
        <v>732</v>
      </c>
      <c r="B901" s="28">
        <v>44486</v>
      </c>
      <c r="C901" t="s">
        <v>553</v>
      </c>
      <c r="D901">
        <v>-3004</v>
      </c>
    </row>
    <row r="902" spans="1:4" x14ac:dyDescent="0.35">
      <c r="A902" t="s">
        <v>732</v>
      </c>
      <c r="B902" s="28">
        <v>44486</v>
      </c>
      <c r="C902" t="s">
        <v>498</v>
      </c>
      <c r="D902">
        <v>-77</v>
      </c>
    </row>
    <row r="903" spans="1:4" x14ac:dyDescent="0.35">
      <c r="A903" t="s">
        <v>733</v>
      </c>
      <c r="B903" s="28">
        <v>44487</v>
      </c>
      <c r="C903" t="s">
        <v>443</v>
      </c>
      <c r="D903">
        <v>-1003</v>
      </c>
    </row>
    <row r="904" spans="1:4" x14ac:dyDescent="0.35">
      <c r="A904" t="s">
        <v>733</v>
      </c>
      <c r="B904" s="28">
        <v>44487</v>
      </c>
      <c r="C904" t="s">
        <v>534</v>
      </c>
      <c r="D904">
        <v>-1037</v>
      </c>
    </row>
    <row r="905" spans="1:4" x14ac:dyDescent="0.35">
      <c r="A905" t="s">
        <v>734</v>
      </c>
      <c r="B905" s="28">
        <v>44488</v>
      </c>
      <c r="C905" t="s">
        <v>443</v>
      </c>
      <c r="D905">
        <v>-3924</v>
      </c>
    </row>
    <row r="906" spans="1:4" x14ac:dyDescent="0.35">
      <c r="A906" t="s">
        <v>734</v>
      </c>
      <c r="B906" s="28">
        <v>44488</v>
      </c>
      <c r="C906" t="s">
        <v>728</v>
      </c>
      <c r="D906">
        <v>-1727</v>
      </c>
    </row>
    <row r="907" spans="1:4" x14ac:dyDescent="0.35">
      <c r="A907" t="s">
        <v>734</v>
      </c>
      <c r="B907" s="28">
        <v>44488</v>
      </c>
      <c r="C907" t="s">
        <v>449</v>
      </c>
      <c r="D907">
        <v>-2129</v>
      </c>
    </row>
    <row r="908" spans="1:4" x14ac:dyDescent="0.35">
      <c r="A908" t="s">
        <v>734</v>
      </c>
      <c r="B908" s="28">
        <v>44488</v>
      </c>
      <c r="C908" t="s">
        <v>505</v>
      </c>
      <c r="D908">
        <v>-4516</v>
      </c>
    </row>
    <row r="909" spans="1:4" x14ac:dyDescent="0.35">
      <c r="A909" t="s">
        <v>734</v>
      </c>
      <c r="B909" s="28">
        <v>44488</v>
      </c>
      <c r="C909" t="s">
        <v>502</v>
      </c>
      <c r="D909">
        <v>-1099</v>
      </c>
    </row>
    <row r="910" spans="1:4" x14ac:dyDescent="0.35">
      <c r="A910" t="s">
        <v>734</v>
      </c>
      <c r="B910" s="28">
        <v>44488</v>
      </c>
      <c r="C910" t="s">
        <v>507</v>
      </c>
      <c r="D910">
        <v>-2265</v>
      </c>
    </row>
    <row r="911" spans="1:4" x14ac:dyDescent="0.35">
      <c r="A911" t="s">
        <v>734</v>
      </c>
      <c r="B911" s="28">
        <v>44488</v>
      </c>
      <c r="C911" t="s">
        <v>485</v>
      </c>
      <c r="D911">
        <v>-28</v>
      </c>
    </row>
    <row r="912" spans="1:4" x14ac:dyDescent="0.35">
      <c r="A912" t="s">
        <v>735</v>
      </c>
      <c r="B912" s="28">
        <v>44489</v>
      </c>
      <c r="C912" t="s">
        <v>474</v>
      </c>
      <c r="D912">
        <v>-999</v>
      </c>
    </row>
    <row r="913" spans="1:4" x14ac:dyDescent="0.35">
      <c r="A913" t="s">
        <v>735</v>
      </c>
      <c r="B913" s="28">
        <v>44489</v>
      </c>
      <c r="C913" t="s">
        <v>449</v>
      </c>
      <c r="D913">
        <v>-100</v>
      </c>
    </row>
    <row r="914" spans="1:4" x14ac:dyDescent="0.35">
      <c r="A914" t="s">
        <v>735</v>
      </c>
      <c r="B914" s="28">
        <v>44489</v>
      </c>
      <c r="C914" t="s">
        <v>504</v>
      </c>
      <c r="D914">
        <v>-765</v>
      </c>
    </row>
    <row r="915" spans="1:4" x14ac:dyDescent="0.35">
      <c r="A915" t="s">
        <v>735</v>
      </c>
      <c r="B915" s="28">
        <v>44489</v>
      </c>
      <c r="C915" t="s">
        <v>621</v>
      </c>
      <c r="D915">
        <v>-2155</v>
      </c>
    </row>
    <row r="916" spans="1:4" x14ac:dyDescent="0.35">
      <c r="A916" t="s">
        <v>735</v>
      </c>
      <c r="B916" s="28">
        <v>44489</v>
      </c>
      <c r="C916" t="s">
        <v>590</v>
      </c>
      <c r="D916">
        <v>-1006</v>
      </c>
    </row>
    <row r="917" spans="1:4" x14ac:dyDescent="0.35">
      <c r="A917" t="s">
        <v>735</v>
      </c>
      <c r="B917" s="28">
        <v>44489</v>
      </c>
      <c r="C917" t="s">
        <v>472</v>
      </c>
      <c r="D917">
        <v>-2066</v>
      </c>
    </row>
    <row r="918" spans="1:4" x14ac:dyDescent="0.35">
      <c r="A918" t="s">
        <v>736</v>
      </c>
      <c r="B918" s="28">
        <v>44490</v>
      </c>
      <c r="C918" t="s">
        <v>485</v>
      </c>
      <c r="D918">
        <v>-2048</v>
      </c>
    </row>
    <row r="919" spans="1:4" x14ac:dyDescent="0.35">
      <c r="A919" t="s">
        <v>738</v>
      </c>
      <c r="B919" s="28">
        <v>44492</v>
      </c>
      <c r="C919" t="s">
        <v>530</v>
      </c>
      <c r="D919">
        <v>-4607</v>
      </c>
    </row>
    <row r="920" spans="1:4" x14ac:dyDescent="0.35">
      <c r="A920" t="s">
        <v>738</v>
      </c>
      <c r="B920" s="28">
        <v>44492</v>
      </c>
      <c r="C920" t="s">
        <v>441</v>
      </c>
      <c r="D920">
        <v>-2389</v>
      </c>
    </row>
    <row r="921" spans="1:4" x14ac:dyDescent="0.35">
      <c r="A921" t="s">
        <v>738</v>
      </c>
      <c r="B921" s="28">
        <v>44492</v>
      </c>
      <c r="C921" t="s">
        <v>507</v>
      </c>
      <c r="D921">
        <v>-622</v>
      </c>
    </row>
    <row r="922" spans="1:4" x14ac:dyDescent="0.35">
      <c r="A922" t="s">
        <v>738</v>
      </c>
      <c r="B922" s="28">
        <v>44492</v>
      </c>
      <c r="C922" t="s">
        <v>485</v>
      </c>
      <c r="D922">
        <v>-1009</v>
      </c>
    </row>
    <row r="923" spans="1:4" x14ac:dyDescent="0.35">
      <c r="A923" t="s">
        <v>739</v>
      </c>
      <c r="B923" s="28">
        <v>44494</v>
      </c>
      <c r="C923" t="s">
        <v>443</v>
      </c>
      <c r="D923">
        <v>-3413</v>
      </c>
    </row>
    <row r="924" spans="1:4" x14ac:dyDescent="0.35">
      <c r="A924" t="s">
        <v>739</v>
      </c>
      <c r="B924" s="28">
        <v>44494</v>
      </c>
      <c r="C924" t="s">
        <v>509</v>
      </c>
      <c r="D924">
        <v>-312</v>
      </c>
    </row>
    <row r="925" spans="1:4" x14ac:dyDescent="0.35">
      <c r="A925" t="s">
        <v>739</v>
      </c>
      <c r="B925" s="28">
        <v>44494</v>
      </c>
      <c r="C925" t="s">
        <v>566</v>
      </c>
      <c r="D925">
        <v>-154</v>
      </c>
    </row>
    <row r="926" spans="1:4" x14ac:dyDescent="0.35">
      <c r="A926" t="s">
        <v>739</v>
      </c>
      <c r="B926" s="28">
        <v>44494</v>
      </c>
      <c r="C926" t="s">
        <v>441</v>
      </c>
      <c r="D926">
        <v>-2069</v>
      </c>
    </row>
    <row r="927" spans="1:4" x14ac:dyDescent="0.35">
      <c r="A927" t="s">
        <v>740</v>
      </c>
      <c r="B927" s="28">
        <v>44495</v>
      </c>
      <c r="C927" t="s">
        <v>443</v>
      </c>
      <c r="D927">
        <v>-1151</v>
      </c>
    </row>
    <row r="928" spans="1:4" x14ac:dyDescent="0.35">
      <c r="A928" t="s">
        <v>740</v>
      </c>
      <c r="B928" s="28">
        <v>44495</v>
      </c>
      <c r="C928" t="s">
        <v>492</v>
      </c>
      <c r="D928">
        <v>-98</v>
      </c>
    </row>
    <row r="929" spans="1:4" x14ac:dyDescent="0.35">
      <c r="A929" t="s">
        <v>740</v>
      </c>
      <c r="B929" s="28">
        <v>44495</v>
      </c>
      <c r="C929" t="s">
        <v>550</v>
      </c>
      <c r="D929">
        <v>-2015</v>
      </c>
    </row>
    <row r="930" spans="1:4" x14ac:dyDescent="0.35">
      <c r="A930" t="s">
        <v>740</v>
      </c>
      <c r="B930" s="28">
        <v>44495</v>
      </c>
      <c r="C930" t="s">
        <v>530</v>
      </c>
      <c r="D930">
        <v>-2829</v>
      </c>
    </row>
    <row r="931" spans="1:4" x14ac:dyDescent="0.35">
      <c r="A931" t="s">
        <v>740</v>
      </c>
      <c r="B931" s="28">
        <v>44495</v>
      </c>
      <c r="C931" t="s">
        <v>441</v>
      </c>
      <c r="D931">
        <v>-4468</v>
      </c>
    </row>
    <row r="932" spans="1:4" x14ac:dyDescent="0.35">
      <c r="A932" t="s">
        <v>740</v>
      </c>
      <c r="B932" s="28">
        <v>44495</v>
      </c>
      <c r="C932" t="s">
        <v>499</v>
      </c>
      <c r="D932">
        <v>-1947</v>
      </c>
    </row>
    <row r="933" spans="1:4" x14ac:dyDescent="0.35">
      <c r="A933" t="s">
        <v>740</v>
      </c>
      <c r="B933" s="28">
        <v>44495</v>
      </c>
      <c r="C933" t="s">
        <v>526</v>
      </c>
      <c r="D933">
        <v>-15337</v>
      </c>
    </row>
    <row r="934" spans="1:4" x14ac:dyDescent="0.35">
      <c r="A934" t="s">
        <v>739</v>
      </c>
      <c r="B934" s="28">
        <v>44494</v>
      </c>
      <c r="C934" t="s">
        <v>566</v>
      </c>
      <c r="D934">
        <v>-8</v>
      </c>
    </row>
    <row r="935" spans="1:4" x14ac:dyDescent="0.35">
      <c r="A935" t="s">
        <v>741</v>
      </c>
      <c r="B935" s="28">
        <v>44496</v>
      </c>
      <c r="C935" t="s">
        <v>450</v>
      </c>
      <c r="D935">
        <v>-2742</v>
      </c>
    </row>
    <row r="936" spans="1:4" x14ac:dyDescent="0.35">
      <c r="A936" t="s">
        <v>741</v>
      </c>
      <c r="B936" s="28">
        <v>44496</v>
      </c>
      <c r="C936" t="s">
        <v>489</v>
      </c>
      <c r="D936">
        <v>-203</v>
      </c>
    </row>
    <row r="937" spans="1:4" x14ac:dyDescent="0.35">
      <c r="A937" t="s">
        <v>741</v>
      </c>
      <c r="B937" s="28">
        <v>44496</v>
      </c>
      <c r="C937" t="s">
        <v>539</v>
      </c>
      <c r="D937">
        <v>-1016</v>
      </c>
    </row>
    <row r="938" spans="1:4" x14ac:dyDescent="0.35">
      <c r="A938" t="s">
        <v>741</v>
      </c>
      <c r="B938" s="28">
        <v>44496</v>
      </c>
      <c r="C938" t="s">
        <v>494</v>
      </c>
      <c r="D938">
        <v>-2573</v>
      </c>
    </row>
    <row r="939" spans="1:4" x14ac:dyDescent="0.35">
      <c r="A939" t="s">
        <v>742</v>
      </c>
      <c r="B939" s="28">
        <v>44497</v>
      </c>
      <c r="C939" t="s">
        <v>443</v>
      </c>
      <c r="D939">
        <v>-2940</v>
      </c>
    </row>
    <row r="940" spans="1:4" x14ac:dyDescent="0.35">
      <c r="A940" t="s">
        <v>743</v>
      </c>
      <c r="B940" s="28">
        <v>44499</v>
      </c>
      <c r="C940" t="s">
        <v>443</v>
      </c>
      <c r="D940">
        <v>-2142</v>
      </c>
    </row>
    <row r="941" spans="1:4" x14ac:dyDescent="0.35">
      <c r="A941" t="s">
        <v>743</v>
      </c>
      <c r="B941" s="28">
        <v>44499</v>
      </c>
      <c r="C941" t="s">
        <v>511</v>
      </c>
      <c r="D941">
        <v>-262</v>
      </c>
    </row>
    <row r="942" spans="1:4" x14ac:dyDescent="0.35">
      <c r="A942" t="s">
        <v>743</v>
      </c>
      <c r="B942" s="28">
        <v>44499</v>
      </c>
      <c r="C942" t="s">
        <v>449</v>
      </c>
      <c r="D942">
        <v>-2056</v>
      </c>
    </row>
    <row r="943" spans="1:4" x14ac:dyDescent="0.35">
      <c r="A943" t="s">
        <v>743</v>
      </c>
      <c r="B943" s="28">
        <v>44499</v>
      </c>
      <c r="C943" t="s">
        <v>505</v>
      </c>
      <c r="D943">
        <v>-5033</v>
      </c>
    </row>
    <row r="944" spans="1:4" x14ac:dyDescent="0.35">
      <c r="A944" t="s">
        <v>743</v>
      </c>
      <c r="B944" s="28">
        <v>44499</v>
      </c>
      <c r="C944" t="s">
        <v>577</v>
      </c>
      <c r="D944">
        <v>-303</v>
      </c>
    </row>
    <row r="945" spans="1:4" x14ac:dyDescent="0.35">
      <c r="A945" t="s">
        <v>743</v>
      </c>
      <c r="B945" s="28">
        <v>44499</v>
      </c>
      <c r="C945" t="s">
        <v>506</v>
      </c>
      <c r="D945">
        <v>-4777</v>
      </c>
    </row>
    <row r="946" spans="1:4" x14ac:dyDescent="0.35">
      <c r="A946" t="s">
        <v>743</v>
      </c>
      <c r="B946" s="28">
        <v>44499</v>
      </c>
      <c r="C946" t="s">
        <v>553</v>
      </c>
      <c r="D946">
        <v>-944</v>
      </c>
    </row>
    <row r="947" spans="1:4" x14ac:dyDescent="0.35">
      <c r="A947" t="s">
        <v>743</v>
      </c>
      <c r="B947" s="28">
        <v>44499</v>
      </c>
      <c r="C947" t="s">
        <v>485</v>
      </c>
      <c r="D947">
        <v>-1990</v>
      </c>
    </row>
    <row r="948" spans="1:4" x14ac:dyDescent="0.35">
      <c r="A948" t="s">
        <v>743</v>
      </c>
      <c r="B948" s="28">
        <v>44499</v>
      </c>
      <c r="C948" t="s">
        <v>478</v>
      </c>
      <c r="D948">
        <v>-267</v>
      </c>
    </row>
    <row r="949" spans="1:4" x14ac:dyDescent="0.35">
      <c r="A949" t="s">
        <v>744</v>
      </c>
      <c r="B949" s="47">
        <v>44500</v>
      </c>
      <c r="C949" t="s">
        <v>443</v>
      </c>
      <c r="D949">
        <v>-2108</v>
      </c>
    </row>
    <row r="950" spans="1:4" x14ac:dyDescent="0.35">
      <c r="A950" t="s">
        <v>744</v>
      </c>
      <c r="B950" s="47">
        <v>44500</v>
      </c>
      <c r="C950" t="s">
        <v>461</v>
      </c>
      <c r="D950">
        <v>-398</v>
      </c>
    </row>
    <row r="951" spans="1:4" x14ac:dyDescent="0.35">
      <c r="A951" t="s">
        <v>744</v>
      </c>
      <c r="B951" s="47">
        <v>44500</v>
      </c>
      <c r="C951" t="s">
        <v>451</v>
      </c>
      <c r="D951">
        <v>-1000</v>
      </c>
    </row>
    <row r="952" spans="1:4" x14ac:dyDescent="0.35">
      <c r="A952" t="s">
        <v>744</v>
      </c>
      <c r="B952" s="47">
        <v>44500</v>
      </c>
      <c r="C952" t="s">
        <v>441</v>
      </c>
      <c r="D952">
        <v>-100</v>
      </c>
    </row>
    <row r="953" spans="1:4" x14ac:dyDescent="0.35">
      <c r="A953" t="s">
        <v>744</v>
      </c>
      <c r="B953" s="47">
        <v>44500</v>
      </c>
      <c r="C953" t="s">
        <v>480</v>
      </c>
      <c r="D953">
        <v>-2184</v>
      </c>
    </row>
    <row r="954" spans="1:4" x14ac:dyDescent="0.35">
      <c r="A954" t="s">
        <v>744</v>
      </c>
      <c r="B954" s="47">
        <v>44500</v>
      </c>
      <c r="C954" t="s">
        <v>485</v>
      </c>
      <c r="D954">
        <v>-874</v>
      </c>
    </row>
    <row r="955" spans="1:4" x14ac:dyDescent="0.35">
      <c r="A955" t="s">
        <v>744</v>
      </c>
      <c r="B955" s="47">
        <v>44500</v>
      </c>
      <c r="C955" t="s">
        <v>546</v>
      </c>
      <c r="D955">
        <v>-882</v>
      </c>
    </row>
    <row r="956" spans="1:4" x14ac:dyDescent="0.35">
      <c r="A956" t="s">
        <v>744</v>
      </c>
      <c r="B956" s="47">
        <v>44500</v>
      </c>
      <c r="C956" t="s">
        <v>494</v>
      </c>
      <c r="D956">
        <v>-2471</v>
      </c>
    </row>
    <row r="957" spans="1:4" x14ac:dyDescent="0.35">
      <c r="A957" t="s">
        <v>747</v>
      </c>
      <c r="B957" s="47">
        <v>44501</v>
      </c>
      <c r="C957" t="s">
        <v>443</v>
      </c>
      <c r="D957">
        <v>-3313</v>
      </c>
    </row>
    <row r="958" spans="1:4" x14ac:dyDescent="0.35">
      <c r="A958" t="s">
        <v>747</v>
      </c>
      <c r="B958" s="47">
        <v>44501</v>
      </c>
      <c r="C958" t="s">
        <v>449</v>
      </c>
      <c r="D958">
        <v>-2135</v>
      </c>
    </row>
    <row r="959" spans="1:4" x14ac:dyDescent="0.35">
      <c r="A959" t="s">
        <v>747</v>
      </c>
      <c r="B959" s="47">
        <v>44501</v>
      </c>
      <c r="C959" t="s">
        <v>502</v>
      </c>
      <c r="D959">
        <v>-948</v>
      </c>
    </row>
    <row r="960" spans="1:4" x14ac:dyDescent="0.35">
      <c r="A960" t="s">
        <v>747</v>
      </c>
      <c r="B960" s="47">
        <v>44501</v>
      </c>
      <c r="C960" t="s">
        <v>530</v>
      </c>
      <c r="D960">
        <v>-4496</v>
      </c>
    </row>
    <row r="961" spans="1:4" x14ac:dyDescent="0.35">
      <c r="A961" t="s">
        <v>747</v>
      </c>
      <c r="B961" s="47">
        <v>44501</v>
      </c>
      <c r="C961" t="s">
        <v>485</v>
      </c>
      <c r="D961">
        <v>-1657</v>
      </c>
    </row>
    <row r="962" spans="1:4" x14ac:dyDescent="0.35">
      <c r="A962" t="s">
        <v>748</v>
      </c>
      <c r="B962" s="47">
        <v>44502</v>
      </c>
      <c r="C962" t="s">
        <v>443</v>
      </c>
      <c r="D962">
        <v>-2056</v>
      </c>
    </row>
    <row r="963" spans="1:4" x14ac:dyDescent="0.35">
      <c r="A963" t="s">
        <v>748</v>
      </c>
      <c r="B963" s="47">
        <v>44502</v>
      </c>
      <c r="C963" t="s">
        <v>489</v>
      </c>
      <c r="D963">
        <v>-844</v>
      </c>
    </row>
    <row r="964" spans="1:4" x14ac:dyDescent="0.35">
      <c r="A964" t="s">
        <v>748</v>
      </c>
      <c r="B964" s="47">
        <v>44502</v>
      </c>
      <c r="C964" t="s">
        <v>550</v>
      </c>
      <c r="D964">
        <v>-525</v>
      </c>
    </row>
    <row r="965" spans="1:4" x14ac:dyDescent="0.35">
      <c r="A965" t="s">
        <v>748</v>
      </c>
      <c r="B965" s="47">
        <v>44502</v>
      </c>
      <c r="C965" t="s">
        <v>441</v>
      </c>
      <c r="D965">
        <v>-4831</v>
      </c>
    </row>
    <row r="966" spans="1:4" x14ac:dyDescent="0.35">
      <c r="A966" t="s">
        <v>748</v>
      </c>
      <c r="B966" s="47">
        <v>44502</v>
      </c>
      <c r="C966" t="s">
        <v>526</v>
      </c>
      <c r="D966">
        <v>-14382</v>
      </c>
    </row>
    <row r="967" spans="1:4" x14ac:dyDescent="0.35">
      <c r="A967" t="s">
        <v>748</v>
      </c>
      <c r="B967" s="47">
        <v>44502</v>
      </c>
      <c r="C967" t="s">
        <v>485</v>
      </c>
      <c r="D967">
        <v>-824</v>
      </c>
    </row>
    <row r="968" spans="1:4" x14ac:dyDescent="0.35">
      <c r="A968" t="s">
        <v>748</v>
      </c>
      <c r="B968" s="47">
        <v>44502</v>
      </c>
      <c r="C968" t="s">
        <v>579</v>
      </c>
      <c r="D968">
        <v>-500</v>
      </c>
    </row>
    <row r="969" spans="1:4" x14ac:dyDescent="0.35">
      <c r="A969" t="s">
        <v>748</v>
      </c>
      <c r="B969" s="47">
        <v>44502</v>
      </c>
      <c r="C969" t="s">
        <v>499</v>
      </c>
      <c r="D969">
        <v>-1835</v>
      </c>
    </row>
    <row r="970" spans="1:4" x14ac:dyDescent="0.35">
      <c r="A970" t="s">
        <v>748</v>
      </c>
      <c r="B970" s="47">
        <v>44502</v>
      </c>
      <c r="C970" t="s">
        <v>526</v>
      </c>
      <c r="D970">
        <v>-1713</v>
      </c>
    </row>
    <row r="971" spans="1:4" x14ac:dyDescent="0.35">
      <c r="A971" t="s">
        <v>748</v>
      </c>
      <c r="B971" s="47">
        <v>44502</v>
      </c>
      <c r="C971" t="s">
        <v>485</v>
      </c>
      <c r="D971">
        <v>-11</v>
      </c>
    </row>
    <row r="972" spans="1:4" x14ac:dyDescent="0.35">
      <c r="A972" t="s">
        <v>749</v>
      </c>
      <c r="B972" s="47">
        <v>44503</v>
      </c>
      <c r="C972" t="s">
        <v>443</v>
      </c>
      <c r="D972">
        <v>-3977</v>
      </c>
    </row>
    <row r="973" spans="1:4" x14ac:dyDescent="0.35">
      <c r="A973" t="s">
        <v>749</v>
      </c>
      <c r="B973" s="47">
        <v>44503</v>
      </c>
      <c r="C973" t="s">
        <v>511</v>
      </c>
      <c r="D973">
        <v>-482</v>
      </c>
    </row>
    <row r="974" spans="1:4" x14ac:dyDescent="0.35">
      <c r="A974" t="s">
        <v>749</v>
      </c>
      <c r="B974" s="47">
        <v>44503</v>
      </c>
      <c r="C974" t="s">
        <v>449</v>
      </c>
      <c r="D974">
        <v>-1357</v>
      </c>
    </row>
    <row r="975" spans="1:4" x14ac:dyDescent="0.35">
      <c r="A975" t="s">
        <v>749</v>
      </c>
      <c r="B975" s="47">
        <v>44503</v>
      </c>
      <c r="C975" t="s">
        <v>509</v>
      </c>
      <c r="D975">
        <v>-1607</v>
      </c>
    </row>
    <row r="976" spans="1:4" x14ac:dyDescent="0.35">
      <c r="A976" t="s">
        <v>749</v>
      </c>
      <c r="B976" s="47">
        <v>44503</v>
      </c>
      <c r="C976" t="s">
        <v>530</v>
      </c>
      <c r="D976">
        <v>-3652</v>
      </c>
    </row>
    <row r="977" spans="1:4" x14ac:dyDescent="0.35">
      <c r="A977" t="s">
        <v>749</v>
      </c>
      <c r="B977" s="47">
        <v>44503</v>
      </c>
      <c r="C977" t="s">
        <v>441</v>
      </c>
      <c r="D977">
        <v>-1794</v>
      </c>
    </row>
    <row r="978" spans="1:4" x14ac:dyDescent="0.35">
      <c r="A978" t="s">
        <v>749</v>
      </c>
      <c r="B978" s="47">
        <v>44503</v>
      </c>
      <c r="C978" t="s">
        <v>485</v>
      </c>
      <c r="D978">
        <v>-9</v>
      </c>
    </row>
    <row r="979" spans="1:4" x14ac:dyDescent="0.35">
      <c r="A979" t="s">
        <v>750</v>
      </c>
      <c r="B979" s="47">
        <v>44504</v>
      </c>
      <c r="C979" t="s">
        <v>443</v>
      </c>
      <c r="D979">
        <v>-1689</v>
      </c>
    </row>
    <row r="980" spans="1:4" x14ac:dyDescent="0.35">
      <c r="A980" t="s">
        <v>750</v>
      </c>
      <c r="B980" s="47">
        <v>44504</v>
      </c>
      <c r="C980" t="s">
        <v>441</v>
      </c>
      <c r="D980">
        <v>-1274</v>
      </c>
    </row>
    <row r="981" spans="1:4" x14ac:dyDescent="0.35">
      <c r="A981" t="s">
        <v>750</v>
      </c>
      <c r="B981" s="47">
        <v>44504</v>
      </c>
      <c r="C981" t="s">
        <v>501</v>
      </c>
      <c r="D981">
        <v>-1490</v>
      </c>
    </row>
    <row r="982" spans="1:4" x14ac:dyDescent="0.35">
      <c r="A982" t="s">
        <v>751</v>
      </c>
      <c r="B982" s="47">
        <v>44506</v>
      </c>
      <c r="C982" t="s">
        <v>443</v>
      </c>
      <c r="D982">
        <v>-2421</v>
      </c>
    </row>
    <row r="983" spans="1:4" x14ac:dyDescent="0.35">
      <c r="A983" t="s">
        <v>751</v>
      </c>
      <c r="B983" s="47">
        <v>44506</v>
      </c>
      <c r="C983" t="s">
        <v>450</v>
      </c>
      <c r="D983">
        <v>-1898</v>
      </c>
    </row>
    <row r="984" spans="1:4" x14ac:dyDescent="0.35">
      <c r="A984" t="s">
        <v>751</v>
      </c>
      <c r="B984" s="47">
        <v>44506</v>
      </c>
      <c r="C984" t="s">
        <v>552</v>
      </c>
      <c r="D984">
        <v>-1522</v>
      </c>
    </row>
    <row r="985" spans="1:4" x14ac:dyDescent="0.35">
      <c r="A985" t="s">
        <v>751</v>
      </c>
      <c r="B985" s="47">
        <v>44506</v>
      </c>
      <c r="C985" t="s">
        <v>530</v>
      </c>
      <c r="D985">
        <v>-2971</v>
      </c>
    </row>
    <row r="986" spans="1:4" x14ac:dyDescent="0.35">
      <c r="A986" t="s">
        <v>751</v>
      </c>
      <c r="B986" s="47">
        <v>44506</v>
      </c>
      <c r="C986" t="s">
        <v>446</v>
      </c>
      <c r="D986">
        <v>-3129</v>
      </c>
    </row>
    <row r="987" spans="1:4" x14ac:dyDescent="0.35">
      <c r="A987" t="s">
        <v>751</v>
      </c>
      <c r="B987" s="47">
        <v>44506</v>
      </c>
      <c r="C987" t="s">
        <v>546</v>
      </c>
      <c r="D987">
        <v>-2006</v>
      </c>
    </row>
    <row r="988" spans="1:4" x14ac:dyDescent="0.35">
      <c r="A988" t="s">
        <v>752</v>
      </c>
      <c r="B988" s="47">
        <v>44507</v>
      </c>
      <c r="C988" t="s">
        <v>505</v>
      </c>
      <c r="D988">
        <v>-4828</v>
      </c>
    </row>
    <row r="989" spans="1:4" x14ac:dyDescent="0.35">
      <c r="A989" t="s">
        <v>752</v>
      </c>
      <c r="B989" s="47">
        <v>44507</v>
      </c>
      <c r="C989" t="s">
        <v>492</v>
      </c>
      <c r="D989">
        <v>-595</v>
      </c>
    </row>
    <row r="990" spans="1:4" x14ac:dyDescent="0.35">
      <c r="A990" t="s">
        <v>752</v>
      </c>
      <c r="B990" s="47">
        <v>44507</v>
      </c>
      <c r="C990" t="s">
        <v>507</v>
      </c>
      <c r="D990">
        <v>-5355</v>
      </c>
    </row>
    <row r="991" spans="1:4" x14ac:dyDescent="0.35">
      <c r="A991" t="s">
        <v>752</v>
      </c>
      <c r="B991" s="47">
        <v>44507</v>
      </c>
      <c r="C991" t="s">
        <v>499</v>
      </c>
      <c r="D991">
        <v>-2259</v>
      </c>
    </row>
    <row r="992" spans="1:4" x14ac:dyDescent="0.35">
      <c r="A992" t="s">
        <v>752</v>
      </c>
      <c r="B992" s="47">
        <v>44507</v>
      </c>
      <c r="C992" t="s">
        <v>746</v>
      </c>
      <c r="D992">
        <v>-745</v>
      </c>
    </row>
    <row r="993" spans="1:4" x14ac:dyDescent="0.35">
      <c r="A993" t="s">
        <v>752</v>
      </c>
      <c r="B993" s="47">
        <v>44507</v>
      </c>
      <c r="C993" t="s">
        <v>483</v>
      </c>
      <c r="D993">
        <v>-3032</v>
      </c>
    </row>
    <row r="994" spans="1:4" x14ac:dyDescent="0.35">
      <c r="A994" t="s">
        <v>753</v>
      </c>
      <c r="B994" s="47">
        <v>44508</v>
      </c>
      <c r="C994" t="s">
        <v>443</v>
      </c>
      <c r="D994">
        <v>-2002</v>
      </c>
    </row>
    <row r="995" spans="1:4" x14ac:dyDescent="0.35">
      <c r="A995" t="s">
        <v>753</v>
      </c>
      <c r="B995" s="47">
        <v>44508</v>
      </c>
      <c r="C995" t="s">
        <v>449</v>
      </c>
      <c r="D995">
        <v>-2092</v>
      </c>
    </row>
    <row r="996" spans="1:4" x14ac:dyDescent="0.35">
      <c r="A996" t="s">
        <v>753</v>
      </c>
      <c r="B996" s="47">
        <v>44508</v>
      </c>
      <c r="C996" t="s">
        <v>444</v>
      </c>
      <c r="D996">
        <v>-1901</v>
      </c>
    </row>
    <row r="997" spans="1:4" x14ac:dyDescent="0.35">
      <c r="A997" t="s">
        <v>753</v>
      </c>
      <c r="B997" s="47">
        <v>44508</v>
      </c>
      <c r="C997" t="s">
        <v>530</v>
      </c>
      <c r="D997">
        <v>-5113</v>
      </c>
    </row>
    <row r="998" spans="1:4" x14ac:dyDescent="0.35">
      <c r="A998" t="s">
        <v>753</v>
      </c>
      <c r="B998" s="47">
        <v>44508</v>
      </c>
      <c r="C998" t="s">
        <v>470</v>
      </c>
      <c r="D998">
        <v>-1826</v>
      </c>
    </row>
    <row r="999" spans="1:4" x14ac:dyDescent="0.35">
      <c r="A999" t="s">
        <v>753</v>
      </c>
      <c r="B999" s="47">
        <v>44508</v>
      </c>
      <c r="C999" t="s">
        <v>506</v>
      </c>
      <c r="D999">
        <v>-4015</v>
      </c>
    </row>
    <row r="1000" spans="1:4" x14ac:dyDescent="0.35">
      <c r="A1000" t="s">
        <v>753</v>
      </c>
      <c r="B1000" s="47">
        <v>44508</v>
      </c>
      <c r="C1000" t="s">
        <v>665</v>
      </c>
      <c r="D1000">
        <v>-994</v>
      </c>
    </row>
    <row r="1001" spans="1:4" x14ac:dyDescent="0.35">
      <c r="A1001" t="s">
        <v>753</v>
      </c>
      <c r="B1001" s="47">
        <v>44508</v>
      </c>
      <c r="C1001" t="s">
        <v>754</v>
      </c>
      <c r="D1001">
        <v>-428</v>
      </c>
    </row>
    <row r="1002" spans="1:4" x14ac:dyDescent="0.35">
      <c r="A1002" t="s">
        <v>755</v>
      </c>
      <c r="B1002" s="47">
        <v>44509</v>
      </c>
      <c r="C1002" t="s">
        <v>443</v>
      </c>
      <c r="D1002">
        <v>-3994</v>
      </c>
    </row>
    <row r="1003" spans="1:4" x14ac:dyDescent="0.35">
      <c r="A1003" t="s">
        <v>755</v>
      </c>
      <c r="B1003" s="47">
        <v>44509</v>
      </c>
      <c r="C1003" t="s">
        <v>505</v>
      </c>
      <c r="D1003">
        <v>-4721</v>
      </c>
    </row>
    <row r="1004" spans="1:4" x14ac:dyDescent="0.35">
      <c r="A1004" t="s">
        <v>755</v>
      </c>
      <c r="B1004" s="47">
        <v>44509</v>
      </c>
      <c r="C1004" t="s">
        <v>530</v>
      </c>
      <c r="D1004">
        <v>-1598</v>
      </c>
    </row>
    <row r="1005" spans="1:4" x14ac:dyDescent="0.35">
      <c r="A1005" t="s">
        <v>755</v>
      </c>
      <c r="B1005" s="47">
        <v>44509</v>
      </c>
      <c r="C1005" t="s">
        <v>441</v>
      </c>
      <c r="D1005">
        <v>-2036</v>
      </c>
    </row>
    <row r="1006" spans="1:4" x14ac:dyDescent="0.35">
      <c r="A1006" t="s">
        <v>755</v>
      </c>
      <c r="B1006" s="47">
        <v>44509</v>
      </c>
      <c r="C1006" t="s">
        <v>494</v>
      </c>
      <c r="D1006">
        <v>-4812</v>
      </c>
    </row>
    <row r="1007" spans="1:4" x14ac:dyDescent="0.35">
      <c r="A1007" t="s">
        <v>756</v>
      </c>
      <c r="B1007" s="47">
        <v>44510</v>
      </c>
      <c r="C1007" t="s">
        <v>443</v>
      </c>
      <c r="D1007">
        <v>-2521</v>
      </c>
    </row>
    <row r="1008" spans="1:4" x14ac:dyDescent="0.35">
      <c r="A1008" t="s">
        <v>756</v>
      </c>
      <c r="B1008" s="47">
        <v>44510</v>
      </c>
      <c r="C1008" t="s">
        <v>497</v>
      </c>
      <c r="D1008">
        <v>-4413</v>
      </c>
    </row>
    <row r="1009" spans="1:4" x14ac:dyDescent="0.35">
      <c r="A1009" t="s">
        <v>756</v>
      </c>
      <c r="B1009" s="47">
        <v>44510</v>
      </c>
      <c r="C1009" t="s">
        <v>579</v>
      </c>
      <c r="D1009">
        <v>-999</v>
      </c>
    </row>
    <row r="1010" spans="1:4" x14ac:dyDescent="0.35">
      <c r="A1010" t="s">
        <v>756</v>
      </c>
      <c r="B1010" s="47">
        <v>44510</v>
      </c>
      <c r="C1010" t="s">
        <v>509</v>
      </c>
      <c r="D1010">
        <v>-743</v>
      </c>
    </row>
    <row r="1011" spans="1:4" x14ac:dyDescent="0.35">
      <c r="A1011" t="s">
        <v>757</v>
      </c>
      <c r="B1011" s="47">
        <v>44511</v>
      </c>
      <c r="C1011" t="s">
        <v>530</v>
      </c>
      <c r="D1011">
        <v>-5079</v>
      </c>
    </row>
    <row r="1012" spans="1:4" x14ac:dyDescent="0.35">
      <c r="A1012" t="s">
        <v>757</v>
      </c>
      <c r="B1012" s="47">
        <v>44511</v>
      </c>
      <c r="C1012" t="s">
        <v>485</v>
      </c>
      <c r="D1012">
        <v>-4167</v>
      </c>
    </row>
    <row r="1013" spans="1:4" x14ac:dyDescent="0.35">
      <c r="A1013" t="s">
        <v>758</v>
      </c>
      <c r="B1013" s="47">
        <v>44513</v>
      </c>
      <c r="C1013" t="s">
        <v>443</v>
      </c>
      <c r="D1013">
        <v>-4565</v>
      </c>
    </row>
    <row r="1014" spans="1:4" x14ac:dyDescent="0.35">
      <c r="A1014" t="s">
        <v>758</v>
      </c>
      <c r="B1014" s="47">
        <v>44513</v>
      </c>
      <c r="C1014" t="s">
        <v>461</v>
      </c>
      <c r="D1014">
        <v>-736</v>
      </c>
    </row>
    <row r="1015" spans="1:4" x14ac:dyDescent="0.35">
      <c r="A1015" t="s">
        <v>758</v>
      </c>
      <c r="B1015" s="47">
        <v>44513</v>
      </c>
      <c r="C1015" t="s">
        <v>511</v>
      </c>
      <c r="D1015">
        <v>-500</v>
      </c>
    </row>
    <row r="1016" spans="1:4" x14ac:dyDescent="0.35">
      <c r="A1016" t="s">
        <v>758</v>
      </c>
      <c r="B1016" s="47">
        <v>44513</v>
      </c>
      <c r="C1016" t="s">
        <v>505</v>
      </c>
      <c r="D1016">
        <v>-5078</v>
      </c>
    </row>
    <row r="1017" spans="1:4" x14ac:dyDescent="0.35">
      <c r="A1017" t="s">
        <v>758</v>
      </c>
      <c r="B1017" s="47">
        <v>44513</v>
      </c>
      <c r="C1017" t="s">
        <v>451</v>
      </c>
      <c r="D1017">
        <v>-2002</v>
      </c>
    </row>
    <row r="1018" spans="1:4" x14ac:dyDescent="0.35">
      <c r="A1018" t="s">
        <v>759</v>
      </c>
      <c r="B1018" s="47">
        <v>44514</v>
      </c>
      <c r="C1018" t="s">
        <v>443</v>
      </c>
      <c r="D1018">
        <v>-1101</v>
      </c>
    </row>
    <row r="1019" spans="1:4" x14ac:dyDescent="0.35">
      <c r="A1019" t="s">
        <v>759</v>
      </c>
      <c r="B1019" s="47">
        <v>44514</v>
      </c>
      <c r="C1019" t="s">
        <v>492</v>
      </c>
      <c r="D1019">
        <v>-50</v>
      </c>
    </row>
    <row r="1020" spans="1:4" x14ac:dyDescent="0.35">
      <c r="A1020" t="s">
        <v>759</v>
      </c>
      <c r="B1020" s="47">
        <v>44514</v>
      </c>
      <c r="C1020" t="s">
        <v>495</v>
      </c>
      <c r="D1020">
        <v>-993</v>
      </c>
    </row>
    <row r="1021" spans="1:4" x14ac:dyDescent="0.35">
      <c r="A1021" t="s">
        <v>759</v>
      </c>
      <c r="B1021" s="47">
        <v>44514</v>
      </c>
      <c r="C1021" t="s">
        <v>581</v>
      </c>
      <c r="D1021">
        <v>-353</v>
      </c>
    </row>
    <row r="1022" spans="1:4" x14ac:dyDescent="0.35">
      <c r="A1022" t="s">
        <v>759</v>
      </c>
      <c r="B1022" s="47">
        <v>44514</v>
      </c>
      <c r="C1022" t="s">
        <v>483</v>
      </c>
      <c r="D1022">
        <v>-1176</v>
      </c>
    </row>
    <row r="1023" spans="1:4" x14ac:dyDescent="0.35">
      <c r="A1023" t="s">
        <v>759</v>
      </c>
      <c r="B1023" s="47">
        <v>44514</v>
      </c>
      <c r="C1023" t="s">
        <v>455</v>
      </c>
      <c r="D1023">
        <v>-524</v>
      </c>
    </row>
    <row r="1024" spans="1:4" x14ac:dyDescent="0.35">
      <c r="A1024" t="s">
        <v>759</v>
      </c>
      <c r="B1024" s="47">
        <v>44514</v>
      </c>
      <c r="C1024" t="s">
        <v>546</v>
      </c>
      <c r="D1024">
        <v>-1987</v>
      </c>
    </row>
    <row r="1025" spans="1:4" x14ac:dyDescent="0.35">
      <c r="A1025" t="s">
        <v>762</v>
      </c>
      <c r="B1025" s="47">
        <v>44515</v>
      </c>
      <c r="C1025" t="s">
        <v>450</v>
      </c>
      <c r="D1025">
        <v>-1878</v>
      </c>
    </row>
    <row r="1026" spans="1:4" x14ac:dyDescent="0.35">
      <c r="A1026" t="s">
        <v>762</v>
      </c>
      <c r="B1026" s="47">
        <v>44515</v>
      </c>
      <c r="C1026" t="s">
        <v>489</v>
      </c>
      <c r="D1026">
        <v>-46</v>
      </c>
    </row>
    <row r="1027" spans="1:4" x14ac:dyDescent="0.35">
      <c r="A1027" t="s">
        <v>762</v>
      </c>
      <c r="B1027" s="47">
        <v>44515</v>
      </c>
      <c r="C1027" t="s">
        <v>492</v>
      </c>
      <c r="D1027">
        <v>-551</v>
      </c>
    </row>
    <row r="1028" spans="1:4" x14ac:dyDescent="0.35">
      <c r="A1028" t="s">
        <v>762</v>
      </c>
      <c r="B1028" s="47">
        <v>44515</v>
      </c>
      <c r="C1028" t="s">
        <v>770</v>
      </c>
      <c r="D1028">
        <v>-2579</v>
      </c>
    </row>
    <row r="1029" spans="1:4" x14ac:dyDescent="0.35">
      <c r="A1029" t="s">
        <v>762</v>
      </c>
      <c r="B1029" s="47">
        <v>44515</v>
      </c>
      <c r="C1029" t="s">
        <v>492</v>
      </c>
      <c r="D1029">
        <v>-982</v>
      </c>
    </row>
    <row r="1030" spans="1:4" x14ac:dyDescent="0.35">
      <c r="A1030" t="s">
        <v>763</v>
      </c>
      <c r="B1030" s="47">
        <v>44516</v>
      </c>
      <c r="C1030" t="s">
        <v>443</v>
      </c>
      <c r="D1030">
        <v>-1806</v>
      </c>
    </row>
    <row r="1031" spans="1:4" x14ac:dyDescent="0.35">
      <c r="A1031" t="s">
        <v>763</v>
      </c>
      <c r="B1031" s="47">
        <v>44516</v>
      </c>
      <c r="C1031" t="s">
        <v>449</v>
      </c>
      <c r="D1031">
        <v>-2030</v>
      </c>
    </row>
    <row r="1032" spans="1:4" x14ac:dyDescent="0.35">
      <c r="A1032" t="s">
        <v>763</v>
      </c>
      <c r="B1032" s="47">
        <v>44516</v>
      </c>
      <c r="C1032" t="s">
        <v>450</v>
      </c>
      <c r="D1032">
        <v>-1881</v>
      </c>
    </row>
    <row r="1033" spans="1:4" x14ac:dyDescent="0.35">
      <c r="A1033" t="s">
        <v>763</v>
      </c>
      <c r="B1033" s="47">
        <v>44516</v>
      </c>
      <c r="C1033" t="s">
        <v>534</v>
      </c>
      <c r="D1033">
        <v>-2128</v>
      </c>
    </row>
    <row r="1034" spans="1:4" x14ac:dyDescent="0.35">
      <c r="A1034" t="s">
        <v>763</v>
      </c>
      <c r="B1034" s="47">
        <v>44516</v>
      </c>
      <c r="C1034" t="s">
        <v>666</v>
      </c>
      <c r="D1034">
        <v>-2010</v>
      </c>
    </row>
    <row r="1035" spans="1:4" x14ac:dyDescent="0.35">
      <c r="A1035" t="s">
        <v>763</v>
      </c>
      <c r="B1035" s="47">
        <v>44516</v>
      </c>
      <c r="C1035" t="s">
        <v>577</v>
      </c>
      <c r="D1035">
        <v>-292</v>
      </c>
    </row>
    <row r="1036" spans="1:4" x14ac:dyDescent="0.35">
      <c r="A1036" t="s">
        <v>763</v>
      </c>
      <c r="B1036" s="47">
        <v>44516</v>
      </c>
      <c r="C1036" t="s">
        <v>530</v>
      </c>
      <c r="D1036">
        <v>-4462</v>
      </c>
    </row>
    <row r="1037" spans="1:4" x14ac:dyDescent="0.35">
      <c r="A1037" t="s">
        <v>763</v>
      </c>
      <c r="B1037" s="47">
        <v>44516</v>
      </c>
      <c r="C1037" t="s">
        <v>704</v>
      </c>
      <c r="D1037">
        <v>-146</v>
      </c>
    </row>
    <row r="1038" spans="1:4" x14ac:dyDescent="0.35">
      <c r="A1038" t="s">
        <v>763</v>
      </c>
      <c r="B1038" s="47">
        <v>44516</v>
      </c>
      <c r="C1038" t="s">
        <v>446</v>
      </c>
      <c r="D1038">
        <v>-5165</v>
      </c>
    </row>
    <row r="1039" spans="1:4" x14ac:dyDescent="0.35">
      <c r="A1039" t="s">
        <v>763</v>
      </c>
      <c r="B1039" s="47">
        <v>44516</v>
      </c>
      <c r="C1039" t="s">
        <v>546</v>
      </c>
      <c r="D1039">
        <v>-2042</v>
      </c>
    </row>
    <row r="1040" spans="1:4" x14ac:dyDescent="0.35">
      <c r="A1040" t="s">
        <v>763</v>
      </c>
      <c r="B1040" s="47">
        <v>44516</v>
      </c>
      <c r="C1040" t="s">
        <v>492</v>
      </c>
      <c r="D1040">
        <v>-485</v>
      </c>
    </row>
    <row r="1041" spans="1:4" x14ac:dyDescent="0.35">
      <c r="A1041" t="s">
        <v>766</v>
      </c>
      <c r="B1041" s="47">
        <v>44517</v>
      </c>
      <c r="C1041" t="s">
        <v>443</v>
      </c>
      <c r="D1041">
        <v>-4388</v>
      </c>
    </row>
    <row r="1042" spans="1:4" x14ac:dyDescent="0.35">
      <c r="A1042" t="s">
        <v>766</v>
      </c>
      <c r="B1042" s="47">
        <v>44517</v>
      </c>
      <c r="C1042" t="s">
        <v>511</v>
      </c>
      <c r="D1042">
        <v>-714</v>
      </c>
    </row>
    <row r="1043" spans="1:4" x14ac:dyDescent="0.35">
      <c r="A1043" t="s">
        <v>766</v>
      </c>
      <c r="B1043" s="47">
        <v>44517</v>
      </c>
      <c r="C1043" t="s">
        <v>449</v>
      </c>
      <c r="D1043">
        <v>-2043</v>
      </c>
    </row>
    <row r="1044" spans="1:4" x14ac:dyDescent="0.35">
      <c r="A1044" t="s">
        <v>766</v>
      </c>
      <c r="B1044" s="47">
        <v>44517</v>
      </c>
      <c r="C1044" t="s">
        <v>704</v>
      </c>
      <c r="D1044">
        <v>-1936</v>
      </c>
    </row>
    <row r="1045" spans="1:4" x14ac:dyDescent="0.35">
      <c r="A1045" t="s">
        <v>766</v>
      </c>
      <c r="B1045" s="47">
        <v>44517</v>
      </c>
      <c r="C1045" t="s">
        <v>456</v>
      </c>
      <c r="D1045">
        <v>-6001</v>
      </c>
    </row>
    <row r="1046" spans="1:4" x14ac:dyDescent="0.35">
      <c r="A1046" t="s">
        <v>766</v>
      </c>
      <c r="B1046" s="47">
        <v>44517</v>
      </c>
      <c r="C1046" t="s">
        <v>554</v>
      </c>
      <c r="D1046">
        <v>-2026</v>
      </c>
    </row>
    <row r="1047" spans="1:4" x14ac:dyDescent="0.35">
      <c r="A1047" t="s">
        <v>766</v>
      </c>
      <c r="B1047" s="47">
        <v>44517</v>
      </c>
      <c r="C1047" t="s">
        <v>770</v>
      </c>
      <c r="D1047">
        <v>-2505</v>
      </c>
    </row>
    <row r="1048" spans="1:4" x14ac:dyDescent="0.35">
      <c r="A1048" t="s">
        <v>766</v>
      </c>
      <c r="B1048" s="47">
        <v>44517</v>
      </c>
      <c r="C1048" t="s">
        <v>765</v>
      </c>
      <c r="D1048">
        <v>-3734</v>
      </c>
    </row>
    <row r="1049" spans="1:4" x14ac:dyDescent="0.35">
      <c r="A1049" t="s">
        <v>766</v>
      </c>
      <c r="B1049" s="47">
        <v>44517</v>
      </c>
      <c r="C1049" t="s">
        <v>443</v>
      </c>
      <c r="D1049">
        <v>-1585</v>
      </c>
    </row>
    <row r="1050" spans="1:4" x14ac:dyDescent="0.35">
      <c r="A1050" t="s">
        <v>767</v>
      </c>
      <c r="B1050" s="47">
        <v>44518</v>
      </c>
      <c r="C1050" t="s">
        <v>443</v>
      </c>
      <c r="D1050">
        <v>-2081</v>
      </c>
    </row>
    <row r="1051" spans="1:4" x14ac:dyDescent="0.35">
      <c r="A1051" t="s">
        <v>767</v>
      </c>
      <c r="B1051" s="47">
        <v>44518</v>
      </c>
      <c r="C1051" t="s">
        <v>449</v>
      </c>
      <c r="D1051">
        <v>-4356</v>
      </c>
    </row>
    <row r="1052" spans="1:4" x14ac:dyDescent="0.35">
      <c r="A1052" t="s">
        <v>767</v>
      </c>
      <c r="B1052" s="47">
        <v>44518</v>
      </c>
      <c r="C1052" t="s">
        <v>495</v>
      </c>
      <c r="D1052">
        <v>-1002</v>
      </c>
    </row>
    <row r="1053" spans="1:4" x14ac:dyDescent="0.35">
      <c r="A1053" t="s">
        <v>767</v>
      </c>
      <c r="B1053" s="47">
        <v>44518</v>
      </c>
      <c r="C1053" t="s">
        <v>530</v>
      </c>
      <c r="D1053">
        <v>-3204</v>
      </c>
    </row>
    <row r="1054" spans="1:4" x14ac:dyDescent="0.35">
      <c r="A1054" t="s">
        <v>767</v>
      </c>
      <c r="B1054" s="47">
        <v>44518</v>
      </c>
      <c r="C1054" t="s">
        <v>480</v>
      </c>
      <c r="D1054">
        <v>-2040</v>
      </c>
    </row>
    <row r="1055" spans="1:4" x14ac:dyDescent="0.35">
      <c r="A1055" t="s">
        <v>767</v>
      </c>
      <c r="B1055" s="47">
        <v>44518</v>
      </c>
      <c r="C1055" t="s">
        <v>546</v>
      </c>
      <c r="D1055">
        <v>-1983</v>
      </c>
    </row>
    <row r="1056" spans="1:4" x14ac:dyDescent="0.35">
      <c r="A1056" t="s">
        <v>768</v>
      </c>
      <c r="B1056" s="47">
        <v>44520</v>
      </c>
      <c r="C1056" t="s">
        <v>443</v>
      </c>
      <c r="D1056">
        <v>-3035</v>
      </c>
    </row>
    <row r="1057" spans="1:4" x14ac:dyDescent="0.35">
      <c r="A1057" t="s">
        <v>768</v>
      </c>
      <c r="B1057" s="47">
        <v>44520</v>
      </c>
      <c r="C1057" t="s">
        <v>449</v>
      </c>
      <c r="D1057">
        <v>-3871</v>
      </c>
    </row>
    <row r="1058" spans="1:4" x14ac:dyDescent="0.35">
      <c r="A1058" t="s">
        <v>768</v>
      </c>
      <c r="B1058" s="47">
        <v>44520</v>
      </c>
      <c r="C1058" t="s">
        <v>505</v>
      </c>
      <c r="D1058">
        <v>-4867</v>
      </c>
    </row>
    <row r="1059" spans="1:4" x14ac:dyDescent="0.35">
      <c r="A1059" t="s">
        <v>768</v>
      </c>
      <c r="B1059" s="47">
        <v>44520</v>
      </c>
      <c r="C1059" t="s">
        <v>502</v>
      </c>
      <c r="D1059">
        <v>-1152</v>
      </c>
    </row>
    <row r="1060" spans="1:4" x14ac:dyDescent="0.35">
      <c r="A1060" t="s">
        <v>768</v>
      </c>
      <c r="B1060" s="47">
        <v>44520</v>
      </c>
      <c r="C1060" t="s">
        <v>546</v>
      </c>
      <c r="D1060">
        <v>-2006</v>
      </c>
    </row>
    <row r="1061" spans="1:4" x14ac:dyDescent="0.35">
      <c r="A1061" t="s">
        <v>769</v>
      </c>
      <c r="B1061" s="47">
        <v>44521</v>
      </c>
      <c r="C1061" t="s">
        <v>443</v>
      </c>
      <c r="D1061">
        <v>-1136</v>
      </c>
    </row>
    <row r="1062" spans="1:4" x14ac:dyDescent="0.35">
      <c r="A1062" t="s">
        <v>769</v>
      </c>
      <c r="B1062" s="47">
        <v>44521</v>
      </c>
      <c r="C1062" t="s">
        <v>449</v>
      </c>
      <c r="D1062">
        <v>-1949</v>
      </c>
    </row>
    <row r="1063" spans="1:4" x14ac:dyDescent="0.35">
      <c r="A1063" t="s">
        <v>769</v>
      </c>
      <c r="B1063" s="47">
        <v>44521</v>
      </c>
      <c r="C1063" t="s">
        <v>654</v>
      </c>
      <c r="D1063">
        <v>-704</v>
      </c>
    </row>
    <row r="1064" spans="1:4" x14ac:dyDescent="0.35">
      <c r="A1064" t="s">
        <v>769</v>
      </c>
      <c r="B1064" s="47">
        <v>44521</v>
      </c>
      <c r="C1064" t="s">
        <v>575</v>
      </c>
      <c r="D1064">
        <v>-1428</v>
      </c>
    </row>
    <row r="1065" spans="1:4" x14ac:dyDescent="0.35">
      <c r="A1065" t="s">
        <v>769</v>
      </c>
      <c r="B1065" s="47">
        <v>44521</v>
      </c>
      <c r="C1065" t="s">
        <v>507</v>
      </c>
      <c r="D1065">
        <v>-31</v>
      </c>
    </row>
    <row r="1066" spans="1:4" x14ac:dyDescent="0.35">
      <c r="A1066" t="s">
        <v>769</v>
      </c>
      <c r="B1066" s="47">
        <v>44521</v>
      </c>
      <c r="C1066" t="s">
        <v>494</v>
      </c>
      <c r="D1066">
        <v>-5202</v>
      </c>
    </row>
    <row r="1067" spans="1:4" x14ac:dyDescent="0.35">
      <c r="A1067" t="s">
        <v>769</v>
      </c>
      <c r="B1067" s="47">
        <v>44521</v>
      </c>
      <c r="C1067" t="s">
        <v>485</v>
      </c>
      <c r="D1067">
        <v>-869</v>
      </c>
    </row>
    <row r="1068" spans="1:4" x14ac:dyDescent="0.35">
      <c r="A1068" t="s">
        <v>774</v>
      </c>
      <c r="B1068" s="47">
        <v>44522</v>
      </c>
      <c r="C1068" t="s">
        <v>489</v>
      </c>
      <c r="D1068">
        <v>-568</v>
      </c>
    </row>
    <row r="1069" spans="1:4" x14ac:dyDescent="0.35">
      <c r="A1069" t="s">
        <v>774</v>
      </c>
      <c r="B1069" s="47">
        <v>44522</v>
      </c>
      <c r="C1069" t="s">
        <v>492</v>
      </c>
      <c r="D1069">
        <v>-2008</v>
      </c>
    </row>
    <row r="1070" spans="1:4" x14ac:dyDescent="0.35">
      <c r="A1070" t="s">
        <v>774</v>
      </c>
      <c r="B1070" s="47">
        <v>44522</v>
      </c>
      <c r="C1070" t="s">
        <v>441</v>
      </c>
      <c r="D1070">
        <v>-10536</v>
      </c>
    </row>
    <row r="1071" spans="1:4" x14ac:dyDescent="0.35">
      <c r="A1071" t="s">
        <v>774</v>
      </c>
      <c r="B1071" s="47">
        <v>44522</v>
      </c>
      <c r="C1071" t="s">
        <v>775</v>
      </c>
      <c r="D1071">
        <v>-402</v>
      </c>
    </row>
    <row r="1072" spans="1:4" x14ac:dyDescent="0.35">
      <c r="A1072" t="s">
        <v>774</v>
      </c>
      <c r="B1072" s="47">
        <v>44522</v>
      </c>
      <c r="C1072" t="s">
        <v>570</v>
      </c>
      <c r="D1072">
        <v>-5007</v>
      </c>
    </row>
    <row r="1073" spans="1:4" x14ac:dyDescent="0.35">
      <c r="A1073" t="s">
        <v>774</v>
      </c>
      <c r="B1073" s="47">
        <v>44522</v>
      </c>
      <c r="C1073" t="s">
        <v>546</v>
      </c>
      <c r="D1073">
        <v>-930</v>
      </c>
    </row>
    <row r="1074" spans="1:4" x14ac:dyDescent="0.35">
      <c r="A1074" t="s">
        <v>774</v>
      </c>
      <c r="B1074" s="47">
        <v>44522</v>
      </c>
      <c r="C1074" t="s">
        <v>770</v>
      </c>
      <c r="D1074">
        <v>-1566</v>
      </c>
    </row>
    <row r="1075" spans="1:4" x14ac:dyDescent="0.35">
      <c r="A1075" t="s">
        <v>776</v>
      </c>
      <c r="B1075" s="47">
        <v>44523</v>
      </c>
      <c r="C1075" t="s">
        <v>443</v>
      </c>
      <c r="D1075">
        <v>-2022</v>
      </c>
    </row>
    <row r="1076" spans="1:4" x14ac:dyDescent="0.35">
      <c r="A1076" t="s">
        <v>776</v>
      </c>
      <c r="B1076" s="47">
        <v>44523</v>
      </c>
      <c r="C1076" t="s">
        <v>449</v>
      </c>
      <c r="D1076">
        <v>-1877</v>
      </c>
    </row>
    <row r="1077" spans="1:4" x14ac:dyDescent="0.35">
      <c r="A1077" t="s">
        <v>776</v>
      </c>
      <c r="B1077" s="47">
        <v>44523</v>
      </c>
      <c r="C1077" t="s">
        <v>489</v>
      </c>
      <c r="D1077">
        <v>-402</v>
      </c>
    </row>
    <row r="1078" spans="1:4" x14ac:dyDescent="0.35">
      <c r="A1078" t="s">
        <v>776</v>
      </c>
      <c r="B1078" s="47">
        <v>44523</v>
      </c>
      <c r="C1078" t="s">
        <v>546</v>
      </c>
      <c r="D1078">
        <v>-1114</v>
      </c>
    </row>
    <row r="1079" spans="1:4" x14ac:dyDescent="0.35">
      <c r="A1079" t="s">
        <v>776</v>
      </c>
      <c r="B1079" s="47">
        <v>44523</v>
      </c>
      <c r="C1079" t="s">
        <v>770</v>
      </c>
      <c r="D1079">
        <v>-1674</v>
      </c>
    </row>
    <row r="1080" spans="1:4" x14ac:dyDescent="0.35">
      <c r="A1080" t="s">
        <v>777</v>
      </c>
      <c r="B1080" s="47">
        <v>44524</v>
      </c>
      <c r="C1080" t="s">
        <v>511</v>
      </c>
      <c r="D1080">
        <v>-544</v>
      </c>
    </row>
    <row r="1081" spans="1:4" x14ac:dyDescent="0.35">
      <c r="A1081" t="s">
        <v>777</v>
      </c>
      <c r="B1081" s="47">
        <v>44524</v>
      </c>
      <c r="C1081" t="s">
        <v>505</v>
      </c>
      <c r="D1081">
        <v>-4598</v>
      </c>
    </row>
    <row r="1082" spans="1:4" x14ac:dyDescent="0.35">
      <c r="A1082" t="s">
        <v>777</v>
      </c>
      <c r="B1082" s="47">
        <v>44524</v>
      </c>
      <c r="C1082" t="s">
        <v>492</v>
      </c>
      <c r="D1082">
        <v>-24</v>
      </c>
    </row>
    <row r="1083" spans="1:4" x14ac:dyDescent="0.35">
      <c r="A1083" t="s">
        <v>777</v>
      </c>
      <c r="B1083" s="47">
        <v>44524</v>
      </c>
      <c r="C1083" t="s">
        <v>497</v>
      </c>
      <c r="D1083">
        <v>-2435</v>
      </c>
    </row>
    <row r="1084" spans="1:4" x14ac:dyDescent="0.35">
      <c r="A1084" t="s">
        <v>777</v>
      </c>
      <c r="B1084" s="47">
        <v>44524</v>
      </c>
      <c r="C1084" t="s">
        <v>526</v>
      </c>
      <c r="D1084">
        <v>-16712</v>
      </c>
    </row>
    <row r="1085" spans="1:4" x14ac:dyDescent="0.35">
      <c r="A1085" t="s">
        <v>777</v>
      </c>
      <c r="B1085" s="47">
        <v>44524</v>
      </c>
      <c r="C1085" t="s">
        <v>546</v>
      </c>
      <c r="D1085">
        <v>-882</v>
      </c>
    </row>
    <row r="1086" spans="1:4" x14ac:dyDescent="0.35">
      <c r="A1086" t="s">
        <v>777</v>
      </c>
      <c r="B1086" s="47">
        <v>44524</v>
      </c>
      <c r="C1086" t="s">
        <v>770</v>
      </c>
      <c r="D1086">
        <v>-11</v>
      </c>
    </row>
    <row r="1087" spans="1:4" x14ac:dyDescent="0.35">
      <c r="A1087" t="s">
        <v>778</v>
      </c>
      <c r="B1087" s="47">
        <v>44525</v>
      </c>
      <c r="C1087" t="s">
        <v>443</v>
      </c>
      <c r="D1087">
        <v>-2065</v>
      </c>
    </row>
    <row r="1088" spans="1:4" x14ac:dyDescent="0.35">
      <c r="A1088" t="s">
        <v>778</v>
      </c>
      <c r="B1088" s="47">
        <v>44525</v>
      </c>
      <c r="C1088" t="s">
        <v>764</v>
      </c>
      <c r="D1088">
        <v>-1050</v>
      </c>
    </row>
    <row r="1089" spans="1:4" x14ac:dyDescent="0.35">
      <c r="A1089" t="s">
        <v>778</v>
      </c>
      <c r="B1089" s="47">
        <v>44525</v>
      </c>
      <c r="C1089" t="s">
        <v>530</v>
      </c>
      <c r="D1089">
        <v>-5036</v>
      </c>
    </row>
    <row r="1090" spans="1:4" x14ac:dyDescent="0.35">
      <c r="A1090" t="s">
        <v>778</v>
      </c>
      <c r="B1090" s="47">
        <v>44525</v>
      </c>
      <c r="C1090" t="s">
        <v>483</v>
      </c>
      <c r="D1090">
        <v>-1423</v>
      </c>
    </row>
    <row r="1091" spans="1:4" x14ac:dyDescent="0.35">
      <c r="A1091" t="s">
        <v>791</v>
      </c>
      <c r="B1091" s="47">
        <v>44527</v>
      </c>
      <c r="C1091" t="s">
        <v>443</v>
      </c>
      <c r="D1091">
        <v>-4098</v>
      </c>
    </row>
    <row r="1092" spans="1:4" x14ac:dyDescent="0.35">
      <c r="A1092" t="s">
        <v>791</v>
      </c>
      <c r="B1092" s="47">
        <v>44527</v>
      </c>
      <c r="C1092" t="s">
        <v>509</v>
      </c>
      <c r="D1092">
        <v>-1466</v>
      </c>
    </row>
    <row r="1093" spans="1:4" x14ac:dyDescent="0.35">
      <c r="A1093" t="s">
        <v>791</v>
      </c>
      <c r="B1093" s="47">
        <v>44527</v>
      </c>
      <c r="C1093" t="s">
        <v>505</v>
      </c>
      <c r="D1093">
        <v>-4884</v>
      </c>
    </row>
    <row r="1094" spans="1:4" x14ac:dyDescent="0.35">
      <c r="A1094" t="s">
        <v>791</v>
      </c>
      <c r="B1094" s="47">
        <v>44527</v>
      </c>
      <c r="C1094" t="s">
        <v>441</v>
      </c>
      <c r="D1094">
        <v>-2069</v>
      </c>
    </row>
    <row r="1095" spans="1:4" x14ac:dyDescent="0.35">
      <c r="A1095" t="s">
        <v>791</v>
      </c>
      <c r="B1095" s="47">
        <v>44527</v>
      </c>
      <c r="C1095" t="s">
        <v>506</v>
      </c>
      <c r="D1095">
        <v>-4877</v>
      </c>
    </row>
    <row r="1096" spans="1:4" x14ac:dyDescent="0.35">
      <c r="A1096" t="s">
        <v>791</v>
      </c>
      <c r="B1096" s="47">
        <v>44527</v>
      </c>
      <c r="C1096" t="s">
        <v>507</v>
      </c>
      <c r="D1096">
        <v>-300</v>
      </c>
    </row>
    <row r="1097" spans="1:4" x14ac:dyDescent="0.35">
      <c r="A1097" t="s">
        <v>791</v>
      </c>
      <c r="B1097" s="47">
        <v>44527</v>
      </c>
      <c r="C1097" t="s">
        <v>446</v>
      </c>
      <c r="D1097">
        <v>-3075</v>
      </c>
    </row>
    <row r="1098" spans="1:4" x14ac:dyDescent="0.35">
      <c r="A1098" t="s">
        <v>791</v>
      </c>
      <c r="B1098" s="47">
        <v>44527</v>
      </c>
      <c r="C1098" t="s">
        <v>546</v>
      </c>
      <c r="D1098">
        <v>-1896</v>
      </c>
    </row>
    <row r="1099" spans="1:4" x14ac:dyDescent="0.35">
      <c r="A1099" t="s">
        <v>792</v>
      </c>
      <c r="B1099" s="47">
        <v>44528</v>
      </c>
      <c r="C1099" t="s">
        <v>509</v>
      </c>
      <c r="D1099">
        <v>-400</v>
      </c>
    </row>
    <row r="1100" spans="1:4" x14ac:dyDescent="0.35">
      <c r="A1100" t="s">
        <v>792</v>
      </c>
      <c r="B1100" s="47">
        <v>44528</v>
      </c>
      <c r="C1100" t="s">
        <v>441</v>
      </c>
      <c r="D1100">
        <v>-2097</v>
      </c>
    </row>
    <row r="1101" spans="1:4" x14ac:dyDescent="0.35">
      <c r="A1101" t="s">
        <v>792</v>
      </c>
      <c r="B1101" s="47">
        <v>44528</v>
      </c>
      <c r="C1101" t="s">
        <v>553</v>
      </c>
      <c r="D1101">
        <v>-746</v>
      </c>
    </row>
    <row r="1102" spans="1:4" x14ac:dyDescent="0.35">
      <c r="A1102" t="s">
        <v>792</v>
      </c>
      <c r="B1102" s="47">
        <v>44528</v>
      </c>
      <c r="C1102" t="s">
        <v>579</v>
      </c>
      <c r="D1102">
        <v>-2051</v>
      </c>
    </row>
    <row r="1103" spans="1:4" x14ac:dyDescent="0.35">
      <c r="A1103" t="s">
        <v>792</v>
      </c>
      <c r="B1103" s="47">
        <v>44528</v>
      </c>
      <c r="C1103" t="s">
        <v>770</v>
      </c>
      <c r="D1103">
        <v>-3341</v>
      </c>
    </row>
    <row r="1104" spans="1:4" x14ac:dyDescent="0.35">
      <c r="A1104" t="s">
        <v>792</v>
      </c>
      <c r="B1104" s="47">
        <v>44528</v>
      </c>
      <c r="C1104" t="s">
        <v>765</v>
      </c>
      <c r="D1104">
        <v>-859</v>
      </c>
    </row>
    <row r="1105" spans="1:4" x14ac:dyDescent="0.35">
      <c r="A1105" t="s">
        <v>792</v>
      </c>
      <c r="B1105" s="47">
        <v>44528</v>
      </c>
      <c r="C1105" t="s">
        <v>553</v>
      </c>
      <c r="D1105">
        <v>-1802</v>
      </c>
    </row>
    <row r="1106" spans="1:4" x14ac:dyDescent="0.35">
      <c r="A1106" t="s">
        <v>793</v>
      </c>
      <c r="B1106" s="47">
        <v>44529</v>
      </c>
      <c r="C1106" t="s">
        <v>511</v>
      </c>
      <c r="D1106">
        <v>-984</v>
      </c>
    </row>
    <row r="1107" spans="1:4" x14ac:dyDescent="0.35">
      <c r="A1107" t="s">
        <v>793</v>
      </c>
      <c r="B1107" s="47">
        <v>44529</v>
      </c>
      <c r="C1107" t="s">
        <v>449</v>
      </c>
      <c r="D1107">
        <v>-4234</v>
      </c>
    </row>
    <row r="1108" spans="1:4" x14ac:dyDescent="0.35">
      <c r="A1108" t="s">
        <v>793</v>
      </c>
      <c r="B1108" s="47">
        <v>44529</v>
      </c>
      <c r="C1108" t="s">
        <v>534</v>
      </c>
      <c r="D1108">
        <v>-274</v>
      </c>
    </row>
    <row r="1109" spans="1:4" x14ac:dyDescent="0.35">
      <c r="A1109" t="s">
        <v>793</v>
      </c>
      <c r="B1109" s="47">
        <v>44529</v>
      </c>
      <c r="C1109" t="s">
        <v>530</v>
      </c>
      <c r="D1109">
        <v>-5066</v>
      </c>
    </row>
    <row r="1110" spans="1:4" x14ac:dyDescent="0.35">
      <c r="A1110" t="s">
        <v>793</v>
      </c>
      <c r="B1110" s="47">
        <v>44529</v>
      </c>
      <c r="C1110" t="s">
        <v>497</v>
      </c>
      <c r="D1110">
        <v>-418</v>
      </c>
    </row>
    <row r="1111" spans="1:4" x14ac:dyDescent="0.35">
      <c r="A1111" t="s">
        <v>793</v>
      </c>
      <c r="B1111" s="47">
        <v>44529</v>
      </c>
      <c r="C1111" t="s">
        <v>501</v>
      </c>
      <c r="D1111">
        <v>-3171</v>
      </c>
    </row>
    <row r="1112" spans="1:4" x14ac:dyDescent="0.35">
      <c r="A1112" t="s">
        <v>794</v>
      </c>
      <c r="B1112" s="47">
        <v>44530</v>
      </c>
      <c r="C1112" t="s">
        <v>443</v>
      </c>
      <c r="D1112">
        <v>-1942</v>
      </c>
    </row>
    <row r="1113" spans="1:4" x14ac:dyDescent="0.35">
      <c r="A1113" t="s">
        <v>794</v>
      </c>
      <c r="B1113" s="47">
        <v>44530</v>
      </c>
      <c r="C1113" t="s">
        <v>461</v>
      </c>
      <c r="D1113">
        <v>-502</v>
      </c>
    </row>
    <row r="1114" spans="1:4" x14ac:dyDescent="0.35">
      <c r="A1114" t="s">
        <v>794</v>
      </c>
      <c r="B1114" s="47">
        <v>44530</v>
      </c>
      <c r="C1114" t="s">
        <v>495</v>
      </c>
      <c r="D1114">
        <v>-1508</v>
      </c>
    </row>
    <row r="1115" spans="1:4" x14ac:dyDescent="0.35">
      <c r="A1115" t="s">
        <v>794</v>
      </c>
      <c r="B1115" s="47">
        <v>44530</v>
      </c>
      <c r="C1115" t="s">
        <v>441</v>
      </c>
      <c r="D1115">
        <v>-1863</v>
      </c>
    </row>
    <row r="1116" spans="1:4" x14ac:dyDescent="0.35">
      <c r="A1116" t="s">
        <v>794</v>
      </c>
      <c r="B1116" s="47">
        <v>44530</v>
      </c>
      <c r="C1116" t="s">
        <v>470</v>
      </c>
      <c r="D1116">
        <v>-1844</v>
      </c>
    </row>
    <row r="1117" spans="1:4" x14ac:dyDescent="0.35">
      <c r="A1117" t="s">
        <v>794</v>
      </c>
      <c r="B1117" s="47">
        <v>44530</v>
      </c>
      <c r="C1117" t="s">
        <v>575</v>
      </c>
      <c r="D1117">
        <v>-35</v>
      </c>
    </row>
    <row r="1118" spans="1:4" x14ac:dyDescent="0.35">
      <c r="A1118" t="s">
        <v>794</v>
      </c>
      <c r="B1118" s="47">
        <v>44530</v>
      </c>
      <c r="C1118" t="s">
        <v>665</v>
      </c>
      <c r="D1118">
        <v>-1000</v>
      </c>
    </row>
    <row r="1119" spans="1:4" x14ac:dyDescent="0.35">
      <c r="A1119" t="s">
        <v>795</v>
      </c>
      <c r="B1119" s="47">
        <v>44531</v>
      </c>
      <c r="C1119" t="s">
        <v>511</v>
      </c>
      <c r="D1119">
        <v>-504</v>
      </c>
    </row>
    <row r="1120" spans="1:4" x14ac:dyDescent="0.35">
      <c r="A1120" t="s">
        <v>795</v>
      </c>
      <c r="B1120" s="47">
        <v>44531</v>
      </c>
      <c r="C1120" t="s">
        <v>505</v>
      </c>
      <c r="D1120">
        <v>-4904</v>
      </c>
    </row>
    <row r="1121" spans="1:4" x14ac:dyDescent="0.35">
      <c r="A1121" t="s">
        <v>795</v>
      </c>
      <c r="B1121" s="47">
        <v>44531</v>
      </c>
      <c r="C1121" t="s">
        <v>502</v>
      </c>
      <c r="D1121">
        <v>-702</v>
      </c>
    </row>
    <row r="1122" spans="1:4" x14ac:dyDescent="0.35">
      <c r="A1122" t="s">
        <v>795</v>
      </c>
      <c r="B1122" s="47">
        <v>44531</v>
      </c>
      <c r="C1122" t="s">
        <v>506</v>
      </c>
      <c r="D1122">
        <v>-3197</v>
      </c>
    </row>
    <row r="1123" spans="1:4" x14ac:dyDescent="0.35">
      <c r="A1123" t="s">
        <v>795</v>
      </c>
      <c r="B1123" s="47">
        <v>44531</v>
      </c>
      <c r="C1123" t="s">
        <v>554</v>
      </c>
      <c r="D1123">
        <v>-2018</v>
      </c>
    </row>
    <row r="1124" spans="1:4" x14ac:dyDescent="0.35">
      <c r="A1124" t="s">
        <v>795</v>
      </c>
      <c r="B1124" s="47">
        <v>44531</v>
      </c>
      <c r="C1124" t="s">
        <v>546</v>
      </c>
      <c r="D1124">
        <v>-2305</v>
      </c>
    </row>
    <row r="1125" spans="1:4" x14ac:dyDescent="0.35">
      <c r="A1125" t="s">
        <v>795</v>
      </c>
      <c r="B1125" s="47">
        <v>44531</v>
      </c>
      <c r="C1125" t="s">
        <v>621</v>
      </c>
      <c r="D1125">
        <v>-1310</v>
      </c>
    </row>
    <row r="1126" spans="1:4" x14ac:dyDescent="0.35">
      <c r="A1126" t="s">
        <v>795</v>
      </c>
      <c r="B1126" s="47">
        <v>44531</v>
      </c>
      <c r="C1126" t="s">
        <v>492</v>
      </c>
      <c r="D1126">
        <v>-1274</v>
      </c>
    </row>
    <row r="1127" spans="1:4" x14ac:dyDescent="0.35">
      <c r="A1127" t="s">
        <v>796</v>
      </c>
      <c r="B1127" s="47">
        <v>44532</v>
      </c>
      <c r="C1127" t="s">
        <v>530</v>
      </c>
      <c r="D1127">
        <v>-4159</v>
      </c>
    </row>
    <row r="1128" spans="1:4" x14ac:dyDescent="0.35">
      <c r="A1128" t="s">
        <v>796</v>
      </c>
      <c r="B1128" s="47">
        <v>44532</v>
      </c>
      <c r="C1128" t="s">
        <v>441</v>
      </c>
      <c r="D1128">
        <v>-1968</v>
      </c>
    </row>
    <row r="1129" spans="1:4" x14ac:dyDescent="0.35">
      <c r="A1129" t="s">
        <v>796</v>
      </c>
      <c r="B1129" s="47">
        <v>44532</v>
      </c>
      <c r="C1129" t="s">
        <v>480</v>
      </c>
      <c r="D1129">
        <v>-2036</v>
      </c>
    </row>
    <row r="1130" spans="1:4" x14ac:dyDescent="0.35">
      <c r="A1130" t="s">
        <v>796</v>
      </c>
      <c r="B1130" s="47">
        <v>44532</v>
      </c>
      <c r="C1130" t="s">
        <v>546</v>
      </c>
      <c r="D1130">
        <v>-2549</v>
      </c>
    </row>
    <row r="1131" spans="1:4" x14ac:dyDescent="0.35">
      <c r="A1131" t="s">
        <v>797</v>
      </c>
      <c r="B1131" s="47">
        <v>44534</v>
      </c>
      <c r="C1131" t="s">
        <v>474</v>
      </c>
      <c r="D1131">
        <v>-1382</v>
      </c>
    </row>
    <row r="1132" spans="1:4" x14ac:dyDescent="0.35">
      <c r="A1132" t="s">
        <v>797</v>
      </c>
      <c r="B1132" s="47">
        <v>44534</v>
      </c>
      <c r="C1132" t="s">
        <v>489</v>
      </c>
      <c r="D1132">
        <v>-609</v>
      </c>
    </row>
    <row r="1133" spans="1:4" x14ac:dyDescent="0.35">
      <c r="A1133" t="s">
        <v>797</v>
      </c>
      <c r="B1133" s="47">
        <v>44534</v>
      </c>
      <c r="C1133" t="s">
        <v>505</v>
      </c>
      <c r="D1133">
        <v>-5038</v>
      </c>
    </row>
    <row r="1134" spans="1:4" x14ac:dyDescent="0.35">
      <c r="A1134" t="s">
        <v>797</v>
      </c>
      <c r="B1134" s="47">
        <v>44534</v>
      </c>
      <c r="C1134" t="s">
        <v>704</v>
      </c>
      <c r="D1134">
        <v>-110</v>
      </c>
    </row>
    <row r="1135" spans="1:4" x14ac:dyDescent="0.35">
      <c r="A1135" t="s">
        <v>797</v>
      </c>
      <c r="B1135" s="47">
        <v>44534</v>
      </c>
      <c r="C1135" t="s">
        <v>546</v>
      </c>
      <c r="D1135">
        <v>-2679</v>
      </c>
    </row>
    <row r="1136" spans="1:4" x14ac:dyDescent="0.35">
      <c r="A1136" t="s">
        <v>797</v>
      </c>
      <c r="B1136" s="47">
        <v>44534</v>
      </c>
      <c r="C1136" t="s">
        <v>765</v>
      </c>
      <c r="D1136">
        <v>-201</v>
      </c>
    </row>
    <row r="1137" spans="1:4" x14ac:dyDescent="0.35">
      <c r="A1137" t="s">
        <v>797</v>
      </c>
      <c r="B1137" s="47">
        <v>44534</v>
      </c>
      <c r="C1137" t="s">
        <v>499</v>
      </c>
      <c r="D1137">
        <v>-1572</v>
      </c>
    </row>
    <row r="1138" spans="1:4" x14ac:dyDescent="0.35">
      <c r="A1138" t="s">
        <v>798</v>
      </c>
      <c r="B1138" s="47">
        <v>44535</v>
      </c>
      <c r="C1138" t="s">
        <v>443</v>
      </c>
      <c r="D1138">
        <v>-2892</v>
      </c>
    </row>
    <row r="1139" spans="1:4" x14ac:dyDescent="0.35">
      <c r="A1139" t="s">
        <v>798</v>
      </c>
      <c r="B1139" s="47">
        <v>44535</v>
      </c>
      <c r="C1139" t="s">
        <v>537</v>
      </c>
      <c r="D1139">
        <v>-979</v>
      </c>
    </row>
    <row r="1140" spans="1:4" x14ac:dyDescent="0.35">
      <c r="A1140" t="s">
        <v>798</v>
      </c>
      <c r="B1140" s="47">
        <v>44535</v>
      </c>
      <c r="C1140" t="s">
        <v>509</v>
      </c>
      <c r="D1140">
        <v>-2301</v>
      </c>
    </row>
    <row r="1141" spans="1:4" x14ac:dyDescent="0.35">
      <c r="A1141" t="s">
        <v>798</v>
      </c>
      <c r="B1141" s="47">
        <v>44535</v>
      </c>
      <c r="C1141" t="s">
        <v>502</v>
      </c>
      <c r="D1141">
        <v>-622</v>
      </c>
    </row>
    <row r="1142" spans="1:4" x14ac:dyDescent="0.35">
      <c r="A1142" t="s">
        <v>798</v>
      </c>
      <c r="B1142" s="47">
        <v>44535</v>
      </c>
      <c r="C1142" t="s">
        <v>482</v>
      </c>
      <c r="D1142">
        <v>-2628</v>
      </c>
    </row>
    <row r="1143" spans="1:4" x14ac:dyDescent="0.35">
      <c r="A1143" t="s">
        <v>798</v>
      </c>
      <c r="B1143" s="47">
        <v>44535</v>
      </c>
      <c r="C1143" t="s">
        <v>441</v>
      </c>
      <c r="D1143">
        <v>-400</v>
      </c>
    </row>
    <row r="1144" spans="1:4" x14ac:dyDescent="0.35">
      <c r="A1144" t="s">
        <v>798</v>
      </c>
      <c r="B1144" s="47">
        <v>44535</v>
      </c>
      <c r="C1144" t="s">
        <v>664</v>
      </c>
      <c r="D1144">
        <v>-2006</v>
      </c>
    </row>
    <row r="1145" spans="1:4" x14ac:dyDescent="0.35">
      <c r="A1145" t="s">
        <v>798</v>
      </c>
      <c r="B1145" s="47">
        <v>44535</v>
      </c>
      <c r="C1145" t="s">
        <v>499</v>
      </c>
      <c r="D1145">
        <v>-2173</v>
      </c>
    </row>
    <row r="1146" spans="1:4" x14ac:dyDescent="0.35">
      <c r="A1146" t="s">
        <v>798</v>
      </c>
      <c r="B1146" s="47">
        <v>44535</v>
      </c>
      <c r="C1146" t="s">
        <v>546</v>
      </c>
      <c r="D1146">
        <v>-3273</v>
      </c>
    </row>
    <row r="1147" spans="1:4" x14ac:dyDescent="0.35">
      <c r="A1147" t="s">
        <v>798</v>
      </c>
      <c r="B1147" s="47">
        <v>44535</v>
      </c>
      <c r="C1147" t="s">
        <v>770</v>
      </c>
      <c r="D1147">
        <v>-11</v>
      </c>
    </row>
    <row r="1148" spans="1:4" x14ac:dyDescent="0.35">
      <c r="A1148" t="s">
        <v>798</v>
      </c>
      <c r="B1148" s="47">
        <v>44535</v>
      </c>
      <c r="C1148" t="s">
        <v>443</v>
      </c>
      <c r="D1148">
        <v>-2941</v>
      </c>
    </row>
    <row r="1149" spans="1:4" x14ac:dyDescent="0.35">
      <c r="A1149" t="s">
        <v>803</v>
      </c>
      <c r="B1149" s="47">
        <v>44536</v>
      </c>
      <c r="C1149" t="s">
        <v>509</v>
      </c>
      <c r="D1149">
        <v>-787</v>
      </c>
    </row>
    <row r="1150" spans="1:4" x14ac:dyDescent="0.35">
      <c r="A1150" t="s">
        <v>803</v>
      </c>
      <c r="B1150" s="47">
        <v>44536</v>
      </c>
      <c r="C1150" t="s">
        <v>530</v>
      </c>
      <c r="D1150">
        <v>-4419</v>
      </c>
    </row>
    <row r="1151" spans="1:4" x14ac:dyDescent="0.35">
      <c r="A1151" t="s">
        <v>805</v>
      </c>
      <c r="B1151" s="47">
        <v>44537</v>
      </c>
      <c r="C1151" t="s">
        <v>443</v>
      </c>
      <c r="D1151">
        <v>-1997</v>
      </c>
    </row>
    <row r="1152" spans="1:4" x14ac:dyDescent="0.35">
      <c r="A1152" t="s">
        <v>805</v>
      </c>
      <c r="B1152" s="47">
        <v>44537</v>
      </c>
      <c r="C1152" t="s">
        <v>444</v>
      </c>
      <c r="D1152">
        <v>-1749</v>
      </c>
    </row>
    <row r="1153" spans="1:4" x14ac:dyDescent="0.35">
      <c r="A1153" t="s">
        <v>805</v>
      </c>
      <c r="B1153" s="47">
        <v>44537</v>
      </c>
      <c r="C1153" t="s">
        <v>451</v>
      </c>
      <c r="D1153">
        <v>-1927</v>
      </c>
    </row>
    <row r="1154" spans="1:4" x14ac:dyDescent="0.35">
      <c r="A1154" t="s">
        <v>805</v>
      </c>
      <c r="B1154" s="47">
        <v>44537</v>
      </c>
      <c r="C1154" t="s">
        <v>481</v>
      </c>
      <c r="D1154">
        <v>-931</v>
      </c>
    </row>
    <row r="1155" spans="1:4" x14ac:dyDescent="0.35">
      <c r="A1155" t="s">
        <v>805</v>
      </c>
      <c r="B1155" s="47">
        <v>44537</v>
      </c>
      <c r="C1155" t="s">
        <v>485</v>
      </c>
      <c r="D1155">
        <v>-1871</v>
      </c>
    </row>
    <row r="1156" spans="1:4" x14ac:dyDescent="0.35">
      <c r="A1156" t="s">
        <v>806</v>
      </c>
      <c r="B1156" s="47">
        <v>44538</v>
      </c>
      <c r="C1156" t="s">
        <v>443</v>
      </c>
      <c r="D1156">
        <v>-2234</v>
      </c>
    </row>
    <row r="1157" spans="1:4" x14ac:dyDescent="0.35">
      <c r="A1157" t="s">
        <v>806</v>
      </c>
      <c r="B1157" s="47">
        <v>44538</v>
      </c>
      <c r="C1157" t="s">
        <v>449</v>
      </c>
      <c r="D1157">
        <v>-5418</v>
      </c>
    </row>
    <row r="1158" spans="1:4" x14ac:dyDescent="0.35">
      <c r="A1158" t="s">
        <v>806</v>
      </c>
      <c r="B1158" s="47">
        <v>44538</v>
      </c>
      <c r="C1158" t="s">
        <v>509</v>
      </c>
      <c r="D1158">
        <v>-3481</v>
      </c>
    </row>
    <row r="1159" spans="1:4" x14ac:dyDescent="0.35">
      <c r="A1159" t="s">
        <v>806</v>
      </c>
      <c r="B1159" s="47">
        <v>44538</v>
      </c>
      <c r="C1159" t="s">
        <v>505</v>
      </c>
      <c r="D1159">
        <v>-4623</v>
      </c>
    </row>
    <row r="1160" spans="1:4" x14ac:dyDescent="0.35">
      <c r="A1160" t="s">
        <v>806</v>
      </c>
      <c r="B1160" s="47">
        <v>44538</v>
      </c>
      <c r="C1160" t="s">
        <v>492</v>
      </c>
      <c r="D1160">
        <v>-6</v>
      </c>
    </row>
    <row r="1161" spans="1:4" x14ac:dyDescent="0.35">
      <c r="A1161" t="s">
        <v>806</v>
      </c>
      <c r="B1161" s="47">
        <v>44538</v>
      </c>
      <c r="C1161" t="s">
        <v>550</v>
      </c>
      <c r="D1161">
        <v>-1008</v>
      </c>
    </row>
    <row r="1162" spans="1:4" x14ac:dyDescent="0.35">
      <c r="A1162" t="s">
        <v>806</v>
      </c>
      <c r="B1162" s="47">
        <v>44538</v>
      </c>
      <c r="C1162" t="s">
        <v>530</v>
      </c>
      <c r="D1162">
        <v>-5306</v>
      </c>
    </row>
    <row r="1163" spans="1:4" x14ac:dyDescent="0.35">
      <c r="A1163" t="s">
        <v>806</v>
      </c>
      <c r="B1163" s="47">
        <v>44538</v>
      </c>
      <c r="C1163" t="s">
        <v>770</v>
      </c>
      <c r="D1163">
        <v>-2051</v>
      </c>
    </row>
    <row r="1164" spans="1:4" x14ac:dyDescent="0.35">
      <c r="A1164" t="s">
        <v>806</v>
      </c>
      <c r="B1164" s="47">
        <v>44538</v>
      </c>
      <c r="C1164" t="s">
        <v>804</v>
      </c>
      <c r="D1164">
        <v>-1510</v>
      </c>
    </row>
    <row r="1165" spans="1:4" x14ac:dyDescent="0.35">
      <c r="A1165" t="s">
        <v>807</v>
      </c>
      <c r="B1165" s="47">
        <v>44539</v>
      </c>
      <c r="C1165" t="s">
        <v>461</v>
      </c>
      <c r="D1165">
        <v>-646</v>
      </c>
    </row>
    <row r="1166" spans="1:4" x14ac:dyDescent="0.35">
      <c r="A1166" t="s">
        <v>807</v>
      </c>
      <c r="B1166" s="47">
        <v>44539</v>
      </c>
      <c r="C1166" t="s">
        <v>546</v>
      </c>
      <c r="D1166">
        <v>-1948</v>
      </c>
    </row>
    <row r="1167" spans="1:4" x14ac:dyDescent="0.35">
      <c r="A1167" t="s">
        <v>807</v>
      </c>
      <c r="B1167" s="47">
        <v>44539</v>
      </c>
      <c r="C1167" t="s">
        <v>483</v>
      </c>
      <c r="D1167">
        <v>-4996</v>
      </c>
    </row>
    <row r="1168" spans="1:4" x14ac:dyDescent="0.35">
      <c r="A1168" t="s">
        <v>808</v>
      </c>
      <c r="B1168" s="47">
        <v>44541</v>
      </c>
      <c r="C1168" t="s">
        <v>443</v>
      </c>
      <c r="D1168">
        <v>-1850</v>
      </c>
    </row>
    <row r="1169" spans="1:4" x14ac:dyDescent="0.35">
      <c r="A1169" t="s">
        <v>808</v>
      </c>
      <c r="B1169" s="47">
        <v>44541</v>
      </c>
      <c r="C1169" t="s">
        <v>449</v>
      </c>
      <c r="D1169">
        <v>-1216</v>
      </c>
    </row>
    <row r="1170" spans="1:4" x14ac:dyDescent="0.35">
      <c r="A1170" t="s">
        <v>808</v>
      </c>
      <c r="B1170" s="47">
        <v>44541</v>
      </c>
      <c r="C1170" t="s">
        <v>489</v>
      </c>
      <c r="D1170">
        <v>-346</v>
      </c>
    </row>
    <row r="1171" spans="1:4" x14ac:dyDescent="0.35">
      <c r="A1171" t="s">
        <v>808</v>
      </c>
      <c r="B1171" s="47">
        <v>44541</v>
      </c>
      <c r="C1171" t="s">
        <v>506</v>
      </c>
      <c r="D1171">
        <v>-4907</v>
      </c>
    </row>
    <row r="1172" spans="1:4" x14ac:dyDescent="0.35">
      <c r="A1172" t="s">
        <v>809</v>
      </c>
      <c r="B1172" s="47">
        <v>44542</v>
      </c>
      <c r="C1172" t="s">
        <v>443</v>
      </c>
      <c r="D1172">
        <v>-2303</v>
      </c>
    </row>
    <row r="1173" spans="1:4" x14ac:dyDescent="0.35">
      <c r="A1173" t="s">
        <v>809</v>
      </c>
      <c r="B1173" s="47">
        <v>44542</v>
      </c>
      <c r="C1173" t="s">
        <v>505</v>
      </c>
      <c r="D1173">
        <v>-4662</v>
      </c>
    </row>
    <row r="1174" spans="1:4" x14ac:dyDescent="0.35">
      <c r="A1174" t="s">
        <v>809</v>
      </c>
      <c r="B1174" s="47">
        <v>44542</v>
      </c>
      <c r="C1174" t="s">
        <v>550</v>
      </c>
      <c r="D1174">
        <v>-1136</v>
      </c>
    </row>
    <row r="1175" spans="1:4" x14ac:dyDescent="0.35">
      <c r="A1175" t="s">
        <v>809</v>
      </c>
      <c r="B1175" s="47">
        <v>44542</v>
      </c>
      <c r="C1175" t="s">
        <v>502</v>
      </c>
      <c r="D1175">
        <v>-976</v>
      </c>
    </row>
    <row r="1176" spans="1:4" x14ac:dyDescent="0.35">
      <c r="A1176" t="s">
        <v>809</v>
      </c>
      <c r="B1176" s="47">
        <v>44542</v>
      </c>
      <c r="C1176" t="s">
        <v>481</v>
      </c>
      <c r="D1176">
        <v>-1998</v>
      </c>
    </row>
    <row r="1177" spans="1:4" x14ac:dyDescent="0.35">
      <c r="A1177" t="s">
        <v>809</v>
      </c>
      <c r="B1177" s="47">
        <v>44542</v>
      </c>
      <c r="C1177" t="s">
        <v>590</v>
      </c>
      <c r="D1177">
        <v>-1000</v>
      </c>
    </row>
    <row r="1178" spans="1:4" x14ac:dyDescent="0.35">
      <c r="A1178" t="s">
        <v>810</v>
      </c>
      <c r="B1178" s="47">
        <v>44543</v>
      </c>
      <c r="C1178" t="s">
        <v>443</v>
      </c>
      <c r="D1178">
        <v>-3107</v>
      </c>
    </row>
    <row r="1179" spans="1:4" x14ac:dyDescent="0.35">
      <c r="A1179" t="s">
        <v>810</v>
      </c>
      <c r="B1179" s="47">
        <v>44543</v>
      </c>
      <c r="C1179" t="s">
        <v>511</v>
      </c>
      <c r="D1179">
        <v>-1496</v>
      </c>
    </row>
    <row r="1180" spans="1:4" x14ac:dyDescent="0.35">
      <c r="A1180" t="s">
        <v>810</v>
      </c>
      <c r="B1180" s="47">
        <v>44543</v>
      </c>
      <c r="C1180" t="s">
        <v>492</v>
      </c>
      <c r="D1180">
        <v>-270</v>
      </c>
    </row>
    <row r="1181" spans="1:4" x14ac:dyDescent="0.35">
      <c r="A1181" t="s">
        <v>810</v>
      </c>
      <c r="B1181" s="47">
        <v>44543</v>
      </c>
      <c r="C1181" t="s">
        <v>530</v>
      </c>
      <c r="D1181">
        <v>-4992</v>
      </c>
    </row>
    <row r="1182" spans="1:4" x14ac:dyDescent="0.35">
      <c r="A1182" t="s">
        <v>810</v>
      </c>
      <c r="B1182" s="47">
        <v>44543</v>
      </c>
      <c r="C1182" t="s">
        <v>441</v>
      </c>
      <c r="D1182">
        <v>-200</v>
      </c>
    </row>
    <row r="1183" spans="1:4" x14ac:dyDescent="0.35">
      <c r="A1183" t="s">
        <v>810</v>
      </c>
      <c r="B1183" s="47">
        <v>44543</v>
      </c>
      <c r="C1183" t="s">
        <v>506</v>
      </c>
      <c r="D1183">
        <v>-4931</v>
      </c>
    </row>
    <row r="1184" spans="1:4" x14ac:dyDescent="0.35">
      <c r="A1184" t="s">
        <v>811</v>
      </c>
      <c r="B1184" s="47">
        <v>44544</v>
      </c>
      <c r="C1184" t="s">
        <v>443</v>
      </c>
      <c r="D1184">
        <v>-2194</v>
      </c>
    </row>
    <row r="1185" spans="1:4" x14ac:dyDescent="0.35">
      <c r="A1185" t="s">
        <v>811</v>
      </c>
      <c r="B1185" s="47">
        <v>44544</v>
      </c>
      <c r="C1185" t="s">
        <v>489</v>
      </c>
      <c r="D1185">
        <v>-1403</v>
      </c>
    </row>
    <row r="1186" spans="1:4" x14ac:dyDescent="0.35">
      <c r="A1186" t="s">
        <v>811</v>
      </c>
      <c r="B1186" s="47">
        <v>44544</v>
      </c>
      <c r="C1186" t="s">
        <v>505</v>
      </c>
      <c r="D1186">
        <v>-1132</v>
      </c>
    </row>
    <row r="1187" spans="1:4" x14ac:dyDescent="0.35">
      <c r="A1187" t="s">
        <v>811</v>
      </c>
      <c r="B1187" s="47">
        <v>44544</v>
      </c>
      <c r="C1187" t="s">
        <v>480</v>
      </c>
      <c r="D1187">
        <v>-1504</v>
      </c>
    </row>
    <row r="1188" spans="1:4" x14ac:dyDescent="0.35">
      <c r="A1188" t="s">
        <v>811</v>
      </c>
      <c r="B1188" s="47">
        <v>44544</v>
      </c>
      <c r="C1188" t="s">
        <v>446</v>
      </c>
      <c r="D1188">
        <v>-526</v>
      </c>
    </row>
    <row r="1189" spans="1:4" x14ac:dyDescent="0.35">
      <c r="A1189" t="s">
        <v>811</v>
      </c>
      <c r="B1189" s="47">
        <v>44544</v>
      </c>
      <c r="C1189" t="s">
        <v>497</v>
      </c>
      <c r="D1189">
        <v>-996</v>
      </c>
    </row>
    <row r="1190" spans="1:4" x14ac:dyDescent="0.35">
      <c r="A1190" t="s">
        <v>812</v>
      </c>
      <c r="B1190" s="47">
        <v>44545</v>
      </c>
      <c r="C1190" t="s">
        <v>443</v>
      </c>
      <c r="D1190">
        <v>-3030</v>
      </c>
    </row>
    <row r="1191" spans="1:4" x14ac:dyDescent="0.35">
      <c r="A1191" t="s">
        <v>812</v>
      </c>
      <c r="B1191" s="47">
        <v>44545</v>
      </c>
      <c r="C1191" t="s">
        <v>449</v>
      </c>
      <c r="D1191">
        <v>-1944</v>
      </c>
    </row>
    <row r="1192" spans="1:4" x14ac:dyDescent="0.35">
      <c r="A1192" t="s">
        <v>812</v>
      </c>
      <c r="B1192" s="47">
        <v>44545</v>
      </c>
      <c r="C1192" t="s">
        <v>481</v>
      </c>
      <c r="D1192">
        <v>-1848</v>
      </c>
    </row>
    <row r="1193" spans="1:4" x14ac:dyDescent="0.35">
      <c r="A1193" t="s">
        <v>812</v>
      </c>
      <c r="B1193" s="47">
        <v>44545</v>
      </c>
      <c r="C1193" t="s">
        <v>478</v>
      </c>
      <c r="D1193">
        <v>-272</v>
      </c>
    </row>
    <row r="1194" spans="1:4" x14ac:dyDescent="0.35">
      <c r="A1194" t="s">
        <v>812</v>
      </c>
      <c r="B1194" s="47">
        <v>44545</v>
      </c>
      <c r="C1194" t="s">
        <v>546</v>
      </c>
      <c r="D1194">
        <v>-1976</v>
      </c>
    </row>
    <row r="1195" spans="1:4" x14ac:dyDescent="0.35">
      <c r="A1195" t="s">
        <v>814</v>
      </c>
      <c r="B1195" s="47">
        <v>44546</v>
      </c>
      <c r="C1195" t="s">
        <v>461</v>
      </c>
      <c r="D1195">
        <v>-502</v>
      </c>
    </row>
    <row r="1196" spans="1:4" x14ac:dyDescent="0.35">
      <c r="A1196" t="s">
        <v>814</v>
      </c>
      <c r="B1196" s="47">
        <v>44546</v>
      </c>
      <c r="C1196" t="s">
        <v>530</v>
      </c>
      <c r="D1196">
        <v>-4055</v>
      </c>
    </row>
    <row r="1197" spans="1:4" x14ac:dyDescent="0.35">
      <c r="A1197" t="s">
        <v>814</v>
      </c>
      <c r="B1197" s="47">
        <v>44546</v>
      </c>
      <c r="C1197" t="s">
        <v>441</v>
      </c>
      <c r="D1197">
        <v>-1022</v>
      </c>
    </row>
    <row r="1198" spans="1:4" x14ac:dyDescent="0.35">
      <c r="A1198" t="s">
        <v>814</v>
      </c>
      <c r="B1198" s="47">
        <v>44546</v>
      </c>
      <c r="C1198" t="s">
        <v>546</v>
      </c>
      <c r="D1198">
        <v>-2001</v>
      </c>
    </row>
    <row r="1199" spans="1:4" x14ac:dyDescent="0.35">
      <c r="A1199" t="s">
        <v>815</v>
      </c>
      <c r="B1199" s="47">
        <v>44548</v>
      </c>
      <c r="C1199" t="s">
        <v>443</v>
      </c>
      <c r="D1199">
        <v>-2990</v>
      </c>
    </row>
    <row r="1200" spans="1:4" x14ac:dyDescent="0.35">
      <c r="A1200" t="s">
        <v>815</v>
      </c>
      <c r="B1200" s="47">
        <v>44548</v>
      </c>
      <c r="C1200" t="s">
        <v>495</v>
      </c>
      <c r="D1200">
        <v>-1490</v>
      </c>
    </row>
    <row r="1201" spans="1:4" x14ac:dyDescent="0.35">
      <c r="A1201" t="s">
        <v>815</v>
      </c>
      <c r="B1201" s="47">
        <v>44548</v>
      </c>
      <c r="C1201" t="s">
        <v>502</v>
      </c>
      <c r="D1201">
        <v>-204</v>
      </c>
    </row>
    <row r="1202" spans="1:4" x14ac:dyDescent="0.35">
      <c r="A1202" t="s">
        <v>816</v>
      </c>
      <c r="B1202" s="47">
        <v>44549</v>
      </c>
      <c r="C1202" t="s">
        <v>443</v>
      </c>
      <c r="D1202">
        <v>-2092</v>
      </c>
    </row>
    <row r="1203" spans="1:4" x14ac:dyDescent="0.35">
      <c r="A1203" t="s">
        <v>816</v>
      </c>
      <c r="B1203" s="47">
        <v>44549</v>
      </c>
      <c r="C1203" t="s">
        <v>552</v>
      </c>
      <c r="D1203">
        <v>-1706</v>
      </c>
    </row>
    <row r="1204" spans="1:4" x14ac:dyDescent="0.35">
      <c r="A1204" t="s">
        <v>816</v>
      </c>
      <c r="B1204" s="47">
        <v>44549</v>
      </c>
      <c r="C1204" t="s">
        <v>480</v>
      </c>
      <c r="D1204">
        <v>-1933</v>
      </c>
    </row>
    <row r="1205" spans="1:4" x14ac:dyDescent="0.35">
      <c r="A1205" t="s">
        <v>817</v>
      </c>
      <c r="B1205" s="47">
        <v>44550</v>
      </c>
      <c r="C1205" t="s">
        <v>443</v>
      </c>
      <c r="D1205">
        <v>-1396</v>
      </c>
    </row>
    <row r="1206" spans="1:4" x14ac:dyDescent="0.35">
      <c r="A1206" t="s">
        <v>817</v>
      </c>
      <c r="B1206" s="47">
        <v>44550</v>
      </c>
      <c r="C1206" t="s">
        <v>449</v>
      </c>
      <c r="D1206">
        <v>-3985</v>
      </c>
    </row>
    <row r="1207" spans="1:4" x14ac:dyDescent="0.35">
      <c r="A1207" t="s">
        <v>817</v>
      </c>
      <c r="B1207" s="47">
        <v>44550</v>
      </c>
      <c r="C1207" t="s">
        <v>554</v>
      </c>
      <c r="D1207">
        <v>-3982</v>
      </c>
    </row>
    <row r="1208" spans="1:4" x14ac:dyDescent="0.35">
      <c r="A1208" t="s">
        <v>817</v>
      </c>
      <c r="B1208" s="47">
        <v>44550</v>
      </c>
      <c r="C1208" t="s">
        <v>546</v>
      </c>
      <c r="D1208">
        <v>-1096</v>
      </c>
    </row>
    <row r="1209" spans="1:4" x14ac:dyDescent="0.35">
      <c r="A1209" t="s">
        <v>817</v>
      </c>
      <c r="B1209" s="47">
        <v>44550</v>
      </c>
      <c r="C1209" t="s">
        <v>590</v>
      </c>
      <c r="D1209">
        <v>-758</v>
      </c>
    </row>
    <row r="1210" spans="1:4" x14ac:dyDescent="0.35">
      <c r="A1210" t="s">
        <v>817</v>
      </c>
      <c r="B1210" s="47">
        <v>44550</v>
      </c>
      <c r="C1210" t="s">
        <v>770</v>
      </c>
      <c r="D1210">
        <v>-4546</v>
      </c>
    </row>
    <row r="1211" spans="1:4" x14ac:dyDescent="0.35">
      <c r="A1211" t="s">
        <v>818</v>
      </c>
      <c r="B1211" s="47">
        <v>44551</v>
      </c>
      <c r="C1211" t="s">
        <v>443</v>
      </c>
      <c r="D1211">
        <v>-2240</v>
      </c>
    </row>
    <row r="1212" spans="1:4" x14ac:dyDescent="0.35">
      <c r="A1212" t="s">
        <v>818</v>
      </c>
      <c r="B1212" s="47">
        <v>44551</v>
      </c>
      <c r="C1212" t="s">
        <v>449</v>
      </c>
      <c r="D1212">
        <v>-966</v>
      </c>
    </row>
    <row r="1213" spans="1:4" x14ac:dyDescent="0.35">
      <c r="A1213" t="s">
        <v>818</v>
      </c>
      <c r="B1213" s="47">
        <v>44551</v>
      </c>
      <c r="C1213" t="s">
        <v>665</v>
      </c>
      <c r="D1213">
        <v>-1001</v>
      </c>
    </row>
    <row r="1214" spans="1:4" x14ac:dyDescent="0.35">
      <c r="A1214" t="s">
        <v>819</v>
      </c>
      <c r="B1214" s="47">
        <v>44552</v>
      </c>
      <c r="C1214" t="s">
        <v>443</v>
      </c>
      <c r="D1214">
        <v>-971</v>
      </c>
    </row>
    <row r="1215" spans="1:4" x14ac:dyDescent="0.35">
      <c r="A1215" t="s">
        <v>819</v>
      </c>
      <c r="B1215" s="47">
        <v>44552</v>
      </c>
      <c r="C1215" t="s">
        <v>511</v>
      </c>
      <c r="D1215">
        <v>-1430</v>
      </c>
    </row>
    <row r="1216" spans="1:4" x14ac:dyDescent="0.35">
      <c r="A1216" t="s">
        <v>819</v>
      </c>
      <c r="B1216" s="47">
        <v>44552</v>
      </c>
      <c r="C1216" t="s">
        <v>449</v>
      </c>
      <c r="D1216">
        <v>-1584</v>
      </c>
    </row>
    <row r="1217" spans="1:4" x14ac:dyDescent="0.35">
      <c r="A1217" t="s">
        <v>819</v>
      </c>
      <c r="B1217" s="47">
        <v>44552</v>
      </c>
      <c r="C1217" t="s">
        <v>441</v>
      </c>
      <c r="D1217">
        <v>-6878</v>
      </c>
    </row>
    <row r="1218" spans="1:4" x14ac:dyDescent="0.35">
      <c r="A1218" t="s">
        <v>819</v>
      </c>
      <c r="B1218" s="47">
        <v>44552</v>
      </c>
      <c r="C1218" t="s">
        <v>506</v>
      </c>
      <c r="D1218">
        <v>-4838</v>
      </c>
    </row>
    <row r="1219" spans="1:4" x14ac:dyDescent="0.35">
      <c r="A1219" t="s">
        <v>819</v>
      </c>
      <c r="B1219" s="47">
        <v>44552</v>
      </c>
      <c r="C1219" t="s">
        <v>820</v>
      </c>
      <c r="D1219">
        <v>-300</v>
      </c>
    </row>
    <row r="1220" spans="1:4" x14ac:dyDescent="0.35">
      <c r="A1220" t="s">
        <v>821</v>
      </c>
      <c r="B1220" s="47">
        <v>44553</v>
      </c>
      <c r="C1220" t="s">
        <v>449</v>
      </c>
      <c r="D1220">
        <v>-1904</v>
      </c>
    </row>
    <row r="1221" spans="1:4" x14ac:dyDescent="0.35">
      <c r="A1221" t="s">
        <v>821</v>
      </c>
      <c r="B1221" s="47">
        <v>44553</v>
      </c>
      <c r="C1221" t="s">
        <v>441</v>
      </c>
      <c r="D1221">
        <v>-2046</v>
      </c>
    </row>
    <row r="1222" spans="1:4" x14ac:dyDescent="0.35">
      <c r="A1222" t="s">
        <v>821</v>
      </c>
      <c r="B1222" s="47">
        <v>44553</v>
      </c>
      <c r="C1222" t="s">
        <v>455</v>
      </c>
      <c r="D1222">
        <v>-442</v>
      </c>
    </row>
    <row r="1223" spans="1:4" x14ac:dyDescent="0.35">
      <c r="A1223" t="s">
        <v>823</v>
      </c>
      <c r="B1223" s="47">
        <v>44554</v>
      </c>
      <c r="C1223" t="s">
        <v>526</v>
      </c>
      <c r="D1223">
        <v>-15776</v>
      </c>
    </row>
    <row r="1224" spans="1:4" x14ac:dyDescent="0.35">
      <c r="A1224" t="s">
        <v>822</v>
      </c>
      <c r="B1224" s="47">
        <v>44555</v>
      </c>
      <c r="C1224" t="s">
        <v>461</v>
      </c>
      <c r="D1224">
        <v>-472</v>
      </c>
    </row>
    <row r="1225" spans="1:4" x14ac:dyDescent="0.35">
      <c r="A1225" t="s">
        <v>822</v>
      </c>
      <c r="B1225" s="47">
        <v>44555</v>
      </c>
      <c r="C1225" t="s">
        <v>449</v>
      </c>
      <c r="D1225">
        <v>-1625</v>
      </c>
    </row>
    <row r="1226" spans="1:4" x14ac:dyDescent="0.35">
      <c r="A1226" t="s">
        <v>822</v>
      </c>
      <c r="B1226" s="47">
        <v>44555</v>
      </c>
      <c r="C1226" t="s">
        <v>505</v>
      </c>
      <c r="D1226">
        <v>-4724</v>
      </c>
    </row>
    <row r="1227" spans="1:4" x14ac:dyDescent="0.35">
      <c r="A1227" t="s">
        <v>822</v>
      </c>
      <c r="B1227" s="47">
        <v>44555</v>
      </c>
      <c r="C1227" t="s">
        <v>530</v>
      </c>
      <c r="D1227">
        <v>-4237</v>
      </c>
    </row>
    <row r="1228" spans="1:4" x14ac:dyDescent="0.35">
      <c r="A1228" t="s">
        <v>822</v>
      </c>
      <c r="B1228" s="47">
        <v>44555</v>
      </c>
      <c r="C1228" t="s">
        <v>441</v>
      </c>
      <c r="D1228">
        <v>-2640</v>
      </c>
    </row>
    <row r="1229" spans="1:4" x14ac:dyDescent="0.35">
      <c r="A1229" t="s">
        <v>822</v>
      </c>
      <c r="B1229" s="47">
        <v>44555</v>
      </c>
      <c r="C1229" t="s">
        <v>497</v>
      </c>
      <c r="D1229">
        <v>-14</v>
      </c>
    </row>
    <row r="1230" spans="1:4" x14ac:dyDescent="0.35">
      <c r="A1230" t="s">
        <v>822</v>
      </c>
      <c r="B1230" s="47">
        <v>44555</v>
      </c>
      <c r="C1230" t="s">
        <v>499</v>
      </c>
      <c r="D1230">
        <v>-2110</v>
      </c>
    </row>
    <row r="1231" spans="1:4" x14ac:dyDescent="0.35">
      <c r="A1231" t="s">
        <v>822</v>
      </c>
      <c r="B1231" s="47">
        <v>44555</v>
      </c>
      <c r="C1231" t="s">
        <v>494</v>
      </c>
      <c r="D1231">
        <v>-500</v>
      </c>
    </row>
    <row r="1232" spans="1:4" x14ac:dyDescent="0.35">
      <c r="A1232" t="s">
        <v>822</v>
      </c>
      <c r="B1232" s="47">
        <v>44555</v>
      </c>
      <c r="C1232" t="s">
        <v>492</v>
      </c>
      <c r="D1232">
        <v>-900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6D564-4305-4189-B0F1-9EE2980ED3ED}">
  <sheetPr codeName="Code"/>
  <dimension ref="A1:C676"/>
  <sheetViews>
    <sheetView rightToLeft="1" topLeftCell="A372" workbookViewId="0">
      <selection activeCell="C384" sqref="C384"/>
    </sheetView>
  </sheetViews>
  <sheetFormatPr defaultColWidth="9" defaultRowHeight="14.5" x14ac:dyDescent="0.35"/>
  <cols>
    <col min="1" max="1" width="6.90625" style="20" bestFit="1" customWidth="1"/>
    <col min="2" max="2" width="7.08984375" style="20" customWidth="1"/>
    <col min="3" max="3" width="27.26953125" style="20" bestFit="1" customWidth="1"/>
    <col min="4" max="16384" width="9" style="20"/>
  </cols>
  <sheetData>
    <row r="1" spans="1:3" ht="14.25" customHeight="1" x14ac:dyDescent="0.35">
      <c r="A1" s="19" t="s">
        <v>6</v>
      </c>
      <c r="B1" s="19" t="s">
        <v>48</v>
      </c>
      <c r="C1" s="19" t="s">
        <v>1</v>
      </c>
    </row>
    <row r="2" spans="1:3" ht="14.25" customHeight="1" x14ac:dyDescent="0.35">
      <c r="A2" s="21">
        <f>SUBTOTAL(2,INDEX(customer[کد],1):customer[[#This Row],[کد]])</f>
        <v>1</v>
      </c>
      <c r="B2" s="21">
        <v>10001</v>
      </c>
      <c r="C2" s="21" t="s">
        <v>49</v>
      </c>
    </row>
    <row r="3" spans="1:3" ht="14.25" customHeight="1" x14ac:dyDescent="0.35">
      <c r="A3" s="21">
        <f>SUBTOTAL(2,INDEX(customer[کد],1):customer[[#This Row],[کد]])</f>
        <v>2</v>
      </c>
      <c r="B3" s="21">
        <v>10002</v>
      </c>
      <c r="C3" s="21" t="s">
        <v>50</v>
      </c>
    </row>
    <row r="4" spans="1:3" ht="14.25" customHeight="1" x14ac:dyDescent="0.35">
      <c r="A4" s="21">
        <f>SUBTOTAL(2,INDEX(customer[کد],1):customer[[#This Row],[کد]])</f>
        <v>3</v>
      </c>
      <c r="B4" s="21">
        <v>10003</v>
      </c>
      <c r="C4" s="21" t="s">
        <v>51</v>
      </c>
    </row>
    <row r="5" spans="1:3" ht="14.25" customHeight="1" x14ac:dyDescent="0.35">
      <c r="A5" s="21">
        <f>SUBTOTAL(2,INDEX(customer[کد],1):customer[[#This Row],[کد]])</f>
        <v>4</v>
      </c>
      <c r="B5" s="21">
        <v>10004</v>
      </c>
      <c r="C5" s="21" t="s">
        <v>52</v>
      </c>
    </row>
    <row r="6" spans="1:3" ht="14.25" customHeight="1" x14ac:dyDescent="0.35">
      <c r="A6" s="21">
        <f>SUBTOTAL(2,INDEX(customer[کد],1):customer[[#This Row],[کد]])</f>
        <v>5</v>
      </c>
      <c r="B6" s="21">
        <v>10005</v>
      </c>
      <c r="C6" s="21" t="s">
        <v>53</v>
      </c>
    </row>
    <row r="7" spans="1:3" ht="14.25" customHeight="1" x14ac:dyDescent="0.35">
      <c r="A7" s="21">
        <f>SUBTOTAL(2,INDEX(customer[کد],1):customer[[#This Row],[کد]])</f>
        <v>6</v>
      </c>
      <c r="B7" s="21">
        <v>10006</v>
      </c>
      <c r="C7" s="21" t="s">
        <v>54</v>
      </c>
    </row>
    <row r="8" spans="1:3" ht="14.25" customHeight="1" x14ac:dyDescent="0.35">
      <c r="A8" s="21">
        <f>SUBTOTAL(2,INDEX(customer[کد],1):customer[[#This Row],[کد]])</f>
        <v>7</v>
      </c>
      <c r="B8" s="21">
        <v>10007</v>
      </c>
      <c r="C8" s="21" t="s">
        <v>55</v>
      </c>
    </row>
    <row r="9" spans="1:3" ht="14.25" customHeight="1" x14ac:dyDescent="0.35">
      <c r="A9" s="21">
        <f>SUBTOTAL(2,INDEX(customer[کد],1):customer[[#This Row],[کد]])</f>
        <v>8</v>
      </c>
      <c r="B9" s="21">
        <v>10008</v>
      </c>
      <c r="C9" s="21" t="s">
        <v>56</v>
      </c>
    </row>
    <row r="10" spans="1:3" ht="14.25" customHeight="1" x14ac:dyDescent="0.35">
      <c r="A10" s="21">
        <f>SUBTOTAL(2,INDEX(customer[کد],1):customer[[#This Row],[کد]])</f>
        <v>9</v>
      </c>
      <c r="B10" s="21">
        <v>10009</v>
      </c>
      <c r="C10" s="21" t="s">
        <v>57</v>
      </c>
    </row>
    <row r="11" spans="1:3" ht="14.25" customHeight="1" x14ac:dyDescent="0.35">
      <c r="A11" s="21">
        <f>SUBTOTAL(2,INDEX(customer[کد],1):customer[[#This Row],[کد]])</f>
        <v>10</v>
      </c>
      <c r="B11" s="21">
        <v>10010</v>
      </c>
      <c r="C11" s="21" t="s">
        <v>58</v>
      </c>
    </row>
    <row r="12" spans="1:3" ht="14.25" customHeight="1" x14ac:dyDescent="0.35">
      <c r="A12" s="21">
        <f>SUBTOTAL(2,INDEX(customer[کد],1):customer[[#This Row],[کد]])</f>
        <v>11</v>
      </c>
      <c r="B12" s="21">
        <v>10011</v>
      </c>
      <c r="C12" s="21" t="s">
        <v>59</v>
      </c>
    </row>
    <row r="13" spans="1:3" ht="14.25" customHeight="1" x14ac:dyDescent="0.35">
      <c r="A13" s="21">
        <f>SUBTOTAL(2,INDEX(customer[کد],1):customer[[#This Row],[کد]])</f>
        <v>12</v>
      </c>
      <c r="B13" s="21">
        <v>10012</v>
      </c>
      <c r="C13" s="21" t="s">
        <v>60</v>
      </c>
    </row>
    <row r="14" spans="1:3" ht="14.25" customHeight="1" x14ac:dyDescent="0.35">
      <c r="A14" s="21">
        <f>SUBTOTAL(2,INDEX(customer[کد],1):customer[[#This Row],[کد]])</f>
        <v>13</v>
      </c>
      <c r="B14" s="21">
        <v>10013</v>
      </c>
      <c r="C14" s="21" t="s">
        <v>61</v>
      </c>
    </row>
    <row r="15" spans="1:3" ht="14.25" customHeight="1" x14ac:dyDescent="0.35">
      <c r="A15" s="21">
        <f>SUBTOTAL(2,INDEX(customer[کد],1):customer[[#This Row],[کد]])</f>
        <v>14</v>
      </c>
      <c r="B15" s="21">
        <v>10014</v>
      </c>
      <c r="C15" s="21" t="s">
        <v>62</v>
      </c>
    </row>
    <row r="16" spans="1:3" ht="14.25" customHeight="1" x14ac:dyDescent="0.35">
      <c r="A16" s="21">
        <f>SUBTOTAL(2,INDEX(customer[کد],1):customer[[#This Row],[کد]])</f>
        <v>15</v>
      </c>
      <c r="B16" s="21">
        <v>10015</v>
      </c>
      <c r="C16" s="21" t="s">
        <v>63</v>
      </c>
    </row>
    <row r="17" spans="1:3" ht="14.25" customHeight="1" x14ac:dyDescent="0.35">
      <c r="A17" s="21">
        <f>SUBTOTAL(2,INDEX(customer[کد],1):customer[[#This Row],[کد]])</f>
        <v>16</v>
      </c>
      <c r="B17" s="21">
        <v>10016</v>
      </c>
      <c r="C17" s="21" t="s">
        <v>64</v>
      </c>
    </row>
    <row r="18" spans="1:3" ht="14.25" customHeight="1" x14ac:dyDescent="0.35">
      <c r="A18" s="21">
        <f>SUBTOTAL(2,INDEX(customer[کد],1):customer[[#This Row],[کد]])</f>
        <v>17</v>
      </c>
      <c r="B18" s="21">
        <v>10017</v>
      </c>
      <c r="C18" s="21" t="s">
        <v>65</v>
      </c>
    </row>
    <row r="19" spans="1:3" ht="14.25" customHeight="1" x14ac:dyDescent="0.35">
      <c r="A19" s="21">
        <f>SUBTOTAL(2,INDEX(customer[کد],1):customer[[#This Row],[کد]])</f>
        <v>18</v>
      </c>
      <c r="B19" s="21">
        <v>10018</v>
      </c>
      <c r="C19" s="21" t="s">
        <v>66</v>
      </c>
    </row>
    <row r="20" spans="1:3" ht="14.25" customHeight="1" x14ac:dyDescent="0.35">
      <c r="A20" s="21">
        <f>SUBTOTAL(2,INDEX(customer[کد],1):customer[[#This Row],[کد]])</f>
        <v>19</v>
      </c>
      <c r="B20" s="21">
        <v>10019</v>
      </c>
      <c r="C20" s="21" t="s">
        <v>67</v>
      </c>
    </row>
    <row r="21" spans="1:3" ht="14.25" customHeight="1" x14ac:dyDescent="0.35">
      <c r="A21" s="21">
        <f>SUBTOTAL(2,INDEX(customer[کد],1):customer[[#This Row],[کد]])</f>
        <v>20</v>
      </c>
      <c r="B21" s="21">
        <v>10020</v>
      </c>
      <c r="C21" s="21" t="s">
        <v>68</v>
      </c>
    </row>
    <row r="22" spans="1:3" ht="14.25" customHeight="1" x14ac:dyDescent="0.35">
      <c r="A22" s="21">
        <f>SUBTOTAL(2,INDEX(customer[کد],1):customer[[#This Row],[کد]])</f>
        <v>21</v>
      </c>
      <c r="B22" s="21">
        <v>10021</v>
      </c>
      <c r="C22" s="21" t="s">
        <v>69</v>
      </c>
    </row>
    <row r="23" spans="1:3" ht="14.25" customHeight="1" x14ac:dyDescent="0.35">
      <c r="A23" s="21">
        <f>SUBTOTAL(2,INDEX(customer[کد],1):customer[[#This Row],[کد]])</f>
        <v>22</v>
      </c>
      <c r="B23" s="21">
        <v>10022</v>
      </c>
      <c r="C23" s="21" t="s">
        <v>70</v>
      </c>
    </row>
    <row r="24" spans="1:3" ht="14.25" customHeight="1" x14ac:dyDescent="0.35">
      <c r="A24" s="21">
        <f>SUBTOTAL(2,INDEX(customer[کد],1):customer[[#This Row],[کد]])</f>
        <v>23</v>
      </c>
      <c r="B24" s="21">
        <v>10023</v>
      </c>
      <c r="C24" s="21" t="s">
        <v>71</v>
      </c>
    </row>
    <row r="25" spans="1:3" ht="14.25" customHeight="1" x14ac:dyDescent="0.35">
      <c r="A25" s="21">
        <f>SUBTOTAL(2,INDEX(customer[کد],1):customer[[#This Row],[کد]])</f>
        <v>24</v>
      </c>
      <c r="B25" s="21">
        <v>10024</v>
      </c>
      <c r="C25" s="21" t="s">
        <v>72</v>
      </c>
    </row>
    <row r="26" spans="1:3" ht="14.25" customHeight="1" x14ac:dyDescent="0.35">
      <c r="A26" s="21">
        <f>SUBTOTAL(2,INDEX(customer[کد],1):customer[[#This Row],[کد]])</f>
        <v>25</v>
      </c>
      <c r="B26" s="21">
        <v>10025</v>
      </c>
      <c r="C26" s="21" t="s">
        <v>73</v>
      </c>
    </row>
    <row r="27" spans="1:3" ht="14.25" customHeight="1" x14ac:dyDescent="0.35">
      <c r="A27" s="21">
        <f>SUBTOTAL(2,INDEX(customer[کد],1):customer[[#This Row],[کد]])</f>
        <v>26</v>
      </c>
      <c r="B27" s="21">
        <v>10026</v>
      </c>
      <c r="C27" s="21" t="s">
        <v>74</v>
      </c>
    </row>
    <row r="28" spans="1:3" ht="14.25" customHeight="1" x14ac:dyDescent="0.35">
      <c r="A28" s="21">
        <f>SUBTOTAL(2,INDEX(customer[کد],1):customer[[#This Row],[کد]])</f>
        <v>27</v>
      </c>
      <c r="B28" s="21">
        <v>10027</v>
      </c>
      <c r="C28" s="21" t="s">
        <v>75</v>
      </c>
    </row>
    <row r="29" spans="1:3" ht="14.25" customHeight="1" x14ac:dyDescent="0.35">
      <c r="A29" s="21">
        <f>SUBTOTAL(2,INDEX(customer[کد],1):customer[[#This Row],[کد]])</f>
        <v>28</v>
      </c>
      <c r="B29" s="21">
        <v>10028</v>
      </c>
      <c r="C29" s="21" t="s">
        <v>76</v>
      </c>
    </row>
    <row r="30" spans="1:3" ht="14.25" customHeight="1" x14ac:dyDescent="0.35">
      <c r="A30" s="21">
        <f>SUBTOTAL(2,INDEX(customer[کد],1):customer[[#This Row],[کد]])</f>
        <v>29</v>
      </c>
      <c r="B30" s="21">
        <v>10029</v>
      </c>
      <c r="C30" s="21" t="s">
        <v>77</v>
      </c>
    </row>
    <row r="31" spans="1:3" ht="14.25" customHeight="1" x14ac:dyDescent="0.35">
      <c r="A31" s="21">
        <f>SUBTOTAL(2,INDEX(customer[کد],1):customer[[#This Row],[کد]])</f>
        <v>30</v>
      </c>
      <c r="B31" s="21">
        <v>10030</v>
      </c>
      <c r="C31" s="21" t="s">
        <v>78</v>
      </c>
    </row>
    <row r="32" spans="1:3" ht="14.25" customHeight="1" x14ac:dyDescent="0.35">
      <c r="A32" s="21">
        <f>SUBTOTAL(2,INDEX(customer[کد],1):customer[[#This Row],[کد]])</f>
        <v>31</v>
      </c>
      <c r="B32" s="21">
        <v>10031</v>
      </c>
      <c r="C32" s="21" t="s">
        <v>79</v>
      </c>
    </row>
    <row r="33" spans="1:3" ht="14.25" customHeight="1" x14ac:dyDescent="0.35">
      <c r="A33" s="21">
        <f>SUBTOTAL(2,INDEX(customer[کد],1):customer[[#This Row],[کد]])</f>
        <v>32</v>
      </c>
      <c r="B33" s="21">
        <v>10032</v>
      </c>
      <c r="C33" s="21" t="s">
        <v>80</v>
      </c>
    </row>
    <row r="34" spans="1:3" ht="14.25" customHeight="1" x14ac:dyDescent="0.35">
      <c r="A34" s="21">
        <f>SUBTOTAL(2,INDEX(customer[کد],1):customer[[#This Row],[کد]])</f>
        <v>33</v>
      </c>
      <c r="B34" s="21">
        <v>10033</v>
      </c>
      <c r="C34" s="21" t="s">
        <v>81</v>
      </c>
    </row>
    <row r="35" spans="1:3" ht="14.25" customHeight="1" x14ac:dyDescent="0.35">
      <c r="A35" s="21">
        <f>SUBTOTAL(2,INDEX(customer[کد],1):customer[[#This Row],[کد]])</f>
        <v>34</v>
      </c>
      <c r="B35" s="21">
        <v>10034</v>
      </c>
      <c r="C35" s="21" t="s">
        <v>82</v>
      </c>
    </row>
    <row r="36" spans="1:3" ht="14.25" customHeight="1" x14ac:dyDescent="0.35">
      <c r="A36" s="21">
        <f>SUBTOTAL(2,INDEX(customer[کد],1):customer[[#This Row],[کد]])</f>
        <v>35</v>
      </c>
      <c r="B36" s="21">
        <v>10035</v>
      </c>
      <c r="C36" s="21" t="s">
        <v>83</v>
      </c>
    </row>
    <row r="37" spans="1:3" ht="14.25" customHeight="1" x14ac:dyDescent="0.35">
      <c r="A37" s="21">
        <f>SUBTOTAL(2,INDEX(customer[کد],1):customer[[#This Row],[کد]])</f>
        <v>36</v>
      </c>
      <c r="B37" s="21">
        <v>10036</v>
      </c>
      <c r="C37" s="21" t="s">
        <v>84</v>
      </c>
    </row>
    <row r="38" spans="1:3" ht="14.25" customHeight="1" x14ac:dyDescent="0.35">
      <c r="A38" s="21">
        <f>SUBTOTAL(2,INDEX(customer[کد],1):customer[[#This Row],[کد]])</f>
        <v>37</v>
      </c>
      <c r="B38" s="21">
        <v>10037</v>
      </c>
      <c r="C38" s="21" t="s">
        <v>85</v>
      </c>
    </row>
    <row r="39" spans="1:3" ht="14.25" customHeight="1" x14ac:dyDescent="0.35">
      <c r="A39" s="21">
        <f>SUBTOTAL(2,INDEX(customer[کد],1):customer[[#This Row],[کد]])</f>
        <v>38</v>
      </c>
      <c r="B39" s="21">
        <v>10038</v>
      </c>
      <c r="C39" s="21" t="s">
        <v>86</v>
      </c>
    </row>
    <row r="40" spans="1:3" ht="14.25" customHeight="1" x14ac:dyDescent="0.35">
      <c r="A40" s="21">
        <f>SUBTOTAL(2,INDEX(customer[کد],1):customer[[#This Row],[کد]])</f>
        <v>39</v>
      </c>
      <c r="B40" s="21">
        <v>10039</v>
      </c>
      <c r="C40" s="21" t="s">
        <v>87</v>
      </c>
    </row>
    <row r="41" spans="1:3" ht="14.25" customHeight="1" x14ac:dyDescent="0.35">
      <c r="A41" s="21">
        <f>SUBTOTAL(2,INDEX(customer[کد],1):customer[[#This Row],[کد]])</f>
        <v>40</v>
      </c>
      <c r="B41" s="21">
        <v>10040</v>
      </c>
      <c r="C41" s="21" t="s">
        <v>88</v>
      </c>
    </row>
    <row r="42" spans="1:3" ht="14.25" customHeight="1" x14ac:dyDescent="0.35">
      <c r="A42" s="21">
        <f>SUBTOTAL(2,INDEX(customer[کد],1):customer[[#This Row],[کد]])</f>
        <v>41</v>
      </c>
      <c r="B42" s="21">
        <v>10041</v>
      </c>
      <c r="C42" s="21" t="s">
        <v>89</v>
      </c>
    </row>
    <row r="43" spans="1:3" ht="14.25" customHeight="1" x14ac:dyDescent="0.35">
      <c r="A43" s="21">
        <f>SUBTOTAL(2,INDEX(customer[کد],1):customer[[#This Row],[کد]])</f>
        <v>42</v>
      </c>
      <c r="B43" s="21">
        <v>10042</v>
      </c>
      <c r="C43" s="21" t="s">
        <v>90</v>
      </c>
    </row>
    <row r="44" spans="1:3" ht="14.25" customHeight="1" x14ac:dyDescent="0.35">
      <c r="A44" s="21">
        <f>SUBTOTAL(2,INDEX(customer[کد],1):customer[[#This Row],[کد]])</f>
        <v>43</v>
      </c>
      <c r="B44" s="21">
        <v>10043</v>
      </c>
      <c r="C44" s="21" t="s">
        <v>91</v>
      </c>
    </row>
    <row r="45" spans="1:3" ht="14.25" customHeight="1" x14ac:dyDescent="0.35">
      <c r="A45" s="21">
        <f>SUBTOTAL(2,INDEX(customer[کد],1):customer[[#This Row],[کد]])</f>
        <v>44</v>
      </c>
      <c r="B45" s="21">
        <v>10044</v>
      </c>
      <c r="C45" s="21" t="s">
        <v>92</v>
      </c>
    </row>
    <row r="46" spans="1:3" ht="14.25" customHeight="1" x14ac:dyDescent="0.35">
      <c r="A46" s="21">
        <f>SUBTOTAL(2,INDEX(customer[کد],1):customer[[#This Row],[کد]])</f>
        <v>45</v>
      </c>
      <c r="B46" s="21">
        <v>10045</v>
      </c>
      <c r="C46" s="21" t="s">
        <v>93</v>
      </c>
    </row>
    <row r="47" spans="1:3" ht="14.25" customHeight="1" x14ac:dyDescent="0.35">
      <c r="A47" s="21">
        <f>SUBTOTAL(2,INDEX(customer[کد],1):customer[[#This Row],[کد]])</f>
        <v>46</v>
      </c>
      <c r="B47" s="21">
        <v>10046</v>
      </c>
      <c r="C47" s="21" t="s">
        <v>94</v>
      </c>
    </row>
    <row r="48" spans="1:3" ht="14.25" customHeight="1" x14ac:dyDescent="0.35">
      <c r="A48" s="21">
        <f>SUBTOTAL(2,INDEX(customer[کد],1):customer[[#This Row],[کد]])</f>
        <v>47</v>
      </c>
      <c r="B48" s="21">
        <v>10047</v>
      </c>
      <c r="C48" s="21" t="s">
        <v>95</v>
      </c>
    </row>
    <row r="49" spans="1:3" ht="14.25" customHeight="1" x14ac:dyDescent="0.35">
      <c r="A49" s="21">
        <f>SUBTOTAL(2,INDEX(customer[کد],1):customer[[#This Row],[کد]])</f>
        <v>48</v>
      </c>
      <c r="B49" s="21">
        <v>10048</v>
      </c>
      <c r="C49" s="21" t="s">
        <v>96</v>
      </c>
    </row>
    <row r="50" spans="1:3" ht="14.25" customHeight="1" x14ac:dyDescent="0.35">
      <c r="A50" s="21">
        <f>SUBTOTAL(2,INDEX(customer[کد],1):customer[[#This Row],[کد]])</f>
        <v>49</v>
      </c>
      <c r="B50" s="21">
        <v>10049</v>
      </c>
      <c r="C50" s="21" t="s">
        <v>97</v>
      </c>
    </row>
    <row r="51" spans="1:3" ht="14.25" customHeight="1" x14ac:dyDescent="0.35">
      <c r="A51" s="21">
        <f>SUBTOTAL(2,INDEX(customer[کد],1):customer[[#This Row],[کد]])</f>
        <v>50</v>
      </c>
      <c r="B51" s="21">
        <v>10050</v>
      </c>
      <c r="C51" s="21" t="s">
        <v>98</v>
      </c>
    </row>
    <row r="52" spans="1:3" ht="14.25" customHeight="1" x14ac:dyDescent="0.35">
      <c r="A52" s="21">
        <f>SUBTOTAL(2,INDEX(customer[کد],1):customer[[#This Row],[کد]])</f>
        <v>51</v>
      </c>
      <c r="B52" s="21">
        <v>10051</v>
      </c>
      <c r="C52" s="21" t="s">
        <v>99</v>
      </c>
    </row>
    <row r="53" spans="1:3" ht="14.25" customHeight="1" x14ac:dyDescent="0.35">
      <c r="A53" s="21">
        <f>SUBTOTAL(2,INDEX(customer[کد],1):customer[[#This Row],[کد]])</f>
        <v>52</v>
      </c>
      <c r="B53" s="21">
        <v>10052</v>
      </c>
      <c r="C53" s="21" t="s">
        <v>100</v>
      </c>
    </row>
    <row r="54" spans="1:3" ht="14.25" customHeight="1" x14ac:dyDescent="0.35">
      <c r="A54" s="21">
        <f>SUBTOTAL(2,INDEX(customer[کد],1):customer[[#This Row],[کد]])</f>
        <v>53</v>
      </c>
      <c r="B54" s="21">
        <v>10053</v>
      </c>
      <c r="C54" s="21" t="s">
        <v>101</v>
      </c>
    </row>
    <row r="55" spans="1:3" ht="14.25" customHeight="1" x14ac:dyDescent="0.35">
      <c r="A55" s="21">
        <f>SUBTOTAL(2,INDEX(customer[کد],1):customer[[#This Row],[کد]])</f>
        <v>54</v>
      </c>
      <c r="B55" s="21">
        <v>10054</v>
      </c>
      <c r="C55" s="21" t="s">
        <v>102</v>
      </c>
    </row>
    <row r="56" spans="1:3" ht="14.25" customHeight="1" x14ac:dyDescent="0.35">
      <c r="A56" s="21">
        <f>SUBTOTAL(2,INDEX(customer[کد],1):customer[[#This Row],[کد]])</f>
        <v>55</v>
      </c>
      <c r="B56" s="21">
        <v>10055</v>
      </c>
      <c r="C56" s="21" t="s">
        <v>103</v>
      </c>
    </row>
    <row r="57" spans="1:3" ht="14.25" customHeight="1" x14ac:dyDescent="0.35">
      <c r="A57" s="21">
        <f>SUBTOTAL(2,INDEX(customer[کد],1):customer[[#This Row],[کد]])</f>
        <v>56</v>
      </c>
      <c r="B57" s="21">
        <v>10056</v>
      </c>
      <c r="C57" s="21" t="s">
        <v>104</v>
      </c>
    </row>
    <row r="58" spans="1:3" ht="14.25" customHeight="1" x14ac:dyDescent="0.35">
      <c r="A58" s="21">
        <f>SUBTOTAL(2,INDEX(customer[کد],1):customer[[#This Row],[کد]])</f>
        <v>57</v>
      </c>
      <c r="B58" s="21">
        <v>10057</v>
      </c>
      <c r="C58" s="21" t="s">
        <v>105</v>
      </c>
    </row>
    <row r="59" spans="1:3" ht="14.25" customHeight="1" x14ac:dyDescent="0.35">
      <c r="A59" s="21">
        <f>SUBTOTAL(2,INDEX(customer[کد],1):customer[[#This Row],[کد]])</f>
        <v>58</v>
      </c>
      <c r="B59" s="21">
        <v>10058</v>
      </c>
      <c r="C59" s="21" t="s">
        <v>106</v>
      </c>
    </row>
    <row r="60" spans="1:3" ht="14.25" customHeight="1" x14ac:dyDescent="0.35">
      <c r="A60" s="21">
        <f>SUBTOTAL(2,INDEX(customer[کد],1):customer[[#This Row],[کد]])</f>
        <v>59</v>
      </c>
      <c r="B60" s="21">
        <v>10059</v>
      </c>
      <c r="C60" s="21" t="s">
        <v>107</v>
      </c>
    </row>
    <row r="61" spans="1:3" ht="14.25" customHeight="1" x14ac:dyDescent="0.35">
      <c r="A61" s="21">
        <f>SUBTOTAL(2,INDEX(customer[کد],1):customer[[#This Row],[کد]])</f>
        <v>60</v>
      </c>
      <c r="B61" s="21">
        <v>10060</v>
      </c>
      <c r="C61" s="21" t="s">
        <v>108</v>
      </c>
    </row>
    <row r="62" spans="1:3" ht="14.25" customHeight="1" x14ac:dyDescent="0.35">
      <c r="A62" s="21">
        <f>SUBTOTAL(2,INDEX(customer[کد],1):customer[[#This Row],[کد]])</f>
        <v>61</v>
      </c>
      <c r="B62" s="21">
        <v>10061</v>
      </c>
      <c r="C62" s="21" t="s">
        <v>109</v>
      </c>
    </row>
    <row r="63" spans="1:3" ht="14.25" customHeight="1" x14ac:dyDescent="0.35">
      <c r="A63" s="21">
        <f>SUBTOTAL(2,INDEX(customer[کد],1):customer[[#This Row],[کد]])</f>
        <v>62</v>
      </c>
      <c r="B63" s="21">
        <v>10062</v>
      </c>
      <c r="C63" s="21" t="s">
        <v>110</v>
      </c>
    </row>
    <row r="64" spans="1:3" ht="14.25" customHeight="1" x14ac:dyDescent="0.35">
      <c r="A64" s="21">
        <f>SUBTOTAL(2,INDEX(customer[کد],1):customer[[#This Row],[کد]])</f>
        <v>63</v>
      </c>
      <c r="B64" s="21">
        <v>10063</v>
      </c>
      <c r="C64" s="21" t="s">
        <v>111</v>
      </c>
    </row>
    <row r="65" spans="1:3" ht="14.25" customHeight="1" x14ac:dyDescent="0.35">
      <c r="A65" s="21">
        <f>SUBTOTAL(2,INDEX(customer[کد],1):customer[[#This Row],[کد]])</f>
        <v>64</v>
      </c>
      <c r="B65" s="21">
        <v>10064</v>
      </c>
      <c r="C65" s="21" t="s">
        <v>112</v>
      </c>
    </row>
    <row r="66" spans="1:3" ht="14.25" customHeight="1" x14ac:dyDescent="0.35">
      <c r="A66" s="21">
        <f>SUBTOTAL(2,INDEX(customer[کد],1):customer[[#This Row],[کد]])</f>
        <v>65</v>
      </c>
      <c r="B66" s="21">
        <v>10065</v>
      </c>
      <c r="C66" s="21" t="s">
        <v>113</v>
      </c>
    </row>
    <row r="67" spans="1:3" ht="14.25" customHeight="1" x14ac:dyDescent="0.35">
      <c r="A67" s="21">
        <f>SUBTOTAL(2,INDEX(customer[کد],1):customer[[#This Row],[کد]])</f>
        <v>66</v>
      </c>
      <c r="B67" s="21">
        <v>10066</v>
      </c>
      <c r="C67" s="21" t="s">
        <v>114</v>
      </c>
    </row>
    <row r="68" spans="1:3" ht="14.25" customHeight="1" x14ac:dyDescent="0.35">
      <c r="A68" s="21">
        <f>SUBTOTAL(2,INDEX(customer[کد],1):customer[[#This Row],[کد]])</f>
        <v>67</v>
      </c>
      <c r="B68" s="21">
        <v>10067</v>
      </c>
      <c r="C68" s="21" t="s">
        <v>115</v>
      </c>
    </row>
    <row r="69" spans="1:3" ht="14.25" customHeight="1" x14ac:dyDescent="0.35">
      <c r="A69" s="21">
        <f>SUBTOTAL(2,INDEX(customer[کد],1):customer[[#This Row],[کد]])</f>
        <v>68</v>
      </c>
      <c r="B69" s="21">
        <v>10068</v>
      </c>
      <c r="C69" s="21" t="s">
        <v>116</v>
      </c>
    </row>
    <row r="70" spans="1:3" ht="14.25" customHeight="1" x14ac:dyDescent="0.35">
      <c r="A70" s="21">
        <f>SUBTOTAL(2,INDEX(customer[کد],1):customer[[#This Row],[کد]])</f>
        <v>69</v>
      </c>
      <c r="B70" s="21">
        <v>10069</v>
      </c>
      <c r="C70" s="21" t="s">
        <v>117</v>
      </c>
    </row>
    <row r="71" spans="1:3" ht="14.25" customHeight="1" x14ac:dyDescent="0.35">
      <c r="A71" s="21">
        <f>SUBTOTAL(2,INDEX(customer[کد],1):customer[[#This Row],[کد]])</f>
        <v>70</v>
      </c>
      <c r="B71" s="21">
        <v>10070</v>
      </c>
      <c r="C71" s="21" t="s">
        <v>118</v>
      </c>
    </row>
    <row r="72" spans="1:3" ht="14.25" customHeight="1" x14ac:dyDescent="0.35">
      <c r="A72" s="21">
        <f>SUBTOTAL(2,INDEX(customer[کد],1):customer[[#This Row],[کد]])</f>
        <v>71</v>
      </c>
      <c r="B72" s="21">
        <v>10071</v>
      </c>
      <c r="C72" s="21" t="s">
        <v>119</v>
      </c>
    </row>
    <row r="73" spans="1:3" ht="14.25" customHeight="1" x14ac:dyDescent="0.35">
      <c r="A73" s="21">
        <f>SUBTOTAL(2,INDEX(customer[کد],1):customer[[#This Row],[کد]])</f>
        <v>72</v>
      </c>
      <c r="B73" s="21">
        <v>10072</v>
      </c>
      <c r="C73" s="21" t="s">
        <v>120</v>
      </c>
    </row>
    <row r="74" spans="1:3" ht="14.25" customHeight="1" x14ac:dyDescent="0.35">
      <c r="A74" s="21">
        <f>SUBTOTAL(2,INDEX(customer[کد],1):customer[[#This Row],[کد]])</f>
        <v>73</v>
      </c>
      <c r="B74" s="21">
        <v>10073</v>
      </c>
      <c r="C74" s="21" t="s">
        <v>121</v>
      </c>
    </row>
    <row r="75" spans="1:3" ht="14.25" customHeight="1" x14ac:dyDescent="0.35">
      <c r="A75" s="21">
        <f>SUBTOTAL(2,INDEX(customer[کد],1):customer[[#This Row],[کد]])</f>
        <v>74</v>
      </c>
      <c r="B75" s="21">
        <v>10074</v>
      </c>
      <c r="C75" s="21" t="s">
        <v>122</v>
      </c>
    </row>
    <row r="76" spans="1:3" ht="14.25" customHeight="1" x14ac:dyDescent="0.35">
      <c r="A76" s="21">
        <f>SUBTOTAL(2,INDEX(customer[کد],1):customer[[#This Row],[کد]])</f>
        <v>75</v>
      </c>
      <c r="B76" s="21">
        <v>10075</v>
      </c>
      <c r="C76" s="21" t="s">
        <v>123</v>
      </c>
    </row>
    <row r="77" spans="1:3" ht="14.25" customHeight="1" x14ac:dyDescent="0.35">
      <c r="A77" s="21">
        <f>SUBTOTAL(2,INDEX(customer[کد],1):customer[[#This Row],[کد]])</f>
        <v>76</v>
      </c>
      <c r="B77" s="21">
        <v>10076</v>
      </c>
      <c r="C77" s="21" t="s">
        <v>124</v>
      </c>
    </row>
    <row r="78" spans="1:3" ht="14.25" customHeight="1" x14ac:dyDescent="0.35">
      <c r="A78" s="21">
        <f>SUBTOTAL(2,INDEX(customer[کد],1):customer[[#This Row],[کد]])</f>
        <v>77</v>
      </c>
      <c r="B78" s="21">
        <v>10077</v>
      </c>
      <c r="C78" s="21" t="s">
        <v>125</v>
      </c>
    </row>
    <row r="79" spans="1:3" ht="14.25" customHeight="1" x14ac:dyDescent="0.35">
      <c r="A79" s="21">
        <f>SUBTOTAL(2,INDEX(customer[کد],1):customer[[#This Row],[کد]])</f>
        <v>78</v>
      </c>
      <c r="B79" s="21">
        <v>10078</v>
      </c>
      <c r="C79" s="21" t="s">
        <v>126</v>
      </c>
    </row>
    <row r="80" spans="1:3" ht="14.25" customHeight="1" x14ac:dyDescent="0.35">
      <c r="A80" s="21">
        <f>SUBTOTAL(2,INDEX(customer[کد],1):customer[[#This Row],[کد]])</f>
        <v>79</v>
      </c>
      <c r="B80" s="21">
        <v>10079</v>
      </c>
      <c r="C80" s="21" t="s">
        <v>127</v>
      </c>
    </row>
    <row r="81" spans="1:3" ht="14.25" customHeight="1" x14ac:dyDescent="0.35">
      <c r="A81" s="21">
        <f>SUBTOTAL(2,INDEX(customer[کد],1):customer[[#This Row],[کد]])</f>
        <v>80</v>
      </c>
      <c r="B81" s="21">
        <v>10080</v>
      </c>
      <c r="C81" s="21" t="s">
        <v>128</v>
      </c>
    </row>
    <row r="82" spans="1:3" ht="14.25" customHeight="1" x14ac:dyDescent="0.35">
      <c r="A82" s="21">
        <f>SUBTOTAL(2,INDEX(customer[کد],1):customer[[#This Row],[کد]])</f>
        <v>81</v>
      </c>
      <c r="B82" s="21">
        <v>10081</v>
      </c>
      <c r="C82" s="21" t="s">
        <v>129</v>
      </c>
    </row>
    <row r="83" spans="1:3" ht="14.25" customHeight="1" x14ac:dyDescent="0.35">
      <c r="A83" s="21">
        <f>SUBTOTAL(2,INDEX(customer[کد],1):customer[[#This Row],[کد]])</f>
        <v>82</v>
      </c>
      <c r="B83" s="21">
        <v>10082</v>
      </c>
      <c r="C83" s="21" t="s">
        <v>130</v>
      </c>
    </row>
    <row r="84" spans="1:3" ht="14.25" customHeight="1" x14ac:dyDescent="0.35">
      <c r="A84" s="21">
        <f>SUBTOTAL(2,INDEX(customer[کد],1):customer[[#This Row],[کد]])</f>
        <v>83</v>
      </c>
      <c r="B84" s="21">
        <v>10083</v>
      </c>
      <c r="C84" s="21" t="s">
        <v>131</v>
      </c>
    </row>
    <row r="85" spans="1:3" ht="14.25" customHeight="1" x14ac:dyDescent="0.35">
      <c r="A85" s="21">
        <f>SUBTOTAL(2,INDEX(customer[کد],1):customer[[#This Row],[کد]])</f>
        <v>84</v>
      </c>
      <c r="B85" s="21">
        <v>10084</v>
      </c>
      <c r="C85" s="21" t="s">
        <v>132</v>
      </c>
    </row>
    <row r="86" spans="1:3" ht="14.25" customHeight="1" x14ac:dyDescent="0.35">
      <c r="A86" s="21">
        <f>SUBTOTAL(2,INDEX(customer[کد],1):customer[[#This Row],[کد]])</f>
        <v>85</v>
      </c>
      <c r="B86" s="21">
        <v>10085</v>
      </c>
      <c r="C86" s="21" t="s">
        <v>133</v>
      </c>
    </row>
    <row r="87" spans="1:3" ht="14.25" customHeight="1" x14ac:dyDescent="0.35">
      <c r="A87" s="21">
        <f>SUBTOTAL(2,INDEX(customer[کد],1):customer[[#This Row],[کد]])</f>
        <v>86</v>
      </c>
      <c r="B87" s="21">
        <v>10086</v>
      </c>
      <c r="C87" s="21" t="s">
        <v>134</v>
      </c>
    </row>
    <row r="88" spans="1:3" ht="14.25" customHeight="1" x14ac:dyDescent="0.35">
      <c r="A88" s="21">
        <f>SUBTOTAL(2,INDEX(customer[کد],1):customer[[#This Row],[کد]])</f>
        <v>87</v>
      </c>
      <c r="B88" s="21">
        <v>10087</v>
      </c>
      <c r="C88" s="21" t="s">
        <v>135</v>
      </c>
    </row>
    <row r="89" spans="1:3" ht="14.25" customHeight="1" x14ac:dyDescent="0.35">
      <c r="A89" s="21">
        <f>SUBTOTAL(2,INDEX(customer[کد],1):customer[[#This Row],[کد]])</f>
        <v>88</v>
      </c>
      <c r="B89" s="21">
        <v>10088</v>
      </c>
      <c r="C89" s="21" t="s">
        <v>136</v>
      </c>
    </row>
    <row r="90" spans="1:3" ht="14.25" customHeight="1" x14ac:dyDescent="0.35">
      <c r="A90" s="21">
        <f>SUBTOTAL(2,INDEX(customer[کد],1):customer[[#This Row],[کد]])</f>
        <v>89</v>
      </c>
      <c r="B90" s="21">
        <v>10089</v>
      </c>
      <c r="C90" s="21" t="s">
        <v>137</v>
      </c>
    </row>
    <row r="91" spans="1:3" ht="14.25" customHeight="1" x14ac:dyDescent="0.35">
      <c r="A91" s="21">
        <f>SUBTOTAL(2,INDEX(customer[کد],1):customer[[#This Row],[کد]])</f>
        <v>90</v>
      </c>
      <c r="B91" s="21">
        <v>10090</v>
      </c>
      <c r="C91" s="21" t="s">
        <v>138</v>
      </c>
    </row>
    <row r="92" spans="1:3" ht="14.25" customHeight="1" x14ac:dyDescent="0.35">
      <c r="A92" s="21">
        <f>SUBTOTAL(2,INDEX(customer[کد],1):customer[[#This Row],[کد]])</f>
        <v>91</v>
      </c>
      <c r="B92" s="21">
        <v>10091</v>
      </c>
      <c r="C92" s="21" t="s">
        <v>139</v>
      </c>
    </row>
    <row r="93" spans="1:3" ht="14.25" customHeight="1" x14ac:dyDescent="0.35">
      <c r="A93" s="21">
        <f>SUBTOTAL(2,INDEX(customer[کد],1):customer[[#This Row],[کد]])</f>
        <v>92</v>
      </c>
      <c r="B93" s="21">
        <v>10092</v>
      </c>
      <c r="C93" s="21" t="s">
        <v>140</v>
      </c>
    </row>
    <row r="94" spans="1:3" ht="14.25" customHeight="1" x14ac:dyDescent="0.35">
      <c r="A94" s="21">
        <f>SUBTOTAL(2,INDEX(customer[کد],1):customer[[#This Row],[کد]])</f>
        <v>93</v>
      </c>
      <c r="B94" s="21">
        <v>10093</v>
      </c>
      <c r="C94" s="21" t="s">
        <v>141</v>
      </c>
    </row>
    <row r="95" spans="1:3" ht="14.25" customHeight="1" x14ac:dyDescent="0.35">
      <c r="A95" s="21">
        <f>SUBTOTAL(2,INDEX(customer[کد],1):customer[[#This Row],[کد]])</f>
        <v>94</v>
      </c>
      <c r="B95" s="21">
        <v>10094</v>
      </c>
      <c r="C95" s="21" t="s">
        <v>142</v>
      </c>
    </row>
    <row r="96" spans="1:3" ht="14.25" customHeight="1" x14ac:dyDescent="0.35">
      <c r="A96" s="21">
        <f>SUBTOTAL(2,INDEX(customer[کد],1):customer[[#This Row],[کد]])</f>
        <v>95</v>
      </c>
      <c r="B96" s="21">
        <v>10095</v>
      </c>
      <c r="C96" s="21" t="s">
        <v>143</v>
      </c>
    </row>
    <row r="97" spans="1:3" ht="14.25" customHeight="1" x14ac:dyDescent="0.35">
      <c r="A97" s="21">
        <f>SUBTOTAL(2,INDEX(customer[کد],1):customer[[#This Row],[کد]])</f>
        <v>96</v>
      </c>
      <c r="B97" s="21">
        <v>10096</v>
      </c>
      <c r="C97" s="21" t="s">
        <v>144</v>
      </c>
    </row>
    <row r="98" spans="1:3" ht="14.25" customHeight="1" x14ac:dyDescent="0.35">
      <c r="A98" s="21">
        <f>SUBTOTAL(2,INDEX(customer[کد],1):customer[[#This Row],[کد]])</f>
        <v>97</v>
      </c>
      <c r="B98" s="21">
        <v>10097</v>
      </c>
      <c r="C98" s="21" t="s">
        <v>145</v>
      </c>
    </row>
    <row r="99" spans="1:3" ht="14.25" customHeight="1" x14ac:dyDescent="0.35">
      <c r="A99" s="21">
        <f>SUBTOTAL(2,INDEX(customer[کد],1):customer[[#This Row],[کد]])</f>
        <v>98</v>
      </c>
      <c r="B99" s="21">
        <v>10098</v>
      </c>
      <c r="C99" s="21" t="s">
        <v>146</v>
      </c>
    </row>
    <row r="100" spans="1:3" ht="14.25" customHeight="1" x14ac:dyDescent="0.35">
      <c r="A100" s="21">
        <f>SUBTOTAL(2,INDEX(customer[کد],1):customer[[#This Row],[کد]])</f>
        <v>99</v>
      </c>
      <c r="B100" s="21">
        <v>10099</v>
      </c>
      <c r="C100" s="21" t="s">
        <v>147</v>
      </c>
    </row>
    <row r="101" spans="1:3" ht="14.25" customHeight="1" x14ac:dyDescent="0.35">
      <c r="A101" s="21">
        <f>SUBTOTAL(2,INDEX(customer[کد],1):customer[[#This Row],[کد]])</f>
        <v>100</v>
      </c>
      <c r="B101" s="21">
        <v>10100</v>
      </c>
      <c r="C101" s="21" t="s">
        <v>148</v>
      </c>
    </row>
    <row r="102" spans="1:3" ht="14.25" customHeight="1" x14ac:dyDescent="0.35">
      <c r="A102" s="21">
        <f>SUBTOTAL(2,INDEX(customer[کد],1):customer[[#This Row],[کد]])</f>
        <v>101</v>
      </c>
      <c r="B102" s="21">
        <v>10101</v>
      </c>
      <c r="C102" s="21" t="s">
        <v>149</v>
      </c>
    </row>
    <row r="103" spans="1:3" ht="14.25" customHeight="1" x14ac:dyDescent="0.35">
      <c r="A103" s="21">
        <f>SUBTOTAL(2,INDEX(customer[کد],1):customer[[#This Row],[کد]])</f>
        <v>102</v>
      </c>
      <c r="B103" s="21">
        <v>10102</v>
      </c>
      <c r="C103" s="21" t="s">
        <v>150</v>
      </c>
    </row>
    <row r="104" spans="1:3" ht="14.25" customHeight="1" x14ac:dyDescent="0.35">
      <c r="A104" s="21">
        <f>SUBTOTAL(2,INDEX(customer[کد],1):customer[[#This Row],[کد]])</f>
        <v>103</v>
      </c>
      <c r="B104" s="21">
        <v>10103</v>
      </c>
      <c r="C104" s="21" t="s">
        <v>151</v>
      </c>
    </row>
    <row r="105" spans="1:3" ht="14.25" customHeight="1" x14ac:dyDescent="0.35">
      <c r="A105" s="21">
        <f>SUBTOTAL(2,INDEX(customer[کد],1):customer[[#This Row],[کد]])</f>
        <v>104</v>
      </c>
      <c r="B105" s="21">
        <v>10104</v>
      </c>
      <c r="C105" s="21" t="s">
        <v>152</v>
      </c>
    </row>
    <row r="106" spans="1:3" ht="14.25" customHeight="1" x14ac:dyDescent="0.35">
      <c r="A106" s="21">
        <f>SUBTOTAL(2,INDEX(customer[کد],1):customer[[#This Row],[کد]])</f>
        <v>105</v>
      </c>
      <c r="B106" s="21">
        <v>10105</v>
      </c>
      <c r="C106" s="21" t="s">
        <v>153</v>
      </c>
    </row>
    <row r="107" spans="1:3" ht="14.25" customHeight="1" x14ac:dyDescent="0.35">
      <c r="A107" s="21">
        <f>SUBTOTAL(2,INDEX(customer[کد],1):customer[[#This Row],[کد]])</f>
        <v>106</v>
      </c>
      <c r="B107" s="21">
        <v>10106</v>
      </c>
      <c r="C107" s="21" t="s">
        <v>154</v>
      </c>
    </row>
    <row r="108" spans="1:3" ht="14.25" customHeight="1" x14ac:dyDescent="0.35">
      <c r="A108" s="21">
        <f>SUBTOTAL(2,INDEX(customer[کد],1):customer[[#This Row],[کد]])</f>
        <v>107</v>
      </c>
      <c r="B108" s="21">
        <v>10107</v>
      </c>
      <c r="C108" s="21" t="s">
        <v>155</v>
      </c>
    </row>
    <row r="109" spans="1:3" ht="14.25" customHeight="1" x14ac:dyDescent="0.35">
      <c r="A109" s="21">
        <f>SUBTOTAL(2,INDEX(customer[کد],1):customer[[#This Row],[کد]])</f>
        <v>108</v>
      </c>
      <c r="B109" s="21">
        <v>10108</v>
      </c>
      <c r="C109" s="21" t="s">
        <v>156</v>
      </c>
    </row>
    <row r="110" spans="1:3" ht="14.25" customHeight="1" x14ac:dyDescent="0.35">
      <c r="A110" s="21">
        <f>SUBTOTAL(2,INDEX(customer[کد],1):customer[[#This Row],[کد]])</f>
        <v>109</v>
      </c>
      <c r="B110" s="21">
        <v>10109</v>
      </c>
      <c r="C110" s="21" t="s">
        <v>157</v>
      </c>
    </row>
    <row r="111" spans="1:3" ht="14.25" customHeight="1" x14ac:dyDescent="0.35">
      <c r="A111" s="21">
        <f>SUBTOTAL(2,INDEX(customer[کد],1):customer[[#This Row],[کد]])</f>
        <v>110</v>
      </c>
      <c r="B111" s="21">
        <v>10110</v>
      </c>
      <c r="C111" s="21" t="s">
        <v>158</v>
      </c>
    </row>
    <row r="112" spans="1:3" ht="14.25" customHeight="1" x14ac:dyDescent="0.35">
      <c r="A112" s="21">
        <f>SUBTOTAL(2,INDEX(customer[کد],1):customer[[#This Row],[کد]])</f>
        <v>111</v>
      </c>
      <c r="B112" s="21">
        <v>10111</v>
      </c>
      <c r="C112" s="21" t="s">
        <v>159</v>
      </c>
    </row>
    <row r="113" spans="1:3" ht="14.25" customHeight="1" x14ac:dyDescent="0.35">
      <c r="A113" s="21">
        <f>SUBTOTAL(2,INDEX(customer[کد],1):customer[[#This Row],[کد]])</f>
        <v>112</v>
      </c>
      <c r="B113" s="21">
        <v>10112</v>
      </c>
      <c r="C113" s="21" t="s">
        <v>160</v>
      </c>
    </row>
    <row r="114" spans="1:3" ht="14.25" customHeight="1" x14ac:dyDescent="0.35">
      <c r="A114" s="21">
        <f>SUBTOTAL(2,INDEX(customer[کد],1):customer[[#This Row],[کد]])</f>
        <v>113</v>
      </c>
      <c r="B114" s="21">
        <v>10113</v>
      </c>
      <c r="C114" s="21" t="s">
        <v>161</v>
      </c>
    </row>
    <row r="115" spans="1:3" ht="14.25" customHeight="1" x14ac:dyDescent="0.35">
      <c r="A115" s="21">
        <f>SUBTOTAL(2,INDEX(customer[کد],1):customer[[#This Row],[کد]])</f>
        <v>114</v>
      </c>
      <c r="B115" s="21">
        <v>10114</v>
      </c>
      <c r="C115" s="21" t="s">
        <v>162</v>
      </c>
    </row>
    <row r="116" spans="1:3" ht="14.25" customHeight="1" x14ac:dyDescent="0.35">
      <c r="A116" s="21">
        <f>SUBTOTAL(2,INDEX(customer[کد],1):customer[[#This Row],[کد]])</f>
        <v>115</v>
      </c>
      <c r="B116" s="21">
        <v>10115</v>
      </c>
      <c r="C116" s="21" t="s">
        <v>163</v>
      </c>
    </row>
    <row r="117" spans="1:3" ht="14.25" customHeight="1" x14ac:dyDescent="0.35">
      <c r="A117" s="21">
        <f>SUBTOTAL(2,INDEX(customer[کد],1):customer[[#This Row],[کد]])</f>
        <v>116</v>
      </c>
      <c r="B117" s="21">
        <v>10116</v>
      </c>
      <c r="C117" s="21" t="s">
        <v>164</v>
      </c>
    </row>
    <row r="118" spans="1:3" ht="14.25" customHeight="1" x14ac:dyDescent="0.35">
      <c r="A118" s="21">
        <f>SUBTOTAL(2,INDEX(customer[کد],1):customer[[#This Row],[کد]])</f>
        <v>117</v>
      </c>
      <c r="B118" s="21">
        <v>10117</v>
      </c>
      <c r="C118" s="21" t="s">
        <v>165</v>
      </c>
    </row>
    <row r="119" spans="1:3" ht="14.25" customHeight="1" x14ac:dyDescent="0.35">
      <c r="A119" s="21">
        <f>SUBTOTAL(2,INDEX(customer[کد],1):customer[[#This Row],[کد]])</f>
        <v>118</v>
      </c>
      <c r="B119" s="21">
        <v>10118</v>
      </c>
      <c r="C119" s="21" t="s">
        <v>166</v>
      </c>
    </row>
    <row r="120" spans="1:3" ht="14.25" customHeight="1" x14ac:dyDescent="0.35">
      <c r="A120" s="21">
        <f>SUBTOTAL(2,INDEX(customer[کد],1):customer[[#This Row],[کد]])</f>
        <v>119</v>
      </c>
      <c r="B120" s="21">
        <v>10119</v>
      </c>
      <c r="C120" s="21" t="s">
        <v>167</v>
      </c>
    </row>
    <row r="121" spans="1:3" ht="14.25" customHeight="1" x14ac:dyDescent="0.35">
      <c r="A121" s="21">
        <f>SUBTOTAL(2,INDEX(customer[کد],1):customer[[#This Row],[کد]])</f>
        <v>120</v>
      </c>
      <c r="B121" s="21">
        <v>10120</v>
      </c>
      <c r="C121" s="21" t="s">
        <v>168</v>
      </c>
    </row>
    <row r="122" spans="1:3" ht="14.25" customHeight="1" x14ac:dyDescent="0.35">
      <c r="A122" s="21">
        <f>SUBTOTAL(2,INDEX(customer[کد],1):customer[[#This Row],[کد]])</f>
        <v>121</v>
      </c>
      <c r="B122" s="21">
        <v>10121</v>
      </c>
      <c r="C122" s="21" t="s">
        <v>169</v>
      </c>
    </row>
    <row r="123" spans="1:3" ht="14.25" customHeight="1" x14ac:dyDescent="0.35">
      <c r="A123" s="21">
        <f>SUBTOTAL(2,INDEX(customer[کد],1):customer[[#This Row],[کد]])</f>
        <v>122</v>
      </c>
      <c r="B123" s="21">
        <v>10122</v>
      </c>
      <c r="C123" s="21" t="s">
        <v>170</v>
      </c>
    </row>
    <row r="124" spans="1:3" ht="14.25" customHeight="1" x14ac:dyDescent="0.35">
      <c r="A124" s="21">
        <f>SUBTOTAL(2,INDEX(customer[کد],1):customer[[#This Row],[کد]])</f>
        <v>123</v>
      </c>
      <c r="B124" s="21">
        <v>10123</v>
      </c>
      <c r="C124" s="21" t="s">
        <v>171</v>
      </c>
    </row>
    <row r="125" spans="1:3" ht="14.25" customHeight="1" x14ac:dyDescent="0.35">
      <c r="A125" s="21">
        <f>SUBTOTAL(2,INDEX(customer[کد],1):customer[[#This Row],[کد]])</f>
        <v>124</v>
      </c>
      <c r="B125" s="21">
        <v>10124</v>
      </c>
      <c r="C125" s="21" t="s">
        <v>172</v>
      </c>
    </row>
    <row r="126" spans="1:3" ht="14.25" customHeight="1" x14ac:dyDescent="0.35">
      <c r="A126" s="21">
        <f>SUBTOTAL(2,INDEX(customer[کد],1):customer[[#This Row],[کد]])</f>
        <v>125</v>
      </c>
      <c r="B126" s="21">
        <v>10125</v>
      </c>
      <c r="C126" s="21" t="s">
        <v>173</v>
      </c>
    </row>
    <row r="127" spans="1:3" ht="14.25" customHeight="1" x14ac:dyDescent="0.35">
      <c r="A127" s="21">
        <f>SUBTOTAL(2,INDEX(customer[کد],1):customer[[#This Row],[کد]])</f>
        <v>126</v>
      </c>
      <c r="B127" s="21">
        <v>10126</v>
      </c>
      <c r="C127" s="21" t="s">
        <v>174</v>
      </c>
    </row>
    <row r="128" spans="1:3" ht="14.25" customHeight="1" x14ac:dyDescent="0.35">
      <c r="A128" s="21">
        <f>SUBTOTAL(2,INDEX(customer[کد],1):customer[[#This Row],[کد]])</f>
        <v>127</v>
      </c>
      <c r="B128" s="21">
        <v>10127</v>
      </c>
      <c r="C128" s="21" t="s">
        <v>175</v>
      </c>
    </row>
    <row r="129" spans="1:3" ht="14.25" customHeight="1" x14ac:dyDescent="0.35">
      <c r="A129" s="21">
        <f>SUBTOTAL(2,INDEX(customer[کد],1):customer[[#This Row],[کد]])</f>
        <v>128</v>
      </c>
      <c r="B129" s="21">
        <v>10128</v>
      </c>
      <c r="C129" s="21" t="s">
        <v>177</v>
      </c>
    </row>
    <row r="130" spans="1:3" ht="14.25" customHeight="1" x14ac:dyDescent="0.35">
      <c r="A130" s="21">
        <f>SUBTOTAL(2,INDEX(customer[کد],1):customer[[#This Row],[کد]])</f>
        <v>129</v>
      </c>
      <c r="B130" s="21">
        <v>10129</v>
      </c>
      <c r="C130" s="21" t="s">
        <v>178</v>
      </c>
    </row>
    <row r="131" spans="1:3" ht="14.25" customHeight="1" x14ac:dyDescent="0.35">
      <c r="A131" s="21">
        <f>SUBTOTAL(2,INDEX(customer[کد],1):customer[[#This Row],[کد]])</f>
        <v>130</v>
      </c>
      <c r="B131" s="21">
        <v>30000</v>
      </c>
      <c r="C131" s="21" t="s">
        <v>179</v>
      </c>
    </row>
    <row r="132" spans="1:3" ht="14.25" customHeight="1" x14ac:dyDescent="0.35">
      <c r="A132" s="21">
        <f>SUBTOTAL(2,INDEX(customer[کد],1):customer[[#This Row],[کد]])</f>
        <v>131</v>
      </c>
      <c r="B132" s="21">
        <v>30001</v>
      </c>
      <c r="C132" s="21" t="s">
        <v>180</v>
      </c>
    </row>
    <row r="133" spans="1:3" ht="14.25" customHeight="1" x14ac:dyDescent="0.35">
      <c r="A133" s="21">
        <f>SUBTOTAL(2,INDEX(customer[کد],1):customer[[#This Row],[کد]])</f>
        <v>132</v>
      </c>
      <c r="B133" s="21">
        <v>30002</v>
      </c>
      <c r="C133" s="21" t="s">
        <v>181</v>
      </c>
    </row>
    <row r="134" spans="1:3" ht="14.25" customHeight="1" x14ac:dyDescent="0.35">
      <c r="A134" s="21">
        <f>SUBTOTAL(2,INDEX(customer[کد],1):customer[[#This Row],[کد]])</f>
        <v>133</v>
      </c>
      <c r="B134" s="21">
        <v>30003</v>
      </c>
      <c r="C134" s="21" t="s">
        <v>182</v>
      </c>
    </row>
    <row r="135" spans="1:3" ht="14.25" customHeight="1" x14ac:dyDescent="0.35">
      <c r="A135" s="21">
        <f>SUBTOTAL(2,INDEX(customer[کد],1):customer[[#This Row],[کد]])</f>
        <v>134</v>
      </c>
      <c r="B135" s="21">
        <v>30004</v>
      </c>
      <c r="C135" s="21" t="s">
        <v>183</v>
      </c>
    </row>
    <row r="136" spans="1:3" ht="14.25" customHeight="1" x14ac:dyDescent="0.35">
      <c r="A136" s="21">
        <f>SUBTOTAL(2,INDEX(customer[کد],1):customer[[#This Row],[کد]])</f>
        <v>135</v>
      </c>
      <c r="B136" s="21">
        <v>30005</v>
      </c>
      <c r="C136" s="21" t="s">
        <v>184</v>
      </c>
    </row>
    <row r="137" spans="1:3" ht="14.25" customHeight="1" x14ac:dyDescent="0.35">
      <c r="A137" s="21">
        <f>SUBTOTAL(2,INDEX(customer[کد],1):customer[[#This Row],[کد]])</f>
        <v>136</v>
      </c>
      <c r="B137" s="21">
        <v>30006</v>
      </c>
      <c r="C137" s="21" t="s">
        <v>185</v>
      </c>
    </row>
    <row r="138" spans="1:3" ht="14.25" customHeight="1" x14ac:dyDescent="0.35">
      <c r="A138" s="21">
        <f>SUBTOTAL(2,INDEX(customer[کد],1):customer[[#This Row],[کد]])</f>
        <v>137</v>
      </c>
      <c r="B138" s="21">
        <v>30007</v>
      </c>
      <c r="C138" s="21" t="s">
        <v>186</v>
      </c>
    </row>
    <row r="139" spans="1:3" ht="14.25" customHeight="1" x14ac:dyDescent="0.35">
      <c r="A139" s="21">
        <f>SUBTOTAL(2,INDEX(customer[کد],1):customer[[#This Row],[کد]])</f>
        <v>138</v>
      </c>
      <c r="B139" s="21">
        <v>30008</v>
      </c>
      <c r="C139" s="21" t="s">
        <v>187</v>
      </c>
    </row>
    <row r="140" spans="1:3" ht="14.25" customHeight="1" x14ac:dyDescent="0.35">
      <c r="A140" s="21">
        <f>SUBTOTAL(2,INDEX(customer[کد],1):customer[[#This Row],[کد]])</f>
        <v>139</v>
      </c>
      <c r="B140" s="21">
        <v>30009</v>
      </c>
      <c r="C140" s="21" t="s">
        <v>188</v>
      </c>
    </row>
    <row r="141" spans="1:3" ht="14.25" customHeight="1" x14ac:dyDescent="0.35">
      <c r="A141" s="21">
        <f>SUBTOTAL(2,INDEX(customer[کد],1):customer[[#This Row],[کد]])</f>
        <v>140</v>
      </c>
      <c r="B141" s="21">
        <v>30010</v>
      </c>
      <c r="C141" s="21" t="s">
        <v>189</v>
      </c>
    </row>
    <row r="142" spans="1:3" ht="14.25" customHeight="1" x14ac:dyDescent="0.35">
      <c r="A142" s="21">
        <f>SUBTOTAL(2,INDEX(customer[کد],1):customer[[#This Row],[کد]])</f>
        <v>141</v>
      </c>
      <c r="B142" s="21">
        <v>30011</v>
      </c>
      <c r="C142" s="21" t="s">
        <v>190</v>
      </c>
    </row>
    <row r="143" spans="1:3" ht="14.25" customHeight="1" x14ac:dyDescent="0.35">
      <c r="A143" s="21">
        <f>SUBTOTAL(2,INDEX(customer[کد],1):customer[[#This Row],[کد]])</f>
        <v>142</v>
      </c>
      <c r="B143" s="21">
        <v>30012</v>
      </c>
      <c r="C143" s="21" t="s">
        <v>191</v>
      </c>
    </row>
    <row r="144" spans="1:3" ht="14.25" customHeight="1" x14ac:dyDescent="0.35">
      <c r="A144" s="21">
        <f>SUBTOTAL(2,INDEX(customer[کد],1):customer[[#This Row],[کد]])</f>
        <v>143</v>
      </c>
      <c r="B144" s="21">
        <v>30013</v>
      </c>
      <c r="C144" s="21" t="s">
        <v>192</v>
      </c>
    </row>
    <row r="145" spans="1:3" ht="14.25" customHeight="1" x14ac:dyDescent="0.35">
      <c r="A145" s="21">
        <f>SUBTOTAL(2,INDEX(customer[کد],1):customer[[#This Row],[کد]])</f>
        <v>144</v>
      </c>
      <c r="B145" s="21">
        <v>30014</v>
      </c>
      <c r="C145" s="21" t="s">
        <v>193</v>
      </c>
    </row>
    <row r="146" spans="1:3" ht="14.25" customHeight="1" x14ac:dyDescent="0.35">
      <c r="A146" s="21">
        <f>SUBTOTAL(2,INDEX(customer[کد],1):customer[[#This Row],[کد]])</f>
        <v>145</v>
      </c>
      <c r="B146" s="21">
        <v>30015</v>
      </c>
      <c r="C146" s="21" t="s">
        <v>194</v>
      </c>
    </row>
    <row r="147" spans="1:3" ht="14.25" customHeight="1" x14ac:dyDescent="0.35">
      <c r="A147" s="21">
        <f>SUBTOTAL(2,INDEX(customer[کد],1):customer[[#This Row],[کد]])</f>
        <v>146</v>
      </c>
      <c r="B147" s="21">
        <v>30016</v>
      </c>
      <c r="C147" s="21" t="s">
        <v>195</v>
      </c>
    </row>
    <row r="148" spans="1:3" ht="14.25" customHeight="1" x14ac:dyDescent="0.35">
      <c r="A148" s="21">
        <f>SUBTOTAL(2,INDEX(customer[کد],1):customer[[#This Row],[کد]])</f>
        <v>147</v>
      </c>
      <c r="B148" s="21">
        <v>30017</v>
      </c>
      <c r="C148" s="21" t="s">
        <v>196</v>
      </c>
    </row>
    <row r="149" spans="1:3" ht="14.25" customHeight="1" x14ac:dyDescent="0.35">
      <c r="A149" s="21">
        <f>SUBTOTAL(2,INDEX(customer[کد],1):customer[[#This Row],[کد]])</f>
        <v>148</v>
      </c>
      <c r="B149" s="21">
        <v>30018</v>
      </c>
      <c r="C149" s="21" t="s">
        <v>197</v>
      </c>
    </row>
    <row r="150" spans="1:3" ht="14.25" customHeight="1" x14ac:dyDescent="0.35">
      <c r="A150" s="21">
        <f>SUBTOTAL(2,INDEX(customer[کد],1):customer[[#This Row],[کد]])</f>
        <v>149</v>
      </c>
      <c r="B150" s="21">
        <v>30019</v>
      </c>
      <c r="C150" s="21" t="s">
        <v>198</v>
      </c>
    </row>
    <row r="151" spans="1:3" ht="14.25" customHeight="1" x14ac:dyDescent="0.35">
      <c r="A151" s="21">
        <f>SUBTOTAL(2,INDEX(customer[کد],1):customer[[#This Row],[کد]])</f>
        <v>150</v>
      </c>
      <c r="B151" s="21">
        <v>30020</v>
      </c>
      <c r="C151" s="21" t="s">
        <v>199</v>
      </c>
    </row>
    <row r="152" spans="1:3" ht="14.25" customHeight="1" x14ac:dyDescent="0.35">
      <c r="A152" s="21">
        <f>SUBTOTAL(2,INDEX(customer[کد],1):customer[[#This Row],[کد]])</f>
        <v>151</v>
      </c>
      <c r="B152" s="21">
        <v>30021</v>
      </c>
      <c r="C152" s="21" t="s">
        <v>200</v>
      </c>
    </row>
    <row r="153" spans="1:3" ht="14.25" customHeight="1" x14ac:dyDescent="0.35">
      <c r="A153" s="21">
        <f>SUBTOTAL(2,INDEX(customer[کد],1):customer[[#This Row],[کد]])</f>
        <v>152</v>
      </c>
      <c r="B153" s="21">
        <v>30022</v>
      </c>
      <c r="C153" s="21" t="s">
        <v>201</v>
      </c>
    </row>
    <row r="154" spans="1:3" ht="14.25" customHeight="1" x14ac:dyDescent="0.35">
      <c r="A154" s="21">
        <f>SUBTOTAL(2,INDEX(customer[کد],1):customer[[#This Row],[کد]])</f>
        <v>153</v>
      </c>
      <c r="B154" s="21">
        <v>30023</v>
      </c>
      <c r="C154" s="21" t="s">
        <v>202</v>
      </c>
    </row>
    <row r="155" spans="1:3" ht="14.25" customHeight="1" x14ac:dyDescent="0.35">
      <c r="A155" s="21">
        <f>SUBTOTAL(2,INDEX(customer[کد],1):customer[[#This Row],[کد]])</f>
        <v>154</v>
      </c>
      <c r="B155" s="21">
        <v>30024</v>
      </c>
      <c r="C155" s="21" t="s">
        <v>203</v>
      </c>
    </row>
    <row r="156" spans="1:3" ht="14.25" customHeight="1" x14ac:dyDescent="0.35">
      <c r="A156" s="21">
        <f>SUBTOTAL(2,INDEX(customer[کد],1):customer[[#This Row],[کد]])</f>
        <v>155</v>
      </c>
      <c r="B156" s="21">
        <v>30025</v>
      </c>
      <c r="C156" s="21" t="s">
        <v>204</v>
      </c>
    </row>
    <row r="157" spans="1:3" ht="14.25" customHeight="1" x14ac:dyDescent="0.35">
      <c r="A157" s="21">
        <f>SUBTOTAL(2,INDEX(customer[کد],1):customer[[#This Row],[کد]])</f>
        <v>156</v>
      </c>
      <c r="B157" s="21">
        <v>30026</v>
      </c>
      <c r="C157" s="21" t="s">
        <v>205</v>
      </c>
    </row>
    <row r="158" spans="1:3" ht="14.25" customHeight="1" x14ac:dyDescent="0.35">
      <c r="A158" s="21">
        <f>SUBTOTAL(2,INDEX(customer[کد],1):customer[[#This Row],[کد]])</f>
        <v>157</v>
      </c>
      <c r="B158" s="21">
        <v>30027</v>
      </c>
      <c r="C158" s="21" t="s">
        <v>206</v>
      </c>
    </row>
    <row r="159" spans="1:3" ht="14.25" customHeight="1" x14ac:dyDescent="0.35">
      <c r="A159" s="21">
        <f>SUBTOTAL(2,INDEX(customer[کد],1):customer[[#This Row],[کد]])</f>
        <v>158</v>
      </c>
      <c r="B159" s="21">
        <v>30028</v>
      </c>
      <c r="C159" s="21" t="s">
        <v>207</v>
      </c>
    </row>
    <row r="160" spans="1:3" ht="14.25" customHeight="1" x14ac:dyDescent="0.35">
      <c r="A160" s="21">
        <f>SUBTOTAL(2,INDEX(customer[کد],1):customer[[#This Row],[کد]])</f>
        <v>159</v>
      </c>
      <c r="B160" s="21">
        <v>30029</v>
      </c>
      <c r="C160" s="21" t="s">
        <v>208</v>
      </c>
    </row>
    <row r="161" spans="1:3" ht="14.25" customHeight="1" x14ac:dyDescent="0.35">
      <c r="A161" s="21">
        <f>SUBTOTAL(2,INDEX(customer[کد],1):customer[[#This Row],[کد]])</f>
        <v>160</v>
      </c>
      <c r="B161" s="21">
        <v>30030</v>
      </c>
      <c r="C161" s="21" t="s">
        <v>209</v>
      </c>
    </row>
    <row r="162" spans="1:3" ht="14.25" customHeight="1" x14ac:dyDescent="0.35">
      <c r="A162" s="21">
        <f>SUBTOTAL(2,INDEX(customer[کد],1):customer[[#This Row],[کد]])</f>
        <v>161</v>
      </c>
      <c r="B162" s="21">
        <v>30031</v>
      </c>
      <c r="C162" s="21" t="s">
        <v>210</v>
      </c>
    </row>
    <row r="163" spans="1:3" ht="14.25" customHeight="1" x14ac:dyDescent="0.35">
      <c r="A163" s="21">
        <f>SUBTOTAL(2,INDEX(customer[کد],1):customer[[#This Row],[کد]])</f>
        <v>162</v>
      </c>
      <c r="B163" s="21">
        <v>30032</v>
      </c>
      <c r="C163" s="21" t="s">
        <v>211</v>
      </c>
    </row>
    <row r="164" spans="1:3" ht="14.25" customHeight="1" x14ac:dyDescent="0.35">
      <c r="A164" s="21">
        <f>SUBTOTAL(2,INDEX(customer[کد],1):customer[[#This Row],[کد]])</f>
        <v>163</v>
      </c>
      <c r="B164" s="21">
        <v>30033</v>
      </c>
      <c r="C164" s="21" t="s">
        <v>212</v>
      </c>
    </row>
    <row r="165" spans="1:3" ht="14.25" customHeight="1" x14ac:dyDescent="0.35">
      <c r="A165" s="21">
        <f>SUBTOTAL(2,INDEX(customer[کد],1):customer[[#This Row],[کد]])</f>
        <v>164</v>
      </c>
      <c r="B165" s="21">
        <v>30034</v>
      </c>
      <c r="C165" s="21" t="s">
        <v>213</v>
      </c>
    </row>
    <row r="166" spans="1:3" ht="14.25" customHeight="1" x14ac:dyDescent="0.35">
      <c r="A166" s="21">
        <f>SUBTOTAL(2,INDEX(customer[کد],1):customer[[#This Row],[کد]])</f>
        <v>165</v>
      </c>
      <c r="B166" s="21">
        <v>30035</v>
      </c>
      <c r="C166" s="21" t="s">
        <v>214</v>
      </c>
    </row>
    <row r="167" spans="1:3" ht="14.25" customHeight="1" x14ac:dyDescent="0.35">
      <c r="A167" s="21">
        <f>SUBTOTAL(2,INDEX(customer[کد],1):customer[[#This Row],[کد]])</f>
        <v>166</v>
      </c>
      <c r="B167" s="21">
        <v>30036</v>
      </c>
      <c r="C167" s="21" t="s">
        <v>215</v>
      </c>
    </row>
    <row r="168" spans="1:3" ht="14.25" customHeight="1" x14ac:dyDescent="0.35">
      <c r="A168" s="21">
        <f>SUBTOTAL(2,INDEX(customer[کد],1):customer[[#This Row],[کد]])</f>
        <v>167</v>
      </c>
      <c r="B168" s="21">
        <v>30037</v>
      </c>
      <c r="C168" s="21" t="s">
        <v>216</v>
      </c>
    </row>
    <row r="169" spans="1:3" ht="14.25" customHeight="1" x14ac:dyDescent="0.35">
      <c r="A169" s="21">
        <f>SUBTOTAL(2,INDEX(customer[کد],1):customer[[#This Row],[کد]])</f>
        <v>168</v>
      </c>
      <c r="B169" s="21">
        <v>30038</v>
      </c>
      <c r="C169" s="21" t="s">
        <v>217</v>
      </c>
    </row>
    <row r="170" spans="1:3" ht="14.25" customHeight="1" x14ac:dyDescent="0.35">
      <c r="A170" s="21">
        <f>SUBTOTAL(2,INDEX(customer[کد],1):customer[[#This Row],[کد]])</f>
        <v>169</v>
      </c>
      <c r="B170" s="21">
        <v>30039</v>
      </c>
      <c r="C170" s="21" t="s">
        <v>218</v>
      </c>
    </row>
    <row r="171" spans="1:3" ht="14.25" customHeight="1" x14ac:dyDescent="0.35">
      <c r="A171" s="21">
        <f>SUBTOTAL(2,INDEX(customer[کد],1):customer[[#This Row],[کد]])</f>
        <v>170</v>
      </c>
      <c r="B171" s="21">
        <v>30040</v>
      </c>
      <c r="C171" s="21" t="s">
        <v>219</v>
      </c>
    </row>
    <row r="172" spans="1:3" ht="14.25" customHeight="1" x14ac:dyDescent="0.35">
      <c r="A172" s="21">
        <f>SUBTOTAL(2,INDEX(customer[کد],1):customer[[#This Row],[کد]])</f>
        <v>171</v>
      </c>
      <c r="B172" s="21">
        <v>30041</v>
      </c>
      <c r="C172" s="21" t="s">
        <v>220</v>
      </c>
    </row>
    <row r="173" spans="1:3" ht="14.25" customHeight="1" x14ac:dyDescent="0.35">
      <c r="A173" s="21">
        <f>SUBTOTAL(2,INDEX(customer[کد],1):customer[[#This Row],[کد]])</f>
        <v>172</v>
      </c>
      <c r="B173" s="21">
        <v>30042</v>
      </c>
      <c r="C173" s="21" t="s">
        <v>221</v>
      </c>
    </row>
    <row r="174" spans="1:3" ht="14.25" customHeight="1" x14ac:dyDescent="0.35">
      <c r="A174" s="21">
        <f>SUBTOTAL(2,INDEX(customer[کد],1):customer[[#This Row],[کد]])</f>
        <v>173</v>
      </c>
      <c r="B174" s="21">
        <v>30043</v>
      </c>
      <c r="C174" s="21" t="s">
        <v>222</v>
      </c>
    </row>
    <row r="175" spans="1:3" ht="14.25" customHeight="1" x14ac:dyDescent="0.35">
      <c r="A175" s="21">
        <f>SUBTOTAL(2,INDEX(customer[کد],1):customer[[#This Row],[کد]])</f>
        <v>174</v>
      </c>
      <c r="B175" s="21">
        <v>30044</v>
      </c>
      <c r="C175" s="21" t="s">
        <v>223</v>
      </c>
    </row>
    <row r="176" spans="1:3" ht="14.25" customHeight="1" x14ac:dyDescent="0.35">
      <c r="A176" s="21">
        <f>SUBTOTAL(2,INDEX(customer[کد],1):customer[[#This Row],[کد]])</f>
        <v>175</v>
      </c>
      <c r="B176" s="21">
        <v>30045</v>
      </c>
      <c r="C176" s="21" t="s">
        <v>224</v>
      </c>
    </row>
    <row r="177" spans="1:3" ht="14.25" customHeight="1" x14ac:dyDescent="0.35">
      <c r="A177" s="21">
        <f>SUBTOTAL(2,INDEX(customer[کد],1):customer[[#This Row],[کد]])</f>
        <v>176</v>
      </c>
      <c r="B177" s="21">
        <v>30046</v>
      </c>
      <c r="C177" s="21" t="s">
        <v>225</v>
      </c>
    </row>
    <row r="178" spans="1:3" ht="14.25" customHeight="1" x14ac:dyDescent="0.35">
      <c r="A178" s="21">
        <f>SUBTOTAL(2,INDEX(customer[کد],1):customer[[#This Row],[کد]])</f>
        <v>177</v>
      </c>
      <c r="B178" s="21">
        <v>30047</v>
      </c>
      <c r="C178" s="21" t="s">
        <v>226</v>
      </c>
    </row>
    <row r="179" spans="1:3" ht="14.25" customHeight="1" x14ac:dyDescent="0.35">
      <c r="A179" s="21">
        <f>SUBTOTAL(2,INDEX(customer[کد],1):customer[[#This Row],[کد]])</f>
        <v>178</v>
      </c>
      <c r="B179" s="21">
        <v>30048</v>
      </c>
      <c r="C179" s="21" t="s">
        <v>227</v>
      </c>
    </row>
    <row r="180" spans="1:3" ht="14.25" customHeight="1" x14ac:dyDescent="0.35">
      <c r="A180" s="21">
        <f>SUBTOTAL(2,INDEX(customer[کد],1):customer[[#This Row],[کد]])</f>
        <v>179</v>
      </c>
      <c r="B180" s="21">
        <v>30049</v>
      </c>
      <c r="C180" s="21" t="s">
        <v>228</v>
      </c>
    </row>
    <row r="181" spans="1:3" ht="14.25" customHeight="1" x14ac:dyDescent="0.35">
      <c r="A181" s="21">
        <f>SUBTOTAL(2,INDEX(customer[کد],1):customer[[#This Row],[کد]])</f>
        <v>180</v>
      </c>
      <c r="B181" s="21">
        <v>30050</v>
      </c>
      <c r="C181" s="21" t="s">
        <v>229</v>
      </c>
    </row>
    <row r="182" spans="1:3" ht="14.25" customHeight="1" x14ac:dyDescent="0.35">
      <c r="A182" s="21">
        <f>SUBTOTAL(2,INDEX(customer[کد],1):customer[[#This Row],[کد]])</f>
        <v>181</v>
      </c>
      <c r="B182" s="21">
        <v>30051</v>
      </c>
      <c r="C182" s="21" t="s">
        <v>230</v>
      </c>
    </row>
    <row r="183" spans="1:3" ht="14.25" customHeight="1" x14ac:dyDescent="0.35">
      <c r="A183" s="21">
        <f>SUBTOTAL(2,INDEX(customer[کد],1):customer[[#This Row],[کد]])</f>
        <v>182</v>
      </c>
      <c r="B183" s="21">
        <v>30052</v>
      </c>
      <c r="C183" s="21" t="s">
        <v>231</v>
      </c>
    </row>
    <row r="184" spans="1:3" ht="14.25" customHeight="1" x14ac:dyDescent="0.35">
      <c r="A184" s="21">
        <f>SUBTOTAL(2,INDEX(customer[کد],1):customer[[#This Row],[کد]])</f>
        <v>183</v>
      </c>
      <c r="B184" s="21">
        <v>30054</v>
      </c>
      <c r="C184" s="21" t="s">
        <v>232</v>
      </c>
    </row>
    <row r="185" spans="1:3" ht="14.25" customHeight="1" x14ac:dyDescent="0.35">
      <c r="A185" s="21">
        <f>SUBTOTAL(2,INDEX(customer[کد],1):customer[[#This Row],[کد]])</f>
        <v>184</v>
      </c>
      <c r="B185" s="21">
        <v>30055</v>
      </c>
      <c r="C185" s="21" t="s">
        <v>233</v>
      </c>
    </row>
    <row r="186" spans="1:3" ht="14.25" customHeight="1" x14ac:dyDescent="0.35">
      <c r="A186" s="21">
        <f>SUBTOTAL(2,INDEX(customer[کد],1):customer[[#This Row],[کد]])</f>
        <v>185</v>
      </c>
      <c r="B186" s="21">
        <v>30056</v>
      </c>
      <c r="C186" s="21" t="s">
        <v>234</v>
      </c>
    </row>
    <row r="187" spans="1:3" ht="14.25" customHeight="1" x14ac:dyDescent="0.35">
      <c r="A187" s="21">
        <f>SUBTOTAL(2,INDEX(customer[کد],1):customer[[#This Row],[کد]])</f>
        <v>186</v>
      </c>
      <c r="B187" s="21">
        <v>30057</v>
      </c>
      <c r="C187" s="21" t="s">
        <v>235</v>
      </c>
    </row>
    <row r="188" spans="1:3" ht="14.25" customHeight="1" x14ac:dyDescent="0.35">
      <c r="A188" s="21">
        <f>SUBTOTAL(2,INDEX(customer[کد],1):customer[[#This Row],[کد]])</f>
        <v>187</v>
      </c>
      <c r="B188" s="21">
        <v>30058</v>
      </c>
      <c r="C188" s="21" t="s">
        <v>236</v>
      </c>
    </row>
    <row r="189" spans="1:3" ht="14.25" customHeight="1" x14ac:dyDescent="0.35">
      <c r="A189" s="21">
        <f>SUBTOTAL(2,INDEX(customer[کد],1):customer[[#This Row],[کد]])</f>
        <v>188</v>
      </c>
      <c r="B189" s="21">
        <v>30059</v>
      </c>
      <c r="C189" s="21" t="s">
        <v>237</v>
      </c>
    </row>
    <row r="190" spans="1:3" ht="14.25" customHeight="1" x14ac:dyDescent="0.35">
      <c r="A190" s="21">
        <f>SUBTOTAL(2,INDEX(customer[کد],1):customer[[#This Row],[کد]])</f>
        <v>189</v>
      </c>
      <c r="B190" s="21">
        <v>30060</v>
      </c>
      <c r="C190" s="21" t="s">
        <v>238</v>
      </c>
    </row>
    <row r="191" spans="1:3" ht="14.25" customHeight="1" x14ac:dyDescent="0.35">
      <c r="A191" s="21">
        <f>SUBTOTAL(2,INDEX(customer[کد],1):customer[[#This Row],[کد]])</f>
        <v>190</v>
      </c>
      <c r="B191" s="21">
        <v>30061</v>
      </c>
      <c r="C191" s="21" t="s">
        <v>239</v>
      </c>
    </row>
    <row r="192" spans="1:3" ht="14.25" customHeight="1" x14ac:dyDescent="0.35">
      <c r="A192" s="21">
        <f>SUBTOTAL(2,INDEX(customer[کد],1):customer[[#This Row],[کد]])</f>
        <v>191</v>
      </c>
      <c r="B192" s="21">
        <v>30062</v>
      </c>
      <c r="C192" s="21" t="s">
        <v>240</v>
      </c>
    </row>
    <row r="193" spans="1:3" ht="14.25" customHeight="1" x14ac:dyDescent="0.35">
      <c r="A193" s="21">
        <f>SUBTOTAL(2,INDEX(customer[کد],1):customer[[#This Row],[کد]])</f>
        <v>192</v>
      </c>
      <c r="B193" s="21">
        <v>30063</v>
      </c>
      <c r="C193" s="21" t="s">
        <v>241</v>
      </c>
    </row>
    <row r="194" spans="1:3" ht="14.25" customHeight="1" x14ac:dyDescent="0.35">
      <c r="A194" s="21">
        <f>SUBTOTAL(2,INDEX(customer[کد],1):customer[[#This Row],[کد]])</f>
        <v>193</v>
      </c>
      <c r="B194" s="21">
        <v>30064</v>
      </c>
      <c r="C194" s="21" t="s">
        <v>242</v>
      </c>
    </row>
    <row r="195" spans="1:3" ht="14.25" customHeight="1" x14ac:dyDescent="0.35">
      <c r="A195" s="21">
        <f>SUBTOTAL(2,INDEX(customer[کد],1):customer[[#This Row],[کد]])</f>
        <v>194</v>
      </c>
      <c r="B195" s="21">
        <v>30065</v>
      </c>
      <c r="C195" s="21" t="s">
        <v>243</v>
      </c>
    </row>
    <row r="196" spans="1:3" ht="14.25" customHeight="1" x14ac:dyDescent="0.35">
      <c r="A196" s="21">
        <f>SUBTOTAL(2,INDEX(customer[کد],1):customer[[#This Row],[کد]])</f>
        <v>195</v>
      </c>
      <c r="B196" s="21">
        <v>30066</v>
      </c>
      <c r="C196" s="21" t="s">
        <v>244</v>
      </c>
    </row>
    <row r="197" spans="1:3" ht="14.25" customHeight="1" x14ac:dyDescent="0.35">
      <c r="A197" s="21">
        <f>SUBTOTAL(2,INDEX(customer[کد],1):customer[[#This Row],[کد]])</f>
        <v>196</v>
      </c>
      <c r="B197" s="21">
        <v>30067</v>
      </c>
      <c r="C197" s="21" t="s">
        <v>245</v>
      </c>
    </row>
    <row r="198" spans="1:3" ht="14.25" customHeight="1" x14ac:dyDescent="0.35">
      <c r="A198" s="21">
        <f>SUBTOTAL(2,INDEX(customer[کد],1):customer[[#This Row],[کد]])</f>
        <v>197</v>
      </c>
      <c r="B198" s="21">
        <v>30068</v>
      </c>
      <c r="C198" s="21" t="s">
        <v>246</v>
      </c>
    </row>
    <row r="199" spans="1:3" ht="14.25" customHeight="1" x14ac:dyDescent="0.35">
      <c r="A199" s="21">
        <f>SUBTOTAL(2,INDEX(customer[کد],1):customer[[#This Row],[کد]])</f>
        <v>198</v>
      </c>
      <c r="B199" s="21">
        <v>30069</v>
      </c>
      <c r="C199" s="21" t="s">
        <v>247</v>
      </c>
    </row>
    <row r="200" spans="1:3" ht="14.25" customHeight="1" x14ac:dyDescent="0.35">
      <c r="A200" s="21">
        <f>SUBTOTAL(2,INDEX(customer[کد],1):customer[[#This Row],[کد]])</f>
        <v>199</v>
      </c>
      <c r="B200" s="21">
        <v>30070</v>
      </c>
      <c r="C200" s="21" t="s">
        <v>248</v>
      </c>
    </row>
    <row r="201" spans="1:3" ht="14.25" customHeight="1" x14ac:dyDescent="0.35">
      <c r="A201" s="21">
        <f>SUBTOTAL(2,INDEX(customer[کد],1):customer[[#This Row],[کد]])</f>
        <v>200</v>
      </c>
      <c r="B201" s="21">
        <v>30071</v>
      </c>
      <c r="C201" s="21" t="s">
        <v>249</v>
      </c>
    </row>
    <row r="202" spans="1:3" ht="14.25" customHeight="1" x14ac:dyDescent="0.35">
      <c r="A202" s="21">
        <f>SUBTOTAL(2,INDEX(customer[کد],1):customer[[#This Row],[کد]])</f>
        <v>201</v>
      </c>
      <c r="B202" s="21">
        <v>30072</v>
      </c>
      <c r="C202" s="21" t="s">
        <v>250</v>
      </c>
    </row>
    <row r="203" spans="1:3" ht="14.25" customHeight="1" x14ac:dyDescent="0.35">
      <c r="A203" s="21">
        <f>SUBTOTAL(2,INDEX(customer[کد],1):customer[[#This Row],[کد]])</f>
        <v>202</v>
      </c>
      <c r="B203" s="21">
        <v>30073</v>
      </c>
      <c r="C203" s="21" t="s">
        <v>251</v>
      </c>
    </row>
    <row r="204" spans="1:3" ht="14.25" customHeight="1" x14ac:dyDescent="0.35">
      <c r="A204" s="21">
        <f>SUBTOTAL(2,INDEX(customer[کد],1):customer[[#This Row],[کد]])</f>
        <v>203</v>
      </c>
      <c r="B204" s="21">
        <v>30074</v>
      </c>
      <c r="C204" s="21" t="s">
        <v>252</v>
      </c>
    </row>
    <row r="205" spans="1:3" ht="14.25" customHeight="1" x14ac:dyDescent="0.35">
      <c r="A205" s="21">
        <f>SUBTOTAL(2,INDEX(customer[کد],1):customer[[#This Row],[کد]])</f>
        <v>204</v>
      </c>
      <c r="B205" s="21">
        <v>30075</v>
      </c>
      <c r="C205" s="21" t="s">
        <v>253</v>
      </c>
    </row>
    <row r="206" spans="1:3" ht="14.25" customHeight="1" x14ac:dyDescent="0.35">
      <c r="A206" s="21">
        <f>SUBTOTAL(2,INDEX(customer[کد],1):customer[[#This Row],[کد]])</f>
        <v>205</v>
      </c>
      <c r="B206" s="21">
        <v>30076</v>
      </c>
      <c r="C206" s="21" t="s">
        <v>254</v>
      </c>
    </row>
    <row r="207" spans="1:3" ht="14.25" customHeight="1" x14ac:dyDescent="0.35">
      <c r="A207" s="21">
        <f>SUBTOTAL(2,INDEX(customer[کد],1):customer[[#This Row],[کد]])</f>
        <v>206</v>
      </c>
      <c r="B207" s="21">
        <v>30077</v>
      </c>
      <c r="C207" s="21" t="s">
        <v>255</v>
      </c>
    </row>
    <row r="208" spans="1:3" ht="14.25" customHeight="1" x14ac:dyDescent="0.35">
      <c r="A208" s="21">
        <f>SUBTOTAL(2,INDEX(customer[کد],1):customer[[#This Row],[کد]])</f>
        <v>207</v>
      </c>
      <c r="B208" s="21">
        <v>30078</v>
      </c>
      <c r="C208" s="21" t="s">
        <v>256</v>
      </c>
    </row>
    <row r="209" spans="1:3" ht="14.25" customHeight="1" x14ac:dyDescent="0.35">
      <c r="A209" s="21">
        <f>SUBTOTAL(2,INDEX(customer[کد],1):customer[[#This Row],[کد]])</f>
        <v>208</v>
      </c>
      <c r="B209" s="21">
        <v>30079</v>
      </c>
      <c r="C209" s="21" t="s">
        <v>257</v>
      </c>
    </row>
    <row r="210" spans="1:3" ht="14.25" customHeight="1" x14ac:dyDescent="0.35">
      <c r="A210" s="21">
        <f>SUBTOTAL(2,INDEX(customer[کد],1):customer[[#This Row],[کد]])</f>
        <v>209</v>
      </c>
      <c r="B210" s="21">
        <v>30080</v>
      </c>
      <c r="C210" s="21" t="s">
        <v>258</v>
      </c>
    </row>
    <row r="211" spans="1:3" ht="14.25" customHeight="1" x14ac:dyDescent="0.35">
      <c r="A211" s="21">
        <f>SUBTOTAL(2,INDEX(customer[کد],1):customer[[#This Row],[کد]])</f>
        <v>210</v>
      </c>
      <c r="B211" s="21">
        <v>30081</v>
      </c>
      <c r="C211" s="21" t="s">
        <v>259</v>
      </c>
    </row>
    <row r="212" spans="1:3" ht="14.25" customHeight="1" x14ac:dyDescent="0.35">
      <c r="A212" s="21">
        <f>SUBTOTAL(2,INDEX(customer[کد],1):customer[[#This Row],[کد]])</f>
        <v>211</v>
      </c>
      <c r="B212" s="21">
        <v>30082</v>
      </c>
      <c r="C212" s="21" t="s">
        <v>260</v>
      </c>
    </row>
    <row r="213" spans="1:3" ht="14.25" customHeight="1" x14ac:dyDescent="0.35">
      <c r="A213" s="21">
        <f>SUBTOTAL(2,INDEX(customer[کد],1):customer[[#This Row],[کد]])</f>
        <v>212</v>
      </c>
      <c r="B213" s="21">
        <v>30084</v>
      </c>
      <c r="C213" s="21" t="s">
        <v>261</v>
      </c>
    </row>
    <row r="214" spans="1:3" ht="14.25" customHeight="1" x14ac:dyDescent="0.35">
      <c r="A214" s="21">
        <f>SUBTOTAL(2,INDEX(customer[کد],1):customer[[#This Row],[کد]])</f>
        <v>213</v>
      </c>
      <c r="B214" s="21">
        <v>30085</v>
      </c>
      <c r="C214" s="21" t="s">
        <v>262</v>
      </c>
    </row>
    <row r="215" spans="1:3" ht="14.25" customHeight="1" x14ac:dyDescent="0.35">
      <c r="A215" s="21">
        <f>SUBTOTAL(2,INDEX(customer[کد],1):customer[[#This Row],[کد]])</f>
        <v>214</v>
      </c>
      <c r="B215" s="21">
        <v>30086</v>
      </c>
      <c r="C215" s="21" t="s">
        <v>263</v>
      </c>
    </row>
    <row r="216" spans="1:3" ht="14.25" customHeight="1" x14ac:dyDescent="0.35">
      <c r="A216" s="21">
        <f>SUBTOTAL(2,INDEX(customer[کد],1):customer[[#This Row],[کد]])</f>
        <v>215</v>
      </c>
      <c r="B216" s="21">
        <v>30087</v>
      </c>
      <c r="C216" s="21" t="s">
        <v>264</v>
      </c>
    </row>
    <row r="217" spans="1:3" ht="14.25" customHeight="1" x14ac:dyDescent="0.35">
      <c r="A217" s="21">
        <f>SUBTOTAL(2,INDEX(customer[کد],1):customer[[#This Row],[کد]])</f>
        <v>216</v>
      </c>
      <c r="B217" s="21">
        <v>30088</v>
      </c>
      <c r="C217" s="21" t="s">
        <v>265</v>
      </c>
    </row>
    <row r="218" spans="1:3" ht="14.25" customHeight="1" x14ac:dyDescent="0.35">
      <c r="A218" s="21">
        <f>SUBTOTAL(2,INDEX(customer[کد],1):customer[[#This Row],[کد]])</f>
        <v>217</v>
      </c>
      <c r="B218" s="21">
        <v>30089</v>
      </c>
      <c r="C218" s="21" t="s">
        <v>266</v>
      </c>
    </row>
    <row r="219" spans="1:3" ht="14.25" customHeight="1" x14ac:dyDescent="0.35">
      <c r="A219" s="21">
        <f>SUBTOTAL(2,INDEX(customer[کد],1):customer[[#This Row],[کد]])</f>
        <v>218</v>
      </c>
      <c r="B219" s="21">
        <v>30090</v>
      </c>
      <c r="C219" s="21" t="s">
        <v>267</v>
      </c>
    </row>
    <row r="220" spans="1:3" ht="14.25" customHeight="1" x14ac:dyDescent="0.35">
      <c r="A220" s="21">
        <f>SUBTOTAL(2,INDEX(customer[کد],1):customer[[#This Row],[کد]])</f>
        <v>219</v>
      </c>
      <c r="B220" s="21">
        <v>30091</v>
      </c>
      <c r="C220" s="21" t="s">
        <v>268</v>
      </c>
    </row>
    <row r="221" spans="1:3" ht="14.25" customHeight="1" x14ac:dyDescent="0.35">
      <c r="A221" s="21">
        <f>SUBTOTAL(2,INDEX(customer[کد],1):customer[[#This Row],[کد]])</f>
        <v>220</v>
      </c>
      <c r="B221" s="21">
        <v>30092</v>
      </c>
      <c r="C221" s="21" t="s">
        <v>269</v>
      </c>
    </row>
    <row r="222" spans="1:3" ht="14.25" customHeight="1" x14ac:dyDescent="0.35">
      <c r="A222" s="21">
        <f>SUBTOTAL(2,INDEX(customer[کد],1):customer[[#This Row],[کد]])</f>
        <v>221</v>
      </c>
      <c r="B222" s="21">
        <v>30093</v>
      </c>
      <c r="C222" s="21" t="s">
        <v>270</v>
      </c>
    </row>
    <row r="223" spans="1:3" ht="14.25" customHeight="1" x14ac:dyDescent="0.35">
      <c r="A223" s="21">
        <f>SUBTOTAL(2,INDEX(customer[کد],1):customer[[#This Row],[کد]])</f>
        <v>222</v>
      </c>
      <c r="B223" s="21">
        <v>30094</v>
      </c>
      <c r="C223" s="21" t="s">
        <v>271</v>
      </c>
    </row>
    <row r="224" spans="1:3" ht="14.25" customHeight="1" x14ac:dyDescent="0.35">
      <c r="A224" s="21">
        <f>SUBTOTAL(2,INDEX(customer[کد],1):customer[[#This Row],[کد]])</f>
        <v>223</v>
      </c>
      <c r="B224" s="21">
        <v>30095</v>
      </c>
      <c r="C224" s="21" t="s">
        <v>272</v>
      </c>
    </row>
    <row r="225" spans="1:3" ht="14.25" customHeight="1" x14ac:dyDescent="0.35">
      <c r="A225" s="21">
        <f>SUBTOTAL(2,INDEX(customer[کد],1):customer[[#This Row],[کد]])</f>
        <v>224</v>
      </c>
      <c r="B225" s="21">
        <v>30096</v>
      </c>
      <c r="C225" s="21" t="s">
        <v>273</v>
      </c>
    </row>
    <row r="226" spans="1:3" ht="14.25" customHeight="1" x14ac:dyDescent="0.35">
      <c r="A226" s="21">
        <f>SUBTOTAL(2,INDEX(customer[کد],1):customer[[#This Row],[کد]])</f>
        <v>225</v>
      </c>
      <c r="B226" s="21">
        <v>30097</v>
      </c>
      <c r="C226" s="21" t="s">
        <v>274</v>
      </c>
    </row>
    <row r="227" spans="1:3" ht="14.25" customHeight="1" x14ac:dyDescent="0.35">
      <c r="A227" s="21">
        <f>SUBTOTAL(2,INDEX(customer[کد],1):customer[[#This Row],[کد]])</f>
        <v>226</v>
      </c>
      <c r="B227" s="21">
        <v>30098</v>
      </c>
      <c r="C227" s="21" t="s">
        <v>275</v>
      </c>
    </row>
    <row r="228" spans="1:3" ht="14.25" customHeight="1" x14ac:dyDescent="0.35">
      <c r="A228" s="21">
        <f>SUBTOTAL(2,INDEX(customer[کد],1):customer[[#This Row],[کد]])</f>
        <v>227</v>
      </c>
      <c r="B228" s="21">
        <v>30099</v>
      </c>
      <c r="C228" s="21" t="s">
        <v>276</v>
      </c>
    </row>
    <row r="229" spans="1:3" ht="14.25" customHeight="1" x14ac:dyDescent="0.35">
      <c r="A229" s="21">
        <f>SUBTOTAL(2,INDEX(customer[کد],1):customer[[#This Row],[کد]])</f>
        <v>228</v>
      </c>
      <c r="B229" s="21">
        <v>30100</v>
      </c>
      <c r="C229" s="21" t="s">
        <v>277</v>
      </c>
    </row>
    <row r="230" spans="1:3" ht="14.25" customHeight="1" x14ac:dyDescent="0.35">
      <c r="A230" s="21">
        <f>SUBTOTAL(2,INDEX(customer[کد],1):customer[[#This Row],[کد]])</f>
        <v>229</v>
      </c>
      <c r="B230" s="21">
        <v>30101</v>
      </c>
      <c r="C230" s="21" t="s">
        <v>278</v>
      </c>
    </row>
    <row r="231" spans="1:3" ht="14.25" customHeight="1" x14ac:dyDescent="0.35">
      <c r="A231" s="21">
        <f>SUBTOTAL(2,INDEX(customer[کد],1):customer[[#This Row],[کد]])</f>
        <v>230</v>
      </c>
      <c r="B231" s="21">
        <v>30102</v>
      </c>
      <c r="C231" s="21" t="s">
        <v>279</v>
      </c>
    </row>
    <row r="232" spans="1:3" ht="14.25" customHeight="1" x14ac:dyDescent="0.35">
      <c r="A232" s="21">
        <f>SUBTOTAL(2,INDEX(customer[کد],1):customer[[#This Row],[کد]])</f>
        <v>231</v>
      </c>
      <c r="B232" s="21">
        <v>30103</v>
      </c>
      <c r="C232" s="21" t="s">
        <v>280</v>
      </c>
    </row>
    <row r="233" spans="1:3" ht="14.25" customHeight="1" x14ac:dyDescent="0.35">
      <c r="A233" s="21">
        <f>SUBTOTAL(2,INDEX(customer[کد],1):customer[[#This Row],[کد]])</f>
        <v>232</v>
      </c>
      <c r="B233" s="21">
        <v>30104</v>
      </c>
      <c r="C233" s="21" t="s">
        <v>281</v>
      </c>
    </row>
    <row r="234" spans="1:3" ht="14.25" customHeight="1" x14ac:dyDescent="0.35">
      <c r="A234" s="21">
        <f>SUBTOTAL(2,INDEX(customer[کد],1):customer[[#This Row],[کد]])</f>
        <v>233</v>
      </c>
      <c r="B234" s="21">
        <v>30105</v>
      </c>
      <c r="C234" s="21" t="s">
        <v>282</v>
      </c>
    </row>
    <row r="235" spans="1:3" ht="14.25" customHeight="1" x14ac:dyDescent="0.35">
      <c r="A235" s="21">
        <f>SUBTOTAL(2,INDEX(customer[کد],1):customer[[#This Row],[کد]])</f>
        <v>234</v>
      </c>
      <c r="B235" s="21">
        <v>30106</v>
      </c>
      <c r="C235" s="21" t="s">
        <v>283</v>
      </c>
    </row>
    <row r="236" spans="1:3" ht="14.25" customHeight="1" x14ac:dyDescent="0.35">
      <c r="A236" s="21">
        <f>SUBTOTAL(2,INDEX(customer[کد],1):customer[[#This Row],[کد]])</f>
        <v>235</v>
      </c>
      <c r="B236" s="21">
        <v>30107</v>
      </c>
      <c r="C236" s="21" t="s">
        <v>284</v>
      </c>
    </row>
    <row r="237" spans="1:3" ht="14.25" customHeight="1" x14ac:dyDescent="0.35">
      <c r="A237" s="21">
        <f>SUBTOTAL(2,INDEX(customer[کد],1):customer[[#This Row],[کد]])</f>
        <v>236</v>
      </c>
      <c r="B237" s="21">
        <v>30108</v>
      </c>
      <c r="C237" s="21" t="s">
        <v>285</v>
      </c>
    </row>
    <row r="238" spans="1:3" ht="14.25" customHeight="1" x14ac:dyDescent="0.35">
      <c r="A238" s="21">
        <f>SUBTOTAL(2,INDEX(customer[کد],1):customer[[#This Row],[کد]])</f>
        <v>237</v>
      </c>
      <c r="B238" s="21">
        <v>30109</v>
      </c>
      <c r="C238" s="21" t="s">
        <v>286</v>
      </c>
    </row>
    <row r="239" spans="1:3" ht="14.25" customHeight="1" x14ac:dyDescent="0.35">
      <c r="A239" s="21">
        <f>SUBTOTAL(2,INDEX(customer[کد],1):customer[[#This Row],[کد]])</f>
        <v>238</v>
      </c>
      <c r="B239" s="21">
        <v>30110</v>
      </c>
      <c r="C239" s="21" t="s">
        <v>287</v>
      </c>
    </row>
    <row r="240" spans="1:3" ht="14.25" customHeight="1" x14ac:dyDescent="0.35">
      <c r="A240" s="21">
        <f>SUBTOTAL(2,INDEX(customer[کد],1):customer[[#This Row],[کد]])</f>
        <v>239</v>
      </c>
      <c r="B240" s="21">
        <v>30111</v>
      </c>
      <c r="C240" s="21" t="s">
        <v>288</v>
      </c>
    </row>
    <row r="241" spans="1:3" ht="14.25" customHeight="1" x14ac:dyDescent="0.35">
      <c r="A241" s="21">
        <f>SUBTOTAL(2,INDEX(customer[کد],1):customer[[#This Row],[کد]])</f>
        <v>240</v>
      </c>
      <c r="B241" s="21">
        <v>30112</v>
      </c>
      <c r="C241" s="21" t="s">
        <v>289</v>
      </c>
    </row>
    <row r="242" spans="1:3" ht="14.25" customHeight="1" x14ac:dyDescent="0.35">
      <c r="A242" s="21">
        <f>SUBTOTAL(2,INDEX(customer[کد],1):customer[[#This Row],[کد]])</f>
        <v>241</v>
      </c>
      <c r="B242" s="21">
        <v>30113</v>
      </c>
      <c r="C242" s="21" t="s">
        <v>290</v>
      </c>
    </row>
    <row r="243" spans="1:3" ht="14.25" customHeight="1" x14ac:dyDescent="0.35">
      <c r="A243" s="21">
        <f>SUBTOTAL(2,INDEX(customer[کد],1):customer[[#This Row],[کد]])</f>
        <v>242</v>
      </c>
      <c r="B243" s="21">
        <v>30114</v>
      </c>
      <c r="C243" s="21" t="s">
        <v>291</v>
      </c>
    </row>
    <row r="244" spans="1:3" ht="14.25" customHeight="1" x14ac:dyDescent="0.35">
      <c r="A244" s="21">
        <f>SUBTOTAL(2,INDEX(customer[کد],1):customer[[#This Row],[کد]])</f>
        <v>243</v>
      </c>
      <c r="B244" s="21">
        <v>30115</v>
      </c>
      <c r="C244" s="21" t="s">
        <v>292</v>
      </c>
    </row>
    <row r="245" spans="1:3" ht="14.25" customHeight="1" x14ac:dyDescent="0.35">
      <c r="A245" s="21">
        <f>SUBTOTAL(2,INDEX(customer[کد],1):customer[[#This Row],[کد]])</f>
        <v>244</v>
      </c>
      <c r="B245" s="21">
        <v>30116</v>
      </c>
      <c r="C245" s="21" t="s">
        <v>293</v>
      </c>
    </row>
    <row r="246" spans="1:3" ht="14.25" customHeight="1" x14ac:dyDescent="0.35">
      <c r="A246" s="21">
        <f>SUBTOTAL(2,INDEX(customer[کد],1):customer[[#This Row],[کد]])</f>
        <v>245</v>
      </c>
      <c r="B246" s="21">
        <v>30117</v>
      </c>
      <c r="C246" s="21" t="s">
        <v>294</v>
      </c>
    </row>
    <row r="247" spans="1:3" ht="14.25" customHeight="1" x14ac:dyDescent="0.35">
      <c r="A247" s="21">
        <f>SUBTOTAL(2,INDEX(customer[کد],1):customer[[#This Row],[کد]])</f>
        <v>246</v>
      </c>
      <c r="B247" s="21">
        <v>30118</v>
      </c>
      <c r="C247" s="21" t="s">
        <v>295</v>
      </c>
    </row>
    <row r="248" spans="1:3" ht="14.25" customHeight="1" x14ac:dyDescent="0.35">
      <c r="A248" s="21">
        <f>SUBTOTAL(2,INDEX(customer[کد],1):customer[[#This Row],[کد]])</f>
        <v>247</v>
      </c>
      <c r="B248" s="21">
        <v>30119</v>
      </c>
      <c r="C248" s="21" t="s">
        <v>296</v>
      </c>
    </row>
    <row r="249" spans="1:3" ht="14.25" customHeight="1" x14ac:dyDescent="0.35">
      <c r="A249" s="21">
        <f>SUBTOTAL(2,INDEX(customer[کد],1):customer[[#This Row],[کد]])</f>
        <v>248</v>
      </c>
      <c r="B249" s="21">
        <v>30120</v>
      </c>
      <c r="C249" s="21" t="s">
        <v>297</v>
      </c>
    </row>
    <row r="250" spans="1:3" ht="14.25" customHeight="1" x14ac:dyDescent="0.35">
      <c r="A250" s="21">
        <f>SUBTOTAL(2,INDEX(customer[کد],1):customer[[#This Row],[کد]])</f>
        <v>249</v>
      </c>
      <c r="B250" s="21">
        <v>30121</v>
      </c>
      <c r="C250" s="21" t="s">
        <v>298</v>
      </c>
    </row>
    <row r="251" spans="1:3" ht="14.25" customHeight="1" x14ac:dyDescent="0.35">
      <c r="A251" s="21">
        <f>SUBTOTAL(2,INDEX(customer[کد],1):customer[[#This Row],[کد]])</f>
        <v>250</v>
      </c>
      <c r="B251" s="21">
        <v>30122</v>
      </c>
      <c r="C251" s="21" t="s">
        <v>299</v>
      </c>
    </row>
    <row r="252" spans="1:3" ht="14.25" customHeight="1" x14ac:dyDescent="0.35">
      <c r="A252" s="21">
        <f>SUBTOTAL(2,INDEX(customer[کد],1):customer[[#This Row],[کد]])</f>
        <v>251</v>
      </c>
      <c r="B252" s="21">
        <v>30123</v>
      </c>
      <c r="C252" s="21" t="s">
        <v>300</v>
      </c>
    </row>
    <row r="253" spans="1:3" ht="14.25" customHeight="1" x14ac:dyDescent="0.35">
      <c r="A253" s="21">
        <f>SUBTOTAL(2,INDEX(customer[کد],1):customer[[#This Row],[کد]])</f>
        <v>252</v>
      </c>
      <c r="B253" s="21">
        <v>30124</v>
      </c>
      <c r="C253" s="21" t="s">
        <v>301</v>
      </c>
    </row>
    <row r="254" spans="1:3" ht="14.25" customHeight="1" x14ac:dyDescent="0.35">
      <c r="A254" s="21">
        <f>SUBTOTAL(2,INDEX(customer[کد],1):customer[[#This Row],[کد]])</f>
        <v>253</v>
      </c>
      <c r="B254" s="21">
        <v>30125</v>
      </c>
      <c r="C254" s="21" t="s">
        <v>302</v>
      </c>
    </row>
    <row r="255" spans="1:3" ht="14.25" customHeight="1" x14ac:dyDescent="0.35">
      <c r="A255" s="21">
        <f>SUBTOTAL(2,INDEX(customer[کد],1):customer[[#This Row],[کد]])</f>
        <v>254</v>
      </c>
      <c r="B255" s="21">
        <v>30126</v>
      </c>
      <c r="C255" s="21" t="s">
        <v>303</v>
      </c>
    </row>
    <row r="256" spans="1:3" ht="14.25" customHeight="1" x14ac:dyDescent="0.35">
      <c r="A256" s="21">
        <f>SUBTOTAL(2,INDEX(customer[کد],1):customer[[#This Row],[کد]])</f>
        <v>255</v>
      </c>
      <c r="B256" s="21">
        <v>30127</v>
      </c>
      <c r="C256" s="21" t="s">
        <v>304</v>
      </c>
    </row>
    <row r="257" spans="1:3" ht="14.25" customHeight="1" x14ac:dyDescent="0.35">
      <c r="A257" s="21">
        <f>SUBTOTAL(2,INDEX(customer[کد],1):customer[[#This Row],[کد]])</f>
        <v>256</v>
      </c>
      <c r="B257" s="21">
        <v>30128</v>
      </c>
      <c r="C257" s="21" t="s">
        <v>305</v>
      </c>
    </row>
    <row r="258" spans="1:3" ht="14.25" customHeight="1" x14ac:dyDescent="0.35">
      <c r="A258" s="21">
        <f>SUBTOTAL(2,INDEX(customer[کد],1):customer[[#This Row],[کد]])</f>
        <v>257</v>
      </c>
      <c r="B258" s="21">
        <v>30129</v>
      </c>
      <c r="C258" s="21" t="s">
        <v>306</v>
      </c>
    </row>
    <row r="259" spans="1:3" ht="14.25" customHeight="1" x14ac:dyDescent="0.35">
      <c r="A259" s="21">
        <f>SUBTOTAL(2,INDEX(customer[کد],1):customer[[#This Row],[کد]])</f>
        <v>258</v>
      </c>
      <c r="B259" s="21">
        <v>30130</v>
      </c>
      <c r="C259" s="21" t="s">
        <v>307</v>
      </c>
    </row>
    <row r="260" spans="1:3" ht="14.25" customHeight="1" x14ac:dyDescent="0.35">
      <c r="A260" s="21">
        <f>SUBTOTAL(2,INDEX(customer[کد],1):customer[[#This Row],[کد]])</f>
        <v>259</v>
      </c>
      <c r="B260" s="21">
        <v>30131</v>
      </c>
      <c r="C260" s="21" t="s">
        <v>308</v>
      </c>
    </row>
    <row r="261" spans="1:3" ht="14.25" customHeight="1" x14ac:dyDescent="0.35">
      <c r="A261" s="21">
        <f>SUBTOTAL(2,INDEX(customer[کد],1):customer[[#This Row],[کد]])</f>
        <v>260</v>
      </c>
      <c r="B261" s="21">
        <v>30132</v>
      </c>
      <c r="C261" s="21" t="s">
        <v>309</v>
      </c>
    </row>
    <row r="262" spans="1:3" ht="14.25" customHeight="1" x14ac:dyDescent="0.35">
      <c r="A262" s="21">
        <f>SUBTOTAL(2,INDEX(customer[کد],1):customer[[#This Row],[کد]])</f>
        <v>261</v>
      </c>
      <c r="B262" s="21">
        <v>30133</v>
      </c>
      <c r="C262" s="21" t="s">
        <v>310</v>
      </c>
    </row>
    <row r="263" spans="1:3" ht="14.25" customHeight="1" x14ac:dyDescent="0.35">
      <c r="A263" s="21">
        <f>SUBTOTAL(2,INDEX(customer[کد],1):customer[[#This Row],[کد]])</f>
        <v>262</v>
      </c>
      <c r="B263" s="21">
        <v>30134</v>
      </c>
      <c r="C263" s="21" t="s">
        <v>311</v>
      </c>
    </row>
    <row r="264" spans="1:3" ht="14.25" customHeight="1" x14ac:dyDescent="0.35">
      <c r="A264" s="21">
        <f>SUBTOTAL(2,INDEX(customer[کد],1):customer[[#This Row],[کد]])</f>
        <v>263</v>
      </c>
      <c r="B264" s="21">
        <v>30135</v>
      </c>
      <c r="C264" s="21" t="s">
        <v>312</v>
      </c>
    </row>
    <row r="265" spans="1:3" ht="14.25" customHeight="1" x14ac:dyDescent="0.35">
      <c r="A265" s="21">
        <f>SUBTOTAL(2,INDEX(customer[کد],1):customer[[#This Row],[کد]])</f>
        <v>264</v>
      </c>
      <c r="B265" s="21">
        <v>30136</v>
      </c>
      <c r="C265" s="21" t="s">
        <v>313</v>
      </c>
    </row>
    <row r="266" spans="1:3" ht="14.25" customHeight="1" x14ac:dyDescent="0.35">
      <c r="A266" s="21">
        <f>SUBTOTAL(2,INDEX(customer[کد],1):customer[[#This Row],[کد]])</f>
        <v>265</v>
      </c>
      <c r="B266" s="21">
        <v>30137</v>
      </c>
      <c r="C266" s="21" t="s">
        <v>314</v>
      </c>
    </row>
    <row r="267" spans="1:3" ht="14.25" customHeight="1" x14ac:dyDescent="0.35">
      <c r="A267" s="21">
        <f>SUBTOTAL(2,INDEX(customer[کد],1):customer[[#This Row],[کد]])</f>
        <v>266</v>
      </c>
      <c r="B267" s="21">
        <v>30138</v>
      </c>
      <c r="C267" s="21" t="s">
        <v>315</v>
      </c>
    </row>
    <row r="268" spans="1:3" ht="14.25" customHeight="1" x14ac:dyDescent="0.35">
      <c r="A268" s="21">
        <f>SUBTOTAL(2,INDEX(customer[کد],1):customer[[#This Row],[کد]])</f>
        <v>267</v>
      </c>
      <c r="B268" s="21">
        <v>30139</v>
      </c>
      <c r="C268" s="21" t="s">
        <v>316</v>
      </c>
    </row>
    <row r="269" spans="1:3" ht="14.25" customHeight="1" x14ac:dyDescent="0.35">
      <c r="A269" s="21">
        <f>SUBTOTAL(2,INDEX(customer[کد],1):customer[[#This Row],[کد]])</f>
        <v>268</v>
      </c>
      <c r="B269" s="21">
        <v>30140</v>
      </c>
      <c r="C269" s="21" t="s">
        <v>317</v>
      </c>
    </row>
    <row r="270" spans="1:3" ht="14.25" customHeight="1" x14ac:dyDescent="0.35">
      <c r="A270" s="21">
        <f>SUBTOTAL(2,INDEX(customer[کد],1):customer[[#This Row],[کد]])</f>
        <v>269</v>
      </c>
      <c r="B270" s="21">
        <v>30141</v>
      </c>
      <c r="C270" s="21" t="s">
        <v>318</v>
      </c>
    </row>
    <row r="271" spans="1:3" ht="14.25" customHeight="1" x14ac:dyDescent="0.35">
      <c r="A271" s="21">
        <f>SUBTOTAL(2,INDEX(customer[کد],1):customer[[#This Row],[کد]])</f>
        <v>270</v>
      </c>
      <c r="B271" s="21">
        <v>30142</v>
      </c>
      <c r="C271" s="21" t="s">
        <v>319</v>
      </c>
    </row>
    <row r="272" spans="1:3" ht="14.25" customHeight="1" x14ac:dyDescent="0.35">
      <c r="A272" s="21">
        <f>SUBTOTAL(2,INDEX(customer[کد],1):customer[[#This Row],[کد]])</f>
        <v>271</v>
      </c>
      <c r="B272" s="21">
        <v>30143</v>
      </c>
      <c r="C272" s="21" t="s">
        <v>320</v>
      </c>
    </row>
    <row r="273" spans="1:3" ht="14.25" customHeight="1" x14ac:dyDescent="0.35">
      <c r="A273" s="21">
        <f>SUBTOTAL(2,INDEX(customer[کد],1):customer[[#This Row],[کد]])</f>
        <v>272</v>
      </c>
      <c r="B273" s="21">
        <v>30144</v>
      </c>
      <c r="C273" s="21" t="s">
        <v>321</v>
      </c>
    </row>
    <row r="274" spans="1:3" ht="14.25" customHeight="1" x14ac:dyDescent="0.35">
      <c r="A274" s="21">
        <f>SUBTOTAL(2,INDEX(customer[کد],1):customer[[#This Row],[کد]])</f>
        <v>273</v>
      </c>
      <c r="B274" s="21">
        <v>30145</v>
      </c>
      <c r="C274" s="21" t="s">
        <v>322</v>
      </c>
    </row>
    <row r="275" spans="1:3" ht="14.25" customHeight="1" x14ac:dyDescent="0.35">
      <c r="A275" s="21">
        <f>SUBTOTAL(2,INDEX(customer[کد],1):customer[[#This Row],[کد]])</f>
        <v>274</v>
      </c>
      <c r="B275" s="21">
        <v>30146</v>
      </c>
      <c r="C275" s="21" t="s">
        <v>323</v>
      </c>
    </row>
    <row r="276" spans="1:3" ht="14.25" customHeight="1" x14ac:dyDescent="0.35">
      <c r="A276" s="21">
        <f>SUBTOTAL(2,INDEX(customer[کد],1):customer[[#This Row],[کد]])</f>
        <v>275</v>
      </c>
      <c r="B276" s="21">
        <v>30147</v>
      </c>
      <c r="C276" s="21" t="s">
        <v>324</v>
      </c>
    </row>
    <row r="277" spans="1:3" ht="14.25" customHeight="1" x14ac:dyDescent="0.35">
      <c r="A277" s="21">
        <f>SUBTOTAL(2,INDEX(customer[کد],1):customer[[#This Row],[کد]])</f>
        <v>276</v>
      </c>
      <c r="B277" s="21">
        <v>30148</v>
      </c>
      <c r="C277" s="21" t="s">
        <v>325</v>
      </c>
    </row>
    <row r="278" spans="1:3" ht="14.25" customHeight="1" x14ac:dyDescent="0.35">
      <c r="A278" s="21">
        <f>SUBTOTAL(2,INDEX(customer[کد],1):customer[[#This Row],[کد]])</f>
        <v>277</v>
      </c>
      <c r="B278" s="21">
        <v>30149</v>
      </c>
      <c r="C278" s="21" t="s">
        <v>326</v>
      </c>
    </row>
    <row r="279" spans="1:3" ht="14.25" customHeight="1" x14ac:dyDescent="0.35">
      <c r="A279" s="21">
        <f>SUBTOTAL(2,INDEX(customer[کد],1):customer[[#This Row],[کد]])</f>
        <v>278</v>
      </c>
      <c r="B279" s="21">
        <v>30150</v>
      </c>
      <c r="C279" s="21" t="s">
        <v>327</v>
      </c>
    </row>
    <row r="280" spans="1:3" ht="14.25" customHeight="1" x14ac:dyDescent="0.35">
      <c r="A280" s="21">
        <f>SUBTOTAL(2,INDEX(customer[کد],1):customer[[#This Row],[کد]])</f>
        <v>279</v>
      </c>
      <c r="B280" s="21">
        <v>30151</v>
      </c>
      <c r="C280" s="21" t="s">
        <v>328</v>
      </c>
    </row>
    <row r="281" spans="1:3" ht="14.25" customHeight="1" x14ac:dyDescent="0.35">
      <c r="A281" s="21">
        <f>SUBTOTAL(2,INDEX(customer[کد],1):customer[[#This Row],[کد]])</f>
        <v>280</v>
      </c>
      <c r="B281" s="21">
        <v>30152</v>
      </c>
      <c r="C281" s="21" t="s">
        <v>329</v>
      </c>
    </row>
    <row r="282" spans="1:3" ht="14.25" customHeight="1" x14ac:dyDescent="0.35">
      <c r="A282" s="21">
        <f>SUBTOTAL(2,INDEX(customer[کد],1):customer[[#This Row],[کد]])</f>
        <v>281</v>
      </c>
      <c r="B282" s="21">
        <v>30153</v>
      </c>
      <c r="C282" s="21" t="s">
        <v>330</v>
      </c>
    </row>
    <row r="283" spans="1:3" ht="14.25" customHeight="1" x14ac:dyDescent="0.35">
      <c r="A283" s="21">
        <f>SUBTOTAL(2,INDEX(customer[کد],1):customer[[#This Row],[کد]])</f>
        <v>282</v>
      </c>
      <c r="B283" s="21">
        <v>30154</v>
      </c>
      <c r="C283" s="21" t="s">
        <v>331</v>
      </c>
    </row>
    <row r="284" spans="1:3" ht="14.25" customHeight="1" x14ac:dyDescent="0.35">
      <c r="A284" s="21">
        <f>SUBTOTAL(2,INDEX(customer[کد],1):customer[[#This Row],[کد]])</f>
        <v>283</v>
      </c>
      <c r="B284" s="21">
        <v>30155</v>
      </c>
      <c r="C284" s="21" t="s">
        <v>332</v>
      </c>
    </row>
    <row r="285" spans="1:3" ht="14.25" customHeight="1" x14ac:dyDescent="0.35">
      <c r="A285" s="21">
        <f>SUBTOTAL(2,INDEX(customer[کد],1):customer[[#This Row],[کد]])</f>
        <v>284</v>
      </c>
      <c r="B285" s="21">
        <v>30156</v>
      </c>
      <c r="C285" s="21" t="s">
        <v>333</v>
      </c>
    </row>
    <row r="286" spans="1:3" ht="14.25" customHeight="1" x14ac:dyDescent="0.35">
      <c r="A286" s="21">
        <f>SUBTOTAL(2,INDEX(customer[کد],1):customer[[#This Row],[کد]])</f>
        <v>285</v>
      </c>
      <c r="B286" s="21">
        <v>30157</v>
      </c>
      <c r="C286" s="21" t="s">
        <v>334</v>
      </c>
    </row>
    <row r="287" spans="1:3" ht="14.25" customHeight="1" x14ac:dyDescent="0.35">
      <c r="A287" s="21">
        <f>SUBTOTAL(2,INDEX(customer[کد],1):customer[[#This Row],[کد]])</f>
        <v>286</v>
      </c>
      <c r="B287" s="21">
        <v>30158</v>
      </c>
      <c r="C287" s="21" t="s">
        <v>335</v>
      </c>
    </row>
    <row r="288" spans="1:3" ht="14.25" customHeight="1" x14ac:dyDescent="0.35">
      <c r="A288" s="21">
        <f>SUBTOTAL(2,INDEX(customer[کد],1):customer[[#This Row],[کد]])</f>
        <v>287</v>
      </c>
      <c r="B288" s="21">
        <v>30159</v>
      </c>
      <c r="C288" s="21" t="s">
        <v>336</v>
      </c>
    </row>
    <row r="289" spans="1:3" ht="14.25" customHeight="1" x14ac:dyDescent="0.35">
      <c r="A289" s="21">
        <f>SUBTOTAL(2,INDEX(customer[کد],1):customer[[#This Row],[کد]])</f>
        <v>288</v>
      </c>
      <c r="B289" s="21">
        <v>30160</v>
      </c>
      <c r="C289" s="21" t="s">
        <v>337</v>
      </c>
    </row>
    <row r="290" spans="1:3" ht="14.25" customHeight="1" x14ac:dyDescent="0.35">
      <c r="A290" s="21">
        <f>SUBTOTAL(2,INDEX(customer[کد],1):customer[[#This Row],[کد]])</f>
        <v>289</v>
      </c>
      <c r="B290" s="21">
        <v>30161</v>
      </c>
      <c r="C290" s="21" t="s">
        <v>338</v>
      </c>
    </row>
    <row r="291" spans="1:3" ht="14.25" customHeight="1" x14ac:dyDescent="0.35">
      <c r="A291" s="21">
        <f>SUBTOTAL(2,INDEX(customer[کد],1):customer[[#This Row],[کد]])</f>
        <v>290</v>
      </c>
      <c r="B291" s="21">
        <v>30162</v>
      </c>
      <c r="C291" s="21" t="s">
        <v>339</v>
      </c>
    </row>
    <row r="292" spans="1:3" ht="14.25" customHeight="1" x14ac:dyDescent="0.35">
      <c r="A292" s="21">
        <f>SUBTOTAL(2,INDEX(customer[کد],1):customer[[#This Row],[کد]])</f>
        <v>291</v>
      </c>
      <c r="B292" s="21">
        <v>30163</v>
      </c>
      <c r="C292" s="21" t="s">
        <v>340</v>
      </c>
    </row>
    <row r="293" spans="1:3" ht="14.25" customHeight="1" x14ac:dyDescent="0.35">
      <c r="A293" s="21">
        <f>SUBTOTAL(2,INDEX(customer[کد],1):customer[[#This Row],[کد]])</f>
        <v>292</v>
      </c>
      <c r="B293" s="21">
        <v>30164</v>
      </c>
      <c r="C293" s="21" t="s">
        <v>341</v>
      </c>
    </row>
    <row r="294" spans="1:3" ht="14.25" customHeight="1" x14ac:dyDescent="0.35">
      <c r="A294" s="21">
        <f>SUBTOTAL(2,INDEX(customer[کد],1):customer[[#This Row],[کد]])</f>
        <v>293</v>
      </c>
      <c r="B294" s="21">
        <v>30165</v>
      </c>
      <c r="C294" s="21" t="s">
        <v>342</v>
      </c>
    </row>
    <row r="295" spans="1:3" ht="14.25" customHeight="1" x14ac:dyDescent="0.35">
      <c r="A295" s="21">
        <f>SUBTOTAL(2,INDEX(customer[کد],1):customer[[#This Row],[کد]])</f>
        <v>294</v>
      </c>
      <c r="B295" s="21">
        <v>30166</v>
      </c>
      <c r="C295" s="21" t="s">
        <v>343</v>
      </c>
    </row>
    <row r="296" spans="1:3" ht="14.25" customHeight="1" x14ac:dyDescent="0.35">
      <c r="A296" s="21">
        <f>SUBTOTAL(2,INDEX(customer[کد],1):customer[[#This Row],[کد]])</f>
        <v>295</v>
      </c>
      <c r="B296" s="21">
        <v>30167</v>
      </c>
      <c r="C296" s="21" t="s">
        <v>344</v>
      </c>
    </row>
    <row r="297" spans="1:3" ht="14.25" customHeight="1" x14ac:dyDescent="0.35">
      <c r="A297" s="21">
        <f>SUBTOTAL(2,INDEX(customer[کد],1):customer[[#This Row],[کد]])</f>
        <v>296</v>
      </c>
      <c r="B297" s="21">
        <v>30168</v>
      </c>
      <c r="C297" s="21" t="s">
        <v>345</v>
      </c>
    </row>
    <row r="298" spans="1:3" ht="14.25" customHeight="1" x14ac:dyDescent="0.35">
      <c r="A298" s="21">
        <f>SUBTOTAL(2,INDEX(customer[کد],1):customer[[#This Row],[کد]])</f>
        <v>297</v>
      </c>
      <c r="B298" s="21">
        <v>30169</v>
      </c>
      <c r="C298" s="21" t="s">
        <v>346</v>
      </c>
    </row>
    <row r="299" spans="1:3" ht="14.25" customHeight="1" x14ac:dyDescent="0.35">
      <c r="A299" s="21">
        <f>SUBTOTAL(2,INDEX(customer[کد],1):customer[[#This Row],[کد]])</f>
        <v>298</v>
      </c>
      <c r="B299" s="21">
        <v>30170</v>
      </c>
      <c r="C299" s="21" t="s">
        <v>347</v>
      </c>
    </row>
    <row r="300" spans="1:3" ht="14.25" customHeight="1" x14ac:dyDescent="0.35">
      <c r="A300" s="21">
        <f>SUBTOTAL(2,INDEX(customer[کد],1):customer[[#This Row],[کد]])</f>
        <v>299</v>
      </c>
      <c r="B300" s="21">
        <v>30171</v>
      </c>
      <c r="C300" s="21" t="s">
        <v>348</v>
      </c>
    </row>
    <row r="301" spans="1:3" ht="14.25" customHeight="1" x14ac:dyDescent="0.35">
      <c r="A301" s="21">
        <f>SUBTOTAL(2,INDEX(customer[کد],1):customer[[#This Row],[کد]])</f>
        <v>300</v>
      </c>
      <c r="B301" s="21">
        <v>30172</v>
      </c>
      <c r="C301" s="21" t="s">
        <v>349</v>
      </c>
    </row>
    <row r="302" spans="1:3" ht="14.25" customHeight="1" x14ac:dyDescent="0.35">
      <c r="A302" s="21">
        <f>SUBTOTAL(2,INDEX(customer[کد],1):customer[[#This Row],[کد]])</f>
        <v>301</v>
      </c>
      <c r="B302" s="21">
        <v>30173</v>
      </c>
      <c r="C302" s="21" t="s">
        <v>350</v>
      </c>
    </row>
    <row r="303" spans="1:3" ht="14.25" customHeight="1" x14ac:dyDescent="0.35">
      <c r="A303" s="21">
        <f>SUBTOTAL(2,INDEX(customer[کد],1):customer[[#This Row],[کد]])</f>
        <v>302</v>
      </c>
      <c r="B303" s="21">
        <v>30174</v>
      </c>
      <c r="C303" s="21" t="s">
        <v>351</v>
      </c>
    </row>
    <row r="304" spans="1:3" ht="14.25" customHeight="1" x14ac:dyDescent="0.35">
      <c r="A304" s="21">
        <f>SUBTOTAL(2,INDEX(customer[کد],1):customer[[#This Row],[کد]])</f>
        <v>303</v>
      </c>
      <c r="B304" s="21">
        <v>30175</v>
      </c>
      <c r="C304" s="21" t="s">
        <v>352</v>
      </c>
    </row>
    <row r="305" spans="1:3" ht="14.25" customHeight="1" x14ac:dyDescent="0.35">
      <c r="A305" s="21">
        <f>SUBTOTAL(2,INDEX(customer[کد],1):customer[[#This Row],[کد]])</f>
        <v>304</v>
      </c>
      <c r="B305" s="21">
        <v>30176</v>
      </c>
      <c r="C305" s="21" t="s">
        <v>353</v>
      </c>
    </row>
    <row r="306" spans="1:3" ht="14.25" customHeight="1" x14ac:dyDescent="0.35">
      <c r="A306" s="21">
        <f>SUBTOTAL(2,INDEX(customer[کد],1):customer[[#This Row],[کد]])</f>
        <v>305</v>
      </c>
      <c r="B306" s="21">
        <v>30177</v>
      </c>
      <c r="C306" s="21" t="s">
        <v>354</v>
      </c>
    </row>
    <row r="307" spans="1:3" ht="14.25" customHeight="1" x14ac:dyDescent="0.35">
      <c r="A307" s="21">
        <f>SUBTOTAL(2,INDEX(customer[کد],1):customer[[#This Row],[کد]])</f>
        <v>306</v>
      </c>
      <c r="B307" s="21">
        <v>30178</v>
      </c>
      <c r="C307" s="21" t="s">
        <v>355</v>
      </c>
    </row>
    <row r="308" spans="1:3" ht="14.25" customHeight="1" x14ac:dyDescent="0.35">
      <c r="A308" s="21">
        <f>SUBTOTAL(2,INDEX(customer[کد],1):customer[[#This Row],[کد]])</f>
        <v>307</v>
      </c>
      <c r="B308" s="21">
        <v>30179</v>
      </c>
      <c r="C308" s="21" t="s">
        <v>356</v>
      </c>
    </row>
    <row r="309" spans="1:3" ht="14.25" customHeight="1" x14ac:dyDescent="0.35">
      <c r="A309" s="21">
        <f>SUBTOTAL(2,INDEX(customer[کد],1):customer[[#This Row],[کد]])</f>
        <v>308</v>
      </c>
      <c r="B309" s="21">
        <v>30180</v>
      </c>
      <c r="C309" s="21" t="s">
        <v>357</v>
      </c>
    </row>
    <row r="310" spans="1:3" ht="14.25" customHeight="1" x14ac:dyDescent="0.35">
      <c r="A310" s="21">
        <f>SUBTOTAL(2,INDEX(customer[کد],1):customer[[#This Row],[کد]])</f>
        <v>309</v>
      </c>
      <c r="B310" s="21">
        <v>30181</v>
      </c>
      <c r="C310" s="21" t="s">
        <v>358</v>
      </c>
    </row>
    <row r="311" spans="1:3" ht="14.25" customHeight="1" x14ac:dyDescent="0.35">
      <c r="A311" s="21">
        <f>SUBTOTAL(2,INDEX(customer[کد],1):customer[[#This Row],[کد]])</f>
        <v>310</v>
      </c>
      <c r="B311" s="21">
        <v>30182</v>
      </c>
      <c r="C311" s="21" t="s">
        <v>359</v>
      </c>
    </row>
    <row r="312" spans="1:3" ht="14.25" customHeight="1" x14ac:dyDescent="0.35">
      <c r="A312" s="21">
        <f>SUBTOTAL(2,INDEX(customer[کد],1):customer[[#This Row],[کد]])</f>
        <v>311</v>
      </c>
      <c r="B312" s="21">
        <v>30183</v>
      </c>
      <c r="C312" s="21" t="s">
        <v>360</v>
      </c>
    </row>
    <row r="313" spans="1:3" ht="14.25" customHeight="1" x14ac:dyDescent="0.35">
      <c r="A313" s="21">
        <f>SUBTOTAL(2,INDEX(customer[کد],1):customer[[#This Row],[کد]])</f>
        <v>312</v>
      </c>
      <c r="B313" s="21">
        <v>30184</v>
      </c>
      <c r="C313" s="21" t="s">
        <v>361</v>
      </c>
    </row>
    <row r="314" spans="1:3" ht="14.25" customHeight="1" x14ac:dyDescent="0.35">
      <c r="A314" s="21">
        <f>SUBTOTAL(2,INDEX(customer[کد],1):customer[[#This Row],[کد]])</f>
        <v>313</v>
      </c>
      <c r="B314" s="21">
        <v>30185</v>
      </c>
      <c r="C314" s="21" t="s">
        <v>362</v>
      </c>
    </row>
    <row r="315" spans="1:3" ht="14.25" customHeight="1" x14ac:dyDescent="0.35">
      <c r="A315" s="21">
        <f>SUBTOTAL(2,INDEX(customer[کد],1):customer[[#This Row],[کد]])</f>
        <v>314</v>
      </c>
      <c r="B315" s="21">
        <v>30186</v>
      </c>
      <c r="C315" s="21" t="s">
        <v>363</v>
      </c>
    </row>
    <row r="316" spans="1:3" ht="14.25" customHeight="1" x14ac:dyDescent="0.35">
      <c r="A316" s="21">
        <f>SUBTOTAL(2,INDEX(customer[کد],1):customer[[#This Row],[کد]])</f>
        <v>315</v>
      </c>
      <c r="B316" s="21">
        <v>30187</v>
      </c>
      <c r="C316" s="21" t="s">
        <v>364</v>
      </c>
    </row>
    <row r="317" spans="1:3" ht="14.25" customHeight="1" x14ac:dyDescent="0.35">
      <c r="A317" s="21">
        <f>SUBTOTAL(2,INDEX(customer[کد],1):customer[[#This Row],[کد]])</f>
        <v>316</v>
      </c>
      <c r="B317" s="21">
        <v>30188</v>
      </c>
      <c r="C317" s="21" t="s">
        <v>365</v>
      </c>
    </row>
    <row r="318" spans="1:3" ht="14.25" customHeight="1" x14ac:dyDescent="0.35">
      <c r="A318" s="21">
        <f>SUBTOTAL(2,INDEX(customer[کد],1):customer[[#This Row],[کد]])</f>
        <v>317</v>
      </c>
      <c r="B318" s="21">
        <v>50000</v>
      </c>
      <c r="C318" s="21" t="s">
        <v>366</v>
      </c>
    </row>
    <row r="319" spans="1:3" ht="14.25" customHeight="1" x14ac:dyDescent="0.35">
      <c r="A319" s="21">
        <f>SUBTOTAL(2,INDEX(customer[کد],1):customer[[#This Row],[کد]])</f>
        <v>318</v>
      </c>
      <c r="B319" s="21">
        <v>50001</v>
      </c>
      <c r="C319" s="21" t="s">
        <v>367</v>
      </c>
    </row>
    <row r="320" spans="1:3" ht="14.25" customHeight="1" x14ac:dyDescent="0.35">
      <c r="A320" s="21">
        <f>SUBTOTAL(2,INDEX(customer[کد],1):customer[[#This Row],[کد]])</f>
        <v>319</v>
      </c>
      <c r="B320" s="21">
        <v>50002</v>
      </c>
      <c r="C320" s="21" t="s">
        <v>368</v>
      </c>
    </row>
    <row r="321" spans="1:3" ht="14.25" customHeight="1" x14ac:dyDescent="0.35">
      <c r="A321" s="21">
        <f>SUBTOTAL(2,INDEX(customer[کد],1):customer[[#This Row],[کد]])</f>
        <v>320</v>
      </c>
      <c r="B321" s="21">
        <v>50003</v>
      </c>
      <c r="C321" s="21" t="s">
        <v>369</v>
      </c>
    </row>
    <row r="322" spans="1:3" ht="14.25" customHeight="1" x14ac:dyDescent="0.35">
      <c r="A322" s="21">
        <f>SUBTOTAL(2,INDEX(customer[کد],1):customer[[#This Row],[کد]])</f>
        <v>321</v>
      </c>
      <c r="B322" s="21">
        <v>50004</v>
      </c>
      <c r="C322" s="21" t="s">
        <v>370</v>
      </c>
    </row>
    <row r="323" spans="1:3" ht="14.25" customHeight="1" x14ac:dyDescent="0.35">
      <c r="A323" s="21">
        <f>SUBTOTAL(2,INDEX(customer[کد],1):customer[[#This Row],[کد]])</f>
        <v>322</v>
      </c>
      <c r="B323" s="21">
        <v>50005</v>
      </c>
      <c r="C323" s="21" t="s">
        <v>371</v>
      </c>
    </row>
    <row r="324" spans="1:3" ht="14.25" customHeight="1" x14ac:dyDescent="0.35">
      <c r="A324" s="21">
        <f>SUBTOTAL(2,INDEX(customer[کد],1):customer[[#This Row],[کد]])</f>
        <v>323</v>
      </c>
      <c r="B324" s="21">
        <v>50006</v>
      </c>
      <c r="C324" s="21" t="s">
        <v>372</v>
      </c>
    </row>
    <row r="325" spans="1:3" ht="14.25" customHeight="1" x14ac:dyDescent="0.35">
      <c r="A325" s="21">
        <f>SUBTOTAL(2,INDEX(customer[کد],1):customer[[#This Row],[کد]])</f>
        <v>324</v>
      </c>
      <c r="B325" s="21">
        <v>50007</v>
      </c>
      <c r="C325" s="21" t="s">
        <v>373</v>
      </c>
    </row>
    <row r="326" spans="1:3" ht="14.25" customHeight="1" x14ac:dyDescent="0.35">
      <c r="A326" s="21">
        <f>SUBTOTAL(2,INDEX(customer[کد],1):customer[[#This Row],[کد]])</f>
        <v>325</v>
      </c>
      <c r="B326" s="21">
        <v>50008</v>
      </c>
      <c r="C326" s="21" t="s">
        <v>374</v>
      </c>
    </row>
    <row r="327" spans="1:3" ht="14.25" customHeight="1" x14ac:dyDescent="0.35">
      <c r="A327" s="21">
        <f>SUBTOTAL(2,INDEX(customer[کد],1):customer[[#This Row],[کد]])</f>
        <v>326</v>
      </c>
      <c r="B327" s="21">
        <v>50009</v>
      </c>
      <c r="C327" s="21" t="s">
        <v>375</v>
      </c>
    </row>
    <row r="328" spans="1:3" ht="14.25" customHeight="1" x14ac:dyDescent="0.35">
      <c r="A328" s="21">
        <f>SUBTOTAL(2,INDEX(customer[کد],1):customer[[#This Row],[کد]])</f>
        <v>327</v>
      </c>
      <c r="B328" s="21">
        <v>50010</v>
      </c>
      <c r="C328" s="21" t="s">
        <v>376</v>
      </c>
    </row>
    <row r="329" spans="1:3" ht="14.25" customHeight="1" x14ac:dyDescent="0.35">
      <c r="A329" s="21">
        <f>SUBTOTAL(2,INDEX(customer[کد],1):customer[[#This Row],[کد]])</f>
        <v>328</v>
      </c>
      <c r="B329" s="21">
        <v>50011</v>
      </c>
      <c r="C329" s="21" t="s">
        <v>377</v>
      </c>
    </row>
    <row r="330" spans="1:3" ht="14.25" customHeight="1" x14ac:dyDescent="0.35">
      <c r="A330" s="21">
        <f>SUBTOTAL(2,INDEX(customer[کد],1):customer[[#This Row],[کد]])</f>
        <v>329</v>
      </c>
      <c r="B330" s="21">
        <v>50012</v>
      </c>
      <c r="C330" s="21" t="s">
        <v>378</v>
      </c>
    </row>
    <row r="331" spans="1:3" ht="14.25" customHeight="1" x14ac:dyDescent="0.35">
      <c r="A331" s="21">
        <f>SUBTOTAL(2,INDEX(customer[کد],1):customer[[#This Row],[کد]])</f>
        <v>330</v>
      </c>
      <c r="B331" s="21">
        <v>50013</v>
      </c>
      <c r="C331" s="21" t="s">
        <v>379</v>
      </c>
    </row>
    <row r="332" spans="1:3" ht="14.25" customHeight="1" x14ac:dyDescent="0.35">
      <c r="A332" s="21">
        <f>SUBTOTAL(2,INDEX(customer[کد],1):customer[[#This Row],[کد]])</f>
        <v>331</v>
      </c>
      <c r="B332" s="21">
        <v>50014</v>
      </c>
      <c r="C332" s="21" t="s">
        <v>380</v>
      </c>
    </row>
    <row r="333" spans="1:3" ht="14.25" customHeight="1" x14ac:dyDescent="0.35">
      <c r="A333" s="21">
        <f>SUBTOTAL(2,INDEX(customer[کد],1):customer[[#This Row],[کد]])</f>
        <v>332</v>
      </c>
      <c r="B333" s="21">
        <v>50015</v>
      </c>
      <c r="C333" s="21" t="s">
        <v>381</v>
      </c>
    </row>
    <row r="334" spans="1:3" ht="14.25" customHeight="1" x14ac:dyDescent="0.35">
      <c r="A334" s="21">
        <f>SUBTOTAL(2,INDEX(customer[کد],1):customer[[#This Row],[کد]])</f>
        <v>333</v>
      </c>
      <c r="B334" s="21">
        <v>50016</v>
      </c>
      <c r="C334" s="21" t="s">
        <v>382</v>
      </c>
    </row>
    <row r="335" spans="1:3" ht="14.25" customHeight="1" x14ac:dyDescent="0.35">
      <c r="A335" s="21">
        <f>SUBTOTAL(2,INDEX(customer[کد],1):customer[[#This Row],[کد]])</f>
        <v>334</v>
      </c>
      <c r="B335" s="21">
        <v>50017</v>
      </c>
      <c r="C335" s="21" t="s">
        <v>383</v>
      </c>
    </row>
    <row r="336" spans="1:3" ht="14.25" customHeight="1" x14ac:dyDescent="0.35">
      <c r="A336" s="21">
        <f>SUBTOTAL(2,INDEX(customer[کد],1):customer[[#This Row],[کد]])</f>
        <v>335</v>
      </c>
      <c r="B336" s="21">
        <v>50018</v>
      </c>
      <c r="C336" s="21" t="s">
        <v>384</v>
      </c>
    </row>
    <row r="337" spans="1:3" ht="14.25" customHeight="1" x14ac:dyDescent="0.35">
      <c r="A337" s="21">
        <f>SUBTOTAL(2,INDEX(customer[کد],1):customer[[#This Row],[کد]])</f>
        <v>336</v>
      </c>
      <c r="B337" s="21">
        <v>50019</v>
      </c>
      <c r="C337" s="21" t="s">
        <v>385</v>
      </c>
    </row>
    <row r="338" spans="1:3" ht="14.25" customHeight="1" x14ac:dyDescent="0.35">
      <c r="A338" s="21">
        <f>SUBTOTAL(2,INDEX(customer[کد],1):customer[[#This Row],[کد]])</f>
        <v>337</v>
      </c>
      <c r="B338" s="21">
        <v>50020</v>
      </c>
      <c r="C338" s="21" t="s">
        <v>386</v>
      </c>
    </row>
    <row r="339" spans="1:3" ht="14.25" customHeight="1" x14ac:dyDescent="0.35">
      <c r="A339" s="21">
        <f>SUBTOTAL(2,INDEX(customer[کد],1):customer[[#This Row],[کد]])</f>
        <v>338</v>
      </c>
      <c r="B339" s="21">
        <v>50021</v>
      </c>
      <c r="C339" s="21" t="s">
        <v>387</v>
      </c>
    </row>
    <row r="340" spans="1:3" ht="14.25" customHeight="1" x14ac:dyDescent="0.35">
      <c r="A340" s="21">
        <f>SUBTOTAL(2,INDEX(customer[کد],1):customer[[#This Row],[کد]])</f>
        <v>339</v>
      </c>
      <c r="B340" s="21">
        <v>50022</v>
      </c>
      <c r="C340" s="21" t="s">
        <v>388</v>
      </c>
    </row>
    <row r="341" spans="1:3" ht="14.25" customHeight="1" x14ac:dyDescent="0.35">
      <c r="A341" s="21">
        <f>SUBTOTAL(2,INDEX(customer[کد],1):customer[[#This Row],[کد]])</f>
        <v>340</v>
      </c>
      <c r="B341" s="21">
        <v>50023</v>
      </c>
      <c r="C341" s="21" t="s">
        <v>389</v>
      </c>
    </row>
    <row r="342" spans="1:3" ht="14.25" customHeight="1" x14ac:dyDescent="0.35">
      <c r="A342" s="21">
        <f>SUBTOTAL(2,INDEX(customer[کد],1):customer[[#This Row],[کد]])</f>
        <v>341</v>
      </c>
      <c r="B342" s="21">
        <v>50024</v>
      </c>
      <c r="C342" s="21" t="s">
        <v>390</v>
      </c>
    </row>
    <row r="343" spans="1:3" ht="14.25" customHeight="1" x14ac:dyDescent="0.35">
      <c r="A343" s="21">
        <f>SUBTOTAL(2,INDEX(customer[کد],1):customer[[#This Row],[کد]])</f>
        <v>342</v>
      </c>
      <c r="B343" s="21">
        <v>50025</v>
      </c>
      <c r="C343" s="21" t="s">
        <v>391</v>
      </c>
    </row>
    <row r="344" spans="1:3" ht="14.25" customHeight="1" x14ac:dyDescent="0.35">
      <c r="A344" s="21">
        <f>SUBTOTAL(2,INDEX(customer[کد],1):customer[[#This Row],[کد]])</f>
        <v>343</v>
      </c>
      <c r="B344" s="21">
        <v>50026</v>
      </c>
      <c r="C344" s="21" t="s">
        <v>392</v>
      </c>
    </row>
    <row r="345" spans="1:3" ht="14.25" customHeight="1" x14ac:dyDescent="0.35">
      <c r="A345" s="21">
        <f>SUBTOTAL(2,INDEX(customer[کد],1):customer[[#This Row],[کد]])</f>
        <v>344</v>
      </c>
      <c r="B345" s="21">
        <v>50027</v>
      </c>
      <c r="C345" s="21" t="s">
        <v>393</v>
      </c>
    </row>
    <row r="346" spans="1:3" ht="14.25" customHeight="1" x14ac:dyDescent="0.35">
      <c r="A346" s="21">
        <f>SUBTOTAL(2,INDEX(customer[کد],1):customer[[#This Row],[کد]])</f>
        <v>345</v>
      </c>
      <c r="B346" s="21">
        <v>50028</v>
      </c>
      <c r="C346" s="21" t="s">
        <v>394</v>
      </c>
    </row>
    <row r="347" spans="1:3" ht="14.25" customHeight="1" x14ac:dyDescent="0.35">
      <c r="A347" s="21">
        <f>SUBTOTAL(2,INDEX(customer[کد],1):customer[[#This Row],[کد]])</f>
        <v>346</v>
      </c>
      <c r="B347" s="21">
        <v>50029</v>
      </c>
      <c r="C347" s="21" t="s">
        <v>395</v>
      </c>
    </row>
    <row r="348" spans="1:3" ht="14.25" customHeight="1" x14ac:dyDescent="0.35">
      <c r="A348" s="21">
        <f>SUBTOTAL(2,INDEX(customer[کد],1):customer[[#This Row],[کد]])</f>
        <v>347</v>
      </c>
      <c r="B348" s="21">
        <v>50030</v>
      </c>
      <c r="C348" s="21" t="s">
        <v>396</v>
      </c>
    </row>
    <row r="349" spans="1:3" ht="14.25" customHeight="1" x14ac:dyDescent="0.35">
      <c r="A349" s="21">
        <f>SUBTOTAL(2,INDEX(customer[کد],1):customer[[#This Row],[کد]])</f>
        <v>348</v>
      </c>
      <c r="B349" s="21">
        <v>50031</v>
      </c>
      <c r="C349" s="21" t="s">
        <v>397</v>
      </c>
    </row>
    <row r="350" spans="1:3" ht="14.25" customHeight="1" x14ac:dyDescent="0.35">
      <c r="A350" s="21">
        <f>SUBTOTAL(2,INDEX(customer[کد],1):customer[[#This Row],[کد]])</f>
        <v>349</v>
      </c>
      <c r="B350" s="21">
        <v>50032</v>
      </c>
      <c r="C350" s="21" t="s">
        <v>398</v>
      </c>
    </row>
    <row r="351" spans="1:3" ht="14.25" customHeight="1" x14ac:dyDescent="0.35">
      <c r="A351" s="21">
        <f>SUBTOTAL(2,INDEX(customer[کد],1):customer[[#This Row],[کد]])</f>
        <v>350</v>
      </c>
      <c r="B351" s="21">
        <v>50033</v>
      </c>
      <c r="C351" s="21" t="s">
        <v>399</v>
      </c>
    </row>
    <row r="352" spans="1:3" ht="14.25" customHeight="1" x14ac:dyDescent="0.35">
      <c r="A352" s="21">
        <f>SUBTOTAL(2,INDEX(customer[کد],1):customer[[#This Row],[کد]])</f>
        <v>351</v>
      </c>
      <c r="B352" s="21">
        <v>50034</v>
      </c>
      <c r="C352" s="21" t="s">
        <v>400</v>
      </c>
    </row>
    <row r="353" spans="1:3" ht="14.25" customHeight="1" x14ac:dyDescent="0.35">
      <c r="A353" s="21">
        <f>SUBTOTAL(2,INDEX(customer[کد],1):customer[[#This Row],[کد]])</f>
        <v>352</v>
      </c>
      <c r="B353" s="21">
        <v>50035</v>
      </c>
      <c r="C353" s="21" t="s">
        <v>401</v>
      </c>
    </row>
    <row r="354" spans="1:3" ht="14.25" customHeight="1" x14ac:dyDescent="0.35">
      <c r="A354" s="21">
        <f>SUBTOTAL(2,INDEX(customer[کد],1):customer[[#This Row],[کد]])</f>
        <v>353</v>
      </c>
      <c r="B354" s="21">
        <v>50036</v>
      </c>
      <c r="C354" s="21" t="s">
        <v>402</v>
      </c>
    </row>
    <row r="355" spans="1:3" ht="14.25" customHeight="1" x14ac:dyDescent="0.35">
      <c r="A355" s="21">
        <f>SUBTOTAL(2,INDEX(customer[کد],1):customer[[#This Row],[کد]])</f>
        <v>354</v>
      </c>
      <c r="B355" s="21">
        <v>50037</v>
      </c>
      <c r="C355" s="21" t="s">
        <v>403</v>
      </c>
    </row>
    <row r="356" spans="1:3" ht="14.25" customHeight="1" x14ac:dyDescent="0.35">
      <c r="A356" s="21">
        <f>SUBTOTAL(2,INDEX(customer[کد],1):customer[[#This Row],[کد]])</f>
        <v>355</v>
      </c>
      <c r="B356" s="21">
        <v>50038</v>
      </c>
      <c r="C356" s="21" t="s">
        <v>404</v>
      </c>
    </row>
    <row r="357" spans="1:3" ht="14.25" customHeight="1" x14ac:dyDescent="0.35">
      <c r="A357" s="21">
        <f>SUBTOTAL(2,INDEX(customer[کد],1):customer[[#This Row],[کد]])</f>
        <v>356</v>
      </c>
      <c r="B357" s="21">
        <v>50039</v>
      </c>
      <c r="C357" s="21" t="s">
        <v>405</v>
      </c>
    </row>
    <row r="358" spans="1:3" ht="14.25" customHeight="1" x14ac:dyDescent="0.35">
      <c r="A358" s="21">
        <f>SUBTOTAL(2,INDEX(customer[کد],1):customer[[#This Row],[کد]])</f>
        <v>357</v>
      </c>
      <c r="B358" s="21">
        <v>50040</v>
      </c>
      <c r="C358" s="21" t="s">
        <v>406</v>
      </c>
    </row>
    <row r="359" spans="1:3" ht="14.25" customHeight="1" x14ac:dyDescent="0.35">
      <c r="A359" s="21">
        <f>SUBTOTAL(2,INDEX(customer[کد],1):customer[[#This Row],[کد]])</f>
        <v>358</v>
      </c>
      <c r="B359" s="21">
        <v>50041</v>
      </c>
      <c r="C359" s="21" t="s">
        <v>407</v>
      </c>
    </row>
    <row r="360" spans="1:3" ht="14.25" customHeight="1" x14ac:dyDescent="0.35">
      <c r="A360" s="21">
        <f>SUBTOTAL(2,INDEX(customer[کد],1):customer[[#This Row],[کد]])</f>
        <v>359</v>
      </c>
      <c r="B360" s="21">
        <v>50042</v>
      </c>
      <c r="C360" s="21" t="s">
        <v>408</v>
      </c>
    </row>
    <row r="361" spans="1:3" ht="14.25" customHeight="1" x14ac:dyDescent="0.35">
      <c r="A361" s="21">
        <f>SUBTOTAL(2,INDEX(customer[کد],1):customer[[#This Row],[کد]])</f>
        <v>360</v>
      </c>
      <c r="B361" s="21">
        <v>50043</v>
      </c>
      <c r="C361" s="21" t="s">
        <v>409</v>
      </c>
    </row>
    <row r="362" spans="1:3" ht="14.25" customHeight="1" x14ac:dyDescent="0.35">
      <c r="A362" s="21">
        <f>SUBTOTAL(2,INDEX(customer[کد],1):customer[[#This Row],[کد]])</f>
        <v>361</v>
      </c>
      <c r="B362" s="21">
        <v>50044</v>
      </c>
      <c r="C362" s="21" t="s">
        <v>410</v>
      </c>
    </row>
    <row r="363" spans="1:3" ht="14.25" customHeight="1" x14ac:dyDescent="0.35">
      <c r="A363" s="21">
        <f>SUBTOTAL(2,INDEX(customer[کد],1):customer[[#This Row],[کد]])</f>
        <v>362</v>
      </c>
      <c r="B363" s="21">
        <v>50045</v>
      </c>
      <c r="C363" s="21" t="s">
        <v>411</v>
      </c>
    </row>
    <row r="364" spans="1:3" ht="14.25" customHeight="1" x14ac:dyDescent="0.35">
      <c r="A364" s="21">
        <f>SUBTOTAL(2,INDEX(customer[کد],1):customer[[#This Row],[کد]])</f>
        <v>363</v>
      </c>
      <c r="B364" s="21">
        <v>50046</v>
      </c>
      <c r="C364" s="21" t="s">
        <v>412</v>
      </c>
    </row>
    <row r="365" spans="1:3" ht="14.25" customHeight="1" x14ac:dyDescent="0.35">
      <c r="A365" s="21">
        <f>SUBTOTAL(2,INDEX(customer[کد],1):customer[[#This Row],[کد]])</f>
        <v>364</v>
      </c>
      <c r="B365" s="21">
        <v>79008</v>
      </c>
      <c r="C365" s="21" t="s">
        <v>413</v>
      </c>
    </row>
    <row r="366" spans="1:3" ht="14.25" customHeight="1" x14ac:dyDescent="0.35">
      <c r="A366" s="21">
        <f>SUBTOTAL(2,INDEX(customer[کد],1):customer[[#This Row],[کد]])</f>
        <v>365</v>
      </c>
      <c r="B366" s="21">
        <v>79010</v>
      </c>
      <c r="C366" s="21" t="s">
        <v>414</v>
      </c>
    </row>
    <row r="367" spans="1:3" ht="14.25" customHeight="1" x14ac:dyDescent="0.35">
      <c r="A367" s="21">
        <f>SUBTOTAL(2,INDEX(customer[کد],1):customer[[#This Row],[کد]])</f>
        <v>366</v>
      </c>
      <c r="B367" s="21">
        <v>79043</v>
      </c>
      <c r="C367" s="21" t="s">
        <v>415</v>
      </c>
    </row>
    <row r="368" spans="1:3" ht="14.25" customHeight="1" x14ac:dyDescent="0.35">
      <c r="A368" s="21">
        <f>SUBTOTAL(2,INDEX(customer[کد],1):customer[[#This Row],[کد]])</f>
        <v>367</v>
      </c>
      <c r="B368" s="21">
        <v>79055</v>
      </c>
      <c r="C368" s="21" t="s">
        <v>416</v>
      </c>
    </row>
    <row r="369" spans="1:3" ht="14.25" customHeight="1" x14ac:dyDescent="0.35">
      <c r="A369" s="21">
        <f>SUBTOTAL(2,INDEX(customer[کد],1):customer[[#This Row],[کد]])</f>
        <v>368</v>
      </c>
      <c r="B369" s="21">
        <v>79107</v>
      </c>
      <c r="C369" s="21" t="s">
        <v>417</v>
      </c>
    </row>
    <row r="370" spans="1:3" ht="14.25" customHeight="1" x14ac:dyDescent="0.35">
      <c r="A370" s="21">
        <f>SUBTOTAL(2,INDEX(customer[کد],1):customer[[#This Row],[کد]])</f>
        <v>369</v>
      </c>
      <c r="B370" s="21">
        <v>79120</v>
      </c>
      <c r="C370" s="21" t="s">
        <v>418</v>
      </c>
    </row>
    <row r="371" spans="1:3" ht="14.25" customHeight="1" x14ac:dyDescent="0.35">
      <c r="A371" s="21">
        <f>SUBTOTAL(2,INDEX(customer[کد],1):customer[[#This Row],[کد]])</f>
        <v>370</v>
      </c>
      <c r="B371" s="21">
        <v>10133</v>
      </c>
      <c r="C371" s="21" t="s">
        <v>419</v>
      </c>
    </row>
    <row r="372" spans="1:3" ht="14.25" customHeight="1" x14ac:dyDescent="0.35">
      <c r="A372" s="21">
        <f>SUBTOTAL(2,INDEX(customer[کد],1):customer[[#This Row],[کد]])</f>
        <v>371</v>
      </c>
      <c r="B372" s="21">
        <v>30191</v>
      </c>
      <c r="C372" s="21" t="s">
        <v>420</v>
      </c>
    </row>
    <row r="373" spans="1:3" ht="14.25" customHeight="1" x14ac:dyDescent="0.35">
      <c r="A373" s="21">
        <f>SUBTOTAL(2,INDEX(customer[کد],1):customer[[#This Row],[کد]])</f>
        <v>372</v>
      </c>
      <c r="B373" s="21">
        <v>30190</v>
      </c>
      <c r="C373" s="21" t="s">
        <v>176</v>
      </c>
    </row>
    <row r="374" spans="1:3" ht="14.25" customHeight="1" x14ac:dyDescent="0.35">
      <c r="A374" s="21">
        <f>SUBTOTAL(2,INDEX(customer[کد],1):customer[[#This Row],[کد]])</f>
        <v>373</v>
      </c>
      <c r="B374" s="21">
        <v>10131</v>
      </c>
      <c r="C374" s="21" t="s">
        <v>421</v>
      </c>
    </row>
    <row r="375" spans="1:3" ht="14.25" customHeight="1" x14ac:dyDescent="0.35">
      <c r="A375" s="21">
        <f>SUBTOTAL(2,INDEX(customer[کد],1):customer[[#This Row],[کد]])</f>
        <v>374</v>
      </c>
      <c r="B375" s="21">
        <v>30189</v>
      </c>
      <c r="C375" s="21" t="s">
        <v>422</v>
      </c>
    </row>
    <row r="376" spans="1:3" ht="14.25" customHeight="1" x14ac:dyDescent="0.35">
      <c r="A376" s="21">
        <f>SUBTOTAL(2,INDEX(customer[کد],1):customer[[#This Row],[کد]])</f>
        <v>375</v>
      </c>
      <c r="B376" s="21">
        <v>30196</v>
      </c>
      <c r="C376" s="21" t="s">
        <v>423</v>
      </c>
    </row>
    <row r="377" spans="1:3" ht="14.25" customHeight="1" x14ac:dyDescent="0.35">
      <c r="A377" s="21">
        <f>SUBTOTAL(2,INDEX(customer[کد],1):customer[[#This Row],[کد]])</f>
        <v>376</v>
      </c>
      <c r="B377" s="21">
        <v>30194</v>
      </c>
      <c r="C377" s="21" t="s">
        <v>424</v>
      </c>
    </row>
    <row r="378" spans="1:3" ht="14.25" customHeight="1" x14ac:dyDescent="0.35">
      <c r="A378" s="21">
        <f>SUBTOTAL(2,INDEX(customer[کد],1):customer[[#This Row],[کد]])</f>
        <v>377</v>
      </c>
      <c r="B378" s="21">
        <v>30195</v>
      </c>
      <c r="C378" s="21" t="s">
        <v>425</v>
      </c>
    </row>
    <row r="379" spans="1:3" ht="14.25" customHeight="1" x14ac:dyDescent="0.35">
      <c r="A379" s="21">
        <f>SUBTOTAL(2,INDEX(customer[کد],1):customer[[#This Row],[کد]])</f>
        <v>378</v>
      </c>
      <c r="B379" s="21">
        <v>10136</v>
      </c>
      <c r="C379" s="21" t="s">
        <v>426</v>
      </c>
    </row>
    <row r="380" spans="1:3" ht="14.25" customHeight="1" x14ac:dyDescent="0.35">
      <c r="A380" s="21">
        <f>SUBTOTAL(2,INDEX(customer[کد],1):customer[[#This Row],[کد]])</f>
        <v>379</v>
      </c>
      <c r="B380" s="21">
        <v>30198</v>
      </c>
      <c r="C380" s="21" t="s">
        <v>438</v>
      </c>
    </row>
    <row r="381" spans="1:3" ht="14.25" customHeight="1" x14ac:dyDescent="0.35">
      <c r="A381" s="21">
        <f>SUBTOTAL(2,INDEX(customer[کد],1):customer[[#This Row],[کد]])</f>
        <v>380</v>
      </c>
      <c r="B381" s="21">
        <v>30200</v>
      </c>
      <c r="C381" s="21" t="s">
        <v>719</v>
      </c>
    </row>
    <row r="382" spans="1:3" ht="14.25" customHeight="1" x14ac:dyDescent="0.35">
      <c r="A382" s="21">
        <f>SUBTOTAL(2,INDEX(customer[کد],1):customer[[#This Row],[کد]])</f>
        <v>381</v>
      </c>
      <c r="B382" s="21">
        <v>10138</v>
      </c>
      <c r="C382" s="21" t="s">
        <v>724</v>
      </c>
    </row>
    <row r="383" spans="1:3" ht="14.25" customHeight="1" x14ac:dyDescent="0.35">
      <c r="A383" s="21">
        <f>SUBTOTAL(2,INDEX(customer[کد],1):customer[[#This Row],[کد]])</f>
        <v>382</v>
      </c>
      <c r="B383" s="21">
        <v>10139</v>
      </c>
      <c r="C383" s="21" t="s">
        <v>745</v>
      </c>
    </row>
    <row r="384" spans="1:3" ht="14.25" customHeight="1" x14ac:dyDescent="0.35">
      <c r="A384" s="21">
        <f>SUBTOTAL(2,INDEX(customer[کد],1):customer[[#This Row],[کد]])</f>
        <v>383</v>
      </c>
      <c r="B384" s="21">
        <v>10140</v>
      </c>
      <c r="C384" s="21" t="s">
        <v>760</v>
      </c>
    </row>
    <row r="385" spans="1:3" ht="14.25" customHeight="1" x14ac:dyDescent="0.35">
      <c r="A385" s="21">
        <f>SUBTOTAL(2,INDEX(customer[کد],1):customer[[#This Row],[کد]])</f>
        <v>384</v>
      </c>
      <c r="B385" s="21">
        <v>30202</v>
      </c>
      <c r="C385" s="21" t="s">
        <v>761</v>
      </c>
    </row>
    <row r="386" spans="1:3" ht="14.25" customHeight="1" x14ac:dyDescent="0.35">
      <c r="A386" s="21">
        <f>SUBTOTAL(2,INDEX(customer[کد],1):customer[[#This Row],[کد]])</f>
        <v>385</v>
      </c>
      <c r="B386" s="21">
        <v>10141</v>
      </c>
      <c r="C386" s="21" t="s">
        <v>771</v>
      </c>
    </row>
    <row r="387" spans="1:3" ht="14.25" customHeight="1" x14ac:dyDescent="0.35">
      <c r="A387" s="21">
        <f>SUBTOTAL(2,INDEX(customer[کد],1):customer[[#This Row],[کد]])</f>
        <v>386</v>
      </c>
      <c r="B387" s="21">
        <v>30205</v>
      </c>
      <c r="C387" s="21" t="s">
        <v>772</v>
      </c>
    </row>
    <row r="388" spans="1:3" ht="14.25" customHeight="1" x14ac:dyDescent="0.35">
      <c r="A388" s="21">
        <f>SUBTOTAL(2,INDEX(customer[کد],1):customer[[#This Row],[کد]])</f>
        <v>387</v>
      </c>
      <c r="B388" s="21">
        <v>30204</v>
      </c>
      <c r="C388" s="21" t="s">
        <v>773</v>
      </c>
    </row>
    <row r="389" spans="1:3" ht="14.25" customHeight="1" x14ac:dyDescent="0.35">
      <c r="A389" s="21">
        <f>SUBTOTAL(2,INDEX(customer[کد],1):customer[[#This Row],[کد]])</f>
        <v>388</v>
      </c>
      <c r="B389" s="21">
        <v>10142</v>
      </c>
      <c r="C389" s="21" t="s">
        <v>802</v>
      </c>
    </row>
    <row r="390" spans="1:3" ht="14.25" customHeight="1" x14ac:dyDescent="0.35"/>
    <row r="391" spans="1:3" ht="14.25" customHeight="1" x14ac:dyDescent="0.35"/>
    <row r="392" spans="1:3" ht="14.25" customHeight="1" x14ac:dyDescent="0.35"/>
    <row r="393" spans="1:3" ht="14.25" customHeight="1" x14ac:dyDescent="0.35"/>
    <row r="394" spans="1:3" ht="14.25" customHeight="1" x14ac:dyDescent="0.35"/>
    <row r="395" spans="1:3" ht="14.25" customHeight="1" x14ac:dyDescent="0.35"/>
    <row r="396" spans="1:3" ht="14.25" customHeight="1" x14ac:dyDescent="0.35"/>
    <row r="397" spans="1:3" ht="14.25" customHeight="1" x14ac:dyDescent="0.35"/>
    <row r="398" spans="1:3" ht="14.25" customHeight="1" x14ac:dyDescent="0.35"/>
    <row r="399" spans="1:3" ht="14.25" customHeight="1" x14ac:dyDescent="0.35"/>
    <row r="400" spans="1:3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D065-0D93-4697-8B59-C5F93403ED2F}">
  <sheetPr codeName="Sheet2"/>
  <dimension ref="A2:AF2660"/>
  <sheetViews>
    <sheetView rightToLeft="1" topLeftCell="B1" zoomScale="150" zoomScaleNormal="150" workbookViewId="0">
      <pane ySplit="75" topLeftCell="A76" activePane="bottomLeft" state="frozen"/>
      <selection activeCell="B1" sqref="B1"/>
      <selection pane="bottomLeft" activeCell="B76" sqref="B76"/>
    </sheetView>
  </sheetViews>
  <sheetFormatPr defaultRowHeight="14.5" x14ac:dyDescent="0.35"/>
  <cols>
    <col min="1" max="1" width="5.36328125" hidden="1" customWidth="1"/>
    <col min="2" max="2" width="8.1796875" style="32" bestFit="1" customWidth="1"/>
    <col min="3" max="3" width="8.453125" style="32" bestFit="1" customWidth="1"/>
    <col min="4" max="4" width="11" style="32" customWidth="1"/>
    <col min="5" max="5" width="10.81640625" style="32" customWidth="1"/>
    <col min="6" max="6" width="12.6328125" style="32" customWidth="1"/>
    <col min="7" max="7" width="29.7265625" bestFit="1" customWidth="1"/>
    <col min="8" max="8" width="11.6328125" bestFit="1" customWidth="1"/>
    <col min="9" max="9" width="16.90625" hidden="1" customWidth="1"/>
    <col min="10" max="10" width="17.26953125" hidden="1" customWidth="1"/>
    <col min="11" max="11" width="15.7265625" hidden="1" customWidth="1"/>
    <col min="12" max="12" width="8.90625" hidden="1" customWidth="1"/>
    <col min="13" max="13" width="19.26953125" bestFit="1" customWidth="1"/>
    <col min="14" max="14" width="17.6328125" hidden="1" customWidth="1"/>
    <col min="15" max="15" width="18.36328125" hidden="1" customWidth="1"/>
    <col min="16" max="16" width="19.6328125" hidden="1" customWidth="1"/>
    <col min="17" max="17" width="12" hidden="1" customWidth="1"/>
    <col min="18" max="18" width="8.6328125" hidden="1" customWidth="1"/>
    <col min="19" max="19" width="25.1796875" hidden="1" customWidth="1"/>
    <col min="20" max="20" width="26.7265625" hidden="1" customWidth="1"/>
    <col min="21" max="21" width="14.90625" hidden="1" customWidth="1"/>
    <col min="22" max="22" width="26.81640625" customWidth="1"/>
    <col min="23" max="23" width="20.26953125" customWidth="1"/>
    <col min="24" max="24" width="22.81640625" customWidth="1"/>
    <col min="25" max="25" width="34.7265625" customWidth="1"/>
    <col min="26" max="26" width="28.1796875" customWidth="1"/>
    <col min="27" max="27" width="32.08984375" customWidth="1"/>
    <col min="28" max="28" width="36" customWidth="1"/>
    <col min="29" max="29" width="28.90625" customWidth="1"/>
    <col min="30" max="30" width="33.54296875" customWidth="1"/>
    <col min="31" max="31" width="36.90625" customWidth="1"/>
    <col min="32" max="32" width="30.26953125" customWidth="1"/>
    <col min="33" max="33" width="35.81640625" bestFit="1" customWidth="1"/>
  </cols>
  <sheetData>
    <row r="2" spans="1:32" s="30" customFormat="1" ht="25" x14ac:dyDescent="0.35">
      <c r="A2" s="4" t="s">
        <v>6</v>
      </c>
      <c r="B2" s="18" t="s">
        <v>47</v>
      </c>
      <c r="C2" s="30" t="s">
        <v>0</v>
      </c>
      <c r="D2" s="30" t="s">
        <v>686</v>
      </c>
      <c r="E2" s="30" t="s">
        <v>439</v>
      </c>
      <c r="F2" s="30" t="s">
        <v>427</v>
      </c>
      <c r="G2" s="18" t="s">
        <v>428</v>
      </c>
      <c r="H2" s="30" t="s">
        <v>15</v>
      </c>
      <c r="I2" s="4" t="s">
        <v>24</v>
      </c>
      <c r="J2" s="4" t="s">
        <v>17</v>
      </c>
      <c r="K2" s="4" t="s">
        <v>18</v>
      </c>
      <c r="L2" s="4" t="s">
        <v>38</v>
      </c>
      <c r="M2" s="16" t="s">
        <v>14</v>
      </c>
      <c r="N2" s="11" t="s">
        <v>19</v>
      </c>
      <c r="O2" s="11" t="s">
        <v>13</v>
      </c>
      <c r="P2" s="11" t="s">
        <v>11</v>
      </c>
      <c r="Q2" s="4" t="s">
        <v>16</v>
      </c>
      <c r="R2" s="4" t="s">
        <v>5</v>
      </c>
      <c r="S2" s="12" t="s">
        <v>10</v>
      </c>
      <c r="T2" s="17" t="s">
        <v>25</v>
      </c>
      <c r="U2" s="13" t="s">
        <v>21</v>
      </c>
      <c r="V2" s="13" t="s">
        <v>26</v>
      </c>
      <c r="W2" s="13" t="s">
        <v>22</v>
      </c>
      <c r="X2" s="14" t="s">
        <v>23</v>
      </c>
      <c r="Y2" s="14" t="s">
        <v>27</v>
      </c>
      <c r="Z2" s="14" t="s">
        <v>20</v>
      </c>
      <c r="AA2" s="12" t="s">
        <v>36</v>
      </c>
      <c r="AB2" s="12" t="s">
        <v>42</v>
      </c>
      <c r="AC2" s="12" t="s">
        <v>43</v>
      </c>
      <c r="AD2" s="17" t="s">
        <v>44</v>
      </c>
      <c r="AE2" s="17" t="s">
        <v>45</v>
      </c>
      <c r="AF2" s="17" t="s">
        <v>46</v>
      </c>
    </row>
    <row r="3" spans="1:32" hidden="1" x14ac:dyDescent="0.35">
      <c r="A3" s="5">
        <f>ROW()-ROW(INDEX(Main[ردیف],1))+1</f>
        <v>1</v>
      </c>
      <c r="B3" s="31">
        <f>SUBTOTAL(2,INDEX(Main[ردیف],1):Main[[#This Row],[ردیف]])</f>
        <v>0</v>
      </c>
      <c r="C3" s="32" t="s">
        <v>452</v>
      </c>
      <c r="D3" s="32" t="str">
        <f>_xlfn.CONCAT("14",Main[[#This Row],[تاريخ]])</f>
        <v>1400/01/01</v>
      </c>
      <c r="E3" s="33">
        <v>44276</v>
      </c>
      <c r="F3" s="32">
        <v>10065</v>
      </c>
      <c r="G3" s="5" t="str">
        <f>INDEX(customer[عنوان],MATCH(Main[[#This Row],[کد ردیابی]],customer[کد],0))</f>
        <v xml:space="preserve">رضا احمدآبادی </v>
      </c>
      <c r="H3">
        <v>127</v>
      </c>
      <c r="I3" s="6">
        <f ca="1">-Main[[#This Row],[بدهی تسویه شده (کیلوگرم)]]+Main[[#This Row],[بستانکار (کیلوگرم)]]</f>
        <v>127</v>
      </c>
      <c r="J3" s="6">
        <f>IF(Main[[#This Row],[مقدار (کیلوگرم)]]&gt;0,Main[[#This Row],[مقدار (کیلوگرم)]],0)</f>
        <v>127</v>
      </c>
      <c r="K3" s="6">
        <f>-IF(Main[[#This Row],[مقدار (کیلوگرم)]]&lt;0,Main[[#This Row],[مقدار (کیلوگرم)]],0)</f>
        <v>0</v>
      </c>
      <c r="L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" s="7">
        <f>-IF(AND(Main[[#This Row],[مقدار (کیلوگرم)]]&lt;0,Main[[#This Row],[تاريخ میلادی]]&gt;44276),Main[[#This Row],[مقدار (کیلوگرم)]],0)</f>
        <v>0</v>
      </c>
      <c r="N3" s="6">
        <f ca="1">Main[[#This Row],[بدهکار (کیلوگرم)]]-Main[[#This Row],[بدهی تسویه نشده (کیلوگرم)]]</f>
        <v>0</v>
      </c>
      <c r="O3" s="6">
        <f ca="1">Main[[#This Row],[تفکیک]]</f>
        <v>0</v>
      </c>
      <c r="P3" s="6">
        <f ca="1">IF(Main[[#This Row],[تاخیر از سررسید]]&gt;0,Main[[#This Row],[بدهی تسویه نشده (کیلوگرم)]],0)</f>
        <v>0</v>
      </c>
      <c r="Q3" s="6">
        <f ca="1">IF(Main[[#This Row],[بدهی تسویه نشده (کیلوگرم)]]&gt;0,'گزارش فردی'!$B$7-Main[[#This Row],[تاريخ میلادی]],0)</f>
        <v>0</v>
      </c>
      <c r="R3" s="6">
        <f ca="1">IF(Main[[#This Row],[بدهی تسویه نشده (کیلوگرم)]]&gt;0,'گزارش فردی'!$B$7-Main[[#This Row],[تاريخ میلادی]]-'گزارش فردی'!$B$8,0)</f>
        <v>0</v>
      </c>
      <c r="S3" s="6">
        <f ca="1">Main[[#This Row],[روز از ارسال سفارش]]*Main[[#This Row],[بدهی تسویه نشده (کیلوگرم)]]</f>
        <v>0</v>
      </c>
      <c r="T3" s="6">
        <f ca="1">Main[[#This Row],[بدهی سررسید شده (کیلوگرم)]]*Main[[#This Row],[روز از ارسال سفارش]]</f>
        <v>0</v>
      </c>
      <c r="U3" s="6">
        <f>-SUBTOTAL(9,INDEX(Main[مقدار (کیلوگرم)],1):Main[[#This Row],[مقدار (کیلوگرم)]])</f>
        <v>0</v>
      </c>
      <c r="V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" s="6">
        <f>Main[[#This Row],[تعداد کل روزهای بدهکار (روز)]]*Main[[#This Row],[مانده در خط کل (کیلوگرم)]]</f>
        <v>0</v>
      </c>
      <c r="X3" s="6">
        <f>-SUBTOTAL(9,INDEX(Main[مقدار تسویه شده (کیلوگرم)],1):Main[[#This Row],[مقدار تسویه شده (کیلوگرم)]])</f>
        <v>0</v>
      </c>
      <c r="Y3" s="6">
        <f>IF(Main[[#This Row],[مانده در خط تسویه شده (کیلوگرم)]]&lt;&gt;0,Main[[#This Row],[تعداد کل روزهای بدهکار (روز)]],0)</f>
        <v>0</v>
      </c>
      <c r="Z3" s="6">
        <f>Main[[#This Row],[تعداد روزهای بدهکار تسویه شده (روز)]]*Main[[#This Row],[مانده در خط تسویه شده (کیلوگرم)]]</f>
        <v>0</v>
      </c>
      <c r="AA3" s="6">
        <f>SUBTOTAL(9,INDEX(Main[بدهی تسویه نشده (کیلوگرم)],1):Main[[#This Row],[بدهی تسویه نشده (کیلوگرم)]])</f>
        <v>0</v>
      </c>
      <c r="AB3" s="6">
        <f>IF(Main[[#This Row],[مانده در خط تسویه نشده (کیلوگرم)]]&lt;&gt;0,Main[[#This Row],[تعداد کل روزهای بدهکار (روز)]],0)</f>
        <v>0</v>
      </c>
      <c r="AC3" s="6">
        <f>Main[[#This Row],[تعداد روزهای بدهکار  تسویه نشده (روز)]]*Main[[#This Row],[مانده در خط تسویه نشده (کیلوگرم)]]</f>
        <v>0</v>
      </c>
      <c r="AD3" s="6">
        <f>SUBTOTAL(9,INDEX(Main[بدهی سررسید شده (کیلوگرم)],1):Main[[#This Row],[بدهی سررسید شده (کیلوگرم)]])</f>
        <v>0</v>
      </c>
      <c r="AE3" s="6">
        <f>IF(Main[[#This Row],[مانده در خط سررسید شده (کیلوگرم)]]&lt;&gt;0,Main[[#This Row],[تعداد کل روزهای بدهکار (روز)]],0)</f>
        <v>0</v>
      </c>
      <c r="AF3" s="6">
        <f>Main[[#This Row],[تعداد روزهای بدهکار سررسید شده (روز)]]*Main[[#This Row],[مانده در خط سررسید شده (کیلوگرم)]]</f>
        <v>0</v>
      </c>
    </row>
    <row r="4" spans="1:32" hidden="1" x14ac:dyDescent="0.35">
      <c r="A4" s="5">
        <f>ROW()-ROW(INDEX(Main[ردیف],1))+1</f>
        <v>2</v>
      </c>
      <c r="B4" s="31">
        <f>SUBTOTAL(2,INDEX(Main[ردیف],1):Main[[#This Row],[ردیف]])</f>
        <v>0</v>
      </c>
      <c r="C4" s="32" t="s">
        <v>452</v>
      </c>
      <c r="D4" s="32" t="str">
        <f>_xlfn.CONCAT("14",Main[[#This Row],[تاريخ]])</f>
        <v>1400/01/01</v>
      </c>
      <c r="E4" s="33">
        <v>44276</v>
      </c>
      <c r="F4" s="32">
        <v>10030</v>
      </c>
      <c r="G4" s="5" t="str">
        <f>INDEX(customer[عنوان],MATCH(Main[[#This Row],[کد ردیابی]],customer[کد],0))</f>
        <v>حسن منصفی راد</v>
      </c>
      <c r="H4">
        <v>-222</v>
      </c>
      <c r="I4" s="6">
        <f ca="1">-Main[[#This Row],[بدهی تسویه شده (کیلوگرم)]]+Main[[#This Row],[بستانکار (کیلوگرم)]]</f>
        <v>-222</v>
      </c>
      <c r="J4" s="6">
        <f>IF(Main[[#This Row],[مقدار (کیلوگرم)]]&gt;0,Main[[#This Row],[مقدار (کیلوگرم)]],0)</f>
        <v>0</v>
      </c>
      <c r="K4" s="6">
        <f>-IF(Main[[#This Row],[مقدار (کیلوگرم)]]&lt;0,Main[[#This Row],[مقدار (کیلوگرم)]],0)</f>
        <v>222</v>
      </c>
      <c r="L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" s="7">
        <f>-IF(AND(Main[[#This Row],[مقدار (کیلوگرم)]]&lt;0,Main[[#This Row],[تاريخ میلادی]]&gt;44276),Main[[#This Row],[مقدار (کیلوگرم)]],0)</f>
        <v>0</v>
      </c>
      <c r="N4" s="6">
        <f ca="1">Main[[#This Row],[بدهکار (کیلوگرم)]]-Main[[#This Row],[بدهی تسویه نشده (کیلوگرم)]]</f>
        <v>222</v>
      </c>
      <c r="O4" s="6">
        <f ca="1">Main[[#This Row],[تفکیک]]</f>
        <v>0</v>
      </c>
      <c r="P4" s="6">
        <f ca="1">IF(Main[[#This Row],[تاخیر از سررسید]]&gt;0,Main[[#This Row],[بدهی تسویه نشده (کیلوگرم)]],0)</f>
        <v>0</v>
      </c>
      <c r="Q4" s="6">
        <f ca="1">IF(Main[[#This Row],[بدهی تسویه نشده (کیلوگرم)]]&gt;0,'گزارش فردی'!$B$7-Main[[#This Row],[تاريخ میلادی]],0)</f>
        <v>0</v>
      </c>
      <c r="R4" s="6">
        <f ca="1">IF(Main[[#This Row],[بدهی تسویه نشده (کیلوگرم)]]&gt;0,'گزارش فردی'!$B$7-Main[[#This Row],[تاريخ میلادی]]-'گزارش فردی'!$B$8,0)</f>
        <v>0</v>
      </c>
      <c r="S4" s="6">
        <f ca="1">Main[[#This Row],[روز از ارسال سفارش]]*Main[[#This Row],[بدهی تسویه نشده (کیلوگرم)]]</f>
        <v>0</v>
      </c>
      <c r="T4" s="6">
        <f ca="1">Main[[#This Row],[بدهی سررسید شده (کیلوگرم)]]*Main[[#This Row],[روز از ارسال سفارش]]</f>
        <v>0</v>
      </c>
      <c r="U4" s="6">
        <f>-SUBTOTAL(9,INDEX(Main[مقدار (کیلوگرم)],1):Main[[#This Row],[مقدار (کیلوگرم)]])</f>
        <v>0</v>
      </c>
      <c r="V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" s="6">
        <f>Main[[#This Row],[تعداد کل روزهای بدهکار (روز)]]*Main[[#This Row],[مانده در خط کل (کیلوگرم)]]</f>
        <v>0</v>
      </c>
      <c r="X4" s="6">
        <f>-SUBTOTAL(9,INDEX(Main[مقدار تسویه شده (کیلوگرم)],1):Main[[#This Row],[مقدار تسویه شده (کیلوگرم)]])</f>
        <v>0</v>
      </c>
      <c r="Y4" s="6">
        <f>IF(Main[[#This Row],[مانده در خط تسویه شده (کیلوگرم)]]&lt;&gt;0,Main[[#This Row],[تعداد کل روزهای بدهکار (روز)]],0)</f>
        <v>0</v>
      </c>
      <c r="Z4" s="6">
        <f>Main[[#This Row],[تعداد روزهای بدهکار تسویه شده (روز)]]*Main[[#This Row],[مانده در خط تسویه شده (کیلوگرم)]]</f>
        <v>0</v>
      </c>
      <c r="AA4" s="6">
        <f>SUBTOTAL(9,INDEX(Main[بدهی تسویه نشده (کیلوگرم)],1):Main[[#This Row],[بدهی تسویه نشده (کیلوگرم)]])</f>
        <v>0</v>
      </c>
      <c r="AB4" s="6">
        <f>IF(Main[[#This Row],[مانده در خط تسویه نشده (کیلوگرم)]]&lt;&gt;0,Main[[#This Row],[تعداد کل روزهای بدهکار (روز)]],0)</f>
        <v>0</v>
      </c>
      <c r="AC4" s="6">
        <f>Main[[#This Row],[تعداد روزهای بدهکار  تسویه نشده (روز)]]*Main[[#This Row],[مانده در خط تسویه نشده (کیلوگرم)]]</f>
        <v>0</v>
      </c>
      <c r="AD4" s="6">
        <f>SUBTOTAL(9,INDEX(Main[بدهی سررسید شده (کیلوگرم)],1):Main[[#This Row],[بدهی سررسید شده (کیلوگرم)]])</f>
        <v>0</v>
      </c>
      <c r="AE4" s="6">
        <f>IF(Main[[#This Row],[مانده در خط سررسید شده (کیلوگرم)]]&lt;&gt;0,Main[[#This Row],[تعداد کل روزهای بدهکار (روز)]],0)</f>
        <v>0</v>
      </c>
      <c r="AF4" s="6">
        <f>Main[[#This Row],[تعداد روزهای بدهکار سررسید شده (روز)]]*Main[[#This Row],[مانده در خط سررسید شده (کیلوگرم)]]</f>
        <v>0</v>
      </c>
    </row>
    <row r="5" spans="1:32" hidden="1" x14ac:dyDescent="0.35">
      <c r="A5" s="5">
        <f>ROW()-ROW(INDEX(Main[ردیف],1))+1</f>
        <v>3</v>
      </c>
      <c r="B5" s="31">
        <f>SUBTOTAL(2,INDEX(Main[ردیف],1):Main[[#This Row],[ردیف]])</f>
        <v>0</v>
      </c>
      <c r="C5" s="32" t="s">
        <v>452</v>
      </c>
      <c r="D5" s="32" t="str">
        <f>_xlfn.CONCAT("14",Main[[#This Row],[تاريخ]])</f>
        <v>1400/01/01</v>
      </c>
      <c r="E5" s="33">
        <v>44276</v>
      </c>
      <c r="F5" s="32">
        <v>30004</v>
      </c>
      <c r="G5" s="5" t="str">
        <f>INDEX(customer[عنوان],MATCH(Main[[#This Row],[کد ردیابی]],customer[کد],0))</f>
        <v>تولیدی صنعتی صفاشیر پارس</v>
      </c>
      <c r="H5">
        <v>157</v>
      </c>
      <c r="I5" s="6">
        <f ca="1">-Main[[#This Row],[بدهی تسویه شده (کیلوگرم)]]+Main[[#This Row],[بستانکار (کیلوگرم)]]</f>
        <v>157</v>
      </c>
      <c r="J5" s="6">
        <f>IF(Main[[#This Row],[مقدار (کیلوگرم)]]&gt;0,Main[[#This Row],[مقدار (کیلوگرم)]],0)</f>
        <v>157</v>
      </c>
      <c r="K5" s="6">
        <f>-IF(Main[[#This Row],[مقدار (کیلوگرم)]]&lt;0,Main[[#This Row],[مقدار (کیلوگرم)]],0)</f>
        <v>0</v>
      </c>
      <c r="L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" s="7">
        <f>-IF(AND(Main[[#This Row],[مقدار (کیلوگرم)]]&lt;0,Main[[#This Row],[تاريخ میلادی]]&gt;44276),Main[[#This Row],[مقدار (کیلوگرم)]],0)</f>
        <v>0</v>
      </c>
      <c r="N5" s="6">
        <f ca="1">Main[[#This Row],[بدهکار (کیلوگرم)]]-Main[[#This Row],[بدهی تسویه نشده (کیلوگرم)]]</f>
        <v>0</v>
      </c>
      <c r="O5" s="6">
        <f ca="1">Main[[#This Row],[تفکیک]]</f>
        <v>0</v>
      </c>
      <c r="P5" s="6">
        <f ca="1">IF(Main[[#This Row],[تاخیر از سررسید]]&gt;0,Main[[#This Row],[بدهی تسویه نشده (کیلوگرم)]],0)</f>
        <v>0</v>
      </c>
      <c r="Q5" s="6">
        <f ca="1">IF(Main[[#This Row],[بدهی تسویه نشده (کیلوگرم)]]&gt;0,'گزارش فردی'!$B$7-Main[[#This Row],[تاريخ میلادی]],0)</f>
        <v>0</v>
      </c>
      <c r="R5" s="6">
        <f ca="1">IF(Main[[#This Row],[بدهی تسویه نشده (کیلوگرم)]]&gt;0,'گزارش فردی'!$B$7-Main[[#This Row],[تاريخ میلادی]]-'گزارش فردی'!$B$8,0)</f>
        <v>0</v>
      </c>
      <c r="S5" s="6">
        <f ca="1">Main[[#This Row],[روز از ارسال سفارش]]*Main[[#This Row],[بدهی تسویه نشده (کیلوگرم)]]</f>
        <v>0</v>
      </c>
      <c r="T5" s="6">
        <f ca="1">Main[[#This Row],[بدهی سررسید شده (کیلوگرم)]]*Main[[#This Row],[روز از ارسال سفارش]]</f>
        <v>0</v>
      </c>
      <c r="U5" s="6">
        <f>-SUBTOTAL(9,INDEX(Main[مقدار (کیلوگرم)],1):Main[[#This Row],[مقدار (کیلوگرم)]])</f>
        <v>0</v>
      </c>
      <c r="V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" s="6">
        <f>Main[[#This Row],[تعداد کل روزهای بدهکار (روز)]]*Main[[#This Row],[مانده در خط کل (کیلوگرم)]]</f>
        <v>0</v>
      </c>
      <c r="X5" s="6">
        <f>-SUBTOTAL(9,INDEX(Main[مقدار تسویه شده (کیلوگرم)],1):Main[[#This Row],[مقدار تسویه شده (کیلوگرم)]])</f>
        <v>0</v>
      </c>
      <c r="Y5" s="6">
        <f>IF(Main[[#This Row],[مانده در خط تسویه شده (کیلوگرم)]]&lt;&gt;0,Main[[#This Row],[تعداد کل روزهای بدهکار (روز)]],0)</f>
        <v>0</v>
      </c>
      <c r="Z5" s="6">
        <f>Main[[#This Row],[تعداد روزهای بدهکار تسویه شده (روز)]]*Main[[#This Row],[مانده در خط تسویه شده (کیلوگرم)]]</f>
        <v>0</v>
      </c>
      <c r="AA5" s="6">
        <f>SUBTOTAL(9,INDEX(Main[بدهی تسویه نشده (کیلوگرم)],1):Main[[#This Row],[بدهی تسویه نشده (کیلوگرم)]])</f>
        <v>0</v>
      </c>
      <c r="AB5" s="6">
        <f>IF(Main[[#This Row],[مانده در خط تسویه نشده (کیلوگرم)]]&lt;&gt;0,Main[[#This Row],[تعداد کل روزهای بدهکار (روز)]],0)</f>
        <v>0</v>
      </c>
      <c r="AC5" s="6">
        <f>Main[[#This Row],[تعداد روزهای بدهکار  تسویه نشده (روز)]]*Main[[#This Row],[مانده در خط تسویه نشده (کیلوگرم)]]</f>
        <v>0</v>
      </c>
      <c r="AD5" s="6">
        <f>SUBTOTAL(9,INDEX(Main[بدهی سررسید شده (کیلوگرم)],1):Main[[#This Row],[بدهی سررسید شده (کیلوگرم)]])</f>
        <v>0</v>
      </c>
      <c r="AE5" s="6">
        <f>IF(Main[[#This Row],[مانده در خط سررسید شده (کیلوگرم)]]&lt;&gt;0,Main[[#This Row],[تعداد کل روزهای بدهکار (روز)]],0)</f>
        <v>0</v>
      </c>
      <c r="AF5" s="6">
        <f>Main[[#This Row],[تعداد روزهای بدهکار سررسید شده (روز)]]*Main[[#This Row],[مانده در خط سررسید شده (کیلوگرم)]]</f>
        <v>0</v>
      </c>
    </row>
    <row r="6" spans="1:32" hidden="1" x14ac:dyDescent="0.35">
      <c r="A6" s="5">
        <f>ROW()-ROW(INDEX(Main[ردیف],1))+1</f>
        <v>4</v>
      </c>
      <c r="B6" s="31">
        <f>SUBTOTAL(2,INDEX(Main[ردیف],1):Main[[#This Row],[ردیف]])</f>
        <v>0</v>
      </c>
      <c r="C6" s="32" t="s">
        <v>452</v>
      </c>
      <c r="D6" s="32" t="str">
        <f>_xlfn.CONCAT("14",Main[[#This Row],[تاريخ]])</f>
        <v>1400/01/01</v>
      </c>
      <c r="E6" s="33">
        <v>44276</v>
      </c>
      <c r="F6" s="32">
        <v>30116</v>
      </c>
      <c r="G6" s="5" t="str">
        <f>INDEX(customer[عنوان],MATCH(Main[[#This Row],[کد ردیابی]],customer[کد],0))</f>
        <v>شرکت کیزایران</v>
      </c>
      <c r="H6">
        <v>-1563</v>
      </c>
      <c r="I6" s="6">
        <f ca="1">-Main[[#This Row],[بدهی تسویه شده (کیلوگرم)]]+Main[[#This Row],[بستانکار (کیلوگرم)]]</f>
        <v>-1563</v>
      </c>
      <c r="J6" s="6">
        <f>IF(Main[[#This Row],[مقدار (کیلوگرم)]]&gt;0,Main[[#This Row],[مقدار (کیلوگرم)]],0)</f>
        <v>0</v>
      </c>
      <c r="K6" s="6">
        <f>-IF(Main[[#This Row],[مقدار (کیلوگرم)]]&lt;0,Main[[#This Row],[مقدار (کیلوگرم)]],0)</f>
        <v>1563</v>
      </c>
      <c r="L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" s="7">
        <f>-IF(AND(Main[[#This Row],[مقدار (کیلوگرم)]]&lt;0,Main[[#This Row],[تاريخ میلادی]]&gt;44276),Main[[#This Row],[مقدار (کیلوگرم)]],0)</f>
        <v>0</v>
      </c>
      <c r="N6" s="6">
        <f ca="1">Main[[#This Row],[بدهکار (کیلوگرم)]]-Main[[#This Row],[بدهی تسویه نشده (کیلوگرم)]]</f>
        <v>1563</v>
      </c>
      <c r="O6" s="6">
        <f ca="1">Main[[#This Row],[تفکیک]]</f>
        <v>0</v>
      </c>
      <c r="P6" s="6">
        <f ca="1">IF(Main[[#This Row],[تاخیر از سررسید]]&gt;0,Main[[#This Row],[بدهی تسویه نشده (کیلوگرم)]],0)</f>
        <v>0</v>
      </c>
      <c r="Q6" s="6">
        <f ca="1">IF(Main[[#This Row],[بدهی تسویه نشده (کیلوگرم)]]&gt;0,'گزارش فردی'!$B$7-Main[[#This Row],[تاريخ میلادی]],0)</f>
        <v>0</v>
      </c>
      <c r="R6" s="6">
        <f ca="1">IF(Main[[#This Row],[بدهی تسویه نشده (کیلوگرم)]]&gt;0,'گزارش فردی'!$B$7-Main[[#This Row],[تاريخ میلادی]]-'گزارش فردی'!$B$8,0)</f>
        <v>0</v>
      </c>
      <c r="S6" s="6">
        <f ca="1">Main[[#This Row],[روز از ارسال سفارش]]*Main[[#This Row],[بدهی تسویه نشده (کیلوگرم)]]</f>
        <v>0</v>
      </c>
      <c r="T6" s="6">
        <f ca="1">Main[[#This Row],[بدهی سررسید شده (کیلوگرم)]]*Main[[#This Row],[روز از ارسال سفارش]]</f>
        <v>0</v>
      </c>
      <c r="U6" s="6">
        <f>-SUBTOTAL(9,INDEX(Main[مقدار (کیلوگرم)],1):Main[[#This Row],[مقدار (کیلوگرم)]])</f>
        <v>0</v>
      </c>
      <c r="V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" s="6">
        <f>Main[[#This Row],[تعداد کل روزهای بدهکار (روز)]]*Main[[#This Row],[مانده در خط کل (کیلوگرم)]]</f>
        <v>0</v>
      </c>
      <c r="X6" s="6">
        <f>-SUBTOTAL(9,INDEX(Main[مقدار تسویه شده (کیلوگرم)],1):Main[[#This Row],[مقدار تسویه شده (کیلوگرم)]])</f>
        <v>0</v>
      </c>
      <c r="Y6" s="6">
        <f>IF(Main[[#This Row],[مانده در خط تسویه شده (کیلوگرم)]]&lt;&gt;0,Main[[#This Row],[تعداد کل روزهای بدهکار (روز)]],0)</f>
        <v>0</v>
      </c>
      <c r="Z6" s="6">
        <f>Main[[#This Row],[تعداد روزهای بدهکار تسویه شده (روز)]]*Main[[#This Row],[مانده در خط تسویه شده (کیلوگرم)]]</f>
        <v>0</v>
      </c>
      <c r="AA6" s="6">
        <f>SUBTOTAL(9,INDEX(Main[بدهی تسویه نشده (کیلوگرم)],1):Main[[#This Row],[بدهی تسویه نشده (کیلوگرم)]])</f>
        <v>0</v>
      </c>
      <c r="AB6" s="6">
        <f>IF(Main[[#This Row],[مانده در خط تسویه نشده (کیلوگرم)]]&lt;&gt;0,Main[[#This Row],[تعداد کل روزهای بدهکار (روز)]],0)</f>
        <v>0</v>
      </c>
      <c r="AC6" s="6">
        <f>Main[[#This Row],[تعداد روزهای بدهکار  تسویه نشده (روز)]]*Main[[#This Row],[مانده در خط تسویه نشده (کیلوگرم)]]</f>
        <v>0</v>
      </c>
      <c r="AD6" s="6">
        <f>SUBTOTAL(9,INDEX(Main[بدهی سررسید شده (کیلوگرم)],1):Main[[#This Row],[بدهی سررسید شده (کیلوگرم)]])</f>
        <v>0</v>
      </c>
      <c r="AE6" s="6">
        <f>IF(Main[[#This Row],[مانده در خط سررسید شده (کیلوگرم)]]&lt;&gt;0,Main[[#This Row],[تعداد کل روزهای بدهکار (روز)]],0)</f>
        <v>0</v>
      </c>
      <c r="AF6" s="6">
        <f>Main[[#This Row],[تعداد روزهای بدهکار سررسید شده (روز)]]*Main[[#This Row],[مانده در خط سررسید شده (کیلوگرم)]]</f>
        <v>0</v>
      </c>
    </row>
    <row r="7" spans="1:32" hidden="1" x14ac:dyDescent="0.35">
      <c r="A7" s="5">
        <f>ROW()-ROW(INDEX(Main[ردیف],1))+1</f>
        <v>5</v>
      </c>
      <c r="B7" s="31">
        <f>SUBTOTAL(2,INDEX(Main[ردیف],1):Main[[#This Row],[ردیف]])</f>
        <v>0</v>
      </c>
      <c r="C7" s="32" t="s">
        <v>452</v>
      </c>
      <c r="D7" s="32" t="str">
        <f>_xlfn.CONCAT("14",Main[[#This Row],[تاريخ]])</f>
        <v>1400/01/01</v>
      </c>
      <c r="E7" s="33">
        <v>44276</v>
      </c>
      <c r="F7" s="32">
        <v>10046</v>
      </c>
      <c r="G7" s="5" t="str">
        <f>INDEX(customer[عنوان],MATCH(Main[[#This Row],[کد ردیابی]],customer[کد],0))</f>
        <v>سلیمان قاسمی</v>
      </c>
      <c r="H7">
        <v>118</v>
      </c>
      <c r="I7" s="6">
        <f ca="1">-Main[[#This Row],[بدهی تسویه شده (کیلوگرم)]]+Main[[#This Row],[بستانکار (کیلوگرم)]]</f>
        <v>118</v>
      </c>
      <c r="J7" s="6">
        <f>IF(Main[[#This Row],[مقدار (کیلوگرم)]]&gt;0,Main[[#This Row],[مقدار (کیلوگرم)]],0)</f>
        <v>118</v>
      </c>
      <c r="K7" s="6">
        <f>-IF(Main[[#This Row],[مقدار (کیلوگرم)]]&lt;0,Main[[#This Row],[مقدار (کیلوگرم)]],0)</f>
        <v>0</v>
      </c>
      <c r="L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" s="7">
        <f>-IF(AND(Main[[#This Row],[مقدار (کیلوگرم)]]&lt;0,Main[[#This Row],[تاريخ میلادی]]&gt;44276),Main[[#This Row],[مقدار (کیلوگرم)]],0)</f>
        <v>0</v>
      </c>
      <c r="N7" s="6">
        <f ca="1">Main[[#This Row],[بدهکار (کیلوگرم)]]-Main[[#This Row],[بدهی تسویه نشده (کیلوگرم)]]</f>
        <v>0</v>
      </c>
      <c r="O7" s="6">
        <f ca="1">Main[[#This Row],[تفکیک]]</f>
        <v>0</v>
      </c>
      <c r="P7" s="6">
        <f ca="1">IF(Main[[#This Row],[تاخیر از سررسید]]&gt;0,Main[[#This Row],[بدهی تسویه نشده (کیلوگرم)]],0)</f>
        <v>0</v>
      </c>
      <c r="Q7" s="6">
        <f ca="1">IF(Main[[#This Row],[بدهی تسویه نشده (کیلوگرم)]]&gt;0,'گزارش فردی'!$B$7-Main[[#This Row],[تاريخ میلادی]],0)</f>
        <v>0</v>
      </c>
      <c r="R7" s="6">
        <f ca="1">IF(Main[[#This Row],[بدهی تسویه نشده (کیلوگرم)]]&gt;0,'گزارش فردی'!$B$7-Main[[#This Row],[تاريخ میلادی]]-'گزارش فردی'!$B$8,0)</f>
        <v>0</v>
      </c>
      <c r="S7" s="6">
        <f ca="1">Main[[#This Row],[روز از ارسال سفارش]]*Main[[#This Row],[بدهی تسویه نشده (کیلوگرم)]]</f>
        <v>0</v>
      </c>
      <c r="T7" s="6">
        <f ca="1">Main[[#This Row],[بدهی سررسید شده (کیلوگرم)]]*Main[[#This Row],[روز از ارسال سفارش]]</f>
        <v>0</v>
      </c>
      <c r="U7" s="6">
        <f>-SUBTOTAL(9,INDEX(Main[مقدار (کیلوگرم)],1):Main[[#This Row],[مقدار (کیلوگرم)]])</f>
        <v>0</v>
      </c>
      <c r="V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" s="6">
        <f>Main[[#This Row],[تعداد کل روزهای بدهکار (روز)]]*Main[[#This Row],[مانده در خط کل (کیلوگرم)]]</f>
        <v>0</v>
      </c>
      <c r="X7" s="6">
        <f>-SUBTOTAL(9,INDEX(Main[مقدار تسویه شده (کیلوگرم)],1):Main[[#This Row],[مقدار تسویه شده (کیلوگرم)]])</f>
        <v>0</v>
      </c>
      <c r="Y7" s="6">
        <f>IF(Main[[#This Row],[مانده در خط تسویه شده (کیلوگرم)]]&lt;&gt;0,Main[[#This Row],[تعداد کل روزهای بدهکار (روز)]],0)</f>
        <v>0</v>
      </c>
      <c r="Z7" s="6">
        <f>Main[[#This Row],[تعداد روزهای بدهکار تسویه شده (روز)]]*Main[[#This Row],[مانده در خط تسویه شده (کیلوگرم)]]</f>
        <v>0</v>
      </c>
      <c r="AA7" s="6">
        <f>SUBTOTAL(9,INDEX(Main[بدهی تسویه نشده (کیلوگرم)],1):Main[[#This Row],[بدهی تسویه نشده (کیلوگرم)]])</f>
        <v>0</v>
      </c>
      <c r="AB7" s="6">
        <f>IF(Main[[#This Row],[مانده در خط تسویه نشده (کیلوگرم)]]&lt;&gt;0,Main[[#This Row],[تعداد کل روزهای بدهکار (روز)]],0)</f>
        <v>0</v>
      </c>
      <c r="AC7" s="6">
        <f>Main[[#This Row],[تعداد روزهای بدهکار  تسویه نشده (روز)]]*Main[[#This Row],[مانده در خط تسویه نشده (کیلوگرم)]]</f>
        <v>0</v>
      </c>
      <c r="AD7" s="6">
        <f>SUBTOTAL(9,INDEX(Main[بدهی سررسید شده (کیلوگرم)],1):Main[[#This Row],[بدهی سررسید شده (کیلوگرم)]])</f>
        <v>0</v>
      </c>
      <c r="AE7" s="6">
        <f>IF(Main[[#This Row],[مانده در خط سررسید شده (کیلوگرم)]]&lt;&gt;0,Main[[#This Row],[تعداد کل روزهای بدهکار (روز)]],0)</f>
        <v>0</v>
      </c>
      <c r="AF7" s="6">
        <f>Main[[#This Row],[تعداد روزهای بدهکار سررسید شده (روز)]]*Main[[#This Row],[مانده در خط سررسید شده (کیلوگرم)]]</f>
        <v>0</v>
      </c>
    </row>
    <row r="8" spans="1:32" hidden="1" x14ac:dyDescent="0.35">
      <c r="A8" s="5">
        <f>ROW()-ROW(INDEX(Main[ردیف],1))+1</f>
        <v>6</v>
      </c>
      <c r="B8" s="31">
        <f>SUBTOTAL(2,INDEX(Main[ردیف],1):Main[[#This Row],[ردیف]])</f>
        <v>0</v>
      </c>
      <c r="C8" s="32" t="s">
        <v>452</v>
      </c>
      <c r="D8" s="32" t="str">
        <f>_xlfn.CONCAT("14",Main[[#This Row],[تاريخ]])</f>
        <v>1400/01/01</v>
      </c>
      <c r="E8" s="33">
        <v>44276</v>
      </c>
      <c r="F8" s="32">
        <v>30056</v>
      </c>
      <c r="G8" s="5" t="str">
        <f>INDEX(customer[عنوان],MATCH(Main[[#This Row],[کد ردیابی]],customer[کد],0))</f>
        <v xml:space="preserve">آلیاژ گستر نقش جهان </v>
      </c>
      <c r="H8">
        <v>-187</v>
      </c>
      <c r="I8" s="6">
        <f ca="1">-Main[[#This Row],[بدهی تسویه شده (کیلوگرم)]]+Main[[#This Row],[بستانکار (کیلوگرم)]]</f>
        <v>-187</v>
      </c>
      <c r="J8" s="6">
        <f>IF(Main[[#This Row],[مقدار (کیلوگرم)]]&gt;0,Main[[#This Row],[مقدار (کیلوگرم)]],0)</f>
        <v>0</v>
      </c>
      <c r="K8" s="6">
        <f>-IF(Main[[#This Row],[مقدار (کیلوگرم)]]&lt;0,Main[[#This Row],[مقدار (کیلوگرم)]],0)</f>
        <v>187</v>
      </c>
      <c r="L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" s="7">
        <f>-IF(AND(Main[[#This Row],[مقدار (کیلوگرم)]]&lt;0,Main[[#This Row],[تاريخ میلادی]]&gt;44276),Main[[#This Row],[مقدار (کیلوگرم)]],0)</f>
        <v>0</v>
      </c>
      <c r="N8" s="6">
        <f ca="1">Main[[#This Row],[بدهکار (کیلوگرم)]]-Main[[#This Row],[بدهی تسویه نشده (کیلوگرم)]]</f>
        <v>187</v>
      </c>
      <c r="O8" s="6">
        <f ca="1">Main[[#This Row],[تفکیک]]</f>
        <v>0</v>
      </c>
      <c r="P8" s="6">
        <f ca="1">IF(Main[[#This Row],[تاخیر از سررسید]]&gt;0,Main[[#This Row],[بدهی تسویه نشده (کیلوگرم)]],0)</f>
        <v>0</v>
      </c>
      <c r="Q8" s="6">
        <f ca="1">IF(Main[[#This Row],[بدهی تسویه نشده (کیلوگرم)]]&gt;0,'گزارش فردی'!$B$7-Main[[#This Row],[تاريخ میلادی]],0)</f>
        <v>0</v>
      </c>
      <c r="R8" s="6">
        <f ca="1">IF(Main[[#This Row],[بدهی تسویه نشده (کیلوگرم)]]&gt;0,'گزارش فردی'!$B$7-Main[[#This Row],[تاريخ میلادی]]-'گزارش فردی'!$B$8,0)</f>
        <v>0</v>
      </c>
      <c r="S8" s="6">
        <f ca="1">Main[[#This Row],[روز از ارسال سفارش]]*Main[[#This Row],[بدهی تسویه نشده (کیلوگرم)]]</f>
        <v>0</v>
      </c>
      <c r="T8" s="6">
        <f ca="1">Main[[#This Row],[بدهی سررسید شده (کیلوگرم)]]*Main[[#This Row],[روز از ارسال سفارش]]</f>
        <v>0</v>
      </c>
      <c r="U8" s="6">
        <f>-SUBTOTAL(9,INDEX(Main[مقدار (کیلوگرم)],1):Main[[#This Row],[مقدار (کیلوگرم)]])</f>
        <v>0</v>
      </c>
      <c r="V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" s="6">
        <f>Main[[#This Row],[تعداد کل روزهای بدهکار (روز)]]*Main[[#This Row],[مانده در خط کل (کیلوگرم)]]</f>
        <v>0</v>
      </c>
      <c r="X8" s="6">
        <f>-SUBTOTAL(9,INDEX(Main[مقدار تسویه شده (کیلوگرم)],1):Main[[#This Row],[مقدار تسویه شده (کیلوگرم)]])</f>
        <v>0</v>
      </c>
      <c r="Y8" s="6">
        <f>IF(Main[[#This Row],[مانده در خط تسویه شده (کیلوگرم)]]&lt;&gt;0,Main[[#This Row],[تعداد کل روزهای بدهکار (روز)]],0)</f>
        <v>0</v>
      </c>
      <c r="Z8" s="6">
        <f>Main[[#This Row],[تعداد روزهای بدهکار تسویه شده (روز)]]*Main[[#This Row],[مانده در خط تسویه شده (کیلوگرم)]]</f>
        <v>0</v>
      </c>
      <c r="AA8" s="6">
        <f>SUBTOTAL(9,INDEX(Main[بدهی تسویه نشده (کیلوگرم)],1):Main[[#This Row],[بدهی تسویه نشده (کیلوگرم)]])</f>
        <v>0</v>
      </c>
      <c r="AB8" s="6">
        <f>IF(Main[[#This Row],[مانده در خط تسویه نشده (کیلوگرم)]]&lt;&gt;0,Main[[#This Row],[تعداد کل روزهای بدهکار (روز)]],0)</f>
        <v>0</v>
      </c>
      <c r="AC8" s="6">
        <f>Main[[#This Row],[تعداد روزهای بدهکار  تسویه نشده (روز)]]*Main[[#This Row],[مانده در خط تسویه نشده (کیلوگرم)]]</f>
        <v>0</v>
      </c>
      <c r="AD8" s="6">
        <f>SUBTOTAL(9,INDEX(Main[بدهی سررسید شده (کیلوگرم)],1):Main[[#This Row],[بدهی سررسید شده (کیلوگرم)]])</f>
        <v>0</v>
      </c>
      <c r="AE8" s="6">
        <f>IF(Main[[#This Row],[مانده در خط سررسید شده (کیلوگرم)]]&lt;&gt;0,Main[[#This Row],[تعداد کل روزهای بدهکار (روز)]],0)</f>
        <v>0</v>
      </c>
      <c r="AF8" s="6">
        <f>Main[[#This Row],[تعداد روزهای بدهکار سررسید شده (روز)]]*Main[[#This Row],[مانده در خط سررسید شده (کیلوگرم)]]</f>
        <v>0</v>
      </c>
    </row>
    <row r="9" spans="1:32" hidden="1" x14ac:dyDescent="0.35">
      <c r="A9" s="5">
        <f>ROW()-ROW(INDEX(Main[ردیف],1))+1</f>
        <v>7</v>
      </c>
      <c r="B9" s="31">
        <f>SUBTOTAL(2,INDEX(Main[ردیف],1):Main[[#This Row],[ردیف]])</f>
        <v>0</v>
      </c>
      <c r="C9" s="32" t="s">
        <v>452</v>
      </c>
      <c r="D9" s="32" t="str">
        <f>_xlfn.CONCAT("14",Main[[#This Row],[تاريخ]])</f>
        <v>1400/01/01</v>
      </c>
      <c r="E9" s="33">
        <v>44276</v>
      </c>
      <c r="F9" s="32">
        <v>30069</v>
      </c>
      <c r="G9" s="5" t="str">
        <f>INDEX(customer[عنوان],MATCH(Main[[#This Row],[کد ردیابی]],customer[کد],0))</f>
        <v xml:space="preserve"> تراشکاری ایلخانی </v>
      </c>
      <c r="H9">
        <v>66</v>
      </c>
      <c r="I9" s="6">
        <f ca="1">-Main[[#This Row],[بدهی تسویه شده (کیلوگرم)]]+Main[[#This Row],[بستانکار (کیلوگرم)]]</f>
        <v>66</v>
      </c>
      <c r="J9" s="6">
        <f>IF(Main[[#This Row],[مقدار (کیلوگرم)]]&gt;0,Main[[#This Row],[مقدار (کیلوگرم)]],0)</f>
        <v>66</v>
      </c>
      <c r="K9" s="6">
        <f>-IF(Main[[#This Row],[مقدار (کیلوگرم)]]&lt;0,Main[[#This Row],[مقدار (کیلوگرم)]],0)</f>
        <v>0</v>
      </c>
      <c r="L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" s="7">
        <f>-IF(AND(Main[[#This Row],[مقدار (کیلوگرم)]]&lt;0,Main[[#This Row],[تاريخ میلادی]]&gt;44276),Main[[#This Row],[مقدار (کیلوگرم)]],0)</f>
        <v>0</v>
      </c>
      <c r="N9" s="6">
        <f ca="1">Main[[#This Row],[بدهکار (کیلوگرم)]]-Main[[#This Row],[بدهی تسویه نشده (کیلوگرم)]]</f>
        <v>0</v>
      </c>
      <c r="O9" s="6">
        <f ca="1">Main[[#This Row],[تفکیک]]</f>
        <v>0</v>
      </c>
      <c r="P9" s="6">
        <f ca="1">IF(Main[[#This Row],[تاخیر از سررسید]]&gt;0,Main[[#This Row],[بدهی تسویه نشده (کیلوگرم)]],0)</f>
        <v>0</v>
      </c>
      <c r="Q9" s="6">
        <f ca="1">IF(Main[[#This Row],[بدهی تسویه نشده (کیلوگرم)]]&gt;0,'گزارش فردی'!$B$7-Main[[#This Row],[تاريخ میلادی]],0)</f>
        <v>0</v>
      </c>
      <c r="R9" s="6">
        <f ca="1">IF(Main[[#This Row],[بدهی تسویه نشده (کیلوگرم)]]&gt;0,'گزارش فردی'!$B$7-Main[[#This Row],[تاريخ میلادی]]-'گزارش فردی'!$B$8,0)</f>
        <v>0</v>
      </c>
      <c r="S9" s="6">
        <f ca="1">Main[[#This Row],[روز از ارسال سفارش]]*Main[[#This Row],[بدهی تسویه نشده (کیلوگرم)]]</f>
        <v>0</v>
      </c>
      <c r="T9" s="6">
        <f ca="1">Main[[#This Row],[بدهی سررسید شده (کیلوگرم)]]*Main[[#This Row],[روز از ارسال سفارش]]</f>
        <v>0</v>
      </c>
      <c r="U9" s="6">
        <f>-SUBTOTAL(9,INDEX(Main[مقدار (کیلوگرم)],1):Main[[#This Row],[مقدار (کیلوگرم)]])</f>
        <v>0</v>
      </c>
      <c r="V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" s="6">
        <f>Main[[#This Row],[تعداد کل روزهای بدهکار (روز)]]*Main[[#This Row],[مانده در خط کل (کیلوگرم)]]</f>
        <v>0</v>
      </c>
      <c r="X9" s="6">
        <f>-SUBTOTAL(9,INDEX(Main[مقدار تسویه شده (کیلوگرم)],1):Main[[#This Row],[مقدار تسویه شده (کیلوگرم)]])</f>
        <v>0</v>
      </c>
      <c r="Y9" s="6">
        <f>IF(Main[[#This Row],[مانده در خط تسویه شده (کیلوگرم)]]&lt;&gt;0,Main[[#This Row],[تعداد کل روزهای بدهکار (روز)]],0)</f>
        <v>0</v>
      </c>
      <c r="Z9" s="6">
        <f>Main[[#This Row],[تعداد روزهای بدهکار تسویه شده (روز)]]*Main[[#This Row],[مانده در خط تسویه شده (کیلوگرم)]]</f>
        <v>0</v>
      </c>
      <c r="AA9" s="6">
        <f>SUBTOTAL(9,INDEX(Main[بدهی تسویه نشده (کیلوگرم)],1):Main[[#This Row],[بدهی تسویه نشده (کیلوگرم)]])</f>
        <v>0</v>
      </c>
      <c r="AB9" s="6">
        <f>IF(Main[[#This Row],[مانده در خط تسویه نشده (کیلوگرم)]]&lt;&gt;0,Main[[#This Row],[تعداد کل روزهای بدهکار (روز)]],0)</f>
        <v>0</v>
      </c>
      <c r="AC9" s="6">
        <f>Main[[#This Row],[تعداد روزهای بدهکار  تسویه نشده (روز)]]*Main[[#This Row],[مانده در خط تسویه نشده (کیلوگرم)]]</f>
        <v>0</v>
      </c>
      <c r="AD9" s="6">
        <f>SUBTOTAL(9,INDEX(Main[بدهی سررسید شده (کیلوگرم)],1):Main[[#This Row],[بدهی سررسید شده (کیلوگرم)]])</f>
        <v>0</v>
      </c>
      <c r="AE9" s="6">
        <f>IF(Main[[#This Row],[مانده در خط سررسید شده (کیلوگرم)]]&lt;&gt;0,Main[[#This Row],[تعداد کل روزهای بدهکار (روز)]],0)</f>
        <v>0</v>
      </c>
      <c r="AF9" s="6">
        <f>Main[[#This Row],[تعداد روزهای بدهکار سررسید شده (روز)]]*Main[[#This Row],[مانده در خط سررسید شده (کیلوگرم)]]</f>
        <v>0</v>
      </c>
    </row>
    <row r="10" spans="1:32" hidden="1" x14ac:dyDescent="0.35">
      <c r="A10" s="5">
        <f>ROW()-ROW(INDEX(Main[ردیف],1))+1</f>
        <v>8</v>
      </c>
      <c r="B10" s="31">
        <f>SUBTOTAL(2,INDEX(Main[ردیف],1):Main[[#This Row],[ردیف]])</f>
        <v>0</v>
      </c>
      <c r="C10" s="32" t="s">
        <v>452</v>
      </c>
      <c r="D10" s="32" t="str">
        <f>_xlfn.CONCAT("14",Main[[#This Row],[تاريخ]])</f>
        <v>1400/01/01</v>
      </c>
      <c r="E10" s="33">
        <v>44276</v>
      </c>
      <c r="F10" s="32">
        <v>30018</v>
      </c>
      <c r="G10" s="5" t="str">
        <f>INDEX(customer[عنوان],MATCH(Main[[#This Row],[کد ردیابی]],customer[کد],0))</f>
        <v xml:space="preserve">تولیدی شیر سازی غریب پویا </v>
      </c>
      <c r="H10">
        <v>-245</v>
      </c>
      <c r="I10" s="6">
        <f ca="1">-Main[[#This Row],[بدهی تسویه شده (کیلوگرم)]]+Main[[#This Row],[بستانکار (کیلوگرم)]]</f>
        <v>-245</v>
      </c>
      <c r="J10" s="6">
        <f>IF(Main[[#This Row],[مقدار (کیلوگرم)]]&gt;0,Main[[#This Row],[مقدار (کیلوگرم)]],0)</f>
        <v>0</v>
      </c>
      <c r="K10" s="6">
        <f>-IF(Main[[#This Row],[مقدار (کیلوگرم)]]&lt;0,Main[[#This Row],[مقدار (کیلوگرم)]],0)</f>
        <v>245</v>
      </c>
      <c r="L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" s="7">
        <f>-IF(AND(Main[[#This Row],[مقدار (کیلوگرم)]]&lt;0,Main[[#This Row],[تاريخ میلادی]]&gt;44276),Main[[#This Row],[مقدار (کیلوگرم)]],0)</f>
        <v>0</v>
      </c>
      <c r="N10" s="6">
        <f ca="1">Main[[#This Row],[بدهکار (کیلوگرم)]]-Main[[#This Row],[بدهی تسویه نشده (کیلوگرم)]]</f>
        <v>245</v>
      </c>
      <c r="O10" s="6">
        <f ca="1">Main[[#This Row],[تفکیک]]</f>
        <v>0</v>
      </c>
      <c r="P10" s="6">
        <f ca="1">IF(Main[[#This Row],[تاخیر از سررسید]]&gt;0,Main[[#This Row],[بدهی تسویه نشده (کیلوگرم)]],0)</f>
        <v>0</v>
      </c>
      <c r="Q10" s="6">
        <f ca="1">IF(Main[[#This Row],[بدهی تسویه نشده (کیلوگرم)]]&gt;0,'گزارش فردی'!$B$7-Main[[#This Row],[تاريخ میلادی]],0)</f>
        <v>0</v>
      </c>
      <c r="R10" s="6">
        <f ca="1">IF(Main[[#This Row],[بدهی تسویه نشده (کیلوگرم)]]&gt;0,'گزارش فردی'!$B$7-Main[[#This Row],[تاريخ میلادی]]-'گزارش فردی'!$B$8,0)</f>
        <v>0</v>
      </c>
      <c r="S10" s="6">
        <f ca="1">Main[[#This Row],[روز از ارسال سفارش]]*Main[[#This Row],[بدهی تسویه نشده (کیلوگرم)]]</f>
        <v>0</v>
      </c>
      <c r="T10" s="6">
        <f ca="1">Main[[#This Row],[بدهی سررسید شده (کیلوگرم)]]*Main[[#This Row],[روز از ارسال سفارش]]</f>
        <v>0</v>
      </c>
      <c r="U10" s="6">
        <f>-SUBTOTAL(9,INDEX(Main[مقدار (کیلوگرم)],1):Main[[#This Row],[مقدار (کیلوگرم)]])</f>
        <v>0</v>
      </c>
      <c r="V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" s="6">
        <f>Main[[#This Row],[تعداد کل روزهای بدهکار (روز)]]*Main[[#This Row],[مانده در خط کل (کیلوگرم)]]</f>
        <v>0</v>
      </c>
      <c r="X10" s="6">
        <f>-SUBTOTAL(9,INDEX(Main[مقدار تسویه شده (کیلوگرم)],1):Main[[#This Row],[مقدار تسویه شده (کیلوگرم)]])</f>
        <v>0</v>
      </c>
      <c r="Y10" s="6">
        <f>IF(Main[[#This Row],[مانده در خط تسویه شده (کیلوگرم)]]&lt;&gt;0,Main[[#This Row],[تعداد کل روزهای بدهکار (روز)]],0)</f>
        <v>0</v>
      </c>
      <c r="Z10" s="6">
        <f>Main[[#This Row],[تعداد روزهای بدهکار تسویه شده (روز)]]*Main[[#This Row],[مانده در خط تسویه شده (کیلوگرم)]]</f>
        <v>0</v>
      </c>
      <c r="AA10" s="6">
        <f>SUBTOTAL(9,INDEX(Main[بدهی تسویه نشده (کیلوگرم)],1):Main[[#This Row],[بدهی تسویه نشده (کیلوگرم)]])</f>
        <v>0</v>
      </c>
      <c r="AB10" s="6">
        <f>IF(Main[[#This Row],[مانده در خط تسویه نشده (کیلوگرم)]]&lt;&gt;0,Main[[#This Row],[تعداد کل روزهای بدهکار (روز)]],0)</f>
        <v>0</v>
      </c>
      <c r="AC10" s="6">
        <f>Main[[#This Row],[تعداد روزهای بدهکار  تسویه نشده (روز)]]*Main[[#This Row],[مانده در خط تسویه نشده (کیلوگرم)]]</f>
        <v>0</v>
      </c>
      <c r="AD10" s="6">
        <f>SUBTOTAL(9,INDEX(Main[بدهی سررسید شده (کیلوگرم)],1):Main[[#This Row],[بدهی سررسید شده (کیلوگرم)]])</f>
        <v>0</v>
      </c>
      <c r="AE10" s="6">
        <f>IF(Main[[#This Row],[مانده در خط سررسید شده (کیلوگرم)]]&lt;&gt;0,Main[[#This Row],[تعداد کل روزهای بدهکار (روز)]],0)</f>
        <v>0</v>
      </c>
      <c r="AF10" s="6">
        <f>Main[[#This Row],[تعداد روزهای بدهکار سررسید شده (روز)]]*Main[[#This Row],[مانده در خط سررسید شده (کیلوگرم)]]</f>
        <v>0</v>
      </c>
    </row>
    <row r="11" spans="1:32" hidden="1" x14ac:dyDescent="0.35">
      <c r="A11" s="5">
        <f>ROW()-ROW(INDEX(Main[ردیف],1))+1</f>
        <v>9</v>
      </c>
      <c r="B11" s="31">
        <f>SUBTOTAL(2,INDEX(Main[ردیف],1):Main[[#This Row],[ردیف]])</f>
        <v>0</v>
      </c>
      <c r="C11" s="32" t="s">
        <v>452</v>
      </c>
      <c r="D11" s="32" t="str">
        <f>_xlfn.CONCAT("14",Main[[#This Row],[تاريخ]])</f>
        <v>1400/01/01</v>
      </c>
      <c r="E11" s="33">
        <v>44276</v>
      </c>
      <c r="F11" s="32">
        <v>10092</v>
      </c>
      <c r="G11" s="5" t="str">
        <f>INDEX(customer[عنوان],MATCH(Main[[#This Row],[کد ردیابی]],customer[کد],0))</f>
        <v xml:space="preserve">احمدی مهدی </v>
      </c>
      <c r="H11">
        <v>90</v>
      </c>
      <c r="I11" s="6">
        <f ca="1">-Main[[#This Row],[بدهی تسویه شده (کیلوگرم)]]+Main[[#This Row],[بستانکار (کیلوگرم)]]</f>
        <v>90</v>
      </c>
      <c r="J11" s="6">
        <f>IF(Main[[#This Row],[مقدار (کیلوگرم)]]&gt;0,Main[[#This Row],[مقدار (کیلوگرم)]],0)</f>
        <v>90</v>
      </c>
      <c r="K11" s="6">
        <f>-IF(Main[[#This Row],[مقدار (کیلوگرم)]]&lt;0,Main[[#This Row],[مقدار (کیلوگرم)]],0)</f>
        <v>0</v>
      </c>
      <c r="L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" s="7">
        <f>-IF(AND(Main[[#This Row],[مقدار (کیلوگرم)]]&lt;0,Main[[#This Row],[تاريخ میلادی]]&gt;44276),Main[[#This Row],[مقدار (کیلوگرم)]],0)</f>
        <v>0</v>
      </c>
      <c r="N11" s="6">
        <f ca="1">Main[[#This Row],[بدهکار (کیلوگرم)]]-Main[[#This Row],[بدهی تسویه نشده (کیلوگرم)]]</f>
        <v>0</v>
      </c>
      <c r="O11" s="6">
        <f ca="1">Main[[#This Row],[تفکیک]]</f>
        <v>0</v>
      </c>
      <c r="P11" s="6">
        <f ca="1">IF(Main[[#This Row],[تاخیر از سررسید]]&gt;0,Main[[#This Row],[بدهی تسویه نشده (کیلوگرم)]],0)</f>
        <v>0</v>
      </c>
      <c r="Q11" s="6">
        <f ca="1">IF(Main[[#This Row],[بدهی تسویه نشده (کیلوگرم)]]&gt;0,'گزارش فردی'!$B$7-Main[[#This Row],[تاريخ میلادی]],0)</f>
        <v>0</v>
      </c>
      <c r="R11" s="6">
        <f ca="1">IF(Main[[#This Row],[بدهی تسویه نشده (کیلوگرم)]]&gt;0,'گزارش فردی'!$B$7-Main[[#This Row],[تاريخ میلادی]]-'گزارش فردی'!$B$8,0)</f>
        <v>0</v>
      </c>
      <c r="S11" s="6">
        <f ca="1">Main[[#This Row],[روز از ارسال سفارش]]*Main[[#This Row],[بدهی تسویه نشده (کیلوگرم)]]</f>
        <v>0</v>
      </c>
      <c r="T11" s="6">
        <f ca="1">Main[[#This Row],[بدهی سررسید شده (کیلوگرم)]]*Main[[#This Row],[روز از ارسال سفارش]]</f>
        <v>0</v>
      </c>
      <c r="U11" s="6">
        <f>-SUBTOTAL(9,INDEX(Main[مقدار (کیلوگرم)],1):Main[[#This Row],[مقدار (کیلوگرم)]])</f>
        <v>0</v>
      </c>
      <c r="V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" s="6">
        <f>Main[[#This Row],[تعداد کل روزهای بدهکار (روز)]]*Main[[#This Row],[مانده در خط کل (کیلوگرم)]]</f>
        <v>0</v>
      </c>
      <c r="X11" s="6">
        <f>-SUBTOTAL(9,INDEX(Main[مقدار تسویه شده (کیلوگرم)],1):Main[[#This Row],[مقدار تسویه شده (کیلوگرم)]])</f>
        <v>0</v>
      </c>
      <c r="Y11" s="6">
        <f>IF(Main[[#This Row],[مانده در خط تسویه شده (کیلوگرم)]]&lt;&gt;0,Main[[#This Row],[تعداد کل روزهای بدهکار (روز)]],0)</f>
        <v>0</v>
      </c>
      <c r="Z11" s="6">
        <f>Main[[#This Row],[تعداد روزهای بدهکار تسویه شده (روز)]]*Main[[#This Row],[مانده در خط تسویه شده (کیلوگرم)]]</f>
        <v>0</v>
      </c>
      <c r="AA11" s="6">
        <f>SUBTOTAL(9,INDEX(Main[بدهی تسویه نشده (کیلوگرم)],1):Main[[#This Row],[بدهی تسویه نشده (کیلوگرم)]])</f>
        <v>0</v>
      </c>
      <c r="AB11" s="6">
        <f>IF(Main[[#This Row],[مانده در خط تسویه نشده (کیلوگرم)]]&lt;&gt;0,Main[[#This Row],[تعداد کل روزهای بدهکار (روز)]],0)</f>
        <v>0</v>
      </c>
      <c r="AC11" s="6">
        <f>Main[[#This Row],[تعداد روزهای بدهکار  تسویه نشده (روز)]]*Main[[#This Row],[مانده در خط تسویه نشده (کیلوگرم)]]</f>
        <v>0</v>
      </c>
      <c r="AD11" s="6">
        <f>SUBTOTAL(9,INDEX(Main[بدهی سررسید شده (کیلوگرم)],1):Main[[#This Row],[بدهی سررسید شده (کیلوگرم)]])</f>
        <v>0</v>
      </c>
      <c r="AE11" s="6">
        <f>IF(Main[[#This Row],[مانده در خط سررسید شده (کیلوگرم)]]&lt;&gt;0,Main[[#This Row],[تعداد کل روزهای بدهکار (روز)]],0)</f>
        <v>0</v>
      </c>
      <c r="AF11" s="6">
        <f>Main[[#This Row],[تعداد روزهای بدهکار سررسید شده (روز)]]*Main[[#This Row],[مانده در خط سررسید شده (کیلوگرم)]]</f>
        <v>0</v>
      </c>
    </row>
    <row r="12" spans="1:32" hidden="1" x14ac:dyDescent="0.35">
      <c r="A12" s="5">
        <f>ROW()-ROW(INDEX(Main[ردیف],1))+1</f>
        <v>10</v>
      </c>
      <c r="B12" s="31">
        <f>SUBTOTAL(2,INDEX(Main[ردیف],1):Main[[#This Row],[ردیف]])</f>
        <v>0</v>
      </c>
      <c r="C12" s="32" t="s">
        <v>452</v>
      </c>
      <c r="D12" s="32" t="str">
        <f>_xlfn.CONCAT("14",Main[[#This Row],[تاريخ]])</f>
        <v>1400/01/01</v>
      </c>
      <c r="E12" s="33">
        <v>44276</v>
      </c>
      <c r="F12" s="32">
        <v>30099</v>
      </c>
      <c r="G12" s="5" t="str">
        <f>INDEX(customer[عنوان],MATCH(Main[[#This Row],[کد ردیابی]],customer[کد],0))</f>
        <v>ایران شرق نیشابور</v>
      </c>
      <c r="H12">
        <v>-394</v>
      </c>
      <c r="I12" s="6">
        <f ca="1">-Main[[#This Row],[بدهی تسویه شده (کیلوگرم)]]+Main[[#This Row],[بستانکار (کیلوگرم)]]</f>
        <v>-394</v>
      </c>
      <c r="J12" s="6">
        <f>IF(Main[[#This Row],[مقدار (کیلوگرم)]]&gt;0,Main[[#This Row],[مقدار (کیلوگرم)]],0)</f>
        <v>0</v>
      </c>
      <c r="K12" s="6">
        <f>-IF(Main[[#This Row],[مقدار (کیلوگرم)]]&lt;0,Main[[#This Row],[مقدار (کیلوگرم)]],0)</f>
        <v>394</v>
      </c>
      <c r="L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" s="7">
        <f>-IF(AND(Main[[#This Row],[مقدار (کیلوگرم)]]&lt;0,Main[[#This Row],[تاريخ میلادی]]&gt;44276),Main[[#This Row],[مقدار (کیلوگرم)]],0)</f>
        <v>0</v>
      </c>
      <c r="N12" s="6">
        <f ca="1">Main[[#This Row],[بدهکار (کیلوگرم)]]-Main[[#This Row],[بدهی تسویه نشده (کیلوگرم)]]</f>
        <v>394</v>
      </c>
      <c r="O12" s="6">
        <f ca="1">Main[[#This Row],[تفکیک]]</f>
        <v>0</v>
      </c>
      <c r="P12" s="6">
        <f ca="1">IF(Main[[#This Row],[تاخیر از سررسید]]&gt;0,Main[[#This Row],[بدهی تسویه نشده (کیلوگرم)]],0)</f>
        <v>0</v>
      </c>
      <c r="Q12" s="6">
        <f ca="1">IF(Main[[#This Row],[بدهی تسویه نشده (کیلوگرم)]]&gt;0,'گزارش فردی'!$B$7-Main[[#This Row],[تاريخ میلادی]],0)</f>
        <v>0</v>
      </c>
      <c r="R12" s="6">
        <f ca="1">IF(Main[[#This Row],[بدهی تسویه نشده (کیلوگرم)]]&gt;0,'گزارش فردی'!$B$7-Main[[#This Row],[تاريخ میلادی]]-'گزارش فردی'!$B$8,0)</f>
        <v>0</v>
      </c>
      <c r="S12" s="6">
        <f ca="1">Main[[#This Row],[روز از ارسال سفارش]]*Main[[#This Row],[بدهی تسویه نشده (کیلوگرم)]]</f>
        <v>0</v>
      </c>
      <c r="T12" s="6">
        <f ca="1">Main[[#This Row],[بدهی سررسید شده (کیلوگرم)]]*Main[[#This Row],[روز از ارسال سفارش]]</f>
        <v>0</v>
      </c>
      <c r="U12" s="6">
        <f>-SUBTOTAL(9,INDEX(Main[مقدار (کیلوگرم)],1):Main[[#This Row],[مقدار (کیلوگرم)]])</f>
        <v>0</v>
      </c>
      <c r="V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" s="6">
        <f>Main[[#This Row],[تعداد کل روزهای بدهکار (روز)]]*Main[[#This Row],[مانده در خط کل (کیلوگرم)]]</f>
        <v>0</v>
      </c>
      <c r="X12" s="6">
        <f>-SUBTOTAL(9,INDEX(Main[مقدار تسویه شده (کیلوگرم)],1):Main[[#This Row],[مقدار تسویه شده (کیلوگرم)]])</f>
        <v>0</v>
      </c>
      <c r="Y12" s="6">
        <f>IF(Main[[#This Row],[مانده در خط تسویه شده (کیلوگرم)]]&lt;&gt;0,Main[[#This Row],[تعداد کل روزهای بدهکار (روز)]],0)</f>
        <v>0</v>
      </c>
      <c r="Z12" s="6">
        <f>Main[[#This Row],[تعداد روزهای بدهکار تسویه شده (روز)]]*Main[[#This Row],[مانده در خط تسویه شده (کیلوگرم)]]</f>
        <v>0</v>
      </c>
      <c r="AA12" s="6">
        <f>SUBTOTAL(9,INDEX(Main[بدهی تسویه نشده (کیلوگرم)],1):Main[[#This Row],[بدهی تسویه نشده (کیلوگرم)]])</f>
        <v>0</v>
      </c>
      <c r="AB12" s="6">
        <f>IF(Main[[#This Row],[مانده در خط تسویه نشده (کیلوگرم)]]&lt;&gt;0,Main[[#This Row],[تعداد کل روزهای بدهکار (روز)]],0)</f>
        <v>0</v>
      </c>
      <c r="AC12" s="6">
        <f>Main[[#This Row],[تعداد روزهای بدهکار  تسویه نشده (روز)]]*Main[[#This Row],[مانده در خط تسویه نشده (کیلوگرم)]]</f>
        <v>0</v>
      </c>
      <c r="AD12" s="6">
        <f>SUBTOTAL(9,INDEX(Main[بدهی سررسید شده (کیلوگرم)],1):Main[[#This Row],[بدهی سررسید شده (کیلوگرم)]])</f>
        <v>0</v>
      </c>
      <c r="AE12" s="6">
        <f>IF(Main[[#This Row],[مانده در خط سررسید شده (کیلوگرم)]]&lt;&gt;0,Main[[#This Row],[تعداد کل روزهای بدهکار (روز)]],0)</f>
        <v>0</v>
      </c>
      <c r="AF12" s="6">
        <f>Main[[#This Row],[تعداد روزهای بدهکار سررسید شده (روز)]]*Main[[#This Row],[مانده در خط سررسید شده (کیلوگرم)]]</f>
        <v>0</v>
      </c>
    </row>
    <row r="13" spans="1:32" hidden="1" x14ac:dyDescent="0.35">
      <c r="A13" s="5">
        <f>ROW()-ROW(INDEX(Main[ردیف],1))+1</f>
        <v>11</v>
      </c>
      <c r="B13" s="31">
        <f>SUBTOTAL(2,INDEX(Main[ردیف],1):Main[[#This Row],[ردیف]])</f>
        <v>0</v>
      </c>
      <c r="C13" s="32" t="s">
        <v>452</v>
      </c>
      <c r="D13" s="32" t="str">
        <f>_xlfn.CONCAT("14",Main[[#This Row],[تاريخ]])</f>
        <v>1400/01/01</v>
      </c>
      <c r="E13" s="33">
        <v>44276</v>
      </c>
      <c r="F13" s="32">
        <v>10109</v>
      </c>
      <c r="G13" s="5" t="str">
        <f>INDEX(customer[عنوان],MATCH(Main[[#This Row],[کد ردیابی]],customer[کد],0))</f>
        <v>فردی مجتبی</v>
      </c>
      <c r="H13">
        <v>289</v>
      </c>
      <c r="I13" s="6">
        <f ca="1">-Main[[#This Row],[بدهی تسویه شده (کیلوگرم)]]+Main[[#This Row],[بستانکار (کیلوگرم)]]</f>
        <v>289</v>
      </c>
      <c r="J13" s="6">
        <f>IF(Main[[#This Row],[مقدار (کیلوگرم)]]&gt;0,Main[[#This Row],[مقدار (کیلوگرم)]],0)</f>
        <v>289</v>
      </c>
      <c r="K13" s="6">
        <f>-IF(Main[[#This Row],[مقدار (کیلوگرم)]]&lt;0,Main[[#This Row],[مقدار (کیلوگرم)]],0)</f>
        <v>0</v>
      </c>
      <c r="L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" s="7">
        <f>-IF(AND(Main[[#This Row],[مقدار (کیلوگرم)]]&lt;0,Main[[#This Row],[تاريخ میلادی]]&gt;44276),Main[[#This Row],[مقدار (کیلوگرم)]],0)</f>
        <v>0</v>
      </c>
      <c r="N13" s="6">
        <f ca="1">Main[[#This Row],[بدهکار (کیلوگرم)]]-Main[[#This Row],[بدهی تسویه نشده (کیلوگرم)]]</f>
        <v>0</v>
      </c>
      <c r="O13" s="6">
        <f ca="1">Main[[#This Row],[تفکیک]]</f>
        <v>0</v>
      </c>
      <c r="P13" s="6">
        <f ca="1">IF(Main[[#This Row],[تاخیر از سررسید]]&gt;0,Main[[#This Row],[بدهی تسویه نشده (کیلوگرم)]],0)</f>
        <v>0</v>
      </c>
      <c r="Q13" s="6">
        <f ca="1">IF(Main[[#This Row],[بدهی تسویه نشده (کیلوگرم)]]&gt;0,'گزارش فردی'!$B$7-Main[[#This Row],[تاريخ میلادی]],0)</f>
        <v>0</v>
      </c>
      <c r="R13" s="6">
        <f ca="1">IF(Main[[#This Row],[بدهی تسویه نشده (کیلوگرم)]]&gt;0,'گزارش فردی'!$B$7-Main[[#This Row],[تاريخ میلادی]]-'گزارش فردی'!$B$8,0)</f>
        <v>0</v>
      </c>
      <c r="S13" s="6">
        <f ca="1">Main[[#This Row],[روز از ارسال سفارش]]*Main[[#This Row],[بدهی تسویه نشده (کیلوگرم)]]</f>
        <v>0</v>
      </c>
      <c r="T13" s="6">
        <f ca="1">Main[[#This Row],[بدهی سررسید شده (کیلوگرم)]]*Main[[#This Row],[روز از ارسال سفارش]]</f>
        <v>0</v>
      </c>
      <c r="U13" s="6">
        <f>-SUBTOTAL(9,INDEX(Main[مقدار (کیلوگرم)],1):Main[[#This Row],[مقدار (کیلوگرم)]])</f>
        <v>0</v>
      </c>
      <c r="V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" s="6">
        <f>Main[[#This Row],[تعداد کل روزهای بدهکار (روز)]]*Main[[#This Row],[مانده در خط کل (کیلوگرم)]]</f>
        <v>0</v>
      </c>
      <c r="X13" s="6">
        <f>-SUBTOTAL(9,INDEX(Main[مقدار تسویه شده (کیلوگرم)],1):Main[[#This Row],[مقدار تسویه شده (کیلوگرم)]])</f>
        <v>0</v>
      </c>
      <c r="Y13" s="6">
        <f>IF(Main[[#This Row],[مانده در خط تسویه شده (کیلوگرم)]]&lt;&gt;0,Main[[#This Row],[تعداد کل روزهای بدهکار (روز)]],0)</f>
        <v>0</v>
      </c>
      <c r="Z13" s="6">
        <f>Main[[#This Row],[تعداد روزهای بدهکار تسویه شده (روز)]]*Main[[#This Row],[مانده در خط تسویه شده (کیلوگرم)]]</f>
        <v>0</v>
      </c>
      <c r="AA13" s="6">
        <f>SUBTOTAL(9,INDEX(Main[بدهی تسویه نشده (کیلوگرم)],1):Main[[#This Row],[بدهی تسویه نشده (کیلوگرم)]])</f>
        <v>0</v>
      </c>
      <c r="AB13" s="6">
        <f>IF(Main[[#This Row],[مانده در خط تسویه نشده (کیلوگرم)]]&lt;&gt;0,Main[[#This Row],[تعداد کل روزهای بدهکار (روز)]],0)</f>
        <v>0</v>
      </c>
      <c r="AC13" s="6">
        <f>Main[[#This Row],[تعداد روزهای بدهکار  تسویه نشده (روز)]]*Main[[#This Row],[مانده در خط تسویه نشده (کیلوگرم)]]</f>
        <v>0</v>
      </c>
      <c r="AD13" s="6">
        <f>SUBTOTAL(9,INDEX(Main[بدهی سررسید شده (کیلوگرم)],1):Main[[#This Row],[بدهی سررسید شده (کیلوگرم)]])</f>
        <v>0</v>
      </c>
      <c r="AE13" s="6">
        <f>IF(Main[[#This Row],[مانده در خط سررسید شده (کیلوگرم)]]&lt;&gt;0,Main[[#This Row],[تعداد کل روزهای بدهکار (روز)]],0)</f>
        <v>0</v>
      </c>
      <c r="AF13" s="6">
        <f>Main[[#This Row],[تعداد روزهای بدهکار سررسید شده (روز)]]*Main[[#This Row],[مانده در خط سررسید شده (کیلوگرم)]]</f>
        <v>0</v>
      </c>
    </row>
    <row r="14" spans="1:32" hidden="1" x14ac:dyDescent="0.35">
      <c r="A14" s="5">
        <f>ROW()-ROW(INDEX(Main[ردیف],1))+1</f>
        <v>12</v>
      </c>
      <c r="B14" s="31">
        <f>SUBTOTAL(2,INDEX(Main[ردیف],1):Main[[#This Row],[ردیف]])</f>
        <v>0</v>
      </c>
      <c r="C14" s="32" t="s">
        <v>452</v>
      </c>
      <c r="D14" s="32" t="str">
        <f>_xlfn.CONCAT("14",Main[[#This Row],[تاريخ]])</f>
        <v>1400/01/01</v>
      </c>
      <c r="E14" s="33">
        <v>44276</v>
      </c>
      <c r="F14" s="32">
        <v>30006</v>
      </c>
      <c r="G14" s="5" t="str">
        <f>INDEX(customer[عنوان],MATCH(Main[[#This Row],[کد ردیابی]],customer[کد],0))</f>
        <v xml:space="preserve">توان جم </v>
      </c>
      <c r="H14">
        <v>-346</v>
      </c>
      <c r="I14" s="6">
        <f ca="1">-Main[[#This Row],[بدهی تسویه شده (کیلوگرم)]]+Main[[#This Row],[بستانکار (کیلوگرم)]]</f>
        <v>-346</v>
      </c>
      <c r="J14" s="6">
        <f>IF(Main[[#This Row],[مقدار (کیلوگرم)]]&gt;0,Main[[#This Row],[مقدار (کیلوگرم)]],0)</f>
        <v>0</v>
      </c>
      <c r="K14" s="6">
        <f>-IF(Main[[#This Row],[مقدار (کیلوگرم)]]&lt;0,Main[[#This Row],[مقدار (کیلوگرم)]],0)</f>
        <v>346</v>
      </c>
      <c r="L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" s="7">
        <f>-IF(AND(Main[[#This Row],[مقدار (کیلوگرم)]]&lt;0,Main[[#This Row],[تاريخ میلادی]]&gt;44276),Main[[#This Row],[مقدار (کیلوگرم)]],0)</f>
        <v>0</v>
      </c>
      <c r="N14" s="6">
        <f ca="1">Main[[#This Row],[بدهکار (کیلوگرم)]]-Main[[#This Row],[بدهی تسویه نشده (کیلوگرم)]]</f>
        <v>346</v>
      </c>
      <c r="O14" s="6">
        <f ca="1">Main[[#This Row],[تفکیک]]</f>
        <v>0</v>
      </c>
      <c r="P14" s="6">
        <f ca="1">IF(Main[[#This Row],[تاخیر از سررسید]]&gt;0,Main[[#This Row],[بدهی تسویه نشده (کیلوگرم)]],0)</f>
        <v>0</v>
      </c>
      <c r="Q14" s="6">
        <f ca="1">IF(Main[[#This Row],[بدهی تسویه نشده (کیلوگرم)]]&gt;0,'گزارش فردی'!$B$7-Main[[#This Row],[تاريخ میلادی]],0)</f>
        <v>0</v>
      </c>
      <c r="R14" s="6">
        <f ca="1">IF(Main[[#This Row],[بدهی تسویه نشده (کیلوگرم)]]&gt;0,'گزارش فردی'!$B$7-Main[[#This Row],[تاريخ میلادی]]-'گزارش فردی'!$B$8,0)</f>
        <v>0</v>
      </c>
      <c r="S14" s="6">
        <f ca="1">Main[[#This Row],[روز از ارسال سفارش]]*Main[[#This Row],[بدهی تسویه نشده (کیلوگرم)]]</f>
        <v>0</v>
      </c>
      <c r="T14" s="6">
        <f ca="1">Main[[#This Row],[بدهی سررسید شده (کیلوگرم)]]*Main[[#This Row],[روز از ارسال سفارش]]</f>
        <v>0</v>
      </c>
      <c r="U14" s="6">
        <f>-SUBTOTAL(9,INDEX(Main[مقدار (کیلوگرم)],1):Main[[#This Row],[مقدار (کیلوگرم)]])</f>
        <v>0</v>
      </c>
      <c r="V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" s="6">
        <f>Main[[#This Row],[تعداد کل روزهای بدهکار (روز)]]*Main[[#This Row],[مانده در خط کل (کیلوگرم)]]</f>
        <v>0</v>
      </c>
      <c r="X14" s="6">
        <f>-SUBTOTAL(9,INDEX(Main[مقدار تسویه شده (کیلوگرم)],1):Main[[#This Row],[مقدار تسویه شده (کیلوگرم)]])</f>
        <v>0</v>
      </c>
      <c r="Y14" s="6">
        <f>IF(Main[[#This Row],[مانده در خط تسویه شده (کیلوگرم)]]&lt;&gt;0,Main[[#This Row],[تعداد کل روزهای بدهکار (روز)]],0)</f>
        <v>0</v>
      </c>
      <c r="Z14" s="6">
        <f>Main[[#This Row],[تعداد روزهای بدهکار تسویه شده (روز)]]*Main[[#This Row],[مانده در خط تسویه شده (کیلوگرم)]]</f>
        <v>0</v>
      </c>
      <c r="AA14" s="6">
        <f>SUBTOTAL(9,INDEX(Main[بدهی تسویه نشده (کیلوگرم)],1):Main[[#This Row],[بدهی تسویه نشده (کیلوگرم)]])</f>
        <v>0</v>
      </c>
      <c r="AB14" s="6">
        <f>IF(Main[[#This Row],[مانده در خط تسویه نشده (کیلوگرم)]]&lt;&gt;0,Main[[#This Row],[تعداد کل روزهای بدهکار (روز)]],0)</f>
        <v>0</v>
      </c>
      <c r="AC14" s="6">
        <f>Main[[#This Row],[تعداد روزهای بدهکار  تسویه نشده (روز)]]*Main[[#This Row],[مانده در خط تسویه نشده (کیلوگرم)]]</f>
        <v>0</v>
      </c>
      <c r="AD14" s="6">
        <f>SUBTOTAL(9,INDEX(Main[بدهی سررسید شده (کیلوگرم)],1):Main[[#This Row],[بدهی سررسید شده (کیلوگرم)]])</f>
        <v>0</v>
      </c>
      <c r="AE14" s="6">
        <f>IF(Main[[#This Row],[مانده در خط سررسید شده (کیلوگرم)]]&lt;&gt;0,Main[[#This Row],[تعداد کل روزهای بدهکار (روز)]],0)</f>
        <v>0</v>
      </c>
      <c r="AF14" s="6">
        <f>Main[[#This Row],[تعداد روزهای بدهکار سررسید شده (روز)]]*Main[[#This Row],[مانده در خط سررسید شده (کیلوگرم)]]</f>
        <v>0</v>
      </c>
    </row>
    <row r="15" spans="1:32" hidden="1" x14ac:dyDescent="0.35">
      <c r="A15" s="5">
        <f>ROW()-ROW(INDEX(Main[ردیف],1))+1</f>
        <v>13</v>
      </c>
      <c r="B15" s="31">
        <f>SUBTOTAL(2,INDEX(Main[ردیف],1):Main[[#This Row],[ردیف]])</f>
        <v>0</v>
      </c>
      <c r="C15" s="32" t="s">
        <v>452</v>
      </c>
      <c r="D15" s="32" t="str">
        <f>_xlfn.CONCAT("14",Main[[#This Row],[تاريخ]])</f>
        <v>1400/01/01</v>
      </c>
      <c r="E15" s="33">
        <v>44276</v>
      </c>
      <c r="F15" s="32">
        <v>30164</v>
      </c>
      <c r="G15" s="5" t="str">
        <f>INDEX(customer[عنوان],MATCH(Main[[#This Row],[کد ردیابی]],customer[کد],0))</f>
        <v xml:space="preserve">پارت الکتریک </v>
      </c>
      <c r="H15">
        <v>363</v>
      </c>
      <c r="I15" s="6">
        <f ca="1">-Main[[#This Row],[بدهی تسویه شده (کیلوگرم)]]+Main[[#This Row],[بستانکار (کیلوگرم)]]</f>
        <v>363</v>
      </c>
      <c r="J15" s="6">
        <f>IF(Main[[#This Row],[مقدار (کیلوگرم)]]&gt;0,Main[[#This Row],[مقدار (کیلوگرم)]],0)</f>
        <v>363</v>
      </c>
      <c r="K15" s="6">
        <f>-IF(Main[[#This Row],[مقدار (کیلوگرم)]]&lt;0,Main[[#This Row],[مقدار (کیلوگرم)]],0)</f>
        <v>0</v>
      </c>
      <c r="L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" s="7">
        <f>-IF(AND(Main[[#This Row],[مقدار (کیلوگرم)]]&lt;0,Main[[#This Row],[تاريخ میلادی]]&gt;44276),Main[[#This Row],[مقدار (کیلوگرم)]],0)</f>
        <v>0</v>
      </c>
      <c r="N15" s="6">
        <f ca="1">Main[[#This Row],[بدهکار (کیلوگرم)]]-Main[[#This Row],[بدهی تسویه نشده (کیلوگرم)]]</f>
        <v>0</v>
      </c>
      <c r="O15" s="6">
        <f ca="1">Main[[#This Row],[تفکیک]]</f>
        <v>0</v>
      </c>
      <c r="P15" s="6">
        <f ca="1">IF(Main[[#This Row],[تاخیر از سررسید]]&gt;0,Main[[#This Row],[بدهی تسویه نشده (کیلوگرم)]],0)</f>
        <v>0</v>
      </c>
      <c r="Q15" s="6">
        <f ca="1">IF(Main[[#This Row],[بدهی تسویه نشده (کیلوگرم)]]&gt;0,'گزارش فردی'!$B$7-Main[[#This Row],[تاريخ میلادی]],0)</f>
        <v>0</v>
      </c>
      <c r="R15" s="6">
        <f ca="1">IF(Main[[#This Row],[بدهی تسویه نشده (کیلوگرم)]]&gt;0,'گزارش فردی'!$B$7-Main[[#This Row],[تاريخ میلادی]]-'گزارش فردی'!$B$8,0)</f>
        <v>0</v>
      </c>
      <c r="S15" s="6">
        <f ca="1">Main[[#This Row],[روز از ارسال سفارش]]*Main[[#This Row],[بدهی تسویه نشده (کیلوگرم)]]</f>
        <v>0</v>
      </c>
      <c r="T15" s="6">
        <f ca="1">Main[[#This Row],[بدهی سررسید شده (کیلوگرم)]]*Main[[#This Row],[روز از ارسال سفارش]]</f>
        <v>0</v>
      </c>
      <c r="U15" s="6">
        <f>-SUBTOTAL(9,INDEX(Main[مقدار (کیلوگرم)],1):Main[[#This Row],[مقدار (کیلوگرم)]])</f>
        <v>0</v>
      </c>
      <c r="V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" s="6">
        <f>Main[[#This Row],[تعداد کل روزهای بدهکار (روز)]]*Main[[#This Row],[مانده در خط کل (کیلوگرم)]]</f>
        <v>0</v>
      </c>
      <c r="X15" s="6">
        <f>-SUBTOTAL(9,INDEX(Main[مقدار تسویه شده (کیلوگرم)],1):Main[[#This Row],[مقدار تسویه شده (کیلوگرم)]])</f>
        <v>0</v>
      </c>
      <c r="Y15" s="6">
        <f>IF(Main[[#This Row],[مانده در خط تسویه شده (کیلوگرم)]]&lt;&gt;0,Main[[#This Row],[تعداد کل روزهای بدهکار (روز)]],0)</f>
        <v>0</v>
      </c>
      <c r="Z15" s="6">
        <f>Main[[#This Row],[تعداد روزهای بدهکار تسویه شده (روز)]]*Main[[#This Row],[مانده در خط تسویه شده (کیلوگرم)]]</f>
        <v>0</v>
      </c>
      <c r="AA15" s="6">
        <f>SUBTOTAL(9,INDEX(Main[بدهی تسویه نشده (کیلوگرم)],1):Main[[#This Row],[بدهی تسویه نشده (کیلوگرم)]])</f>
        <v>0</v>
      </c>
      <c r="AB15" s="6">
        <f>IF(Main[[#This Row],[مانده در خط تسویه نشده (کیلوگرم)]]&lt;&gt;0,Main[[#This Row],[تعداد کل روزهای بدهکار (روز)]],0)</f>
        <v>0</v>
      </c>
      <c r="AC15" s="6">
        <f>Main[[#This Row],[تعداد روزهای بدهکار  تسویه نشده (روز)]]*Main[[#This Row],[مانده در خط تسویه نشده (کیلوگرم)]]</f>
        <v>0</v>
      </c>
      <c r="AD15" s="6">
        <f>SUBTOTAL(9,INDEX(Main[بدهی سررسید شده (کیلوگرم)],1):Main[[#This Row],[بدهی سررسید شده (کیلوگرم)]])</f>
        <v>0</v>
      </c>
      <c r="AE15" s="6">
        <f>IF(Main[[#This Row],[مانده در خط سررسید شده (کیلوگرم)]]&lt;&gt;0,Main[[#This Row],[تعداد کل روزهای بدهکار (روز)]],0)</f>
        <v>0</v>
      </c>
      <c r="AF15" s="6">
        <f>Main[[#This Row],[تعداد روزهای بدهکار سررسید شده (روز)]]*Main[[#This Row],[مانده در خط سررسید شده (کیلوگرم)]]</f>
        <v>0</v>
      </c>
    </row>
    <row r="16" spans="1:32" hidden="1" x14ac:dyDescent="0.35">
      <c r="A16" s="5">
        <f>ROW()-ROW(INDEX(Main[ردیف],1))+1</f>
        <v>14</v>
      </c>
      <c r="B16" s="31">
        <f>SUBTOTAL(2,INDEX(Main[ردیف],1):Main[[#This Row],[ردیف]])</f>
        <v>0</v>
      </c>
      <c r="C16" s="32" t="s">
        <v>452</v>
      </c>
      <c r="D16" s="32" t="str">
        <f>_xlfn.CONCAT("14",Main[[#This Row],[تاريخ]])</f>
        <v>1400/01/01</v>
      </c>
      <c r="E16" s="33">
        <v>44276</v>
      </c>
      <c r="F16" s="32">
        <v>30070</v>
      </c>
      <c r="G16" s="5" t="str">
        <f>INDEX(customer[عنوان],MATCH(Main[[#This Row],[کد ردیابی]],customer[کد],0))</f>
        <v xml:space="preserve">تکنو تراش یادگار </v>
      </c>
      <c r="H16">
        <v>-341</v>
      </c>
      <c r="I16" s="6">
        <f ca="1">-Main[[#This Row],[بدهی تسویه شده (کیلوگرم)]]+Main[[#This Row],[بستانکار (کیلوگرم)]]</f>
        <v>-341</v>
      </c>
      <c r="J16" s="6">
        <f>IF(Main[[#This Row],[مقدار (کیلوگرم)]]&gt;0,Main[[#This Row],[مقدار (کیلوگرم)]],0)</f>
        <v>0</v>
      </c>
      <c r="K16" s="6">
        <f>-IF(Main[[#This Row],[مقدار (کیلوگرم)]]&lt;0,Main[[#This Row],[مقدار (کیلوگرم)]],0)</f>
        <v>341</v>
      </c>
      <c r="L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" s="7">
        <f>-IF(AND(Main[[#This Row],[مقدار (کیلوگرم)]]&lt;0,Main[[#This Row],[تاريخ میلادی]]&gt;44276),Main[[#This Row],[مقدار (کیلوگرم)]],0)</f>
        <v>0</v>
      </c>
      <c r="N16" s="6">
        <f ca="1">Main[[#This Row],[بدهکار (کیلوگرم)]]-Main[[#This Row],[بدهی تسویه نشده (کیلوگرم)]]</f>
        <v>341</v>
      </c>
      <c r="O16" s="6">
        <f ca="1">Main[[#This Row],[تفکیک]]</f>
        <v>0</v>
      </c>
      <c r="P16" s="6">
        <f ca="1">IF(Main[[#This Row],[تاخیر از سررسید]]&gt;0,Main[[#This Row],[بدهی تسویه نشده (کیلوگرم)]],0)</f>
        <v>0</v>
      </c>
      <c r="Q16" s="6">
        <f ca="1">IF(Main[[#This Row],[بدهی تسویه نشده (کیلوگرم)]]&gt;0,'گزارش فردی'!$B$7-Main[[#This Row],[تاريخ میلادی]],0)</f>
        <v>0</v>
      </c>
      <c r="R16" s="6">
        <f ca="1">IF(Main[[#This Row],[بدهی تسویه نشده (کیلوگرم)]]&gt;0,'گزارش فردی'!$B$7-Main[[#This Row],[تاريخ میلادی]]-'گزارش فردی'!$B$8,0)</f>
        <v>0</v>
      </c>
      <c r="S16" s="6">
        <f ca="1">Main[[#This Row],[روز از ارسال سفارش]]*Main[[#This Row],[بدهی تسویه نشده (کیلوگرم)]]</f>
        <v>0</v>
      </c>
      <c r="T16" s="6">
        <f ca="1">Main[[#This Row],[بدهی سررسید شده (کیلوگرم)]]*Main[[#This Row],[روز از ارسال سفارش]]</f>
        <v>0</v>
      </c>
      <c r="U16" s="6">
        <f>-SUBTOTAL(9,INDEX(Main[مقدار (کیلوگرم)],1):Main[[#This Row],[مقدار (کیلوگرم)]])</f>
        <v>0</v>
      </c>
      <c r="V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" s="6">
        <f>Main[[#This Row],[تعداد کل روزهای بدهکار (روز)]]*Main[[#This Row],[مانده در خط کل (کیلوگرم)]]</f>
        <v>0</v>
      </c>
      <c r="X16" s="6">
        <f>-SUBTOTAL(9,INDEX(Main[مقدار تسویه شده (کیلوگرم)],1):Main[[#This Row],[مقدار تسویه شده (کیلوگرم)]])</f>
        <v>0</v>
      </c>
      <c r="Y16" s="6">
        <f>IF(Main[[#This Row],[مانده در خط تسویه شده (کیلوگرم)]]&lt;&gt;0,Main[[#This Row],[تعداد کل روزهای بدهکار (روز)]],0)</f>
        <v>0</v>
      </c>
      <c r="Z16" s="6">
        <f>Main[[#This Row],[تعداد روزهای بدهکار تسویه شده (روز)]]*Main[[#This Row],[مانده در خط تسویه شده (کیلوگرم)]]</f>
        <v>0</v>
      </c>
      <c r="AA16" s="6">
        <f>SUBTOTAL(9,INDEX(Main[بدهی تسویه نشده (کیلوگرم)],1):Main[[#This Row],[بدهی تسویه نشده (کیلوگرم)]])</f>
        <v>0</v>
      </c>
      <c r="AB16" s="6">
        <f>IF(Main[[#This Row],[مانده در خط تسویه نشده (کیلوگرم)]]&lt;&gt;0,Main[[#This Row],[تعداد کل روزهای بدهکار (روز)]],0)</f>
        <v>0</v>
      </c>
      <c r="AC16" s="6">
        <f>Main[[#This Row],[تعداد روزهای بدهکار  تسویه نشده (روز)]]*Main[[#This Row],[مانده در خط تسویه نشده (کیلوگرم)]]</f>
        <v>0</v>
      </c>
      <c r="AD16" s="6">
        <f>SUBTOTAL(9,INDEX(Main[بدهی سررسید شده (کیلوگرم)],1):Main[[#This Row],[بدهی سررسید شده (کیلوگرم)]])</f>
        <v>0</v>
      </c>
      <c r="AE16" s="6">
        <f>IF(Main[[#This Row],[مانده در خط سررسید شده (کیلوگرم)]]&lt;&gt;0,Main[[#This Row],[تعداد کل روزهای بدهکار (روز)]],0)</f>
        <v>0</v>
      </c>
      <c r="AF16" s="6">
        <f>Main[[#This Row],[تعداد روزهای بدهکار سررسید شده (روز)]]*Main[[#This Row],[مانده در خط سررسید شده (کیلوگرم)]]</f>
        <v>0</v>
      </c>
    </row>
    <row r="17" spans="1:32" hidden="1" x14ac:dyDescent="0.35">
      <c r="A17" s="5">
        <f>ROW()-ROW(INDEX(Main[ردیف],1))+1</f>
        <v>15</v>
      </c>
      <c r="B17" s="31">
        <f>SUBTOTAL(2,INDEX(Main[ردیف],1):Main[[#This Row],[ردیف]])</f>
        <v>0</v>
      </c>
      <c r="C17" s="32" t="s">
        <v>452</v>
      </c>
      <c r="D17" s="32" t="str">
        <f>_xlfn.CONCAT("14",Main[[#This Row],[تاريخ]])</f>
        <v>1400/01/01</v>
      </c>
      <c r="E17" s="33">
        <v>44276</v>
      </c>
      <c r="F17" s="32">
        <v>30026</v>
      </c>
      <c r="G17" s="5" t="str">
        <f>INDEX(customer[عنوان],MATCH(Main[[#This Row],[کد ردیابی]],customer[کد],0))</f>
        <v>آبکامه</v>
      </c>
      <c r="H17">
        <v>210</v>
      </c>
      <c r="I17" s="6">
        <f ca="1">-Main[[#This Row],[بدهی تسویه شده (کیلوگرم)]]+Main[[#This Row],[بستانکار (کیلوگرم)]]</f>
        <v>210</v>
      </c>
      <c r="J17" s="6">
        <f>IF(Main[[#This Row],[مقدار (کیلوگرم)]]&gt;0,Main[[#This Row],[مقدار (کیلوگرم)]],0)</f>
        <v>210</v>
      </c>
      <c r="K17" s="6">
        <f>-IF(Main[[#This Row],[مقدار (کیلوگرم)]]&lt;0,Main[[#This Row],[مقدار (کیلوگرم)]],0)</f>
        <v>0</v>
      </c>
      <c r="L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" s="7">
        <f>-IF(AND(Main[[#This Row],[مقدار (کیلوگرم)]]&lt;0,Main[[#This Row],[تاريخ میلادی]]&gt;44276),Main[[#This Row],[مقدار (کیلوگرم)]],0)</f>
        <v>0</v>
      </c>
      <c r="N17" s="6">
        <f ca="1">Main[[#This Row],[بدهکار (کیلوگرم)]]-Main[[#This Row],[بدهی تسویه نشده (کیلوگرم)]]</f>
        <v>0</v>
      </c>
      <c r="O17" s="6">
        <f ca="1">Main[[#This Row],[تفکیک]]</f>
        <v>0</v>
      </c>
      <c r="P17" s="6">
        <f ca="1">IF(Main[[#This Row],[تاخیر از سررسید]]&gt;0,Main[[#This Row],[بدهی تسویه نشده (کیلوگرم)]],0)</f>
        <v>0</v>
      </c>
      <c r="Q17" s="6">
        <f ca="1">IF(Main[[#This Row],[بدهی تسویه نشده (کیلوگرم)]]&gt;0,'گزارش فردی'!$B$7-Main[[#This Row],[تاريخ میلادی]],0)</f>
        <v>0</v>
      </c>
      <c r="R17" s="6">
        <f ca="1">IF(Main[[#This Row],[بدهی تسویه نشده (کیلوگرم)]]&gt;0,'گزارش فردی'!$B$7-Main[[#This Row],[تاريخ میلادی]]-'گزارش فردی'!$B$8,0)</f>
        <v>0</v>
      </c>
      <c r="S17" s="6">
        <f ca="1">Main[[#This Row],[روز از ارسال سفارش]]*Main[[#This Row],[بدهی تسویه نشده (کیلوگرم)]]</f>
        <v>0</v>
      </c>
      <c r="T17" s="6">
        <f ca="1">Main[[#This Row],[بدهی سررسید شده (کیلوگرم)]]*Main[[#This Row],[روز از ارسال سفارش]]</f>
        <v>0</v>
      </c>
      <c r="U17" s="6">
        <f>-SUBTOTAL(9,INDEX(Main[مقدار (کیلوگرم)],1):Main[[#This Row],[مقدار (کیلوگرم)]])</f>
        <v>0</v>
      </c>
      <c r="V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" s="6">
        <f>Main[[#This Row],[تعداد کل روزهای بدهکار (روز)]]*Main[[#This Row],[مانده در خط کل (کیلوگرم)]]</f>
        <v>0</v>
      </c>
      <c r="X17" s="6">
        <f>-SUBTOTAL(9,INDEX(Main[مقدار تسویه شده (کیلوگرم)],1):Main[[#This Row],[مقدار تسویه شده (کیلوگرم)]])</f>
        <v>0</v>
      </c>
      <c r="Y17" s="6">
        <f>IF(Main[[#This Row],[مانده در خط تسویه شده (کیلوگرم)]]&lt;&gt;0,Main[[#This Row],[تعداد کل روزهای بدهکار (روز)]],0)</f>
        <v>0</v>
      </c>
      <c r="Z17" s="6">
        <f>Main[[#This Row],[تعداد روزهای بدهکار تسویه شده (روز)]]*Main[[#This Row],[مانده در خط تسویه شده (کیلوگرم)]]</f>
        <v>0</v>
      </c>
      <c r="AA17" s="6">
        <f>SUBTOTAL(9,INDEX(Main[بدهی تسویه نشده (کیلوگرم)],1):Main[[#This Row],[بدهی تسویه نشده (کیلوگرم)]])</f>
        <v>0</v>
      </c>
      <c r="AB17" s="6">
        <f>IF(Main[[#This Row],[مانده در خط تسویه نشده (کیلوگرم)]]&lt;&gt;0,Main[[#This Row],[تعداد کل روزهای بدهکار (روز)]],0)</f>
        <v>0</v>
      </c>
      <c r="AC17" s="6">
        <f>Main[[#This Row],[تعداد روزهای بدهکار  تسویه نشده (روز)]]*Main[[#This Row],[مانده در خط تسویه نشده (کیلوگرم)]]</f>
        <v>0</v>
      </c>
      <c r="AD17" s="6">
        <f>SUBTOTAL(9,INDEX(Main[بدهی سررسید شده (کیلوگرم)],1):Main[[#This Row],[بدهی سررسید شده (کیلوگرم)]])</f>
        <v>0</v>
      </c>
      <c r="AE17" s="6">
        <f>IF(Main[[#This Row],[مانده در خط سررسید شده (کیلوگرم)]]&lt;&gt;0,Main[[#This Row],[تعداد کل روزهای بدهکار (روز)]],0)</f>
        <v>0</v>
      </c>
      <c r="AF17" s="6">
        <f>Main[[#This Row],[تعداد روزهای بدهکار سررسید شده (روز)]]*Main[[#This Row],[مانده در خط سررسید شده (کیلوگرم)]]</f>
        <v>0</v>
      </c>
    </row>
    <row r="18" spans="1:32" hidden="1" x14ac:dyDescent="0.35">
      <c r="A18" s="5">
        <f>ROW()-ROW(INDEX(Main[ردیف],1))+1</f>
        <v>16</v>
      </c>
      <c r="B18" s="31">
        <f>SUBTOTAL(2,INDEX(Main[ردیف],1):Main[[#This Row],[ردیف]])</f>
        <v>0</v>
      </c>
      <c r="C18" s="32" t="s">
        <v>452</v>
      </c>
      <c r="D18" s="32" t="str">
        <f>_xlfn.CONCAT("14",Main[[#This Row],[تاريخ]])</f>
        <v>1400/01/01</v>
      </c>
      <c r="E18" s="33">
        <v>44276</v>
      </c>
      <c r="F18" s="32">
        <v>50011</v>
      </c>
      <c r="G18" s="5" t="str">
        <f>INDEX(customer[عنوان],MATCH(Main[[#This Row],[کد ردیابی]],customer[کد],0))</f>
        <v xml:space="preserve">جعفر هوشمند </v>
      </c>
      <c r="H18">
        <v>-84</v>
      </c>
      <c r="I18" s="6">
        <f ca="1">-Main[[#This Row],[بدهی تسویه شده (کیلوگرم)]]+Main[[#This Row],[بستانکار (کیلوگرم)]]</f>
        <v>-84</v>
      </c>
      <c r="J18" s="6">
        <f>IF(Main[[#This Row],[مقدار (کیلوگرم)]]&gt;0,Main[[#This Row],[مقدار (کیلوگرم)]],0)</f>
        <v>0</v>
      </c>
      <c r="K18" s="6">
        <f>-IF(Main[[#This Row],[مقدار (کیلوگرم)]]&lt;0,Main[[#This Row],[مقدار (کیلوگرم)]],0)</f>
        <v>84</v>
      </c>
      <c r="L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" s="7">
        <f>-IF(AND(Main[[#This Row],[مقدار (کیلوگرم)]]&lt;0,Main[[#This Row],[تاريخ میلادی]]&gt;44276),Main[[#This Row],[مقدار (کیلوگرم)]],0)</f>
        <v>0</v>
      </c>
      <c r="N18" s="6">
        <f ca="1">Main[[#This Row],[بدهکار (کیلوگرم)]]-Main[[#This Row],[بدهی تسویه نشده (کیلوگرم)]]</f>
        <v>84</v>
      </c>
      <c r="O18" s="6">
        <f ca="1">Main[[#This Row],[تفکیک]]</f>
        <v>0</v>
      </c>
      <c r="P18" s="6">
        <f ca="1">IF(Main[[#This Row],[تاخیر از سررسید]]&gt;0,Main[[#This Row],[بدهی تسویه نشده (کیلوگرم)]],0)</f>
        <v>0</v>
      </c>
      <c r="Q18" s="6">
        <f ca="1">IF(Main[[#This Row],[بدهی تسویه نشده (کیلوگرم)]]&gt;0,'گزارش فردی'!$B$7-Main[[#This Row],[تاريخ میلادی]],0)</f>
        <v>0</v>
      </c>
      <c r="R18" s="6">
        <f ca="1">IF(Main[[#This Row],[بدهی تسویه نشده (کیلوگرم)]]&gt;0,'گزارش فردی'!$B$7-Main[[#This Row],[تاريخ میلادی]]-'گزارش فردی'!$B$8,0)</f>
        <v>0</v>
      </c>
      <c r="S18" s="6">
        <f ca="1">Main[[#This Row],[روز از ارسال سفارش]]*Main[[#This Row],[بدهی تسویه نشده (کیلوگرم)]]</f>
        <v>0</v>
      </c>
      <c r="T18" s="6">
        <f ca="1">Main[[#This Row],[بدهی سررسید شده (کیلوگرم)]]*Main[[#This Row],[روز از ارسال سفارش]]</f>
        <v>0</v>
      </c>
      <c r="U18" s="6">
        <f>-SUBTOTAL(9,INDEX(Main[مقدار (کیلوگرم)],1):Main[[#This Row],[مقدار (کیلوگرم)]])</f>
        <v>0</v>
      </c>
      <c r="V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" s="6">
        <f>Main[[#This Row],[تعداد کل روزهای بدهکار (روز)]]*Main[[#This Row],[مانده در خط کل (کیلوگرم)]]</f>
        <v>0</v>
      </c>
      <c r="X18" s="6">
        <f>-SUBTOTAL(9,INDEX(Main[مقدار تسویه شده (کیلوگرم)],1):Main[[#This Row],[مقدار تسویه شده (کیلوگرم)]])</f>
        <v>0</v>
      </c>
      <c r="Y18" s="6">
        <f>IF(Main[[#This Row],[مانده در خط تسویه شده (کیلوگرم)]]&lt;&gt;0,Main[[#This Row],[تعداد کل روزهای بدهکار (روز)]],0)</f>
        <v>0</v>
      </c>
      <c r="Z18" s="6">
        <f>Main[[#This Row],[تعداد روزهای بدهکار تسویه شده (روز)]]*Main[[#This Row],[مانده در خط تسویه شده (کیلوگرم)]]</f>
        <v>0</v>
      </c>
      <c r="AA18" s="6">
        <f>SUBTOTAL(9,INDEX(Main[بدهی تسویه نشده (کیلوگرم)],1):Main[[#This Row],[بدهی تسویه نشده (کیلوگرم)]])</f>
        <v>0</v>
      </c>
      <c r="AB18" s="6">
        <f>IF(Main[[#This Row],[مانده در خط تسویه نشده (کیلوگرم)]]&lt;&gt;0,Main[[#This Row],[تعداد کل روزهای بدهکار (روز)]],0)</f>
        <v>0</v>
      </c>
      <c r="AC18" s="6">
        <f>Main[[#This Row],[تعداد روزهای بدهکار  تسویه نشده (روز)]]*Main[[#This Row],[مانده در خط تسویه نشده (کیلوگرم)]]</f>
        <v>0</v>
      </c>
      <c r="AD18" s="6">
        <f>SUBTOTAL(9,INDEX(Main[بدهی سررسید شده (کیلوگرم)],1):Main[[#This Row],[بدهی سررسید شده (کیلوگرم)]])</f>
        <v>0</v>
      </c>
      <c r="AE18" s="6">
        <f>IF(Main[[#This Row],[مانده در خط سررسید شده (کیلوگرم)]]&lt;&gt;0,Main[[#This Row],[تعداد کل روزهای بدهکار (روز)]],0)</f>
        <v>0</v>
      </c>
      <c r="AF18" s="6">
        <f>Main[[#This Row],[تعداد روزهای بدهکار سررسید شده (روز)]]*Main[[#This Row],[مانده در خط سررسید شده (کیلوگرم)]]</f>
        <v>0</v>
      </c>
    </row>
    <row r="19" spans="1:32" hidden="1" x14ac:dyDescent="0.35">
      <c r="A19" s="5">
        <f>ROW()-ROW(INDEX(Main[ردیف],1))+1</f>
        <v>17</v>
      </c>
      <c r="B19" s="31">
        <f>SUBTOTAL(2,INDEX(Main[ردیف],1):Main[[#This Row],[ردیف]])</f>
        <v>0</v>
      </c>
      <c r="C19" s="32" t="s">
        <v>452</v>
      </c>
      <c r="D19" s="32" t="str">
        <f>_xlfn.CONCAT("14",Main[[#This Row],[تاريخ]])</f>
        <v>1400/01/01</v>
      </c>
      <c r="E19" s="33">
        <v>44276</v>
      </c>
      <c r="F19" s="32">
        <v>30032</v>
      </c>
      <c r="G19" s="5" t="str">
        <f>INDEX(customer[عنوان],MATCH(Main[[#This Row],[کد ردیابی]],customer[کد],0))</f>
        <v xml:space="preserve">گاز خودرو صنعت </v>
      </c>
      <c r="H19">
        <v>178</v>
      </c>
      <c r="I19" s="6">
        <f ca="1">-Main[[#This Row],[بدهی تسویه شده (کیلوگرم)]]+Main[[#This Row],[بستانکار (کیلوگرم)]]</f>
        <v>178</v>
      </c>
      <c r="J19" s="6">
        <f>IF(Main[[#This Row],[مقدار (کیلوگرم)]]&gt;0,Main[[#This Row],[مقدار (کیلوگرم)]],0)</f>
        <v>178</v>
      </c>
      <c r="K19" s="6">
        <f>-IF(Main[[#This Row],[مقدار (کیلوگرم)]]&lt;0,Main[[#This Row],[مقدار (کیلوگرم)]],0)</f>
        <v>0</v>
      </c>
      <c r="L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" s="7">
        <f>-IF(AND(Main[[#This Row],[مقدار (کیلوگرم)]]&lt;0,Main[[#This Row],[تاريخ میلادی]]&gt;44276),Main[[#This Row],[مقدار (کیلوگرم)]],0)</f>
        <v>0</v>
      </c>
      <c r="N19" s="6">
        <f ca="1">Main[[#This Row],[بدهکار (کیلوگرم)]]-Main[[#This Row],[بدهی تسویه نشده (کیلوگرم)]]</f>
        <v>0</v>
      </c>
      <c r="O19" s="6">
        <f ca="1">Main[[#This Row],[تفکیک]]</f>
        <v>0</v>
      </c>
      <c r="P19" s="6">
        <f ca="1">IF(Main[[#This Row],[تاخیر از سررسید]]&gt;0,Main[[#This Row],[بدهی تسویه نشده (کیلوگرم)]],0)</f>
        <v>0</v>
      </c>
      <c r="Q19" s="6">
        <f ca="1">IF(Main[[#This Row],[بدهی تسویه نشده (کیلوگرم)]]&gt;0,'گزارش فردی'!$B$7-Main[[#This Row],[تاريخ میلادی]],0)</f>
        <v>0</v>
      </c>
      <c r="R19" s="6">
        <f ca="1">IF(Main[[#This Row],[بدهی تسویه نشده (کیلوگرم)]]&gt;0,'گزارش فردی'!$B$7-Main[[#This Row],[تاريخ میلادی]]-'گزارش فردی'!$B$8,0)</f>
        <v>0</v>
      </c>
      <c r="S19" s="6">
        <f ca="1">Main[[#This Row],[روز از ارسال سفارش]]*Main[[#This Row],[بدهی تسویه نشده (کیلوگرم)]]</f>
        <v>0</v>
      </c>
      <c r="T19" s="6">
        <f ca="1">Main[[#This Row],[بدهی سررسید شده (کیلوگرم)]]*Main[[#This Row],[روز از ارسال سفارش]]</f>
        <v>0</v>
      </c>
      <c r="U19" s="6">
        <f>-SUBTOTAL(9,INDEX(Main[مقدار (کیلوگرم)],1):Main[[#This Row],[مقدار (کیلوگرم)]])</f>
        <v>0</v>
      </c>
      <c r="V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" s="6">
        <f>Main[[#This Row],[تعداد کل روزهای بدهکار (روز)]]*Main[[#This Row],[مانده در خط کل (کیلوگرم)]]</f>
        <v>0</v>
      </c>
      <c r="X19" s="6">
        <f>-SUBTOTAL(9,INDEX(Main[مقدار تسویه شده (کیلوگرم)],1):Main[[#This Row],[مقدار تسویه شده (کیلوگرم)]])</f>
        <v>0</v>
      </c>
      <c r="Y19" s="6">
        <f>IF(Main[[#This Row],[مانده در خط تسویه شده (کیلوگرم)]]&lt;&gt;0,Main[[#This Row],[تعداد کل روزهای بدهکار (روز)]],0)</f>
        <v>0</v>
      </c>
      <c r="Z19" s="6">
        <f>Main[[#This Row],[تعداد روزهای بدهکار تسویه شده (روز)]]*Main[[#This Row],[مانده در خط تسویه شده (کیلوگرم)]]</f>
        <v>0</v>
      </c>
      <c r="AA19" s="6">
        <f>SUBTOTAL(9,INDEX(Main[بدهی تسویه نشده (کیلوگرم)],1):Main[[#This Row],[بدهی تسویه نشده (کیلوگرم)]])</f>
        <v>0</v>
      </c>
      <c r="AB19" s="6">
        <f>IF(Main[[#This Row],[مانده در خط تسویه نشده (کیلوگرم)]]&lt;&gt;0,Main[[#This Row],[تعداد کل روزهای بدهکار (روز)]],0)</f>
        <v>0</v>
      </c>
      <c r="AC19" s="6">
        <f>Main[[#This Row],[تعداد روزهای بدهکار  تسویه نشده (روز)]]*Main[[#This Row],[مانده در خط تسویه نشده (کیلوگرم)]]</f>
        <v>0</v>
      </c>
      <c r="AD19" s="6">
        <f>SUBTOTAL(9,INDEX(Main[بدهی سررسید شده (کیلوگرم)],1):Main[[#This Row],[بدهی سررسید شده (کیلوگرم)]])</f>
        <v>0</v>
      </c>
      <c r="AE19" s="6">
        <f>IF(Main[[#This Row],[مانده در خط سررسید شده (کیلوگرم)]]&lt;&gt;0,Main[[#This Row],[تعداد کل روزهای بدهکار (روز)]],0)</f>
        <v>0</v>
      </c>
      <c r="AF19" s="6">
        <f>Main[[#This Row],[تعداد روزهای بدهکار سررسید شده (روز)]]*Main[[#This Row],[مانده در خط سررسید شده (کیلوگرم)]]</f>
        <v>0</v>
      </c>
    </row>
    <row r="20" spans="1:32" hidden="1" x14ac:dyDescent="0.35">
      <c r="A20" s="5">
        <f>ROW()-ROW(INDEX(Main[ردیف],1))+1</f>
        <v>18</v>
      </c>
      <c r="B20" s="31">
        <f>SUBTOTAL(2,INDEX(Main[ردیف],1):Main[[#This Row],[ردیف]])</f>
        <v>0</v>
      </c>
      <c r="C20" s="32" t="s">
        <v>452</v>
      </c>
      <c r="D20" s="32" t="str">
        <f>_xlfn.CONCAT("14",Main[[#This Row],[تاريخ]])</f>
        <v>1400/01/01</v>
      </c>
      <c r="E20" s="33">
        <v>44276</v>
      </c>
      <c r="F20" s="32">
        <v>30097</v>
      </c>
      <c r="G20" s="5" t="str">
        <f>INDEX(customer[عنوان],MATCH(Main[[#This Row],[کد ردیابی]],customer[کد],0))</f>
        <v>شرکت صنعتی پیش آهنگ</v>
      </c>
      <c r="H20">
        <v>-82</v>
      </c>
      <c r="I20" s="6">
        <f ca="1">-Main[[#This Row],[بدهی تسویه شده (کیلوگرم)]]+Main[[#This Row],[بستانکار (کیلوگرم)]]</f>
        <v>-82</v>
      </c>
      <c r="J20" s="6">
        <f>IF(Main[[#This Row],[مقدار (کیلوگرم)]]&gt;0,Main[[#This Row],[مقدار (کیلوگرم)]],0)</f>
        <v>0</v>
      </c>
      <c r="K20" s="6">
        <f>-IF(Main[[#This Row],[مقدار (کیلوگرم)]]&lt;0,Main[[#This Row],[مقدار (کیلوگرم)]],0)</f>
        <v>82</v>
      </c>
      <c r="L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" s="7">
        <f>-IF(AND(Main[[#This Row],[مقدار (کیلوگرم)]]&lt;0,Main[[#This Row],[تاريخ میلادی]]&gt;44276),Main[[#This Row],[مقدار (کیلوگرم)]],0)</f>
        <v>0</v>
      </c>
      <c r="N20" s="6">
        <f ca="1">Main[[#This Row],[بدهکار (کیلوگرم)]]-Main[[#This Row],[بدهی تسویه نشده (کیلوگرم)]]</f>
        <v>82</v>
      </c>
      <c r="O20" s="6">
        <f ca="1">Main[[#This Row],[تفکیک]]</f>
        <v>0</v>
      </c>
      <c r="P20" s="6">
        <f ca="1">IF(Main[[#This Row],[تاخیر از سررسید]]&gt;0,Main[[#This Row],[بدهی تسویه نشده (کیلوگرم)]],0)</f>
        <v>0</v>
      </c>
      <c r="Q20" s="6">
        <f ca="1">IF(Main[[#This Row],[بدهی تسویه نشده (کیلوگرم)]]&gt;0,'گزارش فردی'!$B$7-Main[[#This Row],[تاريخ میلادی]],0)</f>
        <v>0</v>
      </c>
      <c r="R20" s="6">
        <f ca="1">IF(Main[[#This Row],[بدهی تسویه نشده (کیلوگرم)]]&gt;0,'گزارش فردی'!$B$7-Main[[#This Row],[تاريخ میلادی]]-'گزارش فردی'!$B$8,0)</f>
        <v>0</v>
      </c>
      <c r="S20" s="6">
        <f ca="1">Main[[#This Row],[روز از ارسال سفارش]]*Main[[#This Row],[بدهی تسویه نشده (کیلوگرم)]]</f>
        <v>0</v>
      </c>
      <c r="T20" s="6">
        <f ca="1">Main[[#This Row],[بدهی سررسید شده (کیلوگرم)]]*Main[[#This Row],[روز از ارسال سفارش]]</f>
        <v>0</v>
      </c>
      <c r="U20" s="6">
        <f>-SUBTOTAL(9,INDEX(Main[مقدار (کیلوگرم)],1):Main[[#This Row],[مقدار (کیلوگرم)]])</f>
        <v>0</v>
      </c>
      <c r="V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" s="6">
        <f>Main[[#This Row],[تعداد کل روزهای بدهکار (روز)]]*Main[[#This Row],[مانده در خط کل (کیلوگرم)]]</f>
        <v>0</v>
      </c>
      <c r="X20" s="6">
        <f>-SUBTOTAL(9,INDEX(Main[مقدار تسویه شده (کیلوگرم)],1):Main[[#This Row],[مقدار تسویه شده (کیلوگرم)]])</f>
        <v>0</v>
      </c>
      <c r="Y20" s="6">
        <f>IF(Main[[#This Row],[مانده در خط تسویه شده (کیلوگرم)]]&lt;&gt;0,Main[[#This Row],[تعداد کل روزهای بدهکار (روز)]],0)</f>
        <v>0</v>
      </c>
      <c r="Z20" s="6">
        <f>Main[[#This Row],[تعداد روزهای بدهکار تسویه شده (روز)]]*Main[[#This Row],[مانده در خط تسویه شده (کیلوگرم)]]</f>
        <v>0</v>
      </c>
      <c r="AA20" s="6">
        <f>SUBTOTAL(9,INDEX(Main[بدهی تسویه نشده (کیلوگرم)],1):Main[[#This Row],[بدهی تسویه نشده (کیلوگرم)]])</f>
        <v>0</v>
      </c>
      <c r="AB20" s="6">
        <f>IF(Main[[#This Row],[مانده در خط تسویه نشده (کیلوگرم)]]&lt;&gt;0,Main[[#This Row],[تعداد کل روزهای بدهکار (روز)]],0)</f>
        <v>0</v>
      </c>
      <c r="AC20" s="6">
        <f>Main[[#This Row],[تعداد روزهای بدهکار  تسویه نشده (روز)]]*Main[[#This Row],[مانده در خط تسویه نشده (کیلوگرم)]]</f>
        <v>0</v>
      </c>
      <c r="AD20" s="6">
        <f>SUBTOTAL(9,INDEX(Main[بدهی سررسید شده (کیلوگرم)],1):Main[[#This Row],[بدهی سررسید شده (کیلوگرم)]])</f>
        <v>0</v>
      </c>
      <c r="AE20" s="6">
        <f>IF(Main[[#This Row],[مانده در خط سررسید شده (کیلوگرم)]]&lt;&gt;0,Main[[#This Row],[تعداد کل روزهای بدهکار (روز)]],0)</f>
        <v>0</v>
      </c>
      <c r="AF20" s="6">
        <f>Main[[#This Row],[تعداد روزهای بدهکار سررسید شده (روز)]]*Main[[#This Row],[مانده در خط سررسید شده (کیلوگرم)]]</f>
        <v>0</v>
      </c>
    </row>
    <row r="21" spans="1:32" hidden="1" x14ac:dyDescent="0.35">
      <c r="A21" s="5">
        <f>ROW()-ROW(INDEX(Main[ردیف],1))+1</f>
        <v>19</v>
      </c>
      <c r="B21" s="31">
        <f>SUBTOTAL(2,INDEX(Main[ردیف],1):Main[[#This Row],[ردیف]])</f>
        <v>0</v>
      </c>
      <c r="C21" s="32" t="s">
        <v>452</v>
      </c>
      <c r="D21" s="32" t="str">
        <f>_xlfn.CONCAT("14",Main[[#This Row],[تاريخ]])</f>
        <v>1400/01/01</v>
      </c>
      <c r="E21" s="33">
        <v>44276</v>
      </c>
      <c r="F21" s="32">
        <v>30113</v>
      </c>
      <c r="G21" s="5" t="str">
        <f>INDEX(customer[عنوان],MATCH(Main[[#This Row],[کد ردیابی]],customer[کد],0))</f>
        <v>مهارمشعل</v>
      </c>
      <c r="H21">
        <v>206</v>
      </c>
      <c r="I21" s="6">
        <f ca="1">-Main[[#This Row],[بدهی تسویه شده (کیلوگرم)]]+Main[[#This Row],[بستانکار (کیلوگرم)]]</f>
        <v>206</v>
      </c>
      <c r="J21" s="6">
        <f>IF(Main[[#This Row],[مقدار (کیلوگرم)]]&gt;0,Main[[#This Row],[مقدار (کیلوگرم)]],0)</f>
        <v>206</v>
      </c>
      <c r="K21" s="6">
        <f>-IF(Main[[#This Row],[مقدار (کیلوگرم)]]&lt;0,Main[[#This Row],[مقدار (کیلوگرم)]],0)</f>
        <v>0</v>
      </c>
      <c r="L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" s="7">
        <f>-IF(AND(Main[[#This Row],[مقدار (کیلوگرم)]]&lt;0,Main[[#This Row],[تاريخ میلادی]]&gt;44276),Main[[#This Row],[مقدار (کیلوگرم)]],0)</f>
        <v>0</v>
      </c>
      <c r="N21" s="6">
        <f ca="1">Main[[#This Row],[بدهکار (کیلوگرم)]]-Main[[#This Row],[بدهی تسویه نشده (کیلوگرم)]]</f>
        <v>0</v>
      </c>
      <c r="O21" s="6">
        <f ca="1">Main[[#This Row],[تفکیک]]</f>
        <v>0</v>
      </c>
      <c r="P21" s="6">
        <f ca="1">IF(Main[[#This Row],[تاخیر از سررسید]]&gt;0,Main[[#This Row],[بدهی تسویه نشده (کیلوگرم)]],0)</f>
        <v>0</v>
      </c>
      <c r="Q21" s="6">
        <f ca="1">IF(Main[[#This Row],[بدهی تسویه نشده (کیلوگرم)]]&gt;0,'گزارش فردی'!$B$7-Main[[#This Row],[تاريخ میلادی]],0)</f>
        <v>0</v>
      </c>
      <c r="R21" s="6">
        <f ca="1">IF(Main[[#This Row],[بدهی تسویه نشده (کیلوگرم)]]&gt;0,'گزارش فردی'!$B$7-Main[[#This Row],[تاريخ میلادی]]-'گزارش فردی'!$B$8,0)</f>
        <v>0</v>
      </c>
      <c r="S21" s="6">
        <f ca="1">Main[[#This Row],[روز از ارسال سفارش]]*Main[[#This Row],[بدهی تسویه نشده (کیلوگرم)]]</f>
        <v>0</v>
      </c>
      <c r="T21" s="6">
        <f ca="1">Main[[#This Row],[بدهی سررسید شده (کیلوگرم)]]*Main[[#This Row],[روز از ارسال سفارش]]</f>
        <v>0</v>
      </c>
      <c r="U21" s="6">
        <f>-SUBTOTAL(9,INDEX(Main[مقدار (کیلوگرم)],1):Main[[#This Row],[مقدار (کیلوگرم)]])</f>
        <v>0</v>
      </c>
      <c r="V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" s="6">
        <f>Main[[#This Row],[تعداد کل روزهای بدهکار (روز)]]*Main[[#This Row],[مانده در خط کل (کیلوگرم)]]</f>
        <v>0</v>
      </c>
      <c r="X21" s="6">
        <f>-SUBTOTAL(9,INDEX(Main[مقدار تسویه شده (کیلوگرم)],1):Main[[#This Row],[مقدار تسویه شده (کیلوگرم)]])</f>
        <v>0</v>
      </c>
      <c r="Y21" s="6">
        <f>IF(Main[[#This Row],[مانده در خط تسویه شده (کیلوگرم)]]&lt;&gt;0,Main[[#This Row],[تعداد کل روزهای بدهکار (روز)]],0)</f>
        <v>0</v>
      </c>
      <c r="Z21" s="6">
        <f>Main[[#This Row],[تعداد روزهای بدهکار تسویه شده (روز)]]*Main[[#This Row],[مانده در خط تسویه شده (کیلوگرم)]]</f>
        <v>0</v>
      </c>
      <c r="AA21" s="6">
        <f>SUBTOTAL(9,INDEX(Main[بدهی تسویه نشده (کیلوگرم)],1):Main[[#This Row],[بدهی تسویه نشده (کیلوگرم)]])</f>
        <v>0</v>
      </c>
      <c r="AB21" s="6">
        <f>IF(Main[[#This Row],[مانده در خط تسویه نشده (کیلوگرم)]]&lt;&gt;0,Main[[#This Row],[تعداد کل روزهای بدهکار (روز)]],0)</f>
        <v>0</v>
      </c>
      <c r="AC21" s="6">
        <f>Main[[#This Row],[تعداد روزهای بدهکار  تسویه نشده (روز)]]*Main[[#This Row],[مانده در خط تسویه نشده (کیلوگرم)]]</f>
        <v>0</v>
      </c>
      <c r="AD21" s="6">
        <f>SUBTOTAL(9,INDEX(Main[بدهی سررسید شده (کیلوگرم)],1):Main[[#This Row],[بدهی سررسید شده (کیلوگرم)]])</f>
        <v>0</v>
      </c>
      <c r="AE21" s="6">
        <f>IF(Main[[#This Row],[مانده در خط سررسید شده (کیلوگرم)]]&lt;&gt;0,Main[[#This Row],[تعداد کل روزهای بدهکار (روز)]],0)</f>
        <v>0</v>
      </c>
      <c r="AF21" s="6">
        <f>Main[[#This Row],[تعداد روزهای بدهکار سررسید شده (روز)]]*Main[[#This Row],[مانده در خط سررسید شده (کیلوگرم)]]</f>
        <v>0</v>
      </c>
    </row>
    <row r="22" spans="1:32" hidden="1" x14ac:dyDescent="0.35">
      <c r="A22" s="5">
        <f>ROW()-ROW(INDEX(Main[ردیف],1))+1</f>
        <v>20</v>
      </c>
      <c r="B22" s="31">
        <f>SUBTOTAL(2,INDEX(Main[ردیف],1):Main[[#This Row],[ردیف]])</f>
        <v>0</v>
      </c>
      <c r="C22" s="32" t="s">
        <v>452</v>
      </c>
      <c r="D22" s="32" t="str">
        <f>_xlfn.CONCAT("14",Main[[#This Row],[تاريخ]])</f>
        <v>1400/01/01</v>
      </c>
      <c r="E22" s="33">
        <v>44276</v>
      </c>
      <c r="F22" s="32">
        <v>30012</v>
      </c>
      <c r="G22" s="5" t="str">
        <f>INDEX(customer[عنوان],MATCH(Main[[#This Row],[کد ردیابی]],customer[کد],0))</f>
        <v xml:space="preserve">پارس قفل </v>
      </c>
      <c r="H22">
        <v>-73</v>
      </c>
      <c r="I22" s="6">
        <f ca="1">-Main[[#This Row],[بدهی تسویه شده (کیلوگرم)]]+Main[[#This Row],[بستانکار (کیلوگرم)]]</f>
        <v>-73</v>
      </c>
      <c r="J22" s="6">
        <f>IF(Main[[#This Row],[مقدار (کیلوگرم)]]&gt;0,Main[[#This Row],[مقدار (کیلوگرم)]],0)</f>
        <v>0</v>
      </c>
      <c r="K22" s="6">
        <f>-IF(Main[[#This Row],[مقدار (کیلوگرم)]]&lt;0,Main[[#This Row],[مقدار (کیلوگرم)]],0)</f>
        <v>73</v>
      </c>
      <c r="L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" s="7">
        <f>-IF(AND(Main[[#This Row],[مقدار (کیلوگرم)]]&lt;0,Main[[#This Row],[تاريخ میلادی]]&gt;44276),Main[[#This Row],[مقدار (کیلوگرم)]],0)</f>
        <v>0</v>
      </c>
      <c r="N22" s="6">
        <f ca="1">Main[[#This Row],[بدهکار (کیلوگرم)]]-Main[[#This Row],[بدهی تسویه نشده (کیلوگرم)]]</f>
        <v>73</v>
      </c>
      <c r="O22" s="6">
        <f ca="1">Main[[#This Row],[تفکیک]]</f>
        <v>0</v>
      </c>
      <c r="P22" s="6">
        <f ca="1">IF(Main[[#This Row],[تاخیر از سررسید]]&gt;0,Main[[#This Row],[بدهی تسویه نشده (کیلوگرم)]],0)</f>
        <v>0</v>
      </c>
      <c r="Q22" s="6">
        <f ca="1">IF(Main[[#This Row],[بدهی تسویه نشده (کیلوگرم)]]&gt;0,'گزارش فردی'!$B$7-Main[[#This Row],[تاريخ میلادی]],0)</f>
        <v>0</v>
      </c>
      <c r="R22" s="6">
        <f ca="1">IF(Main[[#This Row],[بدهی تسویه نشده (کیلوگرم)]]&gt;0,'گزارش فردی'!$B$7-Main[[#This Row],[تاريخ میلادی]]-'گزارش فردی'!$B$8,0)</f>
        <v>0</v>
      </c>
      <c r="S22" s="6">
        <f ca="1">Main[[#This Row],[روز از ارسال سفارش]]*Main[[#This Row],[بدهی تسویه نشده (کیلوگرم)]]</f>
        <v>0</v>
      </c>
      <c r="T22" s="6">
        <f ca="1">Main[[#This Row],[بدهی سررسید شده (کیلوگرم)]]*Main[[#This Row],[روز از ارسال سفارش]]</f>
        <v>0</v>
      </c>
      <c r="U22" s="6">
        <f>-SUBTOTAL(9,INDEX(Main[مقدار (کیلوگرم)],1):Main[[#This Row],[مقدار (کیلوگرم)]])</f>
        <v>0</v>
      </c>
      <c r="V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" s="6">
        <f>Main[[#This Row],[تعداد کل روزهای بدهکار (روز)]]*Main[[#This Row],[مانده در خط کل (کیلوگرم)]]</f>
        <v>0</v>
      </c>
      <c r="X22" s="6">
        <f>-SUBTOTAL(9,INDEX(Main[مقدار تسویه شده (کیلوگرم)],1):Main[[#This Row],[مقدار تسویه شده (کیلوگرم)]])</f>
        <v>0</v>
      </c>
      <c r="Y22" s="6">
        <f>IF(Main[[#This Row],[مانده در خط تسویه شده (کیلوگرم)]]&lt;&gt;0,Main[[#This Row],[تعداد کل روزهای بدهکار (روز)]],0)</f>
        <v>0</v>
      </c>
      <c r="Z22" s="6">
        <f>Main[[#This Row],[تعداد روزهای بدهکار تسویه شده (روز)]]*Main[[#This Row],[مانده در خط تسویه شده (کیلوگرم)]]</f>
        <v>0</v>
      </c>
      <c r="AA22" s="6">
        <f>SUBTOTAL(9,INDEX(Main[بدهی تسویه نشده (کیلوگرم)],1):Main[[#This Row],[بدهی تسویه نشده (کیلوگرم)]])</f>
        <v>0</v>
      </c>
      <c r="AB22" s="6">
        <f>IF(Main[[#This Row],[مانده در خط تسویه نشده (کیلوگرم)]]&lt;&gt;0,Main[[#This Row],[تعداد کل روزهای بدهکار (روز)]],0)</f>
        <v>0</v>
      </c>
      <c r="AC22" s="6">
        <f>Main[[#This Row],[تعداد روزهای بدهکار  تسویه نشده (روز)]]*Main[[#This Row],[مانده در خط تسویه نشده (کیلوگرم)]]</f>
        <v>0</v>
      </c>
      <c r="AD22" s="6">
        <f>SUBTOTAL(9,INDEX(Main[بدهی سررسید شده (کیلوگرم)],1):Main[[#This Row],[بدهی سررسید شده (کیلوگرم)]])</f>
        <v>0</v>
      </c>
      <c r="AE22" s="6">
        <f>IF(Main[[#This Row],[مانده در خط سررسید شده (کیلوگرم)]]&lt;&gt;0,Main[[#This Row],[تعداد کل روزهای بدهکار (روز)]],0)</f>
        <v>0</v>
      </c>
      <c r="AF22" s="6">
        <f>Main[[#This Row],[تعداد روزهای بدهکار سررسید شده (روز)]]*Main[[#This Row],[مانده در خط سررسید شده (کیلوگرم)]]</f>
        <v>0</v>
      </c>
    </row>
    <row r="23" spans="1:32" hidden="1" x14ac:dyDescent="0.35">
      <c r="A23" s="5">
        <f>ROW()-ROW(INDEX(Main[ردیف],1))+1</f>
        <v>21</v>
      </c>
      <c r="B23" s="31">
        <f>SUBTOTAL(2,INDEX(Main[ردیف],1):Main[[#This Row],[ردیف]])</f>
        <v>0</v>
      </c>
      <c r="C23" s="32" t="s">
        <v>452</v>
      </c>
      <c r="D23" s="32" t="str">
        <f>_xlfn.CONCAT("14",Main[[#This Row],[تاريخ]])</f>
        <v>1400/01/01</v>
      </c>
      <c r="E23" s="33">
        <v>44276</v>
      </c>
      <c r="F23" s="32">
        <v>30005</v>
      </c>
      <c r="G23" s="5" t="str">
        <f>INDEX(customer[عنوان],MATCH(Main[[#This Row],[کد ردیابی]],customer[کد],0))</f>
        <v xml:space="preserve">سامفر </v>
      </c>
      <c r="H23">
        <v>61</v>
      </c>
      <c r="I23" s="6">
        <f ca="1">-Main[[#This Row],[بدهی تسویه شده (کیلوگرم)]]+Main[[#This Row],[بستانکار (کیلوگرم)]]</f>
        <v>61</v>
      </c>
      <c r="J23" s="6">
        <f>IF(Main[[#This Row],[مقدار (کیلوگرم)]]&gt;0,Main[[#This Row],[مقدار (کیلوگرم)]],0)</f>
        <v>61</v>
      </c>
      <c r="K23" s="6">
        <f>-IF(Main[[#This Row],[مقدار (کیلوگرم)]]&lt;0,Main[[#This Row],[مقدار (کیلوگرم)]],0)</f>
        <v>0</v>
      </c>
      <c r="L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" s="7">
        <f>-IF(AND(Main[[#This Row],[مقدار (کیلوگرم)]]&lt;0,Main[[#This Row],[تاريخ میلادی]]&gt;44276),Main[[#This Row],[مقدار (کیلوگرم)]],0)</f>
        <v>0</v>
      </c>
      <c r="N23" s="6">
        <f ca="1">Main[[#This Row],[بدهکار (کیلوگرم)]]-Main[[#This Row],[بدهی تسویه نشده (کیلوگرم)]]</f>
        <v>0</v>
      </c>
      <c r="O23" s="6">
        <f ca="1">Main[[#This Row],[تفکیک]]</f>
        <v>0</v>
      </c>
      <c r="P23" s="6">
        <f ca="1">IF(Main[[#This Row],[تاخیر از سررسید]]&gt;0,Main[[#This Row],[بدهی تسویه نشده (کیلوگرم)]],0)</f>
        <v>0</v>
      </c>
      <c r="Q23" s="6">
        <f ca="1">IF(Main[[#This Row],[بدهی تسویه نشده (کیلوگرم)]]&gt;0,'گزارش فردی'!$B$7-Main[[#This Row],[تاريخ میلادی]],0)</f>
        <v>0</v>
      </c>
      <c r="R23" s="6">
        <f ca="1">IF(Main[[#This Row],[بدهی تسویه نشده (کیلوگرم)]]&gt;0,'گزارش فردی'!$B$7-Main[[#This Row],[تاريخ میلادی]]-'گزارش فردی'!$B$8,0)</f>
        <v>0</v>
      </c>
      <c r="S23" s="6">
        <f ca="1">Main[[#This Row],[روز از ارسال سفارش]]*Main[[#This Row],[بدهی تسویه نشده (کیلوگرم)]]</f>
        <v>0</v>
      </c>
      <c r="T23" s="6">
        <f ca="1">Main[[#This Row],[بدهی سررسید شده (کیلوگرم)]]*Main[[#This Row],[روز از ارسال سفارش]]</f>
        <v>0</v>
      </c>
      <c r="U23" s="6">
        <f>-SUBTOTAL(9,INDEX(Main[مقدار (کیلوگرم)],1):Main[[#This Row],[مقدار (کیلوگرم)]])</f>
        <v>0</v>
      </c>
      <c r="V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" s="6">
        <f>Main[[#This Row],[تعداد کل روزهای بدهکار (روز)]]*Main[[#This Row],[مانده در خط کل (کیلوگرم)]]</f>
        <v>0</v>
      </c>
      <c r="X23" s="6">
        <f>-SUBTOTAL(9,INDEX(Main[مقدار تسویه شده (کیلوگرم)],1):Main[[#This Row],[مقدار تسویه شده (کیلوگرم)]])</f>
        <v>0</v>
      </c>
      <c r="Y23" s="6">
        <f>IF(Main[[#This Row],[مانده در خط تسویه شده (کیلوگرم)]]&lt;&gt;0,Main[[#This Row],[تعداد کل روزهای بدهکار (روز)]],0)</f>
        <v>0</v>
      </c>
      <c r="Z23" s="6">
        <f>Main[[#This Row],[تعداد روزهای بدهکار تسویه شده (روز)]]*Main[[#This Row],[مانده در خط تسویه شده (کیلوگرم)]]</f>
        <v>0</v>
      </c>
      <c r="AA23" s="6">
        <f>SUBTOTAL(9,INDEX(Main[بدهی تسویه نشده (کیلوگرم)],1):Main[[#This Row],[بدهی تسویه نشده (کیلوگرم)]])</f>
        <v>0</v>
      </c>
      <c r="AB23" s="6">
        <f>IF(Main[[#This Row],[مانده در خط تسویه نشده (کیلوگرم)]]&lt;&gt;0,Main[[#This Row],[تعداد کل روزهای بدهکار (روز)]],0)</f>
        <v>0</v>
      </c>
      <c r="AC23" s="6">
        <f>Main[[#This Row],[تعداد روزهای بدهکار  تسویه نشده (روز)]]*Main[[#This Row],[مانده در خط تسویه نشده (کیلوگرم)]]</f>
        <v>0</v>
      </c>
      <c r="AD23" s="6">
        <f>SUBTOTAL(9,INDEX(Main[بدهی سررسید شده (کیلوگرم)],1):Main[[#This Row],[بدهی سررسید شده (کیلوگرم)]])</f>
        <v>0</v>
      </c>
      <c r="AE23" s="6">
        <f>IF(Main[[#This Row],[مانده در خط سررسید شده (کیلوگرم)]]&lt;&gt;0,Main[[#This Row],[تعداد کل روزهای بدهکار (روز)]],0)</f>
        <v>0</v>
      </c>
      <c r="AF23" s="6">
        <f>Main[[#This Row],[تعداد روزهای بدهکار سررسید شده (روز)]]*Main[[#This Row],[مانده در خط سررسید شده (کیلوگرم)]]</f>
        <v>0</v>
      </c>
    </row>
    <row r="24" spans="1:32" hidden="1" x14ac:dyDescent="0.35">
      <c r="A24" s="5">
        <f>ROW()-ROW(INDEX(Main[ردیف],1))+1</f>
        <v>22</v>
      </c>
      <c r="B24" s="31">
        <f>SUBTOTAL(2,INDEX(Main[ردیف],1):Main[[#This Row],[ردیف]])</f>
        <v>0</v>
      </c>
      <c r="C24" s="32" t="s">
        <v>452</v>
      </c>
      <c r="D24" s="32" t="str">
        <f>_xlfn.CONCAT("14",Main[[#This Row],[تاريخ]])</f>
        <v>1400/01/01</v>
      </c>
      <c r="E24" s="33">
        <v>44276</v>
      </c>
      <c r="F24" s="32">
        <v>30079</v>
      </c>
      <c r="G24" s="5" t="str">
        <f>INDEX(customer[عنوان],MATCH(Main[[#This Row],[کد ردیابی]],customer[کد],0))</f>
        <v>آریا صنعت</v>
      </c>
      <c r="H24">
        <v>-85</v>
      </c>
      <c r="I24" s="6">
        <f ca="1">-Main[[#This Row],[بدهی تسویه شده (کیلوگرم)]]+Main[[#This Row],[بستانکار (کیلوگرم)]]</f>
        <v>-85</v>
      </c>
      <c r="J24" s="6">
        <f>IF(Main[[#This Row],[مقدار (کیلوگرم)]]&gt;0,Main[[#This Row],[مقدار (کیلوگرم)]],0)</f>
        <v>0</v>
      </c>
      <c r="K24" s="6">
        <f>-IF(Main[[#This Row],[مقدار (کیلوگرم)]]&lt;0,Main[[#This Row],[مقدار (کیلوگرم)]],0)</f>
        <v>85</v>
      </c>
      <c r="L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" s="7">
        <f>-IF(AND(Main[[#This Row],[مقدار (کیلوگرم)]]&lt;0,Main[[#This Row],[تاريخ میلادی]]&gt;44276),Main[[#This Row],[مقدار (کیلوگرم)]],0)</f>
        <v>0</v>
      </c>
      <c r="N24" s="6">
        <f ca="1">Main[[#This Row],[بدهکار (کیلوگرم)]]-Main[[#This Row],[بدهی تسویه نشده (کیلوگرم)]]</f>
        <v>85</v>
      </c>
      <c r="O24" s="6">
        <f ca="1">Main[[#This Row],[تفکیک]]</f>
        <v>0</v>
      </c>
      <c r="P24" s="6">
        <f ca="1">IF(Main[[#This Row],[تاخیر از سررسید]]&gt;0,Main[[#This Row],[بدهی تسویه نشده (کیلوگرم)]],0)</f>
        <v>0</v>
      </c>
      <c r="Q24" s="6">
        <f ca="1">IF(Main[[#This Row],[بدهی تسویه نشده (کیلوگرم)]]&gt;0,'گزارش فردی'!$B$7-Main[[#This Row],[تاريخ میلادی]],0)</f>
        <v>0</v>
      </c>
      <c r="R24" s="6">
        <f ca="1">IF(Main[[#This Row],[بدهی تسویه نشده (کیلوگرم)]]&gt;0,'گزارش فردی'!$B$7-Main[[#This Row],[تاريخ میلادی]]-'گزارش فردی'!$B$8,0)</f>
        <v>0</v>
      </c>
      <c r="S24" s="6">
        <f ca="1">Main[[#This Row],[روز از ارسال سفارش]]*Main[[#This Row],[بدهی تسویه نشده (کیلوگرم)]]</f>
        <v>0</v>
      </c>
      <c r="T24" s="6">
        <f ca="1">Main[[#This Row],[بدهی سررسید شده (کیلوگرم)]]*Main[[#This Row],[روز از ارسال سفارش]]</f>
        <v>0</v>
      </c>
      <c r="U24" s="6">
        <f>-SUBTOTAL(9,INDEX(Main[مقدار (کیلوگرم)],1):Main[[#This Row],[مقدار (کیلوگرم)]])</f>
        <v>0</v>
      </c>
      <c r="V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" s="6">
        <f>Main[[#This Row],[تعداد کل روزهای بدهکار (روز)]]*Main[[#This Row],[مانده در خط کل (کیلوگرم)]]</f>
        <v>0</v>
      </c>
      <c r="X24" s="6">
        <f>-SUBTOTAL(9,INDEX(Main[مقدار تسویه شده (کیلوگرم)],1):Main[[#This Row],[مقدار تسویه شده (کیلوگرم)]])</f>
        <v>0</v>
      </c>
      <c r="Y24" s="6">
        <f>IF(Main[[#This Row],[مانده در خط تسویه شده (کیلوگرم)]]&lt;&gt;0,Main[[#This Row],[تعداد کل روزهای بدهکار (روز)]],0)</f>
        <v>0</v>
      </c>
      <c r="Z24" s="6">
        <f>Main[[#This Row],[تعداد روزهای بدهکار تسویه شده (روز)]]*Main[[#This Row],[مانده در خط تسویه شده (کیلوگرم)]]</f>
        <v>0</v>
      </c>
      <c r="AA24" s="6">
        <f>SUBTOTAL(9,INDEX(Main[بدهی تسویه نشده (کیلوگرم)],1):Main[[#This Row],[بدهی تسویه نشده (کیلوگرم)]])</f>
        <v>0</v>
      </c>
      <c r="AB24" s="6">
        <f>IF(Main[[#This Row],[مانده در خط تسویه نشده (کیلوگرم)]]&lt;&gt;0,Main[[#This Row],[تعداد کل روزهای بدهکار (روز)]],0)</f>
        <v>0</v>
      </c>
      <c r="AC24" s="6">
        <f>Main[[#This Row],[تعداد روزهای بدهکار  تسویه نشده (روز)]]*Main[[#This Row],[مانده در خط تسویه نشده (کیلوگرم)]]</f>
        <v>0</v>
      </c>
      <c r="AD24" s="6">
        <f>SUBTOTAL(9,INDEX(Main[بدهی سررسید شده (کیلوگرم)],1):Main[[#This Row],[بدهی سررسید شده (کیلوگرم)]])</f>
        <v>0</v>
      </c>
      <c r="AE24" s="6">
        <f>IF(Main[[#This Row],[مانده در خط سررسید شده (کیلوگرم)]]&lt;&gt;0,Main[[#This Row],[تعداد کل روزهای بدهکار (روز)]],0)</f>
        <v>0</v>
      </c>
      <c r="AF24" s="6">
        <f>Main[[#This Row],[تعداد روزهای بدهکار سررسید شده (روز)]]*Main[[#This Row],[مانده در خط سررسید شده (کیلوگرم)]]</f>
        <v>0</v>
      </c>
    </row>
    <row r="25" spans="1:32" hidden="1" x14ac:dyDescent="0.35">
      <c r="A25" s="5">
        <f>ROW()-ROW(INDEX(Main[ردیف],1))+1</f>
        <v>23</v>
      </c>
      <c r="B25" s="31">
        <f>SUBTOTAL(2,INDEX(Main[ردیف],1):Main[[#This Row],[ردیف]])</f>
        <v>0</v>
      </c>
      <c r="C25" s="32" t="s">
        <v>452</v>
      </c>
      <c r="D25" s="32" t="str">
        <f>_xlfn.CONCAT("14",Main[[#This Row],[تاريخ]])</f>
        <v>1400/01/01</v>
      </c>
      <c r="E25" s="33">
        <v>44276</v>
      </c>
      <c r="F25" s="32">
        <v>10009</v>
      </c>
      <c r="G25" s="5" t="str">
        <f>INDEX(customer[عنوان],MATCH(Main[[#This Row],[کد ردیابی]],customer[کد],0))</f>
        <v>محمد نمازی</v>
      </c>
      <c r="H25">
        <v>11</v>
      </c>
      <c r="I25" s="6">
        <f ca="1">-Main[[#This Row],[بدهی تسویه شده (کیلوگرم)]]+Main[[#This Row],[بستانکار (کیلوگرم)]]</f>
        <v>11</v>
      </c>
      <c r="J25" s="6">
        <f>IF(Main[[#This Row],[مقدار (کیلوگرم)]]&gt;0,Main[[#This Row],[مقدار (کیلوگرم)]],0)</f>
        <v>11</v>
      </c>
      <c r="K25" s="6">
        <f>-IF(Main[[#This Row],[مقدار (کیلوگرم)]]&lt;0,Main[[#This Row],[مقدار (کیلوگرم)]],0)</f>
        <v>0</v>
      </c>
      <c r="L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" s="7">
        <f>-IF(AND(Main[[#This Row],[مقدار (کیلوگرم)]]&lt;0,Main[[#This Row],[تاريخ میلادی]]&gt;44276),Main[[#This Row],[مقدار (کیلوگرم)]],0)</f>
        <v>0</v>
      </c>
      <c r="N25" s="6">
        <f ca="1">Main[[#This Row],[بدهکار (کیلوگرم)]]-Main[[#This Row],[بدهی تسویه نشده (کیلوگرم)]]</f>
        <v>0</v>
      </c>
      <c r="O25" s="6">
        <f ca="1">Main[[#This Row],[تفکیک]]</f>
        <v>0</v>
      </c>
      <c r="P25" s="6">
        <f ca="1">IF(Main[[#This Row],[تاخیر از سررسید]]&gt;0,Main[[#This Row],[بدهی تسویه نشده (کیلوگرم)]],0)</f>
        <v>0</v>
      </c>
      <c r="Q25" s="6">
        <f ca="1">IF(Main[[#This Row],[بدهی تسویه نشده (کیلوگرم)]]&gt;0,'گزارش فردی'!$B$7-Main[[#This Row],[تاريخ میلادی]],0)</f>
        <v>0</v>
      </c>
      <c r="R25" s="6">
        <f ca="1">IF(Main[[#This Row],[بدهی تسویه نشده (کیلوگرم)]]&gt;0,'گزارش فردی'!$B$7-Main[[#This Row],[تاريخ میلادی]]-'گزارش فردی'!$B$8,0)</f>
        <v>0</v>
      </c>
      <c r="S25" s="6">
        <f ca="1">Main[[#This Row],[روز از ارسال سفارش]]*Main[[#This Row],[بدهی تسویه نشده (کیلوگرم)]]</f>
        <v>0</v>
      </c>
      <c r="T25" s="6">
        <f ca="1">Main[[#This Row],[بدهی سررسید شده (کیلوگرم)]]*Main[[#This Row],[روز از ارسال سفارش]]</f>
        <v>0</v>
      </c>
      <c r="U25" s="6">
        <f>-SUBTOTAL(9,INDEX(Main[مقدار (کیلوگرم)],1):Main[[#This Row],[مقدار (کیلوگرم)]])</f>
        <v>0</v>
      </c>
      <c r="V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" s="6">
        <f>Main[[#This Row],[تعداد کل روزهای بدهکار (روز)]]*Main[[#This Row],[مانده در خط کل (کیلوگرم)]]</f>
        <v>0</v>
      </c>
      <c r="X25" s="6">
        <f>-SUBTOTAL(9,INDEX(Main[مقدار تسویه شده (کیلوگرم)],1):Main[[#This Row],[مقدار تسویه شده (کیلوگرم)]])</f>
        <v>0</v>
      </c>
      <c r="Y25" s="6">
        <f>IF(Main[[#This Row],[مانده در خط تسویه شده (کیلوگرم)]]&lt;&gt;0,Main[[#This Row],[تعداد کل روزهای بدهکار (روز)]],0)</f>
        <v>0</v>
      </c>
      <c r="Z25" s="6">
        <f>Main[[#This Row],[تعداد روزهای بدهکار تسویه شده (روز)]]*Main[[#This Row],[مانده در خط تسویه شده (کیلوگرم)]]</f>
        <v>0</v>
      </c>
      <c r="AA25" s="6">
        <f>SUBTOTAL(9,INDEX(Main[بدهی تسویه نشده (کیلوگرم)],1):Main[[#This Row],[بدهی تسویه نشده (کیلوگرم)]])</f>
        <v>0</v>
      </c>
      <c r="AB25" s="6">
        <f>IF(Main[[#This Row],[مانده در خط تسویه نشده (کیلوگرم)]]&lt;&gt;0,Main[[#This Row],[تعداد کل روزهای بدهکار (روز)]],0)</f>
        <v>0</v>
      </c>
      <c r="AC25" s="6">
        <f>Main[[#This Row],[تعداد روزهای بدهکار  تسویه نشده (روز)]]*Main[[#This Row],[مانده در خط تسویه نشده (کیلوگرم)]]</f>
        <v>0</v>
      </c>
      <c r="AD25" s="6">
        <f>SUBTOTAL(9,INDEX(Main[بدهی سررسید شده (کیلوگرم)],1):Main[[#This Row],[بدهی سررسید شده (کیلوگرم)]])</f>
        <v>0</v>
      </c>
      <c r="AE25" s="6">
        <f>IF(Main[[#This Row],[مانده در خط سررسید شده (کیلوگرم)]]&lt;&gt;0,Main[[#This Row],[تعداد کل روزهای بدهکار (روز)]],0)</f>
        <v>0</v>
      </c>
      <c r="AF25" s="6">
        <f>Main[[#This Row],[تعداد روزهای بدهکار سررسید شده (روز)]]*Main[[#This Row],[مانده در خط سررسید شده (کیلوگرم)]]</f>
        <v>0</v>
      </c>
    </row>
    <row r="26" spans="1:32" hidden="1" x14ac:dyDescent="0.35">
      <c r="A26" s="5">
        <f>ROW()-ROW(INDEX(Main[ردیف],1))+1</f>
        <v>24</v>
      </c>
      <c r="B26" s="31">
        <f>SUBTOTAL(2,INDEX(Main[ردیف],1):Main[[#This Row],[ردیف]])</f>
        <v>0</v>
      </c>
      <c r="C26" s="32" t="s">
        <v>452</v>
      </c>
      <c r="D26" s="32" t="str">
        <f>_xlfn.CONCAT("14",Main[[#This Row],[تاريخ]])</f>
        <v>1400/01/01</v>
      </c>
      <c r="E26" s="33">
        <v>44276</v>
      </c>
      <c r="F26" s="32">
        <v>30025</v>
      </c>
      <c r="G26" s="5" t="str">
        <f>INDEX(customer[عنوان],MATCH(Main[[#This Row],[کد ردیابی]],customer[کد],0))</f>
        <v xml:space="preserve">تکادو صنعت </v>
      </c>
      <c r="H26">
        <v>-165</v>
      </c>
      <c r="I26" s="6">
        <f ca="1">-Main[[#This Row],[بدهی تسویه شده (کیلوگرم)]]+Main[[#This Row],[بستانکار (کیلوگرم)]]</f>
        <v>-165</v>
      </c>
      <c r="J26" s="6">
        <f>IF(Main[[#This Row],[مقدار (کیلوگرم)]]&gt;0,Main[[#This Row],[مقدار (کیلوگرم)]],0)</f>
        <v>0</v>
      </c>
      <c r="K26" s="6">
        <f>-IF(Main[[#This Row],[مقدار (کیلوگرم)]]&lt;0,Main[[#This Row],[مقدار (کیلوگرم)]],0)</f>
        <v>165</v>
      </c>
      <c r="L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" s="7">
        <f>-IF(AND(Main[[#This Row],[مقدار (کیلوگرم)]]&lt;0,Main[[#This Row],[تاريخ میلادی]]&gt;44276),Main[[#This Row],[مقدار (کیلوگرم)]],0)</f>
        <v>0</v>
      </c>
      <c r="N26" s="6">
        <f ca="1">Main[[#This Row],[بدهکار (کیلوگرم)]]-Main[[#This Row],[بدهی تسویه نشده (کیلوگرم)]]</f>
        <v>165</v>
      </c>
      <c r="O26" s="6">
        <f ca="1">Main[[#This Row],[تفکیک]]</f>
        <v>0</v>
      </c>
      <c r="P26" s="6">
        <f ca="1">IF(Main[[#This Row],[تاخیر از سررسید]]&gt;0,Main[[#This Row],[بدهی تسویه نشده (کیلوگرم)]],0)</f>
        <v>0</v>
      </c>
      <c r="Q26" s="6">
        <f ca="1">IF(Main[[#This Row],[بدهی تسویه نشده (کیلوگرم)]]&gt;0,'گزارش فردی'!$B$7-Main[[#This Row],[تاريخ میلادی]],0)</f>
        <v>0</v>
      </c>
      <c r="R26" s="6">
        <f ca="1">IF(Main[[#This Row],[بدهی تسویه نشده (کیلوگرم)]]&gt;0,'گزارش فردی'!$B$7-Main[[#This Row],[تاريخ میلادی]]-'گزارش فردی'!$B$8,0)</f>
        <v>0</v>
      </c>
      <c r="S26" s="6">
        <f ca="1">Main[[#This Row],[روز از ارسال سفارش]]*Main[[#This Row],[بدهی تسویه نشده (کیلوگرم)]]</f>
        <v>0</v>
      </c>
      <c r="T26" s="6">
        <f ca="1">Main[[#This Row],[بدهی سررسید شده (کیلوگرم)]]*Main[[#This Row],[روز از ارسال سفارش]]</f>
        <v>0</v>
      </c>
      <c r="U26" s="6">
        <f>-SUBTOTAL(9,INDEX(Main[مقدار (کیلوگرم)],1):Main[[#This Row],[مقدار (کیلوگرم)]])</f>
        <v>0</v>
      </c>
      <c r="V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" s="6">
        <f>Main[[#This Row],[تعداد کل روزهای بدهکار (روز)]]*Main[[#This Row],[مانده در خط کل (کیلوگرم)]]</f>
        <v>0</v>
      </c>
      <c r="X26" s="6">
        <f>-SUBTOTAL(9,INDEX(Main[مقدار تسویه شده (کیلوگرم)],1):Main[[#This Row],[مقدار تسویه شده (کیلوگرم)]])</f>
        <v>0</v>
      </c>
      <c r="Y26" s="6">
        <f>IF(Main[[#This Row],[مانده در خط تسویه شده (کیلوگرم)]]&lt;&gt;0,Main[[#This Row],[تعداد کل روزهای بدهکار (روز)]],0)</f>
        <v>0</v>
      </c>
      <c r="Z26" s="6">
        <f>Main[[#This Row],[تعداد روزهای بدهکار تسویه شده (روز)]]*Main[[#This Row],[مانده در خط تسویه شده (کیلوگرم)]]</f>
        <v>0</v>
      </c>
      <c r="AA26" s="6">
        <f>SUBTOTAL(9,INDEX(Main[بدهی تسویه نشده (کیلوگرم)],1):Main[[#This Row],[بدهی تسویه نشده (کیلوگرم)]])</f>
        <v>0</v>
      </c>
      <c r="AB26" s="6">
        <f>IF(Main[[#This Row],[مانده در خط تسویه نشده (کیلوگرم)]]&lt;&gt;0,Main[[#This Row],[تعداد کل روزهای بدهکار (روز)]],0)</f>
        <v>0</v>
      </c>
      <c r="AC26" s="6">
        <f>Main[[#This Row],[تعداد روزهای بدهکار  تسویه نشده (روز)]]*Main[[#This Row],[مانده در خط تسویه نشده (کیلوگرم)]]</f>
        <v>0</v>
      </c>
      <c r="AD26" s="6">
        <f>SUBTOTAL(9,INDEX(Main[بدهی سررسید شده (کیلوگرم)],1):Main[[#This Row],[بدهی سررسید شده (کیلوگرم)]])</f>
        <v>0</v>
      </c>
      <c r="AE26" s="6">
        <f>IF(Main[[#This Row],[مانده در خط سررسید شده (کیلوگرم)]]&lt;&gt;0,Main[[#This Row],[تعداد کل روزهای بدهکار (روز)]],0)</f>
        <v>0</v>
      </c>
      <c r="AF26" s="6">
        <f>Main[[#This Row],[تعداد روزهای بدهکار سررسید شده (روز)]]*Main[[#This Row],[مانده در خط سررسید شده (کیلوگرم)]]</f>
        <v>0</v>
      </c>
    </row>
    <row r="27" spans="1:32" hidden="1" x14ac:dyDescent="0.35">
      <c r="A27" s="5">
        <f>ROW()-ROW(INDEX(Main[ردیف],1))+1</f>
        <v>25</v>
      </c>
      <c r="B27" s="31">
        <f>SUBTOTAL(2,INDEX(Main[ردیف],1):Main[[#This Row],[ردیف]])</f>
        <v>0</v>
      </c>
      <c r="C27" s="32" t="s">
        <v>452</v>
      </c>
      <c r="D27" s="32" t="str">
        <f>_xlfn.CONCAT("14",Main[[#This Row],[تاريخ]])</f>
        <v>1400/01/01</v>
      </c>
      <c r="E27" s="33">
        <v>44276</v>
      </c>
      <c r="F27" s="32">
        <v>10015</v>
      </c>
      <c r="G27" s="5" t="str">
        <f>INDEX(customer[عنوان],MATCH(Main[[#This Row],[کد ردیابی]],customer[کد],0))</f>
        <v xml:space="preserve">مصدقی </v>
      </c>
      <c r="H27">
        <v>12</v>
      </c>
      <c r="I27" s="6">
        <f ca="1">-Main[[#This Row],[بدهی تسویه شده (کیلوگرم)]]+Main[[#This Row],[بستانکار (کیلوگرم)]]</f>
        <v>12</v>
      </c>
      <c r="J27" s="6">
        <f>IF(Main[[#This Row],[مقدار (کیلوگرم)]]&gt;0,Main[[#This Row],[مقدار (کیلوگرم)]],0)</f>
        <v>12</v>
      </c>
      <c r="K27" s="6">
        <f>-IF(Main[[#This Row],[مقدار (کیلوگرم)]]&lt;0,Main[[#This Row],[مقدار (کیلوگرم)]],0)</f>
        <v>0</v>
      </c>
      <c r="L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" s="7">
        <f>-IF(AND(Main[[#This Row],[مقدار (کیلوگرم)]]&lt;0,Main[[#This Row],[تاريخ میلادی]]&gt;44276),Main[[#This Row],[مقدار (کیلوگرم)]],0)</f>
        <v>0</v>
      </c>
      <c r="N27" s="6">
        <f ca="1">Main[[#This Row],[بدهکار (کیلوگرم)]]-Main[[#This Row],[بدهی تسویه نشده (کیلوگرم)]]</f>
        <v>0</v>
      </c>
      <c r="O27" s="6">
        <f ca="1">Main[[#This Row],[تفکیک]]</f>
        <v>0</v>
      </c>
      <c r="P27" s="6">
        <f ca="1">IF(Main[[#This Row],[تاخیر از سررسید]]&gt;0,Main[[#This Row],[بدهی تسویه نشده (کیلوگرم)]],0)</f>
        <v>0</v>
      </c>
      <c r="Q27" s="6">
        <f ca="1">IF(Main[[#This Row],[بدهی تسویه نشده (کیلوگرم)]]&gt;0,'گزارش فردی'!$B$7-Main[[#This Row],[تاريخ میلادی]],0)</f>
        <v>0</v>
      </c>
      <c r="R27" s="6">
        <f ca="1">IF(Main[[#This Row],[بدهی تسویه نشده (کیلوگرم)]]&gt;0,'گزارش فردی'!$B$7-Main[[#This Row],[تاريخ میلادی]]-'گزارش فردی'!$B$8,0)</f>
        <v>0</v>
      </c>
      <c r="S27" s="6">
        <f ca="1">Main[[#This Row],[روز از ارسال سفارش]]*Main[[#This Row],[بدهی تسویه نشده (کیلوگرم)]]</f>
        <v>0</v>
      </c>
      <c r="T27" s="6">
        <f ca="1">Main[[#This Row],[بدهی سررسید شده (کیلوگرم)]]*Main[[#This Row],[روز از ارسال سفارش]]</f>
        <v>0</v>
      </c>
      <c r="U27" s="6">
        <f>-SUBTOTAL(9,INDEX(Main[مقدار (کیلوگرم)],1):Main[[#This Row],[مقدار (کیلوگرم)]])</f>
        <v>0</v>
      </c>
      <c r="V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" s="6">
        <f>Main[[#This Row],[تعداد کل روزهای بدهکار (روز)]]*Main[[#This Row],[مانده در خط کل (کیلوگرم)]]</f>
        <v>0</v>
      </c>
      <c r="X27" s="6">
        <f>-SUBTOTAL(9,INDEX(Main[مقدار تسویه شده (کیلوگرم)],1):Main[[#This Row],[مقدار تسویه شده (کیلوگرم)]])</f>
        <v>0</v>
      </c>
      <c r="Y27" s="6">
        <f>IF(Main[[#This Row],[مانده در خط تسویه شده (کیلوگرم)]]&lt;&gt;0,Main[[#This Row],[تعداد کل روزهای بدهکار (روز)]],0)</f>
        <v>0</v>
      </c>
      <c r="Z27" s="6">
        <f>Main[[#This Row],[تعداد روزهای بدهکار تسویه شده (روز)]]*Main[[#This Row],[مانده در خط تسویه شده (کیلوگرم)]]</f>
        <v>0</v>
      </c>
      <c r="AA27" s="6">
        <f>SUBTOTAL(9,INDEX(Main[بدهی تسویه نشده (کیلوگرم)],1):Main[[#This Row],[بدهی تسویه نشده (کیلوگرم)]])</f>
        <v>0</v>
      </c>
      <c r="AB27" s="6">
        <f>IF(Main[[#This Row],[مانده در خط تسویه نشده (کیلوگرم)]]&lt;&gt;0,Main[[#This Row],[تعداد کل روزهای بدهکار (روز)]],0)</f>
        <v>0</v>
      </c>
      <c r="AC27" s="6">
        <f>Main[[#This Row],[تعداد روزهای بدهکار  تسویه نشده (روز)]]*Main[[#This Row],[مانده در خط تسویه نشده (کیلوگرم)]]</f>
        <v>0</v>
      </c>
      <c r="AD27" s="6">
        <f>SUBTOTAL(9,INDEX(Main[بدهی سررسید شده (کیلوگرم)],1):Main[[#This Row],[بدهی سررسید شده (کیلوگرم)]])</f>
        <v>0</v>
      </c>
      <c r="AE27" s="6">
        <f>IF(Main[[#This Row],[مانده در خط سررسید شده (کیلوگرم)]]&lt;&gt;0,Main[[#This Row],[تعداد کل روزهای بدهکار (روز)]],0)</f>
        <v>0</v>
      </c>
      <c r="AF27" s="6">
        <f>Main[[#This Row],[تعداد روزهای بدهکار سررسید شده (روز)]]*Main[[#This Row],[مانده در خط سررسید شده (کیلوگرم)]]</f>
        <v>0</v>
      </c>
    </row>
    <row r="28" spans="1:32" hidden="1" x14ac:dyDescent="0.35">
      <c r="A28" s="5">
        <f>ROW()-ROW(INDEX(Main[ردیف],1))+1</f>
        <v>26</v>
      </c>
      <c r="B28" s="31">
        <f>SUBTOTAL(2,INDEX(Main[ردیف],1):Main[[#This Row],[ردیف]])</f>
        <v>0</v>
      </c>
      <c r="C28" s="32" t="s">
        <v>452</v>
      </c>
      <c r="D28" s="32" t="str">
        <f>_xlfn.CONCAT("14",Main[[#This Row],[تاريخ]])</f>
        <v>1400/01/01</v>
      </c>
      <c r="E28" s="33">
        <v>44276</v>
      </c>
      <c r="F28" s="32">
        <v>79010</v>
      </c>
      <c r="G28" s="5" t="str">
        <f>INDEX(customer[عنوان],MATCH(Main[[#This Row],[کد ردیابی]],customer[کد],0))</f>
        <v xml:space="preserve">شرکت بتا </v>
      </c>
      <c r="H28">
        <v>-110</v>
      </c>
      <c r="I28" s="6">
        <f ca="1">-Main[[#This Row],[بدهی تسویه شده (کیلوگرم)]]+Main[[#This Row],[بستانکار (کیلوگرم)]]</f>
        <v>-110</v>
      </c>
      <c r="J28" s="6">
        <f>IF(Main[[#This Row],[مقدار (کیلوگرم)]]&gt;0,Main[[#This Row],[مقدار (کیلوگرم)]],0)</f>
        <v>0</v>
      </c>
      <c r="K28" s="6">
        <f>-IF(Main[[#This Row],[مقدار (کیلوگرم)]]&lt;0,Main[[#This Row],[مقدار (کیلوگرم)]],0)</f>
        <v>110</v>
      </c>
      <c r="L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" s="7">
        <f>-IF(AND(Main[[#This Row],[مقدار (کیلوگرم)]]&lt;0,Main[[#This Row],[تاريخ میلادی]]&gt;44276),Main[[#This Row],[مقدار (کیلوگرم)]],0)</f>
        <v>0</v>
      </c>
      <c r="N28" s="6">
        <f ca="1">Main[[#This Row],[بدهکار (کیلوگرم)]]-Main[[#This Row],[بدهی تسویه نشده (کیلوگرم)]]</f>
        <v>110</v>
      </c>
      <c r="O28" s="6">
        <f ca="1">Main[[#This Row],[تفکیک]]</f>
        <v>0</v>
      </c>
      <c r="P28" s="6">
        <f ca="1">IF(Main[[#This Row],[تاخیر از سررسید]]&gt;0,Main[[#This Row],[بدهی تسویه نشده (کیلوگرم)]],0)</f>
        <v>0</v>
      </c>
      <c r="Q28" s="6">
        <f ca="1">IF(Main[[#This Row],[بدهی تسویه نشده (کیلوگرم)]]&gt;0,'گزارش فردی'!$B$7-Main[[#This Row],[تاريخ میلادی]],0)</f>
        <v>0</v>
      </c>
      <c r="R28" s="6">
        <f ca="1">IF(Main[[#This Row],[بدهی تسویه نشده (کیلوگرم)]]&gt;0,'گزارش فردی'!$B$7-Main[[#This Row],[تاريخ میلادی]]-'گزارش فردی'!$B$8,0)</f>
        <v>0</v>
      </c>
      <c r="S28" s="6">
        <f ca="1">Main[[#This Row],[روز از ارسال سفارش]]*Main[[#This Row],[بدهی تسویه نشده (کیلوگرم)]]</f>
        <v>0</v>
      </c>
      <c r="T28" s="6">
        <f ca="1">Main[[#This Row],[بدهی سررسید شده (کیلوگرم)]]*Main[[#This Row],[روز از ارسال سفارش]]</f>
        <v>0</v>
      </c>
      <c r="U28" s="6">
        <f>-SUBTOTAL(9,INDEX(Main[مقدار (کیلوگرم)],1):Main[[#This Row],[مقدار (کیلوگرم)]])</f>
        <v>0</v>
      </c>
      <c r="V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" s="6">
        <f>Main[[#This Row],[تعداد کل روزهای بدهکار (روز)]]*Main[[#This Row],[مانده در خط کل (کیلوگرم)]]</f>
        <v>0</v>
      </c>
      <c r="X28" s="6">
        <f>-SUBTOTAL(9,INDEX(Main[مقدار تسویه شده (کیلوگرم)],1):Main[[#This Row],[مقدار تسویه شده (کیلوگرم)]])</f>
        <v>0</v>
      </c>
      <c r="Y28" s="6">
        <f>IF(Main[[#This Row],[مانده در خط تسویه شده (کیلوگرم)]]&lt;&gt;0,Main[[#This Row],[تعداد کل روزهای بدهکار (روز)]],0)</f>
        <v>0</v>
      </c>
      <c r="Z28" s="6">
        <f>Main[[#This Row],[تعداد روزهای بدهکار تسویه شده (روز)]]*Main[[#This Row],[مانده در خط تسویه شده (کیلوگرم)]]</f>
        <v>0</v>
      </c>
      <c r="AA28" s="6">
        <f>SUBTOTAL(9,INDEX(Main[بدهی تسویه نشده (کیلوگرم)],1):Main[[#This Row],[بدهی تسویه نشده (کیلوگرم)]])</f>
        <v>0</v>
      </c>
      <c r="AB28" s="6">
        <f>IF(Main[[#This Row],[مانده در خط تسویه نشده (کیلوگرم)]]&lt;&gt;0,Main[[#This Row],[تعداد کل روزهای بدهکار (روز)]],0)</f>
        <v>0</v>
      </c>
      <c r="AC28" s="6">
        <f>Main[[#This Row],[تعداد روزهای بدهکار  تسویه نشده (روز)]]*Main[[#This Row],[مانده در خط تسویه نشده (کیلوگرم)]]</f>
        <v>0</v>
      </c>
      <c r="AD28" s="6">
        <f>SUBTOTAL(9,INDEX(Main[بدهی سررسید شده (کیلوگرم)],1):Main[[#This Row],[بدهی سررسید شده (کیلوگرم)]])</f>
        <v>0</v>
      </c>
      <c r="AE28" s="6">
        <f>IF(Main[[#This Row],[مانده در خط سررسید شده (کیلوگرم)]]&lt;&gt;0,Main[[#This Row],[تعداد کل روزهای بدهکار (روز)]],0)</f>
        <v>0</v>
      </c>
      <c r="AF28" s="6">
        <f>Main[[#This Row],[تعداد روزهای بدهکار سررسید شده (روز)]]*Main[[#This Row],[مانده در خط سررسید شده (کیلوگرم)]]</f>
        <v>0</v>
      </c>
    </row>
    <row r="29" spans="1:32" hidden="1" x14ac:dyDescent="0.35">
      <c r="A29" s="5">
        <f>ROW()-ROW(INDEX(Main[ردیف],1))+1</f>
        <v>27</v>
      </c>
      <c r="B29" s="31">
        <f>SUBTOTAL(2,INDEX(Main[ردیف],1):Main[[#This Row],[ردیف]])</f>
        <v>0</v>
      </c>
      <c r="C29" s="32" t="s">
        <v>452</v>
      </c>
      <c r="D29" s="32" t="str">
        <f>_xlfn.CONCAT("14",Main[[#This Row],[تاريخ]])</f>
        <v>1400/01/01</v>
      </c>
      <c r="E29" s="33">
        <v>44276</v>
      </c>
      <c r="F29" s="32">
        <v>10010</v>
      </c>
      <c r="G29" s="5" t="str">
        <f>INDEX(customer[عنوان],MATCH(Main[[#This Row],[کد ردیابی]],customer[کد],0))</f>
        <v xml:space="preserve">فرید لواسانی  </v>
      </c>
      <c r="H29">
        <v>8</v>
      </c>
      <c r="I29" s="6">
        <f ca="1">-Main[[#This Row],[بدهی تسویه شده (کیلوگرم)]]+Main[[#This Row],[بستانکار (کیلوگرم)]]</f>
        <v>8</v>
      </c>
      <c r="J29" s="6">
        <f>IF(Main[[#This Row],[مقدار (کیلوگرم)]]&gt;0,Main[[#This Row],[مقدار (کیلوگرم)]],0)</f>
        <v>8</v>
      </c>
      <c r="K29" s="6">
        <f>-IF(Main[[#This Row],[مقدار (کیلوگرم)]]&lt;0,Main[[#This Row],[مقدار (کیلوگرم)]],0)</f>
        <v>0</v>
      </c>
      <c r="L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" s="7">
        <f>-IF(AND(Main[[#This Row],[مقدار (کیلوگرم)]]&lt;0,Main[[#This Row],[تاريخ میلادی]]&gt;44276),Main[[#This Row],[مقدار (کیلوگرم)]],0)</f>
        <v>0</v>
      </c>
      <c r="N29" s="6">
        <f ca="1">Main[[#This Row],[بدهکار (کیلوگرم)]]-Main[[#This Row],[بدهی تسویه نشده (کیلوگرم)]]</f>
        <v>0</v>
      </c>
      <c r="O29" s="6">
        <f ca="1">Main[[#This Row],[تفکیک]]</f>
        <v>0</v>
      </c>
      <c r="P29" s="6">
        <f ca="1">IF(Main[[#This Row],[تاخیر از سررسید]]&gt;0,Main[[#This Row],[بدهی تسویه نشده (کیلوگرم)]],0)</f>
        <v>0</v>
      </c>
      <c r="Q29" s="6">
        <f ca="1">IF(Main[[#This Row],[بدهی تسویه نشده (کیلوگرم)]]&gt;0,'گزارش فردی'!$B$7-Main[[#This Row],[تاريخ میلادی]],0)</f>
        <v>0</v>
      </c>
      <c r="R29" s="6">
        <f ca="1">IF(Main[[#This Row],[بدهی تسویه نشده (کیلوگرم)]]&gt;0,'گزارش فردی'!$B$7-Main[[#This Row],[تاريخ میلادی]]-'گزارش فردی'!$B$8,0)</f>
        <v>0</v>
      </c>
      <c r="S29" s="6">
        <f ca="1">Main[[#This Row],[روز از ارسال سفارش]]*Main[[#This Row],[بدهی تسویه نشده (کیلوگرم)]]</f>
        <v>0</v>
      </c>
      <c r="T29" s="6">
        <f ca="1">Main[[#This Row],[بدهی سررسید شده (کیلوگرم)]]*Main[[#This Row],[روز از ارسال سفارش]]</f>
        <v>0</v>
      </c>
      <c r="U29" s="6">
        <f>-SUBTOTAL(9,INDEX(Main[مقدار (کیلوگرم)],1):Main[[#This Row],[مقدار (کیلوگرم)]])</f>
        <v>0</v>
      </c>
      <c r="V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" s="6">
        <f>Main[[#This Row],[تعداد کل روزهای بدهکار (روز)]]*Main[[#This Row],[مانده در خط کل (کیلوگرم)]]</f>
        <v>0</v>
      </c>
      <c r="X29" s="6">
        <f>-SUBTOTAL(9,INDEX(Main[مقدار تسویه شده (کیلوگرم)],1):Main[[#This Row],[مقدار تسویه شده (کیلوگرم)]])</f>
        <v>0</v>
      </c>
      <c r="Y29" s="6">
        <f>IF(Main[[#This Row],[مانده در خط تسویه شده (کیلوگرم)]]&lt;&gt;0,Main[[#This Row],[تعداد کل روزهای بدهکار (روز)]],0)</f>
        <v>0</v>
      </c>
      <c r="Z29" s="6">
        <f>Main[[#This Row],[تعداد روزهای بدهکار تسویه شده (روز)]]*Main[[#This Row],[مانده در خط تسویه شده (کیلوگرم)]]</f>
        <v>0</v>
      </c>
      <c r="AA29" s="6">
        <f>SUBTOTAL(9,INDEX(Main[بدهی تسویه نشده (کیلوگرم)],1):Main[[#This Row],[بدهی تسویه نشده (کیلوگرم)]])</f>
        <v>0</v>
      </c>
      <c r="AB29" s="6">
        <f>IF(Main[[#This Row],[مانده در خط تسویه نشده (کیلوگرم)]]&lt;&gt;0,Main[[#This Row],[تعداد کل روزهای بدهکار (روز)]],0)</f>
        <v>0</v>
      </c>
      <c r="AC29" s="6">
        <f>Main[[#This Row],[تعداد روزهای بدهکار  تسویه نشده (روز)]]*Main[[#This Row],[مانده در خط تسویه نشده (کیلوگرم)]]</f>
        <v>0</v>
      </c>
      <c r="AD29" s="6">
        <f>SUBTOTAL(9,INDEX(Main[بدهی سررسید شده (کیلوگرم)],1):Main[[#This Row],[بدهی سررسید شده (کیلوگرم)]])</f>
        <v>0</v>
      </c>
      <c r="AE29" s="6">
        <f>IF(Main[[#This Row],[مانده در خط سررسید شده (کیلوگرم)]]&lt;&gt;0,Main[[#This Row],[تعداد کل روزهای بدهکار (روز)]],0)</f>
        <v>0</v>
      </c>
      <c r="AF29" s="6">
        <f>Main[[#This Row],[تعداد روزهای بدهکار سررسید شده (روز)]]*Main[[#This Row],[مانده در خط سررسید شده (کیلوگرم)]]</f>
        <v>0</v>
      </c>
    </row>
    <row r="30" spans="1:32" hidden="1" x14ac:dyDescent="0.35">
      <c r="A30" s="5">
        <f>ROW()-ROW(INDEX(Main[ردیف],1))+1</f>
        <v>28</v>
      </c>
      <c r="B30" s="31">
        <f>SUBTOTAL(2,INDEX(Main[ردیف],1):Main[[#This Row],[ردیف]])</f>
        <v>0</v>
      </c>
      <c r="C30" s="32" t="s">
        <v>452</v>
      </c>
      <c r="D30" s="32" t="str">
        <f>_xlfn.CONCAT("14",Main[[#This Row],[تاريخ]])</f>
        <v>1400/01/01</v>
      </c>
      <c r="E30" s="33">
        <v>44276</v>
      </c>
      <c r="F30" s="32">
        <v>10004</v>
      </c>
      <c r="G30" s="5" t="str">
        <f>INDEX(customer[عنوان],MATCH(Main[[#This Row],[کد ردیابی]],customer[کد],0))</f>
        <v xml:space="preserve">محمد عباسی </v>
      </c>
      <c r="H30">
        <v>-94</v>
      </c>
      <c r="I30" s="6">
        <f ca="1">-Main[[#This Row],[بدهی تسویه شده (کیلوگرم)]]+Main[[#This Row],[بستانکار (کیلوگرم)]]</f>
        <v>-94</v>
      </c>
      <c r="J30" s="6">
        <f>IF(Main[[#This Row],[مقدار (کیلوگرم)]]&gt;0,Main[[#This Row],[مقدار (کیلوگرم)]],0)</f>
        <v>0</v>
      </c>
      <c r="K30" s="6">
        <f>-IF(Main[[#This Row],[مقدار (کیلوگرم)]]&lt;0,Main[[#This Row],[مقدار (کیلوگرم)]],0)</f>
        <v>94</v>
      </c>
      <c r="L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" s="7">
        <f>-IF(AND(Main[[#This Row],[مقدار (کیلوگرم)]]&lt;0,Main[[#This Row],[تاريخ میلادی]]&gt;44276),Main[[#This Row],[مقدار (کیلوگرم)]],0)</f>
        <v>0</v>
      </c>
      <c r="N30" s="6">
        <f ca="1">Main[[#This Row],[بدهکار (کیلوگرم)]]-Main[[#This Row],[بدهی تسویه نشده (کیلوگرم)]]</f>
        <v>94</v>
      </c>
      <c r="O30" s="6">
        <f ca="1">Main[[#This Row],[تفکیک]]</f>
        <v>0</v>
      </c>
      <c r="P30" s="6">
        <f ca="1">IF(Main[[#This Row],[تاخیر از سررسید]]&gt;0,Main[[#This Row],[بدهی تسویه نشده (کیلوگرم)]],0)</f>
        <v>0</v>
      </c>
      <c r="Q30" s="6">
        <f ca="1">IF(Main[[#This Row],[بدهی تسویه نشده (کیلوگرم)]]&gt;0,'گزارش فردی'!$B$7-Main[[#This Row],[تاريخ میلادی]],0)</f>
        <v>0</v>
      </c>
      <c r="R30" s="6">
        <f ca="1">IF(Main[[#This Row],[بدهی تسویه نشده (کیلوگرم)]]&gt;0,'گزارش فردی'!$B$7-Main[[#This Row],[تاريخ میلادی]]-'گزارش فردی'!$B$8,0)</f>
        <v>0</v>
      </c>
      <c r="S30" s="6">
        <f ca="1">Main[[#This Row],[روز از ارسال سفارش]]*Main[[#This Row],[بدهی تسویه نشده (کیلوگرم)]]</f>
        <v>0</v>
      </c>
      <c r="T30" s="6">
        <f ca="1">Main[[#This Row],[بدهی سررسید شده (کیلوگرم)]]*Main[[#This Row],[روز از ارسال سفارش]]</f>
        <v>0</v>
      </c>
      <c r="U30" s="6">
        <f>-SUBTOTAL(9,INDEX(Main[مقدار (کیلوگرم)],1):Main[[#This Row],[مقدار (کیلوگرم)]])</f>
        <v>0</v>
      </c>
      <c r="V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" s="6">
        <f>Main[[#This Row],[تعداد کل روزهای بدهکار (روز)]]*Main[[#This Row],[مانده در خط کل (کیلوگرم)]]</f>
        <v>0</v>
      </c>
      <c r="X30" s="6">
        <f>-SUBTOTAL(9,INDEX(Main[مقدار تسویه شده (کیلوگرم)],1):Main[[#This Row],[مقدار تسویه شده (کیلوگرم)]])</f>
        <v>0</v>
      </c>
      <c r="Y30" s="6">
        <f>IF(Main[[#This Row],[مانده در خط تسویه شده (کیلوگرم)]]&lt;&gt;0,Main[[#This Row],[تعداد کل روزهای بدهکار (روز)]],0)</f>
        <v>0</v>
      </c>
      <c r="Z30" s="6">
        <f>Main[[#This Row],[تعداد روزهای بدهکار تسویه شده (روز)]]*Main[[#This Row],[مانده در خط تسویه شده (کیلوگرم)]]</f>
        <v>0</v>
      </c>
      <c r="AA30" s="6">
        <f>SUBTOTAL(9,INDEX(Main[بدهی تسویه نشده (کیلوگرم)],1):Main[[#This Row],[بدهی تسویه نشده (کیلوگرم)]])</f>
        <v>0</v>
      </c>
      <c r="AB30" s="6">
        <f>IF(Main[[#This Row],[مانده در خط تسویه نشده (کیلوگرم)]]&lt;&gt;0,Main[[#This Row],[تعداد کل روزهای بدهکار (روز)]],0)</f>
        <v>0</v>
      </c>
      <c r="AC30" s="6">
        <f>Main[[#This Row],[تعداد روزهای بدهکار  تسویه نشده (روز)]]*Main[[#This Row],[مانده در خط تسویه نشده (کیلوگرم)]]</f>
        <v>0</v>
      </c>
      <c r="AD30" s="6">
        <f>SUBTOTAL(9,INDEX(Main[بدهی سررسید شده (کیلوگرم)],1):Main[[#This Row],[بدهی سررسید شده (کیلوگرم)]])</f>
        <v>0</v>
      </c>
      <c r="AE30" s="6">
        <f>IF(Main[[#This Row],[مانده در خط سررسید شده (کیلوگرم)]]&lt;&gt;0,Main[[#This Row],[تعداد کل روزهای بدهکار (روز)]],0)</f>
        <v>0</v>
      </c>
      <c r="AF30" s="6">
        <f>Main[[#This Row],[تعداد روزهای بدهکار سررسید شده (روز)]]*Main[[#This Row],[مانده در خط سررسید شده (کیلوگرم)]]</f>
        <v>0</v>
      </c>
    </row>
    <row r="31" spans="1:32" hidden="1" x14ac:dyDescent="0.35">
      <c r="A31" s="5">
        <f>ROW()-ROW(INDEX(Main[ردیف],1))+1</f>
        <v>29</v>
      </c>
      <c r="B31" s="31">
        <f>SUBTOTAL(2,INDEX(Main[ردیف],1):Main[[#This Row],[ردیف]])</f>
        <v>0</v>
      </c>
      <c r="C31" s="32" t="s">
        <v>452</v>
      </c>
      <c r="D31" s="32" t="str">
        <f>_xlfn.CONCAT("14",Main[[#This Row],[تاريخ]])</f>
        <v>1400/01/01</v>
      </c>
      <c r="E31" s="33">
        <v>44276</v>
      </c>
      <c r="F31" s="32">
        <v>10023</v>
      </c>
      <c r="G31" s="5" t="str">
        <f>INDEX(customer[عنوان],MATCH(Main[[#This Row],[کد ردیابی]],customer[کد],0))</f>
        <v>علی شهریاری</v>
      </c>
      <c r="H31">
        <v>6</v>
      </c>
      <c r="I31" s="6">
        <f ca="1">-Main[[#This Row],[بدهی تسویه شده (کیلوگرم)]]+Main[[#This Row],[بستانکار (کیلوگرم)]]</f>
        <v>6</v>
      </c>
      <c r="J31" s="6">
        <f>IF(Main[[#This Row],[مقدار (کیلوگرم)]]&gt;0,Main[[#This Row],[مقدار (کیلوگرم)]],0)</f>
        <v>6</v>
      </c>
      <c r="K31" s="6">
        <f>-IF(Main[[#This Row],[مقدار (کیلوگرم)]]&lt;0,Main[[#This Row],[مقدار (کیلوگرم)]],0)</f>
        <v>0</v>
      </c>
      <c r="L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" s="7">
        <f>-IF(AND(Main[[#This Row],[مقدار (کیلوگرم)]]&lt;0,Main[[#This Row],[تاريخ میلادی]]&gt;44276),Main[[#This Row],[مقدار (کیلوگرم)]],0)</f>
        <v>0</v>
      </c>
      <c r="N31" s="6">
        <f ca="1">Main[[#This Row],[بدهکار (کیلوگرم)]]-Main[[#This Row],[بدهی تسویه نشده (کیلوگرم)]]</f>
        <v>0</v>
      </c>
      <c r="O31" s="6">
        <f ca="1">Main[[#This Row],[تفکیک]]</f>
        <v>0</v>
      </c>
      <c r="P31" s="6">
        <f ca="1">IF(Main[[#This Row],[تاخیر از سررسید]]&gt;0,Main[[#This Row],[بدهی تسویه نشده (کیلوگرم)]],0)</f>
        <v>0</v>
      </c>
      <c r="Q31" s="6">
        <f ca="1">IF(Main[[#This Row],[بدهی تسویه نشده (کیلوگرم)]]&gt;0,'گزارش فردی'!$B$7-Main[[#This Row],[تاريخ میلادی]],0)</f>
        <v>0</v>
      </c>
      <c r="R31" s="6">
        <f ca="1">IF(Main[[#This Row],[بدهی تسویه نشده (کیلوگرم)]]&gt;0,'گزارش فردی'!$B$7-Main[[#This Row],[تاريخ میلادی]]-'گزارش فردی'!$B$8,0)</f>
        <v>0</v>
      </c>
      <c r="S31" s="6">
        <f ca="1">Main[[#This Row],[روز از ارسال سفارش]]*Main[[#This Row],[بدهی تسویه نشده (کیلوگرم)]]</f>
        <v>0</v>
      </c>
      <c r="T31" s="6">
        <f ca="1">Main[[#This Row],[بدهی سررسید شده (کیلوگرم)]]*Main[[#This Row],[روز از ارسال سفارش]]</f>
        <v>0</v>
      </c>
      <c r="U31" s="6">
        <f>-SUBTOTAL(9,INDEX(Main[مقدار (کیلوگرم)],1):Main[[#This Row],[مقدار (کیلوگرم)]])</f>
        <v>0</v>
      </c>
      <c r="V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" s="6">
        <f>Main[[#This Row],[تعداد کل روزهای بدهکار (روز)]]*Main[[#This Row],[مانده در خط کل (کیلوگرم)]]</f>
        <v>0</v>
      </c>
      <c r="X31" s="6">
        <f>-SUBTOTAL(9,INDEX(Main[مقدار تسویه شده (کیلوگرم)],1):Main[[#This Row],[مقدار تسویه شده (کیلوگرم)]])</f>
        <v>0</v>
      </c>
      <c r="Y31" s="6">
        <f>IF(Main[[#This Row],[مانده در خط تسویه شده (کیلوگرم)]]&lt;&gt;0,Main[[#This Row],[تعداد کل روزهای بدهکار (روز)]],0)</f>
        <v>0</v>
      </c>
      <c r="Z31" s="6">
        <f>Main[[#This Row],[تعداد روزهای بدهکار تسویه شده (روز)]]*Main[[#This Row],[مانده در خط تسویه شده (کیلوگرم)]]</f>
        <v>0</v>
      </c>
      <c r="AA31" s="6">
        <f>SUBTOTAL(9,INDEX(Main[بدهی تسویه نشده (کیلوگرم)],1):Main[[#This Row],[بدهی تسویه نشده (کیلوگرم)]])</f>
        <v>0</v>
      </c>
      <c r="AB31" s="6">
        <f>IF(Main[[#This Row],[مانده در خط تسویه نشده (کیلوگرم)]]&lt;&gt;0,Main[[#This Row],[تعداد کل روزهای بدهکار (روز)]],0)</f>
        <v>0</v>
      </c>
      <c r="AC31" s="6">
        <f>Main[[#This Row],[تعداد روزهای بدهکار  تسویه نشده (روز)]]*Main[[#This Row],[مانده در خط تسویه نشده (کیلوگرم)]]</f>
        <v>0</v>
      </c>
      <c r="AD31" s="6">
        <f>SUBTOTAL(9,INDEX(Main[بدهی سررسید شده (کیلوگرم)],1):Main[[#This Row],[بدهی سررسید شده (کیلوگرم)]])</f>
        <v>0</v>
      </c>
      <c r="AE31" s="6">
        <f>IF(Main[[#This Row],[مانده در خط سررسید شده (کیلوگرم)]]&lt;&gt;0,Main[[#This Row],[تعداد کل روزهای بدهکار (روز)]],0)</f>
        <v>0</v>
      </c>
      <c r="AF31" s="6">
        <f>Main[[#This Row],[تعداد روزهای بدهکار سررسید شده (روز)]]*Main[[#This Row],[مانده در خط سررسید شده (کیلوگرم)]]</f>
        <v>0</v>
      </c>
    </row>
    <row r="32" spans="1:32" hidden="1" x14ac:dyDescent="0.35">
      <c r="A32" s="5">
        <f>ROW()-ROW(INDEX(Main[ردیف],1))+1</f>
        <v>30</v>
      </c>
      <c r="B32" s="31">
        <f>SUBTOTAL(2,INDEX(Main[ردیف],1):Main[[#This Row],[ردیف]])</f>
        <v>0</v>
      </c>
      <c r="C32" s="32" t="s">
        <v>452</v>
      </c>
      <c r="D32" s="32" t="str">
        <f>_xlfn.CONCAT("14",Main[[#This Row],[تاريخ]])</f>
        <v>1400/01/01</v>
      </c>
      <c r="E32" s="33">
        <v>44276</v>
      </c>
      <c r="F32" s="32">
        <v>10028</v>
      </c>
      <c r="G32" s="5" t="str">
        <f>INDEX(customer[عنوان],MATCH(Main[[#This Row],[کد ردیابی]],customer[کد],0))</f>
        <v xml:space="preserve">احمد سنجری </v>
      </c>
      <c r="H32">
        <v>-398</v>
      </c>
      <c r="I32" s="6">
        <f ca="1">-Main[[#This Row],[بدهی تسویه شده (کیلوگرم)]]+Main[[#This Row],[بستانکار (کیلوگرم)]]</f>
        <v>-398</v>
      </c>
      <c r="J32" s="6">
        <f>IF(Main[[#This Row],[مقدار (کیلوگرم)]]&gt;0,Main[[#This Row],[مقدار (کیلوگرم)]],0)</f>
        <v>0</v>
      </c>
      <c r="K32" s="6">
        <f>-IF(Main[[#This Row],[مقدار (کیلوگرم)]]&lt;0,Main[[#This Row],[مقدار (کیلوگرم)]],0)</f>
        <v>398</v>
      </c>
      <c r="L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" s="7">
        <f>-IF(AND(Main[[#This Row],[مقدار (کیلوگرم)]]&lt;0,Main[[#This Row],[تاريخ میلادی]]&gt;44276),Main[[#This Row],[مقدار (کیلوگرم)]],0)</f>
        <v>0</v>
      </c>
      <c r="N32" s="6">
        <f ca="1">Main[[#This Row],[بدهکار (کیلوگرم)]]-Main[[#This Row],[بدهی تسویه نشده (کیلوگرم)]]</f>
        <v>398</v>
      </c>
      <c r="O32" s="6">
        <f ca="1">Main[[#This Row],[تفکیک]]</f>
        <v>0</v>
      </c>
      <c r="P32" s="6">
        <f ca="1">IF(Main[[#This Row],[تاخیر از سررسید]]&gt;0,Main[[#This Row],[بدهی تسویه نشده (کیلوگرم)]],0)</f>
        <v>0</v>
      </c>
      <c r="Q32" s="6">
        <f ca="1">IF(Main[[#This Row],[بدهی تسویه نشده (کیلوگرم)]]&gt;0,'گزارش فردی'!$B$7-Main[[#This Row],[تاريخ میلادی]],0)</f>
        <v>0</v>
      </c>
      <c r="R32" s="6">
        <f ca="1">IF(Main[[#This Row],[بدهی تسویه نشده (کیلوگرم)]]&gt;0,'گزارش فردی'!$B$7-Main[[#This Row],[تاريخ میلادی]]-'گزارش فردی'!$B$8,0)</f>
        <v>0</v>
      </c>
      <c r="S32" s="6">
        <f ca="1">Main[[#This Row],[روز از ارسال سفارش]]*Main[[#This Row],[بدهی تسویه نشده (کیلوگرم)]]</f>
        <v>0</v>
      </c>
      <c r="T32" s="6">
        <f ca="1">Main[[#This Row],[بدهی سررسید شده (کیلوگرم)]]*Main[[#This Row],[روز از ارسال سفارش]]</f>
        <v>0</v>
      </c>
      <c r="U32" s="6">
        <f>-SUBTOTAL(9,INDEX(Main[مقدار (کیلوگرم)],1):Main[[#This Row],[مقدار (کیلوگرم)]])</f>
        <v>0</v>
      </c>
      <c r="V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" s="6">
        <f>Main[[#This Row],[تعداد کل روزهای بدهکار (روز)]]*Main[[#This Row],[مانده در خط کل (کیلوگرم)]]</f>
        <v>0</v>
      </c>
      <c r="X32" s="6">
        <f>-SUBTOTAL(9,INDEX(Main[مقدار تسویه شده (کیلوگرم)],1):Main[[#This Row],[مقدار تسویه شده (کیلوگرم)]])</f>
        <v>0</v>
      </c>
      <c r="Y32" s="6">
        <f>IF(Main[[#This Row],[مانده در خط تسویه شده (کیلوگرم)]]&lt;&gt;0,Main[[#This Row],[تعداد کل روزهای بدهکار (روز)]],0)</f>
        <v>0</v>
      </c>
      <c r="Z32" s="6">
        <f>Main[[#This Row],[تعداد روزهای بدهکار تسویه شده (روز)]]*Main[[#This Row],[مانده در خط تسویه شده (کیلوگرم)]]</f>
        <v>0</v>
      </c>
      <c r="AA32" s="6">
        <f>SUBTOTAL(9,INDEX(Main[بدهی تسویه نشده (کیلوگرم)],1):Main[[#This Row],[بدهی تسویه نشده (کیلوگرم)]])</f>
        <v>0</v>
      </c>
      <c r="AB32" s="6">
        <f>IF(Main[[#This Row],[مانده در خط تسویه نشده (کیلوگرم)]]&lt;&gt;0,Main[[#This Row],[تعداد کل روزهای بدهکار (روز)]],0)</f>
        <v>0</v>
      </c>
      <c r="AC32" s="6">
        <f>Main[[#This Row],[تعداد روزهای بدهکار  تسویه نشده (روز)]]*Main[[#This Row],[مانده در خط تسویه نشده (کیلوگرم)]]</f>
        <v>0</v>
      </c>
      <c r="AD32" s="6">
        <f>SUBTOTAL(9,INDEX(Main[بدهی سررسید شده (کیلوگرم)],1):Main[[#This Row],[بدهی سررسید شده (کیلوگرم)]])</f>
        <v>0</v>
      </c>
      <c r="AE32" s="6">
        <f>IF(Main[[#This Row],[مانده در خط سررسید شده (کیلوگرم)]]&lt;&gt;0,Main[[#This Row],[تعداد کل روزهای بدهکار (روز)]],0)</f>
        <v>0</v>
      </c>
      <c r="AF32" s="6">
        <f>Main[[#This Row],[تعداد روزهای بدهکار سررسید شده (روز)]]*Main[[#This Row],[مانده در خط سررسید شده (کیلوگرم)]]</f>
        <v>0</v>
      </c>
    </row>
    <row r="33" spans="1:32" hidden="1" x14ac:dyDescent="0.35">
      <c r="A33" s="5">
        <f>ROW()-ROW(INDEX(Main[ردیف],1))+1</f>
        <v>31</v>
      </c>
      <c r="B33" s="31">
        <f>SUBTOTAL(2,INDEX(Main[ردیف],1):Main[[#This Row],[ردیف]])</f>
        <v>0</v>
      </c>
      <c r="C33" s="32" t="s">
        <v>452</v>
      </c>
      <c r="D33" s="32" t="str">
        <f>_xlfn.CONCAT("14",Main[[#This Row],[تاريخ]])</f>
        <v>1400/01/01</v>
      </c>
      <c r="E33" s="33">
        <v>44276</v>
      </c>
      <c r="F33" s="32">
        <v>30010</v>
      </c>
      <c r="G33" s="5" t="str">
        <f>INDEX(customer[عنوان],MATCH(Main[[#This Row],[کد ردیابی]],customer[کد],0))</f>
        <v xml:space="preserve">صنایع یکتا تهویه اروند </v>
      </c>
      <c r="H33">
        <v>8</v>
      </c>
      <c r="I33" s="6">
        <f ca="1">-Main[[#This Row],[بدهی تسویه شده (کیلوگرم)]]+Main[[#This Row],[بستانکار (کیلوگرم)]]</f>
        <v>8</v>
      </c>
      <c r="J33" s="6">
        <f>IF(Main[[#This Row],[مقدار (کیلوگرم)]]&gt;0,Main[[#This Row],[مقدار (کیلوگرم)]],0)</f>
        <v>8</v>
      </c>
      <c r="K33" s="6">
        <f>-IF(Main[[#This Row],[مقدار (کیلوگرم)]]&lt;0,Main[[#This Row],[مقدار (کیلوگرم)]],0)</f>
        <v>0</v>
      </c>
      <c r="L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" s="7">
        <f>-IF(AND(Main[[#This Row],[مقدار (کیلوگرم)]]&lt;0,Main[[#This Row],[تاريخ میلادی]]&gt;44276),Main[[#This Row],[مقدار (کیلوگرم)]],0)</f>
        <v>0</v>
      </c>
      <c r="N33" s="6">
        <f ca="1">Main[[#This Row],[بدهکار (کیلوگرم)]]-Main[[#This Row],[بدهی تسویه نشده (کیلوگرم)]]</f>
        <v>0</v>
      </c>
      <c r="O33" s="6">
        <f ca="1">Main[[#This Row],[تفکیک]]</f>
        <v>0</v>
      </c>
      <c r="P33" s="6">
        <f ca="1">IF(Main[[#This Row],[تاخیر از سررسید]]&gt;0,Main[[#This Row],[بدهی تسویه نشده (کیلوگرم)]],0)</f>
        <v>0</v>
      </c>
      <c r="Q33" s="6">
        <f ca="1">IF(Main[[#This Row],[بدهی تسویه نشده (کیلوگرم)]]&gt;0,'گزارش فردی'!$B$7-Main[[#This Row],[تاريخ میلادی]],0)</f>
        <v>0</v>
      </c>
      <c r="R33" s="6">
        <f ca="1">IF(Main[[#This Row],[بدهی تسویه نشده (کیلوگرم)]]&gt;0,'گزارش فردی'!$B$7-Main[[#This Row],[تاريخ میلادی]]-'گزارش فردی'!$B$8,0)</f>
        <v>0</v>
      </c>
      <c r="S33" s="6">
        <f ca="1">Main[[#This Row],[روز از ارسال سفارش]]*Main[[#This Row],[بدهی تسویه نشده (کیلوگرم)]]</f>
        <v>0</v>
      </c>
      <c r="T33" s="6">
        <f ca="1">Main[[#This Row],[بدهی سررسید شده (کیلوگرم)]]*Main[[#This Row],[روز از ارسال سفارش]]</f>
        <v>0</v>
      </c>
      <c r="U33" s="6">
        <f>-SUBTOTAL(9,INDEX(Main[مقدار (کیلوگرم)],1):Main[[#This Row],[مقدار (کیلوگرم)]])</f>
        <v>0</v>
      </c>
      <c r="V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" s="6">
        <f>Main[[#This Row],[تعداد کل روزهای بدهکار (روز)]]*Main[[#This Row],[مانده در خط کل (کیلوگرم)]]</f>
        <v>0</v>
      </c>
      <c r="X33" s="6">
        <f>-SUBTOTAL(9,INDEX(Main[مقدار تسویه شده (کیلوگرم)],1):Main[[#This Row],[مقدار تسویه شده (کیلوگرم)]])</f>
        <v>0</v>
      </c>
      <c r="Y33" s="6">
        <f>IF(Main[[#This Row],[مانده در خط تسویه شده (کیلوگرم)]]&lt;&gt;0,Main[[#This Row],[تعداد کل روزهای بدهکار (روز)]],0)</f>
        <v>0</v>
      </c>
      <c r="Z33" s="6">
        <f>Main[[#This Row],[تعداد روزهای بدهکار تسویه شده (روز)]]*Main[[#This Row],[مانده در خط تسویه شده (کیلوگرم)]]</f>
        <v>0</v>
      </c>
      <c r="AA33" s="6">
        <f>SUBTOTAL(9,INDEX(Main[بدهی تسویه نشده (کیلوگرم)],1):Main[[#This Row],[بدهی تسویه نشده (کیلوگرم)]])</f>
        <v>0</v>
      </c>
      <c r="AB33" s="6">
        <f>IF(Main[[#This Row],[مانده در خط تسویه نشده (کیلوگرم)]]&lt;&gt;0,Main[[#This Row],[تعداد کل روزهای بدهکار (روز)]],0)</f>
        <v>0</v>
      </c>
      <c r="AC33" s="6">
        <f>Main[[#This Row],[تعداد روزهای بدهکار  تسویه نشده (روز)]]*Main[[#This Row],[مانده در خط تسویه نشده (کیلوگرم)]]</f>
        <v>0</v>
      </c>
      <c r="AD33" s="6">
        <f>SUBTOTAL(9,INDEX(Main[بدهی سررسید شده (کیلوگرم)],1):Main[[#This Row],[بدهی سررسید شده (کیلوگرم)]])</f>
        <v>0</v>
      </c>
      <c r="AE33" s="6">
        <f>IF(Main[[#This Row],[مانده در خط سررسید شده (کیلوگرم)]]&lt;&gt;0,Main[[#This Row],[تعداد کل روزهای بدهکار (روز)]],0)</f>
        <v>0</v>
      </c>
      <c r="AF33" s="6">
        <f>Main[[#This Row],[تعداد روزهای بدهکار سررسید شده (روز)]]*Main[[#This Row],[مانده در خط سررسید شده (کیلوگرم)]]</f>
        <v>0</v>
      </c>
    </row>
    <row r="34" spans="1:32" hidden="1" x14ac:dyDescent="0.35">
      <c r="A34" s="5">
        <f>ROW()-ROW(INDEX(Main[ردیف],1))+1</f>
        <v>32</v>
      </c>
      <c r="B34" s="31">
        <f>SUBTOTAL(2,INDEX(Main[ردیف],1):Main[[#This Row],[ردیف]])</f>
        <v>0</v>
      </c>
      <c r="C34" s="32" t="s">
        <v>452</v>
      </c>
      <c r="D34" s="32" t="str">
        <f>_xlfn.CONCAT("14",Main[[#This Row],[تاريخ]])</f>
        <v>1400/01/01</v>
      </c>
      <c r="E34" s="33">
        <v>44276</v>
      </c>
      <c r="F34" s="32">
        <v>10057</v>
      </c>
      <c r="G34" s="5" t="str">
        <f>INDEX(customer[عنوان],MATCH(Main[[#This Row],[کد ردیابی]],customer[کد],0))</f>
        <v xml:space="preserve">عبدالله یادگار </v>
      </c>
      <c r="H34">
        <v>-919</v>
      </c>
      <c r="I34" s="6">
        <f ca="1">-Main[[#This Row],[بدهی تسویه شده (کیلوگرم)]]+Main[[#This Row],[بستانکار (کیلوگرم)]]</f>
        <v>-919</v>
      </c>
      <c r="J34" s="6">
        <f>IF(Main[[#This Row],[مقدار (کیلوگرم)]]&gt;0,Main[[#This Row],[مقدار (کیلوگرم)]],0)</f>
        <v>0</v>
      </c>
      <c r="K34" s="6">
        <f>-IF(Main[[#This Row],[مقدار (کیلوگرم)]]&lt;0,Main[[#This Row],[مقدار (کیلوگرم)]],0)</f>
        <v>919</v>
      </c>
      <c r="L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" s="7">
        <f>-IF(AND(Main[[#This Row],[مقدار (کیلوگرم)]]&lt;0,Main[[#This Row],[تاريخ میلادی]]&gt;44276),Main[[#This Row],[مقدار (کیلوگرم)]],0)</f>
        <v>0</v>
      </c>
      <c r="N34" s="6">
        <f ca="1">Main[[#This Row],[بدهکار (کیلوگرم)]]-Main[[#This Row],[بدهی تسویه نشده (کیلوگرم)]]</f>
        <v>919</v>
      </c>
      <c r="O34" s="6">
        <f ca="1">Main[[#This Row],[تفکیک]]</f>
        <v>0</v>
      </c>
      <c r="P34" s="6">
        <f ca="1">IF(Main[[#This Row],[تاخیر از سررسید]]&gt;0,Main[[#This Row],[بدهی تسویه نشده (کیلوگرم)]],0)</f>
        <v>0</v>
      </c>
      <c r="Q34" s="6">
        <f ca="1">IF(Main[[#This Row],[بدهی تسویه نشده (کیلوگرم)]]&gt;0,'گزارش فردی'!$B$7-Main[[#This Row],[تاريخ میلادی]],0)</f>
        <v>0</v>
      </c>
      <c r="R34" s="6">
        <f ca="1">IF(Main[[#This Row],[بدهی تسویه نشده (کیلوگرم)]]&gt;0,'گزارش فردی'!$B$7-Main[[#This Row],[تاريخ میلادی]]-'گزارش فردی'!$B$8,0)</f>
        <v>0</v>
      </c>
      <c r="S34" s="6">
        <f ca="1">Main[[#This Row],[روز از ارسال سفارش]]*Main[[#This Row],[بدهی تسویه نشده (کیلوگرم)]]</f>
        <v>0</v>
      </c>
      <c r="T34" s="6">
        <f ca="1">Main[[#This Row],[بدهی سررسید شده (کیلوگرم)]]*Main[[#This Row],[روز از ارسال سفارش]]</f>
        <v>0</v>
      </c>
      <c r="U34" s="6">
        <f>-SUBTOTAL(9,INDEX(Main[مقدار (کیلوگرم)],1):Main[[#This Row],[مقدار (کیلوگرم)]])</f>
        <v>0</v>
      </c>
      <c r="V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" s="6">
        <f>Main[[#This Row],[تعداد کل روزهای بدهکار (روز)]]*Main[[#This Row],[مانده در خط کل (کیلوگرم)]]</f>
        <v>0</v>
      </c>
      <c r="X34" s="6">
        <f>-SUBTOTAL(9,INDEX(Main[مقدار تسویه شده (کیلوگرم)],1):Main[[#This Row],[مقدار تسویه شده (کیلوگرم)]])</f>
        <v>0</v>
      </c>
      <c r="Y34" s="6">
        <f>IF(Main[[#This Row],[مانده در خط تسویه شده (کیلوگرم)]]&lt;&gt;0,Main[[#This Row],[تعداد کل روزهای بدهکار (روز)]],0)</f>
        <v>0</v>
      </c>
      <c r="Z34" s="6">
        <f>Main[[#This Row],[تعداد روزهای بدهکار تسویه شده (روز)]]*Main[[#This Row],[مانده در خط تسویه شده (کیلوگرم)]]</f>
        <v>0</v>
      </c>
      <c r="AA34" s="6">
        <f>SUBTOTAL(9,INDEX(Main[بدهی تسویه نشده (کیلوگرم)],1):Main[[#This Row],[بدهی تسویه نشده (کیلوگرم)]])</f>
        <v>0</v>
      </c>
      <c r="AB34" s="6">
        <f>IF(Main[[#This Row],[مانده در خط تسویه نشده (کیلوگرم)]]&lt;&gt;0,Main[[#This Row],[تعداد کل روزهای بدهکار (روز)]],0)</f>
        <v>0</v>
      </c>
      <c r="AC34" s="6">
        <f>Main[[#This Row],[تعداد روزهای بدهکار  تسویه نشده (روز)]]*Main[[#This Row],[مانده در خط تسویه نشده (کیلوگرم)]]</f>
        <v>0</v>
      </c>
      <c r="AD34" s="6">
        <f>SUBTOTAL(9,INDEX(Main[بدهی سررسید شده (کیلوگرم)],1):Main[[#This Row],[بدهی سررسید شده (کیلوگرم)]])</f>
        <v>0</v>
      </c>
      <c r="AE34" s="6">
        <f>IF(Main[[#This Row],[مانده در خط سررسید شده (کیلوگرم)]]&lt;&gt;0,Main[[#This Row],[تعداد کل روزهای بدهکار (روز)]],0)</f>
        <v>0</v>
      </c>
      <c r="AF34" s="6">
        <f>Main[[#This Row],[تعداد روزهای بدهکار سررسید شده (روز)]]*Main[[#This Row],[مانده در خط سررسید شده (کیلوگرم)]]</f>
        <v>0</v>
      </c>
    </row>
    <row r="35" spans="1:32" hidden="1" x14ac:dyDescent="0.35">
      <c r="A35" s="5">
        <f>ROW()-ROW(INDEX(Main[ردیف],1))+1</f>
        <v>33</v>
      </c>
      <c r="B35" s="31">
        <f>SUBTOTAL(2,INDEX(Main[ردیف],1):Main[[#This Row],[ردیف]])</f>
        <v>0</v>
      </c>
      <c r="C35" s="32" t="s">
        <v>452</v>
      </c>
      <c r="D35" s="32" t="str">
        <f>_xlfn.CONCAT("14",Main[[#This Row],[تاريخ]])</f>
        <v>1400/01/01</v>
      </c>
      <c r="E35" s="33">
        <v>44276</v>
      </c>
      <c r="F35" s="32">
        <v>30112</v>
      </c>
      <c r="G35" s="5" t="str">
        <f>INDEX(customer[عنوان],MATCH(Main[[#This Row],[کد ردیابی]],customer[کد],0))</f>
        <v>منیرصنعت</v>
      </c>
      <c r="H35">
        <v>36</v>
      </c>
      <c r="I35" s="6">
        <f ca="1">-Main[[#This Row],[بدهی تسویه شده (کیلوگرم)]]+Main[[#This Row],[بستانکار (کیلوگرم)]]</f>
        <v>36</v>
      </c>
      <c r="J35" s="6">
        <f>IF(Main[[#This Row],[مقدار (کیلوگرم)]]&gt;0,Main[[#This Row],[مقدار (کیلوگرم)]],0)</f>
        <v>36</v>
      </c>
      <c r="K35" s="6">
        <f>-IF(Main[[#This Row],[مقدار (کیلوگرم)]]&lt;0,Main[[#This Row],[مقدار (کیلوگرم)]],0)</f>
        <v>0</v>
      </c>
      <c r="L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" s="7">
        <f>-IF(AND(Main[[#This Row],[مقدار (کیلوگرم)]]&lt;0,Main[[#This Row],[تاريخ میلادی]]&gt;44276),Main[[#This Row],[مقدار (کیلوگرم)]],0)</f>
        <v>0</v>
      </c>
      <c r="N35" s="6">
        <f ca="1">Main[[#This Row],[بدهکار (کیلوگرم)]]-Main[[#This Row],[بدهی تسویه نشده (کیلوگرم)]]</f>
        <v>0</v>
      </c>
      <c r="O35" s="6">
        <f ca="1">Main[[#This Row],[تفکیک]]</f>
        <v>0</v>
      </c>
      <c r="P35" s="6">
        <f ca="1">IF(Main[[#This Row],[تاخیر از سررسید]]&gt;0,Main[[#This Row],[بدهی تسویه نشده (کیلوگرم)]],0)</f>
        <v>0</v>
      </c>
      <c r="Q35" s="6">
        <f ca="1">IF(Main[[#This Row],[بدهی تسویه نشده (کیلوگرم)]]&gt;0,'گزارش فردی'!$B$7-Main[[#This Row],[تاريخ میلادی]],0)</f>
        <v>0</v>
      </c>
      <c r="R35" s="6">
        <f ca="1">IF(Main[[#This Row],[بدهی تسویه نشده (کیلوگرم)]]&gt;0,'گزارش فردی'!$B$7-Main[[#This Row],[تاريخ میلادی]]-'گزارش فردی'!$B$8,0)</f>
        <v>0</v>
      </c>
      <c r="S35" s="6">
        <f ca="1">Main[[#This Row],[روز از ارسال سفارش]]*Main[[#This Row],[بدهی تسویه نشده (کیلوگرم)]]</f>
        <v>0</v>
      </c>
      <c r="T35" s="6">
        <f ca="1">Main[[#This Row],[بدهی سررسید شده (کیلوگرم)]]*Main[[#This Row],[روز از ارسال سفارش]]</f>
        <v>0</v>
      </c>
      <c r="U35" s="6">
        <f>-SUBTOTAL(9,INDEX(Main[مقدار (کیلوگرم)],1):Main[[#This Row],[مقدار (کیلوگرم)]])</f>
        <v>0</v>
      </c>
      <c r="V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" s="6">
        <f>Main[[#This Row],[تعداد کل روزهای بدهکار (روز)]]*Main[[#This Row],[مانده در خط کل (کیلوگرم)]]</f>
        <v>0</v>
      </c>
      <c r="X35" s="6">
        <f>-SUBTOTAL(9,INDEX(Main[مقدار تسویه شده (کیلوگرم)],1):Main[[#This Row],[مقدار تسویه شده (کیلوگرم)]])</f>
        <v>0</v>
      </c>
      <c r="Y35" s="6">
        <f>IF(Main[[#This Row],[مانده در خط تسویه شده (کیلوگرم)]]&lt;&gt;0,Main[[#This Row],[تعداد کل روزهای بدهکار (روز)]],0)</f>
        <v>0</v>
      </c>
      <c r="Z35" s="6">
        <f>Main[[#This Row],[تعداد روزهای بدهکار تسویه شده (روز)]]*Main[[#This Row],[مانده در خط تسویه شده (کیلوگرم)]]</f>
        <v>0</v>
      </c>
      <c r="AA35" s="6">
        <f>SUBTOTAL(9,INDEX(Main[بدهی تسویه نشده (کیلوگرم)],1):Main[[#This Row],[بدهی تسویه نشده (کیلوگرم)]])</f>
        <v>0</v>
      </c>
      <c r="AB35" s="6">
        <f>IF(Main[[#This Row],[مانده در خط تسویه نشده (کیلوگرم)]]&lt;&gt;0,Main[[#This Row],[تعداد کل روزهای بدهکار (روز)]],0)</f>
        <v>0</v>
      </c>
      <c r="AC35" s="6">
        <f>Main[[#This Row],[تعداد روزهای بدهکار  تسویه نشده (روز)]]*Main[[#This Row],[مانده در خط تسویه نشده (کیلوگرم)]]</f>
        <v>0</v>
      </c>
      <c r="AD35" s="6">
        <f>SUBTOTAL(9,INDEX(Main[بدهی سررسید شده (کیلوگرم)],1):Main[[#This Row],[بدهی سررسید شده (کیلوگرم)]])</f>
        <v>0</v>
      </c>
      <c r="AE35" s="6">
        <f>IF(Main[[#This Row],[مانده در خط سررسید شده (کیلوگرم)]]&lt;&gt;0,Main[[#This Row],[تعداد کل روزهای بدهکار (روز)]],0)</f>
        <v>0</v>
      </c>
      <c r="AF35" s="6">
        <f>Main[[#This Row],[تعداد روزهای بدهکار سررسید شده (روز)]]*Main[[#This Row],[مانده در خط سررسید شده (کیلوگرم)]]</f>
        <v>0</v>
      </c>
    </row>
    <row r="36" spans="1:32" hidden="1" x14ac:dyDescent="0.35">
      <c r="A36" s="5">
        <f>ROW()-ROW(INDEX(Main[ردیف],1))+1</f>
        <v>34</v>
      </c>
      <c r="B36" s="31">
        <f>SUBTOTAL(2,INDEX(Main[ردیف],1):Main[[#This Row],[ردیف]])</f>
        <v>0</v>
      </c>
      <c r="C36" s="32" t="s">
        <v>452</v>
      </c>
      <c r="D36" s="32" t="str">
        <f>_xlfn.CONCAT("14",Main[[#This Row],[تاريخ]])</f>
        <v>1400/01/01</v>
      </c>
      <c r="E36" s="33">
        <v>44276</v>
      </c>
      <c r="F36" s="32">
        <v>10089</v>
      </c>
      <c r="G36" s="5" t="str">
        <f>INDEX(customer[عنوان],MATCH(Main[[#This Row],[کد ردیابی]],customer[کد],0))</f>
        <v>خسروآبادی مهدی</v>
      </c>
      <c r="H36">
        <v>-771</v>
      </c>
      <c r="I36" s="6">
        <f ca="1">-Main[[#This Row],[بدهی تسویه شده (کیلوگرم)]]+Main[[#This Row],[بستانکار (کیلوگرم)]]</f>
        <v>-771</v>
      </c>
      <c r="J36" s="6">
        <f>IF(Main[[#This Row],[مقدار (کیلوگرم)]]&gt;0,Main[[#This Row],[مقدار (کیلوگرم)]],0)</f>
        <v>0</v>
      </c>
      <c r="K36" s="6">
        <f>-IF(Main[[#This Row],[مقدار (کیلوگرم)]]&lt;0,Main[[#This Row],[مقدار (کیلوگرم)]],0)</f>
        <v>771</v>
      </c>
      <c r="L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" s="7">
        <f>-IF(AND(Main[[#This Row],[مقدار (کیلوگرم)]]&lt;0,Main[[#This Row],[تاريخ میلادی]]&gt;44276),Main[[#This Row],[مقدار (کیلوگرم)]],0)</f>
        <v>0</v>
      </c>
      <c r="N36" s="6">
        <f ca="1">Main[[#This Row],[بدهکار (کیلوگرم)]]-Main[[#This Row],[بدهی تسویه نشده (کیلوگرم)]]</f>
        <v>771</v>
      </c>
      <c r="O36" s="6">
        <f ca="1">Main[[#This Row],[تفکیک]]</f>
        <v>0</v>
      </c>
      <c r="P36" s="6">
        <f ca="1">IF(Main[[#This Row],[تاخیر از سررسید]]&gt;0,Main[[#This Row],[بدهی تسویه نشده (کیلوگرم)]],0)</f>
        <v>0</v>
      </c>
      <c r="Q36" s="6">
        <f ca="1">IF(Main[[#This Row],[بدهی تسویه نشده (کیلوگرم)]]&gt;0,'گزارش فردی'!$B$7-Main[[#This Row],[تاريخ میلادی]],0)</f>
        <v>0</v>
      </c>
      <c r="R36" s="6">
        <f ca="1">IF(Main[[#This Row],[بدهی تسویه نشده (کیلوگرم)]]&gt;0,'گزارش فردی'!$B$7-Main[[#This Row],[تاريخ میلادی]]-'گزارش فردی'!$B$8,0)</f>
        <v>0</v>
      </c>
      <c r="S36" s="6">
        <f ca="1">Main[[#This Row],[روز از ارسال سفارش]]*Main[[#This Row],[بدهی تسویه نشده (کیلوگرم)]]</f>
        <v>0</v>
      </c>
      <c r="T36" s="6">
        <f ca="1">Main[[#This Row],[بدهی سررسید شده (کیلوگرم)]]*Main[[#This Row],[روز از ارسال سفارش]]</f>
        <v>0</v>
      </c>
      <c r="U36" s="6">
        <f>-SUBTOTAL(9,INDEX(Main[مقدار (کیلوگرم)],1):Main[[#This Row],[مقدار (کیلوگرم)]])</f>
        <v>0</v>
      </c>
      <c r="V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" s="6">
        <f>Main[[#This Row],[تعداد کل روزهای بدهکار (روز)]]*Main[[#This Row],[مانده در خط کل (کیلوگرم)]]</f>
        <v>0</v>
      </c>
      <c r="X36" s="6">
        <f>-SUBTOTAL(9,INDEX(Main[مقدار تسویه شده (کیلوگرم)],1):Main[[#This Row],[مقدار تسویه شده (کیلوگرم)]])</f>
        <v>0</v>
      </c>
      <c r="Y36" s="6">
        <f>IF(Main[[#This Row],[مانده در خط تسویه شده (کیلوگرم)]]&lt;&gt;0,Main[[#This Row],[تعداد کل روزهای بدهکار (روز)]],0)</f>
        <v>0</v>
      </c>
      <c r="Z36" s="6">
        <f>Main[[#This Row],[تعداد روزهای بدهکار تسویه شده (روز)]]*Main[[#This Row],[مانده در خط تسویه شده (کیلوگرم)]]</f>
        <v>0</v>
      </c>
      <c r="AA36" s="6">
        <f>SUBTOTAL(9,INDEX(Main[بدهی تسویه نشده (کیلوگرم)],1):Main[[#This Row],[بدهی تسویه نشده (کیلوگرم)]])</f>
        <v>0</v>
      </c>
      <c r="AB36" s="6">
        <f>IF(Main[[#This Row],[مانده در خط تسویه نشده (کیلوگرم)]]&lt;&gt;0,Main[[#This Row],[تعداد کل روزهای بدهکار (روز)]],0)</f>
        <v>0</v>
      </c>
      <c r="AC36" s="6">
        <f>Main[[#This Row],[تعداد روزهای بدهکار  تسویه نشده (روز)]]*Main[[#This Row],[مانده در خط تسویه نشده (کیلوگرم)]]</f>
        <v>0</v>
      </c>
      <c r="AD36" s="6">
        <f>SUBTOTAL(9,INDEX(Main[بدهی سررسید شده (کیلوگرم)],1):Main[[#This Row],[بدهی سررسید شده (کیلوگرم)]])</f>
        <v>0</v>
      </c>
      <c r="AE36" s="6">
        <f>IF(Main[[#This Row],[مانده در خط سررسید شده (کیلوگرم)]]&lt;&gt;0,Main[[#This Row],[تعداد کل روزهای بدهکار (روز)]],0)</f>
        <v>0</v>
      </c>
      <c r="AF36" s="6">
        <f>Main[[#This Row],[تعداد روزهای بدهکار سررسید شده (روز)]]*Main[[#This Row],[مانده در خط سررسید شده (کیلوگرم)]]</f>
        <v>0</v>
      </c>
    </row>
    <row r="37" spans="1:32" hidden="1" x14ac:dyDescent="0.35">
      <c r="A37" s="5">
        <f>ROW()-ROW(INDEX(Main[ردیف],1))+1</f>
        <v>35</v>
      </c>
      <c r="B37" s="31">
        <f>SUBTOTAL(2,INDEX(Main[ردیف],1):Main[[#This Row],[ردیف]])</f>
        <v>0</v>
      </c>
      <c r="C37" s="32" t="s">
        <v>452</v>
      </c>
      <c r="D37" s="32" t="str">
        <f>_xlfn.CONCAT("14",Main[[#This Row],[تاريخ]])</f>
        <v>1400/01/01</v>
      </c>
      <c r="E37" s="33">
        <v>44276</v>
      </c>
      <c r="F37" s="32">
        <v>30001</v>
      </c>
      <c r="G37" s="5" t="str">
        <f>INDEX(customer[عنوان],MATCH(Main[[#This Row],[کد ردیابی]],customer[کد],0))</f>
        <v xml:space="preserve">شرکت صنایع گاز ایران </v>
      </c>
      <c r="H37">
        <v>38</v>
      </c>
      <c r="I37" s="6">
        <f ca="1">-Main[[#This Row],[بدهی تسویه شده (کیلوگرم)]]+Main[[#This Row],[بستانکار (کیلوگرم)]]</f>
        <v>38</v>
      </c>
      <c r="J37" s="6">
        <f>IF(Main[[#This Row],[مقدار (کیلوگرم)]]&gt;0,Main[[#This Row],[مقدار (کیلوگرم)]],0)</f>
        <v>38</v>
      </c>
      <c r="K37" s="6">
        <f>-IF(Main[[#This Row],[مقدار (کیلوگرم)]]&lt;0,Main[[#This Row],[مقدار (کیلوگرم)]],0)</f>
        <v>0</v>
      </c>
      <c r="L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" s="7">
        <f>-IF(AND(Main[[#This Row],[مقدار (کیلوگرم)]]&lt;0,Main[[#This Row],[تاريخ میلادی]]&gt;44276),Main[[#This Row],[مقدار (کیلوگرم)]],0)</f>
        <v>0</v>
      </c>
      <c r="N37" s="6">
        <f ca="1">Main[[#This Row],[بدهکار (کیلوگرم)]]-Main[[#This Row],[بدهی تسویه نشده (کیلوگرم)]]</f>
        <v>0</v>
      </c>
      <c r="O37" s="6">
        <f ca="1">Main[[#This Row],[تفکیک]]</f>
        <v>0</v>
      </c>
      <c r="P37" s="6">
        <f ca="1">IF(Main[[#This Row],[تاخیر از سررسید]]&gt;0,Main[[#This Row],[بدهی تسویه نشده (کیلوگرم)]],0)</f>
        <v>0</v>
      </c>
      <c r="Q37" s="6">
        <f ca="1">IF(Main[[#This Row],[بدهی تسویه نشده (کیلوگرم)]]&gt;0,'گزارش فردی'!$B$7-Main[[#This Row],[تاريخ میلادی]],0)</f>
        <v>0</v>
      </c>
      <c r="R37" s="6">
        <f ca="1">IF(Main[[#This Row],[بدهی تسویه نشده (کیلوگرم)]]&gt;0,'گزارش فردی'!$B$7-Main[[#This Row],[تاريخ میلادی]]-'گزارش فردی'!$B$8,0)</f>
        <v>0</v>
      </c>
      <c r="S37" s="6">
        <f ca="1">Main[[#This Row],[روز از ارسال سفارش]]*Main[[#This Row],[بدهی تسویه نشده (کیلوگرم)]]</f>
        <v>0</v>
      </c>
      <c r="T37" s="6">
        <f ca="1">Main[[#This Row],[بدهی سررسید شده (کیلوگرم)]]*Main[[#This Row],[روز از ارسال سفارش]]</f>
        <v>0</v>
      </c>
      <c r="U37" s="6">
        <f>-SUBTOTAL(9,INDEX(Main[مقدار (کیلوگرم)],1):Main[[#This Row],[مقدار (کیلوگرم)]])</f>
        <v>0</v>
      </c>
      <c r="V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7" s="6">
        <f>Main[[#This Row],[تعداد کل روزهای بدهکار (روز)]]*Main[[#This Row],[مانده در خط کل (کیلوگرم)]]</f>
        <v>0</v>
      </c>
      <c r="X37" s="6">
        <f>-SUBTOTAL(9,INDEX(Main[مقدار تسویه شده (کیلوگرم)],1):Main[[#This Row],[مقدار تسویه شده (کیلوگرم)]])</f>
        <v>0</v>
      </c>
      <c r="Y37" s="6">
        <f>IF(Main[[#This Row],[مانده در خط تسویه شده (کیلوگرم)]]&lt;&gt;0,Main[[#This Row],[تعداد کل روزهای بدهکار (روز)]],0)</f>
        <v>0</v>
      </c>
      <c r="Z37" s="6">
        <f>Main[[#This Row],[تعداد روزهای بدهکار تسویه شده (روز)]]*Main[[#This Row],[مانده در خط تسویه شده (کیلوگرم)]]</f>
        <v>0</v>
      </c>
      <c r="AA37" s="6">
        <f>SUBTOTAL(9,INDEX(Main[بدهی تسویه نشده (کیلوگرم)],1):Main[[#This Row],[بدهی تسویه نشده (کیلوگرم)]])</f>
        <v>0</v>
      </c>
      <c r="AB37" s="6">
        <f>IF(Main[[#This Row],[مانده در خط تسویه نشده (کیلوگرم)]]&lt;&gt;0,Main[[#This Row],[تعداد کل روزهای بدهکار (روز)]],0)</f>
        <v>0</v>
      </c>
      <c r="AC37" s="6">
        <f>Main[[#This Row],[تعداد روزهای بدهکار  تسویه نشده (روز)]]*Main[[#This Row],[مانده در خط تسویه نشده (کیلوگرم)]]</f>
        <v>0</v>
      </c>
      <c r="AD37" s="6">
        <f>SUBTOTAL(9,INDEX(Main[بدهی سررسید شده (کیلوگرم)],1):Main[[#This Row],[بدهی سررسید شده (کیلوگرم)]])</f>
        <v>0</v>
      </c>
      <c r="AE37" s="6">
        <f>IF(Main[[#This Row],[مانده در خط سررسید شده (کیلوگرم)]]&lt;&gt;0,Main[[#This Row],[تعداد کل روزهای بدهکار (روز)]],0)</f>
        <v>0</v>
      </c>
      <c r="AF37" s="6">
        <f>Main[[#This Row],[تعداد روزهای بدهکار سررسید شده (روز)]]*Main[[#This Row],[مانده در خط سررسید شده (کیلوگرم)]]</f>
        <v>0</v>
      </c>
    </row>
    <row r="38" spans="1:32" hidden="1" x14ac:dyDescent="0.35">
      <c r="A38" s="5">
        <f>ROW()-ROW(INDEX(Main[ردیف],1))+1</f>
        <v>36</v>
      </c>
      <c r="B38" s="31">
        <f>SUBTOTAL(2,INDEX(Main[ردیف],1):Main[[#This Row],[ردیف]])</f>
        <v>0</v>
      </c>
      <c r="C38" s="32" t="s">
        <v>452</v>
      </c>
      <c r="D38" s="32" t="str">
        <f>_xlfn.CONCAT("14",Main[[#This Row],[تاريخ]])</f>
        <v>1400/01/01</v>
      </c>
      <c r="E38" s="33">
        <v>44276</v>
      </c>
      <c r="F38" s="32">
        <v>10070</v>
      </c>
      <c r="G38" s="5" t="str">
        <f>INDEX(customer[عنوان],MATCH(Main[[#This Row],[کد ردیابی]],customer[کد],0))</f>
        <v xml:space="preserve">حمیدرضا شفیعی </v>
      </c>
      <c r="H38">
        <v>-770</v>
      </c>
      <c r="I38" s="6">
        <f ca="1">-Main[[#This Row],[بدهی تسویه شده (کیلوگرم)]]+Main[[#This Row],[بستانکار (کیلوگرم)]]</f>
        <v>-770</v>
      </c>
      <c r="J38" s="6">
        <f>IF(Main[[#This Row],[مقدار (کیلوگرم)]]&gt;0,Main[[#This Row],[مقدار (کیلوگرم)]],0)</f>
        <v>0</v>
      </c>
      <c r="K38" s="6">
        <f>-IF(Main[[#This Row],[مقدار (کیلوگرم)]]&lt;0,Main[[#This Row],[مقدار (کیلوگرم)]],0)</f>
        <v>770</v>
      </c>
      <c r="L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" s="7">
        <f>-IF(AND(Main[[#This Row],[مقدار (کیلوگرم)]]&lt;0,Main[[#This Row],[تاريخ میلادی]]&gt;44276),Main[[#This Row],[مقدار (کیلوگرم)]],0)</f>
        <v>0</v>
      </c>
      <c r="N38" s="6">
        <f ca="1">Main[[#This Row],[بدهکار (کیلوگرم)]]-Main[[#This Row],[بدهی تسویه نشده (کیلوگرم)]]</f>
        <v>770</v>
      </c>
      <c r="O38" s="6">
        <f ca="1">Main[[#This Row],[تفکیک]]</f>
        <v>0</v>
      </c>
      <c r="P38" s="6">
        <f ca="1">IF(Main[[#This Row],[تاخیر از سررسید]]&gt;0,Main[[#This Row],[بدهی تسویه نشده (کیلوگرم)]],0)</f>
        <v>0</v>
      </c>
      <c r="Q38" s="6">
        <f ca="1">IF(Main[[#This Row],[بدهی تسویه نشده (کیلوگرم)]]&gt;0,'گزارش فردی'!$B$7-Main[[#This Row],[تاريخ میلادی]],0)</f>
        <v>0</v>
      </c>
      <c r="R38" s="6">
        <f ca="1">IF(Main[[#This Row],[بدهی تسویه نشده (کیلوگرم)]]&gt;0,'گزارش فردی'!$B$7-Main[[#This Row],[تاريخ میلادی]]-'گزارش فردی'!$B$8,0)</f>
        <v>0</v>
      </c>
      <c r="S38" s="6">
        <f ca="1">Main[[#This Row],[روز از ارسال سفارش]]*Main[[#This Row],[بدهی تسویه نشده (کیلوگرم)]]</f>
        <v>0</v>
      </c>
      <c r="T38" s="6">
        <f ca="1">Main[[#This Row],[بدهی سررسید شده (کیلوگرم)]]*Main[[#This Row],[روز از ارسال سفارش]]</f>
        <v>0</v>
      </c>
      <c r="U38" s="6">
        <f>-SUBTOTAL(9,INDEX(Main[مقدار (کیلوگرم)],1):Main[[#This Row],[مقدار (کیلوگرم)]])</f>
        <v>0</v>
      </c>
      <c r="V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" s="6">
        <f>Main[[#This Row],[تعداد کل روزهای بدهکار (روز)]]*Main[[#This Row],[مانده در خط کل (کیلوگرم)]]</f>
        <v>0</v>
      </c>
      <c r="X38" s="6">
        <f>-SUBTOTAL(9,INDEX(Main[مقدار تسویه شده (کیلوگرم)],1):Main[[#This Row],[مقدار تسویه شده (کیلوگرم)]])</f>
        <v>0</v>
      </c>
      <c r="Y38" s="6">
        <f>IF(Main[[#This Row],[مانده در خط تسویه شده (کیلوگرم)]]&lt;&gt;0,Main[[#This Row],[تعداد کل روزهای بدهکار (روز)]],0)</f>
        <v>0</v>
      </c>
      <c r="Z38" s="6">
        <f>Main[[#This Row],[تعداد روزهای بدهکار تسویه شده (روز)]]*Main[[#This Row],[مانده در خط تسویه شده (کیلوگرم)]]</f>
        <v>0</v>
      </c>
      <c r="AA38" s="6">
        <f>SUBTOTAL(9,INDEX(Main[بدهی تسویه نشده (کیلوگرم)],1):Main[[#This Row],[بدهی تسویه نشده (کیلوگرم)]])</f>
        <v>0</v>
      </c>
      <c r="AB38" s="6">
        <f>IF(Main[[#This Row],[مانده در خط تسویه نشده (کیلوگرم)]]&lt;&gt;0,Main[[#This Row],[تعداد کل روزهای بدهکار (روز)]],0)</f>
        <v>0</v>
      </c>
      <c r="AC38" s="6">
        <f>Main[[#This Row],[تعداد روزهای بدهکار  تسویه نشده (روز)]]*Main[[#This Row],[مانده در خط تسویه نشده (کیلوگرم)]]</f>
        <v>0</v>
      </c>
      <c r="AD38" s="6">
        <f>SUBTOTAL(9,INDEX(Main[بدهی سررسید شده (کیلوگرم)],1):Main[[#This Row],[بدهی سررسید شده (کیلوگرم)]])</f>
        <v>0</v>
      </c>
      <c r="AE38" s="6">
        <f>IF(Main[[#This Row],[مانده در خط سررسید شده (کیلوگرم)]]&lt;&gt;0,Main[[#This Row],[تعداد کل روزهای بدهکار (روز)]],0)</f>
        <v>0</v>
      </c>
      <c r="AF38" s="6">
        <f>Main[[#This Row],[تعداد روزهای بدهکار سررسید شده (روز)]]*Main[[#This Row],[مانده در خط سررسید شده (کیلوگرم)]]</f>
        <v>0</v>
      </c>
    </row>
    <row r="39" spans="1:32" hidden="1" x14ac:dyDescent="0.35">
      <c r="A39" s="5">
        <f>ROW()-ROW(INDEX(Main[ردیف],1))+1</f>
        <v>37</v>
      </c>
      <c r="B39" s="31">
        <f>SUBTOTAL(2,INDEX(Main[ردیف],1):Main[[#This Row],[ردیف]])</f>
        <v>0</v>
      </c>
      <c r="C39" s="32" t="s">
        <v>452</v>
      </c>
      <c r="D39" s="32" t="str">
        <f>_xlfn.CONCAT("14",Main[[#This Row],[تاريخ]])</f>
        <v>1400/01/01</v>
      </c>
      <c r="E39" s="33">
        <v>44276</v>
      </c>
      <c r="F39" s="32">
        <v>30065</v>
      </c>
      <c r="G39" s="5" t="str">
        <f>INDEX(customer[عنوان],MATCH(Main[[#This Row],[کد ردیابی]],customer[کد],0))</f>
        <v xml:space="preserve">اتحاد </v>
      </c>
      <c r="H39">
        <v>33</v>
      </c>
      <c r="I39" s="6">
        <f ca="1">-Main[[#This Row],[بدهی تسویه شده (کیلوگرم)]]+Main[[#This Row],[بستانکار (کیلوگرم)]]</f>
        <v>33</v>
      </c>
      <c r="J39" s="6">
        <f>IF(Main[[#This Row],[مقدار (کیلوگرم)]]&gt;0,Main[[#This Row],[مقدار (کیلوگرم)]],0)</f>
        <v>33</v>
      </c>
      <c r="K39" s="6">
        <f>-IF(Main[[#This Row],[مقدار (کیلوگرم)]]&lt;0,Main[[#This Row],[مقدار (کیلوگرم)]],0)</f>
        <v>0</v>
      </c>
      <c r="L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" s="7">
        <f>-IF(AND(Main[[#This Row],[مقدار (کیلوگرم)]]&lt;0,Main[[#This Row],[تاريخ میلادی]]&gt;44276),Main[[#This Row],[مقدار (کیلوگرم)]],0)</f>
        <v>0</v>
      </c>
      <c r="N39" s="6">
        <f ca="1">Main[[#This Row],[بدهکار (کیلوگرم)]]-Main[[#This Row],[بدهی تسویه نشده (کیلوگرم)]]</f>
        <v>0</v>
      </c>
      <c r="O39" s="6">
        <f ca="1">Main[[#This Row],[تفکیک]]</f>
        <v>0</v>
      </c>
      <c r="P39" s="6">
        <f ca="1">IF(Main[[#This Row],[تاخیر از سررسید]]&gt;0,Main[[#This Row],[بدهی تسویه نشده (کیلوگرم)]],0)</f>
        <v>0</v>
      </c>
      <c r="Q39" s="6">
        <f ca="1">IF(Main[[#This Row],[بدهی تسویه نشده (کیلوگرم)]]&gt;0,'گزارش فردی'!$B$7-Main[[#This Row],[تاريخ میلادی]],0)</f>
        <v>0</v>
      </c>
      <c r="R39" s="6">
        <f ca="1">IF(Main[[#This Row],[بدهی تسویه نشده (کیلوگرم)]]&gt;0,'گزارش فردی'!$B$7-Main[[#This Row],[تاريخ میلادی]]-'گزارش فردی'!$B$8,0)</f>
        <v>0</v>
      </c>
      <c r="S39" s="6">
        <f ca="1">Main[[#This Row],[روز از ارسال سفارش]]*Main[[#This Row],[بدهی تسویه نشده (کیلوگرم)]]</f>
        <v>0</v>
      </c>
      <c r="T39" s="6">
        <f ca="1">Main[[#This Row],[بدهی سررسید شده (کیلوگرم)]]*Main[[#This Row],[روز از ارسال سفارش]]</f>
        <v>0</v>
      </c>
      <c r="U39" s="6">
        <f>-SUBTOTAL(9,INDEX(Main[مقدار (کیلوگرم)],1):Main[[#This Row],[مقدار (کیلوگرم)]])</f>
        <v>0</v>
      </c>
      <c r="V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" s="6">
        <f>Main[[#This Row],[تعداد کل روزهای بدهکار (روز)]]*Main[[#This Row],[مانده در خط کل (کیلوگرم)]]</f>
        <v>0</v>
      </c>
      <c r="X39" s="6">
        <f>-SUBTOTAL(9,INDEX(Main[مقدار تسویه شده (کیلوگرم)],1):Main[[#This Row],[مقدار تسویه شده (کیلوگرم)]])</f>
        <v>0</v>
      </c>
      <c r="Y39" s="6">
        <f>IF(Main[[#This Row],[مانده در خط تسویه شده (کیلوگرم)]]&lt;&gt;0,Main[[#This Row],[تعداد کل روزهای بدهکار (روز)]],0)</f>
        <v>0</v>
      </c>
      <c r="Z39" s="6">
        <f>Main[[#This Row],[تعداد روزهای بدهکار تسویه شده (روز)]]*Main[[#This Row],[مانده در خط تسویه شده (کیلوگرم)]]</f>
        <v>0</v>
      </c>
      <c r="AA39" s="6">
        <f>SUBTOTAL(9,INDEX(Main[بدهی تسویه نشده (کیلوگرم)],1):Main[[#This Row],[بدهی تسویه نشده (کیلوگرم)]])</f>
        <v>0</v>
      </c>
      <c r="AB39" s="6">
        <f>IF(Main[[#This Row],[مانده در خط تسویه نشده (کیلوگرم)]]&lt;&gt;0,Main[[#This Row],[تعداد کل روزهای بدهکار (روز)]],0)</f>
        <v>0</v>
      </c>
      <c r="AC39" s="6">
        <f>Main[[#This Row],[تعداد روزهای بدهکار  تسویه نشده (روز)]]*Main[[#This Row],[مانده در خط تسویه نشده (کیلوگرم)]]</f>
        <v>0</v>
      </c>
      <c r="AD39" s="6">
        <f>SUBTOTAL(9,INDEX(Main[بدهی سررسید شده (کیلوگرم)],1):Main[[#This Row],[بدهی سررسید شده (کیلوگرم)]])</f>
        <v>0</v>
      </c>
      <c r="AE39" s="6">
        <f>IF(Main[[#This Row],[مانده در خط سررسید شده (کیلوگرم)]]&lt;&gt;0,Main[[#This Row],[تعداد کل روزهای بدهکار (روز)]],0)</f>
        <v>0</v>
      </c>
      <c r="AF39" s="6">
        <f>Main[[#This Row],[تعداد روزهای بدهکار سررسید شده (روز)]]*Main[[#This Row],[مانده در خط سررسید شده (کیلوگرم)]]</f>
        <v>0</v>
      </c>
    </row>
    <row r="40" spans="1:32" hidden="1" x14ac:dyDescent="0.35">
      <c r="A40" s="5">
        <f>ROW()-ROW(INDEX(Main[ردیف],1))+1</f>
        <v>38</v>
      </c>
      <c r="B40" s="31">
        <f>SUBTOTAL(2,INDEX(Main[ردیف],1):Main[[#This Row],[ردیف]])</f>
        <v>0</v>
      </c>
      <c r="C40" s="32" t="s">
        <v>452</v>
      </c>
      <c r="D40" s="32" t="str">
        <f>_xlfn.CONCAT("14",Main[[#This Row],[تاريخ]])</f>
        <v>1400/01/01</v>
      </c>
      <c r="E40" s="33">
        <v>44276</v>
      </c>
      <c r="F40" s="32">
        <v>50016</v>
      </c>
      <c r="G40" s="5" t="str">
        <f>INDEX(customer[عنوان],MATCH(Main[[#This Row],[کد ردیابی]],customer[کد],0))</f>
        <v xml:space="preserve">مهدی یوسفی  </v>
      </c>
      <c r="H40">
        <v>-939</v>
      </c>
      <c r="I40" s="6">
        <f ca="1">-Main[[#This Row],[بدهی تسویه شده (کیلوگرم)]]+Main[[#This Row],[بستانکار (کیلوگرم)]]</f>
        <v>-939</v>
      </c>
      <c r="J40" s="6">
        <f>IF(Main[[#This Row],[مقدار (کیلوگرم)]]&gt;0,Main[[#This Row],[مقدار (کیلوگرم)]],0)</f>
        <v>0</v>
      </c>
      <c r="K40" s="6">
        <f>-IF(Main[[#This Row],[مقدار (کیلوگرم)]]&lt;0,Main[[#This Row],[مقدار (کیلوگرم)]],0)</f>
        <v>939</v>
      </c>
      <c r="L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" s="7">
        <f>-IF(AND(Main[[#This Row],[مقدار (کیلوگرم)]]&lt;0,Main[[#This Row],[تاريخ میلادی]]&gt;44276),Main[[#This Row],[مقدار (کیلوگرم)]],0)</f>
        <v>0</v>
      </c>
      <c r="N40" s="6">
        <f ca="1">Main[[#This Row],[بدهکار (کیلوگرم)]]-Main[[#This Row],[بدهی تسویه نشده (کیلوگرم)]]</f>
        <v>939</v>
      </c>
      <c r="O40" s="6">
        <f ca="1">Main[[#This Row],[تفکیک]]</f>
        <v>0</v>
      </c>
      <c r="P40" s="6">
        <f ca="1">IF(Main[[#This Row],[تاخیر از سررسید]]&gt;0,Main[[#This Row],[بدهی تسویه نشده (کیلوگرم)]],0)</f>
        <v>0</v>
      </c>
      <c r="Q40" s="6">
        <f ca="1">IF(Main[[#This Row],[بدهی تسویه نشده (کیلوگرم)]]&gt;0,'گزارش فردی'!$B$7-Main[[#This Row],[تاريخ میلادی]],0)</f>
        <v>0</v>
      </c>
      <c r="R40" s="6">
        <f ca="1">IF(Main[[#This Row],[بدهی تسویه نشده (کیلوگرم)]]&gt;0,'گزارش فردی'!$B$7-Main[[#This Row],[تاريخ میلادی]]-'گزارش فردی'!$B$8,0)</f>
        <v>0</v>
      </c>
      <c r="S40" s="6">
        <f ca="1">Main[[#This Row],[روز از ارسال سفارش]]*Main[[#This Row],[بدهی تسویه نشده (کیلوگرم)]]</f>
        <v>0</v>
      </c>
      <c r="T40" s="6">
        <f ca="1">Main[[#This Row],[بدهی سررسید شده (کیلوگرم)]]*Main[[#This Row],[روز از ارسال سفارش]]</f>
        <v>0</v>
      </c>
      <c r="U40" s="6">
        <f>-SUBTOTAL(9,INDEX(Main[مقدار (کیلوگرم)],1):Main[[#This Row],[مقدار (کیلوگرم)]])</f>
        <v>0</v>
      </c>
      <c r="V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" s="6">
        <f>Main[[#This Row],[تعداد کل روزهای بدهکار (روز)]]*Main[[#This Row],[مانده در خط کل (کیلوگرم)]]</f>
        <v>0</v>
      </c>
      <c r="X40" s="6">
        <f>-SUBTOTAL(9,INDEX(Main[مقدار تسویه شده (کیلوگرم)],1):Main[[#This Row],[مقدار تسویه شده (کیلوگرم)]])</f>
        <v>0</v>
      </c>
      <c r="Y40" s="6">
        <f>IF(Main[[#This Row],[مانده در خط تسویه شده (کیلوگرم)]]&lt;&gt;0,Main[[#This Row],[تعداد کل روزهای بدهکار (روز)]],0)</f>
        <v>0</v>
      </c>
      <c r="Z40" s="6">
        <f>Main[[#This Row],[تعداد روزهای بدهکار تسویه شده (روز)]]*Main[[#This Row],[مانده در خط تسویه شده (کیلوگرم)]]</f>
        <v>0</v>
      </c>
      <c r="AA40" s="6">
        <f>SUBTOTAL(9,INDEX(Main[بدهی تسویه نشده (کیلوگرم)],1):Main[[#This Row],[بدهی تسویه نشده (کیلوگرم)]])</f>
        <v>0</v>
      </c>
      <c r="AB40" s="6">
        <f>IF(Main[[#This Row],[مانده در خط تسویه نشده (کیلوگرم)]]&lt;&gt;0,Main[[#This Row],[تعداد کل روزهای بدهکار (روز)]],0)</f>
        <v>0</v>
      </c>
      <c r="AC40" s="6">
        <f>Main[[#This Row],[تعداد روزهای بدهکار  تسویه نشده (روز)]]*Main[[#This Row],[مانده در خط تسویه نشده (کیلوگرم)]]</f>
        <v>0</v>
      </c>
      <c r="AD40" s="6">
        <f>SUBTOTAL(9,INDEX(Main[بدهی سررسید شده (کیلوگرم)],1):Main[[#This Row],[بدهی سررسید شده (کیلوگرم)]])</f>
        <v>0</v>
      </c>
      <c r="AE40" s="6">
        <f>IF(Main[[#This Row],[مانده در خط سررسید شده (کیلوگرم)]]&lt;&gt;0,Main[[#This Row],[تعداد کل روزهای بدهکار (روز)]],0)</f>
        <v>0</v>
      </c>
      <c r="AF40" s="6">
        <f>Main[[#This Row],[تعداد روزهای بدهکار سررسید شده (روز)]]*Main[[#This Row],[مانده در خط سررسید شده (کیلوگرم)]]</f>
        <v>0</v>
      </c>
    </row>
    <row r="41" spans="1:32" hidden="1" x14ac:dyDescent="0.35">
      <c r="A41" s="5">
        <f>ROW()-ROW(INDEX(Main[ردیف],1))+1</f>
        <v>39</v>
      </c>
      <c r="B41" s="31">
        <f>SUBTOTAL(2,INDEX(Main[ردیف],1):Main[[#This Row],[ردیف]])</f>
        <v>0</v>
      </c>
      <c r="C41" s="32" t="s">
        <v>452</v>
      </c>
      <c r="D41" s="32" t="str">
        <f>_xlfn.CONCAT("14",Main[[#This Row],[تاريخ]])</f>
        <v>1400/01/01</v>
      </c>
      <c r="E41" s="33">
        <v>44276</v>
      </c>
      <c r="F41" s="32">
        <v>30142</v>
      </c>
      <c r="G41" s="5" t="str">
        <f>INDEX(customer[عنوان],MATCH(Main[[#This Row],[کد ردیابی]],customer[کد],0))</f>
        <v>شرکت آوند امیرآب</v>
      </c>
      <c r="H41">
        <v>13</v>
      </c>
      <c r="I41" s="6">
        <f ca="1">-Main[[#This Row],[بدهی تسویه شده (کیلوگرم)]]+Main[[#This Row],[بستانکار (کیلوگرم)]]</f>
        <v>13</v>
      </c>
      <c r="J41" s="6">
        <f>IF(Main[[#This Row],[مقدار (کیلوگرم)]]&gt;0,Main[[#This Row],[مقدار (کیلوگرم)]],0)</f>
        <v>13</v>
      </c>
      <c r="K41" s="6">
        <f>-IF(Main[[#This Row],[مقدار (کیلوگرم)]]&lt;0,Main[[#This Row],[مقدار (کیلوگرم)]],0)</f>
        <v>0</v>
      </c>
      <c r="L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" s="7">
        <f>-IF(AND(Main[[#This Row],[مقدار (کیلوگرم)]]&lt;0,Main[[#This Row],[تاريخ میلادی]]&gt;44276),Main[[#This Row],[مقدار (کیلوگرم)]],0)</f>
        <v>0</v>
      </c>
      <c r="N41" s="6">
        <f ca="1">Main[[#This Row],[بدهکار (کیلوگرم)]]-Main[[#This Row],[بدهی تسویه نشده (کیلوگرم)]]</f>
        <v>0</v>
      </c>
      <c r="O41" s="6">
        <f ca="1">Main[[#This Row],[تفکیک]]</f>
        <v>0</v>
      </c>
      <c r="P41" s="6">
        <f ca="1">IF(Main[[#This Row],[تاخیر از سررسید]]&gt;0,Main[[#This Row],[بدهی تسویه نشده (کیلوگرم)]],0)</f>
        <v>0</v>
      </c>
      <c r="Q41" s="6">
        <f ca="1">IF(Main[[#This Row],[بدهی تسویه نشده (کیلوگرم)]]&gt;0,'گزارش فردی'!$B$7-Main[[#This Row],[تاريخ میلادی]],0)</f>
        <v>0</v>
      </c>
      <c r="R41" s="6">
        <f ca="1">IF(Main[[#This Row],[بدهی تسویه نشده (کیلوگرم)]]&gt;0,'گزارش فردی'!$B$7-Main[[#This Row],[تاريخ میلادی]]-'گزارش فردی'!$B$8,0)</f>
        <v>0</v>
      </c>
      <c r="S41" s="6">
        <f ca="1">Main[[#This Row],[روز از ارسال سفارش]]*Main[[#This Row],[بدهی تسویه نشده (کیلوگرم)]]</f>
        <v>0</v>
      </c>
      <c r="T41" s="6">
        <f ca="1">Main[[#This Row],[بدهی سررسید شده (کیلوگرم)]]*Main[[#This Row],[روز از ارسال سفارش]]</f>
        <v>0</v>
      </c>
      <c r="U41" s="6">
        <f>-SUBTOTAL(9,INDEX(Main[مقدار (کیلوگرم)],1):Main[[#This Row],[مقدار (کیلوگرم)]])</f>
        <v>0</v>
      </c>
      <c r="V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" s="6">
        <f>Main[[#This Row],[تعداد کل روزهای بدهکار (روز)]]*Main[[#This Row],[مانده در خط کل (کیلوگرم)]]</f>
        <v>0</v>
      </c>
      <c r="X41" s="6">
        <f>-SUBTOTAL(9,INDEX(Main[مقدار تسویه شده (کیلوگرم)],1):Main[[#This Row],[مقدار تسویه شده (کیلوگرم)]])</f>
        <v>0</v>
      </c>
      <c r="Y41" s="6">
        <f>IF(Main[[#This Row],[مانده در خط تسویه شده (کیلوگرم)]]&lt;&gt;0,Main[[#This Row],[تعداد کل روزهای بدهکار (روز)]],0)</f>
        <v>0</v>
      </c>
      <c r="Z41" s="6">
        <f>Main[[#This Row],[تعداد روزهای بدهکار تسویه شده (روز)]]*Main[[#This Row],[مانده در خط تسویه شده (کیلوگرم)]]</f>
        <v>0</v>
      </c>
      <c r="AA41" s="6">
        <f>SUBTOTAL(9,INDEX(Main[بدهی تسویه نشده (کیلوگرم)],1):Main[[#This Row],[بدهی تسویه نشده (کیلوگرم)]])</f>
        <v>0</v>
      </c>
      <c r="AB41" s="6">
        <f>IF(Main[[#This Row],[مانده در خط تسویه نشده (کیلوگرم)]]&lt;&gt;0,Main[[#This Row],[تعداد کل روزهای بدهکار (روز)]],0)</f>
        <v>0</v>
      </c>
      <c r="AC41" s="6">
        <f>Main[[#This Row],[تعداد روزهای بدهکار  تسویه نشده (روز)]]*Main[[#This Row],[مانده در خط تسویه نشده (کیلوگرم)]]</f>
        <v>0</v>
      </c>
      <c r="AD41" s="6">
        <f>SUBTOTAL(9,INDEX(Main[بدهی سررسید شده (کیلوگرم)],1):Main[[#This Row],[بدهی سررسید شده (کیلوگرم)]])</f>
        <v>0</v>
      </c>
      <c r="AE41" s="6">
        <f>IF(Main[[#This Row],[مانده در خط سررسید شده (کیلوگرم)]]&lt;&gt;0,Main[[#This Row],[تعداد کل روزهای بدهکار (روز)]],0)</f>
        <v>0</v>
      </c>
      <c r="AF41" s="6">
        <f>Main[[#This Row],[تعداد روزهای بدهکار سررسید شده (روز)]]*Main[[#This Row],[مانده در خط سررسید شده (کیلوگرم)]]</f>
        <v>0</v>
      </c>
    </row>
    <row r="42" spans="1:32" hidden="1" x14ac:dyDescent="0.35">
      <c r="A42" s="5">
        <f>ROW()-ROW(INDEX(Main[ردیف],1))+1</f>
        <v>40</v>
      </c>
      <c r="B42" s="31">
        <f>SUBTOTAL(2,INDEX(Main[ردیف],1):Main[[#This Row],[ردیف]])</f>
        <v>0</v>
      </c>
      <c r="C42" s="32" t="s">
        <v>452</v>
      </c>
      <c r="D42" s="32" t="str">
        <f>_xlfn.CONCAT("14",Main[[#This Row],[تاريخ]])</f>
        <v>1400/01/01</v>
      </c>
      <c r="E42" s="33">
        <v>44276</v>
      </c>
      <c r="F42" s="32">
        <v>30014</v>
      </c>
      <c r="G42" s="5" t="str">
        <f>INDEX(customer[عنوان],MATCH(Main[[#This Row],[کد ردیابی]],customer[کد],0))</f>
        <v>کلون</v>
      </c>
      <c r="H42">
        <v>-1348</v>
      </c>
      <c r="I42" s="6">
        <f ca="1">-Main[[#This Row],[بدهی تسویه شده (کیلوگرم)]]+Main[[#This Row],[بستانکار (کیلوگرم)]]</f>
        <v>-1348</v>
      </c>
      <c r="J42" s="6">
        <f>IF(Main[[#This Row],[مقدار (کیلوگرم)]]&gt;0,Main[[#This Row],[مقدار (کیلوگرم)]],0)</f>
        <v>0</v>
      </c>
      <c r="K42" s="6">
        <f>-IF(Main[[#This Row],[مقدار (کیلوگرم)]]&lt;0,Main[[#This Row],[مقدار (کیلوگرم)]],0)</f>
        <v>1348</v>
      </c>
      <c r="L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" s="7">
        <f>-IF(AND(Main[[#This Row],[مقدار (کیلوگرم)]]&lt;0,Main[[#This Row],[تاريخ میلادی]]&gt;44276),Main[[#This Row],[مقدار (کیلوگرم)]],0)</f>
        <v>0</v>
      </c>
      <c r="N42" s="6">
        <f ca="1">Main[[#This Row],[بدهکار (کیلوگرم)]]-Main[[#This Row],[بدهی تسویه نشده (کیلوگرم)]]</f>
        <v>1348</v>
      </c>
      <c r="O42" s="6">
        <f ca="1">Main[[#This Row],[تفکیک]]</f>
        <v>0</v>
      </c>
      <c r="P42" s="6">
        <f ca="1">IF(Main[[#This Row],[تاخیر از سررسید]]&gt;0,Main[[#This Row],[بدهی تسویه نشده (کیلوگرم)]],0)</f>
        <v>0</v>
      </c>
      <c r="Q42" s="6">
        <f ca="1">IF(Main[[#This Row],[بدهی تسویه نشده (کیلوگرم)]]&gt;0,'گزارش فردی'!$B$7-Main[[#This Row],[تاريخ میلادی]],0)</f>
        <v>0</v>
      </c>
      <c r="R42" s="6">
        <f ca="1">IF(Main[[#This Row],[بدهی تسویه نشده (کیلوگرم)]]&gt;0,'گزارش فردی'!$B$7-Main[[#This Row],[تاريخ میلادی]]-'گزارش فردی'!$B$8,0)</f>
        <v>0</v>
      </c>
      <c r="S42" s="6">
        <f ca="1">Main[[#This Row],[روز از ارسال سفارش]]*Main[[#This Row],[بدهی تسویه نشده (کیلوگرم)]]</f>
        <v>0</v>
      </c>
      <c r="T42" s="6">
        <f ca="1">Main[[#This Row],[بدهی سررسید شده (کیلوگرم)]]*Main[[#This Row],[روز از ارسال سفارش]]</f>
        <v>0</v>
      </c>
      <c r="U42" s="6">
        <f>-SUBTOTAL(9,INDEX(Main[مقدار (کیلوگرم)],1):Main[[#This Row],[مقدار (کیلوگرم)]])</f>
        <v>0</v>
      </c>
      <c r="V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" s="6">
        <f>Main[[#This Row],[تعداد کل روزهای بدهکار (روز)]]*Main[[#This Row],[مانده در خط کل (کیلوگرم)]]</f>
        <v>0</v>
      </c>
      <c r="X42" s="6">
        <f>-SUBTOTAL(9,INDEX(Main[مقدار تسویه شده (کیلوگرم)],1):Main[[#This Row],[مقدار تسویه شده (کیلوگرم)]])</f>
        <v>0</v>
      </c>
      <c r="Y42" s="6">
        <f>IF(Main[[#This Row],[مانده در خط تسویه شده (کیلوگرم)]]&lt;&gt;0,Main[[#This Row],[تعداد کل روزهای بدهکار (روز)]],0)</f>
        <v>0</v>
      </c>
      <c r="Z42" s="6">
        <f>Main[[#This Row],[تعداد روزهای بدهکار تسویه شده (روز)]]*Main[[#This Row],[مانده در خط تسویه شده (کیلوگرم)]]</f>
        <v>0</v>
      </c>
      <c r="AA42" s="6">
        <f>SUBTOTAL(9,INDEX(Main[بدهی تسویه نشده (کیلوگرم)],1):Main[[#This Row],[بدهی تسویه نشده (کیلوگرم)]])</f>
        <v>0</v>
      </c>
      <c r="AB42" s="6">
        <f>IF(Main[[#This Row],[مانده در خط تسویه نشده (کیلوگرم)]]&lt;&gt;0,Main[[#This Row],[تعداد کل روزهای بدهکار (روز)]],0)</f>
        <v>0</v>
      </c>
      <c r="AC42" s="6">
        <f>Main[[#This Row],[تعداد روزهای بدهکار  تسویه نشده (روز)]]*Main[[#This Row],[مانده در خط تسویه نشده (کیلوگرم)]]</f>
        <v>0</v>
      </c>
      <c r="AD42" s="6">
        <f>SUBTOTAL(9,INDEX(Main[بدهی سررسید شده (کیلوگرم)],1):Main[[#This Row],[بدهی سررسید شده (کیلوگرم)]])</f>
        <v>0</v>
      </c>
      <c r="AE42" s="6">
        <f>IF(Main[[#This Row],[مانده در خط سررسید شده (کیلوگرم)]]&lt;&gt;0,Main[[#This Row],[تعداد کل روزهای بدهکار (روز)]],0)</f>
        <v>0</v>
      </c>
      <c r="AF42" s="6">
        <f>Main[[#This Row],[تعداد روزهای بدهکار سررسید شده (روز)]]*Main[[#This Row],[مانده در خط سررسید شده (کیلوگرم)]]</f>
        <v>0</v>
      </c>
    </row>
    <row r="43" spans="1:32" hidden="1" x14ac:dyDescent="0.35">
      <c r="A43" s="5">
        <f>ROW()-ROW(INDEX(Main[ردیف],1))+1</f>
        <v>41</v>
      </c>
      <c r="B43" s="31">
        <f>SUBTOTAL(2,INDEX(Main[ردیف],1):Main[[#This Row],[ردیف]])</f>
        <v>0</v>
      </c>
      <c r="C43" s="32" t="s">
        <v>452</v>
      </c>
      <c r="D43" s="32" t="str">
        <f>_xlfn.CONCAT("14",Main[[#This Row],[تاريخ]])</f>
        <v>1400/01/01</v>
      </c>
      <c r="E43" s="33">
        <v>44276</v>
      </c>
      <c r="F43" s="32">
        <v>30030</v>
      </c>
      <c r="G43" s="5" t="str">
        <f>INDEX(customer[عنوان],MATCH(Main[[#This Row],[کد ردیابی]],customer[کد],0))</f>
        <v xml:space="preserve">تراش پارس </v>
      </c>
      <c r="H43">
        <v>27</v>
      </c>
      <c r="I43" s="6">
        <f ca="1">-Main[[#This Row],[بدهی تسویه شده (کیلوگرم)]]+Main[[#This Row],[بستانکار (کیلوگرم)]]</f>
        <v>27</v>
      </c>
      <c r="J43" s="6">
        <f>IF(Main[[#This Row],[مقدار (کیلوگرم)]]&gt;0,Main[[#This Row],[مقدار (کیلوگرم)]],0)</f>
        <v>27</v>
      </c>
      <c r="K43" s="6">
        <f>-IF(Main[[#This Row],[مقدار (کیلوگرم)]]&lt;0,Main[[#This Row],[مقدار (کیلوگرم)]],0)</f>
        <v>0</v>
      </c>
      <c r="L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" s="7">
        <f>-IF(AND(Main[[#This Row],[مقدار (کیلوگرم)]]&lt;0,Main[[#This Row],[تاريخ میلادی]]&gt;44276),Main[[#This Row],[مقدار (کیلوگرم)]],0)</f>
        <v>0</v>
      </c>
      <c r="N43" s="6">
        <f ca="1">Main[[#This Row],[بدهکار (کیلوگرم)]]-Main[[#This Row],[بدهی تسویه نشده (کیلوگرم)]]</f>
        <v>0</v>
      </c>
      <c r="O43" s="6">
        <f ca="1">Main[[#This Row],[تفکیک]]</f>
        <v>0</v>
      </c>
      <c r="P43" s="6">
        <f ca="1">IF(Main[[#This Row],[تاخیر از سررسید]]&gt;0,Main[[#This Row],[بدهی تسویه نشده (کیلوگرم)]],0)</f>
        <v>0</v>
      </c>
      <c r="Q43" s="6">
        <f ca="1">IF(Main[[#This Row],[بدهی تسویه نشده (کیلوگرم)]]&gt;0,'گزارش فردی'!$B$7-Main[[#This Row],[تاريخ میلادی]],0)</f>
        <v>0</v>
      </c>
      <c r="R43" s="6">
        <f ca="1">IF(Main[[#This Row],[بدهی تسویه نشده (کیلوگرم)]]&gt;0,'گزارش فردی'!$B$7-Main[[#This Row],[تاريخ میلادی]]-'گزارش فردی'!$B$8,0)</f>
        <v>0</v>
      </c>
      <c r="S43" s="6">
        <f ca="1">Main[[#This Row],[روز از ارسال سفارش]]*Main[[#This Row],[بدهی تسویه نشده (کیلوگرم)]]</f>
        <v>0</v>
      </c>
      <c r="T43" s="6">
        <f ca="1">Main[[#This Row],[بدهی سررسید شده (کیلوگرم)]]*Main[[#This Row],[روز از ارسال سفارش]]</f>
        <v>0</v>
      </c>
      <c r="U43" s="6">
        <f>-SUBTOTAL(9,INDEX(Main[مقدار (کیلوگرم)],1):Main[[#This Row],[مقدار (کیلوگرم)]])</f>
        <v>0</v>
      </c>
      <c r="V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" s="6">
        <f>Main[[#This Row],[تعداد کل روزهای بدهکار (روز)]]*Main[[#This Row],[مانده در خط کل (کیلوگرم)]]</f>
        <v>0</v>
      </c>
      <c r="X43" s="6">
        <f>-SUBTOTAL(9,INDEX(Main[مقدار تسویه شده (کیلوگرم)],1):Main[[#This Row],[مقدار تسویه شده (کیلوگرم)]])</f>
        <v>0</v>
      </c>
      <c r="Y43" s="6">
        <f>IF(Main[[#This Row],[مانده در خط تسویه شده (کیلوگرم)]]&lt;&gt;0,Main[[#This Row],[تعداد کل روزهای بدهکار (روز)]],0)</f>
        <v>0</v>
      </c>
      <c r="Z43" s="6">
        <f>Main[[#This Row],[تعداد روزهای بدهکار تسویه شده (روز)]]*Main[[#This Row],[مانده در خط تسویه شده (کیلوگرم)]]</f>
        <v>0</v>
      </c>
      <c r="AA43" s="6">
        <f>SUBTOTAL(9,INDEX(Main[بدهی تسویه نشده (کیلوگرم)],1):Main[[#This Row],[بدهی تسویه نشده (کیلوگرم)]])</f>
        <v>0</v>
      </c>
      <c r="AB43" s="6">
        <f>IF(Main[[#This Row],[مانده در خط تسویه نشده (کیلوگرم)]]&lt;&gt;0,Main[[#This Row],[تعداد کل روزهای بدهکار (روز)]],0)</f>
        <v>0</v>
      </c>
      <c r="AC43" s="6">
        <f>Main[[#This Row],[تعداد روزهای بدهکار  تسویه نشده (روز)]]*Main[[#This Row],[مانده در خط تسویه نشده (کیلوگرم)]]</f>
        <v>0</v>
      </c>
      <c r="AD43" s="6">
        <f>SUBTOTAL(9,INDEX(Main[بدهی سررسید شده (کیلوگرم)],1):Main[[#This Row],[بدهی سررسید شده (کیلوگرم)]])</f>
        <v>0</v>
      </c>
      <c r="AE43" s="6">
        <f>IF(Main[[#This Row],[مانده در خط سررسید شده (کیلوگرم)]]&lt;&gt;0,Main[[#This Row],[تعداد کل روزهای بدهکار (روز)]],0)</f>
        <v>0</v>
      </c>
      <c r="AF43" s="6">
        <f>Main[[#This Row],[تعداد روزهای بدهکار سررسید شده (روز)]]*Main[[#This Row],[مانده در خط سررسید شده (کیلوگرم)]]</f>
        <v>0</v>
      </c>
    </row>
    <row r="44" spans="1:32" hidden="1" x14ac:dyDescent="0.35">
      <c r="A44" s="5">
        <f>ROW()-ROW(INDEX(Main[ردیف],1))+1</f>
        <v>42</v>
      </c>
      <c r="B44" s="31">
        <f>SUBTOTAL(2,INDEX(Main[ردیف],1):Main[[#This Row],[ردیف]])</f>
        <v>0</v>
      </c>
      <c r="C44" s="32" t="s">
        <v>452</v>
      </c>
      <c r="D44" s="32" t="str">
        <f>_xlfn.CONCAT("14",Main[[#This Row],[تاريخ]])</f>
        <v>1400/01/01</v>
      </c>
      <c r="E44" s="33">
        <v>44276</v>
      </c>
      <c r="F44" s="32">
        <v>30064</v>
      </c>
      <c r="G44" s="5" t="str">
        <f>INDEX(customer[عنوان],MATCH(Main[[#This Row],[کد ردیابی]],customer[کد],0))</f>
        <v>پایپکس</v>
      </c>
      <c r="H44">
        <v>-1199</v>
      </c>
      <c r="I44" s="6">
        <f ca="1">-Main[[#This Row],[بدهی تسویه شده (کیلوگرم)]]+Main[[#This Row],[بستانکار (کیلوگرم)]]</f>
        <v>-1199</v>
      </c>
      <c r="J44" s="6">
        <f>IF(Main[[#This Row],[مقدار (کیلوگرم)]]&gt;0,Main[[#This Row],[مقدار (کیلوگرم)]],0)</f>
        <v>0</v>
      </c>
      <c r="K44" s="6">
        <f>-IF(Main[[#This Row],[مقدار (کیلوگرم)]]&lt;0,Main[[#This Row],[مقدار (کیلوگرم)]],0)</f>
        <v>1199</v>
      </c>
      <c r="L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" s="7">
        <f>-IF(AND(Main[[#This Row],[مقدار (کیلوگرم)]]&lt;0,Main[[#This Row],[تاريخ میلادی]]&gt;44276),Main[[#This Row],[مقدار (کیلوگرم)]],0)</f>
        <v>0</v>
      </c>
      <c r="N44" s="6">
        <f ca="1">Main[[#This Row],[بدهکار (کیلوگرم)]]-Main[[#This Row],[بدهی تسویه نشده (کیلوگرم)]]</f>
        <v>1199</v>
      </c>
      <c r="O44" s="6">
        <f ca="1">Main[[#This Row],[تفکیک]]</f>
        <v>0</v>
      </c>
      <c r="P44" s="6">
        <f ca="1">IF(Main[[#This Row],[تاخیر از سررسید]]&gt;0,Main[[#This Row],[بدهی تسویه نشده (کیلوگرم)]],0)</f>
        <v>0</v>
      </c>
      <c r="Q44" s="6">
        <f ca="1">IF(Main[[#This Row],[بدهی تسویه نشده (کیلوگرم)]]&gt;0,'گزارش فردی'!$B$7-Main[[#This Row],[تاريخ میلادی]],0)</f>
        <v>0</v>
      </c>
      <c r="R44" s="6">
        <f ca="1">IF(Main[[#This Row],[بدهی تسویه نشده (کیلوگرم)]]&gt;0,'گزارش فردی'!$B$7-Main[[#This Row],[تاريخ میلادی]]-'گزارش فردی'!$B$8,0)</f>
        <v>0</v>
      </c>
      <c r="S44" s="6">
        <f ca="1">Main[[#This Row],[روز از ارسال سفارش]]*Main[[#This Row],[بدهی تسویه نشده (کیلوگرم)]]</f>
        <v>0</v>
      </c>
      <c r="T44" s="6">
        <f ca="1">Main[[#This Row],[بدهی سررسید شده (کیلوگرم)]]*Main[[#This Row],[روز از ارسال سفارش]]</f>
        <v>0</v>
      </c>
      <c r="U44" s="6">
        <f>-SUBTOTAL(9,INDEX(Main[مقدار (کیلوگرم)],1):Main[[#This Row],[مقدار (کیلوگرم)]])</f>
        <v>0</v>
      </c>
      <c r="V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" s="6">
        <f>Main[[#This Row],[تعداد کل روزهای بدهکار (روز)]]*Main[[#This Row],[مانده در خط کل (کیلوگرم)]]</f>
        <v>0</v>
      </c>
      <c r="X44" s="6">
        <f>-SUBTOTAL(9,INDEX(Main[مقدار تسویه شده (کیلوگرم)],1):Main[[#This Row],[مقدار تسویه شده (کیلوگرم)]])</f>
        <v>0</v>
      </c>
      <c r="Y44" s="6">
        <f>IF(Main[[#This Row],[مانده در خط تسویه شده (کیلوگرم)]]&lt;&gt;0,Main[[#This Row],[تعداد کل روزهای بدهکار (روز)]],0)</f>
        <v>0</v>
      </c>
      <c r="Z44" s="6">
        <f>Main[[#This Row],[تعداد روزهای بدهکار تسویه شده (روز)]]*Main[[#This Row],[مانده در خط تسویه شده (کیلوگرم)]]</f>
        <v>0</v>
      </c>
      <c r="AA44" s="6">
        <f>SUBTOTAL(9,INDEX(Main[بدهی تسویه نشده (کیلوگرم)],1):Main[[#This Row],[بدهی تسویه نشده (کیلوگرم)]])</f>
        <v>0</v>
      </c>
      <c r="AB44" s="6">
        <f>IF(Main[[#This Row],[مانده در خط تسویه نشده (کیلوگرم)]]&lt;&gt;0,Main[[#This Row],[تعداد کل روزهای بدهکار (روز)]],0)</f>
        <v>0</v>
      </c>
      <c r="AC44" s="6">
        <f>Main[[#This Row],[تعداد روزهای بدهکار  تسویه نشده (روز)]]*Main[[#This Row],[مانده در خط تسویه نشده (کیلوگرم)]]</f>
        <v>0</v>
      </c>
      <c r="AD44" s="6">
        <f>SUBTOTAL(9,INDEX(Main[بدهی سررسید شده (کیلوگرم)],1):Main[[#This Row],[بدهی سررسید شده (کیلوگرم)]])</f>
        <v>0</v>
      </c>
      <c r="AE44" s="6">
        <f>IF(Main[[#This Row],[مانده در خط سررسید شده (کیلوگرم)]]&lt;&gt;0,Main[[#This Row],[تعداد کل روزهای بدهکار (روز)]],0)</f>
        <v>0</v>
      </c>
      <c r="AF44" s="6">
        <f>Main[[#This Row],[تعداد روزهای بدهکار سررسید شده (روز)]]*Main[[#This Row],[مانده در خط سررسید شده (کیلوگرم)]]</f>
        <v>0</v>
      </c>
    </row>
    <row r="45" spans="1:32" hidden="1" x14ac:dyDescent="0.35">
      <c r="A45" s="5">
        <f>ROW()-ROW(INDEX(Main[ردیف],1))+1</f>
        <v>43</v>
      </c>
      <c r="B45" s="31">
        <f>SUBTOTAL(2,INDEX(Main[ردیف],1):Main[[#This Row],[ردیف]])</f>
        <v>0</v>
      </c>
      <c r="C45" s="32" t="s">
        <v>452</v>
      </c>
      <c r="D45" s="32" t="str">
        <f>_xlfn.CONCAT("14",Main[[#This Row],[تاريخ]])</f>
        <v>1400/01/01</v>
      </c>
      <c r="E45" s="33">
        <v>44276</v>
      </c>
      <c r="F45" s="32">
        <v>30071</v>
      </c>
      <c r="G45" s="5" t="str">
        <f>INDEX(customer[عنوان],MATCH(Main[[#This Row],[کد ردیابی]],customer[کد],0))</f>
        <v xml:space="preserve">راک جاه  </v>
      </c>
      <c r="H45">
        <v>3</v>
      </c>
      <c r="I45" s="6">
        <f ca="1">-Main[[#This Row],[بدهی تسویه شده (کیلوگرم)]]+Main[[#This Row],[بستانکار (کیلوگرم)]]</f>
        <v>3</v>
      </c>
      <c r="J45" s="6">
        <f>IF(Main[[#This Row],[مقدار (کیلوگرم)]]&gt;0,Main[[#This Row],[مقدار (کیلوگرم)]],0)</f>
        <v>3</v>
      </c>
      <c r="K45" s="6">
        <f>-IF(Main[[#This Row],[مقدار (کیلوگرم)]]&lt;0,Main[[#This Row],[مقدار (کیلوگرم)]],0)</f>
        <v>0</v>
      </c>
      <c r="L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" s="7">
        <f>-IF(AND(Main[[#This Row],[مقدار (کیلوگرم)]]&lt;0,Main[[#This Row],[تاريخ میلادی]]&gt;44276),Main[[#This Row],[مقدار (کیلوگرم)]],0)</f>
        <v>0</v>
      </c>
      <c r="N45" s="6">
        <f ca="1">Main[[#This Row],[بدهکار (کیلوگرم)]]-Main[[#This Row],[بدهی تسویه نشده (کیلوگرم)]]</f>
        <v>0</v>
      </c>
      <c r="O45" s="6">
        <f ca="1">Main[[#This Row],[تفکیک]]</f>
        <v>0</v>
      </c>
      <c r="P45" s="6">
        <f ca="1">IF(Main[[#This Row],[تاخیر از سررسید]]&gt;0,Main[[#This Row],[بدهی تسویه نشده (کیلوگرم)]],0)</f>
        <v>0</v>
      </c>
      <c r="Q45" s="6">
        <f ca="1">IF(Main[[#This Row],[بدهی تسویه نشده (کیلوگرم)]]&gt;0,'گزارش فردی'!$B$7-Main[[#This Row],[تاريخ میلادی]],0)</f>
        <v>0</v>
      </c>
      <c r="R45" s="6">
        <f ca="1">IF(Main[[#This Row],[بدهی تسویه نشده (کیلوگرم)]]&gt;0,'گزارش فردی'!$B$7-Main[[#This Row],[تاريخ میلادی]]-'گزارش فردی'!$B$8,0)</f>
        <v>0</v>
      </c>
      <c r="S45" s="6">
        <f ca="1">Main[[#This Row],[روز از ارسال سفارش]]*Main[[#This Row],[بدهی تسویه نشده (کیلوگرم)]]</f>
        <v>0</v>
      </c>
      <c r="T45" s="6">
        <f ca="1">Main[[#This Row],[بدهی سررسید شده (کیلوگرم)]]*Main[[#This Row],[روز از ارسال سفارش]]</f>
        <v>0</v>
      </c>
      <c r="U45" s="6">
        <f>-SUBTOTAL(9,INDEX(Main[مقدار (کیلوگرم)],1):Main[[#This Row],[مقدار (کیلوگرم)]])</f>
        <v>0</v>
      </c>
      <c r="V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" s="6">
        <f>Main[[#This Row],[تعداد کل روزهای بدهکار (روز)]]*Main[[#This Row],[مانده در خط کل (کیلوگرم)]]</f>
        <v>0</v>
      </c>
      <c r="X45" s="6">
        <f>-SUBTOTAL(9,INDEX(Main[مقدار تسویه شده (کیلوگرم)],1):Main[[#This Row],[مقدار تسویه شده (کیلوگرم)]])</f>
        <v>0</v>
      </c>
      <c r="Y45" s="6">
        <f>IF(Main[[#This Row],[مانده در خط تسویه شده (کیلوگرم)]]&lt;&gt;0,Main[[#This Row],[تعداد کل روزهای بدهکار (روز)]],0)</f>
        <v>0</v>
      </c>
      <c r="Z45" s="6">
        <f>Main[[#This Row],[تعداد روزهای بدهکار تسویه شده (روز)]]*Main[[#This Row],[مانده در خط تسویه شده (کیلوگرم)]]</f>
        <v>0</v>
      </c>
      <c r="AA45" s="6">
        <f>SUBTOTAL(9,INDEX(Main[بدهی تسویه نشده (کیلوگرم)],1):Main[[#This Row],[بدهی تسویه نشده (کیلوگرم)]])</f>
        <v>0</v>
      </c>
      <c r="AB45" s="6">
        <f>IF(Main[[#This Row],[مانده در خط تسویه نشده (کیلوگرم)]]&lt;&gt;0,Main[[#This Row],[تعداد کل روزهای بدهکار (روز)]],0)</f>
        <v>0</v>
      </c>
      <c r="AC45" s="6">
        <f>Main[[#This Row],[تعداد روزهای بدهکار  تسویه نشده (روز)]]*Main[[#This Row],[مانده در خط تسویه نشده (کیلوگرم)]]</f>
        <v>0</v>
      </c>
      <c r="AD45" s="6">
        <f>SUBTOTAL(9,INDEX(Main[بدهی سررسید شده (کیلوگرم)],1):Main[[#This Row],[بدهی سررسید شده (کیلوگرم)]])</f>
        <v>0</v>
      </c>
      <c r="AE45" s="6">
        <f>IF(Main[[#This Row],[مانده در خط سررسید شده (کیلوگرم)]]&lt;&gt;0,Main[[#This Row],[تعداد کل روزهای بدهکار (روز)]],0)</f>
        <v>0</v>
      </c>
      <c r="AF45" s="6">
        <f>Main[[#This Row],[تعداد روزهای بدهکار سررسید شده (روز)]]*Main[[#This Row],[مانده در خط سررسید شده (کیلوگرم)]]</f>
        <v>0</v>
      </c>
    </row>
    <row r="46" spans="1:32" hidden="1" x14ac:dyDescent="0.35">
      <c r="A46" s="5">
        <f>ROW()-ROW(INDEX(Main[ردیف],1))+1</f>
        <v>44</v>
      </c>
      <c r="B46" s="31">
        <f>SUBTOTAL(2,INDEX(Main[ردیف],1):Main[[#This Row],[ردیف]])</f>
        <v>0</v>
      </c>
      <c r="C46" s="32" t="s">
        <v>452</v>
      </c>
      <c r="D46" s="32" t="str">
        <f>_xlfn.CONCAT("14",Main[[#This Row],[تاريخ]])</f>
        <v>1400/01/01</v>
      </c>
      <c r="E46" s="33">
        <v>44276</v>
      </c>
      <c r="F46" s="32">
        <v>10084</v>
      </c>
      <c r="G46" s="5" t="str">
        <f>INDEX(customer[عنوان],MATCH(Main[[#This Row],[کد ردیابی]],customer[کد],0))</f>
        <v xml:space="preserve">سیدحمید کاظمی </v>
      </c>
      <c r="H46">
        <v>-1093</v>
      </c>
      <c r="I46" s="6">
        <f ca="1">-Main[[#This Row],[بدهی تسویه شده (کیلوگرم)]]+Main[[#This Row],[بستانکار (کیلوگرم)]]</f>
        <v>-1093</v>
      </c>
      <c r="J46" s="6">
        <f>IF(Main[[#This Row],[مقدار (کیلوگرم)]]&gt;0,Main[[#This Row],[مقدار (کیلوگرم)]],0)</f>
        <v>0</v>
      </c>
      <c r="K46" s="6">
        <f>-IF(Main[[#This Row],[مقدار (کیلوگرم)]]&lt;0,Main[[#This Row],[مقدار (کیلوگرم)]],0)</f>
        <v>1093</v>
      </c>
      <c r="L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" s="7">
        <f>-IF(AND(Main[[#This Row],[مقدار (کیلوگرم)]]&lt;0,Main[[#This Row],[تاريخ میلادی]]&gt;44276),Main[[#This Row],[مقدار (کیلوگرم)]],0)</f>
        <v>0</v>
      </c>
      <c r="N46" s="6">
        <f ca="1">Main[[#This Row],[بدهکار (کیلوگرم)]]-Main[[#This Row],[بدهی تسویه نشده (کیلوگرم)]]</f>
        <v>1093</v>
      </c>
      <c r="O46" s="6">
        <f ca="1">Main[[#This Row],[تفکیک]]</f>
        <v>0</v>
      </c>
      <c r="P46" s="6">
        <f ca="1">IF(Main[[#This Row],[تاخیر از سررسید]]&gt;0,Main[[#This Row],[بدهی تسویه نشده (کیلوگرم)]],0)</f>
        <v>0</v>
      </c>
      <c r="Q46" s="6">
        <f ca="1">IF(Main[[#This Row],[بدهی تسویه نشده (کیلوگرم)]]&gt;0,'گزارش فردی'!$B$7-Main[[#This Row],[تاريخ میلادی]],0)</f>
        <v>0</v>
      </c>
      <c r="R46" s="6">
        <f ca="1">IF(Main[[#This Row],[بدهی تسویه نشده (کیلوگرم)]]&gt;0,'گزارش فردی'!$B$7-Main[[#This Row],[تاريخ میلادی]]-'گزارش فردی'!$B$8,0)</f>
        <v>0</v>
      </c>
      <c r="S46" s="6">
        <f ca="1">Main[[#This Row],[روز از ارسال سفارش]]*Main[[#This Row],[بدهی تسویه نشده (کیلوگرم)]]</f>
        <v>0</v>
      </c>
      <c r="T46" s="6">
        <f ca="1">Main[[#This Row],[بدهی سررسید شده (کیلوگرم)]]*Main[[#This Row],[روز از ارسال سفارش]]</f>
        <v>0</v>
      </c>
      <c r="U46" s="6">
        <f>-SUBTOTAL(9,INDEX(Main[مقدار (کیلوگرم)],1):Main[[#This Row],[مقدار (کیلوگرم)]])</f>
        <v>0</v>
      </c>
      <c r="V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6" s="6">
        <f>Main[[#This Row],[تعداد کل روزهای بدهکار (روز)]]*Main[[#This Row],[مانده در خط کل (کیلوگرم)]]</f>
        <v>0</v>
      </c>
      <c r="X46" s="6">
        <f>-SUBTOTAL(9,INDEX(Main[مقدار تسویه شده (کیلوگرم)],1):Main[[#This Row],[مقدار تسویه شده (کیلوگرم)]])</f>
        <v>0</v>
      </c>
      <c r="Y46" s="6">
        <f>IF(Main[[#This Row],[مانده در خط تسویه شده (کیلوگرم)]]&lt;&gt;0,Main[[#This Row],[تعداد کل روزهای بدهکار (روز)]],0)</f>
        <v>0</v>
      </c>
      <c r="Z46" s="6">
        <f>Main[[#This Row],[تعداد روزهای بدهکار تسویه شده (روز)]]*Main[[#This Row],[مانده در خط تسویه شده (کیلوگرم)]]</f>
        <v>0</v>
      </c>
      <c r="AA46" s="6">
        <f>SUBTOTAL(9,INDEX(Main[بدهی تسویه نشده (کیلوگرم)],1):Main[[#This Row],[بدهی تسویه نشده (کیلوگرم)]])</f>
        <v>0</v>
      </c>
      <c r="AB46" s="6">
        <f>IF(Main[[#This Row],[مانده در خط تسویه نشده (کیلوگرم)]]&lt;&gt;0,Main[[#This Row],[تعداد کل روزهای بدهکار (روز)]],0)</f>
        <v>0</v>
      </c>
      <c r="AC46" s="6">
        <f>Main[[#This Row],[تعداد روزهای بدهکار  تسویه نشده (روز)]]*Main[[#This Row],[مانده در خط تسویه نشده (کیلوگرم)]]</f>
        <v>0</v>
      </c>
      <c r="AD46" s="6">
        <f>SUBTOTAL(9,INDEX(Main[بدهی سررسید شده (کیلوگرم)],1):Main[[#This Row],[بدهی سررسید شده (کیلوگرم)]])</f>
        <v>0</v>
      </c>
      <c r="AE46" s="6">
        <f>IF(Main[[#This Row],[مانده در خط سررسید شده (کیلوگرم)]]&lt;&gt;0,Main[[#This Row],[تعداد کل روزهای بدهکار (روز)]],0)</f>
        <v>0</v>
      </c>
      <c r="AF46" s="6">
        <f>Main[[#This Row],[تعداد روزهای بدهکار سررسید شده (روز)]]*Main[[#This Row],[مانده در خط سررسید شده (کیلوگرم)]]</f>
        <v>0</v>
      </c>
    </row>
    <row r="47" spans="1:32" hidden="1" x14ac:dyDescent="0.35">
      <c r="A47" s="5">
        <f>ROW()-ROW(INDEX(Main[ردیف],1))+1</f>
        <v>45</v>
      </c>
      <c r="B47" s="31">
        <f>SUBTOTAL(2,INDEX(Main[ردیف],1):Main[[#This Row],[ردیف]])</f>
        <v>0</v>
      </c>
      <c r="C47" s="32" t="s">
        <v>452</v>
      </c>
      <c r="D47" s="32" t="str">
        <f>_xlfn.CONCAT("14",Main[[#This Row],[تاريخ]])</f>
        <v>1400/01/01</v>
      </c>
      <c r="E47" s="33">
        <v>44276</v>
      </c>
      <c r="F47" s="32">
        <v>10042</v>
      </c>
      <c r="G47" s="5" t="str">
        <f>INDEX(customer[عنوان],MATCH(Main[[#This Row],[کد ردیابی]],customer[کد],0))</f>
        <v xml:space="preserve">حسین محمودی  </v>
      </c>
      <c r="H47">
        <v>2</v>
      </c>
      <c r="I47" s="6">
        <f ca="1">-Main[[#This Row],[بدهی تسویه شده (کیلوگرم)]]+Main[[#This Row],[بستانکار (کیلوگرم)]]</f>
        <v>2</v>
      </c>
      <c r="J47" s="6">
        <f>IF(Main[[#This Row],[مقدار (کیلوگرم)]]&gt;0,Main[[#This Row],[مقدار (کیلوگرم)]],0)</f>
        <v>2</v>
      </c>
      <c r="K47" s="6">
        <f>-IF(Main[[#This Row],[مقدار (کیلوگرم)]]&lt;0,Main[[#This Row],[مقدار (کیلوگرم)]],0)</f>
        <v>0</v>
      </c>
      <c r="L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" s="7">
        <f>-IF(AND(Main[[#This Row],[مقدار (کیلوگرم)]]&lt;0,Main[[#This Row],[تاريخ میلادی]]&gt;44276),Main[[#This Row],[مقدار (کیلوگرم)]],0)</f>
        <v>0</v>
      </c>
      <c r="N47" s="6">
        <f ca="1">Main[[#This Row],[بدهکار (کیلوگرم)]]-Main[[#This Row],[بدهی تسویه نشده (کیلوگرم)]]</f>
        <v>0</v>
      </c>
      <c r="O47" s="6">
        <f ca="1">Main[[#This Row],[تفکیک]]</f>
        <v>0</v>
      </c>
      <c r="P47" s="6">
        <f ca="1">IF(Main[[#This Row],[تاخیر از سررسید]]&gt;0,Main[[#This Row],[بدهی تسویه نشده (کیلوگرم)]],0)</f>
        <v>0</v>
      </c>
      <c r="Q47" s="6">
        <f ca="1">IF(Main[[#This Row],[بدهی تسویه نشده (کیلوگرم)]]&gt;0,'گزارش فردی'!$B$7-Main[[#This Row],[تاريخ میلادی]],0)</f>
        <v>0</v>
      </c>
      <c r="R47" s="6">
        <f ca="1">IF(Main[[#This Row],[بدهی تسویه نشده (کیلوگرم)]]&gt;0,'گزارش فردی'!$B$7-Main[[#This Row],[تاريخ میلادی]]-'گزارش فردی'!$B$8,0)</f>
        <v>0</v>
      </c>
      <c r="S47" s="6">
        <f ca="1">Main[[#This Row],[روز از ارسال سفارش]]*Main[[#This Row],[بدهی تسویه نشده (کیلوگرم)]]</f>
        <v>0</v>
      </c>
      <c r="T47" s="6">
        <f ca="1">Main[[#This Row],[بدهی سررسید شده (کیلوگرم)]]*Main[[#This Row],[روز از ارسال سفارش]]</f>
        <v>0</v>
      </c>
      <c r="U47" s="6">
        <f>-SUBTOTAL(9,INDEX(Main[مقدار (کیلوگرم)],1):Main[[#This Row],[مقدار (کیلوگرم)]])</f>
        <v>0</v>
      </c>
      <c r="V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7" s="6">
        <f>Main[[#This Row],[تعداد کل روزهای بدهکار (روز)]]*Main[[#This Row],[مانده در خط کل (کیلوگرم)]]</f>
        <v>0</v>
      </c>
      <c r="X47" s="6">
        <f>-SUBTOTAL(9,INDEX(Main[مقدار تسویه شده (کیلوگرم)],1):Main[[#This Row],[مقدار تسویه شده (کیلوگرم)]])</f>
        <v>0</v>
      </c>
      <c r="Y47" s="6">
        <f>IF(Main[[#This Row],[مانده در خط تسویه شده (کیلوگرم)]]&lt;&gt;0,Main[[#This Row],[تعداد کل روزهای بدهکار (روز)]],0)</f>
        <v>0</v>
      </c>
      <c r="Z47" s="6">
        <f>Main[[#This Row],[تعداد روزهای بدهکار تسویه شده (روز)]]*Main[[#This Row],[مانده در خط تسویه شده (کیلوگرم)]]</f>
        <v>0</v>
      </c>
      <c r="AA47" s="6">
        <f>SUBTOTAL(9,INDEX(Main[بدهی تسویه نشده (کیلوگرم)],1):Main[[#This Row],[بدهی تسویه نشده (کیلوگرم)]])</f>
        <v>0</v>
      </c>
      <c r="AB47" s="6">
        <f>IF(Main[[#This Row],[مانده در خط تسویه نشده (کیلوگرم)]]&lt;&gt;0,Main[[#This Row],[تعداد کل روزهای بدهکار (روز)]],0)</f>
        <v>0</v>
      </c>
      <c r="AC47" s="6">
        <f>Main[[#This Row],[تعداد روزهای بدهکار  تسویه نشده (روز)]]*Main[[#This Row],[مانده در خط تسویه نشده (کیلوگرم)]]</f>
        <v>0</v>
      </c>
      <c r="AD47" s="6">
        <f>SUBTOTAL(9,INDEX(Main[بدهی سررسید شده (کیلوگرم)],1):Main[[#This Row],[بدهی سررسید شده (کیلوگرم)]])</f>
        <v>0</v>
      </c>
      <c r="AE47" s="6">
        <f>IF(Main[[#This Row],[مانده در خط سررسید شده (کیلوگرم)]]&lt;&gt;0,Main[[#This Row],[تعداد کل روزهای بدهکار (روز)]],0)</f>
        <v>0</v>
      </c>
      <c r="AF47" s="6">
        <f>Main[[#This Row],[تعداد روزهای بدهکار سررسید شده (روز)]]*Main[[#This Row],[مانده در خط سررسید شده (کیلوگرم)]]</f>
        <v>0</v>
      </c>
    </row>
    <row r="48" spans="1:32" hidden="1" x14ac:dyDescent="0.35">
      <c r="A48" s="5">
        <f>ROW()-ROW(INDEX(Main[ردیف],1))+1</f>
        <v>46</v>
      </c>
      <c r="B48" s="31">
        <f>SUBTOTAL(2,INDEX(Main[ردیف],1):Main[[#This Row],[ردیف]])</f>
        <v>0</v>
      </c>
      <c r="C48" s="32" t="s">
        <v>452</v>
      </c>
      <c r="D48" s="32" t="str">
        <f>_xlfn.CONCAT("14",Main[[#This Row],[تاريخ]])</f>
        <v>1400/01/01</v>
      </c>
      <c r="E48" s="33">
        <v>44276</v>
      </c>
      <c r="F48" s="32">
        <v>30072</v>
      </c>
      <c r="G48" s="5" t="str">
        <f>INDEX(customer[عنوان],MATCH(Main[[#This Row],[کد ردیابی]],customer[کد],0))</f>
        <v>تولیدی صنعتی صالح</v>
      </c>
      <c r="H48">
        <v>-593</v>
      </c>
      <c r="I48" s="6">
        <f ca="1">-Main[[#This Row],[بدهی تسویه شده (کیلوگرم)]]+Main[[#This Row],[بستانکار (کیلوگرم)]]</f>
        <v>-593</v>
      </c>
      <c r="J48" s="6">
        <f>IF(Main[[#This Row],[مقدار (کیلوگرم)]]&gt;0,Main[[#This Row],[مقدار (کیلوگرم)]],0)</f>
        <v>0</v>
      </c>
      <c r="K48" s="6">
        <f>-IF(Main[[#This Row],[مقدار (کیلوگرم)]]&lt;0,Main[[#This Row],[مقدار (کیلوگرم)]],0)</f>
        <v>593</v>
      </c>
      <c r="L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" s="7">
        <f>-IF(AND(Main[[#This Row],[مقدار (کیلوگرم)]]&lt;0,Main[[#This Row],[تاريخ میلادی]]&gt;44276),Main[[#This Row],[مقدار (کیلوگرم)]],0)</f>
        <v>0</v>
      </c>
      <c r="N48" s="6">
        <f ca="1">Main[[#This Row],[بدهکار (کیلوگرم)]]-Main[[#This Row],[بدهی تسویه نشده (کیلوگرم)]]</f>
        <v>593</v>
      </c>
      <c r="O48" s="6">
        <f ca="1">Main[[#This Row],[تفکیک]]</f>
        <v>0</v>
      </c>
      <c r="P48" s="6">
        <f ca="1">IF(Main[[#This Row],[تاخیر از سررسید]]&gt;0,Main[[#This Row],[بدهی تسویه نشده (کیلوگرم)]],0)</f>
        <v>0</v>
      </c>
      <c r="Q48" s="6">
        <f ca="1">IF(Main[[#This Row],[بدهی تسویه نشده (کیلوگرم)]]&gt;0,'گزارش فردی'!$B$7-Main[[#This Row],[تاريخ میلادی]],0)</f>
        <v>0</v>
      </c>
      <c r="R48" s="6">
        <f ca="1">IF(Main[[#This Row],[بدهی تسویه نشده (کیلوگرم)]]&gt;0,'گزارش فردی'!$B$7-Main[[#This Row],[تاريخ میلادی]]-'گزارش فردی'!$B$8,0)</f>
        <v>0</v>
      </c>
      <c r="S48" s="6">
        <f ca="1">Main[[#This Row],[روز از ارسال سفارش]]*Main[[#This Row],[بدهی تسویه نشده (کیلوگرم)]]</f>
        <v>0</v>
      </c>
      <c r="T48" s="6">
        <f ca="1">Main[[#This Row],[بدهی سررسید شده (کیلوگرم)]]*Main[[#This Row],[روز از ارسال سفارش]]</f>
        <v>0</v>
      </c>
      <c r="U48" s="6">
        <f>-SUBTOTAL(9,INDEX(Main[مقدار (کیلوگرم)],1):Main[[#This Row],[مقدار (کیلوگرم)]])</f>
        <v>0</v>
      </c>
      <c r="V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" s="6">
        <f>Main[[#This Row],[تعداد کل روزهای بدهکار (روز)]]*Main[[#This Row],[مانده در خط کل (کیلوگرم)]]</f>
        <v>0</v>
      </c>
      <c r="X48" s="6">
        <f>-SUBTOTAL(9,INDEX(Main[مقدار تسویه شده (کیلوگرم)],1):Main[[#This Row],[مقدار تسویه شده (کیلوگرم)]])</f>
        <v>0</v>
      </c>
      <c r="Y48" s="6">
        <f>IF(Main[[#This Row],[مانده در خط تسویه شده (کیلوگرم)]]&lt;&gt;0,Main[[#This Row],[تعداد کل روزهای بدهکار (روز)]],0)</f>
        <v>0</v>
      </c>
      <c r="Z48" s="6">
        <f>Main[[#This Row],[تعداد روزهای بدهکار تسویه شده (روز)]]*Main[[#This Row],[مانده در خط تسویه شده (کیلوگرم)]]</f>
        <v>0</v>
      </c>
      <c r="AA48" s="6">
        <f>SUBTOTAL(9,INDEX(Main[بدهی تسویه نشده (کیلوگرم)],1):Main[[#This Row],[بدهی تسویه نشده (کیلوگرم)]])</f>
        <v>0</v>
      </c>
      <c r="AB48" s="6">
        <f>IF(Main[[#This Row],[مانده در خط تسویه نشده (کیلوگرم)]]&lt;&gt;0,Main[[#This Row],[تعداد کل روزهای بدهکار (روز)]],0)</f>
        <v>0</v>
      </c>
      <c r="AC48" s="6">
        <f>Main[[#This Row],[تعداد روزهای بدهکار  تسویه نشده (روز)]]*Main[[#This Row],[مانده در خط تسویه نشده (کیلوگرم)]]</f>
        <v>0</v>
      </c>
      <c r="AD48" s="6">
        <f>SUBTOTAL(9,INDEX(Main[بدهی سررسید شده (کیلوگرم)],1):Main[[#This Row],[بدهی سررسید شده (کیلوگرم)]])</f>
        <v>0</v>
      </c>
      <c r="AE48" s="6">
        <f>IF(Main[[#This Row],[مانده در خط سررسید شده (کیلوگرم)]]&lt;&gt;0,Main[[#This Row],[تعداد کل روزهای بدهکار (روز)]],0)</f>
        <v>0</v>
      </c>
      <c r="AF48" s="6">
        <f>Main[[#This Row],[تعداد روزهای بدهکار سررسید شده (روز)]]*Main[[#This Row],[مانده در خط سررسید شده (کیلوگرم)]]</f>
        <v>0</v>
      </c>
    </row>
    <row r="49" spans="1:32" hidden="1" x14ac:dyDescent="0.35">
      <c r="A49" s="5">
        <f>ROW()-ROW(INDEX(Main[ردیف],1))+1</f>
        <v>47</v>
      </c>
      <c r="B49" s="31">
        <f>SUBTOTAL(2,INDEX(Main[ردیف],1):Main[[#This Row],[ردیف]])</f>
        <v>0</v>
      </c>
      <c r="C49" s="32" t="s">
        <v>452</v>
      </c>
      <c r="D49" s="32" t="str">
        <f>_xlfn.CONCAT("14",Main[[#This Row],[تاريخ]])</f>
        <v>1400/01/01</v>
      </c>
      <c r="E49" s="33">
        <v>44276</v>
      </c>
      <c r="F49" s="32">
        <v>30174</v>
      </c>
      <c r="G49" s="5" t="str">
        <f>INDEX(customer[عنوان],MATCH(Main[[#This Row],[کد ردیابی]],customer[کد],0))</f>
        <v>شیرآلات مهرآرا</v>
      </c>
      <c r="H49">
        <v>5</v>
      </c>
      <c r="I49" s="6">
        <f ca="1">-Main[[#This Row],[بدهی تسویه شده (کیلوگرم)]]+Main[[#This Row],[بستانکار (کیلوگرم)]]</f>
        <v>5</v>
      </c>
      <c r="J49" s="6">
        <f>IF(Main[[#This Row],[مقدار (کیلوگرم)]]&gt;0,Main[[#This Row],[مقدار (کیلوگرم)]],0)</f>
        <v>5</v>
      </c>
      <c r="K49" s="6">
        <f>-IF(Main[[#This Row],[مقدار (کیلوگرم)]]&lt;0,Main[[#This Row],[مقدار (کیلوگرم)]],0)</f>
        <v>0</v>
      </c>
      <c r="L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" s="7">
        <f>-IF(AND(Main[[#This Row],[مقدار (کیلوگرم)]]&lt;0,Main[[#This Row],[تاريخ میلادی]]&gt;44276),Main[[#This Row],[مقدار (کیلوگرم)]],0)</f>
        <v>0</v>
      </c>
      <c r="N49" s="6">
        <f ca="1">Main[[#This Row],[بدهکار (کیلوگرم)]]-Main[[#This Row],[بدهی تسویه نشده (کیلوگرم)]]</f>
        <v>0</v>
      </c>
      <c r="O49" s="6">
        <f ca="1">Main[[#This Row],[تفکیک]]</f>
        <v>0</v>
      </c>
      <c r="P49" s="6">
        <f ca="1">IF(Main[[#This Row],[تاخیر از سررسید]]&gt;0,Main[[#This Row],[بدهی تسویه نشده (کیلوگرم)]],0)</f>
        <v>0</v>
      </c>
      <c r="Q49" s="6">
        <f ca="1">IF(Main[[#This Row],[بدهی تسویه نشده (کیلوگرم)]]&gt;0,'گزارش فردی'!$B$7-Main[[#This Row],[تاريخ میلادی]],0)</f>
        <v>0</v>
      </c>
      <c r="R49" s="6">
        <f ca="1">IF(Main[[#This Row],[بدهی تسویه نشده (کیلوگرم)]]&gt;0,'گزارش فردی'!$B$7-Main[[#This Row],[تاريخ میلادی]]-'گزارش فردی'!$B$8,0)</f>
        <v>0</v>
      </c>
      <c r="S49" s="6">
        <f ca="1">Main[[#This Row],[روز از ارسال سفارش]]*Main[[#This Row],[بدهی تسویه نشده (کیلوگرم)]]</f>
        <v>0</v>
      </c>
      <c r="T49" s="6">
        <f ca="1">Main[[#This Row],[بدهی سررسید شده (کیلوگرم)]]*Main[[#This Row],[روز از ارسال سفارش]]</f>
        <v>0</v>
      </c>
      <c r="U49" s="6">
        <f>-SUBTOTAL(9,INDEX(Main[مقدار (کیلوگرم)],1):Main[[#This Row],[مقدار (کیلوگرم)]])</f>
        <v>0</v>
      </c>
      <c r="V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" s="6">
        <f>Main[[#This Row],[تعداد کل روزهای بدهکار (روز)]]*Main[[#This Row],[مانده در خط کل (کیلوگرم)]]</f>
        <v>0</v>
      </c>
      <c r="X49" s="6">
        <f>-SUBTOTAL(9,INDEX(Main[مقدار تسویه شده (کیلوگرم)],1):Main[[#This Row],[مقدار تسویه شده (کیلوگرم)]])</f>
        <v>0</v>
      </c>
      <c r="Y49" s="6">
        <f>IF(Main[[#This Row],[مانده در خط تسویه شده (کیلوگرم)]]&lt;&gt;0,Main[[#This Row],[تعداد کل روزهای بدهکار (روز)]],0)</f>
        <v>0</v>
      </c>
      <c r="Z49" s="6">
        <f>Main[[#This Row],[تعداد روزهای بدهکار تسویه شده (روز)]]*Main[[#This Row],[مانده در خط تسویه شده (کیلوگرم)]]</f>
        <v>0</v>
      </c>
      <c r="AA49" s="6">
        <f>SUBTOTAL(9,INDEX(Main[بدهی تسویه نشده (کیلوگرم)],1):Main[[#This Row],[بدهی تسویه نشده (کیلوگرم)]])</f>
        <v>0</v>
      </c>
      <c r="AB49" s="6">
        <f>IF(Main[[#This Row],[مانده در خط تسویه نشده (کیلوگرم)]]&lt;&gt;0,Main[[#This Row],[تعداد کل روزهای بدهکار (روز)]],0)</f>
        <v>0</v>
      </c>
      <c r="AC49" s="6">
        <f>Main[[#This Row],[تعداد روزهای بدهکار  تسویه نشده (روز)]]*Main[[#This Row],[مانده در خط تسویه نشده (کیلوگرم)]]</f>
        <v>0</v>
      </c>
      <c r="AD49" s="6">
        <f>SUBTOTAL(9,INDEX(Main[بدهی سررسید شده (کیلوگرم)],1):Main[[#This Row],[بدهی سررسید شده (کیلوگرم)]])</f>
        <v>0</v>
      </c>
      <c r="AE49" s="6">
        <f>IF(Main[[#This Row],[مانده در خط سررسید شده (کیلوگرم)]]&lt;&gt;0,Main[[#This Row],[تعداد کل روزهای بدهکار (روز)]],0)</f>
        <v>0</v>
      </c>
      <c r="AF49" s="6">
        <f>Main[[#This Row],[تعداد روزهای بدهکار سررسید شده (روز)]]*Main[[#This Row],[مانده در خط سررسید شده (کیلوگرم)]]</f>
        <v>0</v>
      </c>
    </row>
    <row r="50" spans="1:32" hidden="1" x14ac:dyDescent="0.35">
      <c r="A50" s="5">
        <f>ROW()-ROW(INDEX(Main[ردیف],1))+1</f>
        <v>48</v>
      </c>
      <c r="B50" s="31">
        <f>SUBTOTAL(2,INDEX(Main[ردیف],1):Main[[#This Row],[ردیف]])</f>
        <v>0</v>
      </c>
      <c r="C50" s="32" t="s">
        <v>452</v>
      </c>
      <c r="D50" s="32" t="str">
        <f>_xlfn.CONCAT("14",Main[[#This Row],[تاريخ]])</f>
        <v>1400/01/01</v>
      </c>
      <c r="E50" s="33">
        <v>44276</v>
      </c>
      <c r="F50" s="32">
        <v>10008</v>
      </c>
      <c r="G50" s="5" t="str">
        <f>INDEX(customer[عنوان],MATCH(Main[[#This Row],[کد ردیابی]],customer[کد],0))</f>
        <v xml:space="preserve">بهزاد چرخیان </v>
      </c>
      <c r="H50">
        <v>-578</v>
      </c>
      <c r="I50" s="6">
        <f ca="1">-Main[[#This Row],[بدهی تسویه شده (کیلوگرم)]]+Main[[#This Row],[بستانکار (کیلوگرم)]]</f>
        <v>-578</v>
      </c>
      <c r="J50" s="6">
        <f>IF(Main[[#This Row],[مقدار (کیلوگرم)]]&gt;0,Main[[#This Row],[مقدار (کیلوگرم)]],0)</f>
        <v>0</v>
      </c>
      <c r="K50" s="6">
        <f>-IF(Main[[#This Row],[مقدار (کیلوگرم)]]&lt;0,Main[[#This Row],[مقدار (کیلوگرم)]],0)</f>
        <v>578</v>
      </c>
      <c r="L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" s="7">
        <f>-IF(AND(Main[[#This Row],[مقدار (کیلوگرم)]]&lt;0,Main[[#This Row],[تاريخ میلادی]]&gt;44276),Main[[#This Row],[مقدار (کیلوگرم)]],0)</f>
        <v>0</v>
      </c>
      <c r="N50" s="6">
        <f ca="1">Main[[#This Row],[بدهکار (کیلوگرم)]]-Main[[#This Row],[بدهی تسویه نشده (کیلوگرم)]]</f>
        <v>578</v>
      </c>
      <c r="O50" s="6">
        <f ca="1">Main[[#This Row],[تفکیک]]</f>
        <v>0</v>
      </c>
      <c r="P50" s="6">
        <f ca="1">IF(Main[[#This Row],[تاخیر از سررسید]]&gt;0,Main[[#This Row],[بدهی تسویه نشده (کیلوگرم)]],0)</f>
        <v>0</v>
      </c>
      <c r="Q50" s="6">
        <f ca="1">IF(Main[[#This Row],[بدهی تسویه نشده (کیلوگرم)]]&gt;0,'گزارش فردی'!$B$7-Main[[#This Row],[تاريخ میلادی]],0)</f>
        <v>0</v>
      </c>
      <c r="R50" s="6">
        <f ca="1">IF(Main[[#This Row],[بدهی تسویه نشده (کیلوگرم)]]&gt;0,'گزارش فردی'!$B$7-Main[[#This Row],[تاريخ میلادی]]-'گزارش فردی'!$B$8,0)</f>
        <v>0</v>
      </c>
      <c r="S50" s="6">
        <f ca="1">Main[[#This Row],[روز از ارسال سفارش]]*Main[[#This Row],[بدهی تسویه نشده (کیلوگرم)]]</f>
        <v>0</v>
      </c>
      <c r="T50" s="6">
        <f ca="1">Main[[#This Row],[بدهی سررسید شده (کیلوگرم)]]*Main[[#This Row],[روز از ارسال سفارش]]</f>
        <v>0</v>
      </c>
      <c r="U50" s="6">
        <f>-SUBTOTAL(9,INDEX(Main[مقدار (کیلوگرم)],1):Main[[#This Row],[مقدار (کیلوگرم)]])</f>
        <v>0</v>
      </c>
      <c r="V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0" s="6">
        <f>Main[[#This Row],[تعداد کل روزهای بدهکار (روز)]]*Main[[#This Row],[مانده در خط کل (کیلوگرم)]]</f>
        <v>0</v>
      </c>
      <c r="X50" s="6">
        <f>-SUBTOTAL(9,INDEX(Main[مقدار تسویه شده (کیلوگرم)],1):Main[[#This Row],[مقدار تسویه شده (کیلوگرم)]])</f>
        <v>0</v>
      </c>
      <c r="Y50" s="6">
        <f>IF(Main[[#This Row],[مانده در خط تسویه شده (کیلوگرم)]]&lt;&gt;0,Main[[#This Row],[تعداد کل روزهای بدهکار (روز)]],0)</f>
        <v>0</v>
      </c>
      <c r="Z50" s="6">
        <f>Main[[#This Row],[تعداد روزهای بدهکار تسویه شده (روز)]]*Main[[#This Row],[مانده در خط تسویه شده (کیلوگرم)]]</f>
        <v>0</v>
      </c>
      <c r="AA50" s="6">
        <f>SUBTOTAL(9,INDEX(Main[بدهی تسویه نشده (کیلوگرم)],1):Main[[#This Row],[بدهی تسویه نشده (کیلوگرم)]])</f>
        <v>0</v>
      </c>
      <c r="AB50" s="6">
        <f>IF(Main[[#This Row],[مانده در خط تسویه نشده (کیلوگرم)]]&lt;&gt;0,Main[[#This Row],[تعداد کل روزهای بدهکار (روز)]],0)</f>
        <v>0</v>
      </c>
      <c r="AC50" s="6">
        <f>Main[[#This Row],[تعداد روزهای بدهکار  تسویه نشده (روز)]]*Main[[#This Row],[مانده در خط تسویه نشده (کیلوگرم)]]</f>
        <v>0</v>
      </c>
      <c r="AD50" s="6">
        <f>SUBTOTAL(9,INDEX(Main[بدهی سررسید شده (کیلوگرم)],1):Main[[#This Row],[بدهی سررسید شده (کیلوگرم)]])</f>
        <v>0</v>
      </c>
      <c r="AE50" s="6">
        <f>IF(Main[[#This Row],[مانده در خط سررسید شده (کیلوگرم)]]&lt;&gt;0,Main[[#This Row],[تعداد کل روزهای بدهکار (روز)]],0)</f>
        <v>0</v>
      </c>
      <c r="AF50" s="6">
        <f>Main[[#This Row],[تعداد روزهای بدهکار سررسید شده (روز)]]*Main[[#This Row],[مانده در خط سررسید شده (کیلوگرم)]]</f>
        <v>0</v>
      </c>
    </row>
    <row r="51" spans="1:32" hidden="1" x14ac:dyDescent="0.35">
      <c r="A51" s="5">
        <f>ROW()-ROW(INDEX(Main[ردیف],1))+1</f>
        <v>49</v>
      </c>
      <c r="B51" s="31">
        <f>SUBTOTAL(2,INDEX(Main[ردیف],1):Main[[#This Row],[ردیف]])</f>
        <v>0</v>
      </c>
      <c r="C51" s="32" t="s">
        <v>452</v>
      </c>
      <c r="D51" s="32" t="str">
        <f>_xlfn.CONCAT("14",Main[[#This Row],[تاريخ]])</f>
        <v>1400/01/01</v>
      </c>
      <c r="E51" s="33">
        <v>44276</v>
      </c>
      <c r="F51" s="32">
        <v>10039</v>
      </c>
      <c r="G51" s="5" t="str">
        <f>INDEX(customer[عنوان],MATCH(Main[[#This Row],[کد ردیابی]],customer[کد],0))</f>
        <v>محمدی علی</v>
      </c>
      <c r="H51">
        <v>4</v>
      </c>
      <c r="I51" s="6">
        <f ca="1">-Main[[#This Row],[بدهی تسویه شده (کیلوگرم)]]+Main[[#This Row],[بستانکار (کیلوگرم)]]</f>
        <v>4</v>
      </c>
      <c r="J51" s="6">
        <f>IF(Main[[#This Row],[مقدار (کیلوگرم)]]&gt;0,Main[[#This Row],[مقدار (کیلوگرم)]],0)</f>
        <v>4</v>
      </c>
      <c r="K51" s="6">
        <f>-IF(Main[[#This Row],[مقدار (کیلوگرم)]]&lt;0,Main[[#This Row],[مقدار (کیلوگرم)]],0)</f>
        <v>0</v>
      </c>
      <c r="L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" s="7">
        <f>-IF(AND(Main[[#This Row],[مقدار (کیلوگرم)]]&lt;0,Main[[#This Row],[تاريخ میلادی]]&gt;44276),Main[[#This Row],[مقدار (کیلوگرم)]],0)</f>
        <v>0</v>
      </c>
      <c r="N51" s="6">
        <f ca="1">Main[[#This Row],[بدهکار (کیلوگرم)]]-Main[[#This Row],[بدهی تسویه نشده (کیلوگرم)]]</f>
        <v>0</v>
      </c>
      <c r="O51" s="6">
        <f ca="1">Main[[#This Row],[تفکیک]]</f>
        <v>0</v>
      </c>
      <c r="P51" s="6">
        <f ca="1">IF(Main[[#This Row],[تاخیر از سررسید]]&gt;0,Main[[#This Row],[بدهی تسویه نشده (کیلوگرم)]],0)</f>
        <v>0</v>
      </c>
      <c r="Q51" s="6">
        <f ca="1">IF(Main[[#This Row],[بدهی تسویه نشده (کیلوگرم)]]&gt;0,'گزارش فردی'!$B$7-Main[[#This Row],[تاريخ میلادی]],0)</f>
        <v>0</v>
      </c>
      <c r="R51" s="6">
        <f ca="1">IF(Main[[#This Row],[بدهی تسویه نشده (کیلوگرم)]]&gt;0,'گزارش فردی'!$B$7-Main[[#This Row],[تاريخ میلادی]]-'گزارش فردی'!$B$8,0)</f>
        <v>0</v>
      </c>
      <c r="S51" s="6">
        <f ca="1">Main[[#This Row],[روز از ارسال سفارش]]*Main[[#This Row],[بدهی تسویه نشده (کیلوگرم)]]</f>
        <v>0</v>
      </c>
      <c r="T51" s="6">
        <f ca="1">Main[[#This Row],[بدهی سررسید شده (کیلوگرم)]]*Main[[#This Row],[روز از ارسال سفارش]]</f>
        <v>0</v>
      </c>
      <c r="U51" s="6">
        <f>-SUBTOTAL(9,INDEX(Main[مقدار (کیلوگرم)],1):Main[[#This Row],[مقدار (کیلوگرم)]])</f>
        <v>0</v>
      </c>
      <c r="V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" s="6">
        <f>Main[[#This Row],[تعداد کل روزهای بدهکار (روز)]]*Main[[#This Row],[مانده در خط کل (کیلوگرم)]]</f>
        <v>0</v>
      </c>
      <c r="X51" s="6">
        <f>-SUBTOTAL(9,INDEX(Main[مقدار تسویه شده (کیلوگرم)],1):Main[[#This Row],[مقدار تسویه شده (کیلوگرم)]])</f>
        <v>0</v>
      </c>
      <c r="Y51" s="6">
        <f>IF(Main[[#This Row],[مانده در خط تسویه شده (کیلوگرم)]]&lt;&gt;0,Main[[#This Row],[تعداد کل روزهای بدهکار (روز)]],0)</f>
        <v>0</v>
      </c>
      <c r="Z51" s="6">
        <f>Main[[#This Row],[تعداد روزهای بدهکار تسویه شده (روز)]]*Main[[#This Row],[مانده در خط تسویه شده (کیلوگرم)]]</f>
        <v>0</v>
      </c>
      <c r="AA51" s="6">
        <f>SUBTOTAL(9,INDEX(Main[بدهی تسویه نشده (کیلوگرم)],1):Main[[#This Row],[بدهی تسویه نشده (کیلوگرم)]])</f>
        <v>0</v>
      </c>
      <c r="AB51" s="6">
        <f>IF(Main[[#This Row],[مانده در خط تسویه نشده (کیلوگرم)]]&lt;&gt;0,Main[[#This Row],[تعداد کل روزهای بدهکار (روز)]],0)</f>
        <v>0</v>
      </c>
      <c r="AC51" s="6">
        <f>Main[[#This Row],[تعداد روزهای بدهکار  تسویه نشده (روز)]]*Main[[#This Row],[مانده در خط تسویه نشده (کیلوگرم)]]</f>
        <v>0</v>
      </c>
      <c r="AD51" s="6">
        <f>SUBTOTAL(9,INDEX(Main[بدهی سررسید شده (کیلوگرم)],1):Main[[#This Row],[بدهی سررسید شده (کیلوگرم)]])</f>
        <v>0</v>
      </c>
      <c r="AE51" s="6">
        <f>IF(Main[[#This Row],[مانده در خط سررسید شده (کیلوگرم)]]&lt;&gt;0,Main[[#This Row],[تعداد کل روزهای بدهکار (روز)]],0)</f>
        <v>0</v>
      </c>
      <c r="AF51" s="6">
        <f>Main[[#This Row],[تعداد روزهای بدهکار سررسید شده (روز)]]*Main[[#This Row],[مانده در خط سررسید شده (کیلوگرم)]]</f>
        <v>0</v>
      </c>
    </row>
    <row r="52" spans="1:32" hidden="1" x14ac:dyDescent="0.35">
      <c r="A52" s="5">
        <f>ROW()-ROW(INDEX(Main[ردیف],1))+1</f>
        <v>50</v>
      </c>
      <c r="B52" s="31">
        <f>SUBTOTAL(2,INDEX(Main[ردیف],1):Main[[#This Row],[ردیف]])</f>
        <v>0</v>
      </c>
      <c r="C52" s="32" t="s">
        <v>452</v>
      </c>
      <c r="D52" s="32" t="str">
        <f>_xlfn.CONCAT("14",Main[[#This Row],[تاريخ]])</f>
        <v>1400/01/01</v>
      </c>
      <c r="E52" s="33">
        <v>44276</v>
      </c>
      <c r="F52" s="32">
        <v>30140</v>
      </c>
      <c r="G52" s="5" t="str">
        <f>INDEX(customer[عنوان],MATCH(Main[[#This Row],[کد ردیابی]],customer[کد],0))</f>
        <v>شرکت سیتکو</v>
      </c>
      <c r="H52">
        <v>-575</v>
      </c>
      <c r="I52" s="6">
        <f ca="1">-Main[[#This Row],[بدهی تسویه شده (کیلوگرم)]]+Main[[#This Row],[بستانکار (کیلوگرم)]]</f>
        <v>-575</v>
      </c>
      <c r="J52" s="6">
        <f>IF(Main[[#This Row],[مقدار (کیلوگرم)]]&gt;0,Main[[#This Row],[مقدار (کیلوگرم)]],0)</f>
        <v>0</v>
      </c>
      <c r="K52" s="6">
        <f>-IF(Main[[#This Row],[مقدار (کیلوگرم)]]&lt;0,Main[[#This Row],[مقدار (کیلوگرم)]],0)</f>
        <v>575</v>
      </c>
      <c r="L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" s="7">
        <f>-IF(AND(Main[[#This Row],[مقدار (کیلوگرم)]]&lt;0,Main[[#This Row],[تاريخ میلادی]]&gt;44276),Main[[#This Row],[مقدار (کیلوگرم)]],0)</f>
        <v>0</v>
      </c>
      <c r="N52" s="6">
        <f ca="1">Main[[#This Row],[بدهکار (کیلوگرم)]]-Main[[#This Row],[بدهی تسویه نشده (کیلوگرم)]]</f>
        <v>575</v>
      </c>
      <c r="O52" s="6">
        <f ca="1">Main[[#This Row],[تفکیک]]</f>
        <v>0</v>
      </c>
      <c r="P52" s="6">
        <f ca="1">IF(Main[[#This Row],[تاخیر از سررسید]]&gt;0,Main[[#This Row],[بدهی تسویه نشده (کیلوگرم)]],0)</f>
        <v>0</v>
      </c>
      <c r="Q52" s="6">
        <f ca="1">IF(Main[[#This Row],[بدهی تسویه نشده (کیلوگرم)]]&gt;0,'گزارش فردی'!$B$7-Main[[#This Row],[تاريخ میلادی]],0)</f>
        <v>0</v>
      </c>
      <c r="R52" s="6">
        <f ca="1">IF(Main[[#This Row],[بدهی تسویه نشده (کیلوگرم)]]&gt;0,'گزارش فردی'!$B$7-Main[[#This Row],[تاريخ میلادی]]-'گزارش فردی'!$B$8,0)</f>
        <v>0</v>
      </c>
      <c r="S52" s="6">
        <f ca="1">Main[[#This Row],[روز از ارسال سفارش]]*Main[[#This Row],[بدهی تسویه نشده (کیلوگرم)]]</f>
        <v>0</v>
      </c>
      <c r="T52" s="6">
        <f ca="1">Main[[#This Row],[بدهی سررسید شده (کیلوگرم)]]*Main[[#This Row],[روز از ارسال سفارش]]</f>
        <v>0</v>
      </c>
      <c r="U52" s="6">
        <f>-SUBTOTAL(9,INDEX(Main[مقدار (کیلوگرم)],1):Main[[#This Row],[مقدار (کیلوگرم)]])</f>
        <v>0</v>
      </c>
      <c r="V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" s="6">
        <f>Main[[#This Row],[تعداد کل روزهای بدهکار (روز)]]*Main[[#This Row],[مانده در خط کل (کیلوگرم)]]</f>
        <v>0</v>
      </c>
      <c r="X52" s="6">
        <f>-SUBTOTAL(9,INDEX(Main[مقدار تسویه شده (کیلوگرم)],1):Main[[#This Row],[مقدار تسویه شده (کیلوگرم)]])</f>
        <v>0</v>
      </c>
      <c r="Y52" s="6">
        <f>IF(Main[[#This Row],[مانده در خط تسویه شده (کیلوگرم)]]&lt;&gt;0,Main[[#This Row],[تعداد کل روزهای بدهکار (روز)]],0)</f>
        <v>0</v>
      </c>
      <c r="Z52" s="6">
        <f>Main[[#This Row],[تعداد روزهای بدهکار تسویه شده (روز)]]*Main[[#This Row],[مانده در خط تسویه شده (کیلوگرم)]]</f>
        <v>0</v>
      </c>
      <c r="AA52" s="6">
        <f>SUBTOTAL(9,INDEX(Main[بدهی تسویه نشده (کیلوگرم)],1):Main[[#This Row],[بدهی تسویه نشده (کیلوگرم)]])</f>
        <v>0</v>
      </c>
      <c r="AB52" s="6">
        <f>IF(Main[[#This Row],[مانده در خط تسویه نشده (کیلوگرم)]]&lt;&gt;0,Main[[#This Row],[تعداد کل روزهای بدهکار (روز)]],0)</f>
        <v>0</v>
      </c>
      <c r="AC52" s="6">
        <f>Main[[#This Row],[تعداد روزهای بدهکار  تسویه نشده (روز)]]*Main[[#This Row],[مانده در خط تسویه نشده (کیلوگرم)]]</f>
        <v>0</v>
      </c>
      <c r="AD52" s="6">
        <f>SUBTOTAL(9,INDEX(Main[بدهی سررسید شده (کیلوگرم)],1):Main[[#This Row],[بدهی سررسید شده (کیلوگرم)]])</f>
        <v>0</v>
      </c>
      <c r="AE52" s="6">
        <f>IF(Main[[#This Row],[مانده در خط سررسید شده (کیلوگرم)]]&lt;&gt;0,Main[[#This Row],[تعداد کل روزهای بدهکار (روز)]],0)</f>
        <v>0</v>
      </c>
      <c r="AF52" s="6">
        <f>Main[[#This Row],[تعداد روزهای بدهکار سررسید شده (روز)]]*Main[[#This Row],[مانده در خط سررسید شده (کیلوگرم)]]</f>
        <v>0</v>
      </c>
    </row>
    <row r="53" spans="1:32" hidden="1" x14ac:dyDescent="0.35">
      <c r="A53" s="5">
        <f>ROW()-ROW(INDEX(Main[ردیف],1))+1</f>
        <v>51</v>
      </c>
      <c r="B53" s="31">
        <f>SUBTOTAL(2,INDEX(Main[ردیف],1):Main[[#This Row],[ردیف]])</f>
        <v>0</v>
      </c>
      <c r="C53" s="32" t="s">
        <v>452</v>
      </c>
      <c r="D53" s="32" t="str">
        <f>_xlfn.CONCAT("14",Main[[#This Row],[تاريخ]])</f>
        <v>1400/01/01</v>
      </c>
      <c r="E53" s="33">
        <v>44276</v>
      </c>
      <c r="F53" s="32">
        <v>10066</v>
      </c>
      <c r="G53" s="5" t="str">
        <f>INDEX(customer[عنوان],MATCH(Main[[#This Row],[کد ردیابی]],customer[کد],0))</f>
        <v xml:space="preserve">حمید قشقائی </v>
      </c>
      <c r="H53">
        <v>2</v>
      </c>
      <c r="I53" s="6">
        <f ca="1">-Main[[#This Row],[بدهی تسویه شده (کیلوگرم)]]+Main[[#This Row],[بستانکار (کیلوگرم)]]</f>
        <v>2</v>
      </c>
      <c r="J53" s="6">
        <f>IF(Main[[#This Row],[مقدار (کیلوگرم)]]&gt;0,Main[[#This Row],[مقدار (کیلوگرم)]],0)</f>
        <v>2</v>
      </c>
      <c r="K53" s="6">
        <f>-IF(Main[[#This Row],[مقدار (کیلوگرم)]]&lt;0,Main[[#This Row],[مقدار (کیلوگرم)]],0)</f>
        <v>0</v>
      </c>
      <c r="L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" s="7">
        <f>-IF(AND(Main[[#This Row],[مقدار (کیلوگرم)]]&lt;0,Main[[#This Row],[تاريخ میلادی]]&gt;44276),Main[[#This Row],[مقدار (کیلوگرم)]],0)</f>
        <v>0</v>
      </c>
      <c r="N53" s="6">
        <f ca="1">Main[[#This Row],[بدهکار (کیلوگرم)]]-Main[[#This Row],[بدهی تسویه نشده (کیلوگرم)]]</f>
        <v>0</v>
      </c>
      <c r="O53" s="6">
        <f ca="1">Main[[#This Row],[تفکیک]]</f>
        <v>0</v>
      </c>
      <c r="P53" s="6">
        <f ca="1">IF(Main[[#This Row],[تاخیر از سررسید]]&gt;0,Main[[#This Row],[بدهی تسویه نشده (کیلوگرم)]],0)</f>
        <v>0</v>
      </c>
      <c r="Q53" s="6">
        <f ca="1">IF(Main[[#This Row],[بدهی تسویه نشده (کیلوگرم)]]&gt;0,'گزارش فردی'!$B$7-Main[[#This Row],[تاريخ میلادی]],0)</f>
        <v>0</v>
      </c>
      <c r="R53" s="6">
        <f ca="1">IF(Main[[#This Row],[بدهی تسویه نشده (کیلوگرم)]]&gt;0,'گزارش فردی'!$B$7-Main[[#This Row],[تاريخ میلادی]]-'گزارش فردی'!$B$8,0)</f>
        <v>0</v>
      </c>
      <c r="S53" s="6">
        <f ca="1">Main[[#This Row],[روز از ارسال سفارش]]*Main[[#This Row],[بدهی تسویه نشده (کیلوگرم)]]</f>
        <v>0</v>
      </c>
      <c r="T53" s="6">
        <f ca="1">Main[[#This Row],[بدهی سررسید شده (کیلوگرم)]]*Main[[#This Row],[روز از ارسال سفارش]]</f>
        <v>0</v>
      </c>
      <c r="U53" s="6">
        <f>-SUBTOTAL(9,INDEX(Main[مقدار (کیلوگرم)],1):Main[[#This Row],[مقدار (کیلوگرم)]])</f>
        <v>0</v>
      </c>
      <c r="V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" s="6">
        <f>Main[[#This Row],[تعداد کل روزهای بدهکار (روز)]]*Main[[#This Row],[مانده در خط کل (کیلوگرم)]]</f>
        <v>0</v>
      </c>
      <c r="X53" s="6">
        <f>-SUBTOTAL(9,INDEX(Main[مقدار تسویه شده (کیلوگرم)],1):Main[[#This Row],[مقدار تسویه شده (کیلوگرم)]])</f>
        <v>0</v>
      </c>
      <c r="Y53" s="6">
        <f>IF(Main[[#This Row],[مانده در خط تسویه شده (کیلوگرم)]]&lt;&gt;0,Main[[#This Row],[تعداد کل روزهای بدهکار (روز)]],0)</f>
        <v>0</v>
      </c>
      <c r="Z53" s="6">
        <f>Main[[#This Row],[تعداد روزهای بدهکار تسویه شده (روز)]]*Main[[#This Row],[مانده در خط تسویه شده (کیلوگرم)]]</f>
        <v>0</v>
      </c>
      <c r="AA53" s="6">
        <f>SUBTOTAL(9,INDEX(Main[بدهی تسویه نشده (کیلوگرم)],1):Main[[#This Row],[بدهی تسویه نشده (کیلوگرم)]])</f>
        <v>0</v>
      </c>
      <c r="AB53" s="6">
        <f>IF(Main[[#This Row],[مانده در خط تسویه نشده (کیلوگرم)]]&lt;&gt;0,Main[[#This Row],[تعداد کل روزهای بدهکار (روز)]],0)</f>
        <v>0</v>
      </c>
      <c r="AC53" s="6">
        <f>Main[[#This Row],[تعداد روزهای بدهکار  تسویه نشده (روز)]]*Main[[#This Row],[مانده در خط تسویه نشده (کیلوگرم)]]</f>
        <v>0</v>
      </c>
      <c r="AD53" s="6">
        <f>SUBTOTAL(9,INDEX(Main[بدهی سررسید شده (کیلوگرم)],1):Main[[#This Row],[بدهی سررسید شده (کیلوگرم)]])</f>
        <v>0</v>
      </c>
      <c r="AE53" s="6">
        <f>IF(Main[[#This Row],[مانده در خط سررسید شده (کیلوگرم)]]&lt;&gt;0,Main[[#This Row],[تعداد کل روزهای بدهکار (روز)]],0)</f>
        <v>0</v>
      </c>
      <c r="AF53" s="6">
        <f>Main[[#This Row],[تعداد روزهای بدهکار سررسید شده (روز)]]*Main[[#This Row],[مانده در خط سررسید شده (کیلوگرم)]]</f>
        <v>0</v>
      </c>
    </row>
    <row r="54" spans="1:32" hidden="1" x14ac:dyDescent="0.35">
      <c r="A54" s="5">
        <f>ROW()-ROW(INDEX(Main[ردیف],1))+1</f>
        <v>52</v>
      </c>
      <c r="B54" s="31">
        <f>SUBTOTAL(2,INDEX(Main[ردیف],1):Main[[#This Row],[ردیف]])</f>
        <v>0</v>
      </c>
      <c r="C54" s="32" t="s">
        <v>452</v>
      </c>
      <c r="D54" s="32" t="str">
        <f>_xlfn.CONCAT("14",Main[[#This Row],[تاريخ]])</f>
        <v>1400/01/01</v>
      </c>
      <c r="E54" s="33">
        <v>44276</v>
      </c>
      <c r="F54" s="32">
        <v>30047</v>
      </c>
      <c r="G54" s="5" t="str">
        <f>INDEX(customer[عنوان],MATCH(Main[[#This Row],[کد ردیابی]],customer[کد],0))</f>
        <v xml:space="preserve">نیران شیر </v>
      </c>
      <c r="H54">
        <v>-630</v>
      </c>
      <c r="I54" s="6">
        <f ca="1">-Main[[#This Row],[بدهی تسویه شده (کیلوگرم)]]+Main[[#This Row],[بستانکار (کیلوگرم)]]</f>
        <v>-630</v>
      </c>
      <c r="J54" s="6">
        <f>IF(Main[[#This Row],[مقدار (کیلوگرم)]]&gt;0,Main[[#This Row],[مقدار (کیلوگرم)]],0)</f>
        <v>0</v>
      </c>
      <c r="K54" s="6">
        <f>-IF(Main[[#This Row],[مقدار (کیلوگرم)]]&lt;0,Main[[#This Row],[مقدار (کیلوگرم)]],0)</f>
        <v>630</v>
      </c>
      <c r="L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" s="7">
        <f>-IF(AND(Main[[#This Row],[مقدار (کیلوگرم)]]&lt;0,Main[[#This Row],[تاريخ میلادی]]&gt;44276),Main[[#This Row],[مقدار (کیلوگرم)]],0)</f>
        <v>0</v>
      </c>
      <c r="N54" s="6">
        <f ca="1">Main[[#This Row],[بدهکار (کیلوگرم)]]-Main[[#This Row],[بدهی تسویه نشده (کیلوگرم)]]</f>
        <v>630</v>
      </c>
      <c r="O54" s="6">
        <f ca="1">Main[[#This Row],[تفکیک]]</f>
        <v>0</v>
      </c>
      <c r="P54" s="6">
        <f ca="1">IF(Main[[#This Row],[تاخیر از سررسید]]&gt;0,Main[[#This Row],[بدهی تسویه نشده (کیلوگرم)]],0)</f>
        <v>0</v>
      </c>
      <c r="Q54" s="6">
        <f ca="1">IF(Main[[#This Row],[بدهی تسویه نشده (کیلوگرم)]]&gt;0,'گزارش فردی'!$B$7-Main[[#This Row],[تاريخ میلادی]],0)</f>
        <v>0</v>
      </c>
      <c r="R54" s="6">
        <f ca="1">IF(Main[[#This Row],[بدهی تسویه نشده (کیلوگرم)]]&gt;0,'گزارش فردی'!$B$7-Main[[#This Row],[تاريخ میلادی]]-'گزارش فردی'!$B$8,0)</f>
        <v>0</v>
      </c>
      <c r="S54" s="6">
        <f ca="1">Main[[#This Row],[روز از ارسال سفارش]]*Main[[#This Row],[بدهی تسویه نشده (کیلوگرم)]]</f>
        <v>0</v>
      </c>
      <c r="T54" s="6">
        <f ca="1">Main[[#This Row],[بدهی سررسید شده (کیلوگرم)]]*Main[[#This Row],[روز از ارسال سفارش]]</f>
        <v>0</v>
      </c>
      <c r="U54" s="6">
        <f>-SUBTOTAL(9,INDEX(Main[مقدار (کیلوگرم)],1):Main[[#This Row],[مقدار (کیلوگرم)]])</f>
        <v>0</v>
      </c>
      <c r="V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" s="6">
        <f>Main[[#This Row],[تعداد کل روزهای بدهکار (روز)]]*Main[[#This Row],[مانده در خط کل (کیلوگرم)]]</f>
        <v>0</v>
      </c>
      <c r="X54" s="6">
        <f>-SUBTOTAL(9,INDEX(Main[مقدار تسویه شده (کیلوگرم)],1):Main[[#This Row],[مقدار تسویه شده (کیلوگرم)]])</f>
        <v>0</v>
      </c>
      <c r="Y54" s="6">
        <f>IF(Main[[#This Row],[مانده در خط تسویه شده (کیلوگرم)]]&lt;&gt;0,Main[[#This Row],[تعداد کل روزهای بدهکار (روز)]],0)</f>
        <v>0</v>
      </c>
      <c r="Z54" s="6">
        <f>Main[[#This Row],[تعداد روزهای بدهکار تسویه شده (روز)]]*Main[[#This Row],[مانده در خط تسویه شده (کیلوگرم)]]</f>
        <v>0</v>
      </c>
      <c r="AA54" s="6">
        <f>SUBTOTAL(9,INDEX(Main[بدهی تسویه نشده (کیلوگرم)],1):Main[[#This Row],[بدهی تسویه نشده (کیلوگرم)]])</f>
        <v>0</v>
      </c>
      <c r="AB54" s="6">
        <f>IF(Main[[#This Row],[مانده در خط تسویه نشده (کیلوگرم)]]&lt;&gt;0,Main[[#This Row],[تعداد کل روزهای بدهکار (روز)]],0)</f>
        <v>0</v>
      </c>
      <c r="AC54" s="6">
        <f>Main[[#This Row],[تعداد روزهای بدهکار  تسویه نشده (روز)]]*Main[[#This Row],[مانده در خط تسویه نشده (کیلوگرم)]]</f>
        <v>0</v>
      </c>
      <c r="AD54" s="6">
        <f>SUBTOTAL(9,INDEX(Main[بدهی سررسید شده (کیلوگرم)],1):Main[[#This Row],[بدهی سررسید شده (کیلوگرم)]])</f>
        <v>0</v>
      </c>
      <c r="AE54" s="6">
        <f>IF(Main[[#This Row],[مانده در خط سررسید شده (کیلوگرم)]]&lt;&gt;0,Main[[#This Row],[تعداد کل روزهای بدهکار (روز)]],0)</f>
        <v>0</v>
      </c>
      <c r="AF54" s="6">
        <f>Main[[#This Row],[تعداد روزهای بدهکار سررسید شده (روز)]]*Main[[#This Row],[مانده در خط سررسید شده (کیلوگرم)]]</f>
        <v>0</v>
      </c>
    </row>
    <row r="55" spans="1:32" hidden="1" x14ac:dyDescent="0.35">
      <c r="A55" s="5">
        <f>ROW()-ROW(INDEX(Main[ردیف],1))+1</f>
        <v>53</v>
      </c>
      <c r="B55" s="31">
        <f>SUBTOTAL(2,INDEX(Main[ردیف],1):Main[[#This Row],[ردیف]])</f>
        <v>0</v>
      </c>
      <c r="C55" s="32" t="s">
        <v>452</v>
      </c>
      <c r="D55" s="32" t="str">
        <f>_xlfn.CONCAT("14",Main[[#This Row],[تاريخ]])</f>
        <v>1400/01/01</v>
      </c>
      <c r="E55" s="33">
        <v>44276</v>
      </c>
      <c r="F55" s="32">
        <v>30062</v>
      </c>
      <c r="G55" s="5" t="str">
        <f>INDEX(customer[عنوان],MATCH(Main[[#This Row],[کد ردیابی]],customer[کد],0))</f>
        <v xml:space="preserve">شیر آلات نوین </v>
      </c>
      <c r="H55">
        <v>1</v>
      </c>
      <c r="I55" s="6">
        <f ca="1">-Main[[#This Row],[بدهی تسویه شده (کیلوگرم)]]+Main[[#This Row],[بستانکار (کیلوگرم)]]</f>
        <v>1</v>
      </c>
      <c r="J55" s="6">
        <f>IF(Main[[#This Row],[مقدار (کیلوگرم)]]&gt;0,Main[[#This Row],[مقدار (کیلوگرم)]],0)</f>
        <v>1</v>
      </c>
      <c r="K55" s="6">
        <f>-IF(Main[[#This Row],[مقدار (کیلوگرم)]]&lt;0,Main[[#This Row],[مقدار (کیلوگرم)]],0)</f>
        <v>0</v>
      </c>
      <c r="L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" s="7">
        <f>-IF(AND(Main[[#This Row],[مقدار (کیلوگرم)]]&lt;0,Main[[#This Row],[تاريخ میلادی]]&gt;44276),Main[[#This Row],[مقدار (کیلوگرم)]],0)</f>
        <v>0</v>
      </c>
      <c r="N55" s="6">
        <f ca="1">Main[[#This Row],[بدهکار (کیلوگرم)]]-Main[[#This Row],[بدهی تسویه نشده (کیلوگرم)]]</f>
        <v>0</v>
      </c>
      <c r="O55" s="6">
        <f ca="1">Main[[#This Row],[تفکیک]]</f>
        <v>0</v>
      </c>
      <c r="P55" s="6">
        <f ca="1">IF(Main[[#This Row],[تاخیر از سررسید]]&gt;0,Main[[#This Row],[بدهی تسویه نشده (کیلوگرم)]],0)</f>
        <v>0</v>
      </c>
      <c r="Q55" s="6">
        <f ca="1">IF(Main[[#This Row],[بدهی تسویه نشده (کیلوگرم)]]&gt;0,'گزارش فردی'!$B$7-Main[[#This Row],[تاريخ میلادی]],0)</f>
        <v>0</v>
      </c>
      <c r="R55" s="6">
        <f ca="1">IF(Main[[#This Row],[بدهی تسویه نشده (کیلوگرم)]]&gt;0,'گزارش فردی'!$B$7-Main[[#This Row],[تاريخ میلادی]]-'گزارش فردی'!$B$8,0)</f>
        <v>0</v>
      </c>
      <c r="S55" s="6">
        <f ca="1">Main[[#This Row],[روز از ارسال سفارش]]*Main[[#This Row],[بدهی تسویه نشده (کیلوگرم)]]</f>
        <v>0</v>
      </c>
      <c r="T55" s="6">
        <f ca="1">Main[[#This Row],[بدهی سررسید شده (کیلوگرم)]]*Main[[#This Row],[روز از ارسال سفارش]]</f>
        <v>0</v>
      </c>
      <c r="U55" s="6">
        <f>-SUBTOTAL(9,INDEX(Main[مقدار (کیلوگرم)],1):Main[[#This Row],[مقدار (کیلوگرم)]])</f>
        <v>0</v>
      </c>
      <c r="V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" s="6">
        <f>Main[[#This Row],[تعداد کل روزهای بدهکار (روز)]]*Main[[#This Row],[مانده در خط کل (کیلوگرم)]]</f>
        <v>0</v>
      </c>
      <c r="X55" s="6">
        <f>-SUBTOTAL(9,INDEX(Main[مقدار تسویه شده (کیلوگرم)],1):Main[[#This Row],[مقدار تسویه شده (کیلوگرم)]])</f>
        <v>0</v>
      </c>
      <c r="Y55" s="6">
        <f>IF(Main[[#This Row],[مانده در خط تسویه شده (کیلوگرم)]]&lt;&gt;0,Main[[#This Row],[تعداد کل روزهای بدهکار (روز)]],0)</f>
        <v>0</v>
      </c>
      <c r="Z55" s="6">
        <f>Main[[#This Row],[تعداد روزهای بدهکار تسویه شده (روز)]]*Main[[#This Row],[مانده در خط تسویه شده (کیلوگرم)]]</f>
        <v>0</v>
      </c>
      <c r="AA55" s="6">
        <f>SUBTOTAL(9,INDEX(Main[بدهی تسویه نشده (کیلوگرم)],1):Main[[#This Row],[بدهی تسویه نشده (کیلوگرم)]])</f>
        <v>0</v>
      </c>
      <c r="AB55" s="6">
        <f>IF(Main[[#This Row],[مانده در خط تسویه نشده (کیلوگرم)]]&lt;&gt;0,Main[[#This Row],[تعداد کل روزهای بدهکار (روز)]],0)</f>
        <v>0</v>
      </c>
      <c r="AC55" s="6">
        <f>Main[[#This Row],[تعداد روزهای بدهکار  تسویه نشده (روز)]]*Main[[#This Row],[مانده در خط تسویه نشده (کیلوگرم)]]</f>
        <v>0</v>
      </c>
      <c r="AD55" s="6">
        <f>SUBTOTAL(9,INDEX(Main[بدهی سررسید شده (کیلوگرم)],1):Main[[#This Row],[بدهی سررسید شده (کیلوگرم)]])</f>
        <v>0</v>
      </c>
      <c r="AE55" s="6">
        <f>IF(Main[[#This Row],[مانده در خط سررسید شده (کیلوگرم)]]&lt;&gt;0,Main[[#This Row],[تعداد کل روزهای بدهکار (روز)]],0)</f>
        <v>0</v>
      </c>
      <c r="AF55" s="6">
        <f>Main[[#This Row],[تعداد روزهای بدهکار سررسید شده (روز)]]*Main[[#This Row],[مانده در خط سررسید شده (کیلوگرم)]]</f>
        <v>0</v>
      </c>
    </row>
    <row r="56" spans="1:32" hidden="1" x14ac:dyDescent="0.35">
      <c r="A56" s="5">
        <f>ROW()-ROW(INDEX(Main[ردیف],1))+1</f>
        <v>54</v>
      </c>
      <c r="B56" s="31">
        <f>SUBTOTAL(2,INDEX(Main[ردیف],1):Main[[#This Row],[ردیف]])</f>
        <v>0</v>
      </c>
      <c r="C56" s="32" t="s">
        <v>452</v>
      </c>
      <c r="D56" s="32" t="str">
        <f>_xlfn.CONCAT("14",Main[[#This Row],[تاريخ]])</f>
        <v>1400/01/01</v>
      </c>
      <c r="E56" s="33">
        <v>44276</v>
      </c>
      <c r="F56" s="32">
        <v>30015</v>
      </c>
      <c r="G56" s="5" t="str">
        <f>INDEX(customer[عنوان],MATCH(Main[[#This Row],[کد ردیابی]],customer[کد],0))</f>
        <v xml:space="preserve">شیرآلات بهداشتی شایان </v>
      </c>
      <c r="H56">
        <v>-730</v>
      </c>
      <c r="I56" s="6">
        <f ca="1">-Main[[#This Row],[بدهی تسویه شده (کیلوگرم)]]+Main[[#This Row],[بستانکار (کیلوگرم)]]</f>
        <v>-730</v>
      </c>
      <c r="J56" s="6">
        <f>IF(Main[[#This Row],[مقدار (کیلوگرم)]]&gt;0,Main[[#This Row],[مقدار (کیلوگرم)]],0)</f>
        <v>0</v>
      </c>
      <c r="K56" s="6">
        <f>-IF(Main[[#This Row],[مقدار (کیلوگرم)]]&lt;0,Main[[#This Row],[مقدار (کیلوگرم)]],0)</f>
        <v>730</v>
      </c>
      <c r="L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" s="7">
        <f>-IF(AND(Main[[#This Row],[مقدار (کیلوگرم)]]&lt;0,Main[[#This Row],[تاريخ میلادی]]&gt;44276),Main[[#This Row],[مقدار (کیلوگرم)]],0)</f>
        <v>0</v>
      </c>
      <c r="N56" s="6">
        <f ca="1">Main[[#This Row],[بدهکار (کیلوگرم)]]-Main[[#This Row],[بدهی تسویه نشده (کیلوگرم)]]</f>
        <v>730</v>
      </c>
      <c r="O56" s="6">
        <f ca="1">Main[[#This Row],[تفکیک]]</f>
        <v>0</v>
      </c>
      <c r="P56" s="6">
        <f ca="1">IF(Main[[#This Row],[تاخیر از سررسید]]&gt;0,Main[[#This Row],[بدهی تسویه نشده (کیلوگرم)]],0)</f>
        <v>0</v>
      </c>
      <c r="Q56" s="6">
        <f ca="1">IF(Main[[#This Row],[بدهی تسویه نشده (کیلوگرم)]]&gt;0,'گزارش فردی'!$B$7-Main[[#This Row],[تاريخ میلادی]],0)</f>
        <v>0</v>
      </c>
      <c r="R56" s="6">
        <f ca="1">IF(Main[[#This Row],[بدهی تسویه نشده (کیلوگرم)]]&gt;0,'گزارش فردی'!$B$7-Main[[#This Row],[تاريخ میلادی]]-'گزارش فردی'!$B$8,0)</f>
        <v>0</v>
      </c>
      <c r="S56" s="6">
        <f ca="1">Main[[#This Row],[روز از ارسال سفارش]]*Main[[#This Row],[بدهی تسویه نشده (کیلوگرم)]]</f>
        <v>0</v>
      </c>
      <c r="T56" s="6">
        <f ca="1">Main[[#This Row],[بدهی سررسید شده (کیلوگرم)]]*Main[[#This Row],[روز از ارسال سفارش]]</f>
        <v>0</v>
      </c>
      <c r="U56" s="6">
        <f>-SUBTOTAL(9,INDEX(Main[مقدار (کیلوگرم)],1):Main[[#This Row],[مقدار (کیلوگرم)]])</f>
        <v>0</v>
      </c>
      <c r="V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" s="6">
        <f>Main[[#This Row],[تعداد کل روزهای بدهکار (روز)]]*Main[[#This Row],[مانده در خط کل (کیلوگرم)]]</f>
        <v>0</v>
      </c>
      <c r="X56" s="6">
        <f>-SUBTOTAL(9,INDEX(Main[مقدار تسویه شده (کیلوگرم)],1):Main[[#This Row],[مقدار تسویه شده (کیلوگرم)]])</f>
        <v>0</v>
      </c>
      <c r="Y56" s="6">
        <f>IF(Main[[#This Row],[مانده در خط تسویه شده (کیلوگرم)]]&lt;&gt;0,Main[[#This Row],[تعداد کل روزهای بدهکار (روز)]],0)</f>
        <v>0</v>
      </c>
      <c r="Z56" s="6">
        <f>Main[[#This Row],[تعداد روزهای بدهکار تسویه شده (روز)]]*Main[[#This Row],[مانده در خط تسویه شده (کیلوگرم)]]</f>
        <v>0</v>
      </c>
      <c r="AA56" s="6">
        <f>SUBTOTAL(9,INDEX(Main[بدهی تسویه نشده (کیلوگرم)],1):Main[[#This Row],[بدهی تسویه نشده (کیلوگرم)]])</f>
        <v>0</v>
      </c>
      <c r="AB56" s="6">
        <f>IF(Main[[#This Row],[مانده در خط تسویه نشده (کیلوگرم)]]&lt;&gt;0,Main[[#This Row],[تعداد کل روزهای بدهکار (روز)]],0)</f>
        <v>0</v>
      </c>
      <c r="AC56" s="6">
        <f>Main[[#This Row],[تعداد روزهای بدهکار  تسویه نشده (روز)]]*Main[[#This Row],[مانده در خط تسویه نشده (کیلوگرم)]]</f>
        <v>0</v>
      </c>
      <c r="AD56" s="6">
        <f>SUBTOTAL(9,INDEX(Main[بدهی سررسید شده (کیلوگرم)],1):Main[[#This Row],[بدهی سررسید شده (کیلوگرم)]])</f>
        <v>0</v>
      </c>
      <c r="AE56" s="6">
        <f>IF(Main[[#This Row],[مانده در خط سررسید شده (کیلوگرم)]]&lt;&gt;0,Main[[#This Row],[تعداد کل روزهای بدهکار (روز)]],0)</f>
        <v>0</v>
      </c>
      <c r="AF56" s="6">
        <f>Main[[#This Row],[تعداد روزهای بدهکار سررسید شده (روز)]]*Main[[#This Row],[مانده در خط سررسید شده (کیلوگرم)]]</f>
        <v>0</v>
      </c>
    </row>
    <row r="57" spans="1:32" hidden="1" x14ac:dyDescent="0.35">
      <c r="A57" s="5">
        <f>ROW()-ROW(INDEX(Main[ردیف],1))+1</f>
        <v>55</v>
      </c>
      <c r="B57" s="31">
        <f>SUBTOTAL(2,INDEX(Main[ردیف],1):Main[[#This Row],[ردیف]])</f>
        <v>0</v>
      </c>
      <c r="C57" s="32" t="s">
        <v>452</v>
      </c>
      <c r="D57" s="32" t="str">
        <f>_xlfn.CONCAT("14",Main[[#This Row],[تاريخ]])</f>
        <v>1400/01/01</v>
      </c>
      <c r="E57" s="33">
        <v>44276</v>
      </c>
      <c r="F57" s="32">
        <v>30020</v>
      </c>
      <c r="G57" s="5" t="str">
        <f>INDEX(customer[عنوان],MATCH(Main[[#This Row],[کد ردیابی]],customer[کد],0))</f>
        <v>شیرگاز لاله</v>
      </c>
      <c r="H57">
        <v>4</v>
      </c>
      <c r="I57" s="6">
        <f ca="1">-Main[[#This Row],[بدهی تسویه شده (کیلوگرم)]]+Main[[#This Row],[بستانکار (کیلوگرم)]]</f>
        <v>4</v>
      </c>
      <c r="J57" s="6">
        <f>IF(Main[[#This Row],[مقدار (کیلوگرم)]]&gt;0,Main[[#This Row],[مقدار (کیلوگرم)]],0)</f>
        <v>4</v>
      </c>
      <c r="K57" s="6">
        <f>-IF(Main[[#This Row],[مقدار (کیلوگرم)]]&lt;0,Main[[#This Row],[مقدار (کیلوگرم)]],0)</f>
        <v>0</v>
      </c>
      <c r="L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" s="7">
        <f>-IF(AND(Main[[#This Row],[مقدار (کیلوگرم)]]&lt;0,Main[[#This Row],[تاريخ میلادی]]&gt;44276),Main[[#This Row],[مقدار (کیلوگرم)]],0)</f>
        <v>0</v>
      </c>
      <c r="N57" s="6">
        <f ca="1">Main[[#This Row],[بدهکار (کیلوگرم)]]-Main[[#This Row],[بدهی تسویه نشده (کیلوگرم)]]</f>
        <v>0</v>
      </c>
      <c r="O57" s="6">
        <f ca="1">Main[[#This Row],[تفکیک]]</f>
        <v>0</v>
      </c>
      <c r="P57" s="6">
        <f ca="1">IF(Main[[#This Row],[تاخیر از سررسید]]&gt;0,Main[[#This Row],[بدهی تسویه نشده (کیلوگرم)]],0)</f>
        <v>0</v>
      </c>
      <c r="Q57" s="6">
        <f ca="1">IF(Main[[#This Row],[بدهی تسویه نشده (کیلوگرم)]]&gt;0,'گزارش فردی'!$B$7-Main[[#This Row],[تاريخ میلادی]],0)</f>
        <v>0</v>
      </c>
      <c r="R57" s="6">
        <f ca="1">IF(Main[[#This Row],[بدهی تسویه نشده (کیلوگرم)]]&gt;0,'گزارش فردی'!$B$7-Main[[#This Row],[تاريخ میلادی]]-'گزارش فردی'!$B$8,0)</f>
        <v>0</v>
      </c>
      <c r="S57" s="6">
        <f ca="1">Main[[#This Row],[روز از ارسال سفارش]]*Main[[#This Row],[بدهی تسویه نشده (کیلوگرم)]]</f>
        <v>0</v>
      </c>
      <c r="T57" s="6">
        <f ca="1">Main[[#This Row],[بدهی سررسید شده (کیلوگرم)]]*Main[[#This Row],[روز از ارسال سفارش]]</f>
        <v>0</v>
      </c>
      <c r="U57" s="6">
        <f>-SUBTOTAL(9,INDEX(Main[مقدار (کیلوگرم)],1):Main[[#This Row],[مقدار (کیلوگرم)]])</f>
        <v>0</v>
      </c>
      <c r="V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" s="6">
        <f>Main[[#This Row],[تعداد کل روزهای بدهکار (روز)]]*Main[[#This Row],[مانده در خط کل (کیلوگرم)]]</f>
        <v>0</v>
      </c>
      <c r="X57" s="6">
        <f>-SUBTOTAL(9,INDEX(Main[مقدار تسویه شده (کیلوگرم)],1):Main[[#This Row],[مقدار تسویه شده (کیلوگرم)]])</f>
        <v>0</v>
      </c>
      <c r="Y57" s="6">
        <f>IF(Main[[#This Row],[مانده در خط تسویه شده (کیلوگرم)]]&lt;&gt;0,Main[[#This Row],[تعداد کل روزهای بدهکار (روز)]],0)</f>
        <v>0</v>
      </c>
      <c r="Z57" s="6">
        <f>Main[[#This Row],[تعداد روزهای بدهکار تسویه شده (روز)]]*Main[[#This Row],[مانده در خط تسویه شده (کیلوگرم)]]</f>
        <v>0</v>
      </c>
      <c r="AA57" s="6">
        <f>SUBTOTAL(9,INDEX(Main[بدهی تسویه نشده (کیلوگرم)],1):Main[[#This Row],[بدهی تسویه نشده (کیلوگرم)]])</f>
        <v>0</v>
      </c>
      <c r="AB57" s="6">
        <f>IF(Main[[#This Row],[مانده در خط تسویه نشده (کیلوگرم)]]&lt;&gt;0,Main[[#This Row],[تعداد کل روزهای بدهکار (روز)]],0)</f>
        <v>0</v>
      </c>
      <c r="AC57" s="6">
        <f>Main[[#This Row],[تعداد روزهای بدهکار  تسویه نشده (روز)]]*Main[[#This Row],[مانده در خط تسویه نشده (کیلوگرم)]]</f>
        <v>0</v>
      </c>
      <c r="AD57" s="6">
        <f>SUBTOTAL(9,INDEX(Main[بدهی سررسید شده (کیلوگرم)],1):Main[[#This Row],[بدهی سررسید شده (کیلوگرم)]])</f>
        <v>0</v>
      </c>
      <c r="AE57" s="6">
        <f>IF(Main[[#This Row],[مانده در خط سررسید شده (کیلوگرم)]]&lt;&gt;0,Main[[#This Row],[تعداد کل روزهای بدهکار (روز)]],0)</f>
        <v>0</v>
      </c>
      <c r="AF57" s="6">
        <f>Main[[#This Row],[تعداد روزهای بدهکار سررسید شده (روز)]]*Main[[#This Row],[مانده در خط سررسید شده (کیلوگرم)]]</f>
        <v>0</v>
      </c>
    </row>
    <row r="58" spans="1:32" hidden="1" x14ac:dyDescent="0.35">
      <c r="A58" s="5">
        <f>ROW()-ROW(INDEX(Main[ردیف],1))+1</f>
        <v>56</v>
      </c>
      <c r="B58" s="31">
        <f>SUBTOTAL(2,INDEX(Main[ردیف],1):Main[[#This Row],[ردیف]])</f>
        <v>0</v>
      </c>
      <c r="C58" s="32" t="s">
        <v>452</v>
      </c>
      <c r="D58" s="32" t="str">
        <f>_xlfn.CONCAT("14",Main[[#This Row],[تاريخ]])</f>
        <v>1400/01/01</v>
      </c>
      <c r="E58" s="33">
        <v>44276</v>
      </c>
      <c r="F58" s="32">
        <v>30133</v>
      </c>
      <c r="G58" s="5" t="str">
        <f>INDEX(customer[عنوان],MATCH(Main[[#This Row],[کد ردیابی]],customer[کد],0))</f>
        <v>شرکت آتا بای تبریز</v>
      </c>
      <c r="H58">
        <v>-529</v>
      </c>
      <c r="I58" s="6">
        <f ca="1">-Main[[#This Row],[بدهی تسویه شده (کیلوگرم)]]+Main[[#This Row],[بستانکار (کیلوگرم)]]</f>
        <v>-529</v>
      </c>
      <c r="J58" s="6">
        <f>IF(Main[[#This Row],[مقدار (کیلوگرم)]]&gt;0,Main[[#This Row],[مقدار (کیلوگرم)]],0)</f>
        <v>0</v>
      </c>
      <c r="K58" s="6">
        <f>-IF(Main[[#This Row],[مقدار (کیلوگرم)]]&lt;0,Main[[#This Row],[مقدار (کیلوگرم)]],0)</f>
        <v>529</v>
      </c>
      <c r="L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" s="7">
        <f>-IF(AND(Main[[#This Row],[مقدار (کیلوگرم)]]&lt;0,Main[[#This Row],[تاريخ میلادی]]&gt;44276),Main[[#This Row],[مقدار (کیلوگرم)]],0)</f>
        <v>0</v>
      </c>
      <c r="N58" s="6">
        <f ca="1">Main[[#This Row],[بدهکار (کیلوگرم)]]-Main[[#This Row],[بدهی تسویه نشده (کیلوگرم)]]</f>
        <v>529</v>
      </c>
      <c r="O58" s="6">
        <f ca="1">Main[[#This Row],[تفکیک]]</f>
        <v>0</v>
      </c>
      <c r="P58" s="6">
        <f ca="1">IF(Main[[#This Row],[تاخیر از سررسید]]&gt;0,Main[[#This Row],[بدهی تسویه نشده (کیلوگرم)]],0)</f>
        <v>0</v>
      </c>
      <c r="Q58" s="6">
        <f ca="1">IF(Main[[#This Row],[بدهی تسویه نشده (کیلوگرم)]]&gt;0,'گزارش فردی'!$B$7-Main[[#This Row],[تاريخ میلادی]],0)</f>
        <v>0</v>
      </c>
      <c r="R58" s="6">
        <f ca="1">IF(Main[[#This Row],[بدهی تسویه نشده (کیلوگرم)]]&gt;0,'گزارش فردی'!$B$7-Main[[#This Row],[تاريخ میلادی]]-'گزارش فردی'!$B$8,0)</f>
        <v>0</v>
      </c>
      <c r="S58" s="6">
        <f ca="1">Main[[#This Row],[روز از ارسال سفارش]]*Main[[#This Row],[بدهی تسویه نشده (کیلوگرم)]]</f>
        <v>0</v>
      </c>
      <c r="T58" s="6">
        <f ca="1">Main[[#This Row],[بدهی سررسید شده (کیلوگرم)]]*Main[[#This Row],[روز از ارسال سفارش]]</f>
        <v>0</v>
      </c>
      <c r="U58" s="6">
        <f>-SUBTOTAL(9,INDEX(Main[مقدار (کیلوگرم)],1):Main[[#This Row],[مقدار (کیلوگرم)]])</f>
        <v>0</v>
      </c>
      <c r="V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8" s="6">
        <f>Main[[#This Row],[تعداد کل روزهای بدهکار (روز)]]*Main[[#This Row],[مانده در خط کل (کیلوگرم)]]</f>
        <v>0</v>
      </c>
      <c r="X58" s="6">
        <f>-SUBTOTAL(9,INDEX(Main[مقدار تسویه شده (کیلوگرم)],1):Main[[#This Row],[مقدار تسویه شده (کیلوگرم)]])</f>
        <v>0</v>
      </c>
      <c r="Y58" s="6">
        <f>IF(Main[[#This Row],[مانده در خط تسویه شده (کیلوگرم)]]&lt;&gt;0,Main[[#This Row],[تعداد کل روزهای بدهکار (روز)]],0)</f>
        <v>0</v>
      </c>
      <c r="Z58" s="6">
        <f>Main[[#This Row],[تعداد روزهای بدهکار تسویه شده (روز)]]*Main[[#This Row],[مانده در خط تسویه شده (کیلوگرم)]]</f>
        <v>0</v>
      </c>
      <c r="AA58" s="6">
        <f>SUBTOTAL(9,INDEX(Main[بدهی تسویه نشده (کیلوگرم)],1):Main[[#This Row],[بدهی تسویه نشده (کیلوگرم)]])</f>
        <v>0</v>
      </c>
      <c r="AB58" s="6">
        <f>IF(Main[[#This Row],[مانده در خط تسویه نشده (کیلوگرم)]]&lt;&gt;0,Main[[#This Row],[تعداد کل روزهای بدهکار (روز)]],0)</f>
        <v>0</v>
      </c>
      <c r="AC58" s="6">
        <f>Main[[#This Row],[تعداد روزهای بدهکار  تسویه نشده (روز)]]*Main[[#This Row],[مانده در خط تسویه نشده (کیلوگرم)]]</f>
        <v>0</v>
      </c>
      <c r="AD58" s="6">
        <f>SUBTOTAL(9,INDEX(Main[بدهی سررسید شده (کیلوگرم)],1):Main[[#This Row],[بدهی سررسید شده (کیلوگرم)]])</f>
        <v>0</v>
      </c>
      <c r="AE58" s="6">
        <f>IF(Main[[#This Row],[مانده در خط سررسید شده (کیلوگرم)]]&lt;&gt;0,Main[[#This Row],[تعداد کل روزهای بدهکار (روز)]],0)</f>
        <v>0</v>
      </c>
      <c r="AF58" s="6">
        <f>Main[[#This Row],[تعداد روزهای بدهکار سررسید شده (روز)]]*Main[[#This Row],[مانده در خط سررسید شده (کیلوگرم)]]</f>
        <v>0</v>
      </c>
    </row>
    <row r="59" spans="1:32" hidden="1" x14ac:dyDescent="0.35">
      <c r="A59" s="5">
        <f>ROW()-ROW(INDEX(Main[ردیف],1))+1</f>
        <v>57</v>
      </c>
      <c r="B59" s="31">
        <f>SUBTOTAL(2,INDEX(Main[ردیف],1):Main[[#This Row],[ردیف]])</f>
        <v>0</v>
      </c>
      <c r="C59" s="32" t="s">
        <v>452</v>
      </c>
      <c r="D59" s="32" t="str">
        <f>_xlfn.CONCAT("14",Main[[#This Row],[تاريخ]])</f>
        <v>1400/01/01</v>
      </c>
      <c r="E59" s="33">
        <v>44276</v>
      </c>
      <c r="F59" s="32">
        <v>30044</v>
      </c>
      <c r="G59" s="5" t="str">
        <f>INDEX(customer[عنوان],MATCH(Main[[#This Row],[کد ردیابی]],customer[کد],0))</f>
        <v>شیرآلات ماعون</v>
      </c>
      <c r="H59">
        <v>2</v>
      </c>
      <c r="I59" s="6">
        <f ca="1">-Main[[#This Row],[بدهی تسویه شده (کیلوگرم)]]+Main[[#This Row],[بستانکار (کیلوگرم)]]</f>
        <v>2</v>
      </c>
      <c r="J59" s="6">
        <f>IF(Main[[#This Row],[مقدار (کیلوگرم)]]&gt;0,Main[[#This Row],[مقدار (کیلوگرم)]],0)</f>
        <v>2</v>
      </c>
      <c r="K59" s="6">
        <f>-IF(Main[[#This Row],[مقدار (کیلوگرم)]]&lt;0,Main[[#This Row],[مقدار (کیلوگرم)]],0)</f>
        <v>0</v>
      </c>
      <c r="L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" s="7">
        <f>-IF(AND(Main[[#This Row],[مقدار (کیلوگرم)]]&lt;0,Main[[#This Row],[تاريخ میلادی]]&gt;44276),Main[[#This Row],[مقدار (کیلوگرم)]],0)</f>
        <v>0</v>
      </c>
      <c r="N59" s="6">
        <f ca="1">Main[[#This Row],[بدهکار (کیلوگرم)]]-Main[[#This Row],[بدهی تسویه نشده (کیلوگرم)]]</f>
        <v>0</v>
      </c>
      <c r="O59" s="6">
        <f ca="1">Main[[#This Row],[تفکیک]]</f>
        <v>0</v>
      </c>
      <c r="P59" s="6">
        <f ca="1">IF(Main[[#This Row],[تاخیر از سررسید]]&gt;0,Main[[#This Row],[بدهی تسویه نشده (کیلوگرم)]],0)</f>
        <v>0</v>
      </c>
      <c r="Q59" s="6">
        <f ca="1">IF(Main[[#This Row],[بدهی تسویه نشده (کیلوگرم)]]&gt;0,'گزارش فردی'!$B$7-Main[[#This Row],[تاريخ میلادی]],0)</f>
        <v>0</v>
      </c>
      <c r="R59" s="6">
        <f ca="1">IF(Main[[#This Row],[بدهی تسویه نشده (کیلوگرم)]]&gt;0,'گزارش فردی'!$B$7-Main[[#This Row],[تاريخ میلادی]]-'گزارش فردی'!$B$8,0)</f>
        <v>0</v>
      </c>
      <c r="S59" s="6">
        <f ca="1">Main[[#This Row],[روز از ارسال سفارش]]*Main[[#This Row],[بدهی تسویه نشده (کیلوگرم)]]</f>
        <v>0</v>
      </c>
      <c r="T59" s="6">
        <f ca="1">Main[[#This Row],[بدهی سررسید شده (کیلوگرم)]]*Main[[#This Row],[روز از ارسال سفارش]]</f>
        <v>0</v>
      </c>
      <c r="U59" s="6">
        <f>-SUBTOTAL(9,INDEX(Main[مقدار (کیلوگرم)],1):Main[[#This Row],[مقدار (کیلوگرم)]])</f>
        <v>0</v>
      </c>
      <c r="V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9" s="6">
        <f>Main[[#This Row],[تعداد کل روزهای بدهکار (روز)]]*Main[[#This Row],[مانده در خط کل (کیلوگرم)]]</f>
        <v>0</v>
      </c>
      <c r="X59" s="6">
        <f>-SUBTOTAL(9,INDEX(Main[مقدار تسویه شده (کیلوگرم)],1):Main[[#This Row],[مقدار تسویه شده (کیلوگرم)]])</f>
        <v>0</v>
      </c>
      <c r="Y59" s="6">
        <f>IF(Main[[#This Row],[مانده در خط تسویه شده (کیلوگرم)]]&lt;&gt;0,Main[[#This Row],[تعداد کل روزهای بدهکار (روز)]],0)</f>
        <v>0</v>
      </c>
      <c r="Z59" s="6">
        <f>Main[[#This Row],[تعداد روزهای بدهکار تسویه شده (روز)]]*Main[[#This Row],[مانده در خط تسویه شده (کیلوگرم)]]</f>
        <v>0</v>
      </c>
      <c r="AA59" s="6">
        <f>SUBTOTAL(9,INDEX(Main[بدهی تسویه نشده (کیلوگرم)],1):Main[[#This Row],[بدهی تسویه نشده (کیلوگرم)]])</f>
        <v>0</v>
      </c>
      <c r="AB59" s="6">
        <f>IF(Main[[#This Row],[مانده در خط تسویه نشده (کیلوگرم)]]&lt;&gt;0,Main[[#This Row],[تعداد کل روزهای بدهکار (روز)]],0)</f>
        <v>0</v>
      </c>
      <c r="AC59" s="6">
        <f>Main[[#This Row],[تعداد روزهای بدهکار  تسویه نشده (روز)]]*Main[[#This Row],[مانده در خط تسویه نشده (کیلوگرم)]]</f>
        <v>0</v>
      </c>
      <c r="AD59" s="6">
        <f>SUBTOTAL(9,INDEX(Main[بدهی سررسید شده (کیلوگرم)],1):Main[[#This Row],[بدهی سررسید شده (کیلوگرم)]])</f>
        <v>0</v>
      </c>
      <c r="AE59" s="6">
        <f>IF(Main[[#This Row],[مانده در خط سررسید شده (کیلوگرم)]]&lt;&gt;0,Main[[#This Row],[تعداد کل روزهای بدهکار (روز)]],0)</f>
        <v>0</v>
      </c>
      <c r="AF59" s="6">
        <f>Main[[#This Row],[تعداد روزهای بدهکار سررسید شده (روز)]]*Main[[#This Row],[مانده در خط سررسید شده (کیلوگرم)]]</f>
        <v>0</v>
      </c>
    </row>
    <row r="60" spans="1:32" hidden="1" x14ac:dyDescent="0.35">
      <c r="A60" s="5">
        <f>ROW()-ROW(INDEX(Main[ردیف],1))+1</f>
        <v>58</v>
      </c>
      <c r="B60" s="31">
        <f>SUBTOTAL(2,INDEX(Main[ردیف],1):Main[[#This Row],[ردیف]])</f>
        <v>0</v>
      </c>
      <c r="C60" s="32" t="s">
        <v>452</v>
      </c>
      <c r="D60" s="32" t="str">
        <f>_xlfn.CONCAT("14",Main[[#This Row],[تاريخ]])</f>
        <v>1400/01/01</v>
      </c>
      <c r="E60" s="33">
        <v>44276</v>
      </c>
      <c r="F60" s="32">
        <v>10048</v>
      </c>
      <c r="G60" s="5" t="str">
        <f>INDEX(customer[عنوان],MATCH(Main[[#This Row],[کد ردیابی]],customer[کد],0))</f>
        <v xml:space="preserve">حسام کریمان  </v>
      </c>
      <c r="H60">
        <v>-684</v>
      </c>
      <c r="I60" s="6">
        <f ca="1">-Main[[#This Row],[بدهی تسویه شده (کیلوگرم)]]+Main[[#This Row],[بستانکار (کیلوگرم)]]</f>
        <v>-684</v>
      </c>
      <c r="J60" s="6">
        <f>IF(Main[[#This Row],[مقدار (کیلوگرم)]]&gt;0,Main[[#This Row],[مقدار (کیلوگرم)]],0)</f>
        <v>0</v>
      </c>
      <c r="K60" s="6">
        <f>-IF(Main[[#This Row],[مقدار (کیلوگرم)]]&lt;0,Main[[#This Row],[مقدار (کیلوگرم)]],0)</f>
        <v>684</v>
      </c>
      <c r="L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" s="7">
        <f>-IF(AND(Main[[#This Row],[مقدار (کیلوگرم)]]&lt;0,Main[[#This Row],[تاريخ میلادی]]&gt;44276),Main[[#This Row],[مقدار (کیلوگرم)]],0)</f>
        <v>0</v>
      </c>
      <c r="N60" s="6">
        <f ca="1">Main[[#This Row],[بدهکار (کیلوگرم)]]-Main[[#This Row],[بدهی تسویه نشده (کیلوگرم)]]</f>
        <v>684</v>
      </c>
      <c r="O60" s="6">
        <f ca="1">Main[[#This Row],[تفکیک]]</f>
        <v>0</v>
      </c>
      <c r="P60" s="6">
        <f ca="1">IF(Main[[#This Row],[تاخیر از سررسید]]&gt;0,Main[[#This Row],[بدهی تسویه نشده (کیلوگرم)]],0)</f>
        <v>0</v>
      </c>
      <c r="Q60" s="6">
        <f ca="1">IF(Main[[#This Row],[بدهی تسویه نشده (کیلوگرم)]]&gt;0,'گزارش فردی'!$B$7-Main[[#This Row],[تاريخ میلادی]],0)</f>
        <v>0</v>
      </c>
      <c r="R60" s="6">
        <f ca="1">IF(Main[[#This Row],[بدهی تسویه نشده (کیلوگرم)]]&gt;0,'گزارش فردی'!$B$7-Main[[#This Row],[تاريخ میلادی]]-'گزارش فردی'!$B$8,0)</f>
        <v>0</v>
      </c>
      <c r="S60" s="6">
        <f ca="1">Main[[#This Row],[روز از ارسال سفارش]]*Main[[#This Row],[بدهی تسویه نشده (کیلوگرم)]]</f>
        <v>0</v>
      </c>
      <c r="T60" s="6">
        <f ca="1">Main[[#This Row],[بدهی سررسید شده (کیلوگرم)]]*Main[[#This Row],[روز از ارسال سفارش]]</f>
        <v>0</v>
      </c>
      <c r="U60" s="6">
        <f>-SUBTOTAL(9,INDEX(Main[مقدار (کیلوگرم)],1):Main[[#This Row],[مقدار (کیلوگرم)]])</f>
        <v>0</v>
      </c>
      <c r="V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" s="6">
        <f>Main[[#This Row],[تعداد کل روزهای بدهکار (روز)]]*Main[[#This Row],[مانده در خط کل (کیلوگرم)]]</f>
        <v>0</v>
      </c>
      <c r="X60" s="6">
        <f>-SUBTOTAL(9,INDEX(Main[مقدار تسویه شده (کیلوگرم)],1):Main[[#This Row],[مقدار تسویه شده (کیلوگرم)]])</f>
        <v>0</v>
      </c>
      <c r="Y60" s="6">
        <f>IF(Main[[#This Row],[مانده در خط تسویه شده (کیلوگرم)]]&lt;&gt;0,Main[[#This Row],[تعداد کل روزهای بدهکار (روز)]],0)</f>
        <v>0</v>
      </c>
      <c r="Z60" s="6">
        <f>Main[[#This Row],[تعداد روزهای بدهکار تسویه شده (روز)]]*Main[[#This Row],[مانده در خط تسویه شده (کیلوگرم)]]</f>
        <v>0</v>
      </c>
      <c r="AA60" s="6">
        <f>SUBTOTAL(9,INDEX(Main[بدهی تسویه نشده (کیلوگرم)],1):Main[[#This Row],[بدهی تسویه نشده (کیلوگرم)]])</f>
        <v>0</v>
      </c>
      <c r="AB60" s="6">
        <f>IF(Main[[#This Row],[مانده در خط تسویه نشده (کیلوگرم)]]&lt;&gt;0,Main[[#This Row],[تعداد کل روزهای بدهکار (روز)]],0)</f>
        <v>0</v>
      </c>
      <c r="AC60" s="6">
        <f>Main[[#This Row],[تعداد روزهای بدهکار  تسویه نشده (روز)]]*Main[[#This Row],[مانده در خط تسویه نشده (کیلوگرم)]]</f>
        <v>0</v>
      </c>
      <c r="AD60" s="6">
        <f>SUBTOTAL(9,INDEX(Main[بدهی سررسید شده (کیلوگرم)],1):Main[[#This Row],[بدهی سررسید شده (کیلوگرم)]])</f>
        <v>0</v>
      </c>
      <c r="AE60" s="6">
        <f>IF(Main[[#This Row],[مانده در خط سررسید شده (کیلوگرم)]]&lt;&gt;0,Main[[#This Row],[تعداد کل روزهای بدهکار (روز)]],0)</f>
        <v>0</v>
      </c>
      <c r="AF60" s="6">
        <f>Main[[#This Row],[تعداد روزهای بدهکار سررسید شده (روز)]]*Main[[#This Row],[مانده در خط سررسید شده (کیلوگرم)]]</f>
        <v>0</v>
      </c>
    </row>
    <row r="61" spans="1:32" hidden="1" x14ac:dyDescent="0.35">
      <c r="A61" s="5">
        <f>ROW()-ROW(INDEX(Main[ردیف],1))+1</f>
        <v>59</v>
      </c>
      <c r="B61" s="31">
        <f>SUBTOTAL(2,INDEX(Main[ردیف],1):Main[[#This Row],[ردیف]])</f>
        <v>0</v>
      </c>
      <c r="C61" s="32" t="s">
        <v>452</v>
      </c>
      <c r="D61" s="32" t="str">
        <f>_xlfn.CONCAT("14",Main[[#This Row],[تاريخ]])</f>
        <v>1400/01/01</v>
      </c>
      <c r="E61" s="33">
        <v>44276</v>
      </c>
      <c r="F61" s="32">
        <v>30138</v>
      </c>
      <c r="G61" s="5" t="str">
        <f>INDEX(customer[عنوان],MATCH(Main[[#This Row],[کد ردیابی]],customer[کد],0))</f>
        <v>شرکت توتی</v>
      </c>
      <c r="H61">
        <v>2</v>
      </c>
      <c r="I61" s="6">
        <f ca="1">-Main[[#This Row],[بدهی تسویه شده (کیلوگرم)]]+Main[[#This Row],[بستانکار (کیلوگرم)]]</f>
        <v>2</v>
      </c>
      <c r="J61" s="6">
        <f>IF(Main[[#This Row],[مقدار (کیلوگرم)]]&gt;0,Main[[#This Row],[مقدار (کیلوگرم)]],0)</f>
        <v>2</v>
      </c>
      <c r="K61" s="6">
        <f>-IF(Main[[#This Row],[مقدار (کیلوگرم)]]&lt;0,Main[[#This Row],[مقدار (کیلوگرم)]],0)</f>
        <v>0</v>
      </c>
      <c r="L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" s="7">
        <f>-IF(AND(Main[[#This Row],[مقدار (کیلوگرم)]]&lt;0,Main[[#This Row],[تاريخ میلادی]]&gt;44276),Main[[#This Row],[مقدار (کیلوگرم)]],0)</f>
        <v>0</v>
      </c>
      <c r="N61" s="6">
        <f ca="1">Main[[#This Row],[بدهکار (کیلوگرم)]]-Main[[#This Row],[بدهی تسویه نشده (کیلوگرم)]]</f>
        <v>0</v>
      </c>
      <c r="O61" s="6">
        <f ca="1">Main[[#This Row],[تفکیک]]</f>
        <v>0</v>
      </c>
      <c r="P61" s="6">
        <f ca="1">IF(Main[[#This Row],[تاخیر از سررسید]]&gt;0,Main[[#This Row],[بدهی تسویه نشده (کیلوگرم)]],0)</f>
        <v>0</v>
      </c>
      <c r="Q61" s="6">
        <f ca="1">IF(Main[[#This Row],[بدهی تسویه نشده (کیلوگرم)]]&gt;0,'گزارش فردی'!$B$7-Main[[#This Row],[تاريخ میلادی]],0)</f>
        <v>0</v>
      </c>
      <c r="R61" s="6">
        <f ca="1">IF(Main[[#This Row],[بدهی تسویه نشده (کیلوگرم)]]&gt;0,'گزارش فردی'!$B$7-Main[[#This Row],[تاريخ میلادی]]-'گزارش فردی'!$B$8,0)</f>
        <v>0</v>
      </c>
      <c r="S61" s="6">
        <f ca="1">Main[[#This Row],[روز از ارسال سفارش]]*Main[[#This Row],[بدهی تسویه نشده (کیلوگرم)]]</f>
        <v>0</v>
      </c>
      <c r="T61" s="6">
        <f ca="1">Main[[#This Row],[بدهی سررسید شده (کیلوگرم)]]*Main[[#This Row],[روز از ارسال سفارش]]</f>
        <v>0</v>
      </c>
      <c r="U61" s="6">
        <f>-SUBTOTAL(9,INDEX(Main[مقدار (کیلوگرم)],1):Main[[#This Row],[مقدار (کیلوگرم)]])</f>
        <v>0</v>
      </c>
      <c r="V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1" s="6">
        <f>Main[[#This Row],[تعداد کل روزهای بدهکار (روز)]]*Main[[#This Row],[مانده در خط کل (کیلوگرم)]]</f>
        <v>0</v>
      </c>
      <c r="X61" s="6">
        <f>-SUBTOTAL(9,INDEX(Main[مقدار تسویه شده (کیلوگرم)],1):Main[[#This Row],[مقدار تسویه شده (کیلوگرم)]])</f>
        <v>0</v>
      </c>
      <c r="Y61" s="6">
        <f>IF(Main[[#This Row],[مانده در خط تسویه شده (کیلوگرم)]]&lt;&gt;0,Main[[#This Row],[تعداد کل روزهای بدهکار (روز)]],0)</f>
        <v>0</v>
      </c>
      <c r="Z61" s="6">
        <f>Main[[#This Row],[تعداد روزهای بدهکار تسویه شده (روز)]]*Main[[#This Row],[مانده در خط تسویه شده (کیلوگرم)]]</f>
        <v>0</v>
      </c>
      <c r="AA61" s="6">
        <f>SUBTOTAL(9,INDEX(Main[بدهی تسویه نشده (کیلوگرم)],1):Main[[#This Row],[بدهی تسویه نشده (کیلوگرم)]])</f>
        <v>0</v>
      </c>
      <c r="AB61" s="6">
        <f>IF(Main[[#This Row],[مانده در خط تسویه نشده (کیلوگرم)]]&lt;&gt;0,Main[[#This Row],[تعداد کل روزهای بدهکار (روز)]],0)</f>
        <v>0</v>
      </c>
      <c r="AC61" s="6">
        <f>Main[[#This Row],[تعداد روزهای بدهکار  تسویه نشده (روز)]]*Main[[#This Row],[مانده در خط تسویه نشده (کیلوگرم)]]</f>
        <v>0</v>
      </c>
      <c r="AD61" s="6">
        <f>SUBTOTAL(9,INDEX(Main[بدهی سررسید شده (کیلوگرم)],1):Main[[#This Row],[بدهی سررسید شده (کیلوگرم)]])</f>
        <v>0</v>
      </c>
      <c r="AE61" s="6">
        <f>IF(Main[[#This Row],[مانده در خط سررسید شده (کیلوگرم)]]&lt;&gt;0,Main[[#This Row],[تعداد کل روزهای بدهکار (روز)]],0)</f>
        <v>0</v>
      </c>
      <c r="AF61" s="6">
        <f>Main[[#This Row],[تعداد روزهای بدهکار سررسید شده (روز)]]*Main[[#This Row],[مانده در خط سررسید شده (کیلوگرم)]]</f>
        <v>0</v>
      </c>
    </row>
    <row r="62" spans="1:32" hidden="1" x14ac:dyDescent="0.35">
      <c r="A62" s="5">
        <f>ROW()-ROW(INDEX(Main[ردیف],1))+1</f>
        <v>60</v>
      </c>
      <c r="B62" s="31">
        <f>SUBTOTAL(2,INDEX(Main[ردیف],1):Main[[#This Row],[ردیف]])</f>
        <v>0</v>
      </c>
      <c r="C62" s="32" t="s">
        <v>452</v>
      </c>
      <c r="D62" s="32" t="str">
        <f>_xlfn.CONCAT("14",Main[[#This Row],[تاريخ]])</f>
        <v>1400/01/01</v>
      </c>
      <c r="E62" s="33">
        <v>44276</v>
      </c>
      <c r="F62" s="32">
        <v>30058</v>
      </c>
      <c r="G62" s="5" t="str">
        <f>INDEX(customer[عنوان],MATCH(Main[[#This Row],[کد ردیابی]],customer[کد],0))</f>
        <v xml:space="preserve">پارس شیر </v>
      </c>
      <c r="H62">
        <v>-3783</v>
      </c>
      <c r="I62" s="6">
        <f ca="1">-Main[[#This Row],[بدهی تسویه شده (کیلوگرم)]]+Main[[#This Row],[بستانکار (کیلوگرم)]]</f>
        <v>-3783</v>
      </c>
      <c r="J62" s="6">
        <f>IF(Main[[#This Row],[مقدار (کیلوگرم)]]&gt;0,Main[[#This Row],[مقدار (کیلوگرم)]],0)</f>
        <v>0</v>
      </c>
      <c r="K62" s="6">
        <f>-IF(Main[[#This Row],[مقدار (کیلوگرم)]]&lt;0,Main[[#This Row],[مقدار (کیلوگرم)]],0)</f>
        <v>3783</v>
      </c>
      <c r="L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" s="7">
        <f>-IF(AND(Main[[#This Row],[مقدار (کیلوگرم)]]&lt;0,Main[[#This Row],[تاريخ میلادی]]&gt;44276),Main[[#This Row],[مقدار (کیلوگرم)]],0)</f>
        <v>0</v>
      </c>
      <c r="N62" s="6">
        <f ca="1">Main[[#This Row],[بدهکار (کیلوگرم)]]-Main[[#This Row],[بدهی تسویه نشده (کیلوگرم)]]</f>
        <v>3783</v>
      </c>
      <c r="O62" s="6">
        <f ca="1">Main[[#This Row],[تفکیک]]</f>
        <v>0</v>
      </c>
      <c r="P62" s="6">
        <f ca="1">IF(Main[[#This Row],[تاخیر از سررسید]]&gt;0,Main[[#This Row],[بدهی تسویه نشده (کیلوگرم)]],0)</f>
        <v>0</v>
      </c>
      <c r="Q62" s="6">
        <f ca="1">IF(Main[[#This Row],[بدهی تسویه نشده (کیلوگرم)]]&gt;0,'گزارش فردی'!$B$7-Main[[#This Row],[تاريخ میلادی]],0)</f>
        <v>0</v>
      </c>
      <c r="R62" s="6">
        <f ca="1">IF(Main[[#This Row],[بدهی تسویه نشده (کیلوگرم)]]&gt;0,'گزارش فردی'!$B$7-Main[[#This Row],[تاريخ میلادی]]-'گزارش فردی'!$B$8,0)</f>
        <v>0</v>
      </c>
      <c r="S62" s="6">
        <f ca="1">Main[[#This Row],[روز از ارسال سفارش]]*Main[[#This Row],[بدهی تسویه نشده (کیلوگرم)]]</f>
        <v>0</v>
      </c>
      <c r="T62" s="6">
        <f ca="1">Main[[#This Row],[بدهی سررسید شده (کیلوگرم)]]*Main[[#This Row],[روز از ارسال سفارش]]</f>
        <v>0</v>
      </c>
      <c r="U62" s="6">
        <f>-SUBTOTAL(9,INDEX(Main[مقدار (کیلوگرم)],1):Main[[#This Row],[مقدار (کیلوگرم)]])</f>
        <v>0</v>
      </c>
      <c r="V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" s="6">
        <f>Main[[#This Row],[تعداد کل روزهای بدهکار (روز)]]*Main[[#This Row],[مانده در خط کل (کیلوگرم)]]</f>
        <v>0</v>
      </c>
      <c r="X62" s="6">
        <f>-SUBTOTAL(9,INDEX(Main[مقدار تسویه شده (کیلوگرم)],1):Main[[#This Row],[مقدار تسویه شده (کیلوگرم)]])</f>
        <v>0</v>
      </c>
      <c r="Y62" s="6">
        <f>IF(Main[[#This Row],[مانده در خط تسویه شده (کیلوگرم)]]&lt;&gt;0,Main[[#This Row],[تعداد کل روزهای بدهکار (روز)]],0)</f>
        <v>0</v>
      </c>
      <c r="Z62" s="6">
        <f>Main[[#This Row],[تعداد روزهای بدهکار تسویه شده (روز)]]*Main[[#This Row],[مانده در خط تسویه شده (کیلوگرم)]]</f>
        <v>0</v>
      </c>
      <c r="AA62" s="6">
        <f>SUBTOTAL(9,INDEX(Main[بدهی تسویه نشده (کیلوگرم)],1):Main[[#This Row],[بدهی تسویه نشده (کیلوگرم)]])</f>
        <v>0</v>
      </c>
      <c r="AB62" s="6">
        <f>IF(Main[[#This Row],[مانده در خط تسویه نشده (کیلوگرم)]]&lt;&gt;0,Main[[#This Row],[تعداد کل روزهای بدهکار (روز)]],0)</f>
        <v>0</v>
      </c>
      <c r="AC62" s="6">
        <f>Main[[#This Row],[تعداد روزهای بدهکار  تسویه نشده (روز)]]*Main[[#This Row],[مانده در خط تسویه نشده (کیلوگرم)]]</f>
        <v>0</v>
      </c>
      <c r="AD62" s="6">
        <f>SUBTOTAL(9,INDEX(Main[بدهی سررسید شده (کیلوگرم)],1):Main[[#This Row],[بدهی سررسید شده (کیلوگرم)]])</f>
        <v>0</v>
      </c>
      <c r="AE62" s="6">
        <f>IF(Main[[#This Row],[مانده در خط سررسید شده (کیلوگرم)]]&lt;&gt;0,Main[[#This Row],[تعداد کل روزهای بدهکار (روز)]],0)</f>
        <v>0</v>
      </c>
      <c r="AF62" s="6">
        <f>Main[[#This Row],[تعداد روزهای بدهکار سررسید شده (روز)]]*Main[[#This Row],[مانده در خط سررسید شده (کیلوگرم)]]</f>
        <v>0</v>
      </c>
    </row>
    <row r="63" spans="1:32" hidden="1" x14ac:dyDescent="0.35">
      <c r="A63" s="5">
        <f>ROW()-ROW(INDEX(Main[ردیف],1))+1</f>
        <v>61</v>
      </c>
      <c r="B63" s="31">
        <f>SUBTOTAL(2,INDEX(Main[ردیف],1):Main[[#This Row],[ردیف]])</f>
        <v>0</v>
      </c>
      <c r="C63" s="32" t="s">
        <v>452</v>
      </c>
      <c r="D63" s="32" t="str">
        <f>_xlfn.CONCAT("14",Main[[#This Row],[تاريخ]])</f>
        <v>1400/01/01</v>
      </c>
      <c r="E63" s="33">
        <v>44276</v>
      </c>
      <c r="F63" s="32">
        <v>30167</v>
      </c>
      <c r="G63" s="5" t="str">
        <f>INDEX(customer[عنوان],MATCH(Main[[#This Row],[کد ردیابی]],customer[کد],0))</f>
        <v>شرکت الیکا صنعت</v>
      </c>
      <c r="H63">
        <v>6</v>
      </c>
      <c r="I63" s="6">
        <f ca="1">-Main[[#This Row],[بدهی تسویه شده (کیلوگرم)]]+Main[[#This Row],[بستانکار (کیلوگرم)]]</f>
        <v>6</v>
      </c>
      <c r="J63" s="6">
        <f>IF(Main[[#This Row],[مقدار (کیلوگرم)]]&gt;0,Main[[#This Row],[مقدار (کیلوگرم)]],0)</f>
        <v>6</v>
      </c>
      <c r="K63" s="6">
        <f>-IF(Main[[#This Row],[مقدار (کیلوگرم)]]&lt;0,Main[[#This Row],[مقدار (کیلوگرم)]],0)</f>
        <v>0</v>
      </c>
      <c r="L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" s="7">
        <f>-IF(AND(Main[[#This Row],[مقدار (کیلوگرم)]]&lt;0,Main[[#This Row],[تاريخ میلادی]]&gt;44276),Main[[#This Row],[مقدار (کیلوگرم)]],0)</f>
        <v>0</v>
      </c>
      <c r="N63" s="6">
        <f ca="1">Main[[#This Row],[بدهکار (کیلوگرم)]]-Main[[#This Row],[بدهی تسویه نشده (کیلوگرم)]]</f>
        <v>0</v>
      </c>
      <c r="O63" s="6">
        <f ca="1">Main[[#This Row],[تفکیک]]</f>
        <v>0</v>
      </c>
      <c r="P63" s="6">
        <f ca="1">IF(Main[[#This Row],[تاخیر از سررسید]]&gt;0,Main[[#This Row],[بدهی تسویه نشده (کیلوگرم)]],0)</f>
        <v>0</v>
      </c>
      <c r="Q63" s="6">
        <f ca="1">IF(Main[[#This Row],[بدهی تسویه نشده (کیلوگرم)]]&gt;0,'گزارش فردی'!$B$7-Main[[#This Row],[تاريخ میلادی]],0)</f>
        <v>0</v>
      </c>
      <c r="R63" s="6">
        <f ca="1">IF(Main[[#This Row],[بدهی تسویه نشده (کیلوگرم)]]&gt;0,'گزارش فردی'!$B$7-Main[[#This Row],[تاريخ میلادی]]-'گزارش فردی'!$B$8,0)</f>
        <v>0</v>
      </c>
      <c r="S63" s="6">
        <f ca="1">Main[[#This Row],[روز از ارسال سفارش]]*Main[[#This Row],[بدهی تسویه نشده (کیلوگرم)]]</f>
        <v>0</v>
      </c>
      <c r="T63" s="6">
        <f ca="1">Main[[#This Row],[بدهی سررسید شده (کیلوگرم)]]*Main[[#This Row],[روز از ارسال سفارش]]</f>
        <v>0</v>
      </c>
      <c r="U63" s="6">
        <f>-SUBTOTAL(9,INDEX(Main[مقدار (کیلوگرم)],1):Main[[#This Row],[مقدار (کیلوگرم)]])</f>
        <v>0</v>
      </c>
      <c r="V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" s="6">
        <f>Main[[#This Row],[تعداد کل روزهای بدهکار (روز)]]*Main[[#This Row],[مانده در خط کل (کیلوگرم)]]</f>
        <v>0</v>
      </c>
      <c r="X63" s="6">
        <f>-SUBTOTAL(9,INDEX(Main[مقدار تسویه شده (کیلوگرم)],1):Main[[#This Row],[مقدار تسویه شده (کیلوگرم)]])</f>
        <v>0</v>
      </c>
      <c r="Y63" s="6">
        <f>IF(Main[[#This Row],[مانده در خط تسویه شده (کیلوگرم)]]&lt;&gt;0,Main[[#This Row],[تعداد کل روزهای بدهکار (روز)]],0)</f>
        <v>0</v>
      </c>
      <c r="Z63" s="6">
        <f>Main[[#This Row],[تعداد روزهای بدهکار تسویه شده (روز)]]*Main[[#This Row],[مانده در خط تسویه شده (کیلوگرم)]]</f>
        <v>0</v>
      </c>
      <c r="AA63" s="6">
        <f>SUBTOTAL(9,INDEX(Main[بدهی تسویه نشده (کیلوگرم)],1):Main[[#This Row],[بدهی تسویه نشده (کیلوگرم)]])</f>
        <v>0</v>
      </c>
      <c r="AB63" s="6">
        <f>IF(Main[[#This Row],[مانده در خط تسویه نشده (کیلوگرم)]]&lt;&gt;0,Main[[#This Row],[تعداد کل روزهای بدهکار (روز)]],0)</f>
        <v>0</v>
      </c>
      <c r="AC63" s="6">
        <f>Main[[#This Row],[تعداد روزهای بدهکار  تسویه نشده (روز)]]*Main[[#This Row],[مانده در خط تسویه نشده (کیلوگرم)]]</f>
        <v>0</v>
      </c>
      <c r="AD63" s="6">
        <f>SUBTOTAL(9,INDEX(Main[بدهی سررسید شده (کیلوگرم)],1):Main[[#This Row],[بدهی سررسید شده (کیلوگرم)]])</f>
        <v>0</v>
      </c>
      <c r="AE63" s="6">
        <f>IF(Main[[#This Row],[مانده در خط سررسید شده (کیلوگرم)]]&lt;&gt;0,Main[[#This Row],[تعداد کل روزهای بدهکار (روز)]],0)</f>
        <v>0</v>
      </c>
      <c r="AF63" s="6">
        <f>Main[[#This Row],[تعداد روزهای بدهکار سررسید شده (روز)]]*Main[[#This Row],[مانده در خط سررسید شده (کیلوگرم)]]</f>
        <v>0</v>
      </c>
    </row>
    <row r="64" spans="1:32" hidden="1" x14ac:dyDescent="0.35">
      <c r="A64" s="5">
        <f>ROW()-ROW(INDEX(Main[ردیف],1))+1</f>
        <v>62</v>
      </c>
      <c r="B64" s="31">
        <f>SUBTOTAL(2,INDEX(Main[ردیف],1):Main[[#This Row],[ردیف]])</f>
        <v>0</v>
      </c>
      <c r="C64" s="32" t="s">
        <v>452</v>
      </c>
      <c r="D64" s="32" t="str">
        <f>_xlfn.CONCAT("14",Main[[#This Row],[تاريخ]])</f>
        <v>1400/01/01</v>
      </c>
      <c r="E64" s="33">
        <v>44276</v>
      </c>
      <c r="F64" s="32">
        <v>30003</v>
      </c>
      <c r="G64" s="5" t="str">
        <f>INDEX(customer[عنوان],MATCH(Main[[#This Row],[کد ردیابی]],customer[کد],0))</f>
        <v xml:space="preserve">شهاب گاز سوز </v>
      </c>
      <c r="H64">
        <v>-4322</v>
      </c>
      <c r="I64" s="6">
        <f ca="1">-Main[[#This Row],[بدهی تسویه شده (کیلوگرم)]]+Main[[#This Row],[بستانکار (کیلوگرم)]]</f>
        <v>-4322</v>
      </c>
      <c r="J64" s="6">
        <f>IF(Main[[#This Row],[مقدار (کیلوگرم)]]&gt;0,Main[[#This Row],[مقدار (کیلوگرم)]],0)</f>
        <v>0</v>
      </c>
      <c r="K64" s="6">
        <f>-IF(Main[[#This Row],[مقدار (کیلوگرم)]]&lt;0,Main[[#This Row],[مقدار (کیلوگرم)]],0)</f>
        <v>4322</v>
      </c>
      <c r="L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" s="7">
        <f>-IF(AND(Main[[#This Row],[مقدار (کیلوگرم)]]&lt;0,Main[[#This Row],[تاريخ میلادی]]&gt;44276),Main[[#This Row],[مقدار (کیلوگرم)]],0)</f>
        <v>0</v>
      </c>
      <c r="N64" s="6">
        <f ca="1">Main[[#This Row],[بدهکار (کیلوگرم)]]-Main[[#This Row],[بدهی تسویه نشده (کیلوگرم)]]</f>
        <v>4322</v>
      </c>
      <c r="O64" s="6">
        <f ca="1">Main[[#This Row],[تفکیک]]</f>
        <v>0</v>
      </c>
      <c r="P64" s="6">
        <f ca="1">IF(Main[[#This Row],[تاخیر از سررسید]]&gt;0,Main[[#This Row],[بدهی تسویه نشده (کیلوگرم)]],0)</f>
        <v>0</v>
      </c>
      <c r="Q64" s="6">
        <f ca="1">IF(Main[[#This Row],[بدهی تسویه نشده (کیلوگرم)]]&gt;0,'گزارش فردی'!$B$7-Main[[#This Row],[تاريخ میلادی]],0)</f>
        <v>0</v>
      </c>
      <c r="R64" s="6">
        <f ca="1">IF(Main[[#This Row],[بدهی تسویه نشده (کیلوگرم)]]&gt;0,'گزارش فردی'!$B$7-Main[[#This Row],[تاريخ میلادی]]-'گزارش فردی'!$B$8,0)</f>
        <v>0</v>
      </c>
      <c r="S64" s="6">
        <f ca="1">Main[[#This Row],[روز از ارسال سفارش]]*Main[[#This Row],[بدهی تسویه نشده (کیلوگرم)]]</f>
        <v>0</v>
      </c>
      <c r="T64" s="6">
        <f ca="1">Main[[#This Row],[بدهی سررسید شده (کیلوگرم)]]*Main[[#This Row],[روز از ارسال سفارش]]</f>
        <v>0</v>
      </c>
      <c r="U64" s="6">
        <f>-SUBTOTAL(9,INDEX(Main[مقدار (کیلوگرم)],1):Main[[#This Row],[مقدار (کیلوگرم)]])</f>
        <v>0</v>
      </c>
      <c r="V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" s="6">
        <f>Main[[#This Row],[تعداد کل روزهای بدهکار (روز)]]*Main[[#This Row],[مانده در خط کل (کیلوگرم)]]</f>
        <v>0</v>
      </c>
      <c r="X64" s="6">
        <f>-SUBTOTAL(9,INDEX(Main[مقدار تسویه شده (کیلوگرم)],1):Main[[#This Row],[مقدار تسویه شده (کیلوگرم)]])</f>
        <v>0</v>
      </c>
      <c r="Y64" s="6">
        <f>IF(Main[[#This Row],[مانده در خط تسویه شده (کیلوگرم)]]&lt;&gt;0,Main[[#This Row],[تعداد کل روزهای بدهکار (روز)]],0)</f>
        <v>0</v>
      </c>
      <c r="Z64" s="6">
        <f>Main[[#This Row],[تعداد روزهای بدهکار تسویه شده (روز)]]*Main[[#This Row],[مانده در خط تسویه شده (کیلوگرم)]]</f>
        <v>0</v>
      </c>
      <c r="AA64" s="6">
        <f>SUBTOTAL(9,INDEX(Main[بدهی تسویه نشده (کیلوگرم)],1):Main[[#This Row],[بدهی تسویه نشده (کیلوگرم)]])</f>
        <v>0</v>
      </c>
      <c r="AB64" s="6">
        <f>IF(Main[[#This Row],[مانده در خط تسویه نشده (کیلوگرم)]]&lt;&gt;0,Main[[#This Row],[تعداد کل روزهای بدهکار (روز)]],0)</f>
        <v>0</v>
      </c>
      <c r="AC64" s="6">
        <f>Main[[#This Row],[تعداد روزهای بدهکار  تسویه نشده (روز)]]*Main[[#This Row],[مانده در خط تسویه نشده (کیلوگرم)]]</f>
        <v>0</v>
      </c>
      <c r="AD64" s="6">
        <f>SUBTOTAL(9,INDEX(Main[بدهی سررسید شده (کیلوگرم)],1):Main[[#This Row],[بدهی سررسید شده (کیلوگرم)]])</f>
        <v>0</v>
      </c>
      <c r="AE64" s="6">
        <f>IF(Main[[#This Row],[مانده در خط سررسید شده (کیلوگرم)]]&lt;&gt;0,Main[[#This Row],[تعداد کل روزهای بدهکار (روز)]],0)</f>
        <v>0</v>
      </c>
      <c r="AF64" s="6">
        <f>Main[[#This Row],[تعداد روزهای بدهکار سررسید شده (روز)]]*Main[[#This Row],[مانده در خط سررسید شده (کیلوگرم)]]</f>
        <v>0</v>
      </c>
    </row>
    <row r="65" spans="1:32" hidden="1" x14ac:dyDescent="0.35">
      <c r="A65" s="5">
        <f>ROW()-ROW(INDEX(Main[ردیف],1))+1</f>
        <v>63</v>
      </c>
      <c r="B65" s="31">
        <f>SUBTOTAL(2,INDEX(Main[ردیف],1):Main[[#This Row],[ردیف]])</f>
        <v>0</v>
      </c>
      <c r="C65" s="32" t="s">
        <v>452</v>
      </c>
      <c r="D65" s="32" t="str">
        <f>_xlfn.CONCAT("14",Main[[#This Row],[تاريخ]])</f>
        <v>1400/01/01</v>
      </c>
      <c r="E65" s="33">
        <v>44276</v>
      </c>
      <c r="F65" s="32">
        <v>30034</v>
      </c>
      <c r="G65" s="5" t="str">
        <f>INDEX(customer[عنوان],MATCH(Main[[#This Row],[کد ردیابی]],customer[کد],0))</f>
        <v xml:space="preserve">پیک افروز </v>
      </c>
      <c r="H65">
        <v>1554</v>
      </c>
      <c r="I65" s="6">
        <f ca="1">-Main[[#This Row],[بدهی تسویه شده (کیلوگرم)]]+Main[[#This Row],[بستانکار (کیلوگرم)]]</f>
        <v>1554</v>
      </c>
      <c r="J65" s="6">
        <f>IF(Main[[#This Row],[مقدار (کیلوگرم)]]&gt;0,Main[[#This Row],[مقدار (کیلوگرم)]],0)</f>
        <v>1554</v>
      </c>
      <c r="K65" s="6">
        <f>-IF(Main[[#This Row],[مقدار (کیلوگرم)]]&lt;0,Main[[#This Row],[مقدار (کیلوگرم)]],0)</f>
        <v>0</v>
      </c>
      <c r="L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" s="7">
        <f>-IF(AND(Main[[#This Row],[مقدار (کیلوگرم)]]&lt;0,Main[[#This Row],[تاريخ میلادی]]&gt;44276),Main[[#This Row],[مقدار (کیلوگرم)]],0)</f>
        <v>0</v>
      </c>
      <c r="N65" s="6">
        <f ca="1">Main[[#This Row],[بدهکار (کیلوگرم)]]-Main[[#This Row],[بدهی تسویه نشده (کیلوگرم)]]</f>
        <v>0</v>
      </c>
      <c r="O65" s="6">
        <f ca="1">Main[[#This Row],[تفکیک]]</f>
        <v>0</v>
      </c>
      <c r="P65" s="6">
        <f ca="1">IF(Main[[#This Row],[تاخیر از سررسید]]&gt;0,Main[[#This Row],[بدهی تسویه نشده (کیلوگرم)]],0)</f>
        <v>0</v>
      </c>
      <c r="Q65" s="6">
        <f ca="1">IF(Main[[#This Row],[بدهی تسویه نشده (کیلوگرم)]]&gt;0,'گزارش فردی'!$B$7-Main[[#This Row],[تاريخ میلادی]],0)</f>
        <v>0</v>
      </c>
      <c r="R65" s="6">
        <f ca="1">IF(Main[[#This Row],[بدهی تسویه نشده (کیلوگرم)]]&gt;0,'گزارش فردی'!$B$7-Main[[#This Row],[تاريخ میلادی]]-'گزارش فردی'!$B$8,0)</f>
        <v>0</v>
      </c>
      <c r="S65" s="6">
        <f ca="1">Main[[#This Row],[روز از ارسال سفارش]]*Main[[#This Row],[بدهی تسویه نشده (کیلوگرم)]]</f>
        <v>0</v>
      </c>
      <c r="T65" s="6">
        <f ca="1">Main[[#This Row],[بدهی سررسید شده (کیلوگرم)]]*Main[[#This Row],[روز از ارسال سفارش]]</f>
        <v>0</v>
      </c>
      <c r="U65" s="6">
        <f>-SUBTOTAL(9,INDEX(Main[مقدار (کیلوگرم)],1):Main[[#This Row],[مقدار (کیلوگرم)]])</f>
        <v>0</v>
      </c>
      <c r="V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" s="6">
        <f>Main[[#This Row],[تعداد کل روزهای بدهکار (روز)]]*Main[[#This Row],[مانده در خط کل (کیلوگرم)]]</f>
        <v>0</v>
      </c>
      <c r="X65" s="6">
        <f>-SUBTOTAL(9,INDEX(Main[مقدار تسویه شده (کیلوگرم)],1):Main[[#This Row],[مقدار تسویه شده (کیلوگرم)]])</f>
        <v>0</v>
      </c>
      <c r="Y65" s="6">
        <f>IF(Main[[#This Row],[مانده در خط تسویه شده (کیلوگرم)]]&lt;&gt;0,Main[[#This Row],[تعداد کل روزهای بدهکار (روز)]],0)</f>
        <v>0</v>
      </c>
      <c r="Z65" s="6">
        <f>Main[[#This Row],[تعداد روزهای بدهکار تسویه شده (روز)]]*Main[[#This Row],[مانده در خط تسویه شده (کیلوگرم)]]</f>
        <v>0</v>
      </c>
      <c r="AA65" s="6">
        <f>SUBTOTAL(9,INDEX(Main[بدهی تسویه نشده (کیلوگرم)],1):Main[[#This Row],[بدهی تسویه نشده (کیلوگرم)]])</f>
        <v>0</v>
      </c>
      <c r="AB65" s="6">
        <f>IF(Main[[#This Row],[مانده در خط تسویه نشده (کیلوگرم)]]&lt;&gt;0,Main[[#This Row],[تعداد کل روزهای بدهکار (روز)]],0)</f>
        <v>0</v>
      </c>
      <c r="AC65" s="6">
        <f>Main[[#This Row],[تعداد روزهای بدهکار  تسویه نشده (روز)]]*Main[[#This Row],[مانده در خط تسویه نشده (کیلوگرم)]]</f>
        <v>0</v>
      </c>
      <c r="AD65" s="6">
        <f>SUBTOTAL(9,INDEX(Main[بدهی سررسید شده (کیلوگرم)],1):Main[[#This Row],[بدهی سررسید شده (کیلوگرم)]])</f>
        <v>0</v>
      </c>
      <c r="AE65" s="6">
        <f>IF(Main[[#This Row],[مانده در خط سررسید شده (کیلوگرم)]]&lt;&gt;0,Main[[#This Row],[تعداد کل روزهای بدهکار (روز)]],0)</f>
        <v>0</v>
      </c>
      <c r="AF65" s="6">
        <f>Main[[#This Row],[تعداد روزهای بدهکار سررسید شده (روز)]]*Main[[#This Row],[مانده در خط سررسید شده (کیلوگرم)]]</f>
        <v>0</v>
      </c>
    </row>
    <row r="66" spans="1:32" hidden="1" x14ac:dyDescent="0.35">
      <c r="A66" s="5">
        <f>ROW()-ROW(INDEX(Main[ردیف],1))+1</f>
        <v>64</v>
      </c>
      <c r="B66" s="31">
        <f>SUBTOTAL(2,INDEX(Main[ردیف],1):Main[[#This Row],[ردیف]])</f>
        <v>0</v>
      </c>
      <c r="C66" s="32" t="s">
        <v>452</v>
      </c>
      <c r="D66" s="32" t="str">
        <f>_xlfn.CONCAT("14",Main[[#This Row],[تاريخ]])</f>
        <v>1400/01/01</v>
      </c>
      <c r="E66" s="33">
        <v>44276</v>
      </c>
      <c r="F66" s="32">
        <v>10026</v>
      </c>
      <c r="G66" s="5" t="str">
        <f>INDEX(customer[عنوان],MATCH(Main[[#This Row],[کد ردیابی]],customer[کد],0))</f>
        <v xml:space="preserve">محسن فیاض بخش </v>
      </c>
      <c r="H66">
        <v>-4999</v>
      </c>
      <c r="I66" s="6">
        <f ca="1">-Main[[#This Row],[بدهی تسویه شده (کیلوگرم)]]+Main[[#This Row],[بستانکار (کیلوگرم)]]</f>
        <v>-4999</v>
      </c>
      <c r="J66" s="6">
        <f>IF(Main[[#This Row],[مقدار (کیلوگرم)]]&gt;0,Main[[#This Row],[مقدار (کیلوگرم)]],0)</f>
        <v>0</v>
      </c>
      <c r="K66" s="6">
        <f>-IF(Main[[#This Row],[مقدار (کیلوگرم)]]&lt;0,Main[[#This Row],[مقدار (کیلوگرم)]],0)</f>
        <v>4999</v>
      </c>
      <c r="L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" s="7">
        <f>-IF(AND(Main[[#This Row],[مقدار (کیلوگرم)]]&lt;0,Main[[#This Row],[تاريخ میلادی]]&gt;44276),Main[[#This Row],[مقدار (کیلوگرم)]],0)</f>
        <v>0</v>
      </c>
      <c r="N66" s="6">
        <f ca="1">Main[[#This Row],[بدهکار (کیلوگرم)]]-Main[[#This Row],[بدهی تسویه نشده (کیلوگرم)]]</f>
        <v>4999</v>
      </c>
      <c r="O66" s="6">
        <f ca="1">Main[[#This Row],[تفکیک]]</f>
        <v>0</v>
      </c>
      <c r="P66" s="6">
        <f ca="1">IF(Main[[#This Row],[تاخیر از سررسید]]&gt;0,Main[[#This Row],[بدهی تسویه نشده (کیلوگرم)]],0)</f>
        <v>0</v>
      </c>
      <c r="Q66" s="6">
        <f ca="1">IF(Main[[#This Row],[بدهی تسویه نشده (کیلوگرم)]]&gt;0,'گزارش فردی'!$B$7-Main[[#This Row],[تاريخ میلادی]],0)</f>
        <v>0</v>
      </c>
      <c r="R66" s="6">
        <f ca="1">IF(Main[[#This Row],[بدهی تسویه نشده (کیلوگرم)]]&gt;0,'گزارش فردی'!$B$7-Main[[#This Row],[تاريخ میلادی]]-'گزارش فردی'!$B$8,0)</f>
        <v>0</v>
      </c>
      <c r="S66" s="6">
        <f ca="1">Main[[#This Row],[روز از ارسال سفارش]]*Main[[#This Row],[بدهی تسویه نشده (کیلوگرم)]]</f>
        <v>0</v>
      </c>
      <c r="T66" s="6">
        <f ca="1">Main[[#This Row],[بدهی سررسید شده (کیلوگرم)]]*Main[[#This Row],[روز از ارسال سفارش]]</f>
        <v>0</v>
      </c>
      <c r="U66" s="6">
        <f>-SUBTOTAL(9,INDEX(Main[مقدار (کیلوگرم)],1):Main[[#This Row],[مقدار (کیلوگرم)]])</f>
        <v>0</v>
      </c>
      <c r="V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" s="6">
        <f>Main[[#This Row],[تعداد کل روزهای بدهکار (روز)]]*Main[[#This Row],[مانده در خط کل (کیلوگرم)]]</f>
        <v>0</v>
      </c>
      <c r="X66" s="6">
        <f>-SUBTOTAL(9,INDEX(Main[مقدار تسویه شده (کیلوگرم)],1):Main[[#This Row],[مقدار تسویه شده (کیلوگرم)]])</f>
        <v>0</v>
      </c>
      <c r="Y66" s="6">
        <f>IF(Main[[#This Row],[مانده در خط تسویه شده (کیلوگرم)]]&lt;&gt;0,Main[[#This Row],[تعداد کل روزهای بدهکار (روز)]],0)</f>
        <v>0</v>
      </c>
      <c r="Z66" s="6">
        <f>Main[[#This Row],[تعداد روزهای بدهکار تسویه شده (روز)]]*Main[[#This Row],[مانده در خط تسویه شده (کیلوگرم)]]</f>
        <v>0</v>
      </c>
      <c r="AA66" s="6">
        <f>SUBTOTAL(9,INDEX(Main[بدهی تسویه نشده (کیلوگرم)],1):Main[[#This Row],[بدهی تسویه نشده (کیلوگرم)]])</f>
        <v>0</v>
      </c>
      <c r="AB66" s="6">
        <f>IF(Main[[#This Row],[مانده در خط تسویه نشده (کیلوگرم)]]&lt;&gt;0,Main[[#This Row],[تعداد کل روزهای بدهکار (روز)]],0)</f>
        <v>0</v>
      </c>
      <c r="AC66" s="6">
        <f>Main[[#This Row],[تعداد روزهای بدهکار  تسویه نشده (روز)]]*Main[[#This Row],[مانده در خط تسویه نشده (کیلوگرم)]]</f>
        <v>0</v>
      </c>
      <c r="AD66" s="6">
        <f>SUBTOTAL(9,INDEX(Main[بدهی سررسید شده (کیلوگرم)],1):Main[[#This Row],[بدهی سررسید شده (کیلوگرم)]])</f>
        <v>0</v>
      </c>
      <c r="AE66" s="6">
        <f>IF(Main[[#This Row],[مانده در خط سررسید شده (کیلوگرم)]]&lt;&gt;0,Main[[#This Row],[تعداد کل روزهای بدهکار (روز)]],0)</f>
        <v>0</v>
      </c>
      <c r="AF66" s="6">
        <f>Main[[#This Row],[تعداد روزهای بدهکار سررسید شده (روز)]]*Main[[#This Row],[مانده در خط سررسید شده (کیلوگرم)]]</f>
        <v>0</v>
      </c>
    </row>
    <row r="67" spans="1:32" hidden="1" x14ac:dyDescent="0.35">
      <c r="A67" s="5">
        <f>ROW()-ROW(INDEX(Main[ردیف],1))+1</f>
        <v>65</v>
      </c>
      <c r="B67" s="31">
        <f>SUBTOTAL(2,INDEX(Main[ردیف],1):Main[[#This Row],[ردیف]])</f>
        <v>0</v>
      </c>
      <c r="C67" s="32" t="s">
        <v>452</v>
      </c>
      <c r="D67" s="32" t="str">
        <f>_xlfn.CONCAT("14",Main[[#This Row],[تاريخ]])</f>
        <v>1400/01/01</v>
      </c>
      <c r="E67" s="33">
        <v>44276</v>
      </c>
      <c r="F67" s="32">
        <v>30146</v>
      </c>
      <c r="G67" s="5" t="str">
        <f>INDEX(customer[عنوان],MATCH(Main[[#This Row],[کد ردیابی]],customer[کد],0))</f>
        <v>شرکت آذرپاد</v>
      </c>
      <c r="H67">
        <v>2729</v>
      </c>
      <c r="I67" s="6">
        <f ca="1">-Main[[#This Row],[بدهی تسویه شده (کیلوگرم)]]+Main[[#This Row],[بستانکار (کیلوگرم)]]</f>
        <v>2729</v>
      </c>
      <c r="J67" s="6">
        <f>IF(Main[[#This Row],[مقدار (کیلوگرم)]]&gt;0,Main[[#This Row],[مقدار (کیلوگرم)]],0)</f>
        <v>2729</v>
      </c>
      <c r="K67" s="6">
        <f>-IF(Main[[#This Row],[مقدار (کیلوگرم)]]&lt;0,Main[[#This Row],[مقدار (کیلوگرم)]],0)</f>
        <v>0</v>
      </c>
      <c r="L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" s="7">
        <f>-IF(AND(Main[[#This Row],[مقدار (کیلوگرم)]]&lt;0,Main[[#This Row],[تاريخ میلادی]]&gt;44276),Main[[#This Row],[مقدار (کیلوگرم)]],0)</f>
        <v>0</v>
      </c>
      <c r="N67" s="6">
        <f ca="1">Main[[#This Row],[بدهکار (کیلوگرم)]]-Main[[#This Row],[بدهی تسویه نشده (کیلوگرم)]]</f>
        <v>0</v>
      </c>
      <c r="O67" s="6">
        <f ca="1">Main[[#This Row],[تفکیک]]</f>
        <v>0</v>
      </c>
      <c r="P67" s="6">
        <f ca="1">IF(Main[[#This Row],[تاخیر از سررسید]]&gt;0,Main[[#This Row],[بدهی تسویه نشده (کیلوگرم)]],0)</f>
        <v>0</v>
      </c>
      <c r="Q67" s="6">
        <f ca="1">IF(Main[[#This Row],[بدهی تسویه نشده (کیلوگرم)]]&gt;0,'گزارش فردی'!$B$7-Main[[#This Row],[تاريخ میلادی]],0)</f>
        <v>0</v>
      </c>
      <c r="R67" s="6">
        <f ca="1">IF(Main[[#This Row],[بدهی تسویه نشده (کیلوگرم)]]&gt;0,'گزارش فردی'!$B$7-Main[[#This Row],[تاريخ میلادی]]-'گزارش فردی'!$B$8,0)</f>
        <v>0</v>
      </c>
      <c r="S67" s="6">
        <f ca="1">Main[[#This Row],[روز از ارسال سفارش]]*Main[[#This Row],[بدهی تسویه نشده (کیلوگرم)]]</f>
        <v>0</v>
      </c>
      <c r="T67" s="6">
        <f ca="1">Main[[#This Row],[بدهی سررسید شده (کیلوگرم)]]*Main[[#This Row],[روز از ارسال سفارش]]</f>
        <v>0</v>
      </c>
      <c r="U67" s="6">
        <f>-SUBTOTAL(9,INDEX(Main[مقدار (کیلوگرم)],1):Main[[#This Row],[مقدار (کیلوگرم)]])</f>
        <v>0</v>
      </c>
      <c r="V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7" s="6">
        <f>Main[[#This Row],[تعداد کل روزهای بدهکار (روز)]]*Main[[#This Row],[مانده در خط کل (کیلوگرم)]]</f>
        <v>0</v>
      </c>
      <c r="X67" s="6">
        <f>-SUBTOTAL(9,INDEX(Main[مقدار تسویه شده (کیلوگرم)],1):Main[[#This Row],[مقدار تسویه شده (کیلوگرم)]])</f>
        <v>0</v>
      </c>
      <c r="Y67" s="6">
        <f>IF(Main[[#This Row],[مانده در خط تسویه شده (کیلوگرم)]]&lt;&gt;0,Main[[#This Row],[تعداد کل روزهای بدهکار (روز)]],0)</f>
        <v>0</v>
      </c>
      <c r="Z67" s="6">
        <f>Main[[#This Row],[تعداد روزهای بدهکار تسویه شده (روز)]]*Main[[#This Row],[مانده در خط تسویه شده (کیلوگرم)]]</f>
        <v>0</v>
      </c>
      <c r="AA67" s="6">
        <f>SUBTOTAL(9,INDEX(Main[بدهی تسویه نشده (کیلوگرم)],1):Main[[#This Row],[بدهی تسویه نشده (کیلوگرم)]])</f>
        <v>0</v>
      </c>
      <c r="AB67" s="6">
        <f>IF(Main[[#This Row],[مانده در خط تسویه نشده (کیلوگرم)]]&lt;&gt;0,Main[[#This Row],[تعداد کل روزهای بدهکار (روز)]],0)</f>
        <v>0</v>
      </c>
      <c r="AC67" s="6">
        <f>Main[[#This Row],[تعداد روزهای بدهکار  تسویه نشده (روز)]]*Main[[#This Row],[مانده در خط تسویه نشده (کیلوگرم)]]</f>
        <v>0</v>
      </c>
      <c r="AD67" s="6">
        <f>SUBTOTAL(9,INDEX(Main[بدهی سررسید شده (کیلوگرم)],1):Main[[#This Row],[بدهی سررسید شده (کیلوگرم)]])</f>
        <v>0</v>
      </c>
      <c r="AE67" s="6">
        <f>IF(Main[[#This Row],[مانده در خط سررسید شده (کیلوگرم)]]&lt;&gt;0,Main[[#This Row],[تعداد کل روزهای بدهکار (روز)]],0)</f>
        <v>0</v>
      </c>
      <c r="AF67" s="6">
        <f>Main[[#This Row],[تعداد روزهای بدهکار سررسید شده (روز)]]*Main[[#This Row],[مانده در خط سررسید شده (کیلوگرم)]]</f>
        <v>0</v>
      </c>
    </row>
    <row r="68" spans="1:32" hidden="1" x14ac:dyDescent="0.35">
      <c r="A68" s="5">
        <f>ROW()-ROW(INDEX(Main[ردیف],1))+1</f>
        <v>66</v>
      </c>
      <c r="B68" s="31">
        <f>SUBTOTAL(2,INDEX(Main[ردیف],1):Main[[#This Row],[ردیف]])</f>
        <v>0</v>
      </c>
      <c r="C68" s="32" t="s">
        <v>452</v>
      </c>
      <c r="D68" s="32" t="str">
        <f>_xlfn.CONCAT("14",Main[[#This Row],[تاريخ]])</f>
        <v>1400/01/01</v>
      </c>
      <c r="E68" s="33">
        <v>44276</v>
      </c>
      <c r="F68" s="32">
        <v>30104</v>
      </c>
      <c r="G68" s="5" t="str">
        <f>INDEX(customer[عنوان],MATCH(Main[[#This Row],[کد ردیابی]],customer[کد],0))</f>
        <v>مس دمیرتبریز</v>
      </c>
      <c r="H68">
        <v>-2185</v>
      </c>
      <c r="I68" s="6">
        <f ca="1">-Main[[#This Row],[بدهی تسویه شده (کیلوگرم)]]+Main[[#This Row],[بستانکار (کیلوگرم)]]</f>
        <v>-2185</v>
      </c>
      <c r="J68" s="6">
        <f>IF(Main[[#This Row],[مقدار (کیلوگرم)]]&gt;0,Main[[#This Row],[مقدار (کیلوگرم)]],0)</f>
        <v>0</v>
      </c>
      <c r="K68" s="6">
        <f>-IF(Main[[#This Row],[مقدار (کیلوگرم)]]&lt;0,Main[[#This Row],[مقدار (کیلوگرم)]],0)</f>
        <v>2185</v>
      </c>
      <c r="L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" s="7">
        <f>-IF(AND(Main[[#This Row],[مقدار (کیلوگرم)]]&lt;0,Main[[#This Row],[تاريخ میلادی]]&gt;44276),Main[[#This Row],[مقدار (کیلوگرم)]],0)</f>
        <v>0</v>
      </c>
      <c r="N68" s="6">
        <f ca="1">Main[[#This Row],[بدهکار (کیلوگرم)]]-Main[[#This Row],[بدهی تسویه نشده (کیلوگرم)]]</f>
        <v>2185</v>
      </c>
      <c r="O68" s="6">
        <f ca="1">Main[[#This Row],[تفکیک]]</f>
        <v>0</v>
      </c>
      <c r="P68" s="6">
        <f ca="1">IF(Main[[#This Row],[تاخیر از سررسید]]&gt;0,Main[[#This Row],[بدهی تسویه نشده (کیلوگرم)]],0)</f>
        <v>0</v>
      </c>
      <c r="Q68" s="6">
        <f ca="1">IF(Main[[#This Row],[بدهی تسویه نشده (کیلوگرم)]]&gt;0,'گزارش فردی'!$B$7-Main[[#This Row],[تاريخ میلادی]],0)</f>
        <v>0</v>
      </c>
      <c r="R68" s="6">
        <f ca="1">IF(Main[[#This Row],[بدهی تسویه نشده (کیلوگرم)]]&gt;0,'گزارش فردی'!$B$7-Main[[#This Row],[تاريخ میلادی]]-'گزارش فردی'!$B$8,0)</f>
        <v>0</v>
      </c>
      <c r="S68" s="6">
        <f ca="1">Main[[#This Row],[روز از ارسال سفارش]]*Main[[#This Row],[بدهی تسویه نشده (کیلوگرم)]]</f>
        <v>0</v>
      </c>
      <c r="T68" s="6">
        <f ca="1">Main[[#This Row],[بدهی سررسید شده (کیلوگرم)]]*Main[[#This Row],[روز از ارسال سفارش]]</f>
        <v>0</v>
      </c>
      <c r="U68" s="6">
        <f>-SUBTOTAL(9,INDEX(Main[مقدار (کیلوگرم)],1):Main[[#This Row],[مقدار (کیلوگرم)]])</f>
        <v>0</v>
      </c>
      <c r="V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" s="6">
        <f>Main[[#This Row],[تعداد کل روزهای بدهکار (روز)]]*Main[[#This Row],[مانده در خط کل (کیلوگرم)]]</f>
        <v>0</v>
      </c>
      <c r="X68" s="6">
        <f>-SUBTOTAL(9,INDEX(Main[مقدار تسویه شده (کیلوگرم)],1):Main[[#This Row],[مقدار تسویه شده (کیلوگرم)]])</f>
        <v>0</v>
      </c>
      <c r="Y68" s="6">
        <f>IF(Main[[#This Row],[مانده در خط تسویه شده (کیلوگرم)]]&lt;&gt;0,Main[[#This Row],[تعداد کل روزهای بدهکار (روز)]],0)</f>
        <v>0</v>
      </c>
      <c r="Z68" s="6">
        <f>Main[[#This Row],[تعداد روزهای بدهکار تسویه شده (روز)]]*Main[[#This Row],[مانده در خط تسویه شده (کیلوگرم)]]</f>
        <v>0</v>
      </c>
      <c r="AA68" s="6">
        <f>SUBTOTAL(9,INDEX(Main[بدهی تسویه نشده (کیلوگرم)],1):Main[[#This Row],[بدهی تسویه نشده (کیلوگرم)]])</f>
        <v>0</v>
      </c>
      <c r="AB68" s="6">
        <f>IF(Main[[#This Row],[مانده در خط تسویه نشده (کیلوگرم)]]&lt;&gt;0,Main[[#This Row],[تعداد کل روزهای بدهکار (روز)]],0)</f>
        <v>0</v>
      </c>
      <c r="AC68" s="6">
        <f>Main[[#This Row],[تعداد روزهای بدهکار  تسویه نشده (روز)]]*Main[[#This Row],[مانده در خط تسویه نشده (کیلوگرم)]]</f>
        <v>0</v>
      </c>
      <c r="AD68" s="6">
        <f>SUBTOTAL(9,INDEX(Main[بدهی سررسید شده (کیلوگرم)],1):Main[[#This Row],[بدهی سررسید شده (کیلوگرم)]])</f>
        <v>0</v>
      </c>
      <c r="AE68" s="6">
        <f>IF(Main[[#This Row],[مانده در خط سررسید شده (کیلوگرم)]]&lt;&gt;0,Main[[#This Row],[تعداد کل روزهای بدهکار (روز)]],0)</f>
        <v>0</v>
      </c>
      <c r="AF68" s="6">
        <f>Main[[#This Row],[تعداد روزهای بدهکار سررسید شده (روز)]]*Main[[#This Row],[مانده در خط سررسید شده (کیلوگرم)]]</f>
        <v>0</v>
      </c>
    </row>
    <row r="69" spans="1:32" hidden="1" x14ac:dyDescent="0.35">
      <c r="A69" s="5">
        <f>ROW()-ROW(INDEX(Main[ردیف],1))+1</f>
        <v>67</v>
      </c>
      <c r="B69" s="31">
        <f>SUBTOTAL(2,INDEX(Main[ردیف],1):Main[[#This Row],[ردیف]])</f>
        <v>0</v>
      </c>
      <c r="C69" s="32" t="s">
        <v>452</v>
      </c>
      <c r="D69" s="32" t="str">
        <f>_xlfn.CONCAT("14",Main[[#This Row],[تاريخ]])</f>
        <v>1400/01/01</v>
      </c>
      <c r="E69" s="33">
        <v>44276</v>
      </c>
      <c r="F69" s="32">
        <v>10069</v>
      </c>
      <c r="G69" s="5" t="str">
        <f>INDEX(customer[عنوان],MATCH(Main[[#This Row],[کد ردیابی]],customer[کد],0))</f>
        <v xml:space="preserve">جواد عرب </v>
      </c>
      <c r="H69">
        <v>1553</v>
      </c>
      <c r="I69" s="6">
        <f ca="1">-Main[[#This Row],[بدهی تسویه شده (کیلوگرم)]]+Main[[#This Row],[بستانکار (کیلوگرم)]]</f>
        <v>1553</v>
      </c>
      <c r="J69" s="6">
        <f>IF(Main[[#This Row],[مقدار (کیلوگرم)]]&gt;0,Main[[#This Row],[مقدار (کیلوگرم)]],0)</f>
        <v>1553</v>
      </c>
      <c r="K69" s="6">
        <f>-IF(Main[[#This Row],[مقدار (کیلوگرم)]]&lt;0,Main[[#This Row],[مقدار (کیلوگرم)]],0)</f>
        <v>0</v>
      </c>
      <c r="L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" s="7">
        <f>-IF(AND(Main[[#This Row],[مقدار (کیلوگرم)]]&lt;0,Main[[#This Row],[تاريخ میلادی]]&gt;44276),Main[[#This Row],[مقدار (کیلوگرم)]],0)</f>
        <v>0</v>
      </c>
      <c r="N69" s="6">
        <f ca="1">Main[[#This Row],[بدهکار (کیلوگرم)]]-Main[[#This Row],[بدهی تسویه نشده (کیلوگرم)]]</f>
        <v>0</v>
      </c>
      <c r="O69" s="6">
        <f ca="1">Main[[#This Row],[تفکیک]]</f>
        <v>0</v>
      </c>
      <c r="P69" s="6">
        <f ca="1">IF(Main[[#This Row],[تاخیر از سررسید]]&gt;0,Main[[#This Row],[بدهی تسویه نشده (کیلوگرم)]],0)</f>
        <v>0</v>
      </c>
      <c r="Q69" s="6">
        <f ca="1">IF(Main[[#This Row],[بدهی تسویه نشده (کیلوگرم)]]&gt;0,'گزارش فردی'!$B$7-Main[[#This Row],[تاريخ میلادی]],0)</f>
        <v>0</v>
      </c>
      <c r="R69" s="6">
        <f ca="1">IF(Main[[#This Row],[بدهی تسویه نشده (کیلوگرم)]]&gt;0,'گزارش فردی'!$B$7-Main[[#This Row],[تاريخ میلادی]]-'گزارش فردی'!$B$8,0)</f>
        <v>0</v>
      </c>
      <c r="S69" s="6">
        <f ca="1">Main[[#This Row],[روز از ارسال سفارش]]*Main[[#This Row],[بدهی تسویه نشده (کیلوگرم)]]</f>
        <v>0</v>
      </c>
      <c r="T69" s="6">
        <f ca="1">Main[[#This Row],[بدهی سررسید شده (کیلوگرم)]]*Main[[#This Row],[روز از ارسال سفارش]]</f>
        <v>0</v>
      </c>
      <c r="U69" s="6">
        <f>-SUBTOTAL(9,INDEX(Main[مقدار (کیلوگرم)],1):Main[[#This Row],[مقدار (کیلوگرم)]])</f>
        <v>0</v>
      </c>
      <c r="V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" s="6">
        <f>Main[[#This Row],[تعداد کل روزهای بدهکار (روز)]]*Main[[#This Row],[مانده در خط کل (کیلوگرم)]]</f>
        <v>0</v>
      </c>
      <c r="X69" s="6">
        <f>-SUBTOTAL(9,INDEX(Main[مقدار تسویه شده (کیلوگرم)],1):Main[[#This Row],[مقدار تسویه شده (کیلوگرم)]])</f>
        <v>0</v>
      </c>
      <c r="Y69" s="6">
        <f>IF(Main[[#This Row],[مانده در خط تسویه شده (کیلوگرم)]]&lt;&gt;0,Main[[#This Row],[تعداد کل روزهای بدهکار (روز)]],0)</f>
        <v>0</v>
      </c>
      <c r="Z69" s="6">
        <f>Main[[#This Row],[تعداد روزهای بدهکار تسویه شده (روز)]]*Main[[#This Row],[مانده در خط تسویه شده (کیلوگرم)]]</f>
        <v>0</v>
      </c>
      <c r="AA69" s="6">
        <f>SUBTOTAL(9,INDEX(Main[بدهی تسویه نشده (کیلوگرم)],1):Main[[#This Row],[بدهی تسویه نشده (کیلوگرم)]])</f>
        <v>0</v>
      </c>
      <c r="AB69" s="6">
        <f>IF(Main[[#This Row],[مانده در خط تسویه نشده (کیلوگرم)]]&lt;&gt;0,Main[[#This Row],[تعداد کل روزهای بدهکار (روز)]],0)</f>
        <v>0</v>
      </c>
      <c r="AC69" s="6">
        <f>Main[[#This Row],[تعداد روزهای بدهکار  تسویه نشده (روز)]]*Main[[#This Row],[مانده در خط تسویه نشده (کیلوگرم)]]</f>
        <v>0</v>
      </c>
      <c r="AD69" s="6">
        <f>SUBTOTAL(9,INDEX(Main[بدهی سررسید شده (کیلوگرم)],1):Main[[#This Row],[بدهی سررسید شده (کیلوگرم)]])</f>
        <v>0</v>
      </c>
      <c r="AE69" s="6">
        <f>IF(Main[[#This Row],[مانده در خط سررسید شده (کیلوگرم)]]&lt;&gt;0,Main[[#This Row],[تعداد کل روزهای بدهکار (روز)]],0)</f>
        <v>0</v>
      </c>
      <c r="AF69" s="6">
        <f>Main[[#This Row],[تعداد روزهای بدهکار سررسید شده (روز)]]*Main[[#This Row],[مانده در خط سررسید شده (کیلوگرم)]]</f>
        <v>0</v>
      </c>
    </row>
    <row r="70" spans="1:32" hidden="1" x14ac:dyDescent="0.35">
      <c r="A70" s="5">
        <f>ROW()-ROW(INDEX(Main[ردیف],1))+1</f>
        <v>68</v>
      </c>
      <c r="B70" s="31">
        <f>SUBTOTAL(2,INDEX(Main[ردیف],1):Main[[#This Row],[ردیف]])</f>
        <v>0</v>
      </c>
      <c r="C70" s="32" t="s">
        <v>452</v>
      </c>
      <c r="D70" s="32" t="str">
        <f>_xlfn.CONCAT("14",Main[[#This Row],[تاريخ]])</f>
        <v>1400/01/01</v>
      </c>
      <c r="E70" s="33">
        <v>44276</v>
      </c>
      <c r="F70" s="32">
        <v>10052</v>
      </c>
      <c r="G70" s="5" t="str">
        <f>INDEX(customer[عنوان],MATCH(Main[[#This Row],[کد ردیابی]],customer[کد],0))</f>
        <v xml:space="preserve">ابوالقاسم اصغری </v>
      </c>
      <c r="H70">
        <v>-2</v>
      </c>
      <c r="I70" s="6">
        <f ca="1">-Main[[#This Row],[بدهی تسویه شده (کیلوگرم)]]+Main[[#This Row],[بستانکار (کیلوگرم)]]</f>
        <v>-2</v>
      </c>
      <c r="J70" s="6">
        <f>IF(Main[[#This Row],[مقدار (کیلوگرم)]]&gt;0,Main[[#This Row],[مقدار (کیلوگرم)]],0)</f>
        <v>0</v>
      </c>
      <c r="K70" s="6">
        <f>-IF(Main[[#This Row],[مقدار (کیلوگرم)]]&lt;0,Main[[#This Row],[مقدار (کیلوگرم)]],0)</f>
        <v>2</v>
      </c>
      <c r="L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" s="7">
        <f>-IF(AND(Main[[#This Row],[مقدار (کیلوگرم)]]&lt;0,Main[[#This Row],[تاريخ میلادی]]&gt;44276),Main[[#This Row],[مقدار (کیلوگرم)]],0)</f>
        <v>0</v>
      </c>
      <c r="N70" s="6">
        <f ca="1">Main[[#This Row],[بدهکار (کیلوگرم)]]-Main[[#This Row],[بدهی تسویه نشده (کیلوگرم)]]</f>
        <v>2</v>
      </c>
      <c r="O70" s="6">
        <f ca="1">Main[[#This Row],[تفکیک]]</f>
        <v>0</v>
      </c>
      <c r="P70" s="6">
        <f ca="1">IF(Main[[#This Row],[تاخیر از سررسید]]&gt;0,Main[[#This Row],[بدهی تسویه نشده (کیلوگرم)]],0)</f>
        <v>0</v>
      </c>
      <c r="Q70" s="6">
        <f ca="1">IF(Main[[#This Row],[بدهی تسویه نشده (کیلوگرم)]]&gt;0,'گزارش فردی'!$B$7-Main[[#This Row],[تاريخ میلادی]],0)</f>
        <v>0</v>
      </c>
      <c r="R70" s="6">
        <f ca="1">IF(Main[[#This Row],[بدهی تسویه نشده (کیلوگرم)]]&gt;0,'گزارش فردی'!$B$7-Main[[#This Row],[تاريخ میلادی]]-'گزارش فردی'!$B$8,0)</f>
        <v>0</v>
      </c>
      <c r="S70" s="6">
        <f ca="1">Main[[#This Row],[روز از ارسال سفارش]]*Main[[#This Row],[بدهی تسویه نشده (کیلوگرم)]]</f>
        <v>0</v>
      </c>
      <c r="T70" s="6">
        <f ca="1">Main[[#This Row],[بدهی سررسید شده (کیلوگرم)]]*Main[[#This Row],[روز از ارسال سفارش]]</f>
        <v>0</v>
      </c>
      <c r="U70" s="6">
        <f>-SUBTOTAL(9,INDEX(Main[مقدار (کیلوگرم)],1):Main[[#This Row],[مقدار (کیلوگرم)]])</f>
        <v>0</v>
      </c>
      <c r="V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" s="6">
        <f>Main[[#This Row],[تعداد کل روزهای بدهکار (روز)]]*Main[[#This Row],[مانده در خط کل (کیلوگرم)]]</f>
        <v>0</v>
      </c>
      <c r="X70" s="6">
        <f>-SUBTOTAL(9,INDEX(Main[مقدار تسویه شده (کیلوگرم)],1):Main[[#This Row],[مقدار تسویه شده (کیلوگرم)]])</f>
        <v>0</v>
      </c>
      <c r="Y70" s="6">
        <f>IF(Main[[#This Row],[مانده در خط تسویه شده (کیلوگرم)]]&lt;&gt;0,Main[[#This Row],[تعداد کل روزهای بدهکار (روز)]],0)</f>
        <v>0</v>
      </c>
      <c r="Z70" s="6">
        <f>Main[[#This Row],[تعداد روزهای بدهکار تسویه شده (روز)]]*Main[[#This Row],[مانده در خط تسویه شده (کیلوگرم)]]</f>
        <v>0</v>
      </c>
      <c r="AA70" s="6">
        <f>SUBTOTAL(9,INDEX(Main[بدهی تسویه نشده (کیلوگرم)],1):Main[[#This Row],[بدهی تسویه نشده (کیلوگرم)]])</f>
        <v>0</v>
      </c>
      <c r="AB70" s="6">
        <f>IF(Main[[#This Row],[مانده در خط تسویه نشده (کیلوگرم)]]&lt;&gt;0,Main[[#This Row],[تعداد کل روزهای بدهکار (روز)]],0)</f>
        <v>0</v>
      </c>
      <c r="AC70" s="6">
        <f>Main[[#This Row],[تعداد روزهای بدهکار  تسویه نشده (روز)]]*Main[[#This Row],[مانده در خط تسویه نشده (کیلوگرم)]]</f>
        <v>0</v>
      </c>
      <c r="AD70" s="6">
        <f>SUBTOTAL(9,INDEX(Main[بدهی سررسید شده (کیلوگرم)],1):Main[[#This Row],[بدهی سررسید شده (کیلوگرم)]])</f>
        <v>0</v>
      </c>
      <c r="AE70" s="6">
        <f>IF(Main[[#This Row],[مانده در خط سررسید شده (کیلوگرم)]]&lt;&gt;0,Main[[#This Row],[تعداد کل روزهای بدهکار (روز)]],0)</f>
        <v>0</v>
      </c>
      <c r="AF70" s="6">
        <f>Main[[#This Row],[تعداد روزهای بدهکار سررسید شده (روز)]]*Main[[#This Row],[مانده در خط سررسید شده (کیلوگرم)]]</f>
        <v>0</v>
      </c>
    </row>
    <row r="71" spans="1:32" hidden="1" x14ac:dyDescent="0.35">
      <c r="A71" s="5">
        <f>ROW()-ROW(INDEX(Main[ردیف],1))+1</f>
        <v>69</v>
      </c>
      <c r="B71" s="31">
        <f>SUBTOTAL(2,INDEX(Main[ردیف],1):Main[[#This Row],[ردیف]])</f>
        <v>0</v>
      </c>
      <c r="C71" s="32" t="s">
        <v>452</v>
      </c>
      <c r="D71" s="32" t="str">
        <f>_xlfn.CONCAT("14",Main[[#This Row],[تاريخ]])</f>
        <v>1400/01/01</v>
      </c>
      <c r="E71" s="33">
        <v>44276</v>
      </c>
      <c r="F71" s="32">
        <v>10020</v>
      </c>
      <c r="G71" s="5" t="str">
        <f>INDEX(customer[عنوان],MATCH(Main[[#This Row],[کد ردیابی]],customer[کد],0))</f>
        <v>فرزاد اسماعیل زاده</v>
      </c>
      <c r="H71">
        <v>649</v>
      </c>
      <c r="I71" s="6">
        <f ca="1">-Main[[#This Row],[بدهی تسویه شده (کیلوگرم)]]+Main[[#This Row],[بستانکار (کیلوگرم)]]</f>
        <v>649</v>
      </c>
      <c r="J71" s="6">
        <f>IF(Main[[#This Row],[مقدار (کیلوگرم)]]&gt;0,Main[[#This Row],[مقدار (کیلوگرم)]],0)</f>
        <v>649</v>
      </c>
      <c r="K71" s="6">
        <f>-IF(Main[[#This Row],[مقدار (کیلوگرم)]]&lt;0,Main[[#This Row],[مقدار (کیلوگرم)]],0)</f>
        <v>0</v>
      </c>
      <c r="L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" s="7">
        <f>-IF(AND(Main[[#This Row],[مقدار (کیلوگرم)]]&lt;0,Main[[#This Row],[تاريخ میلادی]]&gt;44276),Main[[#This Row],[مقدار (کیلوگرم)]],0)</f>
        <v>0</v>
      </c>
      <c r="N71" s="6">
        <f ca="1">Main[[#This Row],[بدهکار (کیلوگرم)]]-Main[[#This Row],[بدهی تسویه نشده (کیلوگرم)]]</f>
        <v>0</v>
      </c>
      <c r="O71" s="6">
        <f ca="1">Main[[#This Row],[تفکیک]]</f>
        <v>0</v>
      </c>
      <c r="P71" s="6">
        <f ca="1">IF(Main[[#This Row],[تاخیر از سررسید]]&gt;0,Main[[#This Row],[بدهی تسویه نشده (کیلوگرم)]],0)</f>
        <v>0</v>
      </c>
      <c r="Q71" s="6">
        <f ca="1">IF(Main[[#This Row],[بدهی تسویه نشده (کیلوگرم)]]&gt;0,'گزارش فردی'!$B$7-Main[[#This Row],[تاريخ میلادی]],0)</f>
        <v>0</v>
      </c>
      <c r="R71" s="6">
        <f ca="1">IF(Main[[#This Row],[بدهی تسویه نشده (کیلوگرم)]]&gt;0,'گزارش فردی'!$B$7-Main[[#This Row],[تاريخ میلادی]]-'گزارش فردی'!$B$8,0)</f>
        <v>0</v>
      </c>
      <c r="S71" s="6">
        <f ca="1">Main[[#This Row],[روز از ارسال سفارش]]*Main[[#This Row],[بدهی تسویه نشده (کیلوگرم)]]</f>
        <v>0</v>
      </c>
      <c r="T71" s="6">
        <f ca="1">Main[[#This Row],[بدهی سررسید شده (کیلوگرم)]]*Main[[#This Row],[روز از ارسال سفارش]]</f>
        <v>0</v>
      </c>
      <c r="U71" s="6">
        <f>-SUBTOTAL(9,INDEX(Main[مقدار (کیلوگرم)],1):Main[[#This Row],[مقدار (کیلوگرم)]])</f>
        <v>0</v>
      </c>
      <c r="V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" s="6">
        <f>Main[[#This Row],[تعداد کل روزهای بدهکار (روز)]]*Main[[#This Row],[مانده در خط کل (کیلوگرم)]]</f>
        <v>0</v>
      </c>
      <c r="X71" s="6">
        <f>-SUBTOTAL(9,INDEX(Main[مقدار تسویه شده (کیلوگرم)],1):Main[[#This Row],[مقدار تسویه شده (کیلوگرم)]])</f>
        <v>0</v>
      </c>
      <c r="Y71" s="6">
        <f>IF(Main[[#This Row],[مانده در خط تسویه شده (کیلوگرم)]]&lt;&gt;0,Main[[#This Row],[تعداد کل روزهای بدهکار (روز)]],0)</f>
        <v>0</v>
      </c>
      <c r="Z71" s="6">
        <f>Main[[#This Row],[تعداد روزهای بدهکار تسویه شده (روز)]]*Main[[#This Row],[مانده در خط تسویه شده (کیلوگرم)]]</f>
        <v>0</v>
      </c>
      <c r="AA71" s="6">
        <f>SUBTOTAL(9,INDEX(Main[بدهی تسویه نشده (کیلوگرم)],1):Main[[#This Row],[بدهی تسویه نشده (کیلوگرم)]])</f>
        <v>0</v>
      </c>
      <c r="AB71" s="6">
        <f>IF(Main[[#This Row],[مانده در خط تسویه نشده (کیلوگرم)]]&lt;&gt;0,Main[[#This Row],[تعداد کل روزهای بدهکار (روز)]],0)</f>
        <v>0</v>
      </c>
      <c r="AC71" s="6">
        <f>Main[[#This Row],[تعداد روزهای بدهکار  تسویه نشده (روز)]]*Main[[#This Row],[مانده در خط تسویه نشده (کیلوگرم)]]</f>
        <v>0</v>
      </c>
      <c r="AD71" s="6">
        <f>SUBTOTAL(9,INDEX(Main[بدهی سررسید شده (کیلوگرم)],1):Main[[#This Row],[بدهی سررسید شده (کیلوگرم)]])</f>
        <v>0</v>
      </c>
      <c r="AE71" s="6">
        <f>IF(Main[[#This Row],[مانده در خط سررسید شده (کیلوگرم)]]&lt;&gt;0,Main[[#This Row],[تعداد کل روزهای بدهکار (روز)]],0)</f>
        <v>0</v>
      </c>
      <c r="AF71" s="6">
        <f>Main[[#This Row],[تعداد روزهای بدهکار سررسید شده (روز)]]*Main[[#This Row],[مانده در خط سررسید شده (کیلوگرم)]]</f>
        <v>0</v>
      </c>
    </row>
    <row r="72" spans="1:32" hidden="1" x14ac:dyDescent="0.35">
      <c r="A72" s="5">
        <f>ROW()-ROW(INDEX(Main[ردیف],1))+1</f>
        <v>70</v>
      </c>
      <c r="B72" s="31">
        <f>SUBTOTAL(2,INDEX(Main[ردیف],1):Main[[#This Row],[ردیف]])</f>
        <v>0</v>
      </c>
      <c r="C72" s="32" t="s">
        <v>452</v>
      </c>
      <c r="D72" s="32" t="str">
        <f>_xlfn.CONCAT("14",Main[[#This Row],[تاريخ]])</f>
        <v>1400/01/01</v>
      </c>
      <c r="E72" s="33">
        <v>44276</v>
      </c>
      <c r="F72" s="32">
        <v>30031</v>
      </c>
      <c r="G72" s="5" t="str">
        <f>INDEX(customer[عنوان],MATCH(Main[[#This Row],[کد ردیابی]],customer[کد],0))</f>
        <v xml:space="preserve">پارت سازان شرق </v>
      </c>
      <c r="H72">
        <v>-1</v>
      </c>
      <c r="I72" s="6">
        <f ca="1">-Main[[#This Row],[بدهی تسویه شده (کیلوگرم)]]+Main[[#This Row],[بستانکار (کیلوگرم)]]</f>
        <v>-1</v>
      </c>
      <c r="J72" s="6">
        <f>IF(Main[[#This Row],[مقدار (کیلوگرم)]]&gt;0,Main[[#This Row],[مقدار (کیلوگرم)]],0)</f>
        <v>0</v>
      </c>
      <c r="K72" s="6">
        <f>-IF(Main[[#This Row],[مقدار (کیلوگرم)]]&lt;0,Main[[#This Row],[مقدار (کیلوگرم)]],0)</f>
        <v>1</v>
      </c>
      <c r="L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" s="7">
        <f>-IF(AND(Main[[#This Row],[مقدار (کیلوگرم)]]&lt;0,Main[[#This Row],[تاريخ میلادی]]&gt;44276),Main[[#This Row],[مقدار (کیلوگرم)]],0)</f>
        <v>0</v>
      </c>
      <c r="N72" s="6">
        <f ca="1">Main[[#This Row],[بدهکار (کیلوگرم)]]-Main[[#This Row],[بدهی تسویه نشده (کیلوگرم)]]</f>
        <v>1</v>
      </c>
      <c r="O72" s="6">
        <f ca="1">Main[[#This Row],[تفکیک]]</f>
        <v>0</v>
      </c>
      <c r="P72" s="6">
        <f ca="1">IF(Main[[#This Row],[تاخیر از سررسید]]&gt;0,Main[[#This Row],[بدهی تسویه نشده (کیلوگرم)]],0)</f>
        <v>0</v>
      </c>
      <c r="Q72" s="6">
        <f ca="1">IF(Main[[#This Row],[بدهی تسویه نشده (کیلوگرم)]]&gt;0,'گزارش فردی'!$B$7-Main[[#This Row],[تاريخ میلادی]],0)</f>
        <v>0</v>
      </c>
      <c r="R72" s="6">
        <f ca="1">IF(Main[[#This Row],[بدهی تسویه نشده (کیلوگرم)]]&gt;0,'گزارش فردی'!$B$7-Main[[#This Row],[تاريخ میلادی]]-'گزارش فردی'!$B$8,0)</f>
        <v>0</v>
      </c>
      <c r="S72" s="6">
        <f ca="1">Main[[#This Row],[روز از ارسال سفارش]]*Main[[#This Row],[بدهی تسویه نشده (کیلوگرم)]]</f>
        <v>0</v>
      </c>
      <c r="T72" s="6">
        <f ca="1">Main[[#This Row],[بدهی سررسید شده (کیلوگرم)]]*Main[[#This Row],[روز از ارسال سفارش]]</f>
        <v>0</v>
      </c>
      <c r="U72" s="6">
        <f>-SUBTOTAL(9,INDEX(Main[مقدار (کیلوگرم)],1):Main[[#This Row],[مقدار (کیلوگرم)]])</f>
        <v>0</v>
      </c>
      <c r="V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2" s="6">
        <f>Main[[#This Row],[تعداد کل روزهای بدهکار (روز)]]*Main[[#This Row],[مانده در خط کل (کیلوگرم)]]</f>
        <v>0</v>
      </c>
      <c r="X72" s="6">
        <f>-SUBTOTAL(9,INDEX(Main[مقدار تسویه شده (کیلوگرم)],1):Main[[#This Row],[مقدار تسویه شده (کیلوگرم)]])</f>
        <v>0</v>
      </c>
      <c r="Y72" s="6">
        <f>IF(Main[[#This Row],[مانده در خط تسویه شده (کیلوگرم)]]&lt;&gt;0,Main[[#This Row],[تعداد کل روزهای بدهکار (روز)]],0)</f>
        <v>0</v>
      </c>
      <c r="Z72" s="6">
        <f>Main[[#This Row],[تعداد روزهای بدهکار تسویه شده (روز)]]*Main[[#This Row],[مانده در خط تسویه شده (کیلوگرم)]]</f>
        <v>0</v>
      </c>
      <c r="AA72" s="6">
        <f>SUBTOTAL(9,INDEX(Main[بدهی تسویه نشده (کیلوگرم)],1):Main[[#This Row],[بدهی تسویه نشده (کیلوگرم)]])</f>
        <v>0</v>
      </c>
      <c r="AB72" s="6">
        <f>IF(Main[[#This Row],[مانده در خط تسویه نشده (کیلوگرم)]]&lt;&gt;0,Main[[#This Row],[تعداد کل روزهای بدهکار (روز)]],0)</f>
        <v>0</v>
      </c>
      <c r="AC72" s="6">
        <f>Main[[#This Row],[تعداد روزهای بدهکار  تسویه نشده (روز)]]*Main[[#This Row],[مانده در خط تسویه نشده (کیلوگرم)]]</f>
        <v>0</v>
      </c>
      <c r="AD72" s="6">
        <f>SUBTOTAL(9,INDEX(Main[بدهی سررسید شده (کیلوگرم)],1):Main[[#This Row],[بدهی سررسید شده (کیلوگرم)]])</f>
        <v>0</v>
      </c>
      <c r="AE72" s="6">
        <f>IF(Main[[#This Row],[مانده در خط سررسید شده (کیلوگرم)]]&lt;&gt;0,Main[[#This Row],[تعداد کل روزهای بدهکار (روز)]],0)</f>
        <v>0</v>
      </c>
      <c r="AF72" s="6">
        <f>Main[[#This Row],[تعداد روزهای بدهکار سررسید شده (روز)]]*Main[[#This Row],[مانده در خط سررسید شده (کیلوگرم)]]</f>
        <v>0</v>
      </c>
    </row>
    <row r="73" spans="1:32" hidden="1" x14ac:dyDescent="0.35">
      <c r="A73" s="5">
        <f>ROW()-ROW(INDEX(Main[ردیف],1))+1</f>
        <v>71</v>
      </c>
      <c r="B73" s="31">
        <f>SUBTOTAL(2,INDEX(Main[ردیف],1):Main[[#This Row],[ردیف]])</f>
        <v>0</v>
      </c>
      <c r="C73" s="32" t="s">
        <v>452</v>
      </c>
      <c r="D73" s="32" t="str">
        <f>_xlfn.CONCAT("14",Main[[#This Row],[تاريخ]])</f>
        <v>1400/01/01</v>
      </c>
      <c r="E73" s="33">
        <v>44276</v>
      </c>
      <c r="F73" s="32">
        <v>30009</v>
      </c>
      <c r="G73" s="5" t="str">
        <f>INDEX(customer[عنوان],MATCH(Main[[#This Row],[کد ردیابی]],customer[کد],0))</f>
        <v>شرکت ایمن تک پیشرو</v>
      </c>
      <c r="H73">
        <v>1214</v>
      </c>
      <c r="I73" s="6">
        <f ca="1">-Main[[#This Row],[بدهی تسویه شده (کیلوگرم)]]+Main[[#This Row],[بستانکار (کیلوگرم)]]</f>
        <v>1214</v>
      </c>
      <c r="J73" s="6">
        <f>IF(Main[[#This Row],[مقدار (کیلوگرم)]]&gt;0,Main[[#This Row],[مقدار (کیلوگرم)]],0)</f>
        <v>1214</v>
      </c>
      <c r="K73" s="6">
        <f>-IF(Main[[#This Row],[مقدار (کیلوگرم)]]&lt;0,Main[[#This Row],[مقدار (کیلوگرم)]],0)</f>
        <v>0</v>
      </c>
      <c r="L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" s="7">
        <f>-IF(AND(Main[[#This Row],[مقدار (کیلوگرم)]]&lt;0,Main[[#This Row],[تاريخ میلادی]]&gt;44276),Main[[#This Row],[مقدار (کیلوگرم)]],0)</f>
        <v>0</v>
      </c>
      <c r="N73" s="6">
        <f ca="1">Main[[#This Row],[بدهکار (کیلوگرم)]]-Main[[#This Row],[بدهی تسویه نشده (کیلوگرم)]]</f>
        <v>0</v>
      </c>
      <c r="O73" s="6">
        <f ca="1">Main[[#This Row],[تفکیک]]</f>
        <v>0</v>
      </c>
      <c r="P73" s="6">
        <f ca="1">IF(Main[[#This Row],[تاخیر از سررسید]]&gt;0,Main[[#This Row],[بدهی تسویه نشده (کیلوگرم)]],0)</f>
        <v>0</v>
      </c>
      <c r="Q73" s="6">
        <f ca="1">IF(Main[[#This Row],[بدهی تسویه نشده (کیلوگرم)]]&gt;0,'گزارش فردی'!$B$7-Main[[#This Row],[تاريخ میلادی]],0)</f>
        <v>0</v>
      </c>
      <c r="R73" s="6">
        <f ca="1">IF(Main[[#This Row],[بدهی تسویه نشده (کیلوگرم)]]&gt;0,'گزارش فردی'!$B$7-Main[[#This Row],[تاريخ میلادی]]-'گزارش فردی'!$B$8,0)</f>
        <v>0</v>
      </c>
      <c r="S73" s="6">
        <f ca="1">Main[[#This Row],[روز از ارسال سفارش]]*Main[[#This Row],[بدهی تسویه نشده (کیلوگرم)]]</f>
        <v>0</v>
      </c>
      <c r="T73" s="6">
        <f ca="1">Main[[#This Row],[بدهی سررسید شده (کیلوگرم)]]*Main[[#This Row],[روز از ارسال سفارش]]</f>
        <v>0</v>
      </c>
      <c r="U73" s="6">
        <f>-SUBTOTAL(9,INDEX(Main[مقدار (کیلوگرم)],1):Main[[#This Row],[مقدار (کیلوگرم)]])</f>
        <v>0</v>
      </c>
      <c r="V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" s="6">
        <f>Main[[#This Row],[تعداد کل روزهای بدهکار (روز)]]*Main[[#This Row],[مانده در خط کل (کیلوگرم)]]</f>
        <v>0</v>
      </c>
      <c r="X73" s="6">
        <f>-SUBTOTAL(9,INDEX(Main[مقدار تسویه شده (کیلوگرم)],1):Main[[#This Row],[مقدار تسویه شده (کیلوگرم)]])</f>
        <v>0</v>
      </c>
      <c r="Y73" s="6">
        <f>IF(Main[[#This Row],[مانده در خط تسویه شده (کیلوگرم)]]&lt;&gt;0,Main[[#This Row],[تعداد کل روزهای بدهکار (روز)]],0)</f>
        <v>0</v>
      </c>
      <c r="Z73" s="6">
        <f>Main[[#This Row],[تعداد روزهای بدهکار تسویه شده (روز)]]*Main[[#This Row],[مانده در خط تسویه شده (کیلوگرم)]]</f>
        <v>0</v>
      </c>
      <c r="AA73" s="6">
        <f>SUBTOTAL(9,INDEX(Main[بدهی تسویه نشده (کیلوگرم)],1):Main[[#This Row],[بدهی تسویه نشده (کیلوگرم)]])</f>
        <v>0</v>
      </c>
      <c r="AB73" s="6">
        <f>IF(Main[[#This Row],[مانده در خط تسویه نشده (کیلوگرم)]]&lt;&gt;0,Main[[#This Row],[تعداد کل روزهای بدهکار (روز)]],0)</f>
        <v>0</v>
      </c>
      <c r="AC73" s="6">
        <f>Main[[#This Row],[تعداد روزهای بدهکار  تسویه نشده (روز)]]*Main[[#This Row],[مانده در خط تسویه نشده (کیلوگرم)]]</f>
        <v>0</v>
      </c>
      <c r="AD73" s="6">
        <f>SUBTOTAL(9,INDEX(Main[بدهی سررسید شده (کیلوگرم)],1):Main[[#This Row],[بدهی سررسید شده (کیلوگرم)]])</f>
        <v>0</v>
      </c>
      <c r="AE73" s="6">
        <f>IF(Main[[#This Row],[مانده در خط سررسید شده (کیلوگرم)]]&lt;&gt;0,Main[[#This Row],[تعداد کل روزهای بدهکار (روز)]],0)</f>
        <v>0</v>
      </c>
      <c r="AF73" s="6">
        <f>Main[[#This Row],[تعداد روزهای بدهکار سررسید شده (روز)]]*Main[[#This Row],[مانده در خط سررسید شده (کیلوگرم)]]</f>
        <v>0</v>
      </c>
    </row>
    <row r="74" spans="1:32" hidden="1" x14ac:dyDescent="0.35">
      <c r="A74" s="5">
        <f>ROW()-ROW(INDEX(Main[ردیف],1))+1</f>
        <v>72</v>
      </c>
      <c r="B74" s="31">
        <f>SUBTOTAL(2,INDEX(Main[ردیف],1):Main[[#This Row],[ردیف]])</f>
        <v>0</v>
      </c>
      <c r="C74" s="32" t="s">
        <v>452</v>
      </c>
      <c r="D74" s="32" t="str">
        <f>_xlfn.CONCAT("14",Main[[#This Row],[تاريخ]])</f>
        <v>1400/01/01</v>
      </c>
      <c r="E74" s="33">
        <v>44276</v>
      </c>
      <c r="F74" s="32">
        <v>30081</v>
      </c>
      <c r="G74" s="5" t="str">
        <f>INDEX(customer[عنوان],MATCH(Main[[#This Row],[کد ردیابی]],customer[کد],0))</f>
        <v xml:space="preserve">شیرآلات بهداشتی راسان </v>
      </c>
      <c r="H74">
        <v>-1829</v>
      </c>
      <c r="I74" s="6">
        <f ca="1">-Main[[#This Row],[بدهی تسویه شده (کیلوگرم)]]+Main[[#This Row],[بستانکار (کیلوگرم)]]</f>
        <v>-1829</v>
      </c>
      <c r="J74" s="6">
        <f>IF(Main[[#This Row],[مقدار (کیلوگرم)]]&gt;0,Main[[#This Row],[مقدار (کیلوگرم)]],0)</f>
        <v>0</v>
      </c>
      <c r="K74" s="6">
        <f>-IF(Main[[#This Row],[مقدار (کیلوگرم)]]&lt;0,Main[[#This Row],[مقدار (کیلوگرم)]],0)</f>
        <v>1829</v>
      </c>
      <c r="L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" s="7">
        <f>-IF(AND(Main[[#This Row],[مقدار (کیلوگرم)]]&lt;0,Main[[#This Row],[تاريخ میلادی]]&gt;44276),Main[[#This Row],[مقدار (کیلوگرم)]],0)</f>
        <v>0</v>
      </c>
      <c r="N74" s="6">
        <f ca="1">Main[[#This Row],[بدهکار (کیلوگرم)]]-Main[[#This Row],[بدهی تسویه نشده (کیلوگرم)]]</f>
        <v>1829</v>
      </c>
      <c r="O74" s="6">
        <f ca="1">Main[[#This Row],[تفکیک]]</f>
        <v>0</v>
      </c>
      <c r="P74" s="6">
        <f ca="1">IF(Main[[#This Row],[تاخیر از سررسید]]&gt;0,Main[[#This Row],[بدهی تسویه نشده (کیلوگرم)]],0)</f>
        <v>0</v>
      </c>
      <c r="Q74" s="6">
        <f ca="1">IF(Main[[#This Row],[بدهی تسویه نشده (کیلوگرم)]]&gt;0,'گزارش فردی'!$B$7-Main[[#This Row],[تاريخ میلادی]],0)</f>
        <v>0</v>
      </c>
      <c r="R74" s="6">
        <f ca="1">IF(Main[[#This Row],[بدهی تسویه نشده (کیلوگرم)]]&gt;0,'گزارش فردی'!$B$7-Main[[#This Row],[تاريخ میلادی]]-'گزارش فردی'!$B$8,0)</f>
        <v>0</v>
      </c>
      <c r="S74" s="6">
        <f ca="1">Main[[#This Row],[روز از ارسال سفارش]]*Main[[#This Row],[بدهی تسویه نشده (کیلوگرم)]]</f>
        <v>0</v>
      </c>
      <c r="T74" s="6">
        <f ca="1">Main[[#This Row],[بدهی سررسید شده (کیلوگرم)]]*Main[[#This Row],[روز از ارسال سفارش]]</f>
        <v>0</v>
      </c>
      <c r="U74" s="6">
        <f>-SUBTOTAL(9,INDEX(Main[مقدار (کیلوگرم)],1):Main[[#This Row],[مقدار (کیلوگرم)]])</f>
        <v>0</v>
      </c>
      <c r="V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" s="6">
        <f>Main[[#This Row],[تعداد کل روزهای بدهکار (روز)]]*Main[[#This Row],[مانده در خط کل (کیلوگرم)]]</f>
        <v>0</v>
      </c>
      <c r="X74" s="6">
        <f>-SUBTOTAL(9,INDEX(Main[مقدار تسویه شده (کیلوگرم)],1):Main[[#This Row],[مقدار تسویه شده (کیلوگرم)]])</f>
        <v>0</v>
      </c>
      <c r="Y74" s="6">
        <f>IF(Main[[#This Row],[مانده در خط تسویه شده (کیلوگرم)]]&lt;&gt;0,Main[[#This Row],[تعداد کل روزهای بدهکار (روز)]],0)</f>
        <v>0</v>
      </c>
      <c r="Z74" s="6">
        <f>Main[[#This Row],[تعداد روزهای بدهکار تسویه شده (روز)]]*Main[[#This Row],[مانده در خط تسویه شده (کیلوگرم)]]</f>
        <v>0</v>
      </c>
      <c r="AA74" s="6">
        <f>SUBTOTAL(9,INDEX(Main[بدهی تسویه نشده (کیلوگرم)],1):Main[[#This Row],[بدهی تسویه نشده (کیلوگرم)]])</f>
        <v>0</v>
      </c>
      <c r="AB74" s="6">
        <f>IF(Main[[#This Row],[مانده در خط تسویه نشده (کیلوگرم)]]&lt;&gt;0,Main[[#This Row],[تعداد کل روزهای بدهکار (روز)]],0)</f>
        <v>0</v>
      </c>
      <c r="AC74" s="6">
        <f>Main[[#This Row],[تعداد روزهای بدهکار  تسویه نشده (روز)]]*Main[[#This Row],[مانده در خط تسویه نشده (کیلوگرم)]]</f>
        <v>0</v>
      </c>
      <c r="AD74" s="6">
        <f>SUBTOTAL(9,INDEX(Main[بدهی سررسید شده (کیلوگرم)],1):Main[[#This Row],[بدهی سررسید شده (کیلوگرم)]])</f>
        <v>0</v>
      </c>
      <c r="AE74" s="6">
        <f>IF(Main[[#This Row],[مانده در خط سررسید شده (کیلوگرم)]]&lt;&gt;0,Main[[#This Row],[تعداد کل روزهای بدهکار (روز)]],0)</f>
        <v>0</v>
      </c>
      <c r="AF74" s="6">
        <f>Main[[#This Row],[تعداد روزهای بدهکار سررسید شده (روز)]]*Main[[#This Row],[مانده در خط سررسید شده (کیلوگرم)]]</f>
        <v>0</v>
      </c>
    </row>
    <row r="75" spans="1:32" hidden="1" x14ac:dyDescent="0.35">
      <c r="A75" s="5">
        <f>ROW()-ROW(INDEX(Main[ردیف],1))+1</f>
        <v>73</v>
      </c>
      <c r="B75" s="31">
        <f>SUBTOTAL(2,INDEX(Main[ردیف],1):Main[[#This Row],[ردیف]])</f>
        <v>0</v>
      </c>
      <c r="C75" s="32" t="s">
        <v>452</v>
      </c>
      <c r="D75" s="32" t="str">
        <f>_xlfn.CONCAT("14",Main[[#This Row],[تاريخ]])</f>
        <v>1400/01/01</v>
      </c>
      <c r="E75" s="33">
        <v>44276</v>
      </c>
      <c r="F75" s="32">
        <v>10027</v>
      </c>
      <c r="G75" s="5" t="str">
        <f>INDEX(customer[عنوان],MATCH(Main[[#This Row],[کد ردیابی]],customer[کد],0))</f>
        <v xml:space="preserve">مصطفی نورعلی </v>
      </c>
      <c r="H75">
        <v>21303</v>
      </c>
      <c r="I75" s="6">
        <f ca="1">-Main[[#This Row],[بدهی تسویه شده (کیلوگرم)]]+Main[[#This Row],[بستانکار (کیلوگرم)]]</f>
        <v>21303</v>
      </c>
      <c r="J75" s="6">
        <f>IF(Main[[#This Row],[مقدار (کیلوگرم)]]&gt;0,Main[[#This Row],[مقدار (کیلوگرم)]],0)</f>
        <v>21303</v>
      </c>
      <c r="K75" s="6">
        <f>-IF(Main[[#This Row],[مقدار (کیلوگرم)]]&lt;0,Main[[#This Row],[مقدار (کیلوگرم)]],0)</f>
        <v>0</v>
      </c>
      <c r="L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" s="7">
        <f>-IF(AND(Main[[#This Row],[مقدار (کیلوگرم)]]&lt;0,Main[[#This Row],[تاريخ میلادی]]&gt;44276),Main[[#This Row],[مقدار (کیلوگرم)]],0)</f>
        <v>0</v>
      </c>
      <c r="N75" s="6">
        <f ca="1">Main[[#This Row],[بدهکار (کیلوگرم)]]-Main[[#This Row],[بدهی تسویه نشده (کیلوگرم)]]</f>
        <v>0</v>
      </c>
      <c r="O75" s="6">
        <f ca="1">Main[[#This Row],[تفکیک]]</f>
        <v>0</v>
      </c>
      <c r="P75" s="6">
        <f ca="1">IF(Main[[#This Row],[تاخیر از سررسید]]&gt;0,Main[[#This Row],[بدهی تسویه نشده (کیلوگرم)]],0)</f>
        <v>0</v>
      </c>
      <c r="Q75" s="6">
        <f ca="1">IF(Main[[#This Row],[بدهی تسویه نشده (کیلوگرم)]]&gt;0,'گزارش فردی'!$B$7-Main[[#This Row],[تاريخ میلادی]],0)</f>
        <v>0</v>
      </c>
      <c r="R75" s="6">
        <f ca="1">IF(Main[[#This Row],[بدهی تسویه نشده (کیلوگرم)]]&gt;0,'گزارش فردی'!$B$7-Main[[#This Row],[تاريخ میلادی]]-'گزارش فردی'!$B$8,0)</f>
        <v>0</v>
      </c>
      <c r="S75" s="6">
        <f ca="1">Main[[#This Row],[روز از ارسال سفارش]]*Main[[#This Row],[بدهی تسویه نشده (کیلوگرم)]]</f>
        <v>0</v>
      </c>
      <c r="T75" s="6">
        <f ca="1">Main[[#This Row],[بدهی سررسید شده (کیلوگرم)]]*Main[[#This Row],[روز از ارسال سفارش]]</f>
        <v>0</v>
      </c>
      <c r="U75" s="6">
        <f>-SUBTOTAL(9,INDEX(Main[مقدار (کیلوگرم)],1):Main[[#This Row],[مقدار (کیلوگرم)]])</f>
        <v>0</v>
      </c>
      <c r="V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" s="6">
        <f>Main[[#This Row],[تعداد کل روزهای بدهکار (روز)]]*Main[[#This Row],[مانده در خط کل (کیلوگرم)]]</f>
        <v>0</v>
      </c>
      <c r="X75" s="6">
        <f>-SUBTOTAL(9,INDEX(Main[مقدار تسویه شده (کیلوگرم)],1):Main[[#This Row],[مقدار تسویه شده (کیلوگرم)]])</f>
        <v>0</v>
      </c>
      <c r="Y75" s="6">
        <f>IF(Main[[#This Row],[مانده در خط تسویه شده (کیلوگرم)]]&lt;&gt;0,Main[[#This Row],[تعداد کل روزهای بدهکار (روز)]],0)</f>
        <v>0</v>
      </c>
      <c r="Z75" s="6">
        <f>Main[[#This Row],[تعداد روزهای بدهکار تسویه شده (روز)]]*Main[[#This Row],[مانده در خط تسویه شده (کیلوگرم)]]</f>
        <v>0</v>
      </c>
      <c r="AA75" s="6">
        <f>SUBTOTAL(9,INDEX(Main[بدهی تسویه نشده (کیلوگرم)],1):Main[[#This Row],[بدهی تسویه نشده (کیلوگرم)]])</f>
        <v>0</v>
      </c>
      <c r="AB75" s="6">
        <f>IF(Main[[#This Row],[مانده در خط تسویه نشده (کیلوگرم)]]&lt;&gt;0,Main[[#This Row],[تعداد کل روزهای بدهکار (روز)]],0)</f>
        <v>0</v>
      </c>
      <c r="AC75" s="6">
        <f>Main[[#This Row],[تعداد روزهای بدهکار  تسویه نشده (روز)]]*Main[[#This Row],[مانده در خط تسویه نشده (کیلوگرم)]]</f>
        <v>0</v>
      </c>
      <c r="AD75" s="6">
        <f>SUBTOTAL(9,INDEX(Main[بدهی سررسید شده (کیلوگرم)],1):Main[[#This Row],[بدهی سررسید شده (کیلوگرم)]])</f>
        <v>0</v>
      </c>
      <c r="AE75" s="6">
        <f>IF(Main[[#This Row],[مانده در خط سررسید شده (کیلوگرم)]]&lt;&gt;0,Main[[#This Row],[تعداد کل روزهای بدهکار (روز)]],0)</f>
        <v>0</v>
      </c>
      <c r="AF75" s="6">
        <f>Main[[#This Row],[تعداد روزهای بدهکار سررسید شده (روز)]]*Main[[#This Row],[مانده در خط سررسید شده (کیلوگرم)]]</f>
        <v>0</v>
      </c>
    </row>
    <row r="76" spans="1:32" x14ac:dyDescent="0.35">
      <c r="A76" s="5">
        <f>ROW()-ROW(INDEX(Main[ردیف],1))+1</f>
        <v>74</v>
      </c>
      <c r="B76" s="31">
        <f>SUBTOTAL(2,INDEX(Main[ردیف],1):Main[[#This Row],[ردیف]])</f>
        <v>1</v>
      </c>
      <c r="C76" s="32" t="s">
        <v>452</v>
      </c>
      <c r="D76" s="32" t="str">
        <f>_xlfn.CONCAT("14",Main[[#This Row],[تاريخ]])</f>
        <v>1400/01/01</v>
      </c>
      <c r="E76" s="33">
        <v>44276</v>
      </c>
      <c r="F76" s="32">
        <v>10003</v>
      </c>
      <c r="G76" s="5" t="str">
        <f>INDEX(customer[عنوان],MATCH(Main[[#This Row],[کد ردیابی]],customer[کد],0))</f>
        <v>اصغر نورعلی</v>
      </c>
      <c r="H76">
        <v>-18547</v>
      </c>
      <c r="I76" s="6">
        <f ca="1">-Main[[#This Row],[بدهی تسویه شده (کیلوگرم)]]+Main[[#This Row],[بستانکار (کیلوگرم)]]</f>
        <v>-18547</v>
      </c>
      <c r="J76" s="6">
        <f>IF(Main[[#This Row],[مقدار (کیلوگرم)]]&gt;0,Main[[#This Row],[مقدار (کیلوگرم)]],0)</f>
        <v>0</v>
      </c>
      <c r="K76" s="6">
        <f>-IF(Main[[#This Row],[مقدار (کیلوگرم)]]&lt;0,Main[[#This Row],[مقدار (کیلوگرم)]],0)</f>
        <v>18547</v>
      </c>
      <c r="L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" s="7">
        <f>-IF(AND(Main[[#This Row],[مقدار (کیلوگرم)]]&lt;0,Main[[#This Row],[تاريخ میلادی]]&gt;44276),Main[[#This Row],[مقدار (کیلوگرم)]],0)</f>
        <v>0</v>
      </c>
      <c r="N76" s="6">
        <f ca="1">Main[[#This Row],[بدهکار (کیلوگرم)]]-Main[[#This Row],[بدهی تسویه نشده (کیلوگرم)]]</f>
        <v>18547</v>
      </c>
      <c r="O76" s="6">
        <f ca="1">Main[[#This Row],[تفکیک]]</f>
        <v>0</v>
      </c>
      <c r="P76" s="6">
        <f ca="1">IF(Main[[#This Row],[تاخیر از سررسید]]&gt;0,Main[[#This Row],[بدهی تسویه نشده (کیلوگرم)]],0)</f>
        <v>0</v>
      </c>
      <c r="Q76" s="6">
        <f ca="1">IF(Main[[#This Row],[بدهی تسویه نشده (کیلوگرم)]]&gt;0,'گزارش فردی'!$B$7-Main[[#This Row],[تاريخ میلادی]],0)</f>
        <v>0</v>
      </c>
      <c r="R76" s="6">
        <f ca="1">IF(Main[[#This Row],[بدهی تسویه نشده (کیلوگرم)]]&gt;0,'گزارش فردی'!$B$7-Main[[#This Row],[تاريخ میلادی]]-'گزارش فردی'!$B$8,0)</f>
        <v>0</v>
      </c>
      <c r="S76" s="6">
        <f ca="1">Main[[#This Row],[روز از ارسال سفارش]]*Main[[#This Row],[بدهی تسویه نشده (کیلوگرم)]]</f>
        <v>0</v>
      </c>
      <c r="T76" s="6">
        <f ca="1">Main[[#This Row],[بدهی سررسید شده (کیلوگرم)]]*Main[[#This Row],[روز از ارسال سفارش]]</f>
        <v>0</v>
      </c>
      <c r="U76" s="6">
        <f>-SUBTOTAL(9,INDEX(Main[مقدار (کیلوگرم)],1):Main[[#This Row],[مقدار (کیلوگرم)]])</f>
        <v>18547</v>
      </c>
      <c r="V76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6" s="6">
        <f>Main[[#This Row],[تعداد کل روزهای بدهکار (روز)]]*Main[[#This Row],[مانده در خط کل (کیلوگرم)]]</f>
        <v>259658</v>
      </c>
      <c r="X76" s="6">
        <f ca="1">-SUBTOTAL(9,INDEX(Main[مقدار تسویه شده (کیلوگرم)],1):Main[[#This Row],[مقدار تسویه شده (کیلوگرم)]])</f>
        <v>18547</v>
      </c>
      <c r="Y76" s="6">
        <f ca="1">IF(Main[[#This Row],[مانده در خط تسویه شده (کیلوگرم)]]&lt;&gt;0,Main[[#This Row],[تعداد کل روزهای بدهکار (روز)]],0)</f>
        <v>14</v>
      </c>
      <c r="Z76" s="6">
        <f ca="1">Main[[#This Row],[تعداد روزهای بدهکار تسویه شده (روز)]]*Main[[#This Row],[مانده در خط تسویه شده (کیلوگرم)]]</f>
        <v>259658</v>
      </c>
      <c r="AA76" s="6">
        <f ca="1">SUBTOTAL(9,INDEX(Main[بدهی تسویه نشده (کیلوگرم)],1):Main[[#This Row],[بدهی تسویه نشده (کیلوگرم)]])</f>
        <v>0</v>
      </c>
      <c r="AB76" s="6">
        <f ca="1">IF(Main[[#This Row],[مانده در خط تسویه نشده (کیلوگرم)]]&lt;&gt;0,Main[[#This Row],[تعداد کل روزهای بدهکار (روز)]],0)</f>
        <v>0</v>
      </c>
      <c r="AC76" s="6">
        <f ca="1">Main[[#This Row],[تعداد روزهای بدهکار  تسویه نشده (روز)]]*Main[[#This Row],[مانده در خط تسویه نشده (کیلوگرم)]]</f>
        <v>0</v>
      </c>
      <c r="AD76" s="6">
        <f ca="1">SUBTOTAL(9,INDEX(Main[بدهی سررسید شده (کیلوگرم)],1):Main[[#This Row],[بدهی سررسید شده (کیلوگرم)]])</f>
        <v>0</v>
      </c>
      <c r="AE76" s="6">
        <f ca="1">IF(Main[[#This Row],[مانده در خط سررسید شده (کیلوگرم)]]&lt;&gt;0,Main[[#This Row],[تعداد کل روزهای بدهکار (روز)]],0)</f>
        <v>0</v>
      </c>
      <c r="AF76" s="6">
        <f ca="1">Main[[#This Row],[تعداد روزهای بدهکار سررسید شده (روز)]]*Main[[#This Row],[مانده در خط سررسید شده (کیلوگرم)]]</f>
        <v>0</v>
      </c>
    </row>
    <row r="77" spans="1:32" hidden="1" x14ac:dyDescent="0.35">
      <c r="A77" s="5">
        <f>ROW()-ROW(INDEX(Main[ردیف],1))+1</f>
        <v>75</v>
      </c>
      <c r="B77" s="31">
        <f>SUBTOTAL(2,INDEX(Main[ردیف],1):Main[[#This Row],[ردیف]])</f>
        <v>1</v>
      </c>
      <c r="C77" s="32" t="s">
        <v>452</v>
      </c>
      <c r="D77" s="32" t="str">
        <f>_xlfn.CONCAT("14",Main[[#This Row],[تاريخ]])</f>
        <v>1400/01/01</v>
      </c>
      <c r="E77" s="33">
        <v>44276</v>
      </c>
      <c r="F77" s="32">
        <v>10029</v>
      </c>
      <c r="G77" s="5" t="str">
        <f>INDEX(customer[عنوان],MATCH(Main[[#This Row],[کد ردیابی]],customer[کد],0))</f>
        <v>رضا شریعتی</v>
      </c>
      <c r="H77">
        <v>14006</v>
      </c>
      <c r="I77" s="6">
        <f ca="1">-Main[[#This Row],[بدهی تسویه شده (کیلوگرم)]]+Main[[#This Row],[بستانکار (کیلوگرم)]]</f>
        <v>14006</v>
      </c>
      <c r="J77" s="6">
        <f>IF(Main[[#This Row],[مقدار (کیلوگرم)]]&gt;0,Main[[#This Row],[مقدار (کیلوگرم)]],0)</f>
        <v>14006</v>
      </c>
      <c r="K77" s="6">
        <f>-IF(Main[[#This Row],[مقدار (کیلوگرم)]]&lt;0,Main[[#This Row],[مقدار (کیلوگرم)]],0)</f>
        <v>0</v>
      </c>
      <c r="L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" s="7">
        <f>-IF(AND(Main[[#This Row],[مقدار (کیلوگرم)]]&lt;0,Main[[#This Row],[تاريخ میلادی]]&gt;44276),Main[[#This Row],[مقدار (کیلوگرم)]],0)</f>
        <v>0</v>
      </c>
      <c r="N77" s="6">
        <f ca="1">Main[[#This Row],[بدهکار (کیلوگرم)]]-Main[[#This Row],[بدهی تسویه نشده (کیلوگرم)]]</f>
        <v>0</v>
      </c>
      <c r="O77" s="6">
        <f ca="1">Main[[#This Row],[تفکیک]]</f>
        <v>0</v>
      </c>
      <c r="P77" s="6">
        <f ca="1">IF(Main[[#This Row],[تاخیر از سررسید]]&gt;0,Main[[#This Row],[بدهی تسویه نشده (کیلوگرم)]],0)</f>
        <v>0</v>
      </c>
      <c r="Q77" s="6">
        <f ca="1">IF(Main[[#This Row],[بدهی تسویه نشده (کیلوگرم)]]&gt;0,'گزارش فردی'!$B$7-Main[[#This Row],[تاريخ میلادی]],0)</f>
        <v>0</v>
      </c>
      <c r="R77" s="6">
        <f ca="1">IF(Main[[#This Row],[بدهی تسویه نشده (کیلوگرم)]]&gt;0,'گزارش فردی'!$B$7-Main[[#This Row],[تاريخ میلادی]]-'گزارش فردی'!$B$8,0)</f>
        <v>0</v>
      </c>
      <c r="S77" s="6">
        <f ca="1">Main[[#This Row],[روز از ارسال سفارش]]*Main[[#This Row],[بدهی تسویه نشده (کیلوگرم)]]</f>
        <v>0</v>
      </c>
      <c r="T77" s="6">
        <f ca="1">Main[[#This Row],[بدهی سررسید شده (کیلوگرم)]]*Main[[#This Row],[روز از ارسال سفارش]]</f>
        <v>0</v>
      </c>
      <c r="U77" s="6">
        <f>-SUBTOTAL(9,INDEX(Main[مقدار (کیلوگرم)],1):Main[[#This Row],[مقدار (کیلوگرم)]])</f>
        <v>18547</v>
      </c>
      <c r="V77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7" s="6">
        <f>Main[[#This Row],[تعداد کل روزهای بدهکار (روز)]]*Main[[#This Row],[مانده در خط کل (کیلوگرم)]]</f>
        <v>259658</v>
      </c>
      <c r="X77" s="6">
        <f ca="1">-SUBTOTAL(9,INDEX(Main[مقدار تسویه شده (کیلوگرم)],1):Main[[#This Row],[مقدار تسویه شده (کیلوگرم)]])</f>
        <v>18547</v>
      </c>
      <c r="Y77" s="6">
        <f ca="1">IF(Main[[#This Row],[مانده در خط تسویه شده (کیلوگرم)]]&lt;&gt;0,Main[[#This Row],[تعداد کل روزهای بدهکار (روز)]],0)</f>
        <v>14</v>
      </c>
      <c r="Z77" s="6">
        <f ca="1">Main[[#This Row],[تعداد روزهای بدهکار تسویه شده (روز)]]*Main[[#This Row],[مانده در خط تسویه شده (کیلوگرم)]]</f>
        <v>259658</v>
      </c>
      <c r="AA77" s="6">
        <f ca="1">SUBTOTAL(9,INDEX(Main[بدهی تسویه نشده (کیلوگرم)],1):Main[[#This Row],[بدهی تسویه نشده (کیلوگرم)]])</f>
        <v>0</v>
      </c>
      <c r="AB77" s="6">
        <f ca="1">IF(Main[[#This Row],[مانده در خط تسویه نشده (کیلوگرم)]]&lt;&gt;0,Main[[#This Row],[تعداد کل روزهای بدهکار (روز)]],0)</f>
        <v>0</v>
      </c>
      <c r="AC77" s="6">
        <f ca="1">Main[[#This Row],[تعداد روزهای بدهکار  تسویه نشده (روز)]]*Main[[#This Row],[مانده در خط تسویه نشده (کیلوگرم)]]</f>
        <v>0</v>
      </c>
      <c r="AD77" s="6">
        <f ca="1">SUBTOTAL(9,INDEX(Main[بدهی سررسید شده (کیلوگرم)],1):Main[[#This Row],[بدهی سررسید شده (کیلوگرم)]])</f>
        <v>0</v>
      </c>
      <c r="AE77" s="6">
        <f ca="1">IF(Main[[#This Row],[مانده در خط سررسید شده (کیلوگرم)]]&lt;&gt;0,Main[[#This Row],[تعداد کل روزهای بدهکار (روز)]],0)</f>
        <v>0</v>
      </c>
      <c r="AF77" s="6">
        <f ca="1">Main[[#This Row],[تعداد روزهای بدهکار سررسید شده (روز)]]*Main[[#This Row],[مانده در خط سررسید شده (کیلوگرم)]]</f>
        <v>0</v>
      </c>
    </row>
    <row r="78" spans="1:32" hidden="1" x14ac:dyDescent="0.35">
      <c r="A78" s="5">
        <f>ROW()-ROW(INDEX(Main[ردیف],1))+1</f>
        <v>76</v>
      </c>
      <c r="B78" s="31">
        <f>SUBTOTAL(2,INDEX(Main[ردیف],1):Main[[#This Row],[ردیف]])</f>
        <v>1</v>
      </c>
      <c r="C78" s="32" t="s">
        <v>452</v>
      </c>
      <c r="D78" s="32" t="str">
        <f>_xlfn.CONCAT("14",Main[[#This Row],[تاريخ]])</f>
        <v>1400/01/01</v>
      </c>
      <c r="E78" s="33">
        <v>44276</v>
      </c>
      <c r="F78" s="32">
        <v>30066</v>
      </c>
      <c r="G78" s="5" t="str">
        <f>INDEX(customer[عنوان],MATCH(Main[[#This Row],[کد ردیابی]],customer[کد],0))</f>
        <v xml:space="preserve">شیر آلات بهداشتی قهرمان </v>
      </c>
      <c r="H78">
        <v>-34877.5</v>
      </c>
      <c r="I78" s="6">
        <f ca="1">-Main[[#This Row],[بدهی تسویه شده (کیلوگرم)]]+Main[[#This Row],[بستانکار (کیلوگرم)]]</f>
        <v>-34877.5</v>
      </c>
      <c r="J78" s="6">
        <f>IF(Main[[#This Row],[مقدار (کیلوگرم)]]&gt;0,Main[[#This Row],[مقدار (کیلوگرم)]],0)</f>
        <v>0</v>
      </c>
      <c r="K78" s="6">
        <f>-IF(Main[[#This Row],[مقدار (کیلوگرم)]]&lt;0,Main[[#This Row],[مقدار (کیلوگرم)]],0)</f>
        <v>34877.5</v>
      </c>
      <c r="L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" s="7">
        <f>-IF(AND(Main[[#This Row],[مقدار (کیلوگرم)]]&lt;0,Main[[#This Row],[تاريخ میلادی]]&gt;44276),Main[[#This Row],[مقدار (کیلوگرم)]],0)</f>
        <v>0</v>
      </c>
      <c r="N78" s="6">
        <f ca="1">Main[[#This Row],[بدهکار (کیلوگرم)]]-Main[[#This Row],[بدهی تسویه نشده (کیلوگرم)]]</f>
        <v>34877.5</v>
      </c>
      <c r="O78" s="6">
        <f ca="1">Main[[#This Row],[تفکیک]]</f>
        <v>0</v>
      </c>
      <c r="P78" s="6">
        <f ca="1">IF(Main[[#This Row],[تاخیر از سررسید]]&gt;0,Main[[#This Row],[بدهی تسویه نشده (کیلوگرم)]],0)</f>
        <v>0</v>
      </c>
      <c r="Q78" s="6">
        <f ca="1">IF(Main[[#This Row],[بدهی تسویه نشده (کیلوگرم)]]&gt;0,'گزارش فردی'!$B$7-Main[[#This Row],[تاريخ میلادی]],0)</f>
        <v>0</v>
      </c>
      <c r="R78" s="6">
        <f ca="1">IF(Main[[#This Row],[بدهی تسویه نشده (کیلوگرم)]]&gt;0,'گزارش فردی'!$B$7-Main[[#This Row],[تاريخ میلادی]]-'گزارش فردی'!$B$8,0)</f>
        <v>0</v>
      </c>
      <c r="S78" s="6">
        <f ca="1">Main[[#This Row],[روز از ارسال سفارش]]*Main[[#This Row],[بدهی تسویه نشده (کیلوگرم)]]</f>
        <v>0</v>
      </c>
      <c r="T78" s="6">
        <f ca="1">Main[[#This Row],[بدهی سررسید شده (کیلوگرم)]]*Main[[#This Row],[روز از ارسال سفارش]]</f>
        <v>0</v>
      </c>
      <c r="U78" s="6">
        <f>-SUBTOTAL(9,INDEX(Main[مقدار (کیلوگرم)],1):Main[[#This Row],[مقدار (کیلوگرم)]])</f>
        <v>18547</v>
      </c>
      <c r="V78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8" s="6">
        <f>Main[[#This Row],[تعداد کل روزهای بدهکار (روز)]]*Main[[#This Row],[مانده در خط کل (کیلوگرم)]]</f>
        <v>259658</v>
      </c>
      <c r="X78" s="6">
        <f ca="1">-SUBTOTAL(9,INDEX(Main[مقدار تسویه شده (کیلوگرم)],1):Main[[#This Row],[مقدار تسویه شده (کیلوگرم)]])</f>
        <v>18547</v>
      </c>
      <c r="Y78" s="6">
        <f ca="1">IF(Main[[#This Row],[مانده در خط تسویه شده (کیلوگرم)]]&lt;&gt;0,Main[[#This Row],[تعداد کل روزهای بدهکار (روز)]],0)</f>
        <v>14</v>
      </c>
      <c r="Z78" s="6">
        <f ca="1">Main[[#This Row],[تعداد روزهای بدهکار تسویه شده (روز)]]*Main[[#This Row],[مانده در خط تسویه شده (کیلوگرم)]]</f>
        <v>259658</v>
      </c>
      <c r="AA78" s="6">
        <f ca="1">SUBTOTAL(9,INDEX(Main[بدهی تسویه نشده (کیلوگرم)],1):Main[[#This Row],[بدهی تسویه نشده (کیلوگرم)]])</f>
        <v>0</v>
      </c>
      <c r="AB78" s="6">
        <f ca="1">IF(Main[[#This Row],[مانده در خط تسویه نشده (کیلوگرم)]]&lt;&gt;0,Main[[#This Row],[تعداد کل روزهای بدهکار (روز)]],0)</f>
        <v>0</v>
      </c>
      <c r="AC78" s="6">
        <f ca="1">Main[[#This Row],[تعداد روزهای بدهکار  تسویه نشده (روز)]]*Main[[#This Row],[مانده در خط تسویه نشده (کیلوگرم)]]</f>
        <v>0</v>
      </c>
      <c r="AD78" s="6">
        <f ca="1">SUBTOTAL(9,INDEX(Main[بدهی سررسید شده (کیلوگرم)],1):Main[[#This Row],[بدهی سررسید شده (کیلوگرم)]])</f>
        <v>0</v>
      </c>
      <c r="AE78" s="6">
        <f ca="1">IF(Main[[#This Row],[مانده در خط سررسید شده (کیلوگرم)]]&lt;&gt;0,Main[[#This Row],[تعداد کل روزهای بدهکار (روز)]],0)</f>
        <v>0</v>
      </c>
      <c r="AF78" s="6">
        <f ca="1">Main[[#This Row],[تعداد روزهای بدهکار سررسید شده (روز)]]*Main[[#This Row],[مانده در خط سررسید شده (کیلوگرم)]]</f>
        <v>0</v>
      </c>
    </row>
    <row r="79" spans="1:32" hidden="1" x14ac:dyDescent="0.35">
      <c r="A79" s="5">
        <f>ROW()-ROW(INDEX(Main[ردیف],1))+1</f>
        <v>77</v>
      </c>
      <c r="B79" s="31">
        <f>SUBTOTAL(2,INDEX(Main[ردیف],1):Main[[#This Row],[ردیف]])</f>
        <v>1</v>
      </c>
      <c r="C79" s="32" t="s">
        <v>452</v>
      </c>
      <c r="D79" s="32" t="str">
        <f>_xlfn.CONCAT("14",Main[[#This Row],[تاريخ]])</f>
        <v>1400/01/01</v>
      </c>
      <c r="E79" s="33">
        <v>44276</v>
      </c>
      <c r="F79" s="32">
        <v>30162</v>
      </c>
      <c r="G79" s="5" t="str">
        <f>INDEX(customer[عنوان],MATCH(Main[[#This Row],[کد ردیابی]],customer[کد],0))</f>
        <v>شرکت الماس آریا</v>
      </c>
      <c r="H79">
        <v>3984</v>
      </c>
      <c r="I79" s="6">
        <f ca="1">-Main[[#This Row],[بدهی تسویه شده (کیلوگرم)]]+Main[[#This Row],[بستانکار (کیلوگرم)]]</f>
        <v>3984</v>
      </c>
      <c r="J79" s="6">
        <f>IF(Main[[#This Row],[مقدار (کیلوگرم)]]&gt;0,Main[[#This Row],[مقدار (کیلوگرم)]],0)</f>
        <v>3984</v>
      </c>
      <c r="K79" s="6">
        <f>-IF(Main[[#This Row],[مقدار (کیلوگرم)]]&lt;0,Main[[#This Row],[مقدار (کیلوگرم)]],0)</f>
        <v>0</v>
      </c>
      <c r="L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" s="7">
        <f>-IF(AND(Main[[#This Row],[مقدار (کیلوگرم)]]&lt;0,Main[[#This Row],[تاريخ میلادی]]&gt;44276),Main[[#This Row],[مقدار (کیلوگرم)]],0)</f>
        <v>0</v>
      </c>
      <c r="N79" s="6">
        <f ca="1">Main[[#This Row],[بدهکار (کیلوگرم)]]-Main[[#This Row],[بدهی تسویه نشده (کیلوگرم)]]</f>
        <v>0</v>
      </c>
      <c r="O79" s="6">
        <f ca="1">Main[[#This Row],[تفکیک]]</f>
        <v>0</v>
      </c>
      <c r="P79" s="6">
        <f ca="1">IF(Main[[#This Row],[تاخیر از سررسید]]&gt;0,Main[[#This Row],[بدهی تسویه نشده (کیلوگرم)]],0)</f>
        <v>0</v>
      </c>
      <c r="Q79" s="6">
        <f ca="1">IF(Main[[#This Row],[بدهی تسویه نشده (کیلوگرم)]]&gt;0,'گزارش فردی'!$B$7-Main[[#This Row],[تاريخ میلادی]],0)</f>
        <v>0</v>
      </c>
      <c r="R79" s="6">
        <f ca="1">IF(Main[[#This Row],[بدهی تسویه نشده (کیلوگرم)]]&gt;0,'گزارش فردی'!$B$7-Main[[#This Row],[تاريخ میلادی]]-'گزارش فردی'!$B$8,0)</f>
        <v>0</v>
      </c>
      <c r="S79" s="6">
        <f ca="1">Main[[#This Row],[روز از ارسال سفارش]]*Main[[#This Row],[بدهی تسویه نشده (کیلوگرم)]]</f>
        <v>0</v>
      </c>
      <c r="T79" s="6">
        <f ca="1">Main[[#This Row],[بدهی سررسید شده (کیلوگرم)]]*Main[[#This Row],[روز از ارسال سفارش]]</f>
        <v>0</v>
      </c>
      <c r="U79" s="6">
        <f>-SUBTOTAL(9,INDEX(Main[مقدار (کیلوگرم)],1):Main[[#This Row],[مقدار (کیلوگرم)]])</f>
        <v>18547</v>
      </c>
      <c r="V79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9" s="6">
        <f>Main[[#This Row],[تعداد کل روزهای بدهکار (روز)]]*Main[[#This Row],[مانده در خط کل (کیلوگرم)]]</f>
        <v>259658</v>
      </c>
      <c r="X79" s="6">
        <f ca="1">-SUBTOTAL(9,INDEX(Main[مقدار تسویه شده (کیلوگرم)],1):Main[[#This Row],[مقدار تسویه شده (کیلوگرم)]])</f>
        <v>18547</v>
      </c>
      <c r="Y79" s="6">
        <f ca="1">IF(Main[[#This Row],[مانده در خط تسویه شده (کیلوگرم)]]&lt;&gt;0,Main[[#This Row],[تعداد کل روزهای بدهکار (روز)]],0)</f>
        <v>14</v>
      </c>
      <c r="Z79" s="6">
        <f ca="1">Main[[#This Row],[تعداد روزهای بدهکار تسویه شده (روز)]]*Main[[#This Row],[مانده در خط تسویه شده (کیلوگرم)]]</f>
        <v>259658</v>
      </c>
      <c r="AA79" s="6">
        <f ca="1">SUBTOTAL(9,INDEX(Main[بدهی تسویه نشده (کیلوگرم)],1):Main[[#This Row],[بدهی تسویه نشده (کیلوگرم)]])</f>
        <v>0</v>
      </c>
      <c r="AB79" s="6">
        <f ca="1">IF(Main[[#This Row],[مانده در خط تسویه نشده (کیلوگرم)]]&lt;&gt;0,Main[[#This Row],[تعداد کل روزهای بدهکار (روز)]],0)</f>
        <v>0</v>
      </c>
      <c r="AC79" s="6">
        <f ca="1">Main[[#This Row],[تعداد روزهای بدهکار  تسویه نشده (روز)]]*Main[[#This Row],[مانده در خط تسویه نشده (کیلوگرم)]]</f>
        <v>0</v>
      </c>
      <c r="AD79" s="6">
        <f ca="1">SUBTOTAL(9,INDEX(Main[بدهی سررسید شده (کیلوگرم)],1):Main[[#This Row],[بدهی سررسید شده (کیلوگرم)]])</f>
        <v>0</v>
      </c>
      <c r="AE79" s="6">
        <f ca="1">IF(Main[[#This Row],[مانده در خط سررسید شده (کیلوگرم)]]&lt;&gt;0,Main[[#This Row],[تعداد کل روزهای بدهکار (روز)]],0)</f>
        <v>0</v>
      </c>
      <c r="AF79" s="6">
        <f ca="1">Main[[#This Row],[تعداد روزهای بدهکار سررسید شده (روز)]]*Main[[#This Row],[مانده در خط سررسید شده (کیلوگرم)]]</f>
        <v>0</v>
      </c>
    </row>
    <row r="80" spans="1:32" hidden="1" x14ac:dyDescent="0.35">
      <c r="A80" s="5">
        <f>ROW()-ROW(INDEX(Main[ردیف],1))+1</f>
        <v>78</v>
      </c>
      <c r="B80" s="31">
        <f>SUBTOTAL(2,INDEX(Main[ردیف],1):Main[[#This Row],[ردیف]])</f>
        <v>1</v>
      </c>
      <c r="C80" s="32" t="s">
        <v>452</v>
      </c>
      <c r="D80" s="32" t="str">
        <f>_xlfn.CONCAT("14",Main[[#This Row],[تاريخ]])</f>
        <v>1400/01/01</v>
      </c>
      <c r="E80" s="33">
        <v>44276</v>
      </c>
      <c r="F80" s="32">
        <v>30160</v>
      </c>
      <c r="G80" s="5" t="str">
        <f>INDEX(customer[عنوان],MATCH(Main[[#This Row],[کد ردیابی]],customer[کد],0))</f>
        <v>کیان صنعت</v>
      </c>
      <c r="H80">
        <v>-204</v>
      </c>
      <c r="I80" s="6">
        <f ca="1">-Main[[#This Row],[بدهی تسویه شده (کیلوگرم)]]+Main[[#This Row],[بستانکار (کیلوگرم)]]</f>
        <v>-204</v>
      </c>
      <c r="J80" s="6">
        <f>IF(Main[[#This Row],[مقدار (کیلوگرم)]]&gt;0,Main[[#This Row],[مقدار (کیلوگرم)]],0)</f>
        <v>0</v>
      </c>
      <c r="K80" s="6">
        <f>-IF(Main[[#This Row],[مقدار (کیلوگرم)]]&lt;0,Main[[#This Row],[مقدار (کیلوگرم)]],0)</f>
        <v>204</v>
      </c>
      <c r="L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" s="7">
        <f>-IF(AND(Main[[#This Row],[مقدار (کیلوگرم)]]&lt;0,Main[[#This Row],[تاريخ میلادی]]&gt;44276),Main[[#This Row],[مقدار (کیلوگرم)]],0)</f>
        <v>0</v>
      </c>
      <c r="N80" s="6">
        <f ca="1">Main[[#This Row],[بدهکار (کیلوگرم)]]-Main[[#This Row],[بدهی تسویه نشده (کیلوگرم)]]</f>
        <v>204</v>
      </c>
      <c r="O80" s="6">
        <f ca="1">Main[[#This Row],[تفکیک]]</f>
        <v>0</v>
      </c>
      <c r="P80" s="6">
        <f ca="1">IF(Main[[#This Row],[تاخیر از سررسید]]&gt;0,Main[[#This Row],[بدهی تسویه نشده (کیلوگرم)]],0)</f>
        <v>0</v>
      </c>
      <c r="Q80" s="6">
        <f ca="1">IF(Main[[#This Row],[بدهی تسویه نشده (کیلوگرم)]]&gt;0,'گزارش فردی'!$B$7-Main[[#This Row],[تاريخ میلادی]],0)</f>
        <v>0</v>
      </c>
      <c r="R80" s="6">
        <f ca="1">IF(Main[[#This Row],[بدهی تسویه نشده (کیلوگرم)]]&gt;0,'گزارش فردی'!$B$7-Main[[#This Row],[تاريخ میلادی]]-'گزارش فردی'!$B$8,0)</f>
        <v>0</v>
      </c>
      <c r="S80" s="6">
        <f ca="1">Main[[#This Row],[روز از ارسال سفارش]]*Main[[#This Row],[بدهی تسویه نشده (کیلوگرم)]]</f>
        <v>0</v>
      </c>
      <c r="T80" s="6">
        <f ca="1">Main[[#This Row],[بدهی سررسید شده (کیلوگرم)]]*Main[[#This Row],[روز از ارسال سفارش]]</f>
        <v>0</v>
      </c>
      <c r="U80" s="6">
        <f>-SUBTOTAL(9,INDEX(Main[مقدار (کیلوگرم)],1):Main[[#This Row],[مقدار (کیلوگرم)]])</f>
        <v>18547</v>
      </c>
      <c r="V80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0" s="6">
        <f>Main[[#This Row],[تعداد کل روزهای بدهکار (روز)]]*Main[[#This Row],[مانده در خط کل (کیلوگرم)]]</f>
        <v>259658</v>
      </c>
      <c r="X80" s="6">
        <f ca="1">-SUBTOTAL(9,INDEX(Main[مقدار تسویه شده (کیلوگرم)],1):Main[[#This Row],[مقدار تسویه شده (کیلوگرم)]])</f>
        <v>18547</v>
      </c>
      <c r="Y80" s="6">
        <f ca="1">IF(Main[[#This Row],[مانده در خط تسویه شده (کیلوگرم)]]&lt;&gt;0,Main[[#This Row],[تعداد کل روزهای بدهکار (روز)]],0)</f>
        <v>14</v>
      </c>
      <c r="Z80" s="6">
        <f ca="1">Main[[#This Row],[تعداد روزهای بدهکار تسویه شده (روز)]]*Main[[#This Row],[مانده در خط تسویه شده (کیلوگرم)]]</f>
        <v>259658</v>
      </c>
      <c r="AA80" s="6">
        <f ca="1">SUBTOTAL(9,INDEX(Main[بدهی تسویه نشده (کیلوگرم)],1):Main[[#This Row],[بدهی تسویه نشده (کیلوگرم)]])</f>
        <v>0</v>
      </c>
      <c r="AB80" s="6">
        <f ca="1">IF(Main[[#This Row],[مانده در خط تسویه نشده (کیلوگرم)]]&lt;&gt;0,Main[[#This Row],[تعداد کل روزهای بدهکار (روز)]],0)</f>
        <v>0</v>
      </c>
      <c r="AC80" s="6">
        <f ca="1">Main[[#This Row],[تعداد روزهای بدهکار  تسویه نشده (روز)]]*Main[[#This Row],[مانده در خط تسویه نشده (کیلوگرم)]]</f>
        <v>0</v>
      </c>
      <c r="AD80" s="6">
        <f ca="1">SUBTOTAL(9,INDEX(Main[بدهی سررسید شده (کیلوگرم)],1):Main[[#This Row],[بدهی سررسید شده (کیلوگرم)]])</f>
        <v>0</v>
      </c>
      <c r="AE80" s="6">
        <f ca="1">IF(Main[[#This Row],[مانده در خط سررسید شده (کیلوگرم)]]&lt;&gt;0,Main[[#This Row],[تعداد کل روزهای بدهکار (روز)]],0)</f>
        <v>0</v>
      </c>
      <c r="AF80" s="6">
        <f ca="1">Main[[#This Row],[تعداد روزهای بدهکار سررسید شده (روز)]]*Main[[#This Row],[مانده در خط سررسید شده (کیلوگرم)]]</f>
        <v>0</v>
      </c>
    </row>
    <row r="81" spans="1:32" hidden="1" x14ac:dyDescent="0.35">
      <c r="A81" s="5">
        <f>ROW()-ROW(INDEX(Main[ردیف],1))+1</f>
        <v>79</v>
      </c>
      <c r="B81" s="31">
        <f>SUBTOTAL(2,INDEX(Main[ردیف],1):Main[[#This Row],[ردیف]])</f>
        <v>1</v>
      </c>
      <c r="C81" s="32" t="s">
        <v>452</v>
      </c>
      <c r="D81" s="32" t="str">
        <f>_xlfn.CONCAT("14",Main[[#This Row],[تاريخ]])</f>
        <v>1400/01/01</v>
      </c>
      <c r="E81" s="33">
        <v>44276</v>
      </c>
      <c r="F81" s="32">
        <v>10104</v>
      </c>
      <c r="G81" s="5" t="str">
        <f>INDEX(customer[عنوان],MATCH(Main[[#This Row],[کد ردیابی]],customer[کد],0))</f>
        <v>بهزادی فر اصغر</v>
      </c>
      <c r="H81">
        <v>4850</v>
      </c>
      <c r="I81" s="6">
        <f ca="1">-Main[[#This Row],[بدهی تسویه شده (کیلوگرم)]]+Main[[#This Row],[بستانکار (کیلوگرم)]]</f>
        <v>4850</v>
      </c>
      <c r="J81" s="6">
        <f>IF(Main[[#This Row],[مقدار (کیلوگرم)]]&gt;0,Main[[#This Row],[مقدار (کیلوگرم)]],0)</f>
        <v>4850</v>
      </c>
      <c r="K81" s="6">
        <f>-IF(Main[[#This Row],[مقدار (کیلوگرم)]]&lt;0,Main[[#This Row],[مقدار (کیلوگرم)]],0)</f>
        <v>0</v>
      </c>
      <c r="L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" s="7">
        <f>-IF(AND(Main[[#This Row],[مقدار (کیلوگرم)]]&lt;0,Main[[#This Row],[تاريخ میلادی]]&gt;44276),Main[[#This Row],[مقدار (کیلوگرم)]],0)</f>
        <v>0</v>
      </c>
      <c r="N81" s="6">
        <f ca="1">Main[[#This Row],[بدهکار (کیلوگرم)]]-Main[[#This Row],[بدهی تسویه نشده (کیلوگرم)]]</f>
        <v>0</v>
      </c>
      <c r="O81" s="6">
        <f ca="1">Main[[#This Row],[تفکیک]]</f>
        <v>0</v>
      </c>
      <c r="P81" s="6">
        <f ca="1">IF(Main[[#This Row],[تاخیر از سررسید]]&gt;0,Main[[#This Row],[بدهی تسویه نشده (کیلوگرم)]],0)</f>
        <v>0</v>
      </c>
      <c r="Q81" s="6">
        <f ca="1">IF(Main[[#This Row],[بدهی تسویه نشده (کیلوگرم)]]&gt;0,'گزارش فردی'!$B$7-Main[[#This Row],[تاريخ میلادی]],0)</f>
        <v>0</v>
      </c>
      <c r="R81" s="6">
        <f ca="1">IF(Main[[#This Row],[بدهی تسویه نشده (کیلوگرم)]]&gt;0,'گزارش فردی'!$B$7-Main[[#This Row],[تاريخ میلادی]]-'گزارش فردی'!$B$8,0)</f>
        <v>0</v>
      </c>
      <c r="S81" s="6">
        <f ca="1">Main[[#This Row],[روز از ارسال سفارش]]*Main[[#This Row],[بدهی تسویه نشده (کیلوگرم)]]</f>
        <v>0</v>
      </c>
      <c r="T81" s="6">
        <f ca="1">Main[[#This Row],[بدهی سررسید شده (کیلوگرم)]]*Main[[#This Row],[روز از ارسال سفارش]]</f>
        <v>0</v>
      </c>
      <c r="U81" s="6">
        <f>-SUBTOTAL(9,INDEX(Main[مقدار (کیلوگرم)],1):Main[[#This Row],[مقدار (کیلوگرم)]])</f>
        <v>18547</v>
      </c>
      <c r="V81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1" s="6">
        <f>Main[[#This Row],[تعداد کل روزهای بدهکار (روز)]]*Main[[#This Row],[مانده در خط کل (کیلوگرم)]]</f>
        <v>259658</v>
      </c>
      <c r="X81" s="6">
        <f ca="1">-SUBTOTAL(9,INDEX(Main[مقدار تسویه شده (کیلوگرم)],1):Main[[#This Row],[مقدار تسویه شده (کیلوگرم)]])</f>
        <v>18547</v>
      </c>
      <c r="Y81" s="6">
        <f ca="1">IF(Main[[#This Row],[مانده در خط تسویه شده (کیلوگرم)]]&lt;&gt;0,Main[[#This Row],[تعداد کل روزهای بدهکار (روز)]],0)</f>
        <v>14</v>
      </c>
      <c r="Z81" s="6">
        <f ca="1">Main[[#This Row],[تعداد روزهای بدهکار تسویه شده (روز)]]*Main[[#This Row],[مانده در خط تسویه شده (کیلوگرم)]]</f>
        <v>259658</v>
      </c>
      <c r="AA81" s="6">
        <f ca="1">SUBTOTAL(9,INDEX(Main[بدهی تسویه نشده (کیلوگرم)],1):Main[[#This Row],[بدهی تسویه نشده (کیلوگرم)]])</f>
        <v>0</v>
      </c>
      <c r="AB81" s="6">
        <f ca="1">IF(Main[[#This Row],[مانده در خط تسویه نشده (کیلوگرم)]]&lt;&gt;0,Main[[#This Row],[تعداد کل روزهای بدهکار (روز)]],0)</f>
        <v>0</v>
      </c>
      <c r="AC81" s="6">
        <f ca="1">Main[[#This Row],[تعداد روزهای بدهکار  تسویه نشده (روز)]]*Main[[#This Row],[مانده در خط تسویه نشده (کیلوگرم)]]</f>
        <v>0</v>
      </c>
      <c r="AD81" s="6">
        <f ca="1">SUBTOTAL(9,INDEX(Main[بدهی سررسید شده (کیلوگرم)],1):Main[[#This Row],[بدهی سررسید شده (کیلوگرم)]])</f>
        <v>0</v>
      </c>
      <c r="AE81" s="6">
        <f ca="1">IF(Main[[#This Row],[مانده در خط سررسید شده (کیلوگرم)]]&lt;&gt;0,Main[[#This Row],[تعداد کل روزهای بدهکار (روز)]],0)</f>
        <v>0</v>
      </c>
      <c r="AF81" s="6">
        <f ca="1">Main[[#This Row],[تعداد روزهای بدهکار سررسید شده (روز)]]*Main[[#This Row],[مانده در خط سررسید شده (کیلوگرم)]]</f>
        <v>0</v>
      </c>
    </row>
    <row r="82" spans="1:32" hidden="1" x14ac:dyDescent="0.35">
      <c r="A82" s="5">
        <f>ROW()-ROW(INDEX(Main[ردیف],1))+1</f>
        <v>80</v>
      </c>
      <c r="B82" s="31">
        <f>SUBTOTAL(2,INDEX(Main[ردیف],1):Main[[#This Row],[ردیف]])</f>
        <v>1</v>
      </c>
      <c r="C82" s="32" t="s">
        <v>452</v>
      </c>
      <c r="D82" s="32" t="str">
        <f>_xlfn.CONCAT("14",Main[[#This Row],[تاريخ]])</f>
        <v>1400/01/01</v>
      </c>
      <c r="E82" s="33">
        <v>44276</v>
      </c>
      <c r="F82" s="32">
        <v>30022</v>
      </c>
      <c r="G82" s="5" t="str">
        <f>INDEX(customer[عنوان],MATCH(Main[[#This Row],[کد ردیابی]],customer[کد],0))</f>
        <v xml:space="preserve">کلار پویا </v>
      </c>
      <c r="H82">
        <v>-10308</v>
      </c>
      <c r="I82" s="6">
        <f ca="1">-Main[[#This Row],[بدهی تسویه شده (کیلوگرم)]]+Main[[#This Row],[بستانکار (کیلوگرم)]]</f>
        <v>-10308</v>
      </c>
      <c r="J82" s="6">
        <f>IF(Main[[#This Row],[مقدار (کیلوگرم)]]&gt;0,Main[[#This Row],[مقدار (کیلوگرم)]],0)</f>
        <v>0</v>
      </c>
      <c r="K82" s="6">
        <f>-IF(Main[[#This Row],[مقدار (کیلوگرم)]]&lt;0,Main[[#This Row],[مقدار (کیلوگرم)]],0)</f>
        <v>10308</v>
      </c>
      <c r="L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" s="7">
        <f>-IF(AND(Main[[#This Row],[مقدار (کیلوگرم)]]&lt;0,Main[[#This Row],[تاريخ میلادی]]&gt;44276),Main[[#This Row],[مقدار (کیلوگرم)]],0)</f>
        <v>0</v>
      </c>
      <c r="N82" s="6">
        <f ca="1">Main[[#This Row],[بدهکار (کیلوگرم)]]-Main[[#This Row],[بدهی تسویه نشده (کیلوگرم)]]</f>
        <v>10308</v>
      </c>
      <c r="O82" s="6">
        <f ca="1">Main[[#This Row],[تفکیک]]</f>
        <v>0</v>
      </c>
      <c r="P82" s="6">
        <f ca="1">IF(Main[[#This Row],[تاخیر از سررسید]]&gt;0,Main[[#This Row],[بدهی تسویه نشده (کیلوگرم)]],0)</f>
        <v>0</v>
      </c>
      <c r="Q82" s="6">
        <f ca="1">IF(Main[[#This Row],[بدهی تسویه نشده (کیلوگرم)]]&gt;0,'گزارش فردی'!$B$7-Main[[#This Row],[تاريخ میلادی]],0)</f>
        <v>0</v>
      </c>
      <c r="R82" s="6">
        <f ca="1">IF(Main[[#This Row],[بدهی تسویه نشده (کیلوگرم)]]&gt;0,'گزارش فردی'!$B$7-Main[[#This Row],[تاريخ میلادی]]-'گزارش فردی'!$B$8,0)</f>
        <v>0</v>
      </c>
      <c r="S82" s="6">
        <f ca="1">Main[[#This Row],[روز از ارسال سفارش]]*Main[[#This Row],[بدهی تسویه نشده (کیلوگرم)]]</f>
        <v>0</v>
      </c>
      <c r="T82" s="6">
        <f ca="1">Main[[#This Row],[بدهی سررسید شده (کیلوگرم)]]*Main[[#This Row],[روز از ارسال سفارش]]</f>
        <v>0</v>
      </c>
      <c r="U82" s="6">
        <f>-SUBTOTAL(9,INDEX(Main[مقدار (کیلوگرم)],1):Main[[#This Row],[مقدار (کیلوگرم)]])</f>
        <v>18547</v>
      </c>
      <c r="V82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2" s="6">
        <f>Main[[#This Row],[تعداد کل روزهای بدهکار (روز)]]*Main[[#This Row],[مانده در خط کل (کیلوگرم)]]</f>
        <v>259658</v>
      </c>
      <c r="X82" s="6">
        <f ca="1">-SUBTOTAL(9,INDEX(Main[مقدار تسویه شده (کیلوگرم)],1):Main[[#This Row],[مقدار تسویه شده (کیلوگرم)]])</f>
        <v>18547</v>
      </c>
      <c r="Y82" s="6">
        <f ca="1">IF(Main[[#This Row],[مانده در خط تسویه شده (کیلوگرم)]]&lt;&gt;0,Main[[#This Row],[تعداد کل روزهای بدهکار (روز)]],0)</f>
        <v>14</v>
      </c>
      <c r="Z82" s="6">
        <f ca="1">Main[[#This Row],[تعداد روزهای بدهکار تسویه شده (روز)]]*Main[[#This Row],[مانده در خط تسویه شده (کیلوگرم)]]</f>
        <v>259658</v>
      </c>
      <c r="AA82" s="6">
        <f ca="1">SUBTOTAL(9,INDEX(Main[بدهی تسویه نشده (کیلوگرم)],1):Main[[#This Row],[بدهی تسویه نشده (کیلوگرم)]])</f>
        <v>0</v>
      </c>
      <c r="AB82" s="6">
        <f ca="1">IF(Main[[#This Row],[مانده در خط تسویه نشده (کیلوگرم)]]&lt;&gt;0,Main[[#This Row],[تعداد کل روزهای بدهکار (روز)]],0)</f>
        <v>0</v>
      </c>
      <c r="AC82" s="6">
        <f ca="1">Main[[#This Row],[تعداد روزهای بدهکار  تسویه نشده (روز)]]*Main[[#This Row],[مانده در خط تسویه نشده (کیلوگرم)]]</f>
        <v>0</v>
      </c>
      <c r="AD82" s="6">
        <f ca="1">SUBTOTAL(9,INDEX(Main[بدهی سررسید شده (کیلوگرم)],1):Main[[#This Row],[بدهی سررسید شده (کیلوگرم)]])</f>
        <v>0</v>
      </c>
      <c r="AE82" s="6">
        <f ca="1">IF(Main[[#This Row],[مانده در خط سررسید شده (کیلوگرم)]]&lt;&gt;0,Main[[#This Row],[تعداد کل روزهای بدهکار (روز)]],0)</f>
        <v>0</v>
      </c>
      <c r="AF82" s="6">
        <f ca="1">Main[[#This Row],[تعداد روزهای بدهکار سررسید شده (روز)]]*Main[[#This Row],[مانده در خط سررسید شده (کیلوگرم)]]</f>
        <v>0</v>
      </c>
    </row>
    <row r="83" spans="1:32" hidden="1" x14ac:dyDescent="0.35">
      <c r="A83" s="5">
        <f>ROW()-ROW(INDEX(Main[ردیف],1))+1</f>
        <v>81</v>
      </c>
      <c r="B83" s="31">
        <f>SUBTOTAL(2,INDEX(Main[ردیف],1):Main[[#This Row],[ردیف]])</f>
        <v>1</v>
      </c>
      <c r="C83" s="32" t="s">
        <v>452</v>
      </c>
      <c r="D83" s="32" t="str">
        <f>_xlfn.CONCAT("14",Main[[#This Row],[تاريخ]])</f>
        <v>1400/01/01</v>
      </c>
      <c r="E83" s="33">
        <v>44276</v>
      </c>
      <c r="F83" s="32">
        <v>50006</v>
      </c>
      <c r="G83" s="5" t="str">
        <f>INDEX(customer[عنوان],MATCH(Main[[#This Row],[کد ردیابی]],customer[کد],0))</f>
        <v xml:space="preserve">رضا صالحی </v>
      </c>
      <c r="H83">
        <v>-7581</v>
      </c>
      <c r="I83" s="6">
        <f ca="1">-Main[[#This Row],[بدهی تسویه شده (کیلوگرم)]]+Main[[#This Row],[بستانکار (کیلوگرم)]]</f>
        <v>-7581</v>
      </c>
      <c r="J83" s="6">
        <f>IF(Main[[#This Row],[مقدار (کیلوگرم)]]&gt;0,Main[[#This Row],[مقدار (کیلوگرم)]],0)</f>
        <v>0</v>
      </c>
      <c r="K83" s="6">
        <f>-IF(Main[[#This Row],[مقدار (کیلوگرم)]]&lt;0,Main[[#This Row],[مقدار (کیلوگرم)]],0)</f>
        <v>7581</v>
      </c>
      <c r="L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" s="7">
        <f>-IF(AND(Main[[#This Row],[مقدار (کیلوگرم)]]&lt;0,Main[[#This Row],[تاريخ میلادی]]&gt;44276),Main[[#This Row],[مقدار (کیلوگرم)]],0)</f>
        <v>0</v>
      </c>
      <c r="N83" s="6">
        <f ca="1">Main[[#This Row],[بدهکار (کیلوگرم)]]-Main[[#This Row],[بدهی تسویه نشده (کیلوگرم)]]</f>
        <v>7581</v>
      </c>
      <c r="O83" s="6">
        <f ca="1">Main[[#This Row],[تفکیک]]</f>
        <v>0</v>
      </c>
      <c r="P83" s="6">
        <f ca="1">IF(Main[[#This Row],[تاخیر از سررسید]]&gt;0,Main[[#This Row],[بدهی تسویه نشده (کیلوگرم)]],0)</f>
        <v>0</v>
      </c>
      <c r="Q83" s="6">
        <f ca="1">IF(Main[[#This Row],[بدهی تسویه نشده (کیلوگرم)]]&gt;0,'گزارش فردی'!$B$7-Main[[#This Row],[تاريخ میلادی]],0)</f>
        <v>0</v>
      </c>
      <c r="R83" s="6">
        <f ca="1">IF(Main[[#This Row],[بدهی تسویه نشده (کیلوگرم)]]&gt;0,'گزارش فردی'!$B$7-Main[[#This Row],[تاريخ میلادی]]-'گزارش فردی'!$B$8,0)</f>
        <v>0</v>
      </c>
      <c r="S83" s="6">
        <f ca="1">Main[[#This Row],[روز از ارسال سفارش]]*Main[[#This Row],[بدهی تسویه نشده (کیلوگرم)]]</f>
        <v>0</v>
      </c>
      <c r="T83" s="6">
        <f ca="1">Main[[#This Row],[بدهی سررسید شده (کیلوگرم)]]*Main[[#This Row],[روز از ارسال سفارش]]</f>
        <v>0</v>
      </c>
      <c r="U83" s="6">
        <f>-SUBTOTAL(9,INDEX(Main[مقدار (کیلوگرم)],1):Main[[#This Row],[مقدار (کیلوگرم)]])</f>
        <v>18547</v>
      </c>
      <c r="V83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3" s="6">
        <f>Main[[#This Row],[تعداد کل روزهای بدهکار (روز)]]*Main[[#This Row],[مانده در خط کل (کیلوگرم)]]</f>
        <v>259658</v>
      </c>
      <c r="X83" s="6">
        <f ca="1">-SUBTOTAL(9,INDEX(Main[مقدار تسویه شده (کیلوگرم)],1):Main[[#This Row],[مقدار تسویه شده (کیلوگرم)]])</f>
        <v>18547</v>
      </c>
      <c r="Y83" s="6">
        <f ca="1">IF(Main[[#This Row],[مانده در خط تسویه شده (کیلوگرم)]]&lt;&gt;0,Main[[#This Row],[تعداد کل روزهای بدهکار (روز)]],0)</f>
        <v>14</v>
      </c>
      <c r="Z83" s="6">
        <f ca="1">Main[[#This Row],[تعداد روزهای بدهکار تسویه شده (روز)]]*Main[[#This Row],[مانده در خط تسویه شده (کیلوگرم)]]</f>
        <v>259658</v>
      </c>
      <c r="AA83" s="6">
        <f ca="1">SUBTOTAL(9,INDEX(Main[بدهی تسویه نشده (کیلوگرم)],1):Main[[#This Row],[بدهی تسویه نشده (کیلوگرم)]])</f>
        <v>0</v>
      </c>
      <c r="AB83" s="6">
        <f ca="1">IF(Main[[#This Row],[مانده در خط تسویه نشده (کیلوگرم)]]&lt;&gt;0,Main[[#This Row],[تعداد کل روزهای بدهکار (روز)]],0)</f>
        <v>0</v>
      </c>
      <c r="AC83" s="6">
        <f ca="1">Main[[#This Row],[تعداد روزهای بدهکار  تسویه نشده (روز)]]*Main[[#This Row],[مانده در خط تسویه نشده (کیلوگرم)]]</f>
        <v>0</v>
      </c>
      <c r="AD83" s="6">
        <f ca="1">SUBTOTAL(9,INDEX(Main[بدهی سررسید شده (کیلوگرم)],1):Main[[#This Row],[بدهی سررسید شده (کیلوگرم)]])</f>
        <v>0</v>
      </c>
      <c r="AE83" s="6">
        <f ca="1">IF(Main[[#This Row],[مانده در خط سررسید شده (کیلوگرم)]]&lt;&gt;0,Main[[#This Row],[تعداد کل روزهای بدهکار (روز)]],0)</f>
        <v>0</v>
      </c>
      <c r="AF83" s="6">
        <f ca="1">Main[[#This Row],[تعداد روزهای بدهکار سررسید شده (روز)]]*Main[[#This Row],[مانده در خط سررسید شده (کیلوگرم)]]</f>
        <v>0</v>
      </c>
    </row>
    <row r="84" spans="1:32" hidden="1" x14ac:dyDescent="0.35">
      <c r="A84" s="5">
        <f>ROW()-ROW(INDEX(Main[ردیف],1))+1</f>
        <v>82</v>
      </c>
      <c r="B84" s="31">
        <f>SUBTOTAL(2,INDEX(Main[ردیف],1):Main[[#This Row],[ردیف]])</f>
        <v>1</v>
      </c>
      <c r="C84" s="32" t="s">
        <v>452</v>
      </c>
      <c r="D84" s="32" t="str">
        <f>_xlfn.CONCAT("14",Main[[#This Row],[تاريخ]])</f>
        <v>1400/01/01</v>
      </c>
      <c r="E84" s="33">
        <v>44276</v>
      </c>
      <c r="F84" s="32">
        <v>30017</v>
      </c>
      <c r="G84" s="5" t="str">
        <f>INDEX(customer[عنوان],MATCH(Main[[#This Row],[کد ردیابی]],customer[کد],0))</f>
        <v xml:space="preserve">البرز یدک </v>
      </c>
      <c r="H84">
        <v>-8375</v>
      </c>
      <c r="I84" s="6">
        <f ca="1">-Main[[#This Row],[بدهی تسویه شده (کیلوگرم)]]+Main[[#This Row],[بستانکار (کیلوگرم)]]</f>
        <v>-8375</v>
      </c>
      <c r="J84" s="6">
        <f>IF(Main[[#This Row],[مقدار (کیلوگرم)]]&gt;0,Main[[#This Row],[مقدار (کیلوگرم)]],0)</f>
        <v>0</v>
      </c>
      <c r="K84" s="6">
        <f>-IF(Main[[#This Row],[مقدار (کیلوگرم)]]&lt;0,Main[[#This Row],[مقدار (کیلوگرم)]],0)</f>
        <v>8375</v>
      </c>
      <c r="L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" s="7">
        <f>-IF(AND(Main[[#This Row],[مقدار (کیلوگرم)]]&lt;0,Main[[#This Row],[تاريخ میلادی]]&gt;44276),Main[[#This Row],[مقدار (کیلوگرم)]],0)</f>
        <v>0</v>
      </c>
      <c r="N84" s="6">
        <f ca="1">Main[[#This Row],[بدهکار (کیلوگرم)]]-Main[[#This Row],[بدهی تسویه نشده (کیلوگرم)]]</f>
        <v>8375</v>
      </c>
      <c r="O84" s="6">
        <f ca="1">Main[[#This Row],[تفکیک]]</f>
        <v>0</v>
      </c>
      <c r="P84" s="6">
        <f ca="1">IF(Main[[#This Row],[تاخیر از سررسید]]&gt;0,Main[[#This Row],[بدهی تسویه نشده (کیلوگرم)]],0)</f>
        <v>0</v>
      </c>
      <c r="Q84" s="6">
        <f ca="1">IF(Main[[#This Row],[بدهی تسویه نشده (کیلوگرم)]]&gt;0,'گزارش فردی'!$B$7-Main[[#This Row],[تاريخ میلادی]],0)</f>
        <v>0</v>
      </c>
      <c r="R84" s="6">
        <f ca="1">IF(Main[[#This Row],[بدهی تسویه نشده (کیلوگرم)]]&gt;0,'گزارش فردی'!$B$7-Main[[#This Row],[تاريخ میلادی]]-'گزارش فردی'!$B$8,0)</f>
        <v>0</v>
      </c>
      <c r="S84" s="6">
        <f ca="1">Main[[#This Row],[روز از ارسال سفارش]]*Main[[#This Row],[بدهی تسویه نشده (کیلوگرم)]]</f>
        <v>0</v>
      </c>
      <c r="T84" s="6">
        <f ca="1">Main[[#This Row],[بدهی سررسید شده (کیلوگرم)]]*Main[[#This Row],[روز از ارسال سفارش]]</f>
        <v>0</v>
      </c>
      <c r="U84" s="6">
        <f>-SUBTOTAL(9,INDEX(Main[مقدار (کیلوگرم)],1):Main[[#This Row],[مقدار (کیلوگرم)]])</f>
        <v>18547</v>
      </c>
      <c r="V84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4" s="6">
        <f>Main[[#This Row],[تعداد کل روزهای بدهکار (روز)]]*Main[[#This Row],[مانده در خط کل (کیلوگرم)]]</f>
        <v>259658</v>
      </c>
      <c r="X84" s="6">
        <f ca="1">-SUBTOTAL(9,INDEX(Main[مقدار تسویه شده (کیلوگرم)],1):Main[[#This Row],[مقدار تسویه شده (کیلوگرم)]])</f>
        <v>18547</v>
      </c>
      <c r="Y84" s="6">
        <f ca="1">IF(Main[[#This Row],[مانده در خط تسویه شده (کیلوگرم)]]&lt;&gt;0,Main[[#This Row],[تعداد کل روزهای بدهکار (روز)]],0)</f>
        <v>14</v>
      </c>
      <c r="Z84" s="6">
        <f ca="1">Main[[#This Row],[تعداد روزهای بدهکار تسویه شده (روز)]]*Main[[#This Row],[مانده در خط تسویه شده (کیلوگرم)]]</f>
        <v>259658</v>
      </c>
      <c r="AA84" s="6">
        <f ca="1">SUBTOTAL(9,INDEX(Main[بدهی تسویه نشده (کیلوگرم)],1):Main[[#This Row],[بدهی تسویه نشده (کیلوگرم)]])</f>
        <v>0</v>
      </c>
      <c r="AB84" s="6">
        <f ca="1">IF(Main[[#This Row],[مانده در خط تسویه نشده (کیلوگرم)]]&lt;&gt;0,Main[[#This Row],[تعداد کل روزهای بدهکار (روز)]],0)</f>
        <v>0</v>
      </c>
      <c r="AC84" s="6">
        <f ca="1">Main[[#This Row],[تعداد روزهای بدهکار  تسویه نشده (روز)]]*Main[[#This Row],[مانده در خط تسویه نشده (کیلوگرم)]]</f>
        <v>0</v>
      </c>
      <c r="AD84" s="6">
        <f ca="1">SUBTOTAL(9,INDEX(Main[بدهی سررسید شده (کیلوگرم)],1):Main[[#This Row],[بدهی سررسید شده (کیلوگرم)]])</f>
        <v>0</v>
      </c>
      <c r="AE84" s="6">
        <f ca="1">IF(Main[[#This Row],[مانده در خط سررسید شده (کیلوگرم)]]&lt;&gt;0,Main[[#This Row],[تعداد کل روزهای بدهکار (روز)]],0)</f>
        <v>0</v>
      </c>
      <c r="AF84" s="6">
        <f ca="1">Main[[#This Row],[تعداد روزهای بدهکار سررسید شده (روز)]]*Main[[#This Row],[مانده در خط سررسید شده (کیلوگرم)]]</f>
        <v>0</v>
      </c>
    </row>
    <row r="85" spans="1:32" hidden="1" x14ac:dyDescent="0.35">
      <c r="A85" s="5">
        <f>ROW()-ROW(INDEX(Main[ردیف],1))+1</f>
        <v>83</v>
      </c>
      <c r="B85" s="31">
        <f>SUBTOTAL(2,INDEX(Main[ردیف],1):Main[[#This Row],[ردیف]])</f>
        <v>1</v>
      </c>
      <c r="C85" s="32" t="s">
        <v>452</v>
      </c>
      <c r="D85" s="32" t="str">
        <f>_xlfn.CONCAT("14",Main[[#This Row],[تاريخ]])</f>
        <v>1400/01/01</v>
      </c>
      <c r="E85" s="33">
        <v>44276</v>
      </c>
      <c r="F85" s="32">
        <v>10055</v>
      </c>
      <c r="G85" s="5" t="str">
        <f>INDEX(customer[عنوان],MATCH(Main[[#This Row],[کد ردیابی]],customer[کد],0))</f>
        <v xml:space="preserve">مریم فیض آبادی  </v>
      </c>
      <c r="H85">
        <v>-8674</v>
      </c>
      <c r="I85" s="6">
        <f ca="1">-Main[[#This Row],[بدهی تسویه شده (کیلوگرم)]]+Main[[#This Row],[بستانکار (کیلوگرم)]]</f>
        <v>-8674</v>
      </c>
      <c r="J85" s="6">
        <f>IF(Main[[#This Row],[مقدار (کیلوگرم)]]&gt;0,Main[[#This Row],[مقدار (کیلوگرم)]],0)</f>
        <v>0</v>
      </c>
      <c r="K85" s="6">
        <f>-IF(Main[[#This Row],[مقدار (کیلوگرم)]]&lt;0,Main[[#This Row],[مقدار (کیلوگرم)]],0)</f>
        <v>8674</v>
      </c>
      <c r="L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" s="7">
        <f>-IF(AND(Main[[#This Row],[مقدار (کیلوگرم)]]&lt;0,Main[[#This Row],[تاريخ میلادی]]&gt;44276),Main[[#This Row],[مقدار (کیلوگرم)]],0)</f>
        <v>0</v>
      </c>
      <c r="N85" s="6">
        <f ca="1">Main[[#This Row],[بدهکار (کیلوگرم)]]-Main[[#This Row],[بدهی تسویه نشده (کیلوگرم)]]</f>
        <v>8674</v>
      </c>
      <c r="O85" s="6">
        <f ca="1">Main[[#This Row],[تفکیک]]</f>
        <v>0</v>
      </c>
      <c r="P85" s="6">
        <f ca="1">IF(Main[[#This Row],[تاخیر از سررسید]]&gt;0,Main[[#This Row],[بدهی تسویه نشده (کیلوگرم)]],0)</f>
        <v>0</v>
      </c>
      <c r="Q85" s="6">
        <f ca="1">IF(Main[[#This Row],[بدهی تسویه نشده (کیلوگرم)]]&gt;0,'گزارش فردی'!$B$7-Main[[#This Row],[تاريخ میلادی]],0)</f>
        <v>0</v>
      </c>
      <c r="R85" s="6">
        <f ca="1">IF(Main[[#This Row],[بدهی تسویه نشده (کیلوگرم)]]&gt;0,'گزارش فردی'!$B$7-Main[[#This Row],[تاريخ میلادی]]-'گزارش فردی'!$B$8,0)</f>
        <v>0</v>
      </c>
      <c r="S85" s="6">
        <f ca="1">Main[[#This Row],[روز از ارسال سفارش]]*Main[[#This Row],[بدهی تسویه نشده (کیلوگرم)]]</f>
        <v>0</v>
      </c>
      <c r="T85" s="6">
        <f ca="1">Main[[#This Row],[بدهی سررسید شده (کیلوگرم)]]*Main[[#This Row],[روز از ارسال سفارش]]</f>
        <v>0</v>
      </c>
      <c r="U85" s="6">
        <f>-SUBTOTAL(9,INDEX(Main[مقدار (کیلوگرم)],1):Main[[#This Row],[مقدار (کیلوگرم)]])</f>
        <v>18547</v>
      </c>
      <c r="V85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5" s="6">
        <f>Main[[#This Row],[تعداد کل روزهای بدهکار (روز)]]*Main[[#This Row],[مانده در خط کل (کیلوگرم)]]</f>
        <v>259658</v>
      </c>
      <c r="X85" s="6">
        <f ca="1">-SUBTOTAL(9,INDEX(Main[مقدار تسویه شده (کیلوگرم)],1):Main[[#This Row],[مقدار تسویه شده (کیلوگرم)]])</f>
        <v>18547</v>
      </c>
      <c r="Y85" s="6">
        <f ca="1">IF(Main[[#This Row],[مانده در خط تسویه شده (کیلوگرم)]]&lt;&gt;0,Main[[#This Row],[تعداد کل روزهای بدهکار (روز)]],0)</f>
        <v>14</v>
      </c>
      <c r="Z85" s="6">
        <f ca="1">Main[[#This Row],[تعداد روزهای بدهکار تسویه شده (روز)]]*Main[[#This Row],[مانده در خط تسویه شده (کیلوگرم)]]</f>
        <v>259658</v>
      </c>
      <c r="AA85" s="6">
        <f ca="1">SUBTOTAL(9,INDEX(Main[بدهی تسویه نشده (کیلوگرم)],1):Main[[#This Row],[بدهی تسویه نشده (کیلوگرم)]])</f>
        <v>0</v>
      </c>
      <c r="AB85" s="6">
        <f ca="1">IF(Main[[#This Row],[مانده در خط تسویه نشده (کیلوگرم)]]&lt;&gt;0,Main[[#This Row],[تعداد کل روزهای بدهکار (روز)]],0)</f>
        <v>0</v>
      </c>
      <c r="AC85" s="6">
        <f ca="1">Main[[#This Row],[تعداد روزهای بدهکار  تسویه نشده (روز)]]*Main[[#This Row],[مانده در خط تسویه نشده (کیلوگرم)]]</f>
        <v>0</v>
      </c>
      <c r="AD85" s="6">
        <f ca="1">SUBTOTAL(9,INDEX(Main[بدهی سررسید شده (کیلوگرم)],1):Main[[#This Row],[بدهی سررسید شده (کیلوگرم)]])</f>
        <v>0</v>
      </c>
      <c r="AE85" s="6">
        <f ca="1">IF(Main[[#This Row],[مانده در خط سررسید شده (کیلوگرم)]]&lt;&gt;0,Main[[#This Row],[تعداد کل روزهای بدهکار (روز)]],0)</f>
        <v>0</v>
      </c>
      <c r="AF85" s="6">
        <f ca="1">Main[[#This Row],[تعداد روزهای بدهکار سررسید شده (روز)]]*Main[[#This Row],[مانده در خط سررسید شده (کیلوگرم)]]</f>
        <v>0</v>
      </c>
    </row>
    <row r="86" spans="1:32" hidden="1" x14ac:dyDescent="0.35">
      <c r="A86" s="5">
        <f>ROW()-ROW(INDEX(Main[ردیف],1))+1</f>
        <v>84</v>
      </c>
      <c r="B86" s="31">
        <f>SUBTOTAL(2,INDEX(Main[ردیف],1):Main[[#This Row],[ردیف]])</f>
        <v>1</v>
      </c>
      <c r="C86" s="32" t="s">
        <v>452</v>
      </c>
      <c r="D86" s="32" t="str">
        <f>_xlfn.CONCAT("14",Main[[#This Row],[تاريخ]])</f>
        <v>1400/01/01</v>
      </c>
      <c r="E86" s="33">
        <v>44276</v>
      </c>
      <c r="F86" s="32">
        <v>30101</v>
      </c>
      <c r="G86" s="5" t="str">
        <f>INDEX(customer[عنوان],MATCH(Main[[#This Row],[کد ردیابی]],customer[کد],0))</f>
        <v>شرکت قاره سبز</v>
      </c>
      <c r="H86">
        <v>-3</v>
      </c>
      <c r="I86" s="6">
        <f ca="1">-Main[[#This Row],[بدهی تسویه شده (کیلوگرم)]]+Main[[#This Row],[بستانکار (کیلوگرم)]]</f>
        <v>-3</v>
      </c>
      <c r="J86" s="6">
        <f>IF(Main[[#This Row],[مقدار (کیلوگرم)]]&gt;0,Main[[#This Row],[مقدار (کیلوگرم)]],0)</f>
        <v>0</v>
      </c>
      <c r="K86" s="6">
        <f>-IF(Main[[#This Row],[مقدار (کیلوگرم)]]&lt;0,Main[[#This Row],[مقدار (کیلوگرم)]],0)</f>
        <v>3</v>
      </c>
      <c r="L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" s="7">
        <f>-IF(AND(Main[[#This Row],[مقدار (کیلوگرم)]]&lt;0,Main[[#This Row],[تاريخ میلادی]]&gt;44276),Main[[#This Row],[مقدار (کیلوگرم)]],0)</f>
        <v>0</v>
      </c>
      <c r="N86" s="6">
        <f ca="1">Main[[#This Row],[بدهکار (کیلوگرم)]]-Main[[#This Row],[بدهی تسویه نشده (کیلوگرم)]]</f>
        <v>3</v>
      </c>
      <c r="O86" s="6">
        <f ca="1">Main[[#This Row],[تفکیک]]</f>
        <v>0</v>
      </c>
      <c r="P86" s="6">
        <f ca="1">IF(Main[[#This Row],[تاخیر از سررسید]]&gt;0,Main[[#This Row],[بدهی تسویه نشده (کیلوگرم)]],0)</f>
        <v>0</v>
      </c>
      <c r="Q86" s="6">
        <f ca="1">IF(Main[[#This Row],[بدهی تسویه نشده (کیلوگرم)]]&gt;0,'گزارش فردی'!$B$7-Main[[#This Row],[تاريخ میلادی]],0)</f>
        <v>0</v>
      </c>
      <c r="R86" s="6">
        <f ca="1">IF(Main[[#This Row],[بدهی تسویه نشده (کیلوگرم)]]&gt;0,'گزارش فردی'!$B$7-Main[[#This Row],[تاريخ میلادی]]-'گزارش فردی'!$B$8,0)</f>
        <v>0</v>
      </c>
      <c r="S86" s="6">
        <f ca="1">Main[[#This Row],[روز از ارسال سفارش]]*Main[[#This Row],[بدهی تسویه نشده (کیلوگرم)]]</f>
        <v>0</v>
      </c>
      <c r="T86" s="6">
        <f ca="1">Main[[#This Row],[بدهی سررسید شده (کیلوگرم)]]*Main[[#This Row],[روز از ارسال سفارش]]</f>
        <v>0</v>
      </c>
      <c r="U86" s="6">
        <f>-SUBTOTAL(9,INDEX(Main[مقدار (کیلوگرم)],1):Main[[#This Row],[مقدار (کیلوگرم)]])</f>
        <v>18547</v>
      </c>
      <c r="V86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6" s="6">
        <f>Main[[#This Row],[تعداد کل روزهای بدهکار (روز)]]*Main[[#This Row],[مانده در خط کل (کیلوگرم)]]</f>
        <v>259658</v>
      </c>
      <c r="X86" s="6">
        <f ca="1">-SUBTOTAL(9,INDEX(Main[مقدار تسویه شده (کیلوگرم)],1):Main[[#This Row],[مقدار تسویه شده (کیلوگرم)]])</f>
        <v>18547</v>
      </c>
      <c r="Y86" s="6">
        <f ca="1">IF(Main[[#This Row],[مانده در خط تسویه شده (کیلوگرم)]]&lt;&gt;0,Main[[#This Row],[تعداد کل روزهای بدهکار (روز)]],0)</f>
        <v>14</v>
      </c>
      <c r="Z86" s="6">
        <f ca="1">Main[[#This Row],[تعداد روزهای بدهکار تسویه شده (روز)]]*Main[[#This Row],[مانده در خط تسویه شده (کیلوگرم)]]</f>
        <v>259658</v>
      </c>
      <c r="AA86" s="6">
        <f ca="1">SUBTOTAL(9,INDEX(Main[بدهی تسویه نشده (کیلوگرم)],1):Main[[#This Row],[بدهی تسویه نشده (کیلوگرم)]])</f>
        <v>0</v>
      </c>
      <c r="AB86" s="6">
        <f ca="1">IF(Main[[#This Row],[مانده در خط تسویه نشده (کیلوگرم)]]&lt;&gt;0,Main[[#This Row],[تعداد کل روزهای بدهکار (روز)]],0)</f>
        <v>0</v>
      </c>
      <c r="AC86" s="6">
        <f ca="1">Main[[#This Row],[تعداد روزهای بدهکار  تسویه نشده (روز)]]*Main[[#This Row],[مانده در خط تسویه نشده (کیلوگرم)]]</f>
        <v>0</v>
      </c>
      <c r="AD86" s="6">
        <f ca="1">SUBTOTAL(9,INDEX(Main[بدهی سررسید شده (کیلوگرم)],1):Main[[#This Row],[بدهی سررسید شده (کیلوگرم)]])</f>
        <v>0</v>
      </c>
      <c r="AE86" s="6">
        <f ca="1">IF(Main[[#This Row],[مانده در خط سررسید شده (کیلوگرم)]]&lt;&gt;0,Main[[#This Row],[تعداد کل روزهای بدهکار (روز)]],0)</f>
        <v>0</v>
      </c>
      <c r="AF86" s="6">
        <f ca="1">Main[[#This Row],[تعداد روزهای بدهکار سررسید شده (روز)]]*Main[[#This Row],[مانده در خط سررسید شده (کیلوگرم)]]</f>
        <v>0</v>
      </c>
    </row>
    <row r="87" spans="1:32" hidden="1" x14ac:dyDescent="0.35">
      <c r="A87" s="5">
        <f>ROW()-ROW(INDEX(Main[ردیف],1))+1</f>
        <v>85</v>
      </c>
      <c r="B87" s="31">
        <f>SUBTOTAL(2,INDEX(Main[ردیف],1):Main[[#This Row],[ردیف]])</f>
        <v>1</v>
      </c>
      <c r="C87" s="32" t="s">
        <v>452</v>
      </c>
      <c r="D87" s="32" t="str">
        <f>_xlfn.CONCAT("14",Main[[#This Row],[تاريخ]])</f>
        <v>1400/01/01</v>
      </c>
      <c r="E87" s="33">
        <v>44276</v>
      </c>
      <c r="F87" s="32">
        <v>30040</v>
      </c>
      <c r="G87" s="5" t="str">
        <f>INDEX(customer[عنوان],MATCH(Main[[#This Row],[کد ردیابی]],customer[کد],0))</f>
        <v xml:space="preserve">دنیای هنر </v>
      </c>
      <c r="H87">
        <v>-24</v>
      </c>
      <c r="I87" s="6">
        <f ca="1">-Main[[#This Row],[بدهی تسویه شده (کیلوگرم)]]+Main[[#This Row],[بستانکار (کیلوگرم)]]</f>
        <v>-24</v>
      </c>
      <c r="J87" s="6">
        <f>IF(Main[[#This Row],[مقدار (کیلوگرم)]]&gt;0,Main[[#This Row],[مقدار (کیلوگرم)]],0)</f>
        <v>0</v>
      </c>
      <c r="K87" s="6">
        <f>-IF(Main[[#This Row],[مقدار (کیلوگرم)]]&lt;0,Main[[#This Row],[مقدار (کیلوگرم)]],0)</f>
        <v>24</v>
      </c>
      <c r="L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" s="7">
        <f>-IF(AND(Main[[#This Row],[مقدار (کیلوگرم)]]&lt;0,Main[[#This Row],[تاريخ میلادی]]&gt;44276),Main[[#This Row],[مقدار (کیلوگرم)]],0)</f>
        <v>0</v>
      </c>
      <c r="N87" s="6">
        <f ca="1">Main[[#This Row],[بدهکار (کیلوگرم)]]-Main[[#This Row],[بدهی تسویه نشده (کیلوگرم)]]</f>
        <v>24</v>
      </c>
      <c r="O87" s="6">
        <f ca="1">Main[[#This Row],[تفکیک]]</f>
        <v>0</v>
      </c>
      <c r="P87" s="6">
        <f ca="1">IF(Main[[#This Row],[تاخیر از سررسید]]&gt;0,Main[[#This Row],[بدهی تسویه نشده (کیلوگرم)]],0)</f>
        <v>0</v>
      </c>
      <c r="Q87" s="6">
        <f ca="1">IF(Main[[#This Row],[بدهی تسویه نشده (کیلوگرم)]]&gt;0,'گزارش فردی'!$B$7-Main[[#This Row],[تاريخ میلادی]],0)</f>
        <v>0</v>
      </c>
      <c r="R87" s="6">
        <f ca="1">IF(Main[[#This Row],[بدهی تسویه نشده (کیلوگرم)]]&gt;0,'گزارش فردی'!$B$7-Main[[#This Row],[تاريخ میلادی]]-'گزارش فردی'!$B$8,0)</f>
        <v>0</v>
      </c>
      <c r="S87" s="6">
        <f ca="1">Main[[#This Row],[روز از ارسال سفارش]]*Main[[#This Row],[بدهی تسویه نشده (کیلوگرم)]]</f>
        <v>0</v>
      </c>
      <c r="T87" s="6">
        <f ca="1">Main[[#This Row],[بدهی سررسید شده (کیلوگرم)]]*Main[[#This Row],[روز از ارسال سفارش]]</f>
        <v>0</v>
      </c>
      <c r="U87" s="6">
        <f>-SUBTOTAL(9,INDEX(Main[مقدار (کیلوگرم)],1):Main[[#This Row],[مقدار (کیلوگرم)]])</f>
        <v>18547</v>
      </c>
      <c r="V87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7" s="6">
        <f>Main[[#This Row],[تعداد کل روزهای بدهکار (روز)]]*Main[[#This Row],[مانده در خط کل (کیلوگرم)]]</f>
        <v>259658</v>
      </c>
      <c r="X87" s="6">
        <f ca="1">-SUBTOTAL(9,INDEX(Main[مقدار تسویه شده (کیلوگرم)],1):Main[[#This Row],[مقدار تسویه شده (کیلوگرم)]])</f>
        <v>18547</v>
      </c>
      <c r="Y87" s="6">
        <f ca="1">IF(Main[[#This Row],[مانده در خط تسویه شده (کیلوگرم)]]&lt;&gt;0,Main[[#This Row],[تعداد کل روزهای بدهکار (روز)]],0)</f>
        <v>14</v>
      </c>
      <c r="Z87" s="6">
        <f ca="1">Main[[#This Row],[تعداد روزهای بدهکار تسویه شده (روز)]]*Main[[#This Row],[مانده در خط تسویه شده (کیلوگرم)]]</f>
        <v>259658</v>
      </c>
      <c r="AA87" s="6">
        <f ca="1">SUBTOTAL(9,INDEX(Main[بدهی تسویه نشده (کیلوگرم)],1):Main[[#This Row],[بدهی تسویه نشده (کیلوگرم)]])</f>
        <v>0</v>
      </c>
      <c r="AB87" s="6">
        <f ca="1">IF(Main[[#This Row],[مانده در خط تسویه نشده (کیلوگرم)]]&lt;&gt;0,Main[[#This Row],[تعداد کل روزهای بدهکار (روز)]],0)</f>
        <v>0</v>
      </c>
      <c r="AC87" s="6">
        <f ca="1">Main[[#This Row],[تعداد روزهای بدهکار  تسویه نشده (روز)]]*Main[[#This Row],[مانده در خط تسویه نشده (کیلوگرم)]]</f>
        <v>0</v>
      </c>
      <c r="AD87" s="6">
        <f ca="1">SUBTOTAL(9,INDEX(Main[بدهی سررسید شده (کیلوگرم)],1):Main[[#This Row],[بدهی سررسید شده (کیلوگرم)]])</f>
        <v>0</v>
      </c>
      <c r="AE87" s="6">
        <f ca="1">IF(Main[[#This Row],[مانده در خط سررسید شده (کیلوگرم)]]&lt;&gt;0,Main[[#This Row],[تعداد کل روزهای بدهکار (روز)]],0)</f>
        <v>0</v>
      </c>
      <c r="AF87" s="6">
        <f ca="1">Main[[#This Row],[تعداد روزهای بدهکار سررسید شده (روز)]]*Main[[#This Row],[مانده در خط سررسید شده (کیلوگرم)]]</f>
        <v>0</v>
      </c>
    </row>
    <row r="88" spans="1:32" hidden="1" x14ac:dyDescent="0.35">
      <c r="A88" s="5">
        <f>ROW()-ROW(INDEX(Main[ردیف],1))+1</f>
        <v>86</v>
      </c>
      <c r="B88" s="31">
        <f>SUBTOTAL(2,INDEX(Main[ردیف],1):Main[[#This Row],[ردیف]])</f>
        <v>1</v>
      </c>
      <c r="C88" s="32" t="s">
        <v>452</v>
      </c>
      <c r="D88" s="32" t="str">
        <f>_xlfn.CONCAT("14",Main[[#This Row],[تاريخ]])</f>
        <v>1400/01/01</v>
      </c>
      <c r="E88" s="33">
        <v>44276</v>
      </c>
      <c r="F88" s="32">
        <v>30123</v>
      </c>
      <c r="G88" s="5" t="str">
        <f>INDEX(customer[عنوان],MATCH(Main[[#This Row],[کد ردیابی]],customer[کد],0))</f>
        <v>قوی ساز نیرو</v>
      </c>
      <c r="H88">
        <v>-20</v>
      </c>
      <c r="I88" s="6">
        <f ca="1">-Main[[#This Row],[بدهی تسویه شده (کیلوگرم)]]+Main[[#This Row],[بستانکار (کیلوگرم)]]</f>
        <v>-20</v>
      </c>
      <c r="J88" s="6">
        <f>IF(Main[[#This Row],[مقدار (کیلوگرم)]]&gt;0,Main[[#This Row],[مقدار (کیلوگرم)]],0)</f>
        <v>0</v>
      </c>
      <c r="K88" s="6">
        <f>-IF(Main[[#This Row],[مقدار (کیلوگرم)]]&lt;0,Main[[#This Row],[مقدار (کیلوگرم)]],0)</f>
        <v>20</v>
      </c>
      <c r="L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" s="7">
        <f>-IF(AND(Main[[#This Row],[مقدار (کیلوگرم)]]&lt;0,Main[[#This Row],[تاريخ میلادی]]&gt;44276),Main[[#This Row],[مقدار (کیلوگرم)]],0)</f>
        <v>0</v>
      </c>
      <c r="N88" s="6">
        <f ca="1">Main[[#This Row],[بدهکار (کیلوگرم)]]-Main[[#This Row],[بدهی تسویه نشده (کیلوگرم)]]</f>
        <v>20</v>
      </c>
      <c r="O88" s="6">
        <f ca="1">Main[[#This Row],[تفکیک]]</f>
        <v>0</v>
      </c>
      <c r="P88" s="6">
        <f ca="1">IF(Main[[#This Row],[تاخیر از سررسید]]&gt;0,Main[[#This Row],[بدهی تسویه نشده (کیلوگرم)]],0)</f>
        <v>0</v>
      </c>
      <c r="Q88" s="6">
        <f ca="1">IF(Main[[#This Row],[بدهی تسویه نشده (کیلوگرم)]]&gt;0,'گزارش فردی'!$B$7-Main[[#This Row],[تاريخ میلادی]],0)</f>
        <v>0</v>
      </c>
      <c r="R88" s="6">
        <f ca="1">IF(Main[[#This Row],[بدهی تسویه نشده (کیلوگرم)]]&gt;0,'گزارش فردی'!$B$7-Main[[#This Row],[تاريخ میلادی]]-'گزارش فردی'!$B$8,0)</f>
        <v>0</v>
      </c>
      <c r="S88" s="6">
        <f ca="1">Main[[#This Row],[روز از ارسال سفارش]]*Main[[#This Row],[بدهی تسویه نشده (کیلوگرم)]]</f>
        <v>0</v>
      </c>
      <c r="T88" s="6">
        <f ca="1">Main[[#This Row],[بدهی سررسید شده (کیلوگرم)]]*Main[[#This Row],[روز از ارسال سفارش]]</f>
        <v>0</v>
      </c>
      <c r="U88" s="6">
        <f>-SUBTOTAL(9,INDEX(Main[مقدار (کیلوگرم)],1):Main[[#This Row],[مقدار (کیلوگرم)]])</f>
        <v>18547</v>
      </c>
      <c r="V88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8" s="6">
        <f>Main[[#This Row],[تعداد کل روزهای بدهکار (روز)]]*Main[[#This Row],[مانده در خط کل (کیلوگرم)]]</f>
        <v>259658</v>
      </c>
      <c r="X88" s="6">
        <f ca="1">-SUBTOTAL(9,INDEX(Main[مقدار تسویه شده (کیلوگرم)],1):Main[[#This Row],[مقدار تسویه شده (کیلوگرم)]])</f>
        <v>18547</v>
      </c>
      <c r="Y88" s="6">
        <f ca="1">IF(Main[[#This Row],[مانده در خط تسویه شده (کیلوگرم)]]&lt;&gt;0,Main[[#This Row],[تعداد کل روزهای بدهکار (روز)]],0)</f>
        <v>14</v>
      </c>
      <c r="Z88" s="6">
        <f ca="1">Main[[#This Row],[تعداد روزهای بدهکار تسویه شده (روز)]]*Main[[#This Row],[مانده در خط تسویه شده (کیلوگرم)]]</f>
        <v>259658</v>
      </c>
      <c r="AA88" s="6">
        <f ca="1">SUBTOTAL(9,INDEX(Main[بدهی تسویه نشده (کیلوگرم)],1):Main[[#This Row],[بدهی تسویه نشده (کیلوگرم)]])</f>
        <v>0</v>
      </c>
      <c r="AB88" s="6">
        <f ca="1">IF(Main[[#This Row],[مانده در خط تسویه نشده (کیلوگرم)]]&lt;&gt;0,Main[[#This Row],[تعداد کل روزهای بدهکار (روز)]],0)</f>
        <v>0</v>
      </c>
      <c r="AC88" s="6">
        <f ca="1">Main[[#This Row],[تعداد روزهای بدهکار  تسویه نشده (روز)]]*Main[[#This Row],[مانده در خط تسویه نشده (کیلوگرم)]]</f>
        <v>0</v>
      </c>
      <c r="AD88" s="6">
        <f ca="1">SUBTOTAL(9,INDEX(Main[بدهی سررسید شده (کیلوگرم)],1):Main[[#This Row],[بدهی سررسید شده (کیلوگرم)]])</f>
        <v>0</v>
      </c>
      <c r="AE88" s="6">
        <f ca="1">IF(Main[[#This Row],[مانده در خط سررسید شده (کیلوگرم)]]&lt;&gt;0,Main[[#This Row],[تعداد کل روزهای بدهکار (روز)]],0)</f>
        <v>0</v>
      </c>
      <c r="AF88" s="6">
        <f ca="1">Main[[#This Row],[تعداد روزهای بدهکار سررسید شده (روز)]]*Main[[#This Row],[مانده در خط سررسید شده (کیلوگرم)]]</f>
        <v>0</v>
      </c>
    </row>
    <row r="89" spans="1:32" hidden="1" x14ac:dyDescent="0.35">
      <c r="A89" s="5">
        <f>ROW()-ROW(INDEX(Main[ردیف],1))+1</f>
        <v>87</v>
      </c>
      <c r="B89" s="31">
        <f>SUBTOTAL(2,INDEX(Main[ردیف],1):Main[[#This Row],[ردیف]])</f>
        <v>1</v>
      </c>
      <c r="C89" s="32" t="s">
        <v>452</v>
      </c>
      <c r="D89" s="32" t="str">
        <f>_xlfn.CONCAT("14",Main[[#This Row],[تاريخ]])</f>
        <v>1400/01/01</v>
      </c>
      <c r="E89" s="33">
        <v>44276</v>
      </c>
      <c r="F89" s="32">
        <v>30118</v>
      </c>
      <c r="G89" s="5" t="str">
        <f>INDEX(customer[عنوان],MATCH(Main[[#This Row],[کد ردیابی]],customer[کد],0))</f>
        <v>عمارت</v>
      </c>
      <c r="H89">
        <v>-20</v>
      </c>
      <c r="I89" s="6">
        <f ca="1">-Main[[#This Row],[بدهی تسویه شده (کیلوگرم)]]+Main[[#This Row],[بستانکار (کیلوگرم)]]</f>
        <v>-20</v>
      </c>
      <c r="J89" s="6">
        <f>IF(Main[[#This Row],[مقدار (کیلوگرم)]]&gt;0,Main[[#This Row],[مقدار (کیلوگرم)]],0)</f>
        <v>0</v>
      </c>
      <c r="K89" s="6">
        <f>-IF(Main[[#This Row],[مقدار (کیلوگرم)]]&lt;0,Main[[#This Row],[مقدار (کیلوگرم)]],0)</f>
        <v>20</v>
      </c>
      <c r="L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" s="7">
        <f>-IF(AND(Main[[#This Row],[مقدار (کیلوگرم)]]&lt;0,Main[[#This Row],[تاريخ میلادی]]&gt;44276),Main[[#This Row],[مقدار (کیلوگرم)]],0)</f>
        <v>0</v>
      </c>
      <c r="N89" s="6">
        <f ca="1">Main[[#This Row],[بدهکار (کیلوگرم)]]-Main[[#This Row],[بدهی تسویه نشده (کیلوگرم)]]</f>
        <v>20</v>
      </c>
      <c r="O89" s="6">
        <f ca="1">Main[[#This Row],[تفکیک]]</f>
        <v>0</v>
      </c>
      <c r="P89" s="6">
        <f ca="1">IF(Main[[#This Row],[تاخیر از سررسید]]&gt;0,Main[[#This Row],[بدهی تسویه نشده (کیلوگرم)]],0)</f>
        <v>0</v>
      </c>
      <c r="Q89" s="6">
        <f ca="1">IF(Main[[#This Row],[بدهی تسویه نشده (کیلوگرم)]]&gt;0,'گزارش فردی'!$B$7-Main[[#This Row],[تاريخ میلادی]],0)</f>
        <v>0</v>
      </c>
      <c r="R89" s="6">
        <f ca="1">IF(Main[[#This Row],[بدهی تسویه نشده (کیلوگرم)]]&gt;0,'گزارش فردی'!$B$7-Main[[#This Row],[تاريخ میلادی]]-'گزارش فردی'!$B$8,0)</f>
        <v>0</v>
      </c>
      <c r="S89" s="6">
        <f ca="1">Main[[#This Row],[روز از ارسال سفارش]]*Main[[#This Row],[بدهی تسویه نشده (کیلوگرم)]]</f>
        <v>0</v>
      </c>
      <c r="T89" s="6">
        <f ca="1">Main[[#This Row],[بدهی سررسید شده (کیلوگرم)]]*Main[[#This Row],[روز از ارسال سفارش]]</f>
        <v>0</v>
      </c>
      <c r="U89" s="6">
        <f>-SUBTOTAL(9,INDEX(Main[مقدار (کیلوگرم)],1):Main[[#This Row],[مقدار (کیلوگرم)]])</f>
        <v>18547</v>
      </c>
      <c r="V89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9" s="6">
        <f>Main[[#This Row],[تعداد کل روزهای بدهکار (روز)]]*Main[[#This Row],[مانده در خط کل (کیلوگرم)]]</f>
        <v>259658</v>
      </c>
      <c r="X89" s="6">
        <f ca="1">-SUBTOTAL(9,INDEX(Main[مقدار تسویه شده (کیلوگرم)],1):Main[[#This Row],[مقدار تسویه شده (کیلوگرم)]])</f>
        <v>18547</v>
      </c>
      <c r="Y89" s="6">
        <f ca="1">IF(Main[[#This Row],[مانده در خط تسویه شده (کیلوگرم)]]&lt;&gt;0,Main[[#This Row],[تعداد کل روزهای بدهکار (روز)]],0)</f>
        <v>14</v>
      </c>
      <c r="Z89" s="6">
        <f ca="1">Main[[#This Row],[تعداد روزهای بدهکار تسویه شده (روز)]]*Main[[#This Row],[مانده در خط تسویه شده (کیلوگرم)]]</f>
        <v>259658</v>
      </c>
      <c r="AA89" s="6">
        <f ca="1">SUBTOTAL(9,INDEX(Main[بدهی تسویه نشده (کیلوگرم)],1):Main[[#This Row],[بدهی تسویه نشده (کیلوگرم)]])</f>
        <v>0</v>
      </c>
      <c r="AB89" s="6">
        <f ca="1">IF(Main[[#This Row],[مانده در خط تسویه نشده (کیلوگرم)]]&lt;&gt;0,Main[[#This Row],[تعداد کل روزهای بدهکار (روز)]],0)</f>
        <v>0</v>
      </c>
      <c r="AC89" s="6">
        <f ca="1">Main[[#This Row],[تعداد روزهای بدهکار  تسویه نشده (روز)]]*Main[[#This Row],[مانده در خط تسویه نشده (کیلوگرم)]]</f>
        <v>0</v>
      </c>
      <c r="AD89" s="6">
        <f ca="1">SUBTOTAL(9,INDEX(Main[بدهی سررسید شده (کیلوگرم)],1):Main[[#This Row],[بدهی سررسید شده (کیلوگرم)]])</f>
        <v>0</v>
      </c>
      <c r="AE89" s="6">
        <f ca="1">IF(Main[[#This Row],[مانده در خط سررسید شده (کیلوگرم)]]&lt;&gt;0,Main[[#This Row],[تعداد کل روزهای بدهکار (روز)]],0)</f>
        <v>0</v>
      </c>
      <c r="AF89" s="6">
        <f ca="1">Main[[#This Row],[تعداد روزهای بدهکار سررسید شده (روز)]]*Main[[#This Row],[مانده در خط سررسید شده (کیلوگرم)]]</f>
        <v>0</v>
      </c>
    </row>
    <row r="90" spans="1:32" hidden="1" x14ac:dyDescent="0.35">
      <c r="A90" s="5">
        <f>ROW()-ROW(INDEX(Main[ردیف],1))+1</f>
        <v>88</v>
      </c>
      <c r="B90" s="31">
        <f>SUBTOTAL(2,INDEX(Main[ردیف],1):Main[[#This Row],[ردیف]])</f>
        <v>1</v>
      </c>
      <c r="C90" s="32" t="s">
        <v>452</v>
      </c>
      <c r="D90" s="32" t="str">
        <f>_xlfn.CONCAT("14",Main[[#This Row],[تاريخ]])</f>
        <v>1400/01/01</v>
      </c>
      <c r="E90" s="33">
        <v>44276</v>
      </c>
      <c r="F90" s="32">
        <v>10045</v>
      </c>
      <c r="G90" s="5" t="str">
        <f>INDEX(customer[عنوان],MATCH(Main[[#This Row],[کد ردیابی]],customer[کد],0))</f>
        <v xml:space="preserve">علی خدمتکار </v>
      </c>
      <c r="H90">
        <v>-30</v>
      </c>
      <c r="I90" s="6">
        <f ca="1">-Main[[#This Row],[بدهی تسویه شده (کیلوگرم)]]+Main[[#This Row],[بستانکار (کیلوگرم)]]</f>
        <v>-30</v>
      </c>
      <c r="J90" s="6">
        <f>IF(Main[[#This Row],[مقدار (کیلوگرم)]]&gt;0,Main[[#This Row],[مقدار (کیلوگرم)]],0)</f>
        <v>0</v>
      </c>
      <c r="K90" s="6">
        <f>-IF(Main[[#This Row],[مقدار (کیلوگرم)]]&lt;0,Main[[#This Row],[مقدار (کیلوگرم)]],0)</f>
        <v>30</v>
      </c>
      <c r="L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" s="7">
        <f>-IF(AND(Main[[#This Row],[مقدار (کیلوگرم)]]&lt;0,Main[[#This Row],[تاريخ میلادی]]&gt;44276),Main[[#This Row],[مقدار (کیلوگرم)]],0)</f>
        <v>0</v>
      </c>
      <c r="N90" s="6">
        <f ca="1">Main[[#This Row],[بدهکار (کیلوگرم)]]-Main[[#This Row],[بدهی تسویه نشده (کیلوگرم)]]</f>
        <v>30</v>
      </c>
      <c r="O90" s="6">
        <f ca="1">Main[[#This Row],[تفکیک]]</f>
        <v>0</v>
      </c>
      <c r="P90" s="6">
        <f ca="1">IF(Main[[#This Row],[تاخیر از سررسید]]&gt;0,Main[[#This Row],[بدهی تسویه نشده (کیلوگرم)]],0)</f>
        <v>0</v>
      </c>
      <c r="Q90" s="6">
        <f ca="1">IF(Main[[#This Row],[بدهی تسویه نشده (کیلوگرم)]]&gt;0,'گزارش فردی'!$B$7-Main[[#This Row],[تاريخ میلادی]],0)</f>
        <v>0</v>
      </c>
      <c r="R90" s="6">
        <f ca="1">IF(Main[[#This Row],[بدهی تسویه نشده (کیلوگرم)]]&gt;0,'گزارش فردی'!$B$7-Main[[#This Row],[تاريخ میلادی]]-'گزارش فردی'!$B$8,0)</f>
        <v>0</v>
      </c>
      <c r="S90" s="6">
        <f ca="1">Main[[#This Row],[روز از ارسال سفارش]]*Main[[#This Row],[بدهی تسویه نشده (کیلوگرم)]]</f>
        <v>0</v>
      </c>
      <c r="T90" s="6">
        <f ca="1">Main[[#This Row],[بدهی سررسید شده (کیلوگرم)]]*Main[[#This Row],[روز از ارسال سفارش]]</f>
        <v>0</v>
      </c>
      <c r="U90" s="6">
        <f>-SUBTOTAL(9,INDEX(Main[مقدار (کیلوگرم)],1):Main[[#This Row],[مقدار (کیلوگرم)]])</f>
        <v>18547</v>
      </c>
      <c r="V90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0" s="6">
        <f>Main[[#This Row],[تعداد کل روزهای بدهکار (روز)]]*Main[[#This Row],[مانده در خط کل (کیلوگرم)]]</f>
        <v>259658</v>
      </c>
      <c r="X90" s="6">
        <f ca="1">-SUBTOTAL(9,INDEX(Main[مقدار تسویه شده (کیلوگرم)],1):Main[[#This Row],[مقدار تسویه شده (کیلوگرم)]])</f>
        <v>18547</v>
      </c>
      <c r="Y90" s="6">
        <f ca="1">IF(Main[[#This Row],[مانده در خط تسویه شده (کیلوگرم)]]&lt;&gt;0,Main[[#This Row],[تعداد کل روزهای بدهکار (روز)]],0)</f>
        <v>14</v>
      </c>
      <c r="Z90" s="6">
        <f ca="1">Main[[#This Row],[تعداد روزهای بدهکار تسویه شده (روز)]]*Main[[#This Row],[مانده در خط تسویه شده (کیلوگرم)]]</f>
        <v>259658</v>
      </c>
      <c r="AA90" s="6">
        <f ca="1">SUBTOTAL(9,INDEX(Main[بدهی تسویه نشده (کیلوگرم)],1):Main[[#This Row],[بدهی تسویه نشده (کیلوگرم)]])</f>
        <v>0</v>
      </c>
      <c r="AB90" s="6">
        <f ca="1">IF(Main[[#This Row],[مانده در خط تسویه نشده (کیلوگرم)]]&lt;&gt;0,Main[[#This Row],[تعداد کل روزهای بدهکار (روز)]],0)</f>
        <v>0</v>
      </c>
      <c r="AC90" s="6">
        <f ca="1">Main[[#This Row],[تعداد روزهای بدهکار  تسویه نشده (روز)]]*Main[[#This Row],[مانده در خط تسویه نشده (کیلوگرم)]]</f>
        <v>0</v>
      </c>
      <c r="AD90" s="6">
        <f ca="1">SUBTOTAL(9,INDEX(Main[بدهی سررسید شده (کیلوگرم)],1):Main[[#This Row],[بدهی سررسید شده (کیلوگرم)]])</f>
        <v>0</v>
      </c>
      <c r="AE90" s="6">
        <f ca="1">IF(Main[[#This Row],[مانده در خط سررسید شده (کیلوگرم)]]&lt;&gt;0,Main[[#This Row],[تعداد کل روزهای بدهکار (روز)]],0)</f>
        <v>0</v>
      </c>
      <c r="AF90" s="6">
        <f ca="1">Main[[#This Row],[تعداد روزهای بدهکار سررسید شده (روز)]]*Main[[#This Row],[مانده در خط سررسید شده (کیلوگرم)]]</f>
        <v>0</v>
      </c>
    </row>
    <row r="91" spans="1:32" hidden="1" x14ac:dyDescent="0.35">
      <c r="A91" s="5">
        <f>ROW()-ROW(INDEX(Main[ردیف],1))+1</f>
        <v>89</v>
      </c>
      <c r="B91" s="31">
        <f>SUBTOTAL(2,INDEX(Main[ردیف],1):Main[[#This Row],[ردیف]])</f>
        <v>1</v>
      </c>
      <c r="C91" s="32" t="s">
        <v>452</v>
      </c>
      <c r="D91" s="32" t="str">
        <f>_xlfn.CONCAT("14",Main[[#This Row],[تاريخ]])</f>
        <v>1400/01/01</v>
      </c>
      <c r="E91" s="33">
        <v>44276</v>
      </c>
      <c r="F91" s="32">
        <v>10007</v>
      </c>
      <c r="G91" s="5" t="str">
        <f>INDEX(customer[عنوان],MATCH(Main[[#This Row],[کد ردیابی]],customer[کد],0))</f>
        <v xml:space="preserve">محمدرضا شمسایی </v>
      </c>
      <c r="H91">
        <v>-52.5</v>
      </c>
      <c r="I91" s="6">
        <f ca="1">-Main[[#This Row],[بدهی تسویه شده (کیلوگرم)]]+Main[[#This Row],[بستانکار (کیلوگرم)]]</f>
        <v>-52.5</v>
      </c>
      <c r="J91" s="6">
        <f>IF(Main[[#This Row],[مقدار (کیلوگرم)]]&gt;0,Main[[#This Row],[مقدار (کیلوگرم)]],0)</f>
        <v>0</v>
      </c>
      <c r="K91" s="6">
        <f>-IF(Main[[#This Row],[مقدار (کیلوگرم)]]&lt;0,Main[[#This Row],[مقدار (کیلوگرم)]],0)</f>
        <v>52.5</v>
      </c>
      <c r="L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" s="7">
        <f>-IF(AND(Main[[#This Row],[مقدار (کیلوگرم)]]&lt;0,Main[[#This Row],[تاريخ میلادی]]&gt;44276),Main[[#This Row],[مقدار (کیلوگرم)]],0)</f>
        <v>0</v>
      </c>
      <c r="N91" s="6">
        <f ca="1">Main[[#This Row],[بدهکار (کیلوگرم)]]-Main[[#This Row],[بدهی تسویه نشده (کیلوگرم)]]</f>
        <v>52.5</v>
      </c>
      <c r="O91" s="6">
        <f ca="1">Main[[#This Row],[تفکیک]]</f>
        <v>0</v>
      </c>
      <c r="P91" s="6">
        <f ca="1">IF(Main[[#This Row],[تاخیر از سررسید]]&gt;0,Main[[#This Row],[بدهی تسویه نشده (کیلوگرم)]],0)</f>
        <v>0</v>
      </c>
      <c r="Q91" s="6">
        <f ca="1">IF(Main[[#This Row],[بدهی تسویه نشده (کیلوگرم)]]&gt;0,'گزارش فردی'!$B$7-Main[[#This Row],[تاريخ میلادی]],0)</f>
        <v>0</v>
      </c>
      <c r="R91" s="6">
        <f ca="1">IF(Main[[#This Row],[بدهی تسویه نشده (کیلوگرم)]]&gt;0,'گزارش فردی'!$B$7-Main[[#This Row],[تاريخ میلادی]]-'گزارش فردی'!$B$8,0)</f>
        <v>0</v>
      </c>
      <c r="S91" s="6">
        <f ca="1">Main[[#This Row],[روز از ارسال سفارش]]*Main[[#This Row],[بدهی تسویه نشده (کیلوگرم)]]</f>
        <v>0</v>
      </c>
      <c r="T91" s="6">
        <f ca="1">Main[[#This Row],[بدهی سررسید شده (کیلوگرم)]]*Main[[#This Row],[روز از ارسال سفارش]]</f>
        <v>0</v>
      </c>
      <c r="U91" s="6">
        <f>-SUBTOTAL(9,INDEX(Main[مقدار (کیلوگرم)],1):Main[[#This Row],[مقدار (کیلوگرم)]])</f>
        <v>18547</v>
      </c>
      <c r="V91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1" s="6">
        <f>Main[[#This Row],[تعداد کل روزهای بدهکار (روز)]]*Main[[#This Row],[مانده در خط کل (کیلوگرم)]]</f>
        <v>259658</v>
      </c>
      <c r="X91" s="6">
        <f ca="1">-SUBTOTAL(9,INDEX(Main[مقدار تسویه شده (کیلوگرم)],1):Main[[#This Row],[مقدار تسویه شده (کیلوگرم)]])</f>
        <v>18547</v>
      </c>
      <c r="Y91" s="6">
        <f ca="1">IF(Main[[#This Row],[مانده در خط تسویه شده (کیلوگرم)]]&lt;&gt;0,Main[[#This Row],[تعداد کل روزهای بدهکار (روز)]],0)</f>
        <v>14</v>
      </c>
      <c r="Z91" s="6">
        <f ca="1">Main[[#This Row],[تعداد روزهای بدهکار تسویه شده (روز)]]*Main[[#This Row],[مانده در خط تسویه شده (کیلوگرم)]]</f>
        <v>259658</v>
      </c>
      <c r="AA91" s="6">
        <f ca="1">SUBTOTAL(9,INDEX(Main[بدهی تسویه نشده (کیلوگرم)],1):Main[[#This Row],[بدهی تسویه نشده (کیلوگرم)]])</f>
        <v>0</v>
      </c>
      <c r="AB91" s="6">
        <f ca="1">IF(Main[[#This Row],[مانده در خط تسویه نشده (کیلوگرم)]]&lt;&gt;0,Main[[#This Row],[تعداد کل روزهای بدهکار (روز)]],0)</f>
        <v>0</v>
      </c>
      <c r="AC91" s="6">
        <f ca="1">Main[[#This Row],[تعداد روزهای بدهکار  تسویه نشده (روز)]]*Main[[#This Row],[مانده در خط تسویه نشده (کیلوگرم)]]</f>
        <v>0</v>
      </c>
      <c r="AD91" s="6">
        <f ca="1">SUBTOTAL(9,INDEX(Main[بدهی سررسید شده (کیلوگرم)],1):Main[[#This Row],[بدهی سررسید شده (کیلوگرم)]])</f>
        <v>0</v>
      </c>
      <c r="AE91" s="6">
        <f ca="1">IF(Main[[#This Row],[مانده در خط سررسید شده (کیلوگرم)]]&lt;&gt;0,Main[[#This Row],[تعداد کل روزهای بدهکار (روز)]],0)</f>
        <v>0</v>
      </c>
      <c r="AF91" s="6">
        <f ca="1">Main[[#This Row],[تعداد روزهای بدهکار سررسید شده (روز)]]*Main[[#This Row],[مانده در خط سررسید شده (کیلوگرم)]]</f>
        <v>0</v>
      </c>
    </row>
    <row r="92" spans="1:32" hidden="1" x14ac:dyDescent="0.35">
      <c r="A92" s="5">
        <f>ROW()-ROW(INDEX(Main[ردیف],1))+1</f>
        <v>90</v>
      </c>
      <c r="B92" s="31">
        <f>SUBTOTAL(2,INDEX(Main[ردیف],1):Main[[#This Row],[ردیف]])</f>
        <v>1</v>
      </c>
      <c r="C92" s="32" t="s">
        <v>452</v>
      </c>
      <c r="D92" s="32" t="str">
        <f>_xlfn.CONCAT("14",Main[[#This Row],[تاريخ]])</f>
        <v>1400/01/01</v>
      </c>
      <c r="E92" s="33">
        <v>44276</v>
      </c>
      <c r="F92" s="32">
        <v>30141</v>
      </c>
      <c r="G92" s="5" t="str">
        <f>INDEX(customer[عنوان],MATCH(Main[[#This Row],[کد ردیابی]],customer[کد],0))</f>
        <v>شرکت به تراش</v>
      </c>
      <c r="H92">
        <v>-42</v>
      </c>
      <c r="I92" s="6">
        <f ca="1">-Main[[#This Row],[بدهی تسویه شده (کیلوگرم)]]+Main[[#This Row],[بستانکار (کیلوگرم)]]</f>
        <v>-42</v>
      </c>
      <c r="J92" s="6">
        <f>IF(Main[[#This Row],[مقدار (کیلوگرم)]]&gt;0,Main[[#This Row],[مقدار (کیلوگرم)]],0)</f>
        <v>0</v>
      </c>
      <c r="K92" s="6">
        <f>-IF(Main[[#This Row],[مقدار (کیلوگرم)]]&lt;0,Main[[#This Row],[مقدار (کیلوگرم)]],0)</f>
        <v>42</v>
      </c>
      <c r="L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" s="7">
        <f>-IF(AND(Main[[#This Row],[مقدار (کیلوگرم)]]&lt;0,Main[[#This Row],[تاريخ میلادی]]&gt;44276),Main[[#This Row],[مقدار (کیلوگرم)]],0)</f>
        <v>0</v>
      </c>
      <c r="N92" s="6">
        <f ca="1">Main[[#This Row],[بدهکار (کیلوگرم)]]-Main[[#This Row],[بدهی تسویه نشده (کیلوگرم)]]</f>
        <v>42</v>
      </c>
      <c r="O92" s="6">
        <f ca="1">Main[[#This Row],[تفکیک]]</f>
        <v>0</v>
      </c>
      <c r="P92" s="6">
        <f ca="1">IF(Main[[#This Row],[تاخیر از سررسید]]&gt;0,Main[[#This Row],[بدهی تسویه نشده (کیلوگرم)]],0)</f>
        <v>0</v>
      </c>
      <c r="Q92" s="6">
        <f ca="1">IF(Main[[#This Row],[بدهی تسویه نشده (کیلوگرم)]]&gt;0,'گزارش فردی'!$B$7-Main[[#This Row],[تاريخ میلادی]],0)</f>
        <v>0</v>
      </c>
      <c r="R92" s="6">
        <f ca="1">IF(Main[[#This Row],[بدهی تسویه نشده (کیلوگرم)]]&gt;0,'گزارش فردی'!$B$7-Main[[#This Row],[تاريخ میلادی]]-'گزارش فردی'!$B$8,0)</f>
        <v>0</v>
      </c>
      <c r="S92" s="6">
        <f ca="1">Main[[#This Row],[روز از ارسال سفارش]]*Main[[#This Row],[بدهی تسویه نشده (کیلوگرم)]]</f>
        <v>0</v>
      </c>
      <c r="T92" s="6">
        <f ca="1">Main[[#This Row],[بدهی سررسید شده (کیلوگرم)]]*Main[[#This Row],[روز از ارسال سفارش]]</f>
        <v>0</v>
      </c>
      <c r="U92" s="6">
        <f>-SUBTOTAL(9,INDEX(Main[مقدار (کیلوگرم)],1):Main[[#This Row],[مقدار (کیلوگرم)]])</f>
        <v>18547</v>
      </c>
      <c r="V92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2" s="6">
        <f>Main[[#This Row],[تعداد کل روزهای بدهکار (روز)]]*Main[[#This Row],[مانده در خط کل (کیلوگرم)]]</f>
        <v>259658</v>
      </c>
      <c r="X92" s="6">
        <f ca="1">-SUBTOTAL(9,INDEX(Main[مقدار تسویه شده (کیلوگرم)],1):Main[[#This Row],[مقدار تسویه شده (کیلوگرم)]])</f>
        <v>18547</v>
      </c>
      <c r="Y92" s="6">
        <f ca="1">IF(Main[[#This Row],[مانده در خط تسویه شده (کیلوگرم)]]&lt;&gt;0,Main[[#This Row],[تعداد کل روزهای بدهکار (روز)]],0)</f>
        <v>14</v>
      </c>
      <c r="Z92" s="6">
        <f ca="1">Main[[#This Row],[تعداد روزهای بدهکار تسویه شده (روز)]]*Main[[#This Row],[مانده در خط تسویه شده (کیلوگرم)]]</f>
        <v>259658</v>
      </c>
      <c r="AA92" s="6">
        <f ca="1">SUBTOTAL(9,INDEX(Main[بدهی تسویه نشده (کیلوگرم)],1):Main[[#This Row],[بدهی تسویه نشده (کیلوگرم)]])</f>
        <v>0</v>
      </c>
      <c r="AB92" s="6">
        <f ca="1">IF(Main[[#This Row],[مانده در خط تسویه نشده (کیلوگرم)]]&lt;&gt;0,Main[[#This Row],[تعداد کل روزهای بدهکار (روز)]],0)</f>
        <v>0</v>
      </c>
      <c r="AC92" s="6">
        <f ca="1">Main[[#This Row],[تعداد روزهای بدهکار  تسویه نشده (روز)]]*Main[[#This Row],[مانده در خط تسویه نشده (کیلوگرم)]]</f>
        <v>0</v>
      </c>
      <c r="AD92" s="6">
        <f ca="1">SUBTOTAL(9,INDEX(Main[بدهی سررسید شده (کیلوگرم)],1):Main[[#This Row],[بدهی سررسید شده (کیلوگرم)]])</f>
        <v>0</v>
      </c>
      <c r="AE92" s="6">
        <f ca="1">IF(Main[[#This Row],[مانده در خط سررسید شده (کیلوگرم)]]&lt;&gt;0,Main[[#This Row],[تعداد کل روزهای بدهکار (روز)]],0)</f>
        <v>0</v>
      </c>
      <c r="AF92" s="6">
        <f ca="1">Main[[#This Row],[تعداد روزهای بدهکار سررسید شده (روز)]]*Main[[#This Row],[مانده در خط سررسید شده (کیلوگرم)]]</f>
        <v>0</v>
      </c>
    </row>
    <row r="93" spans="1:32" hidden="1" x14ac:dyDescent="0.35">
      <c r="A93" s="5">
        <f>ROW()-ROW(INDEX(Main[ردیف],1))+1</f>
        <v>91</v>
      </c>
      <c r="B93" s="31">
        <f>SUBTOTAL(2,INDEX(Main[ردیف],1):Main[[#This Row],[ردیف]])</f>
        <v>1</v>
      </c>
      <c r="C93" s="32" t="s">
        <v>452</v>
      </c>
      <c r="D93" s="32" t="str">
        <f>_xlfn.CONCAT("14",Main[[#This Row],[تاريخ]])</f>
        <v>1400/01/01</v>
      </c>
      <c r="E93" s="33">
        <v>44276</v>
      </c>
      <c r="F93" s="32">
        <v>10079</v>
      </c>
      <c r="G93" s="5" t="str">
        <f>INDEX(customer[عنوان],MATCH(Main[[#This Row],[کد ردیابی]],customer[کد],0))</f>
        <v>حسینی حسن</v>
      </c>
      <c r="H93">
        <v>-30</v>
      </c>
      <c r="I93" s="6">
        <f ca="1">-Main[[#This Row],[بدهی تسویه شده (کیلوگرم)]]+Main[[#This Row],[بستانکار (کیلوگرم)]]</f>
        <v>-30</v>
      </c>
      <c r="J93" s="6">
        <f>IF(Main[[#This Row],[مقدار (کیلوگرم)]]&gt;0,Main[[#This Row],[مقدار (کیلوگرم)]],0)</f>
        <v>0</v>
      </c>
      <c r="K93" s="6">
        <f>-IF(Main[[#This Row],[مقدار (کیلوگرم)]]&lt;0,Main[[#This Row],[مقدار (کیلوگرم)]],0)</f>
        <v>30</v>
      </c>
      <c r="L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" s="7">
        <f>-IF(AND(Main[[#This Row],[مقدار (کیلوگرم)]]&lt;0,Main[[#This Row],[تاريخ میلادی]]&gt;44276),Main[[#This Row],[مقدار (کیلوگرم)]],0)</f>
        <v>0</v>
      </c>
      <c r="N93" s="6">
        <f ca="1">Main[[#This Row],[بدهکار (کیلوگرم)]]-Main[[#This Row],[بدهی تسویه نشده (کیلوگرم)]]</f>
        <v>30</v>
      </c>
      <c r="O93" s="6">
        <f ca="1">Main[[#This Row],[تفکیک]]</f>
        <v>0</v>
      </c>
      <c r="P93" s="6">
        <f ca="1">IF(Main[[#This Row],[تاخیر از سررسید]]&gt;0,Main[[#This Row],[بدهی تسویه نشده (کیلوگرم)]],0)</f>
        <v>0</v>
      </c>
      <c r="Q93" s="6">
        <f ca="1">IF(Main[[#This Row],[بدهی تسویه نشده (کیلوگرم)]]&gt;0,'گزارش فردی'!$B$7-Main[[#This Row],[تاريخ میلادی]],0)</f>
        <v>0</v>
      </c>
      <c r="R93" s="6">
        <f ca="1">IF(Main[[#This Row],[بدهی تسویه نشده (کیلوگرم)]]&gt;0,'گزارش فردی'!$B$7-Main[[#This Row],[تاريخ میلادی]]-'گزارش فردی'!$B$8,0)</f>
        <v>0</v>
      </c>
      <c r="S93" s="6">
        <f ca="1">Main[[#This Row],[روز از ارسال سفارش]]*Main[[#This Row],[بدهی تسویه نشده (کیلوگرم)]]</f>
        <v>0</v>
      </c>
      <c r="T93" s="6">
        <f ca="1">Main[[#This Row],[بدهی سررسید شده (کیلوگرم)]]*Main[[#This Row],[روز از ارسال سفارش]]</f>
        <v>0</v>
      </c>
      <c r="U93" s="6">
        <f>-SUBTOTAL(9,INDEX(Main[مقدار (کیلوگرم)],1):Main[[#This Row],[مقدار (کیلوگرم)]])</f>
        <v>18547</v>
      </c>
      <c r="V93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3" s="6">
        <f>Main[[#This Row],[تعداد کل روزهای بدهکار (روز)]]*Main[[#This Row],[مانده در خط کل (کیلوگرم)]]</f>
        <v>259658</v>
      </c>
      <c r="X93" s="6">
        <f ca="1">-SUBTOTAL(9,INDEX(Main[مقدار تسویه شده (کیلوگرم)],1):Main[[#This Row],[مقدار تسویه شده (کیلوگرم)]])</f>
        <v>18547</v>
      </c>
      <c r="Y93" s="6">
        <f ca="1">IF(Main[[#This Row],[مانده در خط تسویه شده (کیلوگرم)]]&lt;&gt;0,Main[[#This Row],[تعداد کل روزهای بدهکار (روز)]],0)</f>
        <v>14</v>
      </c>
      <c r="Z93" s="6">
        <f ca="1">Main[[#This Row],[تعداد روزهای بدهکار تسویه شده (روز)]]*Main[[#This Row],[مانده در خط تسویه شده (کیلوگرم)]]</f>
        <v>259658</v>
      </c>
      <c r="AA93" s="6">
        <f ca="1">SUBTOTAL(9,INDEX(Main[بدهی تسویه نشده (کیلوگرم)],1):Main[[#This Row],[بدهی تسویه نشده (کیلوگرم)]])</f>
        <v>0</v>
      </c>
      <c r="AB93" s="6">
        <f ca="1">IF(Main[[#This Row],[مانده در خط تسویه نشده (کیلوگرم)]]&lt;&gt;0,Main[[#This Row],[تعداد کل روزهای بدهکار (روز)]],0)</f>
        <v>0</v>
      </c>
      <c r="AC93" s="6">
        <f ca="1">Main[[#This Row],[تعداد روزهای بدهکار  تسویه نشده (روز)]]*Main[[#This Row],[مانده در خط تسویه نشده (کیلوگرم)]]</f>
        <v>0</v>
      </c>
      <c r="AD93" s="6">
        <f ca="1">SUBTOTAL(9,INDEX(Main[بدهی سررسید شده (کیلوگرم)],1):Main[[#This Row],[بدهی سررسید شده (کیلوگرم)]])</f>
        <v>0</v>
      </c>
      <c r="AE93" s="6">
        <f ca="1">IF(Main[[#This Row],[مانده در خط سررسید شده (کیلوگرم)]]&lt;&gt;0,Main[[#This Row],[تعداد کل روزهای بدهکار (روز)]],0)</f>
        <v>0</v>
      </c>
      <c r="AF93" s="6">
        <f ca="1">Main[[#This Row],[تعداد روزهای بدهکار سررسید شده (روز)]]*Main[[#This Row],[مانده در خط سررسید شده (کیلوگرم)]]</f>
        <v>0</v>
      </c>
    </row>
    <row r="94" spans="1:32" hidden="1" x14ac:dyDescent="0.35">
      <c r="A94" s="5">
        <f>ROW()-ROW(INDEX(Main[ردیف],1))+1</f>
        <v>92</v>
      </c>
      <c r="B94" s="31">
        <f>SUBTOTAL(2,INDEX(Main[ردیف],1):Main[[#This Row],[ردیف]])</f>
        <v>1</v>
      </c>
      <c r="C94" s="32" t="s">
        <v>452</v>
      </c>
      <c r="D94" s="32" t="str">
        <f>_xlfn.CONCAT("14",Main[[#This Row],[تاريخ]])</f>
        <v>1400/01/01</v>
      </c>
      <c r="E94" s="33">
        <v>44276</v>
      </c>
      <c r="F94" s="32">
        <v>30011</v>
      </c>
      <c r="G94" s="5" t="str">
        <f>INDEX(customer[عنوان],MATCH(Main[[#This Row],[کد ردیابی]],customer[کد],0))</f>
        <v xml:space="preserve">پارسیان تراش صنعت </v>
      </c>
      <c r="H94">
        <v>-5</v>
      </c>
      <c r="I94" s="6">
        <f ca="1">-Main[[#This Row],[بدهی تسویه شده (کیلوگرم)]]+Main[[#This Row],[بستانکار (کیلوگرم)]]</f>
        <v>-5</v>
      </c>
      <c r="J94" s="6">
        <f>IF(Main[[#This Row],[مقدار (کیلوگرم)]]&gt;0,Main[[#This Row],[مقدار (کیلوگرم)]],0)</f>
        <v>0</v>
      </c>
      <c r="K94" s="6">
        <f>-IF(Main[[#This Row],[مقدار (کیلوگرم)]]&lt;0,Main[[#This Row],[مقدار (کیلوگرم)]],0)</f>
        <v>5</v>
      </c>
      <c r="L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" s="7">
        <f>-IF(AND(Main[[#This Row],[مقدار (کیلوگرم)]]&lt;0,Main[[#This Row],[تاريخ میلادی]]&gt;44276),Main[[#This Row],[مقدار (کیلوگرم)]],0)</f>
        <v>0</v>
      </c>
      <c r="N94" s="6">
        <f ca="1">Main[[#This Row],[بدهکار (کیلوگرم)]]-Main[[#This Row],[بدهی تسویه نشده (کیلوگرم)]]</f>
        <v>5</v>
      </c>
      <c r="O94" s="6">
        <f ca="1">Main[[#This Row],[تفکیک]]</f>
        <v>0</v>
      </c>
      <c r="P94" s="6">
        <f ca="1">IF(Main[[#This Row],[تاخیر از سررسید]]&gt;0,Main[[#This Row],[بدهی تسویه نشده (کیلوگرم)]],0)</f>
        <v>0</v>
      </c>
      <c r="Q94" s="6">
        <f ca="1">IF(Main[[#This Row],[بدهی تسویه نشده (کیلوگرم)]]&gt;0,'گزارش فردی'!$B$7-Main[[#This Row],[تاريخ میلادی]],0)</f>
        <v>0</v>
      </c>
      <c r="R94" s="6">
        <f ca="1">IF(Main[[#This Row],[بدهی تسویه نشده (کیلوگرم)]]&gt;0,'گزارش فردی'!$B$7-Main[[#This Row],[تاريخ میلادی]]-'گزارش فردی'!$B$8,0)</f>
        <v>0</v>
      </c>
      <c r="S94" s="6">
        <f ca="1">Main[[#This Row],[روز از ارسال سفارش]]*Main[[#This Row],[بدهی تسویه نشده (کیلوگرم)]]</f>
        <v>0</v>
      </c>
      <c r="T94" s="6">
        <f ca="1">Main[[#This Row],[بدهی سررسید شده (کیلوگرم)]]*Main[[#This Row],[روز از ارسال سفارش]]</f>
        <v>0</v>
      </c>
      <c r="U94" s="6">
        <f>-SUBTOTAL(9,INDEX(Main[مقدار (کیلوگرم)],1):Main[[#This Row],[مقدار (کیلوگرم)]])</f>
        <v>18547</v>
      </c>
      <c r="V94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4" s="6">
        <f>Main[[#This Row],[تعداد کل روزهای بدهکار (روز)]]*Main[[#This Row],[مانده در خط کل (کیلوگرم)]]</f>
        <v>259658</v>
      </c>
      <c r="X94" s="6">
        <f ca="1">-SUBTOTAL(9,INDEX(Main[مقدار تسویه شده (کیلوگرم)],1):Main[[#This Row],[مقدار تسویه شده (کیلوگرم)]])</f>
        <v>18547</v>
      </c>
      <c r="Y94" s="6">
        <f ca="1">IF(Main[[#This Row],[مانده در خط تسویه شده (کیلوگرم)]]&lt;&gt;0,Main[[#This Row],[تعداد کل روزهای بدهکار (روز)]],0)</f>
        <v>14</v>
      </c>
      <c r="Z94" s="6">
        <f ca="1">Main[[#This Row],[تعداد روزهای بدهکار تسویه شده (روز)]]*Main[[#This Row],[مانده در خط تسویه شده (کیلوگرم)]]</f>
        <v>259658</v>
      </c>
      <c r="AA94" s="6">
        <f ca="1">SUBTOTAL(9,INDEX(Main[بدهی تسویه نشده (کیلوگرم)],1):Main[[#This Row],[بدهی تسویه نشده (کیلوگرم)]])</f>
        <v>0</v>
      </c>
      <c r="AB94" s="6">
        <f ca="1">IF(Main[[#This Row],[مانده در خط تسویه نشده (کیلوگرم)]]&lt;&gt;0,Main[[#This Row],[تعداد کل روزهای بدهکار (روز)]],0)</f>
        <v>0</v>
      </c>
      <c r="AC94" s="6">
        <f ca="1">Main[[#This Row],[تعداد روزهای بدهکار  تسویه نشده (روز)]]*Main[[#This Row],[مانده در خط تسویه نشده (کیلوگرم)]]</f>
        <v>0</v>
      </c>
      <c r="AD94" s="6">
        <f ca="1">SUBTOTAL(9,INDEX(Main[بدهی سررسید شده (کیلوگرم)],1):Main[[#This Row],[بدهی سررسید شده (کیلوگرم)]])</f>
        <v>0</v>
      </c>
      <c r="AE94" s="6">
        <f ca="1">IF(Main[[#This Row],[مانده در خط سررسید شده (کیلوگرم)]]&lt;&gt;0,Main[[#This Row],[تعداد کل روزهای بدهکار (روز)]],0)</f>
        <v>0</v>
      </c>
      <c r="AF94" s="6">
        <f ca="1">Main[[#This Row],[تعداد روزهای بدهکار سررسید شده (روز)]]*Main[[#This Row],[مانده در خط سررسید شده (کیلوگرم)]]</f>
        <v>0</v>
      </c>
    </row>
    <row r="95" spans="1:32" hidden="1" x14ac:dyDescent="0.35">
      <c r="A95" s="5">
        <f>ROW()-ROW(INDEX(Main[ردیف],1))+1</f>
        <v>93</v>
      </c>
      <c r="B95" s="31">
        <f>SUBTOTAL(2,INDEX(Main[ردیف],1):Main[[#This Row],[ردیف]])</f>
        <v>1</v>
      </c>
      <c r="C95" s="32" t="s">
        <v>452</v>
      </c>
      <c r="D95" s="32" t="str">
        <f>_xlfn.CONCAT("14",Main[[#This Row],[تاريخ]])</f>
        <v>1400/01/01</v>
      </c>
      <c r="E95" s="33">
        <v>44276</v>
      </c>
      <c r="F95" s="32">
        <v>30077</v>
      </c>
      <c r="G95" s="5" t="str">
        <f>INDEX(customer[عنوان],MATCH(Main[[#This Row],[کد ردیابی]],customer[کد],0))</f>
        <v>تولیدی و صنعتی تهرانچیان</v>
      </c>
      <c r="H95">
        <v>-4</v>
      </c>
      <c r="I95" s="6">
        <f ca="1">-Main[[#This Row],[بدهی تسویه شده (کیلوگرم)]]+Main[[#This Row],[بستانکار (کیلوگرم)]]</f>
        <v>-4</v>
      </c>
      <c r="J95" s="6">
        <f>IF(Main[[#This Row],[مقدار (کیلوگرم)]]&gt;0,Main[[#This Row],[مقدار (کیلوگرم)]],0)</f>
        <v>0</v>
      </c>
      <c r="K95" s="6">
        <f>-IF(Main[[#This Row],[مقدار (کیلوگرم)]]&lt;0,Main[[#This Row],[مقدار (کیلوگرم)]],0)</f>
        <v>4</v>
      </c>
      <c r="L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" s="7">
        <f>-IF(AND(Main[[#This Row],[مقدار (کیلوگرم)]]&lt;0,Main[[#This Row],[تاريخ میلادی]]&gt;44276),Main[[#This Row],[مقدار (کیلوگرم)]],0)</f>
        <v>0</v>
      </c>
      <c r="N95" s="6">
        <f ca="1">Main[[#This Row],[بدهکار (کیلوگرم)]]-Main[[#This Row],[بدهی تسویه نشده (کیلوگرم)]]</f>
        <v>4</v>
      </c>
      <c r="O95" s="6">
        <f ca="1">Main[[#This Row],[تفکیک]]</f>
        <v>0</v>
      </c>
      <c r="P95" s="6">
        <f ca="1">IF(Main[[#This Row],[تاخیر از سررسید]]&gt;0,Main[[#This Row],[بدهی تسویه نشده (کیلوگرم)]],0)</f>
        <v>0</v>
      </c>
      <c r="Q95" s="6">
        <f ca="1">IF(Main[[#This Row],[بدهی تسویه نشده (کیلوگرم)]]&gt;0,'گزارش فردی'!$B$7-Main[[#This Row],[تاريخ میلادی]],0)</f>
        <v>0</v>
      </c>
      <c r="R95" s="6">
        <f ca="1">IF(Main[[#This Row],[بدهی تسویه نشده (کیلوگرم)]]&gt;0,'گزارش فردی'!$B$7-Main[[#This Row],[تاريخ میلادی]]-'گزارش فردی'!$B$8,0)</f>
        <v>0</v>
      </c>
      <c r="S95" s="6">
        <f ca="1">Main[[#This Row],[روز از ارسال سفارش]]*Main[[#This Row],[بدهی تسویه نشده (کیلوگرم)]]</f>
        <v>0</v>
      </c>
      <c r="T95" s="6">
        <f ca="1">Main[[#This Row],[بدهی سررسید شده (کیلوگرم)]]*Main[[#This Row],[روز از ارسال سفارش]]</f>
        <v>0</v>
      </c>
      <c r="U95" s="6">
        <f>-SUBTOTAL(9,INDEX(Main[مقدار (کیلوگرم)],1):Main[[#This Row],[مقدار (کیلوگرم)]])</f>
        <v>18547</v>
      </c>
      <c r="V95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5" s="6">
        <f>Main[[#This Row],[تعداد کل روزهای بدهکار (روز)]]*Main[[#This Row],[مانده در خط کل (کیلوگرم)]]</f>
        <v>259658</v>
      </c>
      <c r="X95" s="6">
        <f ca="1">-SUBTOTAL(9,INDEX(Main[مقدار تسویه شده (کیلوگرم)],1):Main[[#This Row],[مقدار تسویه شده (کیلوگرم)]])</f>
        <v>18547</v>
      </c>
      <c r="Y95" s="6">
        <f ca="1">IF(Main[[#This Row],[مانده در خط تسویه شده (کیلوگرم)]]&lt;&gt;0,Main[[#This Row],[تعداد کل روزهای بدهکار (روز)]],0)</f>
        <v>14</v>
      </c>
      <c r="Z95" s="6">
        <f ca="1">Main[[#This Row],[تعداد روزهای بدهکار تسویه شده (روز)]]*Main[[#This Row],[مانده در خط تسویه شده (کیلوگرم)]]</f>
        <v>259658</v>
      </c>
      <c r="AA95" s="6">
        <f ca="1">SUBTOTAL(9,INDEX(Main[بدهی تسویه نشده (کیلوگرم)],1):Main[[#This Row],[بدهی تسویه نشده (کیلوگرم)]])</f>
        <v>0</v>
      </c>
      <c r="AB95" s="6">
        <f ca="1">IF(Main[[#This Row],[مانده در خط تسویه نشده (کیلوگرم)]]&lt;&gt;0,Main[[#This Row],[تعداد کل روزهای بدهکار (روز)]],0)</f>
        <v>0</v>
      </c>
      <c r="AC95" s="6">
        <f ca="1">Main[[#This Row],[تعداد روزهای بدهکار  تسویه نشده (روز)]]*Main[[#This Row],[مانده در خط تسویه نشده (کیلوگرم)]]</f>
        <v>0</v>
      </c>
      <c r="AD95" s="6">
        <f ca="1">SUBTOTAL(9,INDEX(Main[بدهی سررسید شده (کیلوگرم)],1):Main[[#This Row],[بدهی سررسید شده (کیلوگرم)]])</f>
        <v>0</v>
      </c>
      <c r="AE95" s="6">
        <f ca="1">IF(Main[[#This Row],[مانده در خط سررسید شده (کیلوگرم)]]&lt;&gt;0,Main[[#This Row],[تعداد کل روزهای بدهکار (روز)]],0)</f>
        <v>0</v>
      </c>
      <c r="AF95" s="6">
        <f ca="1">Main[[#This Row],[تعداد روزهای بدهکار سررسید شده (روز)]]*Main[[#This Row],[مانده در خط سررسید شده (کیلوگرم)]]</f>
        <v>0</v>
      </c>
    </row>
    <row r="96" spans="1:32" hidden="1" x14ac:dyDescent="0.35">
      <c r="A96" s="5">
        <f>ROW()-ROW(INDEX(Main[ردیف],1))+1</f>
        <v>94</v>
      </c>
      <c r="B96" s="31">
        <f>SUBTOTAL(2,INDEX(Main[ردیف],1):Main[[#This Row],[ردیف]])</f>
        <v>1</v>
      </c>
      <c r="C96" s="32" t="s">
        <v>452</v>
      </c>
      <c r="D96" s="32" t="str">
        <f>_xlfn.CONCAT("14",Main[[#This Row],[تاريخ]])</f>
        <v>1400/01/01</v>
      </c>
      <c r="E96" s="33">
        <v>44276</v>
      </c>
      <c r="F96" s="32">
        <v>30131</v>
      </c>
      <c r="G96" s="5" t="str">
        <f>INDEX(customer[عنوان],MATCH(Main[[#This Row],[کد ردیابی]],customer[کد],0))</f>
        <v>ادهم مس تبریز</v>
      </c>
      <c r="H96">
        <v>-3</v>
      </c>
      <c r="I96" s="6">
        <f ca="1">-Main[[#This Row],[بدهی تسویه شده (کیلوگرم)]]+Main[[#This Row],[بستانکار (کیلوگرم)]]</f>
        <v>-3</v>
      </c>
      <c r="J96" s="6">
        <f>IF(Main[[#This Row],[مقدار (کیلوگرم)]]&gt;0,Main[[#This Row],[مقدار (کیلوگرم)]],0)</f>
        <v>0</v>
      </c>
      <c r="K96" s="6">
        <f>-IF(Main[[#This Row],[مقدار (کیلوگرم)]]&lt;0,Main[[#This Row],[مقدار (کیلوگرم)]],0)</f>
        <v>3</v>
      </c>
      <c r="L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" s="7">
        <f>-IF(AND(Main[[#This Row],[مقدار (کیلوگرم)]]&lt;0,Main[[#This Row],[تاريخ میلادی]]&gt;44276),Main[[#This Row],[مقدار (کیلوگرم)]],0)</f>
        <v>0</v>
      </c>
      <c r="N96" s="6">
        <f ca="1">Main[[#This Row],[بدهکار (کیلوگرم)]]-Main[[#This Row],[بدهی تسویه نشده (کیلوگرم)]]</f>
        <v>3</v>
      </c>
      <c r="O96" s="6">
        <f ca="1">Main[[#This Row],[تفکیک]]</f>
        <v>0</v>
      </c>
      <c r="P96" s="6">
        <f ca="1">IF(Main[[#This Row],[تاخیر از سررسید]]&gt;0,Main[[#This Row],[بدهی تسویه نشده (کیلوگرم)]],0)</f>
        <v>0</v>
      </c>
      <c r="Q96" s="6">
        <f ca="1">IF(Main[[#This Row],[بدهی تسویه نشده (کیلوگرم)]]&gt;0,'گزارش فردی'!$B$7-Main[[#This Row],[تاريخ میلادی]],0)</f>
        <v>0</v>
      </c>
      <c r="R96" s="6">
        <f ca="1">IF(Main[[#This Row],[بدهی تسویه نشده (کیلوگرم)]]&gt;0,'گزارش فردی'!$B$7-Main[[#This Row],[تاريخ میلادی]]-'گزارش فردی'!$B$8,0)</f>
        <v>0</v>
      </c>
      <c r="S96" s="6">
        <f ca="1">Main[[#This Row],[روز از ارسال سفارش]]*Main[[#This Row],[بدهی تسویه نشده (کیلوگرم)]]</f>
        <v>0</v>
      </c>
      <c r="T96" s="6">
        <f ca="1">Main[[#This Row],[بدهی سررسید شده (کیلوگرم)]]*Main[[#This Row],[روز از ارسال سفارش]]</f>
        <v>0</v>
      </c>
      <c r="U96" s="6">
        <f>-SUBTOTAL(9,INDEX(Main[مقدار (کیلوگرم)],1):Main[[#This Row],[مقدار (کیلوگرم)]])</f>
        <v>18547</v>
      </c>
      <c r="V96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6" s="6">
        <f>Main[[#This Row],[تعداد کل روزهای بدهکار (روز)]]*Main[[#This Row],[مانده در خط کل (کیلوگرم)]]</f>
        <v>259658</v>
      </c>
      <c r="X96" s="6">
        <f ca="1">-SUBTOTAL(9,INDEX(Main[مقدار تسویه شده (کیلوگرم)],1):Main[[#This Row],[مقدار تسویه شده (کیلوگرم)]])</f>
        <v>18547</v>
      </c>
      <c r="Y96" s="6">
        <f ca="1">IF(Main[[#This Row],[مانده در خط تسویه شده (کیلوگرم)]]&lt;&gt;0,Main[[#This Row],[تعداد کل روزهای بدهکار (روز)]],0)</f>
        <v>14</v>
      </c>
      <c r="Z96" s="6">
        <f ca="1">Main[[#This Row],[تعداد روزهای بدهکار تسویه شده (روز)]]*Main[[#This Row],[مانده در خط تسویه شده (کیلوگرم)]]</f>
        <v>259658</v>
      </c>
      <c r="AA96" s="6">
        <f ca="1">SUBTOTAL(9,INDEX(Main[بدهی تسویه نشده (کیلوگرم)],1):Main[[#This Row],[بدهی تسویه نشده (کیلوگرم)]])</f>
        <v>0</v>
      </c>
      <c r="AB96" s="6">
        <f ca="1">IF(Main[[#This Row],[مانده در خط تسویه نشده (کیلوگرم)]]&lt;&gt;0,Main[[#This Row],[تعداد کل روزهای بدهکار (روز)]],0)</f>
        <v>0</v>
      </c>
      <c r="AC96" s="6">
        <f ca="1">Main[[#This Row],[تعداد روزهای بدهکار  تسویه نشده (روز)]]*Main[[#This Row],[مانده در خط تسویه نشده (کیلوگرم)]]</f>
        <v>0</v>
      </c>
      <c r="AD96" s="6">
        <f ca="1">SUBTOTAL(9,INDEX(Main[بدهی سررسید شده (کیلوگرم)],1):Main[[#This Row],[بدهی سررسید شده (کیلوگرم)]])</f>
        <v>0</v>
      </c>
      <c r="AE96" s="6">
        <f ca="1">IF(Main[[#This Row],[مانده در خط سررسید شده (کیلوگرم)]]&lt;&gt;0,Main[[#This Row],[تعداد کل روزهای بدهکار (روز)]],0)</f>
        <v>0</v>
      </c>
      <c r="AF96" s="6">
        <f ca="1">Main[[#This Row],[تعداد روزهای بدهکار سررسید شده (روز)]]*Main[[#This Row],[مانده در خط سررسید شده (کیلوگرم)]]</f>
        <v>0</v>
      </c>
    </row>
    <row r="97" spans="1:32" hidden="1" x14ac:dyDescent="0.35">
      <c r="A97" s="5">
        <f>ROW()-ROW(INDEX(Main[ردیف],1))+1</f>
        <v>95</v>
      </c>
      <c r="B97" s="31">
        <f>SUBTOTAL(2,INDEX(Main[ردیف],1):Main[[#This Row],[ردیف]])</f>
        <v>1</v>
      </c>
      <c r="C97" s="32" t="s">
        <v>452</v>
      </c>
      <c r="D97" s="32" t="str">
        <f>_xlfn.CONCAT("14",Main[[#This Row],[تاريخ]])</f>
        <v>1400/01/01</v>
      </c>
      <c r="E97" s="33">
        <v>44276</v>
      </c>
      <c r="F97" s="32">
        <v>30135</v>
      </c>
      <c r="G97" s="5" t="str">
        <f>INDEX(customer[عنوان],MATCH(Main[[#This Row],[کد ردیابی]],customer[کد],0))</f>
        <v xml:space="preserve">شیرآلات اترس </v>
      </c>
      <c r="H97">
        <v>-5</v>
      </c>
      <c r="I97" s="6">
        <f ca="1">-Main[[#This Row],[بدهی تسویه شده (کیلوگرم)]]+Main[[#This Row],[بستانکار (کیلوگرم)]]</f>
        <v>-5</v>
      </c>
      <c r="J97" s="6">
        <f>IF(Main[[#This Row],[مقدار (کیلوگرم)]]&gt;0,Main[[#This Row],[مقدار (کیلوگرم)]],0)</f>
        <v>0</v>
      </c>
      <c r="K97" s="6">
        <f>-IF(Main[[#This Row],[مقدار (کیلوگرم)]]&lt;0,Main[[#This Row],[مقدار (کیلوگرم)]],0)</f>
        <v>5</v>
      </c>
      <c r="L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" s="7">
        <f>-IF(AND(Main[[#This Row],[مقدار (کیلوگرم)]]&lt;0,Main[[#This Row],[تاريخ میلادی]]&gt;44276),Main[[#This Row],[مقدار (کیلوگرم)]],0)</f>
        <v>0</v>
      </c>
      <c r="N97" s="6">
        <f ca="1">Main[[#This Row],[بدهکار (کیلوگرم)]]-Main[[#This Row],[بدهی تسویه نشده (کیلوگرم)]]</f>
        <v>5</v>
      </c>
      <c r="O97" s="6">
        <f ca="1">Main[[#This Row],[تفکیک]]</f>
        <v>0</v>
      </c>
      <c r="P97" s="6">
        <f ca="1">IF(Main[[#This Row],[تاخیر از سررسید]]&gt;0,Main[[#This Row],[بدهی تسویه نشده (کیلوگرم)]],0)</f>
        <v>0</v>
      </c>
      <c r="Q97" s="6">
        <f ca="1">IF(Main[[#This Row],[بدهی تسویه نشده (کیلوگرم)]]&gt;0,'گزارش فردی'!$B$7-Main[[#This Row],[تاريخ میلادی]],0)</f>
        <v>0</v>
      </c>
      <c r="R97" s="6">
        <f ca="1">IF(Main[[#This Row],[بدهی تسویه نشده (کیلوگرم)]]&gt;0,'گزارش فردی'!$B$7-Main[[#This Row],[تاريخ میلادی]]-'گزارش فردی'!$B$8,0)</f>
        <v>0</v>
      </c>
      <c r="S97" s="6">
        <f ca="1">Main[[#This Row],[روز از ارسال سفارش]]*Main[[#This Row],[بدهی تسویه نشده (کیلوگرم)]]</f>
        <v>0</v>
      </c>
      <c r="T97" s="6">
        <f ca="1">Main[[#This Row],[بدهی سررسید شده (کیلوگرم)]]*Main[[#This Row],[روز از ارسال سفارش]]</f>
        <v>0</v>
      </c>
      <c r="U97" s="6">
        <f>-SUBTOTAL(9,INDEX(Main[مقدار (کیلوگرم)],1):Main[[#This Row],[مقدار (کیلوگرم)]])</f>
        <v>18547</v>
      </c>
      <c r="V97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7" s="6">
        <f>Main[[#This Row],[تعداد کل روزهای بدهکار (روز)]]*Main[[#This Row],[مانده در خط کل (کیلوگرم)]]</f>
        <v>259658</v>
      </c>
      <c r="X97" s="6">
        <f ca="1">-SUBTOTAL(9,INDEX(Main[مقدار تسویه شده (کیلوگرم)],1):Main[[#This Row],[مقدار تسویه شده (کیلوگرم)]])</f>
        <v>18547</v>
      </c>
      <c r="Y97" s="6">
        <f ca="1">IF(Main[[#This Row],[مانده در خط تسویه شده (کیلوگرم)]]&lt;&gt;0,Main[[#This Row],[تعداد کل روزهای بدهکار (روز)]],0)</f>
        <v>14</v>
      </c>
      <c r="Z97" s="6">
        <f ca="1">Main[[#This Row],[تعداد روزهای بدهکار تسویه شده (روز)]]*Main[[#This Row],[مانده در خط تسویه شده (کیلوگرم)]]</f>
        <v>259658</v>
      </c>
      <c r="AA97" s="6">
        <f ca="1">SUBTOTAL(9,INDEX(Main[بدهی تسویه نشده (کیلوگرم)],1):Main[[#This Row],[بدهی تسویه نشده (کیلوگرم)]])</f>
        <v>0</v>
      </c>
      <c r="AB97" s="6">
        <f ca="1">IF(Main[[#This Row],[مانده در خط تسویه نشده (کیلوگرم)]]&lt;&gt;0,Main[[#This Row],[تعداد کل روزهای بدهکار (روز)]],0)</f>
        <v>0</v>
      </c>
      <c r="AC97" s="6">
        <f ca="1">Main[[#This Row],[تعداد روزهای بدهکار  تسویه نشده (روز)]]*Main[[#This Row],[مانده در خط تسویه نشده (کیلوگرم)]]</f>
        <v>0</v>
      </c>
      <c r="AD97" s="6">
        <f ca="1">SUBTOTAL(9,INDEX(Main[بدهی سررسید شده (کیلوگرم)],1):Main[[#This Row],[بدهی سررسید شده (کیلوگرم)]])</f>
        <v>0</v>
      </c>
      <c r="AE97" s="6">
        <f ca="1">IF(Main[[#This Row],[مانده در خط سررسید شده (کیلوگرم)]]&lt;&gt;0,Main[[#This Row],[تعداد کل روزهای بدهکار (روز)]],0)</f>
        <v>0</v>
      </c>
      <c r="AF97" s="6">
        <f ca="1">Main[[#This Row],[تعداد روزهای بدهکار سررسید شده (روز)]]*Main[[#This Row],[مانده در خط سررسید شده (کیلوگرم)]]</f>
        <v>0</v>
      </c>
    </row>
    <row r="98" spans="1:32" hidden="1" x14ac:dyDescent="0.35">
      <c r="A98" s="5">
        <f>ROW()-ROW(INDEX(Main[ردیف],1))+1</f>
        <v>96</v>
      </c>
      <c r="B98" s="31">
        <f>SUBTOTAL(2,INDEX(Main[ردیف],1):Main[[#This Row],[ردیف]])</f>
        <v>1</v>
      </c>
      <c r="C98" s="32" t="s">
        <v>452</v>
      </c>
      <c r="D98" s="32" t="str">
        <f>_xlfn.CONCAT("14",Main[[#This Row],[تاريخ]])</f>
        <v>1400/01/01</v>
      </c>
      <c r="E98" s="33">
        <v>44276</v>
      </c>
      <c r="F98" s="32">
        <v>30082</v>
      </c>
      <c r="G98" s="5" t="str">
        <f>INDEX(customer[عنوان],MATCH(Main[[#This Row],[کد ردیابی]],customer[کد],0))</f>
        <v>اتومات ابزار</v>
      </c>
      <c r="H98">
        <v>-16</v>
      </c>
      <c r="I98" s="6">
        <f ca="1">-Main[[#This Row],[بدهی تسویه شده (کیلوگرم)]]+Main[[#This Row],[بستانکار (کیلوگرم)]]</f>
        <v>-16</v>
      </c>
      <c r="J98" s="6">
        <f>IF(Main[[#This Row],[مقدار (کیلوگرم)]]&gt;0,Main[[#This Row],[مقدار (کیلوگرم)]],0)</f>
        <v>0</v>
      </c>
      <c r="K98" s="6">
        <f>-IF(Main[[#This Row],[مقدار (کیلوگرم)]]&lt;0,Main[[#This Row],[مقدار (کیلوگرم)]],0)</f>
        <v>16</v>
      </c>
      <c r="L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" s="7">
        <f>-IF(AND(Main[[#This Row],[مقدار (کیلوگرم)]]&lt;0,Main[[#This Row],[تاريخ میلادی]]&gt;44276),Main[[#This Row],[مقدار (کیلوگرم)]],0)</f>
        <v>0</v>
      </c>
      <c r="N98" s="6">
        <f ca="1">Main[[#This Row],[بدهکار (کیلوگرم)]]-Main[[#This Row],[بدهی تسویه نشده (کیلوگرم)]]</f>
        <v>16</v>
      </c>
      <c r="O98" s="6">
        <f ca="1">Main[[#This Row],[تفکیک]]</f>
        <v>0</v>
      </c>
      <c r="P98" s="6">
        <f ca="1">IF(Main[[#This Row],[تاخیر از سررسید]]&gt;0,Main[[#This Row],[بدهی تسویه نشده (کیلوگرم)]],0)</f>
        <v>0</v>
      </c>
      <c r="Q98" s="6">
        <f ca="1">IF(Main[[#This Row],[بدهی تسویه نشده (کیلوگرم)]]&gt;0,'گزارش فردی'!$B$7-Main[[#This Row],[تاريخ میلادی]],0)</f>
        <v>0</v>
      </c>
      <c r="R98" s="6">
        <f ca="1">IF(Main[[#This Row],[بدهی تسویه نشده (کیلوگرم)]]&gt;0,'گزارش فردی'!$B$7-Main[[#This Row],[تاريخ میلادی]]-'گزارش فردی'!$B$8,0)</f>
        <v>0</v>
      </c>
      <c r="S98" s="6">
        <f ca="1">Main[[#This Row],[روز از ارسال سفارش]]*Main[[#This Row],[بدهی تسویه نشده (کیلوگرم)]]</f>
        <v>0</v>
      </c>
      <c r="T98" s="6">
        <f ca="1">Main[[#This Row],[بدهی سررسید شده (کیلوگرم)]]*Main[[#This Row],[روز از ارسال سفارش]]</f>
        <v>0</v>
      </c>
      <c r="U98" s="6">
        <f>-SUBTOTAL(9,INDEX(Main[مقدار (کیلوگرم)],1):Main[[#This Row],[مقدار (کیلوگرم)]])</f>
        <v>18547</v>
      </c>
      <c r="V98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8" s="6">
        <f>Main[[#This Row],[تعداد کل روزهای بدهکار (روز)]]*Main[[#This Row],[مانده در خط کل (کیلوگرم)]]</f>
        <v>259658</v>
      </c>
      <c r="X98" s="6">
        <f ca="1">-SUBTOTAL(9,INDEX(Main[مقدار تسویه شده (کیلوگرم)],1):Main[[#This Row],[مقدار تسویه شده (کیلوگرم)]])</f>
        <v>18547</v>
      </c>
      <c r="Y98" s="6">
        <f ca="1">IF(Main[[#This Row],[مانده در خط تسویه شده (کیلوگرم)]]&lt;&gt;0,Main[[#This Row],[تعداد کل روزهای بدهکار (روز)]],0)</f>
        <v>14</v>
      </c>
      <c r="Z98" s="6">
        <f ca="1">Main[[#This Row],[تعداد روزهای بدهکار تسویه شده (روز)]]*Main[[#This Row],[مانده در خط تسویه شده (کیلوگرم)]]</f>
        <v>259658</v>
      </c>
      <c r="AA98" s="6">
        <f ca="1">SUBTOTAL(9,INDEX(Main[بدهی تسویه نشده (کیلوگرم)],1):Main[[#This Row],[بدهی تسویه نشده (کیلوگرم)]])</f>
        <v>0</v>
      </c>
      <c r="AB98" s="6">
        <f ca="1">IF(Main[[#This Row],[مانده در خط تسویه نشده (کیلوگرم)]]&lt;&gt;0,Main[[#This Row],[تعداد کل روزهای بدهکار (روز)]],0)</f>
        <v>0</v>
      </c>
      <c r="AC98" s="6">
        <f ca="1">Main[[#This Row],[تعداد روزهای بدهکار  تسویه نشده (روز)]]*Main[[#This Row],[مانده در خط تسویه نشده (کیلوگرم)]]</f>
        <v>0</v>
      </c>
      <c r="AD98" s="6">
        <f ca="1">SUBTOTAL(9,INDEX(Main[بدهی سررسید شده (کیلوگرم)],1):Main[[#This Row],[بدهی سررسید شده (کیلوگرم)]])</f>
        <v>0</v>
      </c>
      <c r="AE98" s="6">
        <f ca="1">IF(Main[[#This Row],[مانده در خط سررسید شده (کیلوگرم)]]&lt;&gt;0,Main[[#This Row],[تعداد کل روزهای بدهکار (روز)]],0)</f>
        <v>0</v>
      </c>
      <c r="AF98" s="6">
        <f ca="1">Main[[#This Row],[تعداد روزهای بدهکار سررسید شده (روز)]]*Main[[#This Row],[مانده در خط سررسید شده (کیلوگرم)]]</f>
        <v>0</v>
      </c>
    </row>
    <row r="99" spans="1:32" hidden="1" x14ac:dyDescent="0.35">
      <c r="A99" s="5">
        <f>ROW()-ROW(INDEX(Main[ردیف],1))+1</f>
        <v>97</v>
      </c>
      <c r="B99" s="31">
        <f>SUBTOTAL(2,INDEX(Main[ردیف],1):Main[[#This Row],[ردیف]])</f>
        <v>1</v>
      </c>
      <c r="C99" s="32" t="s">
        <v>452</v>
      </c>
      <c r="D99" s="32" t="str">
        <f>_xlfn.CONCAT("14",Main[[#This Row],[تاريخ]])</f>
        <v>1400/01/01</v>
      </c>
      <c r="E99" s="33">
        <v>44276</v>
      </c>
      <c r="F99" s="32">
        <v>10018</v>
      </c>
      <c r="G99" s="5" t="str">
        <f>INDEX(customer[عنوان],MATCH(Main[[#This Row],[کد ردیابی]],customer[کد],0))</f>
        <v xml:space="preserve">کوهی </v>
      </c>
      <c r="H99">
        <v>-16</v>
      </c>
      <c r="I99" s="6">
        <f ca="1">-Main[[#This Row],[بدهی تسویه شده (کیلوگرم)]]+Main[[#This Row],[بستانکار (کیلوگرم)]]</f>
        <v>-16</v>
      </c>
      <c r="J99" s="6">
        <f>IF(Main[[#This Row],[مقدار (کیلوگرم)]]&gt;0,Main[[#This Row],[مقدار (کیلوگرم)]],0)</f>
        <v>0</v>
      </c>
      <c r="K99" s="6">
        <f>-IF(Main[[#This Row],[مقدار (کیلوگرم)]]&lt;0,Main[[#This Row],[مقدار (کیلوگرم)]],0)</f>
        <v>16</v>
      </c>
      <c r="L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" s="7">
        <f>-IF(AND(Main[[#This Row],[مقدار (کیلوگرم)]]&lt;0,Main[[#This Row],[تاريخ میلادی]]&gt;44276),Main[[#This Row],[مقدار (کیلوگرم)]],0)</f>
        <v>0</v>
      </c>
      <c r="N99" s="6">
        <f ca="1">Main[[#This Row],[بدهکار (کیلوگرم)]]-Main[[#This Row],[بدهی تسویه نشده (کیلوگرم)]]</f>
        <v>16</v>
      </c>
      <c r="O99" s="6">
        <f ca="1">Main[[#This Row],[تفکیک]]</f>
        <v>0</v>
      </c>
      <c r="P99" s="6">
        <f ca="1">IF(Main[[#This Row],[تاخیر از سررسید]]&gt;0,Main[[#This Row],[بدهی تسویه نشده (کیلوگرم)]],0)</f>
        <v>0</v>
      </c>
      <c r="Q99" s="6">
        <f ca="1">IF(Main[[#This Row],[بدهی تسویه نشده (کیلوگرم)]]&gt;0,'گزارش فردی'!$B$7-Main[[#This Row],[تاريخ میلادی]],0)</f>
        <v>0</v>
      </c>
      <c r="R99" s="6">
        <f ca="1">IF(Main[[#This Row],[بدهی تسویه نشده (کیلوگرم)]]&gt;0,'گزارش فردی'!$B$7-Main[[#This Row],[تاريخ میلادی]]-'گزارش فردی'!$B$8,0)</f>
        <v>0</v>
      </c>
      <c r="S99" s="6">
        <f ca="1">Main[[#This Row],[روز از ارسال سفارش]]*Main[[#This Row],[بدهی تسویه نشده (کیلوگرم)]]</f>
        <v>0</v>
      </c>
      <c r="T99" s="6">
        <f ca="1">Main[[#This Row],[بدهی سررسید شده (کیلوگرم)]]*Main[[#This Row],[روز از ارسال سفارش]]</f>
        <v>0</v>
      </c>
      <c r="U99" s="6">
        <f>-SUBTOTAL(9,INDEX(Main[مقدار (کیلوگرم)],1):Main[[#This Row],[مقدار (کیلوگرم)]])</f>
        <v>18547</v>
      </c>
      <c r="V99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9" s="6">
        <f>Main[[#This Row],[تعداد کل روزهای بدهکار (روز)]]*Main[[#This Row],[مانده در خط کل (کیلوگرم)]]</f>
        <v>259658</v>
      </c>
      <c r="X99" s="6">
        <f ca="1">-SUBTOTAL(9,INDEX(Main[مقدار تسویه شده (کیلوگرم)],1):Main[[#This Row],[مقدار تسویه شده (کیلوگرم)]])</f>
        <v>18547</v>
      </c>
      <c r="Y99" s="6">
        <f ca="1">IF(Main[[#This Row],[مانده در خط تسویه شده (کیلوگرم)]]&lt;&gt;0,Main[[#This Row],[تعداد کل روزهای بدهکار (روز)]],0)</f>
        <v>14</v>
      </c>
      <c r="Z99" s="6">
        <f ca="1">Main[[#This Row],[تعداد روزهای بدهکار تسویه شده (روز)]]*Main[[#This Row],[مانده در خط تسویه شده (کیلوگرم)]]</f>
        <v>259658</v>
      </c>
      <c r="AA99" s="6">
        <f ca="1">SUBTOTAL(9,INDEX(Main[بدهی تسویه نشده (کیلوگرم)],1):Main[[#This Row],[بدهی تسویه نشده (کیلوگرم)]])</f>
        <v>0</v>
      </c>
      <c r="AB99" s="6">
        <f ca="1">IF(Main[[#This Row],[مانده در خط تسویه نشده (کیلوگرم)]]&lt;&gt;0,Main[[#This Row],[تعداد کل روزهای بدهکار (روز)]],0)</f>
        <v>0</v>
      </c>
      <c r="AC99" s="6">
        <f ca="1">Main[[#This Row],[تعداد روزهای بدهکار  تسویه نشده (روز)]]*Main[[#This Row],[مانده در خط تسویه نشده (کیلوگرم)]]</f>
        <v>0</v>
      </c>
      <c r="AD99" s="6">
        <f ca="1">SUBTOTAL(9,INDEX(Main[بدهی سررسید شده (کیلوگرم)],1):Main[[#This Row],[بدهی سررسید شده (کیلوگرم)]])</f>
        <v>0</v>
      </c>
      <c r="AE99" s="6">
        <f ca="1">IF(Main[[#This Row],[مانده در خط سررسید شده (کیلوگرم)]]&lt;&gt;0,Main[[#This Row],[تعداد کل روزهای بدهکار (روز)]],0)</f>
        <v>0</v>
      </c>
      <c r="AF99" s="6">
        <f ca="1">Main[[#This Row],[تعداد روزهای بدهکار سررسید شده (روز)]]*Main[[#This Row],[مانده در خط سررسید شده (کیلوگرم)]]</f>
        <v>0</v>
      </c>
    </row>
    <row r="100" spans="1:32" hidden="1" x14ac:dyDescent="0.35">
      <c r="A100" s="5">
        <f>ROW()-ROW(INDEX(Main[ردیف],1))+1</f>
        <v>98</v>
      </c>
      <c r="B100" s="31">
        <f>SUBTOTAL(2,INDEX(Main[ردیف],1):Main[[#This Row],[ردیف]])</f>
        <v>1</v>
      </c>
      <c r="C100" s="32" t="s">
        <v>452</v>
      </c>
      <c r="D100" s="32" t="str">
        <f>_xlfn.CONCAT("14",Main[[#This Row],[تاريخ]])</f>
        <v>1400/01/01</v>
      </c>
      <c r="E100" s="33">
        <v>44276</v>
      </c>
      <c r="F100" s="32">
        <v>10076</v>
      </c>
      <c r="G100" s="5" t="str">
        <f>INDEX(customer[عنوان],MATCH(Main[[#This Row],[کد ردیابی]],customer[کد],0))</f>
        <v xml:space="preserve">چپر ایلخانی </v>
      </c>
      <c r="H100">
        <v>-13</v>
      </c>
      <c r="I100" s="6">
        <f ca="1">-Main[[#This Row],[بدهی تسویه شده (کیلوگرم)]]+Main[[#This Row],[بستانکار (کیلوگرم)]]</f>
        <v>-13</v>
      </c>
      <c r="J100" s="6">
        <f>IF(Main[[#This Row],[مقدار (کیلوگرم)]]&gt;0,Main[[#This Row],[مقدار (کیلوگرم)]],0)</f>
        <v>0</v>
      </c>
      <c r="K100" s="6">
        <f>-IF(Main[[#This Row],[مقدار (کیلوگرم)]]&lt;0,Main[[#This Row],[مقدار (کیلوگرم)]],0)</f>
        <v>13</v>
      </c>
      <c r="L1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" s="7">
        <f>-IF(AND(Main[[#This Row],[مقدار (کیلوگرم)]]&lt;0,Main[[#This Row],[تاريخ میلادی]]&gt;44276),Main[[#This Row],[مقدار (کیلوگرم)]],0)</f>
        <v>0</v>
      </c>
      <c r="N100" s="6">
        <f ca="1">Main[[#This Row],[بدهکار (کیلوگرم)]]-Main[[#This Row],[بدهی تسویه نشده (کیلوگرم)]]</f>
        <v>13</v>
      </c>
      <c r="O100" s="6">
        <f ca="1">Main[[#This Row],[تفکیک]]</f>
        <v>0</v>
      </c>
      <c r="P100" s="6">
        <f ca="1">IF(Main[[#This Row],[تاخیر از سررسید]]&gt;0,Main[[#This Row],[بدهی تسویه نشده (کیلوگرم)]],0)</f>
        <v>0</v>
      </c>
      <c r="Q100" s="6">
        <f ca="1">IF(Main[[#This Row],[بدهی تسویه نشده (کیلوگرم)]]&gt;0,'گزارش فردی'!$B$7-Main[[#This Row],[تاريخ میلادی]],0)</f>
        <v>0</v>
      </c>
      <c r="R100" s="6">
        <f ca="1">IF(Main[[#This Row],[بدهی تسویه نشده (کیلوگرم)]]&gt;0,'گزارش فردی'!$B$7-Main[[#This Row],[تاريخ میلادی]]-'گزارش فردی'!$B$8,0)</f>
        <v>0</v>
      </c>
      <c r="S100" s="6">
        <f ca="1">Main[[#This Row],[روز از ارسال سفارش]]*Main[[#This Row],[بدهی تسویه نشده (کیلوگرم)]]</f>
        <v>0</v>
      </c>
      <c r="T100" s="6">
        <f ca="1">Main[[#This Row],[بدهی سررسید شده (کیلوگرم)]]*Main[[#This Row],[روز از ارسال سفارش]]</f>
        <v>0</v>
      </c>
      <c r="U100" s="6">
        <f>-SUBTOTAL(9,INDEX(Main[مقدار (کیلوگرم)],1):Main[[#This Row],[مقدار (کیلوگرم)]])</f>
        <v>18547</v>
      </c>
      <c r="V100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100" s="6">
        <f>Main[[#This Row],[تعداد کل روزهای بدهکار (روز)]]*Main[[#This Row],[مانده در خط کل (کیلوگرم)]]</f>
        <v>259658</v>
      </c>
      <c r="X100" s="6">
        <f ca="1">-SUBTOTAL(9,INDEX(Main[مقدار تسویه شده (کیلوگرم)],1):Main[[#This Row],[مقدار تسویه شده (کیلوگرم)]])</f>
        <v>18547</v>
      </c>
      <c r="Y100" s="6">
        <f ca="1">IF(Main[[#This Row],[مانده در خط تسویه شده (کیلوگرم)]]&lt;&gt;0,Main[[#This Row],[تعداد کل روزهای بدهکار (روز)]],0)</f>
        <v>14</v>
      </c>
      <c r="Z100" s="6">
        <f ca="1">Main[[#This Row],[تعداد روزهای بدهکار تسویه شده (روز)]]*Main[[#This Row],[مانده در خط تسویه شده (کیلوگرم)]]</f>
        <v>259658</v>
      </c>
      <c r="AA100" s="6">
        <f ca="1">SUBTOTAL(9,INDEX(Main[بدهی تسویه نشده (کیلوگرم)],1):Main[[#This Row],[بدهی تسویه نشده (کیلوگرم)]])</f>
        <v>0</v>
      </c>
      <c r="AB100" s="6">
        <f ca="1">IF(Main[[#This Row],[مانده در خط تسویه نشده (کیلوگرم)]]&lt;&gt;0,Main[[#This Row],[تعداد کل روزهای بدهکار (روز)]],0)</f>
        <v>0</v>
      </c>
      <c r="AC100" s="6">
        <f ca="1">Main[[#This Row],[تعداد روزهای بدهکار  تسویه نشده (روز)]]*Main[[#This Row],[مانده در خط تسویه نشده (کیلوگرم)]]</f>
        <v>0</v>
      </c>
      <c r="AD100" s="6">
        <f ca="1">SUBTOTAL(9,INDEX(Main[بدهی سررسید شده (کیلوگرم)],1):Main[[#This Row],[بدهی سررسید شده (کیلوگرم)]])</f>
        <v>0</v>
      </c>
      <c r="AE100" s="6">
        <f ca="1">IF(Main[[#This Row],[مانده در خط سررسید شده (کیلوگرم)]]&lt;&gt;0,Main[[#This Row],[تعداد کل روزهای بدهکار (روز)]],0)</f>
        <v>0</v>
      </c>
      <c r="AF100" s="6">
        <f ca="1">Main[[#This Row],[تعداد روزهای بدهکار سررسید شده (روز)]]*Main[[#This Row],[مانده در خط سررسید شده (کیلوگرم)]]</f>
        <v>0</v>
      </c>
    </row>
    <row r="101" spans="1:32" hidden="1" x14ac:dyDescent="0.35">
      <c r="A101" s="5">
        <f>ROW()-ROW(INDEX(Main[ردیف],1))+1</f>
        <v>99</v>
      </c>
      <c r="B101" s="31">
        <f>SUBTOTAL(2,INDEX(Main[ردیف],1):Main[[#This Row],[ردیف]])</f>
        <v>1</v>
      </c>
      <c r="C101" s="32" t="s">
        <v>440</v>
      </c>
      <c r="D101" s="32" t="str">
        <f>_xlfn.CONCAT("14",Main[[#This Row],[تاريخ]])</f>
        <v>1400/01/14</v>
      </c>
      <c r="E101" s="33">
        <v>44289</v>
      </c>
      <c r="F101" s="32">
        <v>10052</v>
      </c>
      <c r="G101" s="5" t="str">
        <f>INDEX(customer[عنوان],MATCH(Main[[#This Row],[کد ردیابی]],customer[کد],0))</f>
        <v xml:space="preserve">ابوالقاسم اصغری </v>
      </c>
      <c r="H101">
        <v>2</v>
      </c>
      <c r="I101" s="6">
        <f ca="1">-Main[[#This Row],[بدهی تسویه شده (کیلوگرم)]]+Main[[#This Row],[بستانکار (کیلوگرم)]]</f>
        <v>2</v>
      </c>
      <c r="J101" s="6">
        <f>IF(Main[[#This Row],[مقدار (کیلوگرم)]]&gt;0,Main[[#This Row],[مقدار (کیلوگرم)]],0)</f>
        <v>2</v>
      </c>
      <c r="K101" s="6">
        <f>-IF(Main[[#This Row],[مقدار (کیلوگرم)]]&lt;0,Main[[#This Row],[مقدار (کیلوگرم)]],0)</f>
        <v>0</v>
      </c>
      <c r="L1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" s="7">
        <f>-IF(AND(Main[[#This Row],[مقدار (کیلوگرم)]]&lt;0,Main[[#This Row],[تاريخ میلادی]]&gt;44276),Main[[#This Row],[مقدار (کیلوگرم)]],0)</f>
        <v>0</v>
      </c>
      <c r="N101" s="6">
        <f ca="1">Main[[#This Row],[بدهکار (کیلوگرم)]]-Main[[#This Row],[بدهی تسویه نشده (کیلوگرم)]]</f>
        <v>0</v>
      </c>
      <c r="O101" s="6">
        <f ca="1">Main[[#This Row],[تفکیک]]</f>
        <v>0</v>
      </c>
      <c r="P101" s="6">
        <f ca="1">IF(Main[[#This Row],[تاخیر از سررسید]]&gt;0,Main[[#This Row],[بدهی تسویه نشده (کیلوگرم)]],0)</f>
        <v>0</v>
      </c>
      <c r="Q101" s="6">
        <f ca="1">IF(Main[[#This Row],[بدهی تسویه نشده (کیلوگرم)]]&gt;0,'گزارش فردی'!$B$7-Main[[#This Row],[تاريخ میلادی]],0)</f>
        <v>0</v>
      </c>
      <c r="R101" s="6">
        <f ca="1">IF(Main[[#This Row],[بدهی تسویه نشده (کیلوگرم)]]&gt;0,'گزارش فردی'!$B$7-Main[[#This Row],[تاريخ میلادی]]-'گزارش فردی'!$B$8,0)</f>
        <v>0</v>
      </c>
      <c r="S101" s="6">
        <f ca="1">Main[[#This Row],[روز از ارسال سفارش]]*Main[[#This Row],[بدهی تسویه نشده (کیلوگرم)]]</f>
        <v>0</v>
      </c>
      <c r="T101" s="6">
        <f ca="1">Main[[#This Row],[بدهی سررسید شده (کیلوگرم)]]*Main[[#This Row],[روز از ارسال سفارش]]</f>
        <v>0</v>
      </c>
      <c r="U101" s="6">
        <f>-SUBTOTAL(9,INDEX(Main[مقدار (کیلوگرم)],1):Main[[#This Row],[مقدار (کیلوگرم)]])</f>
        <v>18547</v>
      </c>
      <c r="V1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1" s="6">
        <f>Main[[#This Row],[تعداد کل روزهای بدهکار (روز)]]*Main[[#This Row],[مانده در خط کل (کیلوگرم)]]</f>
        <v>18547</v>
      </c>
      <c r="X101" s="6">
        <f ca="1">-SUBTOTAL(9,INDEX(Main[مقدار تسویه شده (کیلوگرم)],1):Main[[#This Row],[مقدار تسویه شده (کیلوگرم)]])</f>
        <v>18547</v>
      </c>
      <c r="Y101" s="6">
        <f ca="1">IF(Main[[#This Row],[مانده در خط تسویه شده (کیلوگرم)]]&lt;&gt;0,Main[[#This Row],[تعداد کل روزهای بدهکار (روز)]],0)</f>
        <v>1</v>
      </c>
      <c r="Z101" s="6">
        <f ca="1">Main[[#This Row],[تعداد روزهای بدهکار تسویه شده (روز)]]*Main[[#This Row],[مانده در خط تسویه شده (کیلوگرم)]]</f>
        <v>18547</v>
      </c>
      <c r="AA101" s="6">
        <f ca="1">SUBTOTAL(9,INDEX(Main[بدهی تسویه نشده (کیلوگرم)],1):Main[[#This Row],[بدهی تسویه نشده (کیلوگرم)]])</f>
        <v>0</v>
      </c>
      <c r="AB101" s="6">
        <f ca="1">IF(Main[[#This Row],[مانده در خط تسویه نشده (کیلوگرم)]]&lt;&gt;0,Main[[#This Row],[تعداد کل روزهای بدهکار (روز)]],0)</f>
        <v>0</v>
      </c>
      <c r="AC101" s="6">
        <f ca="1">Main[[#This Row],[تعداد روزهای بدهکار  تسویه نشده (روز)]]*Main[[#This Row],[مانده در خط تسویه نشده (کیلوگرم)]]</f>
        <v>0</v>
      </c>
      <c r="AD101" s="6">
        <f ca="1">SUBTOTAL(9,INDEX(Main[بدهی سررسید شده (کیلوگرم)],1):Main[[#This Row],[بدهی سررسید شده (کیلوگرم)]])</f>
        <v>0</v>
      </c>
      <c r="AE101" s="6">
        <f ca="1">IF(Main[[#This Row],[مانده در خط سررسید شده (کیلوگرم)]]&lt;&gt;0,Main[[#This Row],[تعداد کل روزهای بدهکار (روز)]],0)</f>
        <v>0</v>
      </c>
      <c r="AF101" s="6">
        <f ca="1">Main[[#This Row],[تعداد روزهای بدهکار سررسید شده (روز)]]*Main[[#This Row],[مانده در خط سررسید شده (کیلوگرم)]]</f>
        <v>0</v>
      </c>
    </row>
    <row r="102" spans="1:32" hidden="1" x14ac:dyDescent="0.35">
      <c r="A102" s="5">
        <f>ROW()-ROW(INDEX(Main[ردیف],1))+1</f>
        <v>100</v>
      </c>
      <c r="B102" s="31">
        <f>SUBTOTAL(2,INDEX(Main[ردیف],1):Main[[#This Row],[ردیف]])</f>
        <v>1</v>
      </c>
      <c r="C102" s="32" t="s">
        <v>440</v>
      </c>
      <c r="D102" s="32" t="str">
        <f>_xlfn.CONCAT("14",Main[[#This Row],[تاريخ]])</f>
        <v>1400/01/14</v>
      </c>
      <c r="E102" s="33">
        <v>44289</v>
      </c>
      <c r="F102" s="32">
        <v>30009</v>
      </c>
      <c r="G102" s="5" t="str">
        <f>INDEX(customer[عنوان],MATCH(Main[[#This Row],[کد ردیابی]],customer[کد],0))</f>
        <v>شرکت ایمن تک پیشرو</v>
      </c>
      <c r="H102">
        <v>-2048</v>
      </c>
      <c r="I102" s="6">
        <f ca="1">-Main[[#This Row],[بدهی تسویه شده (کیلوگرم)]]+Main[[#This Row],[بستانکار (کیلوگرم)]]</f>
        <v>-2048</v>
      </c>
      <c r="J102" s="6">
        <f>IF(Main[[#This Row],[مقدار (کیلوگرم)]]&gt;0,Main[[#This Row],[مقدار (کیلوگرم)]],0)</f>
        <v>0</v>
      </c>
      <c r="K102" s="6">
        <f>-IF(Main[[#This Row],[مقدار (کیلوگرم)]]&lt;0,Main[[#This Row],[مقدار (کیلوگرم)]],0)</f>
        <v>2048</v>
      </c>
      <c r="L1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" s="7">
        <f>-IF(AND(Main[[#This Row],[مقدار (کیلوگرم)]]&lt;0,Main[[#This Row],[تاريخ میلادی]]&gt;44276),Main[[#This Row],[مقدار (کیلوگرم)]],0)</f>
        <v>2048</v>
      </c>
      <c r="N102" s="6">
        <f ca="1">Main[[#This Row],[بدهکار (کیلوگرم)]]-Main[[#This Row],[بدهی تسویه نشده (کیلوگرم)]]</f>
        <v>2048</v>
      </c>
      <c r="O102" s="6">
        <f ca="1">Main[[#This Row],[تفکیک]]</f>
        <v>0</v>
      </c>
      <c r="P102" s="6">
        <f ca="1">IF(Main[[#This Row],[تاخیر از سررسید]]&gt;0,Main[[#This Row],[بدهی تسویه نشده (کیلوگرم)]],0)</f>
        <v>0</v>
      </c>
      <c r="Q102" s="6">
        <f ca="1">IF(Main[[#This Row],[بدهی تسویه نشده (کیلوگرم)]]&gt;0,'گزارش فردی'!$B$7-Main[[#This Row],[تاريخ میلادی]],0)</f>
        <v>0</v>
      </c>
      <c r="R102" s="6">
        <f ca="1">IF(Main[[#This Row],[بدهی تسویه نشده (کیلوگرم)]]&gt;0,'گزارش فردی'!$B$7-Main[[#This Row],[تاريخ میلادی]]-'گزارش فردی'!$B$8,0)</f>
        <v>0</v>
      </c>
      <c r="S102" s="6">
        <f ca="1">Main[[#This Row],[روز از ارسال سفارش]]*Main[[#This Row],[بدهی تسویه نشده (کیلوگرم)]]</f>
        <v>0</v>
      </c>
      <c r="T102" s="6">
        <f ca="1">Main[[#This Row],[بدهی سررسید شده (کیلوگرم)]]*Main[[#This Row],[روز از ارسال سفارش]]</f>
        <v>0</v>
      </c>
      <c r="U102" s="6">
        <f>-SUBTOTAL(9,INDEX(Main[مقدار (کیلوگرم)],1):Main[[#This Row],[مقدار (کیلوگرم)]])</f>
        <v>18547</v>
      </c>
      <c r="V1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2" s="6">
        <f>Main[[#This Row],[تعداد کل روزهای بدهکار (روز)]]*Main[[#This Row],[مانده در خط کل (کیلوگرم)]]</f>
        <v>18547</v>
      </c>
      <c r="X102" s="6">
        <f ca="1">-SUBTOTAL(9,INDEX(Main[مقدار تسویه شده (کیلوگرم)],1):Main[[#This Row],[مقدار تسویه شده (کیلوگرم)]])</f>
        <v>18547</v>
      </c>
      <c r="Y102" s="6">
        <f ca="1">IF(Main[[#This Row],[مانده در خط تسویه شده (کیلوگرم)]]&lt;&gt;0,Main[[#This Row],[تعداد کل روزهای بدهکار (روز)]],0)</f>
        <v>1</v>
      </c>
      <c r="Z102" s="6">
        <f ca="1">Main[[#This Row],[تعداد روزهای بدهکار تسویه شده (روز)]]*Main[[#This Row],[مانده در خط تسویه شده (کیلوگرم)]]</f>
        <v>18547</v>
      </c>
      <c r="AA102" s="6">
        <f ca="1">SUBTOTAL(9,INDEX(Main[بدهی تسویه نشده (کیلوگرم)],1):Main[[#This Row],[بدهی تسویه نشده (کیلوگرم)]])</f>
        <v>0</v>
      </c>
      <c r="AB102" s="6">
        <f ca="1">IF(Main[[#This Row],[مانده در خط تسویه نشده (کیلوگرم)]]&lt;&gt;0,Main[[#This Row],[تعداد کل روزهای بدهکار (روز)]],0)</f>
        <v>0</v>
      </c>
      <c r="AC102" s="6">
        <f ca="1">Main[[#This Row],[تعداد روزهای بدهکار  تسویه نشده (روز)]]*Main[[#This Row],[مانده در خط تسویه نشده (کیلوگرم)]]</f>
        <v>0</v>
      </c>
      <c r="AD102" s="6">
        <f ca="1">SUBTOTAL(9,INDEX(Main[بدهی سررسید شده (کیلوگرم)],1):Main[[#This Row],[بدهی سررسید شده (کیلوگرم)]])</f>
        <v>0</v>
      </c>
      <c r="AE102" s="6">
        <f ca="1">IF(Main[[#This Row],[مانده در خط سررسید شده (کیلوگرم)]]&lt;&gt;0,Main[[#This Row],[تعداد کل روزهای بدهکار (روز)]],0)</f>
        <v>0</v>
      </c>
      <c r="AF102" s="6">
        <f ca="1">Main[[#This Row],[تعداد روزهای بدهکار سررسید شده (روز)]]*Main[[#This Row],[مانده در خط سررسید شده (کیلوگرم)]]</f>
        <v>0</v>
      </c>
    </row>
    <row r="103" spans="1:32" hidden="1" x14ac:dyDescent="0.35">
      <c r="A103" s="5">
        <f>ROW()-ROW(INDEX(Main[ردیف],1))+1</f>
        <v>101</v>
      </c>
      <c r="B103" s="31">
        <f>SUBTOTAL(2,INDEX(Main[ردیف],1):Main[[#This Row],[ردیف]])</f>
        <v>1</v>
      </c>
      <c r="C103" s="32" t="s">
        <v>442</v>
      </c>
      <c r="D103" s="32" t="str">
        <f>_xlfn.CONCAT("14",Main[[#This Row],[تاريخ]])</f>
        <v>1400/01/15</v>
      </c>
      <c r="E103" s="33">
        <v>44290</v>
      </c>
      <c r="F103" s="32">
        <v>10057</v>
      </c>
      <c r="G103" s="5" t="str">
        <f>INDEX(customer[عنوان],MATCH(Main[[#This Row],[کد ردیابی]],customer[کد],0))</f>
        <v xml:space="preserve">عبدالله یادگار </v>
      </c>
      <c r="H103">
        <v>80</v>
      </c>
      <c r="I103" s="6">
        <f ca="1">-Main[[#This Row],[بدهی تسویه شده (کیلوگرم)]]+Main[[#This Row],[بستانکار (کیلوگرم)]]</f>
        <v>80</v>
      </c>
      <c r="J103" s="6">
        <f>IF(Main[[#This Row],[مقدار (کیلوگرم)]]&gt;0,Main[[#This Row],[مقدار (کیلوگرم)]],0)</f>
        <v>80</v>
      </c>
      <c r="K103" s="6">
        <f>-IF(Main[[#This Row],[مقدار (کیلوگرم)]]&lt;0,Main[[#This Row],[مقدار (کیلوگرم)]],0)</f>
        <v>0</v>
      </c>
      <c r="L1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" s="7">
        <f>-IF(AND(Main[[#This Row],[مقدار (کیلوگرم)]]&lt;0,Main[[#This Row],[تاريخ میلادی]]&gt;44276),Main[[#This Row],[مقدار (کیلوگرم)]],0)</f>
        <v>0</v>
      </c>
      <c r="N103" s="6">
        <f ca="1">Main[[#This Row],[بدهکار (کیلوگرم)]]-Main[[#This Row],[بدهی تسویه نشده (کیلوگرم)]]</f>
        <v>0</v>
      </c>
      <c r="O103" s="6">
        <f ca="1">Main[[#This Row],[تفکیک]]</f>
        <v>0</v>
      </c>
      <c r="P103" s="6">
        <f ca="1">IF(Main[[#This Row],[تاخیر از سررسید]]&gt;0,Main[[#This Row],[بدهی تسویه نشده (کیلوگرم)]],0)</f>
        <v>0</v>
      </c>
      <c r="Q103" s="6">
        <f ca="1">IF(Main[[#This Row],[بدهی تسویه نشده (کیلوگرم)]]&gt;0,'گزارش فردی'!$B$7-Main[[#This Row],[تاريخ میلادی]],0)</f>
        <v>0</v>
      </c>
      <c r="R103" s="6">
        <f ca="1">IF(Main[[#This Row],[بدهی تسویه نشده (کیلوگرم)]]&gt;0,'گزارش فردی'!$B$7-Main[[#This Row],[تاريخ میلادی]]-'گزارش فردی'!$B$8,0)</f>
        <v>0</v>
      </c>
      <c r="S103" s="6">
        <f ca="1">Main[[#This Row],[روز از ارسال سفارش]]*Main[[#This Row],[بدهی تسویه نشده (کیلوگرم)]]</f>
        <v>0</v>
      </c>
      <c r="T103" s="6">
        <f ca="1">Main[[#This Row],[بدهی سررسید شده (کیلوگرم)]]*Main[[#This Row],[روز از ارسال سفارش]]</f>
        <v>0</v>
      </c>
      <c r="U103" s="6">
        <f>-SUBTOTAL(9,INDEX(Main[مقدار (کیلوگرم)],1):Main[[#This Row],[مقدار (کیلوگرم)]])</f>
        <v>18547</v>
      </c>
      <c r="V1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" s="6">
        <f>Main[[#This Row],[تعداد کل روزهای بدهکار (روز)]]*Main[[#This Row],[مانده در خط کل (کیلوگرم)]]</f>
        <v>0</v>
      </c>
      <c r="X103" s="6">
        <f ca="1">-SUBTOTAL(9,INDEX(Main[مقدار تسویه شده (کیلوگرم)],1):Main[[#This Row],[مقدار تسویه شده (کیلوگرم)]])</f>
        <v>18547</v>
      </c>
      <c r="Y103" s="6">
        <f ca="1">IF(Main[[#This Row],[مانده در خط تسویه شده (کیلوگرم)]]&lt;&gt;0,Main[[#This Row],[تعداد کل روزهای بدهکار (روز)]],0)</f>
        <v>0</v>
      </c>
      <c r="Z103" s="6">
        <f ca="1">Main[[#This Row],[تعداد روزهای بدهکار تسویه شده (روز)]]*Main[[#This Row],[مانده در خط تسویه شده (کیلوگرم)]]</f>
        <v>0</v>
      </c>
      <c r="AA103" s="6">
        <f ca="1">SUBTOTAL(9,INDEX(Main[بدهی تسویه نشده (کیلوگرم)],1):Main[[#This Row],[بدهی تسویه نشده (کیلوگرم)]])</f>
        <v>0</v>
      </c>
      <c r="AB103" s="6">
        <f ca="1">IF(Main[[#This Row],[مانده در خط تسویه نشده (کیلوگرم)]]&lt;&gt;0,Main[[#This Row],[تعداد کل روزهای بدهکار (روز)]],0)</f>
        <v>0</v>
      </c>
      <c r="AC103" s="6">
        <f ca="1">Main[[#This Row],[تعداد روزهای بدهکار  تسویه نشده (روز)]]*Main[[#This Row],[مانده در خط تسویه نشده (کیلوگرم)]]</f>
        <v>0</v>
      </c>
      <c r="AD103" s="6">
        <f ca="1">SUBTOTAL(9,INDEX(Main[بدهی سررسید شده (کیلوگرم)],1):Main[[#This Row],[بدهی سررسید شده (کیلوگرم)]])</f>
        <v>0</v>
      </c>
      <c r="AE103" s="6">
        <f ca="1">IF(Main[[#This Row],[مانده در خط سررسید شده (کیلوگرم)]]&lt;&gt;0,Main[[#This Row],[تعداد کل روزهای بدهکار (روز)]],0)</f>
        <v>0</v>
      </c>
      <c r="AF103" s="6">
        <f ca="1">Main[[#This Row],[تعداد روزهای بدهکار سررسید شده (روز)]]*Main[[#This Row],[مانده در خط سررسید شده (کیلوگرم)]]</f>
        <v>0</v>
      </c>
    </row>
    <row r="104" spans="1:32" hidden="1" x14ac:dyDescent="0.35">
      <c r="A104" s="5">
        <f>ROW()-ROW(INDEX(Main[ردیف],1))+1</f>
        <v>102</v>
      </c>
      <c r="B104" s="31">
        <f>SUBTOTAL(2,INDEX(Main[ردیف],1):Main[[#This Row],[ردیف]])</f>
        <v>1</v>
      </c>
      <c r="C104" s="32" t="s">
        <v>442</v>
      </c>
      <c r="D104" s="32" t="str">
        <f>_xlfn.CONCAT("14",Main[[#This Row],[تاريخ]])</f>
        <v>1400/01/15</v>
      </c>
      <c r="E104" s="33">
        <v>44290</v>
      </c>
      <c r="F104" s="32">
        <v>10057</v>
      </c>
      <c r="G104" s="5" t="str">
        <f>INDEX(customer[عنوان],MATCH(Main[[#This Row],[کد ردیابی]],customer[کد],0))</f>
        <v xml:space="preserve">عبدالله یادگار </v>
      </c>
      <c r="H104">
        <v>-1776</v>
      </c>
      <c r="I104" s="6">
        <f ca="1">-Main[[#This Row],[بدهی تسویه شده (کیلوگرم)]]+Main[[#This Row],[بستانکار (کیلوگرم)]]</f>
        <v>-1776</v>
      </c>
      <c r="J104" s="6">
        <f>IF(Main[[#This Row],[مقدار (کیلوگرم)]]&gt;0,Main[[#This Row],[مقدار (کیلوگرم)]],0)</f>
        <v>0</v>
      </c>
      <c r="K104" s="6">
        <f>-IF(Main[[#This Row],[مقدار (کیلوگرم)]]&lt;0,Main[[#This Row],[مقدار (کیلوگرم)]],0)</f>
        <v>1776</v>
      </c>
      <c r="L1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" s="7">
        <f>-IF(AND(Main[[#This Row],[مقدار (کیلوگرم)]]&lt;0,Main[[#This Row],[تاريخ میلادی]]&gt;44276),Main[[#This Row],[مقدار (کیلوگرم)]],0)</f>
        <v>1776</v>
      </c>
      <c r="N104" s="6">
        <f ca="1">Main[[#This Row],[بدهکار (کیلوگرم)]]-Main[[#This Row],[بدهی تسویه نشده (کیلوگرم)]]</f>
        <v>1776</v>
      </c>
      <c r="O104" s="6">
        <f ca="1">Main[[#This Row],[تفکیک]]</f>
        <v>0</v>
      </c>
      <c r="P104" s="6">
        <f ca="1">IF(Main[[#This Row],[تاخیر از سررسید]]&gt;0,Main[[#This Row],[بدهی تسویه نشده (کیلوگرم)]],0)</f>
        <v>0</v>
      </c>
      <c r="Q104" s="6">
        <f ca="1">IF(Main[[#This Row],[بدهی تسویه نشده (کیلوگرم)]]&gt;0,'گزارش فردی'!$B$7-Main[[#This Row],[تاريخ میلادی]],0)</f>
        <v>0</v>
      </c>
      <c r="R104" s="6">
        <f ca="1">IF(Main[[#This Row],[بدهی تسویه نشده (کیلوگرم)]]&gt;0,'گزارش فردی'!$B$7-Main[[#This Row],[تاريخ میلادی]]-'گزارش فردی'!$B$8,0)</f>
        <v>0</v>
      </c>
      <c r="S104" s="6">
        <f ca="1">Main[[#This Row],[روز از ارسال سفارش]]*Main[[#This Row],[بدهی تسویه نشده (کیلوگرم)]]</f>
        <v>0</v>
      </c>
      <c r="T104" s="6">
        <f ca="1">Main[[#This Row],[بدهی سررسید شده (کیلوگرم)]]*Main[[#This Row],[روز از ارسال سفارش]]</f>
        <v>0</v>
      </c>
      <c r="U104" s="6">
        <f>-SUBTOTAL(9,INDEX(Main[مقدار (کیلوگرم)],1):Main[[#This Row],[مقدار (کیلوگرم)]])</f>
        <v>18547</v>
      </c>
      <c r="V1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4" s="6">
        <f>Main[[#This Row],[تعداد کل روزهای بدهکار (روز)]]*Main[[#This Row],[مانده در خط کل (کیلوگرم)]]</f>
        <v>0</v>
      </c>
      <c r="X104" s="6">
        <f ca="1">-SUBTOTAL(9,INDEX(Main[مقدار تسویه شده (کیلوگرم)],1):Main[[#This Row],[مقدار تسویه شده (کیلوگرم)]])</f>
        <v>18547</v>
      </c>
      <c r="Y104" s="6">
        <f ca="1">IF(Main[[#This Row],[مانده در خط تسویه شده (کیلوگرم)]]&lt;&gt;0,Main[[#This Row],[تعداد کل روزهای بدهکار (روز)]],0)</f>
        <v>0</v>
      </c>
      <c r="Z104" s="6">
        <f ca="1">Main[[#This Row],[تعداد روزهای بدهکار تسویه شده (روز)]]*Main[[#This Row],[مانده در خط تسویه شده (کیلوگرم)]]</f>
        <v>0</v>
      </c>
      <c r="AA104" s="6">
        <f ca="1">SUBTOTAL(9,INDEX(Main[بدهی تسویه نشده (کیلوگرم)],1):Main[[#This Row],[بدهی تسویه نشده (کیلوگرم)]])</f>
        <v>0</v>
      </c>
      <c r="AB104" s="6">
        <f ca="1">IF(Main[[#This Row],[مانده در خط تسویه نشده (کیلوگرم)]]&lt;&gt;0,Main[[#This Row],[تعداد کل روزهای بدهکار (روز)]],0)</f>
        <v>0</v>
      </c>
      <c r="AC104" s="6">
        <f ca="1">Main[[#This Row],[تعداد روزهای بدهکار  تسویه نشده (روز)]]*Main[[#This Row],[مانده در خط تسویه نشده (کیلوگرم)]]</f>
        <v>0</v>
      </c>
      <c r="AD104" s="6">
        <f ca="1">SUBTOTAL(9,INDEX(Main[بدهی سررسید شده (کیلوگرم)],1):Main[[#This Row],[بدهی سررسید شده (کیلوگرم)]])</f>
        <v>0</v>
      </c>
      <c r="AE104" s="6">
        <f ca="1">IF(Main[[#This Row],[مانده در خط سررسید شده (کیلوگرم)]]&lt;&gt;0,Main[[#This Row],[تعداد کل روزهای بدهکار (روز)]],0)</f>
        <v>0</v>
      </c>
      <c r="AF104" s="6">
        <f ca="1">Main[[#This Row],[تعداد روزهای بدهکار سررسید شده (روز)]]*Main[[#This Row],[مانده در خط سررسید شده (کیلوگرم)]]</f>
        <v>0</v>
      </c>
    </row>
    <row r="105" spans="1:32" hidden="1" x14ac:dyDescent="0.35">
      <c r="A105" s="5">
        <f>ROW()-ROW(INDEX(Main[ردیف],1))+1</f>
        <v>103</v>
      </c>
      <c r="B105" s="31">
        <f>SUBTOTAL(2,INDEX(Main[ردیف],1):Main[[#This Row],[ردیف]])</f>
        <v>1</v>
      </c>
      <c r="C105" s="32" t="s">
        <v>442</v>
      </c>
      <c r="D105" s="32" t="str">
        <f>_xlfn.CONCAT("14",Main[[#This Row],[تاريخ]])</f>
        <v>1400/01/15</v>
      </c>
      <c r="E105" s="33">
        <v>44290</v>
      </c>
      <c r="F105" s="32">
        <v>10057</v>
      </c>
      <c r="G105" s="5" t="str">
        <f>INDEX(customer[عنوان],MATCH(Main[[#This Row],[کد ردیابی]],customer[کد],0))</f>
        <v xml:space="preserve">عبدالله یادگار </v>
      </c>
      <c r="H105">
        <v>466</v>
      </c>
      <c r="I105" s="6">
        <f ca="1">-Main[[#This Row],[بدهی تسویه شده (کیلوگرم)]]+Main[[#This Row],[بستانکار (کیلوگرم)]]</f>
        <v>466</v>
      </c>
      <c r="J105" s="6">
        <f>IF(Main[[#This Row],[مقدار (کیلوگرم)]]&gt;0,Main[[#This Row],[مقدار (کیلوگرم)]],0)</f>
        <v>466</v>
      </c>
      <c r="K105" s="6">
        <f>-IF(Main[[#This Row],[مقدار (کیلوگرم)]]&lt;0,Main[[#This Row],[مقدار (کیلوگرم)]],0)</f>
        <v>0</v>
      </c>
      <c r="L1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" s="7">
        <f>-IF(AND(Main[[#This Row],[مقدار (کیلوگرم)]]&lt;0,Main[[#This Row],[تاريخ میلادی]]&gt;44276),Main[[#This Row],[مقدار (کیلوگرم)]],0)</f>
        <v>0</v>
      </c>
      <c r="N105" s="6">
        <f ca="1">Main[[#This Row],[بدهکار (کیلوگرم)]]-Main[[#This Row],[بدهی تسویه نشده (کیلوگرم)]]</f>
        <v>0</v>
      </c>
      <c r="O105" s="6">
        <f ca="1">Main[[#This Row],[تفکیک]]</f>
        <v>0</v>
      </c>
      <c r="P105" s="6">
        <f ca="1">IF(Main[[#This Row],[تاخیر از سررسید]]&gt;0,Main[[#This Row],[بدهی تسویه نشده (کیلوگرم)]],0)</f>
        <v>0</v>
      </c>
      <c r="Q105" s="6">
        <f ca="1">IF(Main[[#This Row],[بدهی تسویه نشده (کیلوگرم)]]&gt;0,'گزارش فردی'!$B$7-Main[[#This Row],[تاريخ میلادی]],0)</f>
        <v>0</v>
      </c>
      <c r="R105" s="6">
        <f ca="1">IF(Main[[#This Row],[بدهی تسویه نشده (کیلوگرم)]]&gt;0,'گزارش فردی'!$B$7-Main[[#This Row],[تاريخ میلادی]]-'گزارش فردی'!$B$8,0)</f>
        <v>0</v>
      </c>
      <c r="S105" s="6">
        <f ca="1">Main[[#This Row],[روز از ارسال سفارش]]*Main[[#This Row],[بدهی تسویه نشده (کیلوگرم)]]</f>
        <v>0</v>
      </c>
      <c r="T105" s="6">
        <f ca="1">Main[[#This Row],[بدهی سررسید شده (کیلوگرم)]]*Main[[#This Row],[روز از ارسال سفارش]]</f>
        <v>0</v>
      </c>
      <c r="U105" s="6">
        <f>-SUBTOTAL(9,INDEX(Main[مقدار (کیلوگرم)],1):Main[[#This Row],[مقدار (کیلوگرم)]])</f>
        <v>18547</v>
      </c>
      <c r="V1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5" s="6">
        <f>Main[[#This Row],[تعداد کل روزهای بدهکار (روز)]]*Main[[#This Row],[مانده در خط کل (کیلوگرم)]]</f>
        <v>0</v>
      </c>
      <c r="X105" s="6">
        <f ca="1">-SUBTOTAL(9,INDEX(Main[مقدار تسویه شده (کیلوگرم)],1):Main[[#This Row],[مقدار تسویه شده (کیلوگرم)]])</f>
        <v>18547</v>
      </c>
      <c r="Y105" s="6">
        <f ca="1">IF(Main[[#This Row],[مانده در خط تسویه شده (کیلوگرم)]]&lt;&gt;0,Main[[#This Row],[تعداد کل روزهای بدهکار (روز)]],0)</f>
        <v>0</v>
      </c>
      <c r="Z105" s="6">
        <f ca="1">Main[[#This Row],[تعداد روزهای بدهکار تسویه شده (روز)]]*Main[[#This Row],[مانده در خط تسویه شده (کیلوگرم)]]</f>
        <v>0</v>
      </c>
      <c r="AA105" s="6">
        <f ca="1">SUBTOTAL(9,INDEX(Main[بدهی تسویه نشده (کیلوگرم)],1):Main[[#This Row],[بدهی تسویه نشده (کیلوگرم)]])</f>
        <v>0</v>
      </c>
      <c r="AB105" s="6">
        <f ca="1">IF(Main[[#This Row],[مانده در خط تسویه نشده (کیلوگرم)]]&lt;&gt;0,Main[[#This Row],[تعداد کل روزهای بدهکار (روز)]],0)</f>
        <v>0</v>
      </c>
      <c r="AC105" s="6">
        <f ca="1">Main[[#This Row],[تعداد روزهای بدهکار  تسویه نشده (روز)]]*Main[[#This Row],[مانده در خط تسویه نشده (کیلوگرم)]]</f>
        <v>0</v>
      </c>
      <c r="AD105" s="6">
        <f ca="1">SUBTOTAL(9,INDEX(Main[بدهی سررسید شده (کیلوگرم)],1):Main[[#This Row],[بدهی سررسید شده (کیلوگرم)]])</f>
        <v>0</v>
      </c>
      <c r="AE105" s="6">
        <f ca="1">IF(Main[[#This Row],[مانده در خط سررسید شده (کیلوگرم)]]&lt;&gt;0,Main[[#This Row],[تعداد کل روزهای بدهکار (روز)]],0)</f>
        <v>0</v>
      </c>
      <c r="AF105" s="6">
        <f ca="1">Main[[#This Row],[تعداد روزهای بدهکار سررسید شده (روز)]]*Main[[#This Row],[مانده در خط سررسید شده (کیلوگرم)]]</f>
        <v>0</v>
      </c>
    </row>
    <row r="106" spans="1:32" x14ac:dyDescent="0.35">
      <c r="A106" s="5">
        <f>ROW()-ROW(INDEX(Main[ردیف],1))+1</f>
        <v>104</v>
      </c>
      <c r="B106" s="31">
        <f>SUBTOTAL(2,INDEX(Main[ردیف],1):Main[[#This Row],[ردیف]])</f>
        <v>2</v>
      </c>
      <c r="C106" s="32" t="s">
        <v>442</v>
      </c>
      <c r="D106" s="32" t="str">
        <f>_xlfn.CONCAT("14",Main[[#This Row],[تاريخ]])</f>
        <v>1400/01/15</v>
      </c>
      <c r="E106" s="33">
        <v>44290</v>
      </c>
      <c r="F106" s="32">
        <v>10003</v>
      </c>
      <c r="G106" s="5" t="str">
        <f>INDEX(customer[عنوان],MATCH(Main[[#This Row],[کد ردیابی]],customer[کد],0))</f>
        <v>اصغر نورعلی</v>
      </c>
      <c r="H106">
        <v>-2068</v>
      </c>
      <c r="I106" s="6">
        <f ca="1">-Main[[#This Row],[بدهی تسویه شده (کیلوگرم)]]+Main[[#This Row],[بستانکار (کیلوگرم)]]</f>
        <v>-2068</v>
      </c>
      <c r="J106" s="6">
        <f>IF(Main[[#This Row],[مقدار (کیلوگرم)]]&gt;0,Main[[#This Row],[مقدار (کیلوگرم)]],0)</f>
        <v>0</v>
      </c>
      <c r="K106" s="6">
        <f>-IF(Main[[#This Row],[مقدار (کیلوگرم)]]&lt;0,Main[[#This Row],[مقدار (کیلوگرم)]],0)</f>
        <v>2068</v>
      </c>
      <c r="L1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" s="7">
        <f>-IF(AND(Main[[#This Row],[مقدار (کیلوگرم)]]&lt;0,Main[[#This Row],[تاريخ میلادی]]&gt;44276),Main[[#This Row],[مقدار (کیلوگرم)]],0)</f>
        <v>2068</v>
      </c>
      <c r="N106" s="6">
        <f ca="1">Main[[#This Row],[بدهکار (کیلوگرم)]]-Main[[#This Row],[بدهی تسویه نشده (کیلوگرم)]]</f>
        <v>2068</v>
      </c>
      <c r="O106" s="6">
        <f ca="1">Main[[#This Row],[تفکیک]]</f>
        <v>0</v>
      </c>
      <c r="P106" s="6">
        <f ca="1">IF(Main[[#This Row],[تاخیر از سررسید]]&gt;0,Main[[#This Row],[بدهی تسویه نشده (کیلوگرم)]],0)</f>
        <v>0</v>
      </c>
      <c r="Q106" s="6">
        <f ca="1">IF(Main[[#This Row],[بدهی تسویه نشده (کیلوگرم)]]&gt;0,'گزارش فردی'!$B$7-Main[[#This Row],[تاريخ میلادی]],0)</f>
        <v>0</v>
      </c>
      <c r="R106" s="6">
        <f ca="1">IF(Main[[#This Row],[بدهی تسویه نشده (کیلوگرم)]]&gt;0,'گزارش فردی'!$B$7-Main[[#This Row],[تاريخ میلادی]]-'گزارش فردی'!$B$8,0)</f>
        <v>0</v>
      </c>
      <c r="S106" s="6">
        <f ca="1">Main[[#This Row],[روز از ارسال سفارش]]*Main[[#This Row],[بدهی تسویه نشده (کیلوگرم)]]</f>
        <v>0</v>
      </c>
      <c r="T106" s="6">
        <f ca="1">Main[[#This Row],[بدهی سررسید شده (کیلوگرم)]]*Main[[#This Row],[روز از ارسال سفارش]]</f>
        <v>0</v>
      </c>
      <c r="U106" s="6">
        <f>-SUBTOTAL(9,INDEX(Main[مقدار (کیلوگرم)],1):Main[[#This Row],[مقدار (کیلوگرم)]])</f>
        <v>20615</v>
      </c>
      <c r="V1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" s="6">
        <f>Main[[#This Row],[تعداد کل روزهای بدهکار (روز)]]*Main[[#This Row],[مانده در خط کل (کیلوگرم)]]</f>
        <v>20615</v>
      </c>
      <c r="X106" s="6">
        <f ca="1">-SUBTOTAL(9,INDEX(Main[مقدار تسویه شده (کیلوگرم)],1):Main[[#This Row],[مقدار تسویه شده (کیلوگرم)]])</f>
        <v>20615</v>
      </c>
      <c r="Y106" s="6">
        <f ca="1">IF(Main[[#This Row],[مانده در خط تسویه شده (کیلوگرم)]]&lt;&gt;0,Main[[#This Row],[تعداد کل روزهای بدهکار (روز)]],0)</f>
        <v>1</v>
      </c>
      <c r="Z106" s="6">
        <f ca="1">Main[[#This Row],[تعداد روزهای بدهکار تسویه شده (روز)]]*Main[[#This Row],[مانده در خط تسویه شده (کیلوگرم)]]</f>
        <v>20615</v>
      </c>
      <c r="AA106" s="6">
        <f ca="1">SUBTOTAL(9,INDEX(Main[بدهی تسویه نشده (کیلوگرم)],1):Main[[#This Row],[بدهی تسویه نشده (کیلوگرم)]])</f>
        <v>0</v>
      </c>
      <c r="AB106" s="6">
        <f ca="1">IF(Main[[#This Row],[مانده در خط تسویه نشده (کیلوگرم)]]&lt;&gt;0,Main[[#This Row],[تعداد کل روزهای بدهکار (روز)]],0)</f>
        <v>0</v>
      </c>
      <c r="AC106" s="6">
        <f ca="1">Main[[#This Row],[تعداد روزهای بدهکار  تسویه نشده (روز)]]*Main[[#This Row],[مانده در خط تسویه نشده (کیلوگرم)]]</f>
        <v>0</v>
      </c>
      <c r="AD106" s="6">
        <f ca="1">SUBTOTAL(9,INDEX(Main[بدهی سررسید شده (کیلوگرم)],1):Main[[#This Row],[بدهی سررسید شده (کیلوگرم)]])</f>
        <v>0</v>
      </c>
      <c r="AE106" s="6">
        <f ca="1">IF(Main[[#This Row],[مانده در خط سررسید شده (کیلوگرم)]]&lt;&gt;0,Main[[#This Row],[تعداد کل روزهای بدهکار (روز)]],0)</f>
        <v>0</v>
      </c>
      <c r="AF106" s="6">
        <f ca="1">Main[[#This Row],[تعداد روزهای بدهکار سررسید شده (روز)]]*Main[[#This Row],[مانده در خط سررسید شده (کیلوگرم)]]</f>
        <v>0</v>
      </c>
    </row>
    <row r="107" spans="1:32" hidden="1" x14ac:dyDescent="0.35">
      <c r="A107" s="5">
        <f>ROW()-ROW(INDEX(Main[ردیف],1))+1</f>
        <v>105</v>
      </c>
      <c r="B107" s="31">
        <f>SUBTOTAL(2,INDEX(Main[ردیف],1):Main[[#This Row],[ردیف]])</f>
        <v>2</v>
      </c>
      <c r="C107" s="32" t="s">
        <v>445</v>
      </c>
      <c r="D107" s="32" t="str">
        <f>_xlfn.CONCAT("14",Main[[#This Row],[تاريخ]])</f>
        <v>1400/01/16</v>
      </c>
      <c r="E107" s="33">
        <v>44291</v>
      </c>
      <c r="F107" s="32">
        <v>30066</v>
      </c>
      <c r="G107" s="5" t="str">
        <f>INDEX(customer[عنوان],MATCH(Main[[#This Row],[کد ردیابی]],customer[کد],0))</f>
        <v xml:space="preserve">شیر آلات بهداشتی قهرمان </v>
      </c>
      <c r="H107">
        <v>3398</v>
      </c>
      <c r="I107" s="6">
        <f ca="1">-Main[[#This Row],[بدهی تسویه شده (کیلوگرم)]]+Main[[#This Row],[بستانکار (کیلوگرم)]]</f>
        <v>3398</v>
      </c>
      <c r="J107" s="6">
        <f>IF(Main[[#This Row],[مقدار (کیلوگرم)]]&gt;0,Main[[#This Row],[مقدار (کیلوگرم)]],0)</f>
        <v>3398</v>
      </c>
      <c r="K107" s="6">
        <f>-IF(Main[[#This Row],[مقدار (کیلوگرم)]]&lt;0,Main[[#This Row],[مقدار (کیلوگرم)]],0)</f>
        <v>0</v>
      </c>
      <c r="L1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" s="7">
        <f>-IF(AND(Main[[#This Row],[مقدار (کیلوگرم)]]&lt;0,Main[[#This Row],[تاريخ میلادی]]&gt;44276),Main[[#This Row],[مقدار (کیلوگرم)]],0)</f>
        <v>0</v>
      </c>
      <c r="N107" s="6">
        <f ca="1">Main[[#This Row],[بدهکار (کیلوگرم)]]-Main[[#This Row],[بدهی تسویه نشده (کیلوگرم)]]</f>
        <v>0</v>
      </c>
      <c r="O107" s="6">
        <f ca="1">Main[[#This Row],[تفکیک]]</f>
        <v>0</v>
      </c>
      <c r="P107" s="6">
        <f ca="1">IF(Main[[#This Row],[تاخیر از سررسید]]&gt;0,Main[[#This Row],[بدهی تسویه نشده (کیلوگرم)]],0)</f>
        <v>0</v>
      </c>
      <c r="Q107" s="6">
        <f ca="1">IF(Main[[#This Row],[بدهی تسویه نشده (کیلوگرم)]]&gt;0,'گزارش فردی'!$B$7-Main[[#This Row],[تاريخ میلادی]],0)</f>
        <v>0</v>
      </c>
      <c r="R107" s="6">
        <f ca="1">IF(Main[[#This Row],[بدهی تسویه نشده (کیلوگرم)]]&gt;0,'گزارش فردی'!$B$7-Main[[#This Row],[تاريخ میلادی]]-'گزارش فردی'!$B$8,0)</f>
        <v>0</v>
      </c>
      <c r="S107" s="6">
        <f ca="1">Main[[#This Row],[روز از ارسال سفارش]]*Main[[#This Row],[بدهی تسویه نشده (کیلوگرم)]]</f>
        <v>0</v>
      </c>
      <c r="T107" s="6">
        <f ca="1">Main[[#This Row],[بدهی سررسید شده (کیلوگرم)]]*Main[[#This Row],[روز از ارسال سفارش]]</f>
        <v>0</v>
      </c>
      <c r="U107" s="6">
        <f>-SUBTOTAL(9,INDEX(Main[مقدار (کیلوگرم)],1):Main[[#This Row],[مقدار (کیلوگرم)]])</f>
        <v>20615</v>
      </c>
      <c r="V1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" s="6">
        <f>Main[[#This Row],[تعداد کل روزهای بدهکار (روز)]]*Main[[#This Row],[مانده در خط کل (کیلوگرم)]]</f>
        <v>0</v>
      </c>
      <c r="X107" s="6">
        <f ca="1">-SUBTOTAL(9,INDEX(Main[مقدار تسویه شده (کیلوگرم)],1):Main[[#This Row],[مقدار تسویه شده (کیلوگرم)]])</f>
        <v>20615</v>
      </c>
      <c r="Y107" s="6">
        <f ca="1">IF(Main[[#This Row],[مانده در خط تسویه شده (کیلوگرم)]]&lt;&gt;0,Main[[#This Row],[تعداد کل روزهای بدهکار (روز)]],0)</f>
        <v>0</v>
      </c>
      <c r="Z107" s="6">
        <f ca="1">Main[[#This Row],[تعداد روزهای بدهکار تسویه شده (روز)]]*Main[[#This Row],[مانده در خط تسویه شده (کیلوگرم)]]</f>
        <v>0</v>
      </c>
      <c r="AA107" s="6">
        <f ca="1">SUBTOTAL(9,INDEX(Main[بدهی تسویه نشده (کیلوگرم)],1):Main[[#This Row],[بدهی تسویه نشده (کیلوگرم)]])</f>
        <v>0</v>
      </c>
      <c r="AB107" s="6">
        <f ca="1">IF(Main[[#This Row],[مانده در خط تسویه نشده (کیلوگرم)]]&lt;&gt;0,Main[[#This Row],[تعداد کل روزهای بدهکار (روز)]],0)</f>
        <v>0</v>
      </c>
      <c r="AC107" s="6">
        <f ca="1">Main[[#This Row],[تعداد روزهای بدهکار  تسویه نشده (روز)]]*Main[[#This Row],[مانده در خط تسویه نشده (کیلوگرم)]]</f>
        <v>0</v>
      </c>
      <c r="AD107" s="6">
        <f ca="1">SUBTOTAL(9,INDEX(Main[بدهی سررسید شده (کیلوگرم)],1):Main[[#This Row],[بدهی سررسید شده (کیلوگرم)]])</f>
        <v>0</v>
      </c>
      <c r="AE107" s="6">
        <f ca="1">IF(Main[[#This Row],[مانده در خط سررسید شده (کیلوگرم)]]&lt;&gt;0,Main[[#This Row],[تعداد کل روزهای بدهکار (روز)]],0)</f>
        <v>0</v>
      </c>
      <c r="AF107" s="6">
        <f ca="1">Main[[#This Row],[تعداد روزهای بدهکار سررسید شده (روز)]]*Main[[#This Row],[مانده در خط سررسید شده (کیلوگرم)]]</f>
        <v>0</v>
      </c>
    </row>
    <row r="108" spans="1:32" hidden="1" x14ac:dyDescent="0.35">
      <c r="A108" s="5">
        <f>ROW()-ROW(INDEX(Main[ردیف],1))+1</f>
        <v>106</v>
      </c>
      <c r="B108" s="31">
        <f>SUBTOTAL(2,INDEX(Main[ردیف],1):Main[[#This Row],[ردیف]])</f>
        <v>2</v>
      </c>
      <c r="C108" s="32" t="s">
        <v>445</v>
      </c>
      <c r="D108" s="32" t="str">
        <f>_xlfn.CONCAT("14",Main[[#This Row],[تاريخ]])</f>
        <v>1400/01/16</v>
      </c>
      <c r="E108" s="33">
        <v>44291</v>
      </c>
      <c r="F108" s="32">
        <v>30146</v>
      </c>
      <c r="G108" s="5" t="str">
        <f>INDEX(customer[عنوان],MATCH(Main[[#This Row],[کد ردیابی]],customer[کد],0))</f>
        <v>شرکت آذرپاد</v>
      </c>
      <c r="H108">
        <v>-3184</v>
      </c>
      <c r="I108" s="6">
        <f ca="1">-Main[[#This Row],[بدهی تسویه شده (کیلوگرم)]]+Main[[#This Row],[بستانکار (کیلوگرم)]]</f>
        <v>-3184</v>
      </c>
      <c r="J108" s="6">
        <f>IF(Main[[#This Row],[مقدار (کیلوگرم)]]&gt;0,Main[[#This Row],[مقدار (کیلوگرم)]],0)</f>
        <v>0</v>
      </c>
      <c r="K108" s="6">
        <f>-IF(Main[[#This Row],[مقدار (کیلوگرم)]]&lt;0,Main[[#This Row],[مقدار (کیلوگرم)]],0)</f>
        <v>3184</v>
      </c>
      <c r="L1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" s="7">
        <f>-IF(AND(Main[[#This Row],[مقدار (کیلوگرم)]]&lt;0,Main[[#This Row],[تاريخ میلادی]]&gt;44276),Main[[#This Row],[مقدار (کیلوگرم)]],0)</f>
        <v>3184</v>
      </c>
      <c r="N108" s="6">
        <f ca="1">Main[[#This Row],[بدهکار (کیلوگرم)]]-Main[[#This Row],[بدهی تسویه نشده (کیلوگرم)]]</f>
        <v>3184</v>
      </c>
      <c r="O108" s="6">
        <f ca="1">Main[[#This Row],[تفکیک]]</f>
        <v>0</v>
      </c>
      <c r="P108" s="6">
        <f ca="1">IF(Main[[#This Row],[تاخیر از سررسید]]&gt;0,Main[[#This Row],[بدهی تسویه نشده (کیلوگرم)]],0)</f>
        <v>0</v>
      </c>
      <c r="Q108" s="6">
        <f ca="1">IF(Main[[#This Row],[بدهی تسویه نشده (کیلوگرم)]]&gt;0,'گزارش فردی'!$B$7-Main[[#This Row],[تاريخ میلادی]],0)</f>
        <v>0</v>
      </c>
      <c r="R108" s="6">
        <f ca="1">IF(Main[[#This Row],[بدهی تسویه نشده (کیلوگرم)]]&gt;0,'گزارش فردی'!$B$7-Main[[#This Row],[تاريخ میلادی]]-'گزارش فردی'!$B$8,0)</f>
        <v>0</v>
      </c>
      <c r="S108" s="6">
        <f ca="1">Main[[#This Row],[روز از ارسال سفارش]]*Main[[#This Row],[بدهی تسویه نشده (کیلوگرم)]]</f>
        <v>0</v>
      </c>
      <c r="T108" s="6">
        <f ca="1">Main[[#This Row],[بدهی سررسید شده (کیلوگرم)]]*Main[[#This Row],[روز از ارسال سفارش]]</f>
        <v>0</v>
      </c>
      <c r="U108" s="6">
        <f>-SUBTOTAL(9,INDEX(Main[مقدار (کیلوگرم)],1):Main[[#This Row],[مقدار (کیلوگرم)]])</f>
        <v>20615</v>
      </c>
      <c r="V1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" s="6">
        <f>Main[[#This Row],[تعداد کل روزهای بدهکار (روز)]]*Main[[#This Row],[مانده در خط کل (کیلوگرم)]]</f>
        <v>0</v>
      </c>
      <c r="X108" s="6">
        <f ca="1">-SUBTOTAL(9,INDEX(Main[مقدار تسویه شده (کیلوگرم)],1):Main[[#This Row],[مقدار تسویه شده (کیلوگرم)]])</f>
        <v>20615</v>
      </c>
      <c r="Y108" s="6">
        <f ca="1">IF(Main[[#This Row],[مانده در خط تسویه شده (کیلوگرم)]]&lt;&gt;0,Main[[#This Row],[تعداد کل روزهای بدهکار (روز)]],0)</f>
        <v>0</v>
      </c>
      <c r="Z108" s="6">
        <f ca="1">Main[[#This Row],[تعداد روزهای بدهکار تسویه شده (روز)]]*Main[[#This Row],[مانده در خط تسویه شده (کیلوگرم)]]</f>
        <v>0</v>
      </c>
      <c r="AA108" s="6">
        <f ca="1">SUBTOTAL(9,INDEX(Main[بدهی تسویه نشده (کیلوگرم)],1):Main[[#This Row],[بدهی تسویه نشده (کیلوگرم)]])</f>
        <v>0</v>
      </c>
      <c r="AB108" s="6">
        <f ca="1">IF(Main[[#This Row],[مانده در خط تسویه نشده (کیلوگرم)]]&lt;&gt;0,Main[[#This Row],[تعداد کل روزهای بدهکار (روز)]],0)</f>
        <v>0</v>
      </c>
      <c r="AC108" s="6">
        <f ca="1">Main[[#This Row],[تعداد روزهای بدهکار  تسویه نشده (روز)]]*Main[[#This Row],[مانده در خط تسویه نشده (کیلوگرم)]]</f>
        <v>0</v>
      </c>
      <c r="AD108" s="6">
        <f ca="1">SUBTOTAL(9,INDEX(Main[بدهی سررسید شده (کیلوگرم)],1):Main[[#This Row],[بدهی سررسید شده (کیلوگرم)]])</f>
        <v>0</v>
      </c>
      <c r="AE108" s="6">
        <f ca="1">IF(Main[[#This Row],[مانده در خط سررسید شده (کیلوگرم)]]&lt;&gt;0,Main[[#This Row],[تعداد کل روزهای بدهکار (روز)]],0)</f>
        <v>0</v>
      </c>
      <c r="AF108" s="6">
        <f ca="1">Main[[#This Row],[تعداد روزهای بدهکار سررسید شده (روز)]]*Main[[#This Row],[مانده در خط سررسید شده (کیلوگرم)]]</f>
        <v>0</v>
      </c>
    </row>
    <row r="109" spans="1:32" x14ac:dyDescent="0.35">
      <c r="A109" s="5">
        <f>ROW()-ROW(INDEX(Main[ردیف],1))+1</f>
        <v>107</v>
      </c>
      <c r="B109" s="31">
        <f>SUBTOTAL(2,INDEX(Main[ردیف],1):Main[[#This Row],[ردیف]])</f>
        <v>3</v>
      </c>
      <c r="C109" s="32" t="s">
        <v>445</v>
      </c>
      <c r="D109" s="32" t="str">
        <f>_xlfn.CONCAT("14",Main[[#This Row],[تاريخ]])</f>
        <v>1400/01/16</v>
      </c>
      <c r="E109" s="33">
        <v>44291</v>
      </c>
      <c r="F109" s="32">
        <v>10003</v>
      </c>
      <c r="G109" s="5" t="str">
        <f>INDEX(customer[عنوان],MATCH(Main[[#This Row],[کد ردیابی]],customer[کد],0))</f>
        <v>اصغر نورعلی</v>
      </c>
      <c r="H109">
        <v>1585</v>
      </c>
      <c r="I109" s="6">
        <f ca="1">-Main[[#This Row],[بدهی تسویه شده (کیلوگرم)]]+Main[[#This Row],[بستانکار (کیلوگرم)]]</f>
        <v>1585</v>
      </c>
      <c r="J109" s="6">
        <f>IF(Main[[#This Row],[مقدار (کیلوگرم)]]&gt;0,Main[[#This Row],[مقدار (کیلوگرم)]],0)</f>
        <v>1585</v>
      </c>
      <c r="K109" s="6">
        <f>-IF(Main[[#This Row],[مقدار (کیلوگرم)]]&lt;0,Main[[#This Row],[مقدار (کیلوگرم)]],0)</f>
        <v>0</v>
      </c>
      <c r="L1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" s="7">
        <f>-IF(AND(Main[[#This Row],[مقدار (کیلوگرم)]]&lt;0,Main[[#This Row],[تاريخ میلادی]]&gt;44276),Main[[#This Row],[مقدار (کیلوگرم)]],0)</f>
        <v>0</v>
      </c>
      <c r="N109" s="6">
        <f ca="1">Main[[#This Row],[بدهکار (کیلوگرم)]]-Main[[#This Row],[بدهی تسویه نشده (کیلوگرم)]]</f>
        <v>0</v>
      </c>
      <c r="O109" s="6">
        <f ca="1">Main[[#This Row],[تفکیک]]</f>
        <v>0</v>
      </c>
      <c r="P109" s="6">
        <f ca="1">IF(Main[[#This Row],[تاخیر از سررسید]]&gt;0,Main[[#This Row],[بدهی تسویه نشده (کیلوگرم)]],0)</f>
        <v>0</v>
      </c>
      <c r="Q109" s="6">
        <f ca="1">IF(Main[[#This Row],[بدهی تسویه نشده (کیلوگرم)]]&gt;0,'گزارش فردی'!$B$7-Main[[#This Row],[تاريخ میلادی]],0)</f>
        <v>0</v>
      </c>
      <c r="R109" s="6">
        <f ca="1">IF(Main[[#This Row],[بدهی تسویه نشده (کیلوگرم)]]&gt;0,'گزارش فردی'!$B$7-Main[[#This Row],[تاريخ میلادی]]-'گزارش فردی'!$B$8,0)</f>
        <v>0</v>
      </c>
      <c r="S109" s="6">
        <f ca="1">Main[[#This Row],[روز از ارسال سفارش]]*Main[[#This Row],[بدهی تسویه نشده (کیلوگرم)]]</f>
        <v>0</v>
      </c>
      <c r="T109" s="6">
        <f ca="1">Main[[#This Row],[بدهی سررسید شده (کیلوگرم)]]*Main[[#This Row],[روز از ارسال سفارش]]</f>
        <v>0</v>
      </c>
      <c r="U109" s="6">
        <f>-SUBTOTAL(9,INDEX(Main[مقدار (کیلوگرم)],1):Main[[#This Row],[مقدار (کیلوگرم)]])</f>
        <v>19030</v>
      </c>
      <c r="V1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" s="6">
        <f>Main[[#This Row],[تعداد کل روزهای بدهکار (روز)]]*Main[[#This Row],[مانده در خط کل (کیلوگرم)]]</f>
        <v>0</v>
      </c>
      <c r="X109" s="6">
        <f ca="1">-SUBTOTAL(9,INDEX(Main[مقدار تسویه شده (کیلوگرم)],1):Main[[#This Row],[مقدار تسویه شده (کیلوگرم)]])</f>
        <v>19030</v>
      </c>
      <c r="Y109" s="6">
        <f ca="1">IF(Main[[#This Row],[مانده در خط تسویه شده (کیلوگرم)]]&lt;&gt;0,Main[[#This Row],[تعداد کل روزهای بدهکار (روز)]],0)</f>
        <v>0</v>
      </c>
      <c r="Z109" s="6">
        <f ca="1">Main[[#This Row],[تعداد روزهای بدهکار تسویه شده (روز)]]*Main[[#This Row],[مانده در خط تسویه شده (کیلوگرم)]]</f>
        <v>0</v>
      </c>
      <c r="AA109" s="6">
        <f ca="1">SUBTOTAL(9,INDEX(Main[بدهی تسویه نشده (کیلوگرم)],1):Main[[#This Row],[بدهی تسویه نشده (کیلوگرم)]])</f>
        <v>0</v>
      </c>
      <c r="AB109" s="6">
        <f ca="1">IF(Main[[#This Row],[مانده در خط تسویه نشده (کیلوگرم)]]&lt;&gt;0,Main[[#This Row],[تعداد کل روزهای بدهکار (روز)]],0)</f>
        <v>0</v>
      </c>
      <c r="AC109" s="6">
        <f ca="1">Main[[#This Row],[تعداد روزهای بدهکار  تسویه نشده (روز)]]*Main[[#This Row],[مانده در خط تسویه نشده (کیلوگرم)]]</f>
        <v>0</v>
      </c>
      <c r="AD109" s="6">
        <f ca="1">SUBTOTAL(9,INDEX(Main[بدهی سررسید شده (کیلوگرم)],1):Main[[#This Row],[بدهی سررسید شده (کیلوگرم)]])</f>
        <v>0</v>
      </c>
      <c r="AE109" s="6">
        <f ca="1">IF(Main[[#This Row],[مانده در خط سررسید شده (کیلوگرم)]]&lt;&gt;0,Main[[#This Row],[تعداد کل روزهای بدهکار (روز)]],0)</f>
        <v>0</v>
      </c>
      <c r="AF109" s="6">
        <f ca="1">Main[[#This Row],[تعداد روزهای بدهکار سررسید شده (روز)]]*Main[[#This Row],[مانده در خط سررسید شده (کیلوگرم)]]</f>
        <v>0</v>
      </c>
    </row>
    <row r="110" spans="1:32" hidden="1" x14ac:dyDescent="0.35">
      <c r="A110" s="5">
        <f>ROW()-ROW(INDEX(Main[ردیف],1))+1</f>
        <v>108</v>
      </c>
      <c r="B110" s="31">
        <f>SUBTOTAL(2,INDEX(Main[ردیف],1):Main[[#This Row],[ردیف]])</f>
        <v>3</v>
      </c>
      <c r="C110" s="32" t="s">
        <v>445</v>
      </c>
      <c r="D110" s="32" t="str">
        <f>_xlfn.CONCAT("14",Main[[#This Row],[تاريخ]])</f>
        <v>1400/01/16</v>
      </c>
      <c r="E110" s="33">
        <v>44291</v>
      </c>
      <c r="F110" s="32">
        <v>30009</v>
      </c>
      <c r="G110" s="5" t="str">
        <f>INDEX(customer[عنوان],MATCH(Main[[#This Row],[کد ردیابی]],customer[کد],0))</f>
        <v>شرکت ایمن تک پیشرو</v>
      </c>
      <c r="H110">
        <v>-2142</v>
      </c>
      <c r="I110" s="6">
        <f ca="1">-Main[[#This Row],[بدهی تسویه شده (کیلوگرم)]]+Main[[#This Row],[بستانکار (کیلوگرم)]]</f>
        <v>-2142</v>
      </c>
      <c r="J110" s="6">
        <f>IF(Main[[#This Row],[مقدار (کیلوگرم)]]&gt;0,Main[[#This Row],[مقدار (کیلوگرم)]],0)</f>
        <v>0</v>
      </c>
      <c r="K110" s="6">
        <f>-IF(Main[[#This Row],[مقدار (کیلوگرم)]]&lt;0,Main[[#This Row],[مقدار (کیلوگرم)]],0)</f>
        <v>2142</v>
      </c>
      <c r="L1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" s="7">
        <f>-IF(AND(Main[[#This Row],[مقدار (کیلوگرم)]]&lt;0,Main[[#This Row],[تاريخ میلادی]]&gt;44276),Main[[#This Row],[مقدار (کیلوگرم)]],0)</f>
        <v>2142</v>
      </c>
      <c r="N110" s="6">
        <f ca="1">Main[[#This Row],[بدهکار (کیلوگرم)]]-Main[[#This Row],[بدهی تسویه نشده (کیلوگرم)]]</f>
        <v>2142</v>
      </c>
      <c r="O110" s="6">
        <f ca="1">Main[[#This Row],[تفکیک]]</f>
        <v>0</v>
      </c>
      <c r="P110" s="6">
        <f ca="1">IF(Main[[#This Row],[تاخیر از سررسید]]&gt;0,Main[[#This Row],[بدهی تسویه نشده (کیلوگرم)]],0)</f>
        <v>0</v>
      </c>
      <c r="Q110" s="6">
        <f ca="1">IF(Main[[#This Row],[بدهی تسویه نشده (کیلوگرم)]]&gt;0,'گزارش فردی'!$B$7-Main[[#This Row],[تاريخ میلادی]],0)</f>
        <v>0</v>
      </c>
      <c r="R110" s="6">
        <f ca="1">IF(Main[[#This Row],[بدهی تسویه نشده (کیلوگرم)]]&gt;0,'گزارش فردی'!$B$7-Main[[#This Row],[تاريخ میلادی]]-'گزارش فردی'!$B$8,0)</f>
        <v>0</v>
      </c>
      <c r="S110" s="6">
        <f ca="1">Main[[#This Row],[روز از ارسال سفارش]]*Main[[#This Row],[بدهی تسویه نشده (کیلوگرم)]]</f>
        <v>0</v>
      </c>
      <c r="T110" s="6">
        <f ca="1">Main[[#This Row],[بدهی سررسید شده (کیلوگرم)]]*Main[[#This Row],[روز از ارسال سفارش]]</f>
        <v>0</v>
      </c>
      <c r="U110" s="6">
        <f>-SUBTOTAL(9,INDEX(Main[مقدار (کیلوگرم)],1):Main[[#This Row],[مقدار (کیلوگرم)]])</f>
        <v>19030</v>
      </c>
      <c r="V1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0" s="6">
        <f>Main[[#This Row],[تعداد کل روزهای بدهکار (روز)]]*Main[[#This Row],[مانده در خط کل (کیلوگرم)]]</f>
        <v>0</v>
      </c>
      <c r="X110" s="6">
        <f ca="1">-SUBTOTAL(9,INDEX(Main[مقدار تسویه شده (کیلوگرم)],1):Main[[#This Row],[مقدار تسویه شده (کیلوگرم)]])</f>
        <v>19030</v>
      </c>
      <c r="Y110" s="6">
        <f ca="1">IF(Main[[#This Row],[مانده در خط تسویه شده (کیلوگرم)]]&lt;&gt;0,Main[[#This Row],[تعداد کل روزهای بدهکار (روز)]],0)</f>
        <v>0</v>
      </c>
      <c r="Z110" s="6">
        <f ca="1">Main[[#This Row],[تعداد روزهای بدهکار تسویه شده (روز)]]*Main[[#This Row],[مانده در خط تسویه شده (کیلوگرم)]]</f>
        <v>0</v>
      </c>
      <c r="AA110" s="6">
        <f ca="1">SUBTOTAL(9,INDEX(Main[بدهی تسویه نشده (کیلوگرم)],1):Main[[#This Row],[بدهی تسویه نشده (کیلوگرم)]])</f>
        <v>0</v>
      </c>
      <c r="AB110" s="6">
        <f ca="1">IF(Main[[#This Row],[مانده در خط تسویه نشده (کیلوگرم)]]&lt;&gt;0,Main[[#This Row],[تعداد کل روزهای بدهکار (روز)]],0)</f>
        <v>0</v>
      </c>
      <c r="AC110" s="6">
        <f ca="1">Main[[#This Row],[تعداد روزهای بدهکار  تسویه نشده (روز)]]*Main[[#This Row],[مانده در خط تسویه نشده (کیلوگرم)]]</f>
        <v>0</v>
      </c>
      <c r="AD110" s="6">
        <f ca="1">SUBTOTAL(9,INDEX(Main[بدهی سررسید شده (کیلوگرم)],1):Main[[#This Row],[بدهی سررسید شده (کیلوگرم)]])</f>
        <v>0</v>
      </c>
      <c r="AE110" s="6">
        <f ca="1">IF(Main[[#This Row],[مانده در خط سررسید شده (کیلوگرم)]]&lt;&gt;0,Main[[#This Row],[تعداد کل روزهای بدهکار (روز)]],0)</f>
        <v>0</v>
      </c>
      <c r="AF110" s="6">
        <f ca="1">Main[[#This Row],[تعداد روزهای بدهکار سررسید شده (روز)]]*Main[[#This Row],[مانده در خط سررسید شده (کیلوگرم)]]</f>
        <v>0</v>
      </c>
    </row>
    <row r="111" spans="1:32" x14ac:dyDescent="0.35">
      <c r="A111" s="5">
        <f>ROW()-ROW(INDEX(Main[ردیف],1))+1</f>
        <v>109</v>
      </c>
      <c r="B111" s="31">
        <f>SUBTOTAL(2,INDEX(Main[ردیف],1):Main[[#This Row],[ردیف]])</f>
        <v>4</v>
      </c>
      <c r="C111" s="32" t="s">
        <v>445</v>
      </c>
      <c r="D111" s="32" t="str">
        <f>_xlfn.CONCAT("14",Main[[#This Row],[تاريخ]])</f>
        <v>1400/01/16</v>
      </c>
      <c r="E111" s="33">
        <v>44291</v>
      </c>
      <c r="F111" s="32">
        <v>10003</v>
      </c>
      <c r="G111" s="5" t="str">
        <f>INDEX(customer[عنوان],MATCH(Main[[#This Row],[کد ردیابی]],customer[کد],0))</f>
        <v>اصغر نورعلی</v>
      </c>
      <c r="H111">
        <v>-3552</v>
      </c>
      <c r="I111" s="6">
        <f ca="1">-Main[[#This Row],[بدهی تسویه شده (کیلوگرم)]]+Main[[#This Row],[بستانکار (کیلوگرم)]]</f>
        <v>-3552</v>
      </c>
      <c r="J111" s="6">
        <f>IF(Main[[#This Row],[مقدار (کیلوگرم)]]&gt;0,Main[[#This Row],[مقدار (کیلوگرم)]],0)</f>
        <v>0</v>
      </c>
      <c r="K111" s="6">
        <f>-IF(Main[[#This Row],[مقدار (کیلوگرم)]]&lt;0,Main[[#This Row],[مقدار (کیلوگرم)]],0)</f>
        <v>3552</v>
      </c>
      <c r="L1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" s="7">
        <f>-IF(AND(Main[[#This Row],[مقدار (کیلوگرم)]]&lt;0,Main[[#This Row],[تاريخ میلادی]]&gt;44276),Main[[#This Row],[مقدار (کیلوگرم)]],0)</f>
        <v>3552</v>
      </c>
      <c r="N111" s="6">
        <f ca="1">Main[[#This Row],[بدهکار (کیلوگرم)]]-Main[[#This Row],[بدهی تسویه نشده (کیلوگرم)]]</f>
        <v>3552</v>
      </c>
      <c r="O111" s="6">
        <f ca="1">Main[[#This Row],[تفکیک]]</f>
        <v>0</v>
      </c>
      <c r="P111" s="6">
        <f ca="1">IF(Main[[#This Row],[تاخیر از سررسید]]&gt;0,Main[[#This Row],[بدهی تسویه نشده (کیلوگرم)]],0)</f>
        <v>0</v>
      </c>
      <c r="Q111" s="6">
        <f ca="1">IF(Main[[#This Row],[بدهی تسویه نشده (کیلوگرم)]]&gt;0,'گزارش فردی'!$B$7-Main[[#This Row],[تاريخ میلادی]],0)</f>
        <v>0</v>
      </c>
      <c r="R111" s="6">
        <f ca="1">IF(Main[[#This Row],[بدهی تسویه نشده (کیلوگرم)]]&gt;0,'گزارش فردی'!$B$7-Main[[#This Row],[تاريخ میلادی]]-'گزارش فردی'!$B$8,0)</f>
        <v>0</v>
      </c>
      <c r="S111" s="6">
        <f ca="1">Main[[#This Row],[روز از ارسال سفارش]]*Main[[#This Row],[بدهی تسویه نشده (کیلوگرم)]]</f>
        <v>0</v>
      </c>
      <c r="T111" s="6">
        <f ca="1">Main[[#This Row],[بدهی سررسید شده (کیلوگرم)]]*Main[[#This Row],[روز از ارسال سفارش]]</f>
        <v>0</v>
      </c>
      <c r="U111" s="6">
        <f>-SUBTOTAL(9,INDEX(Main[مقدار (کیلوگرم)],1):Main[[#This Row],[مقدار (کیلوگرم)]])</f>
        <v>22582</v>
      </c>
      <c r="V1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1" s="6">
        <f>Main[[#This Row],[تعداد کل روزهای بدهکار (روز)]]*Main[[#This Row],[مانده در خط کل (کیلوگرم)]]</f>
        <v>45164</v>
      </c>
      <c r="X111" s="6">
        <f ca="1">-SUBTOTAL(9,INDEX(Main[مقدار تسویه شده (کیلوگرم)],1):Main[[#This Row],[مقدار تسویه شده (کیلوگرم)]])</f>
        <v>22582</v>
      </c>
      <c r="Y111" s="6">
        <f ca="1">IF(Main[[#This Row],[مانده در خط تسویه شده (کیلوگرم)]]&lt;&gt;0,Main[[#This Row],[تعداد کل روزهای بدهکار (روز)]],0)</f>
        <v>2</v>
      </c>
      <c r="Z111" s="6">
        <f ca="1">Main[[#This Row],[تعداد روزهای بدهکار تسویه شده (روز)]]*Main[[#This Row],[مانده در خط تسویه شده (کیلوگرم)]]</f>
        <v>45164</v>
      </c>
      <c r="AA111" s="6">
        <f ca="1">SUBTOTAL(9,INDEX(Main[بدهی تسویه نشده (کیلوگرم)],1):Main[[#This Row],[بدهی تسویه نشده (کیلوگرم)]])</f>
        <v>0</v>
      </c>
      <c r="AB111" s="6">
        <f ca="1">IF(Main[[#This Row],[مانده در خط تسویه نشده (کیلوگرم)]]&lt;&gt;0,Main[[#This Row],[تعداد کل روزهای بدهکار (روز)]],0)</f>
        <v>0</v>
      </c>
      <c r="AC111" s="6">
        <f ca="1">Main[[#This Row],[تعداد روزهای بدهکار  تسویه نشده (روز)]]*Main[[#This Row],[مانده در خط تسویه نشده (کیلوگرم)]]</f>
        <v>0</v>
      </c>
      <c r="AD111" s="6">
        <f ca="1">SUBTOTAL(9,INDEX(Main[بدهی سررسید شده (کیلوگرم)],1):Main[[#This Row],[بدهی سررسید شده (کیلوگرم)]])</f>
        <v>0</v>
      </c>
      <c r="AE111" s="6">
        <f ca="1">IF(Main[[#This Row],[مانده در خط سررسید شده (کیلوگرم)]]&lt;&gt;0,Main[[#This Row],[تعداد کل روزهای بدهکار (روز)]],0)</f>
        <v>0</v>
      </c>
      <c r="AF111" s="6">
        <f ca="1">Main[[#This Row],[تعداد روزهای بدهکار سررسید شده (روز)]]*Main[[#This Row],[مانده در خط سررسید شده (کیلوگرم)]]</f>
        <v>0</v>
      </c>
    </row>
    <row r="112" spans="1:32" hidden="1" x14ac:dyDescent="0.35">
      <c r="A112" s="5">
        <f>ROW()-ROW(INDEX(Main[ردیف],1))+1</f>
        <v>110</v>
      </c>
      <c r="B112" s="31">
        <f>SUBTOTAL(2,INDEX(Main[ردیف],1):Main[[#This Row],[ردیف]])</f>
        <v>4</v>
      </c>
      <c r="C112" s="32" t="s">
        <v>447</v>
      </c>
      <c r="D112" s="32" t="str">
        <f>_xlfn.CONCAT("14",Main[[#This Row],[تاريخ]])</f>
        <v>1400/01/17</v>
      </c>
      <c r="E112" s="33">
        <v>44292</v>
      </c>
      <c r="F112" s="32">
        <v>30070</v>
      </c>
      <c r="G112" s="5" t="str">
        <f>INDEX(customer[عنوان],MATCH(Main[[#This Row],[کد ردیابی]],customer[کد],0))</f>
        <v xml:space="preserve">تکنو تراش یادگار </v>
      </c>
      <c r="H112">
        <v>998</v>
      </c>
      <c r="I112" s="6">
        <f ca="1">-Main[[#This Row],[بدهی تسویه شده (کیلوگرم)]]+Main[[#This Row],[بستانکار (کیلوگرم)]]</f>
        <v>998</v>
      </c>
      <c r="J112" s="6">
        <f>IF(Main[[#This Row],[مقدار (کیلوگرم)]]&gt;0,Main[[#This Row],[مقدار (کیلوگرم)]],0)</f>
        <v>998</v>
      </c>
      <c r="K112" s="6">
        <f>-IF(Main[[#This Row],[مقدار (کیلوگرم)]]&lt;0,Main[[#This Row],[مقدار (کیلوگرم)]],0)</f>
        <v>0</v>
      </c>
      <c r="L1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" s="7">
        <f>-IF(AND(Main[[#This Row],[مقدار (کیلوگرم)]]&lt;0,Main[[#This Row],[تاريخ میلادی]]&gt;44276),Main[[#This Row],[مقدار (کیلوگرم)]],0)</f>
        <v>0</v>
      </c>
      <c r="N112" s="6">
        <f ca="1">Main[[#This Row],[بدهکار (کیلوگرم)]]-Main[[#This Row],[بدهی تسویه نشده (کیلوگرم)]]</f>
        <v>0</v>
      </c>
      <c r="O112" s="6">
        <f ca="1">Main[[#This Row],[تفکیک]]</f>
        <v>0</v>
      </c>
      <c r="P112" s="6">
        <f ca="1">IF(Main[[#This Row],[تاخیر از سررسید]]&gt;0,Main[[#This Row],[بدهی تسویه نشده (کیلوگرم)]],0)</f>
        <v>0</v>
      </c>
      <c r="Q112" s="6">
        <f ca="1">IF(Main[[#This Row],[بدهی تسویه نشده (کیلوگرم)]]&gt;0,'گزارش فردی'!$B$7-Main[[#This Row],[تاريخ میلادی]],0)</f>
        <v>0</v>
      </c>
      <c r="R112" s="6">
        <f ca="1">IF(Main[[#This Row],[بدهی تسویه نشده (کیلوگرم)]]&gt;0,'گزارش فردی'!$B$7-Main[[#This Row],[تاريخ میلادی]]-'گزارش فردی'!$B$8,0)</f>
        <v>0</v>
      </c>
      <c r="S112" s="6">
        <f ca="1">Main[[#This Row],[روز از ارسال سفارش]]*Main[[#This Row],[بدهی تسویه نشده (کیلوگرم)]]</f>
        <v>0</v>
      </c>
      <c r="T112" s="6">
        <f ca="1">Main[[#This Row],[بدهی سررسید شده (کیلوگرم)]]*Main[[#This Row],[روز از ارسال سفارش]]</f>
        <v>0</v>
      </c>
      <c r="U112" s="6">
        <f>-SUBTOTAL(9,INDEX(Main[مقدار (کیلوگرم)],1):Main[[#This Row],[مقدار (کیلوگرم)]])</f>
        <v>22582</v>
      </c>
      <c r="V1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" s="6">
        <f>Main[[#This Row],[تعداد کل روزهای بدهکار (روز)]]*Main[[#This Row],[مانده در خط کل (کیلوگرم)]]</f>
        <v>22582</v>
      </c>
      <c r="X112" s="6">
        <f ca="1">-SUBTOTAL(9,INDEX(Main[مقدار تسویه شده (کیلوگرم)],1):Main[[#This Row],[مقدار تسویه شده (کیلوگرم)]])</f>
        <v>22582</v>
      </c>
      <c r="Y112" s="6">
        <f ca="1">IF(Main[[#This Row],[مانده در خط تسویه شده (کیلوگرم)]]&lt;&gt;0,Main[[#This Row],[تعداد کل روزهای بدهکار (روز)]],0)</f>
        <v>1</v>
      </c>
      <c r="Z112" s="6">
        <f ca="1">Main[[#This Row],[تعداد روزهای بدهکار تسویه شده (روز)]]*Main[[#This Row],[مانده در خط تسویه شده (کیلوگرم)]]</f>
        <v>22582</v>
      </c>
      <c r="AA112" s="6">
        <f ca="1">SUBTOTAL(9,INDEX(Main[بدهی تسویه نشده (کیلوگرم)],1):Main[[#This Row],[بدهی تسویه نشده (کیلوگرم)]])</f>
        <v>0</v>
      </c>
      <c r="AB112" s="6">
        <f ca="1">IF(Main[[#This Row],[مانده در خط تسویه نشده (کیلوگرم)]]&lt;&gt;0,Main[[#This Row],[تعداد کل روزهای بدهکار (روز)]],0)</f>
        <v>0</v>
      </c>
      <c r="AC112" s="6">
        <f ca="1">Main[[#This Row],[تعداد روزهای بدهکار  تسویه نشده (روز)]]*Main[[#This Row],[مانده در خط تسویه نشده (کیلوگرم)]]</f>
        <v>0</v>
      </c>
      <c r="AD112" s="6">
        <f ca="1">SUBTOTAL(9,INDEX(Main[بدهی سررسید شده (کیلوگرم)],1):Main[[#This Row],[بدهی سررسید شده (کیلوگرم)]])</f>
        <v>0</v>
      </c>
      <c r="AE112" s="6">
        <f ca="1">IF(Main[[#This Row],[مانده در خط سررسید شده (کیلوگرم)]]&lt;&gt;0,Main[[#This Row],[تعداد کل روزهای بدهکار (روز)]],0)</f>
        <v>0</v>
      </c>
      <c r="AF112" s="6">
        <f ca="1">Main[[#This Row],[تعداد روزهای بدهکار سررسید شده (روز)]]*Main[[#This Row],[مانده در خط سررسید شده (کیلوگرم)]]</f>
        <v>0</v>
      </c>
    </row>
    <row r="113" spans="1:32" hidden="1" x14ac:dyDescent="0.35">
      <c r="A113" s="5">
        <f>ROW()-ROW(INDEX(Main[ردیف],1))+1</f>
        <v>111</v>
      </c>
      <c r="B113" s="31">
        <f>SUBTOTAL(2,INDEX(Main[ردیف],1):Main[[#This Row],[ردیف]])</f>
        <v>4</v>
      </c>
      <c r="C113" s="32" t="s">
        <v>447</v>
      </c>
      <c r="D113" s="32" t="str">
        <f>_xlfn.CONCAT("14",Main[[#This Row],[تاريخ]])</f>
        <v>1400/01/17</v>
      </c>
      <c r="E113" s="33">
        <v>44292</v>
      </c>
      <c r="F113" s="32">
        <v>30009</v>
      </c>
      <c r="G113" s="5" t="str">
        <f>INDEX(customer[عنوان],MATCH(Main[[#This Row],[کد ردیابی]],customer[کد],0))</f>
        <v>شرکت ایمن تک پیشرو</v>
      </c>
      <c r="H113">
        <v>-2638</v>
      </c>
      <c r="I113" s="6">
        <f ca="1">-Main[[#This Row],[بدهی تسویه شده (کیلوگرم)]]+Main[[#This Row],[بستانکار (کیلوگرم)]]</f>
        <v>-2638</v>
      </c>
      <c r="J113" s="6">
        <f>IF(Main[[#This Row],[مقدار (کیلوگرم)]]&gt;0,Main[[#This Row],[مقدار (کیلوگرم)]],0)</f>
        <v>0</v>
      </c>
      <c r="K113" s="6">
        <f>-IF(Main[[#This Row],[مقدار (کیلوگرم)]]&lt;0,Main[[#This Row],[مقدار (کیلوگرم)]],0)</f>
        <v>2638</v>
      </c>
      <c r="L1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" s="7">
        <f>-IF(AND(Main[[#This Row],[مقدار (کیلوگرم)]]&lt;0,Main[[#This Row],[تاريخ میلادی]]&gt;44276),Main[[#This Row],[مقدار (کیلوگرم)]],0)</f>
        <v>2638</v>
      </c>
      <c r="N113" s="6">
        <f ca="1">Main[[#This Row],[بدهکار (کیلوگرم)]]-Main[[#This Row],[بدهی تسویه نشده (کیلوگرم)]]</f>
        <v>2638</v>
      </c>
      <c r="O113" s="6">
        <f ca="1">Main[[#This Row],[تفکیک]]</f>
        <v>0</v>
      </c>
      <c r="P113" s="6">
        <f ca="1">IF(Main[[#This Row],[تاخیر از سررسید]]&gt;0,Main[[#This Row],[بدهی تسویه نشده (کیلوگرم)]],0)</f>
        <v>0</v>
      </c>
      <c r="Q113" s="6">
        <f ca="1">IF(Main[[#This Row],[بدهی تسویه نشده (کیلوگرم)]]&gt;0,'گزارش فردی'!$B$7-Main[[#This Row],[تاريخ میلادی]],0)</f>
        <v>0</v>
      </c>
      <c r="R113" s="6">
        <f ca="1">IF(Main[[#This Row],[بدهی تسویه نشده (کیلوگرم)]]&gt;0,'گزارش فردی'!$B$7-Main[[#This Row],[تاريخ میلادی]]-'گزارش فردی'!$B$8,0)</f>
        <v>0</v>
      </c>
      <c r="S113" s="6">
        <f ca="1">Main[[#This Row],[روز از ارسال سفارش]]*Main[[#This Row],[بدهی تسویه نشده (کیلوگرم)]]</f>
        <v>0</v>
      </c>
      <c r="T113" s="6">
        <f ca="1">Main[[#This Row],[بدهی سررسید شده (کیلوگرم)]]*Main[[#This Row],[روز از ارسال سفارش]]</f>
        <v>0</v>
      </c>
      <c r="U113" s="6">
        <f>-SUBTOTAL(9,INDEX(Main[مقدار (کیلوگرم)],1):Main[[#This Row],[مقدار (کیلوگرم)]])</f>
        <v>22582</v>
      </c>
      <c r="V1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3" s="6">
        <f>Main[[#This Row],[تعداد کل روزهای بدهکار (روز)]]*Main[[#This Row],[مانده در خط کل (کیلوگرم)]]</f>
        <v>22582</v>
      </c>
      <c r="X113" s="6">
        <f ca="1">-SUBTOTAL(9,INDEX(Main[مقدار تسویه شده (کیلوگرم)],1):Main[[#This Row],[مقدار تسویه شده (کیلوگرم)]])</f>
        <v>22582</v>
      </c>
      <c r="Y113" s="6">
        <f ca="1">IF(Main[[#This Row],[مانده در خط تسویه شده (کیلوگرم)]]&lt;&gt;0,Main[[#This Row],[تعداد کل روزهای بدهکار (روز)]],0)</f>
        <v>1</v>
      </c>
      <c r="Z113" s="6">
        <f ca="1">Main[[#This Row],[تعداد روزهای بدهکار تسویه شده (روز)]]*Main[[#This Row],[مانده در خط تسویه شده (کیلوگرم)]]</f>
        <v>22582</v>
      </c>
      <c r="AA113" s="6">
        <f ca="1">SUBTOTAL(9,INDEX(Main[بدهی تسویه نشده (کیلوگرم)],1):Main[[#This Row],[بدهی تسویه نشده (کیلوگرم)]])</f>
        <v>0</v>
      </c>
      <c r="AB113" s="6">
        <f ca="1">IF(Main[[#This Row],[مانده در خط تسویه نشده (کیلوگرم)]]&lt;&gt;0,Main[[#This Row],[تعداد کل روزهای بدهکار (روز)]],0)</f>
        <v>0</v>
      </c>
      <c r="AC113" s="6">
        <f ca="1">Main[[#This Row],[تعداد روزهای بدهکار  تسویه نشده (روز)]]*Main[[#This Row],[مانده در خط تسویه نشده (کیلوگرم)]]</f>
        <v>0</v>
      </c>
      <c r="AD113" s="6">
        <f ca="1">SUBTOTAL(9,INDEX(Main[بدهی سررسید شده (کیلوگرم)],1):Main[[#This Row],[بدهی سررسید شده (کیلوگرم)]])</f>
        <v>0</v>
      </c>
      <c r="AE113" s="6">
        <f ca="1">IF(Main[[#This Row],[مانده در خط سررسید شده (کیلوگرم)]]&lt;&gt;0,Main[[#This Row],[تعداد کل روزهای بدهکار (روز)]],0)</f>
        <v>0</v>
      </c>
      <c r="AF113" s="6">
        <f ca="1">Main[[#This Row],[تعداد روزهای بدهکار سررسید شده (روز)]]*Main[[#This Row],[مانده در خط سررسید شده (کیلوگرم)]]</f>
        <v>0</v>
      </c>
    </row>
    <row r="114" spans="1:32" hidden="1" x14ac:dyDescent="0.35">
      <c r="A114" s="5">
        <f>ROW()-ROW(INDEX(Main[ردیف],1))+1</f>
        <v>112</v>
      </c>
      <c r="B114" s="31">
        <f>SUBTOTAL(2,INDEX(Main[ردیف],1):Main[[#This Row],[ردیف]])</f>
        <v>4</v>
      </c>
      <c r="C114" s="32" t="s">
        <v>447</v>
      </c>
      <c r="D114" s="32" t="str">
        <f>_xlfn.CONCAT("14",Main[[#This Row],[تاريخ]])</f>
        <v>1400/01/17</v>
      </c>
      <c r="E114" s="33">
        <v>44292</v>
      </c>
      <c r="F114" s="32">
        <v>10026</v>
      </c>
      <c r="G114" s="5" t="str">
        <f>INDEX(customer[عنوان],MATCH(Main[[#This Row],[کد ردیابی]],customer[کد],0))</f>
        <v xml:space="preserve">محسن فیاض بخش </v>
      </c>
      <c r="H114">
        <v>2500</v>
      </c>
      <c r="I114" s="6">
        <f ca="1">-Main[[#This Row],[بدهی تسویه شده (کیلوگرم)]]+Main[[#This Row],[بستانکار (کیلوگرم)]]</f>
        <v>2500</v>
      </c>
      <c r="J114" s="6">
        <f>IF(Main[[#This Row],[مقدار (کیلوگرم)]]&gt;0,Main[[#This Row],[مقدار (کیلوگرم)]],0)</f>
        <v>2500</v>
      </c>
      <c r="K114" s="6">
        <f>-IF(Main[[#This Row],[مقدار (کیلوگرم)]]&lt;0,Main[[#This Row],[مقدار (کیلوگرم)]],0)</f>
        <v>0</v>
      </c>
      <c r="L1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" s="7">
        <f>-IF(AND(Main[[#This Row],[مقدار (کیلوگرم)]]&lt;0,Main[[#This Row],[تاريخ میلادی]]&gt;44276),Main[[#This Row],[مقدار (کیلوگرم)]],0)</f>
        <v>0</v>
      </c>
      <c r="N114" s="6">
        <f ca="1">Main[[#This Row],[بدهکار (کیلوگرم)]]-Main[[#This Row],[بدهی تسویه نشده (کیلوگرم)]]</f>
        <v>0</v>
      </c>
      <c r="O114" s="6">
        <f ca="1">Main[[#This Row],[تفکیک]]</f>
        <v>0</v>
      </c>
      <c r="P114" s="6">
        <f ca="1">IF(Main[[#This Row],[تاخیر از سررسید]]&gt;0,Main[[#This Row],[بدهی تسویه نشده (کیلوگرم)]],0)</f>
        <v>0</v>
      </c>
      <c r="Q114" s="6">
        <f ca="1">IF(Main[[#This Row],[بدهی تسویه نشده (کیلوگرم)]]&gt;0,'گزارش فردی'!$B$7-Main[[#This Row],[تاريخ میلادی]],0)</f>
        <v>0</v>
      </c>
      <c r="R114" s="6">
        <f ca="1">IF(Main[[#This Row],[بدهی تسویه نشده (کیلوگرم)]]&gt;0,'گزارش فردی'!$B$7-Main[[#This Row],[تاريخ میلادی]]-'گزارش فردی'!$B$8,0)</f>
        <v>0</v>
      </c>
      <c r="S114" s="6">
        <f ca="1">Main[[#This Row],[روز از ارسال سفارش]]*Main[[#This Row],[بدهی تسویه نشده (کیلوگرم)]]</f>
        <v>0</v>
      </c>
      <c r="T114" s="6">
        <f ca="1">Main[[#This Row],[بدهی سررسید شده (کیلوگرم)]]*Main[[#This Row],[روز از ارسال سفارش]]</f>
        <v>0</v>
      </c>
      <c r="U114" s="6">
        <f>-SUBTOTAL(9,INDEX(Main[مقدار (کیلوگرم)],1):Main[[#This Row],[مقدار (کیلوگرم)]])</f>
        <v>22582</v>
      </c>
      <c r="V1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4" s="6">
        <f>Main[[#This Row],[تعداد کل روزهای بدهکار (روز)]]*Main[[#This Row],[مانده در خط کل (کیلوگرم)]]</f>
        <v>22582</v>
      </c>
      <c r="X114" s="6">
        <f ca="1">-SUBTOTAL(9,INDEX(Main[مقدار تسویه شده (کیلوگرم)],1):Main[[#This Row],[مقدار تسویه شده (کیلوگرم)]])</f>
        <v>22582</v>
      </c>
      <c r="Y114" s="6">
        <f ca="1">IF(Main[[#This Row],[مانده در خط تسویه شده (کیلوگرم)]]&lt;&gt;0,Main[[#This Row],[تعداد کل روزهای بدهکار (روز)]],0)</f>
        <v>1</v>
      </c>
      <c r="Z114" s="6">
        <f ca="1">Main[[#This Row],[تعداد روزهای بدهکار تسویه شده (روز)]]*Main[[#This Row],[مانده در خط تسویه شده (کیلوگرم)]]</f>
        <v>22582</v>
      </c>
      <c r="AA114" s="6">
        <f ca="1">SUBTOTAL(9,INDEX(Main[بدهی تسویه نشده (کیلوگرم)],1):Main[[#This Row],[بدهی تسویه نشده (کیلوگرم)]])</f>
        <v>0</v>
      </c>
      <c r="AB114" s="6">
        <f ca="1">IF(Main[[#This Row],[مانده در خط تسویه نشده (کیلوگرم)]]&lt;&gt;0,Main[[#This Row],[تعداد کل روزهای بدهکار (روز)]],0)</f>
        <v>0</v>
      </c>
      <c r="AC114" s="6">
        <f ca="1">Main[[#This Row],[تعداد روزهای بدهکار  تسویه نشده (روز)]]*Main[[#This Row],[مانده در خط تسویه نشده (کیلوگرم)]]</f>
        <v>0</v>
      </c>
      <c r="AD114" s="6">
        <f ca="1">SUBTOTAL(9,INDEX(Main[بدهی سررسید شده (کیلوگرم)],1):Main[[#This Row],[بدهی سررسید شده (کیلوگرم)]])</f>
        <v>0</v>
      </c>
      <c r="AE114" s="6">
        <f ca="1">IF(Main[[#This Row],[مانده در خط سررسید شده (کیلوگرم)]]&lt;&gt;0,Main[[#This Row],[تعداد کل روزهای بدهکار (روز)]],0)</f>
        <v>0</v>
      </c>
      <c r="AF114" s="6">
        <f ca="1">Main[[#This Row],[تعداد روزهای بدهکار سررسید شده (روز)]]*Main[[#This Row],[مانده در خط سررسید شده (کیلوگرم)]]</f>
        <v>0</v>
      </c>
    </row>
    <row r="115" spans="1:32" hidden="1" x14ac:dyDescent="0.35">
      <c r="A115" s="5">
        <f>ROW()-ROW(INDEX(Main[ردیف],1))+1</f>
        <v>113</v>
      </c>
      <c r="B115" s="31">
        <f>SUBTOTAL(2,INDEX(Main[ردیف],1):Main[[#This Row],[ردیف]])</f>
        <v>4</v>
      </c>
      <c r="C115" s="32" t="s">
        <v>447</v>
      </c>
      <c r="D115" s="32" t="str">
        <f>_xlfn.CONCAT("14",Main[[#This Row],[تاريخ]])</f>
        <v>1400/01/17</v>
      </c>
      <c r="E115" s="33">
        <v>44292</v>
      </c>
      <c r="F115" s="32">
        <v>30070</v>
      </c>
      <c r="G115" s="5" t="str">
        <f>INDEX(customer[عنوان],MATCH(Main[[#This Row],[کد ردیابی]],customer[کد],0))</f>
        <v xml:space="preserve">تکنو تراش یادگار </v>
      </c>
      <c r="H115">
        <v>1152</v>
      </c>
      <c r="I115" s="6">
        <f ca="1">-Main[[#This Row],[بدهی تسویه شده (کیلوگرم)]]+Main[[#This Row],[بستانکار (کیلوگرم)]]</f>
        <v>1152</v>
      </c>
      <c r="J115" s="6">
        <f>IF(Main[[#This Row],[مقدار (کیلوگرم)]]&gt;0,Main[[#This Row],[مقدار (کیلوگرم)]],0)</f>
        <v>1152</v>
      </c>
      <c r="K115" s="6">
        <f>-IF(Main[[#This Row],[مقدار (کیلوگرم)]]&lt;0,Main[[#This Row],[مقدار (کیلوگرم)]],0)</f>
        <v>0</v>
      </c>
      <c r="L1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" s="7">
        <f>-IF(AND(Main[[#This Row],[مقدار (کیلوگرم)]]&lt;0,Main[[#This Row],[تاريخ میلادی]]&gt;44276),Main[[#This Row],[مقدار (کیلوگرم)]],0)</f>
        <v>0</v>
      </c>
      <c r="N115" s="6">
        <f ca="1">Main[[#This Row],[بدهکار (کیلوگرم)]]-Main[[#This Row],[بدهی تسویه نشده (کیلوگرم)]]</f>
        <v>0</v>
      </c>
      <c r="O115" s="6">
        <f ca="1">Main[[#This Row],[تفکیک]]</f>
        <v>0</v>
      </c>
      <c r="P115" s="6">
        <f ca="1">IF(Main[[#This Row],[تاخیر از سررسید]]&gt;0,Main[[#This Row],[بدهی تسویه نشده (کیلوگرم)]],0)</f>
        <v>0</v>
      </c>
      <c r="Q115" s="6">
        <f ca="1">IF(Main[[#This Row],[بدهی تسویه نشده (کیلوگرم)]]&gt;0,'گزارش فردی'!$B$7-Main[[#This Row],[تاريخ میلادی]],0)</f>
        <v>0</v>
      </c>
      <c r="R115" s="6">
        <f ca="1">IF(Main[[#This Row],[بدهی تسویه نشده (کیلوگرم)]]&gt;0,'گزارش فردی'!$B$7-Main[[#This Row],[تاريخ میلادی]]-'گزارش فردی'!$B$8,0)</f>
        <v>0</v>
      </c>
      <c r="S115" s="6">
        <f ca="1">Main[[#This Row],[روز از ارسال سفارش]]*Main[[#This Row],[بدهی تسویه نشده (کیلوگرم)]]</f>
        <v>0</v>
      </c>
      <c r="T115" s="6">
        <f ca="1">Main[[#This Row],[بدهی سررسید شده (کیلوگرم)]]*Main[[#This Row],[روز از ارسال سفارش]]</f>
        <v>0</v>
      </c>
      <c r="U115" s="6">
        <f>-SUBTOTAL(9,INDEX(Main[مقدار (کیلوگرم)],1):Main[[#This Row],[مقدار (کیلوگرم)]])</f>
        <v>22582</v>
      </c>
      <c r="V1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5" s="6">
        <f>Main[[#This Row],[تعداد کل روزهای بدهکار (روز)]]*Main[[#This Row],[مانده در خط کل (کیلوگرم)]]</f>
        <v>22582</v>
      </c>
      <c r="X115" s="6">
        <f ca="1">-SUBTOTAL(9,INDEX(Main[مقدار تسویه شده (کیلوگرم)],1):Main[[#This Row],[مقدار تسویه شده (کیلوگرم)]])</f>
        <v>22582</v>
      </c>
      <c r="Y115" s="6">
        <f ca="1">IF(Main[[#This Row],[مانده در خط تسویه شده (کیلوگرم)]]&lt;&gt;0,Main[[#This Row],[تعداد کل روزهای بدهکار (روز)]],0)</f>
        <v>1</v>
      </c>
      <c r="Z115" s="6">
        <f ca="1">Main[[#This Row],[تعداد روزهای بدهکار تسویه شده (روز)]]*Main[[#This Row],[مانده در خط تسویه شده (کیلوگرم)]]</f>
        <v>22582</v>
      </c>
      <c r="AA115" s="6">
        <f ca="1">SUBTOTAL(9,INDEX(Main[بدهی تسویه نشده (کیلوگرم)],1):Main[[#This Row],[بدهی تسویه نشده (کیلوگرم)]])</f>
        <v>0</v>
      </c>
      <c r="AB115" s="6">
        <f ca="1">IF(Main[[#This Row],[مانده در خط تسویه نشده (کیلوگرم)]]&lt;&gt;0,Main[[#This Row],[تعداد کل روزهای بدهکار (روز)]],0)</f>
        <v>0</v>
      </c>
      <c r="AC115" s="6">
        <f ca="1">Main[[#This Row],[تعداد روزهای بدهکار  تسویه نشده (روز)]]*Main[[#This Row],[مانده در خط تسویه نشده (کیلوگرم)]]</f>
        <v>0</v>
      </c>
      <c r="AD115" s="6">
        <f ca="1">SUBTOTAL(9,INDEX(Main[بدهی سررسید شده (کیلوگرم)],1):Main[[#This Row],[بدهی سررسید شده (کیلوگرم)]])</f>
        <v>0</v>
      </c>
      <c r="AE115" s="6">
        <f ca="1">IF(Main[[#This Row],[مانده در خط سررسید شده (کیلوگرم)]]&lt;&gt;0,Main[[#This Row],[تعداد کل روزهای بدهکار (روز)]],0)</f>
        <v>0</v>
      </c>
      <c r="AF115" s="6">
        <f ca="1">Main[[#This Row],[تعداد روزهای بدهکار سررسید شده (روز)]]*Main[[#This Row],[مانده در خط سررسید شده (کیلوگرم)]]</f>
        <v>0</v>
      </c>
    </row>
    <row r="116" spans="1:32" hidden="1" x14ac:dyDescent="0.35">
      <c r="A116" s="5">
        <f>ROW()-ROW(INDEX(Main[ردیف],1))+1</f>
        <v>114</v>
      </c>
      <c r="B116" s="31">
        <f>SUBTOTAL(2,INDEX(Main[ردیف],1):Main[[#This Row],[ردیف]])</f>
        <v>4</v>
      </c>
      <c r="C116" s="32" t="s">
        <v>448</v>
      </c>
      <c r="D116" s="32" t="str">
        <f>_xlfn.CONCAT("14",Main[[#This Row],[تاريخ]])</f>
        <v>1400/01/18</v>
      </c>
      <c r="E116" s="33">
        <v>44293</v>
      </c>
      <c r="F116" s="32">
        <v>10069</v>
      </c>
      <c r="G116" s="5" t="str">
        <f>INDEX(customer[عنوان],MATCH(Main[[#This Row],[کد ردیابی]],customer[کد],0))</f>
        <v xml:space="preserve">جواد عرب </v>
      </c>
      <c r="H116">
        <v>-1780</v>
      </c>
      <c r="I116" s="6">
        <f ca="1">-Main[[#This Row],[بدهی تسویه شده (کیلوگرم)]]+Main[[#This Row],[بستانکار (کیلوگرم)]]</f>
        <v>-1780</v>
      </c>
      <c r="J116" s="6">
        <f>IF(Main[[#This Row],[مقدار (کیلوگرم)]]&gt;0,Main[[#This Row],[مقدار (کیلوگرم)]],0)</f>
        <v>0</v>
      </c>
      <c r="K116" s="6">
        <f>-IF(Main[[#This Row],[مقدار (کیلوگرم)]]&lt;0,Main[[#This Row],[مقدار (کیلوگرم)]],0)</f>
        <v>1780</v>
      </c>
      <c r="L1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" s="7">
        <f>-IF(AND(Main[[#This Row],[مقدار (کیلوگرم)]]&lt;0,Main[[#This Row],[تاريخ میلادی]]&gt;44276),Main[[#This Row],[مقدار (کیلوگرم)]],0)</f>
        <v>1780</v>
      </c>
      <c r="N116" s="6">
        <f ca="1">Main[[#This Row],[بدهکار (کیلوگرم)]]-Main[[#This Row],[بدهی تسویه نشده (کیلوگرم)]]</f>
        <v>1780</v>
      </c>
      <c r="O116" s="6">
        <f ca="1">Main[[#This Row],[تفکیک]]</f>
        <v>0</v>
      </c>
      <c r="P116" s="6">
        <f ca="1">IF(Main[[#This Row],[تاخیر از سررسید]]&gt;0,Main[[#This Row],[بدهی تسویه نشده (کیلوگرم)]],0)</f>
        <v>0</v>
      </c>
      <c r="Q116" s="6">
        <f ca="1">IF(Main[[#This Row],[بدهی تسویه نشده (کیلوگرم)]]&gt;0,'گزارش فردی'!$B$7-Main[[#This Row],[تاريخ میلادی]],0)</f>
        <v>0</v>
      </c>
      <c r="R116" s="6">
        <f ca="1">IF(Main[[#This Row],[بدهی تسویه نشده (کیلوگرم)]]&gt;0,'گزارش فردی'!$B$7-Main[[#This Row],[تاريخ میلادی]]-'گزارش فردی'!$B$8,0)</f>
        <v>0</v>
      </c>
      <c r="S116" s="6">
        <f ca="1">Main[[#This Row],[روز از ارسال سفارش]]*Main[[#This Row],[بدهی تسویه نشده (کیلوگرم)]]</f>
        <v>0</v>
      </c>
      <c r="T116" s="6">
        <f ca="1">Main[[#This Row],[بدهی سررسید شده (کیلوگرم)]]*Main[[#This Row],[روز از ارسال سفارش]]</f>
        <v>0</v>
      </c>
      <c r="U116" s="6">
        <f>-SUBTOTAL(9,INDEX(Main[مقدار (کیلوگرم)],1):Main[[#This Row],[مقدار (کیلوگرم)]])</f>
        <v>22582</v>
      </c>
      <c r="V1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" s="6">
        <f>Main[[#This Row],[تعداد کل روزهای بدهکار (روز)]]*Main[[#This Row],[مانده در خط کل (کیلوگرم)]]</f>
        <v>0</v>
      </c>
      <c r="X116" s="6">
        <f ca="1">-SUBTOTAL(9,INDEX(Main[مقدار تسویه شده (کیلوگرم)],1):Main[[#This Row],[مقدار تسویه شده (کیلوگرم)]])</f>
        <v>22582</v>
      </c>
      <c r="Y116" s="6">
        <f ca="1">IF(Main[[#This Row],[مانده در خط تسویه شده (کیلوگرم)]]&lt;&gt;0,Main[[#This Row],[تعداد کل روزهای بدهکار (روز)]],0)</f>
        <v>0</v>
      </c>
      <c r="Z116" s="6">
        <f ca="1">Main[[#This Row],[تعداد روزهای بدهکار تسویه شده (روز)]]*Main[[#This Row],[مانده در خط تسویه شده (کیلوگرم)]]</f>
        <v>0</v>
      </c>
      <c r="AA116" s="6">
        <f ca="1">SUBTOTAL(9,INDEX(Main[بدهی تسویه نشده (کیلوگرم)],1):Main[[#This Row],[بدهی تسویه نشده (کیلوگرم)]])</f>
        <v>0</v>
      </c>
      <c r="AB116" s="6">
        <f ca="1">IF(Main[[#This Row],[مانده در خط تسویه نشده (کیلوگرم)]]&lt;&gt;0,Main[[#This Row],[تعداد کل روزهای بدهکار (روز)]],0)</f>
        <v>0</v>
      </c>
      <c r="AC116" s="6">
        <f ca="1">Main[[#This Row],[تعداد روزهای بدهکار  تسویه نشده (روز)]]*Main[[#This Row],[مانده در خط تسویه نشده (کیلوگرم)]]</f>
        <v>0</v>
      </c>
      <c r="AD116" s="6">
        <f ca="1">SUBTOTAL(9,INDEX(Main[بدهی سررسید شده (کیلوگرم)],1):Main[[#This Row],[بدهی سررسید شده (کیلوگرم)]])</f>
        <v>0</v>
      </c>
      <c r="AE116" s="6">
        <f ca="1">IF(Main[[#This Row],[مانده در خط سررسید شده (کیلوگرم)]]&lt;&gt;0,Main[[#This Row],[تعداد کل روزهای بدهکار (روز)]],0)</f>
        <v>0</v>
      </c>
      <c r="AF116" s="6">
        <f ca="1">Main[[#This Row],[تعداد روزهای بدهکار سررسید شده (روز)]]*Main[[#This Row],[مانده در خط سررسید شده (کیلوگرم)]]</f>
        <v>0</v>
      </c>
    </row>
    <row r="117" spans="1:32" hidden="1" x14ac:dyDescent="0.35">
      <c r="A117" s="5">
        <f>ROW()-ROW(INDEX(Main[ردیف],1))+1</f>
        <v>115</v>
      </c>
      <c r="B117" s="31">
        <f>SUBTOTAL(2,INDEX(Main[ردیف],1):Main[[#This Row],[ردیف]])</f>
        <v>4</v>
      </c>
      <c r="C117" s="32" t="s">
        <v>448</v>
      </c>
      <c r="D117" s="32" t="str">
        <f>_xlfn.CONCAT("14",Main[[#This Row],[تاريخ]])</f>
        <v>1400/01/18</v>
      </c>
      <c r="E117" s="33">
        <v>44293</v>
      </c>
      <c r="F117" s="32">
        <v>10026</v>
      </c>
      <c r="G117" s="5" t="str">
        <f>INDEX(customer[عنوان],MATCH(Main[[#This Row],[کد ردیابی]],customer[کد],0))</f>
        <v xml:space="preserve">محسن فیاض بخش </v>
      </c>
      <c r="H117">
        <v>2500</v>
      </c>
      <c r="I117" s="6">
        <f ca="1">-Main[[#This Row],[بدهی تسویه شده (کیلوگرم)]]+Main[[#This Row],[بستانکار (کیلوگرم)]]</f>
        <v>2500</v>
      </c>
      <c r="J117" s="6">
        <f>IF(Main[[#This Row],[مقدار (کیلوگرم)]]&gt;0,Main[[#This Row],[مقدار (کیلوگرم)]],0)</f>
        <v>2500</v>
      </c>
      <c r="K117" s="6">
        <f>-IF(Main[[#This Row],[مقدار (کیلوگرم)]]&lt;0,Main[[#This Row],[مقدار (کیلوگرم)]],0)</f>
        <v>0</v>
      </c>
      <c r="L1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" s="7">
        <f>-IF(AND(Main[[#This Row],[مقدار (کیلوگرم)]]&lt;0,Main[[#This Row],[تاريخ میلادی]]&gt;44276),Main[[#This Row],[مقدار (کیلوگرم)]],0)</f>
        <v>0</v>
      </c>
      <c r="N117" s="6">
        <f ca="1">Main[[#This Row],[بدهکار (کیلوگرم)]]-Main[[#This Row],[بدهی تسویه نشده (کیلوگرم)]]</f>
        <v>0</v>
      </c>
      <c r="O117" s="6">
        <f ca="1">Main[[#This Row],[تفکیک]]</f>
        <v>0</v>
      </c>
      <c r="P117" s="6">
        <f ca="1">IF(Main[[#This Row],[تاخیر از سررسید]]&gt;0,Main[[#This Row],[بدهی تسویه نشده (کیلوگرم)]],0)</f>
        <v>0</v>
      </c>
      <c r="Q117" s="6">
        <f ca="1">IF(Main[[#This Row],[بدهی تسویه نشده (کیلوگرم)]]&gt;0,'گزارش فردی'!$B$7-Main[[#This Row],[تاريخ میلادی]],0)</f>
        <v>0</v>
      </c>
      <c r="R117" s="6">
        <f ca="1">IF(Main[[#This Row],[بدهی تسویه نشده (کیلوگرم)]]&gt;0,'گزارش فردی'!$B$7-Main[[#This Row],[تاريخ میلادی]]-'گزارش فردی'!$B$8,0)</f>
        <v>0</v>
      </c>
      <c r="S117" s="6">
        <f ca="1">Main[[#This Row],[روز از ارسال سفارش]]*Main[[#This Row],[بدهی تسویه نشده (کیلوگرم)]]</f>
        <v>0</v>
      </c>
      <c r="T117" s="6">
        <f ca="1">Main[[#This Row],[بدهی سررسید شده (کیلوگرم)]]*Main[[#This Row],[روز از ارسال سفارش]]</f>
        <v>0</v>
      </c>
      <c r="U117" s="6">
        <f>-SUBTOTAL(9,INDEX(Main[مقدار (کیلوگرم)],1):Main[[#This Row],[مقدار (کیلوگرم)]])</f>
        <v>22582</v>
      </c>
      <c r="V1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7" s="6">
        <f>Main[[#This Row],[تعداد کل روزهای بدهکار (روز)]]*Main[[#This Row],[مانده در خط کل (کیلوگرم)]]</f>
        <v>0</v>
      </c>
      <c r="X117" s="6">
        <f ca="1">-SUBTOTAL(9,INDEX(Main[مقدار تسویه شده (کیلوگرم)],1):Main[[#This Row],[مقدار تسویه شده (کیلوگرم)]])</f>
        <v>22582</v>
      </c>
      <c r="Y117" s="6">
        <f ca="1">IF(Main[[#This Row],[مانده در خط تسویه شده (کیلوگرم)]]&lt;&gt;0,Main[[#This Row],[تعداد کل روزهای بدهکار (روز)]],0)</f>
        <v>0</v>
      </c>
      <c r="Z117" s="6">
        <f ca="1">Main[[#This Row],[تعداد روزهای بدهکار تسویه شده (روز)]]*Main[[#This Row],[مانده در خط تسویه شده (کیلوگرم)]]</f>
        <v>0</v>
      </c>
      <c r="AA117" s="6">
        <f ca="1">SUBTOTAL(9,INDEX(Main[بدهی تسویه نشده (کیلوگرم)],1):Main[[#This Row],[بدهی تسویه نشده (کیلوگرم)]])</f>
        <v>0</v>
      </c>
      <c r="AB117" s="6">
        <f ca="1">IF(Main[[#This Row],[مانده در خط تسویه نشده (کیلوگرم)]]&lt;&gt;0,Main[[#This Row],[تعداد کل روزهای بدهکار (روز)]],0)</f>
        <v>0</v>
      </c>
      <c r="AC117" s="6">
        <f ca="1">Main[[#This Row],[تعداد روزهای بدهکار  تسویه نشده (روز)]]*Main[[#This Row],[مانده در خط تسویه نشده (کیلوگرم)]]</f>
        <v>0</v>
      </c>
      <c r="AD117" s="6">
        <f ca="1">SUBTOTAL(9,INDEX(Main[بدهی سررسید شده (کیلوگرم)],1):Main[[#This Row],[بدهی سررسید شده (کیلوگرم)]])</f>
        <v>0</v>
      </c>
      <c r="AE117" s="6">
        <f ca="1">IF(Main[[#This Row],[مانده در خط سررسید شده (کیلوگرم)]]&lt;&gt;0,Main[[#This Row],[تعداد کل روزهای بدهکار (روز)]],0)</f>
        <v>0</v>
      </c>
      <c r="AF117" s="6">
        <f ca="1">Main[[#This Row],[تعداد روزهای بدهکار سررسید شده (روز)]]*Main[[#This Row],[مانده در خط سررسید شده (کیلوگرم)]]</f>
        <v>0</v>
      </c>
    </row>
    <row r="118" spans="1:32" hidden="1" x14ac:dyDescent="0.35">
      <c r="A118" s="5">
        <f>ROW()-ROW(INDEX(Main[ردیف],1))+1</f>
        <v>116</v>
      </c>
      <c r="B118" s="31">
        <f>SUBTOTAL(2,INDEX(Main[ردیف],1):Main[[#This Row],[ردیف]])</f>
        <v>4</v>
      </c>
      <c r="C118" s="32" t="s">
        <v>448</v>
      </c>
      <c r="D118" s="32" t="str">
        <f>_xlfn.CONCAT("14",Main[[#This Row],[تاريخ]])</f>
        <v>1400/01/18</v>
      </c>
      <c r="E118" s="33">
        <v>44293</v>
      </c>
      <c r="F118" s="32">
        <v>30009</v>
      </c>
      <c r="G118" s="5" t="str">
        <f>INDEX(customer[عنوان],MATCH(Main[[#This Row],[کد ردیابی]],customer[کد],0))</f>
        <v>شرکت ایمن تک پیشرو</v>
      </c>
      <c r="H118">
        <v>-99</v>
      </c>
      <c r="I118" s="6">
        <f ca="1">-Main[[#This Row],[بدهی تسویه شده (کیلوگرم)]]+Main[[#This Row],[بستانکار (کیلوگرم)]]</f>
        <v>-99</v>
      </c>
      <c r="J118" s="6">
        <f>IF(Main[[#This Row],[مقدار (کیلوگرم)]]&gt;0,Main[[#This Row],[مقدار (کیلوگرم)]],0)</f>
        <v>0</v>
      </c>
      <c r="K118" s="6">
        <f>-IF(Main[[#This Row],[مقدار (کیلوگرم)]]&lt;0,Main[[#This Row],[مقدار (کیلوگرم)]],0)</f>
        <v>99</v>
      </c>
      <c r="L1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" s="7">
        <f>-IF(AND(Main[[#This Row],[مقدار (کیلوگرم)]]&lt;0,Main[[#This Row],[تاريخ میلادی]]&gt;44276),Main[[#This Row],[مقدار (کیلوگرم)]],0)</f>
        <v>99</v>
      </c>
      <c r="N118" s="6">
        <f ca="1">Main[[#This Row],[بدهکار (کیلوگرم)]]-Main[[#This Row],[بدهی تسویه نشده (کیلوگرم)]]</f>
        <v>99</v>
      </c>
      <c r="O118" s="6">
        <f ca="1">Main[[#This Row],[تفکیک]]</f>
        <v>0</v>
      </c>
      <c r="P118" s="6">
        <f ca="1">IF(Main[[#This Row],[تاخیر از سررسید]]&gt;0,Main[[#This Row],[بدهی تسویه نشده (کیلوگرم)]],0)</f>
        <v>0</v>
      </c>
      <c r="Q118" s="6">
        <f ca="1">IF(Main[[#This Row],[بدهی تسویه نشده (کیلوگرم)]]&gt;0,'گزارش فردی'!$B$7-Main[[#This Row],[تاريخ میلادی]],0)</f>
        <v>0</v>
      </c>
      <c r="R118" s="6">
        <f ca="1">IF(Main[[#This Row],[بدهی تسویه نشده (کیلوگرم)]]&gt;0,'گزارش فردی'!$B$7-Main[[#This Row],[تاريخ میلادی]]-'گزارش فردی'!$B$8,0)</f>
        <v>0</v>
      </c>
      <c r="S118" s="6">
        <f ca="1">Main[[#This Row],[روز از ارسال سفارش]]*Main[[#This Row],[بدهی تسویه نشده (کیلوگرم)]]</f>
        <v>0</v>
      </c>
      <c r="T118" s="6">
        <f ca="1">Main[[#This Row],[بدهی سررسید شده (کیلوگرم)]]*Main[[#This Row],[روز از ارسال سفارش]]</f>
        <v>0</v>
      </c>
      <c r="U118" s="6">
        <f>-SUBTOTAL(9,INDEX(Main[مقدار (کیلوگرم)],1):Main[[#This Row],[مقدار (کیلوگرم)]])</f>
        <v>22582</v>
      </c>
      <c r="V1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" s="6">
        <f>Main[[#This Row],[تعداد کل روزهای بدهکار (روز)]]*Main[[#This Row],[مانده در خط کل (کیلوگرم)]]</f>
        <v>0</v>
      </c>
      <c r="X118" s="6">
        <f ca="1">-SUBTOTAL(9,INDEX(Main[مقدار تسویه شده (کیلوگرم)],1):Main[[#This Row],[مقدار تسویه شده (کیلوگرم)]])</f>
        <v>22582</v>
      </c>
      <c r="Y118" s="6">
        <f ca="1">IF(Main[[#This Row],[مانده در خط تسویه شده (کیلوگرم)]]&lt;&gt;0,Main[[#This Row],[تعداد کل روزهای بدهکار (روز)]],0)</f>
        <v>0</v>
      </c>
      <c r="Z118" s="6">
        <f ca="1">Main[[#This Row],[تعداد روزهای بدهکار تسویه شده (روز)]]*Main[[#This Row],[مانده در خط تسویه شده (کیلوگرم)]]</f>
        <v>0</v>
      </c>
      <c r="AA118" s="6">
        <f ca="1">SUBTOTAL(9,INDEX(Main[بدهی تسویه نشده (کیلوگرم)],1):Main[[#This Row],[بدهی تسویه نشده (کیلوگرم)]])</f>
        <v>0</v>
      </c>
      <c r="AB118" s="6">
        <f ca="1">IF(Main[[#This Row],[مانده در خط تسویه نشده (کیلوگرم)]]&lt;&gt;0,Main[[#This Row],[تعداد کل روزهای بدهکار (روز)]],0)</f>
        <v>0</v>
      </c>
      <c r="AC118" s="6">
        <f ca="1">Main[[#This Row],[تعداد روزهای بدهکار  تسویه نشده (روز)]]*Main[[#This Row],[مانده در خط تسویه نشده (کیلوگرم)]]</f>
        <v>0</v>
      </c>
      <c r="AD118" s="6">
        <f ca="1">SUBTOTAL(9,INDEX(Main[بدهی سررسید شده (کیلوگرم)],1):Main[[#This Row],[بدهی سررسید شده (کیلوگرم)]])</f>
        <v>0</v>
      </c>
      <c r="AE118" s="6">
        <f ca="1">IF(Main[[#This Row],[مانده در خط سررسید شده (کیلوگرم)]]&lt;&gt;0,Main[[#This Row],[تعداد کل روزهای بدهکار (روز)]],0)</f>
        <v>0</v>
      </c>
      <c r="AF118" s="6">
        <f ca="1">Main[[#This Row],[تعداد روزهای بدهکار سررسید شده (روز)]]*Main[[#This Row],[مانده در خط سررسید شده (کیلوگرم)]]</f>
        <v>0</v>
      </c>
    </row>
    <row r="119" spans="1:32" hidden="1" x14ac:dyDescent="0.35">
      <c r="A119" s="5">
        <f>ROW()-ROW(INDEX(Main[ردیف],1))+1</f>
        <v>117</v>
      </c>
      <c r="B119" s="31">
        <f>SUBTOTAL(2,INDEX(Main[ردیف],1):Main[[#This Row],[ردیف]])</f>
        <v>4</v>
      </c>
      <c r="C119" s="32" t="s">
        <v>448</v>
      </c>
      <c r="D119" s="32" t="str">
        <f>_xlfn.CONCAT("14",Main[[#This Row],[تاريخ]])</f>
        <v>1400/01/18</v>
      </c>
      <c r="E119" s="33">
        <v>44293</v>
      </c>
      <c r="F119" s="32">
        <v>10026</v>
      </c>
      <c r="G119" s="5" t="str">
        <f>INDEX(customer[عنوان],MATCH(Main[[#This Row],[کد ردیابی]],customer[کد],0))</f>
        <v xml:space="preserve">محسن فیاض بخش </v>
      </c>
      <c r="H119">
        <v>3212</v>
      </c>
      <c r="I119" s="6">
        <f ca="1">-Main[[#This Row],[بدهی تسویه شده (کیلوگرم)]]+Main[[#This Row],[بستانکار (کیلوگرم)]]</f>
        <v>3212</v>
      </c>
      <c r="J119" s="6">
        <f>IF(Main[[#This Row],[مقدار (کیلوگرم)]]&gt;0,Main[[#This Row],[مقدار (کیلوگرم)]],0)</f>
        <v>3212</v>
      </c>
      <c r="K119" s="6">
        <f>-IF(Main[[#This Row],[مقدار (کیلوگرم)]]&lt;0,Main[[#This Row],[مقدار (کیلوگرم)]],0)</f>
        <v>0</v>
      </c>
      <c r="L1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" s="7">
        <f>-IF(AND(Main[[#This Row],[مقدار (کیلوگرم)]]&lt;0,Main[[#This Row],[تاريخ میلادی]]&gt;44276),Main[[#This Row],[مقدار (کیلوگرم)]],0)</f>
        <v>0</v>
      </c>
      <c r="N119" s="6">
        <f ca="1">Main[[#This Row],[بدهکار (کیلوگرم)]]-Main[[#This Row],[بدهی تسویه نشده (کیلوگرم)]]</f>
        <v>0</v>
      </c>
      <c r="O119" s="6">
        <f ca="1">Main[[#This Row],[تفکیک]]</f>
        <v>0</v>
      </c>
      <c r="P119" s="6">
        <f ca="1">IF(Main[[#This Row],[تاخیر از سررسید]]&gt;0,Main[[#This Row],[بدهی تسویه نشده (کیلوگرم)]],0)</f>
        <v>0</v>
      </c>
      <c r="Q119" s="6">
        <f ca="1">IF(Main[[#This Row],[بدهی تسویه نشده (کیلوگرم)]]&gt;0,'گزارش فردی'!$B$7-Main[[#This Row],[تاريخ میلادی]],0)</f>
        <v>0</v>
      </c>
      <c r="R119" s="6">
        <f ca="1">IF(Main[[#This Row],[بدهی تسویه نشده (کیلوگرم)]]&gt;0,'گزارش فردی'!$B$7-Main[[#This Row],[تاريخ میلادی]]-'گزارش فردی'!$B$8,0)</f>
        <v>0</v>
      </c>
      <c r="S119" s="6">
        <f ca="1">Main[[#This Row],[روز از ارسال سفارش]]*Main[[#This Row],[بدهی تسویه نشده (کیلوگرم)]]</f>
        <v>0</v>
      </c>
      <c r="T119" s="6">
        <f ca="1">Main[[#This Row],[بدهی سررسید شده (کیلوگرم)]]*Main[[#This Row],[روز از ارسال سفارش]]</f>
        <v>0</v>
      </c>
      <c r="U119" s="6">
        <f>-SUBTOTAL(9,INDEX(Main[مقدار (کیلوگرم)],1):Main[[#This Row],[مقدار (کیلوگرم)]])</f>
        <v>22582</v>
      </c>
      <c r="V1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9" s="6">
        <f>Main[[#This Row],[تعداد کل روزهای بدهکار (روز)]]*Main[[#This Row],[مانده در خط کل (کیلوگرم)]]</f>
        <v>0</v>
      </c>
      <c r="X119" s="6">
        <f ca="1">-SUBTOTAL(9,INDEX(Main[مقدار تسویه شده (کیلوگرم)],1):Main[[#This Row],[مقدار تسویه شده (کیلوگرم)]])</f>
        <v>22582</v>
      </c>
      <c r="Y119" s="6">
        <f ca="1">IF(Main[[#This Row],[مانده در خط تسویه شده (کیلوگرم)]]&lt;&gt;0,Main[[#This Row],[تعداد کل روزهای بدهکار (روز)]],0)</f>
        <v>0</v>
      </c>
      <c r="Z119" s="6">
        <f ca="1">Main[[#This Row],[تعداد روزهای بدهکار تسویه شده (روز)]]*Main[[#This Row],[مانده در خط تسویه شده (کیلوگرم)]]</f>
        <v>0</v>
      </c>
      <c r="AA119" s="6">
        <f ca="1">SUBTOTAL(9,INDEX(Main[بدهی تسویه نشده (کیلوگرم)],1):Main[[#This Row],[بدهی تسویه نشده (کیلوگرم)]])</f>
        <v>0</v>
      </c>
      <c r="AB119" s="6">
        <f ca="1">IF(Main[[#This Row],[مانده در خط تسویه نشده (کیلوگرم)]]&lt;&gt;0,Main[[#This Row],[تعداد کل روزهای بدهکار (روز)]],0)</f>
        <v>0</v>
      </c>
      <c r="AC119" s="6">
        <f ca="1">Main[[#This Row],[تعداد روزهای بدهکار  تسویه نشده (روز)]]*Main[[#This Row],[مانده در خط تسویه نشده (کیلوگرم)]]</f>
        <v>0</v>
      </c>
      <c r="AD119" s="6">
        <f ca="1">SUBTOTAL(9,INDEX(Main[بدهی سررسید شده (کیلوگرم)],1):Main[[#This Row],[بدهی سررسید شده (کیلوگرم)]])</f>
        <v>0</v>
      </c>
      <c r="AE119" s="6">
        <f ca="1">IF(Main[[#This Row],[مانده در خط سررسید شده (کیلوگرم)]]&lt;&gt;0,Main[[#This Row],[تعداد کل روزهای بدهکار (روز)]],0)</f>
        <v>0</v>
      </c>
      <c r="AF119" s="6">
        <f ca="1">Main[[#This Row],[تعداد روزهای بدهکار سررسید شده (روز)]]*Main[[#This Row],[مانده در خط سررسید شده (کیلوگرم)]]</f>
        <v>0</v>
      </c>
    </row>
    <row r="120" spans="1:32" hidden="1" x14ac:dyDescent="0.35">
      <c r="A120" s="5">
        <f>ROW()-ROW(INDEX(Main[ردیف],1))+1</f>
        <v>118</v>
      </c>
      <c r="B120" s="31">
        <f>SUBTOTAL(2,INDEX(Main[ردیف],1):Main[[#This Row],[ردیف]])</f>
        <v>4</v>
      </c>
      <c r="C120" s="32" t="s">
        <v>448</v>
      </c>
      <c r="D120" s="32" t="str">
        <f>_xlfn.CONCAT("14",Main[[#This Row],[تاريخ]])</f>
        <v>1400/01/18</v>
      </c>
      <c r="E120" s="33">
        <v>44293</v>
      </c>
      <c r="F120" s="32">
        <v>10027</v>
      </c>
      <c r="G120" s="5" t="str">
        <f>INDEX(customer[عنوان],MATCH(Main[[#This Row],[کد ردیابی]],customer[کد],0))</f>
        <v xml:space="preserve">مصطفی نورعلی </v>
      </c>
      <c r="H120">
        <v>-7248</v>
      </c>
      <c r="I120" s="6">
        <f ca="1">-Main[[#This Row],[بدهی تسویه شده (کیلوگرم)]]+Main[[#This Row],[بستانکار (کیلوگرم)]]</f>
        <v>-7248</v>
      </c>
      <c r="J120" s="6">
        <f>IF(Main[[#This Row],[مقدار (کیلوگرم)]]&gt;0,Main[[#This Row],[مقدار (کیلوگرم)]],0)</f>
        <v>0</v>
      </c>
      <c r="K120" s="6">
        <f>-IF(Main[[#This Row],[مقدار (کیلوگرم)]]&lt;0,Main[[#This Row],[مقدار (کیلوگرم)]],0)</f>
        <v>7248</v>
      </c>
      <c r="L1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" s="7">
        <f>-IF(AND(Main[[#This Row],[مقدار (کیلوگرم)]]&lt;0,Main[[#This Row],[تاريخ میلادی]]&gt;44276),Main[[#This Row],[مقدار (کیلوگرم)]],0)</f>
        <v>7248</v>
      </c>
      <c r="N120" s="6">
        <f ca="1">Main[[#This Row],[بدهکار (کیلوگرم)]]-Main[[#This Row],[بدهی تسویه نشده (کیلوگرم)]]</f>
        <v>7248</v>
      </c>
      <c r="O120" s="6">
        <f ca="1">Main[[#This Row],[تفکیک]]</f>
        <v>0</v>
      </c>
      <c r="P120" s="6">
        <f ca="1">IF(Main[[#This Row],[تاخیر از سررسید]]&gt;0,Main[[#This Row],[بدهی تسویه نشده (کیلوگرم)]],0)</f>
        <v>0</v>
      </c>
      <c r="Q120" s="6">
        <f ca="1">IF(Main[[#This Row],[بدهی تسویه نشده (کیلوگرم)]]&gt;0,'گزارش فردی'!$B$7-Main[[#This Row],[تاريخ میلادی]],0)</f>
        <v>0</v>
      </c>
      <c r="R120" s="6">
        <f ca="1">IF(Main[[#This Row],[بدهی تسویه نشده (کیلوگرم)]]&gt;0,'گزارش فردی'!$B$7-Main[[#This Row],[تاريخ میلادی]]-'گزارش فردی'!$B$8,0)</f>
        <v>0</v>
      </c>
      <c r="S120" s="6">
        <f ca="1">Main[[#This Row],[روز از ارسال سفارش]]*Main[[#This Row],[بدهی تسویه نشده (کیلوگرم)]]</f>
        <v>0</v>
      </c>
      <c r="T120" s="6">
        <f ca="1">Main[[#This Row],[بدهی سررسید شده (کیلوگرم)]]*Main[[#This Row],[روز از ارسال سفارش]]</f>
        <v>0</v>
      </c>
      <c r="U120" s="6">
        <f>-SUBTOTAL(9,INDEX(Main[مقدار (کیلوگرم)],1):Main[[#This Row],[مقدار (کیلوگرم)]])</f>
        <v>22582</v>
      </c>
      <c r="V1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" s="6">
        <f>Main[[#This Row],[تعداد کل روزهای بدهکار (روز)]]*Main[[#This Row],[مانده در خط کل (کیلوگرم)]]</f>
        <v>0</v>
      </c>
      <c r="X120" s="6">
        <f ca="1">-SUBTOTAL(9,INDEX(Main[مقدار تسویه شده (کیلوگرم)],1):Main[[#This Row],[مقدار تسویه شده (کیلوگرم)]])</f>
        <v>22582</v>
      </c>
      <c r="Y120" s="6">
        <f ca="1">IF(Main[[#This Row],[مانده در خط تسویه شده (کیلوگرم)]]&lt;&gt;0,Main[[#This Row],[تعداد کل روزهای بدهکار (روز)]],0)</f>
        <v>0</v>
      </c>
      <c r="Z120" s="6">
        <f ca="1">Main[[#This Row],[تعداد روزهای بدهکار تسویه شده (روز)]]*Main[[#This Row],[مانده در خط تسویه شده (کیلوگرم)]]</f>
        <v>0</v>
      </c>
      <c r="AA120" s="6">
        <f ca="1">SUBTOTAL(9,INDEX(Main[بدهی تسویه نشده (کیلوگرم)],1):Main[[#This Row],[بدهی تسویه نشده (کیلوگرم)]])</f>
        <v>0</v>
      </c>
      <c r="AB120" s="6">
        <f ca="1">IF(Main[[#This Row],[مانده در خط تسویه نشده (کیلوگرم)]]&lt;&gt;0,Main[[#This Row],[تعداد کل روزهای بدهکار (روز)]],0)</f>
        <v>0</v>
      </c>
      <c r="AC120" s="6">
        <f ca="1">Main[[#This Row],[تعداد روزهای بدهکار  تسویه نشده (روز)]]*Main[[#This Row],[مانده در خط تسویه نشده (کیلوگرم)]]</f>
        <v>0</v>
      </c>
      <c r="AD120" s="6">
        <f ca="1">SUBTOTAL(9,INDEX(Main[بدهی سررسید شده (کیلوگرم)],1):Main[[#This Row],[بدهی سررسید شده (کیلوگرم)]])</f>
        <v>0</v>
      </c>
      <c r="AE120" s="6">
        <f ca="1">IF(Main[[#This Row],[مانده در خط سررسید شده (کیلوگرم)]]&lt;&gt;0,Main[[#This Row],[تعداد کل روزهای بدهکار (روز)]],0)</f>
        <v>0</v>
      </c>
      <c r="AF120" s="6">
        <f ca="1">Main[[#This Row],[تعداد روزهای بدهکار سررسید شده (روز)]]*Main[[#This Row],[مانده در خط سررسید شده (کیلوگرم)]]</f>
        <v>0</v>
      </c>
    </row>
    <row r="121" spans="1:32" hidden="1" x14ac:dyDescent="0.35">
      <c r="A121" s="5">
        <f>ROW()-ROW(INDEX(Main[ردیف],1))+1</f>
        <v>119</v>
      </c>
      <c r="B121" s="31">
        <f>SUBTOTAL(2,INDEX(Main[ردیف],1):Main[[#This Row],[ردیف]])</f>
        <v>4</v>
      </c>
      <c r="C121" s="32" t="s">
        <v>448</v>
      </c>
      <c r="D121" s="32" t="str">
        <f>_xlfn.CONCAT("14",Main[[#This Row],[تاريخ]])</f>
        <v>1400/01/18</v>
      </c>
      <c r="E121" s="33">
        <v>44293</v>
      </c>
      <c r="F121" s="32">
        <v>30009</v>
      </c>
      <c r="G121" s="5" t="str">
        <f>INDEX(customer[عنوان],MATCH(Main[[#This Row],[کد ردیابی]],customer[کد],0))</f>
        <v>شرکت ایمن تک پیشرو</v>
      </c>
      <c r="H121">
        <v>1094</v>
      </c>
      <c r="I121" s="6">
        <f ca="1">-Main[[#This Row],[بدهی تسویه شده (کیلوگرم)]]+Main[[#This Row],[بستانکار (کیلوگرم)]]</f>
        <v>1094</v>
      </c>
      <c r="J121" s="6">
        <f>IF(Main[[#This Row],[مقدار (کیلوگرم)]]&gt;0,Main[[#This Row],[مقدار (کیلوگرم)]],0)</f>
        <v>1094</v>
      </c>
      <c r="K121" s="6">
        <f>-IF(Main[[#This Row],[مقدار (کیلوگرم)]]&lt;0,Main[[#This Row],[مقدار (کیلوگرم)]],0)</f>
        <v>0</v>
      </c>
      <c r="L1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" s="7">
        <f>-IF(AND(Main[[#This Row],[مقدار (کیلوگرم)]]&lt;0,Main[[#This Row],[تاريخ میلادی]]&gt;44276),Main[[#This Row],[مقدار (کیلوگرم)]],0)</f>
        <v>0</v>
      </c>
      <c r="N121" s="6">
        <f ca="1">Main[[#This Row],[بدهکار (کیلوگرم)]]-Main[[#This Row],[بدهی تسویه نشده (کیلوگرم)]]</f>
        <v>0</v>
      </c>
      <c r="O121" s="6">
        <f ca="1">Main[[#This Row],[تفکیک]]</f>
        <v>0</v>
      </c>
      <c r="P121" s="6">
        <f ca="1">IF(Main[[#This Row],[تاخیر از سررسید]]&gt;0,Main[[#This Row],[بدهی تسویه نشده (کیلوگرم)]],0)</f>
        <v>0</v>
      </c>
      <c r="Q121" s="6">
        <f ca="1">IF(Main[[#This Row],[بدهی تسویه نشده (کیلوگرم)]]&gt;0,'گزارش فردی'!$B$7-Main[[#This Row],[تاريخ میلادی]],0)</f>
        <v>0</v>
      </c>
      <c r="R121" s="6">
        <f ca="1">IF(Main[[#This Row],[بدهی تسویه نشده (کیلوگرم)]]&gt;0,'گزارش فردی'!$B$7-Main[[#This Row],[تاريخ میلادی]]-'گزارش فردی'!$B$8,0)</f>
        <v>0</v>
      </c>
      <c r="S121" s="6">
        <f ca="1">Main[[#This Row],[روز از ارسال سفارش]]*Main[[#This Row],[بدهی تسویه نشده (کیلوگرم)]]</f>
        <v>0</v>
      </c>
      <c r="T121" s="6">
        <f ca="1">Main[[#This Row],[بدهی سررسید شده (کیلوگرم)]]*Main[[#This Row],[روز از ارسال سفارش]]</f>
        <v>0</v>
      </c>
      <c r="U121" s="6">
        <f>-SUBTOTAL(9,INDEX(Main[مقدار (کیلوگرم)],1):Main[[#This Row],[مقدار (کیلوگرم)]])</f>
        <v>22582</v>
      </c>
      <c r="V1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1" s="6">
        <f>Main[[#This Row],[تعداد کل روزهای بدهکار (روز)]]*Main[[#This Row],[مانده در خط کل (کیلوگرم)]]</f>
        <v>0</v>
      </c>
      <c r="X121" s="6">
        <f ca="1">-SUBTOTAL(9,INDEX(Main[مقدار تسویه شده (کیلوگرم)],1):Main[[#This Row],[مقدار تسویه شده (کیلوگرم)]])</f>
        <v>22582</v>
      </c>
      <c r="Y121" s="6">
        <f ca="1">IF(Main[[#This Row],[مانده در خط تسویه شده (کیلوگرم)]]&lt;&gt;0,Main[[#This Row],[تعداد کل روزهای بدهکار (روز)]],0)</f>
        <v>0</v>
      </c>
      <c r="Z121" s="6">
        <f ca="1">Main[[#This Row],[تعداد روزهای بدهکار تسویه شده (روز)]]*Main[[#This Row],[مانده در خط تسویه شده (کیلوگرم)]]</f>
        <v>0</v>
      </c>
      <c r="AA121" s="6">
        <f ca="1">SUBTOTAL(9,INDEX(Main[بدهی تسویه نشده (کیلوگرم)],1):Main[[#This Row],[بدهی تسویه نشده (کیلوگرم)]])</f>
        <v>0</v>
      </c>
      <c r="AB121" s="6">
        <f ca="1">IF(Main[[#This Row],[مانده در خط تسویه نشده (کیلوگرم)]]&lt;&gt;0,Main[[#This Row],[تعداد کل روزهای بدهکار (روز)]],0)</f>
        <v>0</v>
      </c>
      <c r="AC121" s="6">
        <f ca="1">Main[[#This Row],[تعداد روزهای بدهکار  تسویه نشده (روز)]]*Main[[#This Row],[مانده در خط تسویه نشده (کیلوگرم)]]</f>
        <v>0</v>
      </c>
      <c r="AD121" s="6">
        <f ca="1">SUBTOTAL(9,INDEX(Main[بدهی سررسید شده (کیلوگرم)],1):Main[[#This Row],[بدهی سررسید شده (کیلوگرم)]])</f>
        <v>0</v>
      </c>
      <c r="AE121" s="6">
        <f ca="1">IF(Main[[#This Row],[مانده در خط سررسید شده (کیلوگرم)]]&lt;&gt;0,Main[[#This Row],[تعداد کل روزهای بدهکار (روز)]],0)</f>
        <v>0</v>
      </c>
      <c r="AF121" s="6">
        <f ca="1">Main[[#This Row],[تعداد روزهای بدهکار سررسید شده (روز)]]*Main[[#This Row],[مانده در خط سررسید شده (کیلوگرم)]]</f>
        <v>0</v>
      </c>
    </row>
    <row r="122" spans="1:32" x14ac:dyDescent="0.35">
      <c r="A122" s="5">
        <f>ROW()-ROW(INDEX(Main[ردیف],1))+1</f>
        <v>120</v>
      </c>
      <c r="B122" s="31">
        <f>SUBTOTAL(2,INDEX(Main[ردیف],1):Main[[#This Row],[ردیف]])</f>
        <v>5</v>
      </c>
      <c r="C122" s="32" t="s">
        <v>448</v>
      </c>
      <c r="D122" s="32" t="str">
        <f>_xlfn.CONCAT("14",Main[[#This Row],[تاريخ]])</f>
        <v>1400/01/18</v>
      </c>
      <c r="E122" s="33">
        <v>44293</v>
      </c>
      <c r="F122" s="32">
        <v>10003</v>
      </c>
      <c r="G122" s="5" t="str">
        <f>INDEX(customer[عنوان],MATCH(Main[[#This Row],[کد ردیابی]],customer[کد],0))</f>
        <v>اصغر نورعلی</v>
      </c>
      <c r="H122">
        <v>-1900</v>
      </c>
      <c r="I122" s="6">
        <f ca="1">-Main[[#This Row],[بدهی تسویه شده (کیلوگرم)]]+Main[[#This Row],[بستانکار (کیلوگرم)]]</f>
        <v>-1900</v>
      </c>
      <c r="J122" s="6">
        <f>IF(Main[[#This Row],[مقدار (کیلوگرم)]]&gt;0,Main[[#This Row],[مقدار (کیلوگرم)]],0)</f>
        <v>0</v>
      </c>
      <c r="K122" s="6">
        <f>-IF(Main[[#This Row],[مقدار (کیلوگرم)]]&lt;0,Main[[#This Row],[مقدار (کیلوگرم)]],0)</f>
        <v>1900</v>
      </c>
      <c r="L1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" s="7">
        <f>-IF(AND(Main[[#This Row],[مقدار (کیلوگرم)]]&lt;0,Main[[#This Row],[تاريخ میلادی]]&gt;44276),Main[[#This Row],[مقدار (کیلوگرم)]],0)</f>
        <v>1900</v>
      </c>
      <c r="N122" s="6">
        <f ca="1">Main[[#This Row],[بدهکار (کیلوگرم)]]-Main[[#This Row],[بدهی تسویه نشده (کیلوگرم)]]</f>
        <v>1900</v>
      </c>
      <c r="O122" s="6">
        <f ca="1">Main[[#This Row],[تفکیک]]</f>
        <v>0</v>
      </c>
      <c r="P122" s="6">
        <f ca="1">IF(Main[[#This Row],[تاخیر از سررسید]]&gt;0,Main[[#This Row],[بدهی تسویه نشده (کیلوگرم)]],0)</f>
        <v>0</v>
      </c>
      <c r="Q122" s="6">
        <f ca="1">IF(Main[[#This Row],[بدهی تسویه نشده (کیلوگرم)]]&gt;0,'گزارش فردی'!$B$7-Main[[#This Row],[تاريخ میلادی]],0)</f>
        <v>0</v>
      </c>
      <c r="R122" s="6">
        <f ca="1">IF(Main[[#This Row],[بدهی تسویه نشده (کیلوگرم)]]&gt;0,'گزارش فردی'!$B$7-Main[[#This Row],[تاريخ میلادی]]-'گزارش فردی'!$B$8,0)</f>
        <v>0</v>
      </c>
      <c r="S122" s="6">
        <f ca="1">Main[[#This Row],[روز از ارسال سفارش]]*Main[[#This Row],[بدهی تسویه نشده (کیلوگرم)]]</f>
        <v>0</v>
      </c>
      <c r="T122" s="6">
        <f ca="1">Main[[#This Row],[بدهی سررسید شده (کیلوگرم)]]*Main[[#This Row],[روز از ارسال سفارش]]</f>
        <v>0</v>
      </c>
      <c r="U122" s="6">
        <f>-SUBTOTAL(9,INDEX(Main[مقدار (کیلوگرم)],1):Main[[#This Row],[مقدار (کیلوگرم)]])</f>
        <v>24482</v>
      </c>
      <c r="V1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" s="6">
        <f>Main[[#This Row],[تعداد کل روزهای بدهکار (روز)]]*Main[[#This Row],[مانده در خط کل (کیلوگرم)]]</f>
        <v>0</v>
      </c>
      <c r="X122" s="6">
        <f ca="1">-SUBTOTAL(9,INDEX(Main[مقدار تسویه شده (کیلوگرم)],1):Main[[#This Row],[مقدار تسویه شده (کیلوگرم)]])</f>
        <v>24482</v>
      </c>
      <c r="Y122" s="6">
        <f ca="1">IF(Main[[#This Row],[مانده در خط تسویه شده (کیلوگرم)]]&lt;&gt;0,Main[[#This Row],[تعداد کل روزهای بدهکار (روز)]],0)</f>
        <v>0</v>
      </c>
      <c r="Z122" s="6">
        <f ca="1">Main[[#This Row],[تعداد روزهای بدهکار تسویه شده (روز)]]*Main[[#This Row],[مانده در خط تسویه شده (کیلوگرم)]]</f>
        <v>0</v>
      </c>
      <c r="AA122" s="6">
        <f ca="1">SUBTOTAL(9,INDEX(Main[بدهی تسویه نشده (کیلوگرم)],1):Main[[#This Row],[بدهی تسویه نشده (کیلوگرم)]])</f>
        <v>0</v>
      </c>
      <c r="AB122" s="6">
        <f ca="1">IF(Main[[#This Row],[مانده در خط تسویه نشده (کیلوگرم)]]&lt;&gt;0,Main[[#This Row],[تعداد کل روزهای بدهکار (روز)]],0)</f>
        <v>0</v>
      </c>
      <c r="AC122" s="6">
        <f ca="1">Main[[#This Row],[تعداد روزهای بدهکار  تسویه نشده (روز)]]*Main[[#This Row],[مانده در خط تسویه نشده (کیلوگرم)]]</f>
        <v>0</v>
      </c>
      <c r="AD122" s="6">
        <f ca="1">SUBTOTAL(9,INDEX(Main[بدهی سررسید شده (کیلوگرم)],1):Main[[#This Row],[بدهی سررسید شده (کیلوگرم)]])</f>
        <v>0</v>
      </c>
      <c r="AE122" s="6">
        <f ca="1">IF(Main[[#This Row],[مانده در خط سررسید شده (کیلوگرم)]]&lt;&gt;0,Main[[#This Row],[تعداد کل روزهای بدهکار (روز)]],0)</f>
        <v>0</v>
      </c>
      <c r="AF122" s="6">
        <f ca="1">Main[[#This Row],[تعداد روزهای بدهکار سررسید شده (روز)]]*Main[[#This Row],[مانده در خط سررسید شده (کیلوگرم)]]</f>
        <v>0</v>
      </c>
    </row>
    <row r="123" spans="1:32" x14ac:dyDescent="0.35">
      <c r="A123" s="5">
        <f>ROW()-ROW(INDEX(Main[ردیف],1))+1</f>
        <v>121</v>
      </c>
      <c r="B123" s="31">
        <f>SUBTOTAL(2,INDEX(Main[ردیف],1):Main[[#This Row],[ردیف]])</f>
        <v>6</v>
      </c>
      <c r="C123" s="32" t="s">
        <v>448</v>
      </c>
      <c r="D123" s="32" t="str">
        <f>_xlfn.CONCAT("14",Main[[#This Row],[تاريخ]])</f>
        <v>1400/01/18</v>
      </c>
      <c r="E123" s="33">
        <v>44293</v>
      </c>
      <c r="F123" s="32">
        <v>10003</v>
      </c>
      <c r="G123" s="5" t="str">
        <f>INDEX(customer[عنوان],MATCH(Main[[#This Row],[کد ردیابی]],customer[کد],0))</f>
        <v>اصغر نورعلی</v>
      </c>
      <c r="H123">
        <v>2837</v>
      </c>
      <c r="I123" s="6">
        <f ca="1">-Main[[#This Row],[بدهی تسویه شده (کیلوگرم)]]+Main[[#This Row],[بستانکار (کیلوگرم)]]</f>
        <v>2837</v>
      </c>
      <c r="J123" s="6">
        <f>IF(Main[[#This Row],[مقدار (کیلوگرم)]]&gt;0,Main[[#This Row],[مقدار (کیلوگرم)]],0)</f>
        <v>2837</v>
      </c>
      <c r="K123" s="6">
        <f>-IF(Main[[#This Row],[مقدار (کیلوگرم)]]&lt;0,Main[[#This Row],[مقدار (کیلوگرم)]],0)</f>
        <v>0</v>
      </c>
      <c r="L1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" s="7">
        <f>-IF(AND(Main[[#This Row],[مقدار (کیلوگرم)]]&lt;0,Main[[#This Row],[تاريخ میلادی]]&gt;44276),Main[[#This Row],[مقدار (کیلوگرم)]],0)</f>
        <v>0</v>
      </c>
      <c r="N123" s="6">
        <f ca="1">Main[[#This Row],[بدهکار (کیلوگرم)]]-Main[[#This Row],[بدهی تسویه نشده (کیلوگرم)]]</f>
        <v>0</v>
      </c>
      <c r="O123" s="6">
        <f ca="1">Main[[#This Row],[تفکیک]]</f>
        <v>0</v>
      </c>
      <c r="P123" s="6">
        <f ca="1">IF(Main[[#This Row],[تاخیر از سررسید]]&gt;0,Main[[#This Row],[بدهی تسویه نشده (کیلوگرم)]],0)</f>
        <v>0</v>
      </c>
      <c r="Q123" s="6">
        <f ca="1">IF(Main[[#This Row],[بدهی تسویه نشده (کیلوگرم)]]&gt;0,'گزارش فردی'!$B$7-Main[[#This Row],[تاريخ میلادی]],0)</f>
        <v>0</v>
      </c>
      <c r="R123" s="6">
        <f ca="1">IF(Main[[#This Row],[بدهی تسویه نشده (کیلوگرم)]]&gt;0,'گزارش فردی'!$B$7-Main[[#This Row],[تاريخ میلادی]]-'گزارش فردی'!$B$8,0)</f>
        <v>0</v>
      </c>
      <c r="S123" s="6">
        <f ca="1">Main[[#This Row],[روز از ارسال سفارش]]*Main[[#This Row],[بدهی تسویه نشده (کیلوگرم)]]</f>
        <v>0</v>
      </c>
      <c r="T123" s="6">
        <f ca="1">Main[[#This Row],[بدهی سررسید شده (کیلوگرم)]]*Main[[#This Row],[روز از ارسال سفارش]]</f>
        <v>0</v>
      </c>
      <c r="U123" s="6">
        <f>-SUBTOTAL(9,INDEX(Main[مقدار (کیلوگرم)],1):Main[[#This Row],[مقدار (کیلوگرم)]])</f>
        <v>21645</v>
      </c>
      <c r="V12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3" s="6">
        <f>Main[[#This Row],[تعداد کل روزهای بدهکار (روز)]]*Main[[#This Row],[مانده در خط کل (کیلوگرم)]]</f>
        <v>64935</v>
      </c>
      <c r="X123" s="6">
        <f ca="1">-SUBTOTAL(9,INDEX(Main[مقدار تسویه شده (کیلوگرم)],1):Main[[#This Row],[مقدار تسویه شده (کیلوگرم)]])</f>
        <v>21645</v>
      </c>
      <c r="Y123" s="6">
        <f ca="1">IF(Main[[#This Row],[مانده در خط تسویه شده (کیلوگرم)]]&lt;&gt;0,Main[[#This Row],[تعداد کل روزهای بدهکار (روز)]],0)</f>
        <v>3</v>
      </c>
      <c r="Z123" s="6">
        <f ca="1">Main[[#This Row],[تعداد روزهای بدهکار تسویه شده (روز)]]*Main[[#This Row],[مانده در خط تسویه شده (کیلوگرم)]]</f>
        <v>64935</v>
      </c>
      <c r="AA123" s="6">
        <f ca="1">SUBTOTAL(9,INDEX(Main[بدهی تسویه نشده (کیلوگرم)],1):Main[[#This Row],[بدهی تسویه نشده (کیلوگرم)]])</f>
        <v>0</v>
      </c>
      <c r="AB123" s="6">
        <f ca="1">IF(Main[[#This Row],[مانده در خط تسویه نشده (کیلوگرم)]]&lt;&gt;0,Main[[#This Row],[تعداد کل روزهای بدهکار (روز)]],0)</f>
        <v>0</v>
      </c>
      <c r="AC123" s="6">
        <f ca="1">Main[[#This Row],[تعداد روزهای بدهکار  تسویه نشده (روز)]]*Main[[#This Row],[مانده در خط تسویه نشده (کیلوگرم)]]</f>
        <v>0</v>
      </c>
      <c r="AD123" s="6">
        <f ca="1">SUBTOTAL(9,INDEX(Main[بدهی سررسید شده (کیلوگرم)],1):Main[[#This Row],[بدهی سررسید شده (کیلوگرم)]])</f>
        <v>0</v>
      </c>
      <c r="AE123" s="6">
        <f ca="1">IF(Main[[#This Row],[مانده در خط سررسید شده (کیلوگرم)]]&lt;&gt;0,Main[[#This Row],[تعداد کل روزهای بدهکار (روز)]],0)</f>
        <v>0</v>
      </c>
      <c r="AF123" s="6">
        <f ca="1">Main[[#This Row],[تعداد روزهای بدهکار سررسید شده (روز)]]*Main[[#This Row],[مانده در خط سررسید شده (کیلوگرم)]]</f>
        <v>0</v>
      </c>
    </row>
    <row r="124" spans="1:32" hidden="1" x14ac:dyDescent="0.35">
      <c r="A124" s="5">
        <f>ROW()-ROW(INDEX(Main[ردیف],1))+1</f>
        <v>122</v>
      </c>
      <c r="B124" s="31">
        <f>SUBTOTAL(2,INDEX(Main[ردیف],1):Main[[#This Row],[ردیف]])</f>
        <v>6</v>
      </c>
      <c r="C124" s="32" t="s">
        <v>448</v>
      </c>
      <c r="D124" s="32" t="str">
        <f>_xlfn.CONCAT("14",Main[[#This Row],[تاريخ]])</f>
        <v>1400/01/18</v>
      </c>
      <c r="E124" s="33">
        <v>44293</v>
      </c>
      <c r="F124" s="32">
        <v>10026</v>
      </c>
      <c r="G124" s="5" t="str">
        <f>INDEX(customer[عنوان],MATCH(Main[[#This Row],[کد ردیابی]],customer[کد],0))</f>
        <v xml:space="preserve">محسن فیاض بخش </v>
      </c>
      <c r="H124">
        <v>-1976</v>
      </c>
      <c r="I124" s="6">
        <f ca="1">-Main[[#This Row],[بدهی تسویه شده (کیلوگرم)]]+Main[[#This Row],[بستانکار (کیلوگرم)]]</f>
        <v>-1976</v>
      </c>
      <c r="J124" s="6">
        <f>IF(Main[[#This Row],[مقدار (کیلوگرم)]]&gt;0,Main[[#This Row],[مقدار (کیلوگرم)]],0)</f>
        <v>0</v>
      </c>
      <c r="K124" s="6">
        <f>-IF(Main[[#This Row],[مقدار (کیلوگرم)]]&lt;0,Main[[#This Row],[مقدار (کیلوگرم)]],0)</f>
        <v>1976</v>
      </c>
      <c r="L1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" s="7">
        <f>-IF(AND(Main[[#This Row],[مقدار (کیلوگرم)]]&lt;0,Main[[#This Row],[تاريخ میلادی]]&gt;44276),Main[[#This Row],[مقدار (کیلوگرم)]],0)</f>
        <v>1976</v>
      </c>
      <c r="N124" s="6">
        <f ca="1">Main[[#This Row],[بدهکار (کیلوگرم)]]-Main[[#This Row],[بدهی تسویه نشده (کیلوگرم)]]</f>
        <v>1976</v>
      </c>
      <c r="O124" s="6">
        <f ca="1">Main[[#This Row],[تفکیک]]</f>
        <v>0</v>
      </c>
      <c r="P124" s="6">
        <f ca="1">IF(Main[[#This Row],[تاخیر از سررسید]]&gt;0,Main[[#This Row],[بدهی تسویه نشده (کیلوگرم)]],0)</f>
        <v>0</v>
      </c>
      <c r="Q124" s="6">
        <f ca="1">IF(Main[[#This Row],[بدهی تسویه نشده (کیلوگرم)]]&gt;0,'گزارش فردی'!$B$7-Main[[#This Row],[تاريخ میلادی]],0)</f>
        <v>0</v>
      </c>
      <c r="R124" s="6">
        <f ca="1">IF(Main[[#This Row],[بدهی تسویه نشده (کیلوگرم)]]&gt;0,'گزارش فردی'!$B$7-Main[[#This Row],[تاريخ میلادی]]-'گزارش فردی'!$B$8,0)</f>
        <v>0</v>
      </c>
      <c r="S124" s="6">
        <f ca="1">Main[[#This Row],[روز از ارسال سفارش]]*Main[[#This Row],[بدهی تسویه نشده (کیلوگرم)]]</f>
        <v>0</v>
      </c>
      <c r="T124" s="6">
        <f ca="1">Main[[#This Row],[بدهی سررسید شده (کیلوگرم)]]*Main[[#This Row],[روز از ارسال سفارش]]</f>
        <v>0</v>
      </c>
      <c r="U124" s="6">
        <f>-SUBTOTAL(9,INDEX(Main[مقدار (کیلوگرم)],1):Main[[#This Row],[مقدار (کیلوگرم)]])</f>
        <v>21645</v>
      </c>
      <c r="V12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4" s="6">
        <f>Main[[#This Row],[تعداد کل روزهای بدهکار (روز)]]*Main[[#This Row],[مانده در خط کل (کیلوگرم)]]</f>
        <v>64935</v>
      </c>
      <c r="X124" s="6">
        <f ca="1">-SUBTOTAL(9,INDEX(Main[مقدار تسویه شده (کیلوگرم)],1):Main[[#This Row],[مقدار تسویه شده (کیلوگرم)]])</f>
        <v>21645</v>
      </c>
      <c r="Y124" s="6">
        <f ca="1">IF(Main[[#This Row],[مانده در خط تسویه شده (کیلوگرم)]]&lt;&gt;0,Main[[#This Row],[تعداد کل روزهای بدهکار (روز)]],0)</f>
        <v>3</v>
      </c>
      <c r="Z124" s="6">
        <f ca="1">Main[[#This Row],[تعداد روزهای بدهکار تسویه شده (روز)]]*Main[[#This Row],[مانده در خط تسویه شده (کیلوگرم)]]</f>
        <v>64935</v>
      </c>
      <c r="AA124" s="6">
        <f ca="1">SUBTOTAL(9,INDEX(Main[بدهی تسویه نشده (کیلوگرم)],1):Main[[#This Row],[بدهی تسویه نشده (کیلوگرم)]])</f>
        <v>0</v>
      </c>
      <c r="AB124" s="6">
        <f ca="1">IF(Main[[#This Row],[مانده در خط تسویه نشده (کیلوگرم)]]&lt;&gt;0,Main[[#This Row],[تعداد کل روزهای بدهکار (روز)]],0)</f>
        <v>0</v>
      </c>
      <c r="AC124" s="6">
        <f ca="1">Main[[#This Row],[تعداد روزهای بدهکار  تسویه نشده (روز)]]*Main[[#This Row],[مانده در خط تسویه نشده (کیلوگرم)]]</f>
        <v>0</v>
      </c>
      <c r="AD124" s="6">
        <f ca="1">SUBTOTAL(9,INDEX(Main[بدهی سررسید شده (کیلوگرم)],1):Main[[#This Row],[بدهی سررسید شده (کیلوگرم)]])</f>
        <v>0</v>
      </c>
      <c r="AE124" s="6">
        <f ca="1">IF(Main[[#This Row],[مانده در خط سررسید شده (کیلوگرم)]]&lt;&gt;0,Main[[#This Row],[تعداد کل روزهای بدهکار (روز)]],0)</f>
        <v>0</v>
      </c>
      <c r="AF124" s="6">
        <f ca="1">Main[[#This Row],[تعداد روزهای بدهکار سررسید شده (روز)]]*Main[[#This Row],[مانده در خط سررسید شده (کیلوگرم)]]</f>
        <v>0</v>
      </c>
    </row>
    <row r="125" spans="1:32" hidden="1" x14ac:dyDescent="0.35">
      <c r="A125" s="5">
        <f>ROW()-ROW(INDEX(Main[ردیف],1))+1</f>
        <v>123</v>
      </c>
      <c r="B125" s="31">
        <f>SUBTOTAL(2,INDEX(Main[ردیف],1):Main[[#This Row],[ردیف]])</f>
        <v>6</v>
      </c>
      <c r="C125" s="32" t="s">
        <v>508</v>
      </c>
      <c r="D125" s="32" t="str">
        <f>_xlfn.CONCAT("14",Main[[#This Row],[تاريخ]])</f>
        <v>1400/01/19</v>
      </c>
      <c r="E125" s="33">
        <v>44294</v>
      </c>
      <c r="F125" s="32">
        <v>30015</v>
      </c>
      <c r="G125" s="5" t="str">
        <f>INDEX(customer[عنوان],MATCH(Main[[#This Row],[کد ردیابی]],customer[کد],0))</f>
        <v xml:space="preserve">شیرآلات بهداشتی شایان </v>
      </c>
      <c r="H125">
        <v>730</v>
      </c>
      <c r="I125" s="6">
        <f ca="1">-Main[[#This Row],[بدهی تسویه شده (کیلوگرم)]]+Main[[#This Row],[بستانکار (کیلوگرم)]]</f>
        <v>730</v>
      </c>
      <c r="J125" s="6">
        <f>IF(Main[[#This Row],[مقدار (کیلوگرم)]]&gt;0,Main[[#This Row],[مقدار (کیلوگرم)]],0)</f>
        <v>730</v>
      </c>
      <c r="K125" s="6">
        <f>-IF(Main[[#This Row],[مقدار (کیلوگرم)]]&lt;0,Main[[#This Row],[مقدار (کیلوگرم)]],0)</f>
        <v>0</v>
      </c>
      <c r="L1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" s="7">
        <f>-IF(AND(Main[[#This Row],[مقدار (کیلوگرم)]]&lt;0,Main[[#This Row],[تاريخ میلادی]]&gt;44276),Main[[#This Row],[مقدار (کیلوگرم)]],0)</f>
        <v>0</v>
      </c>
      <c r="N125" s="6">
        <f ca="1">Main[[#This Row],[بدهکار (کیلوگرم)]]-Main[[#This Row],[بدهی تسویه نشده (کیلوگرم)]]</f>
        <v>0</v>
      </c>
      <c r="O125" s="6">
        <f ca="1">Main[[#This Row],[تفکیک]]</f>
        <v>0</v>
      </c>
      <c r="P125" s="6">
        <f ca="1">IF(Main[[#This Row],[تاخیر از سررسید]]&gt;0,Main[[#This Row],[بدهی تسویه نشده (کیلوگرم)]],0)</f>
        <v>0</v>
      </c>
      <c r="Q125" s="6">
        <f ca="1">IF(Main[[#This Row],[بدهی تسویه نشده (کیلوگرم)]]&gt;0,'گزارش فردی'!$B$7-Main[[#This Row],[تاريخ میلادی]],0)</f>
        <v>0</v>
      </c>
      <c r="R125" s="6">
        <f ca="1">IF(Main[[#This Row],[بدهی تسویه نشده (کیلوگرم)]]&gt;0,'گزارش فردی'!$B$7-Main[[#This Row],[تاريخ میلادی]]-'گزارش فردی'!$B$8,0)</f>
        <v>0</v>
      </c>
      <c r="S125" s="6">
        <f ca="1">Main[[#This Row],[روز از ارسال سفارش]]*Main[[#This Row],[بدهی تسویه نشده (کیلوگرم)]]</f>
        <v>0</v>
      </c>
      <c r="T125" s="6">
        <f ca="1">Main[[#This Row],[بدهی سررسید شده (کیلوگرم)]]*Main[[#This Row],[روز از ارسال سفارش]]</f>
        <v>0</v>
      </c>
      <c r="U125" s="6">
        <f>-SUBTOTAL(9,INDEX(Main[مقدار (کیلوگرم)],1):Main[[#This Row],[مقدار (کیلوگرم)]])</f>
        <v>21645</v>
      </c>
      <c r="V1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5" s="6">
        <f>Main[[#This Row],[تعداد کل روزهای بدهکار (روز)]]*Main[[#This Row],[مانده در خط کل (کیلوگرم)]]</f>
        <v>43290</v>
      </c>
      <c r="X125" s="6">
        <f ca="1">-SUBTOTAL(9,INDEX(Main[مقدار تسویه شده (کیلوگرم)],1):Main[[#This Row],[مقدار تسویه شده (کیلوگرم)]])</f>
        <v>21645</v>
      </c>
      <c r="Y125" s="6">
        <f ca="1">IF(Main[[#This Row],[مانده در خط تسویه شده (کیلوگرم)]]&lt;&gt;0,Main[[#This Row],[تعداد کل روزهای بدهکار (روز)]],0)</f>
        <v>2</v>
      </c>
      <c r="Z125" s="6">
        <f ca="1">Main[[#This Row],[تعداد روزهای بدهکار تسویه شده (روز)]]*Main[[#This Row],[مانده در خط تسویه شده (کیلوگرم)]]</f>
        <v>43290</v>
      </c>
      <c r="AA125" s="6">
        <f ca="1">SUBTOTAL(9,INDEX(Main[بدهی تسویه نشده (کیلوگرم)],1):Main[[#This Row],[بدهی تسویه نشده (کیلوگرم)]])</f>
        <v>0</v>
      </c>
      <c r="AB125" s="6">
        <f ca="1">IF(Main[[#This Row],[مانده در خط تسویه نشده (کیلوگرم)]]&lt;&gt;0,Main[[#This Row],[تعداد کل روزهای بدهکار (روز)]],0)</f>
        <v>0</v>
      </c>
      <c r="AC125" s="6">
        <f ca="1">Main[[#This Row],[تعداد روزهای بدهکار  تسویه نشده (روز)]]*Main[[#This Row],[مانده در خط تسویه نشده (کیلوگرم)]]</f>
        <v>0</v>
      </c>
      <c r="AD125" s="6">
        <f ca="1">SUBTOTAL(9,INDEX(Main[بدهی سررسید شده (کیلوگرم)],1):Main[[#This Row],[بدهی سررسید شده (کیلوگرم)]])</f>
        <v>0</v>
      </c>
      <c r="AE125" s="6">
        <f ca="1">IF(Main[[#This Row],[مانده در خط سررسید شده (کیلوگرم)]]&lt;&gt;0,Main[[#This Row],[تعداد کل روزهای بدهکار (روز)]],0)</f>
        <v>0</v>
      </c>
      <c r="AF125" s="6">
        <f ca="1">Main[[#This Row],[تعداد روزهای بدهکار سررسید شده (روز)]]*Main[[#This Row],[مانده در خط سررسید شده (کیلوگرم)]]</f>
        <v>0</v>
      </c>
    </row>
    <row r="126" spans="1:32" hidden="1" x14ac:dyDescent="0.35">
      <c r="A126" s="5">
        <f>ROW()-ROW(INDEX(Main[ردیف],1))+1</f>
        <v>124</v>
      </c>
      <c r="B126" s="31">
        <f>SUBTOTAL(2,INDEX(Main[ردیف],1):Main[[#This Row],[ردیف]])</f>
        <v>6</v>
      </c>
      <c r="C126" s="32" t="s">
        <v>508</v>
      </c>
      <c r="D126" s="32" t="str">
        <f>_xlfn.CONCAT("14",Main[[#This Row],[تاريخ]])</f>
        <v>1400/01/19</v>
      </c>
      <c r="E126" s="33">
        <v>44294</v>
      </c>
      <c r="F126" s="32">
        <v>30066</v>
      </c>
      <c r="G126" s="5" t="str">
        <f>INDEX(customer[عنوان],MATCH(Main[[#This Row],[کد ردیابی]],customer[کد],0))</f>
        <v xml:space="preserve">شیر آلات بهداشتی قهرمان </v>
      </c>
      <c r="H126">
        <v>-5546</v>
      </c>
      <c r="I126" s="6">
        <f ca="1">-Main[[#This Row],[بدهی تسویه شده (کیلوگرم)]]+Main[[#This Row],[بستانکار (کیلوگرم)]]</f>
        <v>-5546</v>
      </c>
      <c r="J126" s="6">
        <f>IF(Main[[#This Row],[مقدار (کیلوگرم)]]&gt;0,Main[[#This Row],[مقدار (کیلوگرم)]],0)</f>
        <v>0</v>
      </c>
      <c r="K126" s="6">
        <f>-IF(Main[[#This Row],[مقدار (کیلوگرم)]]&lt;0,Main[[#This Row],[مقدار (کیلوگرم)]],0)</f>
        <v>5546</v>
      </c>
      <c r="L1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" s="7">
        <f>-IF(AND(Main[[#This Row],[مقدار (کیلوگرم)]]&lt;0,Main[[#This Row],[تاريخ میلادی]]&gt;44276),Main[[#This Row],[مقدار (کیلوگرم)]],0)</f>
        <v>5546</v>
      </c>
      <c r="N126" s="6">
        <f ca="1">Main[[#This Row],[بدهکار (کیلوگرم)]]-Main[[#This Row],[بدهی تسویه نشده (کیلوگرم)]]</f>
        <v>5546</v>
      </c>
      <c r="O126" s="6">
        <f ca="1">Main[[#This Row],[تفکیک]]</f>
        <v>0</v>
      </c>
      <c r="P126" s="6">
        <f ca="1">IF(Main[[#This Row],[تاخیر از سررسید]]&gt;0,Main[[#This Row],[بدهی تسویه نشده (کیلوگرم)]],0)</f>
        <v>0</v>
      </c>
      <c r="Q126" s="6">
        <f ca="1">IF(Main[[#This Row],[بدهی تسویه نشده (کیلوگرم)]]&gt;0,'گزارش فردی'!$B$7-Main[[#This Row],[تاريخ میلادی]],0)</f>
        <v>0</v>
      </c>
      <c r="R126" s="6">
        <f ca="1">IF(Main[[#This Row],[بدهی تسویه نشده (کیلوگرم)]]&gt;0,'گزارش فردی'!$B$7-Main[[#This Row],[تاريخ میلادی]]-'گزارش فردی'!$B$8,0)</f>
        <v>0</v>
      </c>
      <c r="S126" s="6">
        <f ca="1">Main[[#This Row],[روز از ارسال سفارش]]*Main[[#This Row],[بدهی تسویه نشده (کیلوگرم)]]</f>
        <v>0</v>
      </c>
      <c r="T126" s="6">
        <f ca="1">Main[[#This Row],[بدهی سررسید شده (کیلوگرم)]]*Main[[#This Row],[روز از ارسال سفارش]]</f>
        <v>0</v>
      </c>
      <c r="U126" s="6">
        <f>-SUBTOTAL(9,INDEX(Main[مقدار (کیلوگرم)],1):Main[[#This Row],[مقدار (کیلوگرم)]])</f>
        <v>21645</v>
      </c>
      <c r="V1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6" s="6">
        <f>Main[[#This Row],[تعداد کل روزهای بدهکار (روز)]]*Main[[#This Row],[مانده در خط کل (کیلوگرم)]]</f>
        <v>43290</v>
      </c>
      <c r="X126" s="6">
        <f ca="1">-SUBTOTAL(9,INDEX(Main[مقدار تسویه شده (کیلوگرم)],1):Main[[#This Row],[مقدار تسویه شده (کیلوگرم)]])</f>
        <v>21645</v>
      </c>
      <c r="Y126" s="6">
        <f ca="1">IF(Main[[#This Row],[مانده در خط تسویه شده (کیلوگرم)]]&lt;&gt;0,Main[[#This Row],[تعداد کل روزهای بدهکار (روز)]],0)</f>
        <v>2</v>
      </c>
      <c r="Z126" s="6">
        <f ca="1">Main[[#This Row],[تعداد روزهای بدهکار تسویه شده (روز)]]*Main[[#This Row],[مانده در خط تسویه شده (کیلوگرم)]]</f>
        <v>43290</v>
      </c>
      <c r="AA126" s="6">
        <f ca="1">SUBTOTAL(9,INDEX(Main[بدهی تسویه نشده (کیلوگرم)],1):Main[[#This Row],[بدهی تسویه نشده (کیلوگرم)]])</f>
        <v>0</v>
      </c>
      <c r="AB126" s="6">
        <f ca="1">IF(Main[[#This Row],[مانده در خط تسویه نشده (کیلوگرم)]]&lt;&gt;0,Main[[#This Row],[تعداد کل روزهای بدهکار (روز)]],0)</f>
        <v>0</v>
      </c>
      <c r="AC126" s="6">
        <f ca="1">Main[[#This Row],[تعداد روزهای بدهکار  تسویه نشده (روز)]]*Main[[#This Row],[مانده در خط تسویه نشده (کیلوگرم)]]</f>
        <v>0</v>
      </c>
      <c r="AD126" s="6">
        <f ca="1">SUBTOTAL(9,INDEX(Main[بدهی سررسید شده (کیلوگرم)],1):Main[[#This Row],[بدهی سررسید شده (کیلوگرم)]])</f>
        <v>0</v>
      </c>
      <c r="AE126" s="6">
        <f ca="1">IF(Main[[#This Row],[مانده در خط سررسید شده (کیلوگرم)]]&lt;&gt;0,Main[[#This Row],[تعداد کل روزهای بدهکار (روز)]],0)</f>
        <v>0</v>
      </c>
      <c r="AF126" s="6">
        <f ca="1">Main[[#This Row],[تعداد روزهای بدهکار سررسید شده (روز)]]*Main[[#This Row],[مانده در خط سررسید شده (کیلوگرم)]]</f>
        <v>0</v>
      </c>
    </row>
    <row r="127" spans="1:32" hidden="1" x14ac:dyDescent="0.35">
      <c r="A127" s="5">
        <f>ROW()-ROW(INDEX(Main[ردیف],1))+1</f>
        <v>125</v>
      </c>
      <c r="B127" s="31">
        <f>SUBTOTAL(2,INDEX(Main[ردیف],1):Main[[#This Row],[ردیف]])</f>
        <v>6</v>
      </c>
      <c r="C127" s="32" t="s">
        <v>508</v>
      </c>
      <c r="D127" s="32" t="str">
        <f>_xlfn.CONCAT("14",Main[[#This Row],[تاريخ]])</f>
        <v>1400/01/19</v>
      </c>
      <c r="E127" s="33">
        <v>44294</v>
      </c>
      <c r="F127" s="32">
        <v>30066</v>
      </c>
      <c r="G127" s="5" t="str">
        <f>INDEX(customer[عنوان],MATCH(Main[[#This Row],[کد ردیابی]],customer[کد],0))</f>
        <v xml:space="preserve">شیر آلات بهداشتی قهرمان </v>
      </c>
      <c r="H127">
        <v>2055</v>
      </c>
      <c r="I127" s="6">
        <f ca="1">-Main[[#This Row],[بدهی تسویه شده (کیلوگرم)]]+Main[[#This Row],[بستانکار (کیلوگرم)]]</f>
        <v>2055</v>
      </c>
      <c r="J127" s="6">
        <f>IF(Main[[#This Row],[مقدار (کیلوگرم)]]&gt;0,Main[[#This Row],[مقدار (کیلوگرم)]],0)</f>
        <v>2055</v>
      </c>
      <c r="K127" s="6">
        <f>-IF(Main[[#This Row],[مقدار (کیلوگرم)]]&lt;0,Main[[#This Row],[مقدار (کیلوگرم)]],0)</f>
        <v>0</v>
      </c>
      <c r="L1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" s="7">
        <f>-IF(AND(Main[[#This Row],[مقدار (کیلوگرم)]]&lt;0,Main[[#This Row],[تاريخ میلادی]]&gt;44276),Main[[#This Row],[مقدار (کیلوگرم)]],0)</f>
        <v>0</v>
      </c>
      <c r="N127" s="6">
        <f ca="1">Main[[#This Row],[بدهکار (کیلوگرم)]]-Main[[#This Row],[بدهی تسویه نشده (کیلوگرم)]]</f>
        <v>0</v>
      </c>
      <c r="O127" s="6">
        <f ca="1">Main[[#This Row],[تفکیک]]</f>
        <v>0</v>
      </c>
      <c r="P127" s="6">
        <f ca="1">IF(Main[[#This Row],[تاخیر از سررسید]]&gt;0,Main[[#This Row],[بدهی تسویه نشده (کیلوگرم)]],0)</f>
        <v>0</v>
      </c>
      <c r="Q127" s="6">
        <f ca="1">IF(Main[[#This Row],[بدهی تسویه نشده (کیلوگرم)]]&gt;0,'گزارش فردی'!$B$7-Main[[#This Row],[تاريخ میلادی]],0)</f>
        <v>0</v>
      </c>
      <c r="R127" s="6">
        <f ca="1">IF(Main[[#This Row],[بدهی تسویه نشده (کیلوگرم)]]&gt;0,'گزارش فردی'!$B$7-Main[[#This Row],[تاريخ میلادی]]-'گزارش فردی'!$B$8,0)</f>
        <v>0</v>
      </c>
      <c r="S127" s="6">
        <f ca="1">Main[[#This Row],[روز از ارسال سفارش]]*Main[[#This Row],[بدهی تسویه نشده (کیلوگرم)]]</f>
        <v>0</v>
      </c>
      <c r="T127" s="6">
        <f ca="1">Main[[#This Row],[بدهی سررسید شده (کیلوگرم)]]*Main[[#This Row],[روز از ارسال سفارش]]</f>
        <v>0</v>
      </c>
      <c r="U127" s="6">
        <f>-SUBTOTAL(9,INDEX(Main[مقدار (کیلوگرم)],1):Main[[#This Row],[مقدار (کیلوگرم)]])</f>
        <v>21645</v>
      </c>
      <c r="V1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" s="6">
        <f>Main[[#This Row],[تعداد کل روزهای بدهکار (روز)]]*Main[[#This Row],[مانده در خط کل (کیلوگرم)]]</f>
        <v>43290</v>
      </c>
      <c r="X127" s="6">
        <f ca="1">-SUBTOTAL(9,INDEX(Main[مقدار تسویه شده (کیلوگرم)],1):Main[[#This Row],[مقدار تسویه شده (کیلوگرم)]])</f>
        <v>21645</v>
      </c>
      <c r="Y127" s="6">
        <f ca="1">IF(Main[[#This Row],[مانده در خط تسویه شده (کیلوگرم)]]&lt;&gt;0,Main[[#This Row],[تعداد کل روزهای بدهکار (روز)]],0)</f>
        <v>2</v>
      </c>
      <c r="Z127" s="6">
        <f ca="1">Main[[#This Row],[تعداد روزهای بدهکار تسویه شده (روز)]]*Main[[#This Row],[مانده در خط تسویه شده (کیلوگرم)]]</f>
        <v>43290</v>
      </c>
      <c r="AA127" s="6">
        <f ca="1">SUBTOTAL(9,INDEX(Main[بدهی تسویه نشده (کیلوگرم)],1):Main[[#This Row],[بدهی تسویه نشده (کیلوگرم)]])</f>
        <v>0</v>
      </c>
      <c r="AB127" s="6">
        <f ca="1">IF(Main[[#This Row],[مانده در خط تسویه نشده (کیلوگرم)]]&lt;&gt;0,Main[[#This Row],[تعداد کل روزهای بدهکار (روز)]],0)</f>
        <v>0</v>
      </c>
      <c r="AC127" s="6">
        <f ca="1">Main[[#This Row],[تعداد روزهای بدهکار  تسویه نشده (روز)]]*Main[[#This Row],[مانده در خط تسویه نشده (کیلوگرم)]]</f>
        <v>0</v>
      </c>
      <c r="AD127" s="6">
        <f ca="1">SUBTOTAL(9,INDEX(Main[بدهی سررسید شده (کیلوگرم)],1):Main[[#This Row],[بدهی سررسید شده (کیلوگرم)]])</f>
        <v>0</v>
      </c>
      <c r="AE127" s="6">
        <f ca="1">IF(Main[[#This Row],[مانده در خط سررسید شده (کیلوگرم)]]&lt;&gt;0,Main[[#This Row],[تعداد کل روزهای بدهکار (روز)]],0)</f>
        <v>0</v>
      </c>
      <c r="AF127" s="6">
        <f ca="1">Main[[#This Row],[تعداد روزهای بدهکار سررسید شده (روز)]]*Main[[#This Row],[مانده در خط سررسید شده (کیلوگرم)]]</f>
        <v>0</v>
      </c>
    </row>
    <row r="128" spans="1:32" hidden="1" x14ac:dyDescent="0.35">
      <c r="A128" s="5">
        <f>ROW()-ROW(INDEX(Main[ردیف],1))+1</f>
        <v>126</v>
      </c>
      <c r="B128" s="31">
        <f>SUBTOTAL(2,INDEX(Main[ردیف],1):Main[[#This Row],[ردیف]])</f>
        <v>6</v>
      </c>
      <c r="C128" s="32" t="s">
        <v>508</v>
      </c>
      <c r="D128" s="32" t="str">
        <f>_xlfn.CONCAT("14",Main[[#This Row],[تاريخ]])</f>
        <v>1400/01/19</v>
      </c>
      <c r="E128" s="33">
        <v>44294</v>
      </c>
      <c r="F128" s="32">
        <v>10048</v>
      </c>
      <c r="G128" s="5" t="str">
        <f>INDEX(customer[عنوان],MATCH(Main[[#This Row],[کد ردیابی]],customer[کد],0))</f>
        <v xml:space="preserve">حسام کریمان  </v>
      </c>
      <c r="H128">
        <v>-698</v>
      </c>
      <c r="I128" s="6">
        <f ca="1">-Main[[#This Row],[بدهی تسویه شده (کیلوگرم)]]+Main[[#This Row],[بستانکار (کیلوگرم)]]</f>
        <v>-698</v>
      </c>
      <c r="J128" s="6">
        <f>IF(Main[[#This Row],[مقدار (کیلوگرم)]]&gt;0,Main[[#This Row],[مقدار (کیلوگرم)]],0)</f>
        <v>0</v>
      </c>
      <c r="K128" s="6">
        <f>-IF(Main[[#This Row],[مقدار (کیلوگرم)]]&lt;0,Main[[#This Row],[مقدار (کیلوگرم)]],0)</f>
        <v>698</v>
      </c>
      <c r="L1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" s="7">
        <f>-IF(AND(Main[[#This Row],[مقدار (کیلوگرم)]]&lt;0,Main[[#This Row],[تاريخ میلادی]]&gt;44276),Main[[#This Row],[مقدار (کیلوگرم)]],0)</f>
        <v>698</v>
      </c>
      <c r="N128" s="6">
        <f ca="1">Main[[#This Row],[بدهکار (کیلوگرم)]]-Main[[#This Row],[بدهی تسویه نشده (کیلوگرم)]]</f>
        <v>698</v>
      </c>
      <c r="O128" s="6">
        <f ca="1">Main[[#This Row],[تفکیک]]</f>
        <v>0</v>
      </c>
      <c r="P128" s="6">
        <f ca="1">IF(Main[[#This Row],[تاخیر از سررسید]]&gt;0,Main[[#This Row],[بدهی تسویه نشده (کیلوگرم)]],0)</f>
        <v>0</v>
      </c>
      <c r="Q128" s="6">
        <f ca="1">IF(Main[[#This Row],[بدهی تسویه نشده (کیلوگرم)]]&gt;0,'گزارش فردی'!$B$7-Main[[#This Row],[تاريخ میلادی]],0)</f>
        <v>0</v>
      </c>
      <c r="R128" s="6">
        <f ca="1">IF(Main[[#This Row],[بدهی تسویه نشده (کیلوگرم)]]&gt;0,'گزارش فردی'!$B$7-Main[[#This Row],[تاريخ میلادی]]-'گزارش فردی'!$B$8,0)</f>
        <v>0</v>
      </c>
      <c r="S128" s="6">
        <f ca="1">Main[[#This Row],[روز از ارسال سفارش]]*Main[[#This Row],[بدهی تسویه نشده (کیلوگرم)]]</f>
        <v>0</v>
      </c>
      <c r="T128" s="6">
        <f ca="1">Main[[#This Row],[بدهی سررسید شده (کیلوگرم)]]*Main[[#This Row],[روز از ارسال سفارش]]</f>
        <v>0</v>
      </c>
      <c r="U128" s="6">
        <f>-SUBTOTAL(9,INDEX(Main[مقدار (کیلوگرم)],1):Main[[#This Row],[مقدار (کیلوگرم)]])</f>
        <v>21645</v>
      </c>
      <c r="V1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" s="6">
        <f>Main[[#This Row],[تعداد کل روزهای بدهکار (روز)]]*Main[[#This Row],[مانده در خط کل (کیلوگرم)]]</f>
        <v>43290</v>
      </c>
      <c r="X128" s="6">
        <f ca="1">-SUBTOTAL(9,INDEX(Main[مقدار تسویه شده (کیلوگرم)],1):Main[[#This Row],[مقدار تسویه شده (کیلوگرم)]])</f>
        <v>21645</v>
      </c>
      <c r="Y128" s="6">
        <f ca="1">IF(Main[[#This Row],[مانده در خط تسویه شده (کیلوگرم)]]&lt;&gt;0,Main[[#This Row],[تعداد کل روزهای بدهکار (روز)]],0)</f>
        <v>2</v>
      </c>
      <c r="Z128" s="6">
        <f ca="1">Main[[#This Row],[تعداد روزهای بدهکار تسویه شده (روز)]]*Main[[#This Row],[مانده در خط تسویه شده (کیلوگرم)]]</f>
        <v>43290</v>
      </c>
      <c r="AA128" s="6">
        <f ca="1">SUBTOTAL(9,INDEX(Main[بدهی تسویه نشده (کیلوگرم)],1):Main[[#This Row],[بدهی تسویه نشده (کیلوگرم)]])</f>
        <v>0</v>
      </c>
      <c r="AB128" s="6">
        <f ca="1">IF(Main[[#This Row],[مانده در خط تسویه نشده (کیلوگرم)]]&lt;&gt;0,Main[[#This Row],[تعداد کل روزهای بدهکار (روز)]],0)</f>
        <v>0</v>
      </c>
      <c r="AC128" s="6">
        <f ca="1">Main[[#This Row],[تعداد روزهای بدهکار  تسویه نشده (روز)]]*Main[[#This Row],[مانده در خط تسویه نشده (کیلوگرم)]]</f>
        <v>0</v>
      </c>
      <c r="AD128" s="6">
        <f ca="1">SUBTOTAL(9,INDEX(Main[بدهی سررسید شده (کیلوگرم)],1):Main[[#This Row],[بدهی سررسید شده (کیلوگرم)]])</f>
        <v>0</v>
      </c>
      <c r="AE128" s="6">
        <f ca="1">IF(Main[[#This Row],[مانده در خط سررسید شده (کیلوگرم)]]&lt;&gt;0,Main[[#This Row],[تعداد کل روزهای بدهکار (روز)]],0)</f>
        <v>0</v>
      </c>
      <c r="AF128" s="6">
        <f ca="1">Main[[#This Row],[تعداد روزهای بدهکار سررسید شده (روز)]]*Main[[#This Row],[مانده در خط سررسید شده (کیلوگرم)]]</f>
        <v>0</v>
      </c>
    </row>
    <row r="129" spans="1:32" hidden="1" x14ac:dyDescent="0.35">
      <c r="A129" s="5">
        <f>ROW()-ROW(INDEX(Main[ردیف],1))+1</f>
        <v>127</v>
      </c>
      <c r="B129" s="31">
        <f>SUBTOTAL(2,INDEX(Main[ردیف],1):Main[[#This Row],[ردیف]])</f>
        <v>6</v>
      </c>
      <c r="C129" s="32" t="s">
        <v>508</v>
      </c>
      <c r="D129" s="32" t="str">
        <f>_xlfn.CONCAT("14",Main[[#This Row],[تاريخ]])</f>
        <v>1400/01/19</v>
      </c>
      <c r="E129" s="33">
        <v>44294</v>
      </c>
      <c r="F129" s="32">
        <v>10048</v>
      </c>
      <c r="G129" s="5" t="str">
        <f>INDEX(customer[عنوان],MATCH(Main[[#This Row],[کد ردیابی]],customer[کد],0))</f>
        <v xml:space="preserve">حسام کریمان  </v>
      </c>
      <c r="H129">
        <v>536</v>
      </c>
      <c r="I129" s="6">
        <f ca="1">-Main[[#This Row],[بدهی تسویه شده (کیلوگرم)]]+Main[[#This Row],[بستانکار (کیلوگرم)]]</f>
        <v>536</v>
      </c>
      <c r="J129" s="6">
        <f>IF(Main[[#This Row],[مقدار (کیلوگرم)]]&gt;0,Main[[#This Row],[مقدار (کیلوگرم)]],0)</f>
        <v>536</v>
      </c>
      <c r="K129" s="6">
        <f>-IF(Main[[#This Row],[مقدار (کیلوگرم)]]&lt;0,Main[[#This Row],[مقدار (کیلوگرم)]],0)</f>
        <v>0</v>
      </c>
      <c r="L1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" s="7">
        <f>-IF(AND(Main[[#This Row],[مقدار (کیلوگرم)]]&lt;0,Main[[#This Row],[تاريخ میلادی]]&gt;44276),Main[[#This Row],[مقدار (کیلوگرم)]],0)</f>
        <v>0</v>
      </c>
      <c r="N129" s="6">
        <f ca="1">Main[[#This Row],[بدهکار (کیلوگرم)]]-Main[[#This Row],[بدهی تسویه نشده (کیلوگرم)]]</f>
        <v>0</v>
      </c>
      <c r="O129" s="6">
        <f ca="1">Main[[#This Row],[تفکیک]]</f>
        <v>0</v>
      </c>
      <c r="P129" s="6">
        <f ca="1">IF(Main[[#This Row],[تاخیر از سررسید]]&gt;0,Main[[#This Row],[بدهی تسویه نشده (کیلوگرم)]],0)</f>
        <v>0</v>
      </c>
      <c r="Q129" s="6">
        <f ca="1">IF(Main[[#This Row],[بدهی تسویه نشده (کیلوگرم)]]&gt;0,'گزارش فردی'!$B$7-Main[[#This Row],[تاريخ میلادی]],0)</f>
        <v>0</v>
      </c>
      <c r="R129" s="6">
        <f ca="1">IF(Main[[#This Row],[بدهی تسویه نشده (کیلوگرم)]]&gt;0,'گزارش فردی'!$B$7-Main[[#This Row],[تاريخ میلادی]]-'گزارش فردی'!$B$8,0)</f>
        <v>0</v>
      </c>
      <c r="S129" s="6">
        <f ca="1">Main[[#This Row],[روز از ارسال سفارش]]*Main[[#This Row],[بدهی تسویه نشده (کیلوگرم)]]</f>
        <v>0</v>
      </c>
      <c r="T129" s="6">
        <f ca="1">Main[[#This Row],[بدهی سررسید شده (کیلوگرم)]]*Main[[#This Row],[روز از ارسال سفارش]]</f>
        <v>0</v>
      </c>
      <c r="U129" s="6">
        <f>-SUBTOTAL(9,INDEX(Main[مقدار (کیلوگرم)],1):Main[[#This Row],[مقدار (کیلوگرم)]])</f>
        <v>21645</v>
      </c>
      <c r="V1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9" s="6">
        <f>Main[[#This Row],[تعداد کل روزهای بدهکار (روز)]]*Main[[#This Row],[مانده در خط کل (کیلوگرم)]]</f>
        <v>43290</v>
      </c>
      <c r="X129" s="6">
        <f ca="1">-SUBTOTAL(9,INDEX(Main[مقدار تسویه شده (کیلوگرم)],1):Main[[#This Row],[مقدار تسویه شده (کیلوگرم)]])</f>
        <v>21645</v>
      </c>
      <c r="Y129" s="6">
        <f ca="1">IF(Main[[#This Row],[مانده در خط تسویه شده (کیلوگرم)]]&lt;&gt;0,Main[[#This Row],[تعداد کل روزهای بدهکار (روز)]],0)</f>
        <v>2</v>
      </c>
      <c r="Z129" s="6">
        <f ca="1">Main[[#This Row],[تعداد روزهای بدهکار تسویه شده (روز)]]*Main[[#This Row],[مانده در خط تسویه شده (کیلوگرم)]]</f>
        <v>43290</v>
      </c>
      <c r="AA129" s="6">
        <f ca="1">SUBTOTAL(9,INDEX(Main[بدهی تسویه نشده (کیلوگرم)],1):Main[[#This Row],[بدهی تسویه نشده (کیلوگرم)]])</f>
        <v>0</v>
      </c>
      <c r="AB129" s="6">
        <f ca="1">IF(Main[[#This Row],[مانده در خط تسویه نشده (کیلوگرم)]]&lt;&gt;0,Main[[#This Row],[تعداد کل روزهای بدهکار (روز)]],0)</f>
        <v>0</v>
      </c>
      <c r="AC129" s="6">
        <f ca="1">Main[[#This Row],[تعداد روزهای بدهکار  تسویه نشده (روز)]]*Main[[#This Row],[مانده در خط تسویه نشده (کیلوگرم)]]</f>
        <v>0</v>
      </c>
      <c r="AD129" s="6">
        <f ca="1">SUBTOTAL(9,INDEX(Main[بدهی سررسید شده (کیلوگرم)],1):Main[[#This Row],[بدهی سررسید شده (کیلوگرم)]])</f>
        <v>0</v>
      </c>
      <c r="AE129" s="6">
        <f ca="1">IF(Main[[#This Row],[مانده در خط سررسید شده (کیلوگرم)]]&lt;&gt;0,Main[[#This Row],[تعداد کل روزهای بدهکار (روز)]],0)</f>
        <v>0</v>
      </c>
      <c r="AF129" s="6">
        <f ca="1">Main[[#This Row],[تعداد روزهای بدهکار سررسید شده (روز)]]*Main[[#This Row],[مانده در خط سررسید شده (کیلوگرم)]]</f>
        <v>0</v>
      </c>
    </row>
    <row r="130" spans="1:32" hidden="1" x14ac:dyDescent="0.35">
      <c r="A130" s="5">
        <f>ROW()-ROW(INDEX(Main[ردیف],1))+1</f>
        <v>128</v>
      </c>
      <c r="B130" s="31">
        <f>SUBTOTAL(2,INDEX(Main[ردیف],1):Main[[#This Row],[ردیف]])</f>
        <v>6</v>
      </c>
      <c r="C130" s="32" t="s">
        <v>508</v>
      </c>
      <c r="D130" s="32" t="str">
        <f>_xlfn.CONCAT("14",Main[[#This Row],[تاريخ]])</f>
        <v>1400/01/19</v>
      </c>
      <c r="E130" s="33">
        <v>44294</v>
      </c>
      <c r="F130" s="32">
        <v>10029</v>
      </c>
      <c r="G130" s="5" t="str">
        <f>INDEX(customer[عنوان],MATCH(Main[[#This Row],[کد ردیابی]],customer[کد],0))</f>
        <v>رضا شریعتی</v>
      </c>
      <c r="H130">
        <v>-2981</v>
      </c>
      <c r="I130" s="6">
        <f ca="1">-Main[[#This Row],[بدهی تسویه شده (کیلوگرم)]]+Main[[#This Row],[بستانکار (کیلوگرم)]]</f>
        <v>-2981</v>
      </c>
      <c r="J130" s="6">
        <f>IF(Main[[#This Row],[مقدار (کیلوگرم)]]&gt;0,Main[[#This Row],[مقدار (کیلوگرم)]],0)</f>
        <v>0</v>
      </c>
      <c r="K130" s="6">
        <f>-IF(Main[[#This Row],[مقدار (کیلوگرم)]]&lt;0,Main[[#This Row],[مقدار (کیلوگرم)]],0)</f>
        <v>2981</v>
      </c>
      <c r="L1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" s="7">
        <f>-IF(AND(Main[[#This Row],[مقدار (کیلوگرم)]]&lt;0,Main[[#This Row],[تاريخ میلادی]]&gt;44276),Main[[#This Row],[مقدار (کیلوگرم)]],0)</f>
        <v>2981</v>
      </c>
      <c r="N130" s="6">
        <f ca="1">Main[[#This Row],[بدهکار (کیلوگرم)]]-Main[[#This Row],[بدهی تسویه نشده (کیلوگرم)]]</f>
        <v>2981</v>
      </c>
      <c r="O130" s="6">
        <f ca="1">Main[[#This Row],[تفکیک]]</f>
        <v>0</v>
      </c>
      <c r="P130" s="6">
        <f ca="1">IF(Main[[#This Row],[تاخیر از سررسید]]&gt;0,Main[[#This Row],[بدهی تسویه نشده (کیلوگرم)]],0)</f>
        <v>0</v>
      </c>
      <c r="Q130" s="6">
        <f ca="1">IF(Main[[#This Row],[بدهی تسویه نشده (کیلوگرم)]]&gt;0,'گزارش فردی'!$B$7-Main[[#This Row],[تاريخ میلادی]],0)</f>
        <v>0</v>
      </c>
      <c r="R130" s="6">
        <f ca="1">IF(Main[[#This Row],[بدهی تسویه نشده (کیلوگرم)]]&gt;0,'گزارش فردی'!$B$7-Main[[#This Row],[تاريخ میلادی]]-'گزارش فردی'!$B$8,0)</f>
        <v>0</v>
      </c>
      <c r="S130" s="6">
        <f ca="1">Main[[#This Row],[روز از ارسال سفارش]]*Main[[#This Row],[بدهی تسویه نشده (کیلوگرم)]]</f>
        <v>0</v>
      </c>
      <c r="T130" s="6">
        <f ca="1">Main[[#This Row],[بدهی سررسید شده (کیلوگرم)]]*Main[[#This Row],[روز از ارسال سفارش]]</f>
        <v>0</v>
      </c>
      <c r="U130" s="6">
        <f>-SUBTOTAL(9,INDEX(Main[مقدار (کیلوگرم)],1):Main[[#This Row],[مقدار (کیلوگرم)]])</f>
        <v>21645</v>
      </c>
      <c r="V1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0" s="6">
        <f>Main[[#This Row],[تعداد کل روزهای بدهکار (روز)]]*Main[[#This Row],[مانده در خط کل (کیلوگرم)]]</f>
        <v>43290</v>
      </c>
      <c r="X130" s="6">
        <f ca="1">-SUBTOTAL(9,INDEX(Main[مقدار تسویه شده (کیلوگرم)],1):Main[[#This Row],[مقدار تسویه شده (کیلوگرم)]])</f>
        <v>21645</v>
      </c>
      <c r="Y130" s="6">
        <f ca="1">IF(Main[[#This Row],[مانده در خط تسویه شده (کیلوگرم)]]&lt;&gt;0,Main[[#This Row],[تعداد کل روزهای بدهکار (روز)]],0)</f>
        <v>2</v>
      </c>
      <c r="Z130" s="6">
        <f ca="1">Main[[#This Row],[تعداد روزهای بدهکار تسویه شده (روز)]]*Main[[#This Row],[مانده در خط تسویه شده (کیلوگرم)]]</f>
        <v>43290</v>
      </c>
      <c r="AA130" s="6">
        <f ca="1">SUBTOTAL(9,INDEX(Main[بدهی تسویه نشده (کیلوگرم)],1):Main[[#This Row],[بدهی تسویه نشده (کیلوگرم)]])</f>
        <v>0</v>
      </c>
      <c r="AB130" s="6">
        <f ca="1">IF(Main[[#This Row],[مانده در خط تسویه نشده (کیلوگرم)]]&lt;&gt;0,Main[[#This Row],[تعداد کل روزهای بدهکار (روز)]],0)</f>
        <v>0</v>
      </c>
      <c r="AC130" s="6">
        <f ca="1">Main[[#This Row],[تعداد روزهای بدهکار  تسویه نشده (روز)]]*Main[[#This Row],[مانده در خط تسویه نشده (کیلوگرم)]]</f>
        <v>0</v>
      </c>
      <c r="AD130" s="6">
        <f ca="1">SUBTOTAL(9,INDEX(Main[بدهی سررسید شده (کیلوگرم)],1):Main[[#This Row],[بدهی سررسید شده (کیلوگرم)]])</f>
        <v>0</v>
      </c>
      <c r="AE130" s="6">
        <f ca="1">IF(Main[[#This Row],[مانده در خط سررسید شده (کیلوگرم)]]&lt;&gt;0,Main[[#This Row],[تعداد کل روزهای بدهکار (روز)]],0)</f>
        <v>0</v>
      </c>
      <c r="AF130" s="6">
        <f ca="1">Main[[#This Row],[تعداد روزهای بدهکار سررسید شده (روز)]]*Main[[#This Row],[مانده در خط سررسید شده (کیلوگرم)]]</f>
        <v>0</v>
      </c>
    </row>
    <row r="131" spans="1:32" hidden="1" x14ac:dyDescent="0.35">
      <c r="A131" s="5">
        <f>ROW()-ROW(INDEX(Main[ردیف],1))+1</f>
        <v>129</v>
      </c>
      <c r="B131" s="31">
        <f>SUBTOTAL(2,INDEX(Main[ردیف],1):Main[[#This Row],[ردیف]])</f>
        <v>6</v>
      </c>
      <c r="C131" s="32" t="s">
        <v>510</v>
      </c>
      <c r="D131" s="32" t="str">
        <f>_xlfn.CONCAT("14",Main[[#This Row],[تاريخ]])</f>
        <v>1400/01/21</v>
      </c>
      <c r="E131" s="33">
        <v>44296</v>
      </c>
      <c r="F131" s="32">
        <v>30081</v>
      </c>
      <c r="G131" s="5" t="str">
        <f>INDEX(customer[عنوان],MATCH(Main[[#This Row],[کد ردیابی]],customer[کد],0))</f>
        <v xml:space="preserve">شیرآلات بهداشتی راسان </v>
      </c>
      <c r="H131">
        <v>1758</v>
      </c>
      <c r="I131" s="6">
        <f ca="1">-Main[[#This Row],[بدهی تسویه شده (کیلوگرم)]]+Main[[#This Row],[بستانکار (کیلوگرم)]]</f>
        <v>1758</v>
      </c>
      <c r="J131" s="6">
        <f>IF(Main[[#This Row],[مقدار (کیلوگرم)]]&gt;0,Main[[#This Row],[مقدار (کیلوگرم)]],0)</f>
        <v>1758</v>
      </c>
      <c r="K131" s="6">
        <f>-IF(Main[[#This Row],[مقدار (کیلوگرم)]]&lt;0,Main[[#This Row],[مقدار (کیلوگرم)]],0)</f>
        <v>0</v>
      </c>
      <c r="L1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" s="7">
        <f>-IF(AND(Main[[#This Row],[مقدار (کیلوگرم)]]&lt;0,Main[[#This Row],[تاريخ میلادی]]&gt;44276),Main[[#This Row],[مقدار (کیلوگرم)]],0)</f>
        <v>0</v>
      </c>
      <c r="N131" s="6">
        <f ca="1">Main[[#This Row],[بدهکار (کیلوگرم)]]-Main[[#This Row],[بدهی تسویه نشده (کیلوگرم)]]</f>
        <v>0</v>
      </c>
      <c r="O131" s="6">
        <f ca="1">Main[[#This Row],[تفکیک]]</f>
        <v>0</v>
      </c>
      <c r="P131" s="6">
        <f ca="1">IF(Main[[#This Row],[تاخیر از سررسید]]&gt;0,Main[[#This Row],[بدهی تسویه نشده (کیلوگرم)]],0)</f>
        <v>0</v>
      </c>
      <c r="Q131" s="6">
        <f ca="1">IF(Main[[#This Row],[بدهی تسویه نشده (کیلوگرم)]]&gt;0,'گزارش فردی'!$B$7-Main[[#This Row],[تاريخ میلادی]],0)</f>
        <v>0</v>
      </c>
      <c r="R131" s="6">
        <f ca="1">IF(Main[[#This Row],[بدهی تسویه نشده (کیلوگرم)]]&gt;0,'گزارش فردی'!$B$7-Main[[#This Row],[تاريخ میلادی]]-'گزارش فردی'!$B$8,0)</f>
        <v>0</v>
      </c>
      <c r="S131" s="6">
        <f ca="1">Main[[#This Row],[روز از ارسال سفارش]]*Main[[#This Row],[بدهی تسویه نشده (کیلوگرم)]]</f>
        <v>0</v>
      </c>
      <c r="T131" s="6">
        <f ca="1">Main[[#This Row],[بدهی سررسید شده (کیلوگرم)]]*Main[[#This Row],[روز از ارسال سفارش]]</f>
        <v>0</v>
      </c>
      <c r="U131" s="6">
        <f>-SUBTOTAL(9,INDEX(Main[مقدار (کیلوگرم)],1):Main[[#This Row],[مقدار (کیلوگرم)]])</f>
        <v>21645</v>
      </c>
      <c r="V1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1" s="6">
        <f>Main[[#This Row],[تعداد کل روزهای بدهکار (روز)]]*Main[[#This Row],[مانده در خط کل (کیلوگرم)]]</f>
        <v>0</v>
      </c>
      <c r="X131" s="6">
        <f ca="1">-SUBTOTAL(9,INDEX(Main[مقدار تسویه شده (کیلوگرم)],1):Main[[#This Row],[مقدار تسویه شده (کیلوگرم)]])</f>
        <v>21645</v>
      </c>
      <c r="Y131" s="6">
        <f ca="1">IF(Main[[#This Row],[مانده در خط تسویه شده (کیلوگرم)]]&lt;&gt;0,Main[[#This Row],[تعداد کل روزهای بدهکار (روز)]],0)</f>
        <v>0</v>
      </c>
      <c r="Z131" s="6">
        <f ca="1">Main[[#This Row],[تعداد روزهای بدهکار تسویه شده (روز)]]*Main[[#This Row],[مانده در خط تسویه شده (کیلوگرم)]]</f>
        <v>0</v>
      </c>
      <c r="AA131" s="6">
        <f ca="1">SUBTOTAL(9,INDEX(Main[بدهی تسویه نشده (کیلوگرم)],1):Main[[#This Row],[بدهی تسویه نشده (کیلوگرم)]])</f>
        <v>0</v>
      </c>
      <c r="AB131" s="6">
        <f ca="1">IF(Main[[#This Row],[مانده در خط تسویه نشده (کیلوگرم)]]&lt;&gt;0,Main[[#This Row],[تعداد کل روزهای بدهکار (روز)]],0)</f>
        <v>0</v>
      </c>
      <c r="AC131" s="6">
        <f ca="1">Main[[#This Row],[تعداد روزهای بدهکار  تسویه نشده (روز)]]*Main[[#This Row],[مانده در خط تسویه نشده (کیلوگرم)]]</f>
        <v>0</v>
      </c>
      <c r="AD131" s="6">
        <f ca="1">SUBTOTAL(9,INDEX(Main[بدهی سررسید شده (کیلوگرم)],1):Main[[#This Row],[بدهی سررسید شده (کیلوگرم)]])</f>
        <v>0</v>
      </c>
      <c r="AE131" s="6">
        <f ca="1">IF(Main[[#This Row],[مانده در خط سررسید شده (کیلوگرم)]]&lt;&gt;0,Main[[#This Row],[تعداد کل روزهای بدهکار (روز)]],0)</f>
        <v>0</v>
      </c>
      <c r="AF131" s="6">
        <f ca="1">Main[[#This Row],[تعداد روزهای بدهکار سررسید شده (روز)]]*Main[[#This Row],[مانده در خط سررسید شده (کیلوگرم)]]</f>
        <v>0</v>
      </c>
    </row>
    <row r="132" spans="1:32" hidden="1" x14ac:dyDescent="0.35">
      <c r="A132" s="5">
        <f>ROW()-ROW(INDEX(Main[ردیف],1))+1</f>
        <v>130</v>
      </c>
      <c r="B132" s="31">
        <f>SUBTOTAL(2,INDEX(Main[ردیف],1):Main[[#This Row],[ردیف]])</f>
        <v>6</v>
      </c>
      <c r="C132" s="32" t="s">
        <v>510</v>
      </c>
      <c r="D132" s="32" t="str">
        <f>_xlfn.CONCAT("14",Main[[#This Row],[تاريخ]])</f>
        <v>1400/01/21</v>
      </c>
      <c r="E132" s="33">
        <v>44296</v>
      </c>
      <c r="F132" s="32">
        <v>10055</v>
      </c>
      <c r="G132" s="5" t="str">
        <f>INDEX(customer[عنوان],MATCH(Main[[#This Row],[کد ردیابی]],customer[کد],0))</f>
        <v xml:space="preserve">مریم فیض آبادی  </v>
      </c>
      <c r="H132">
        <v>-5026</v>
      </c>
      <c r="I132" s="6">
        <f ca="1">-Main[[#This Row],[بدهی تسویه شده (کیلوگرم)]]+Main[[#This Row],[بستانکار (کیلوگرم)]]</f>
        <v>-5026</v>
      </c>
      <c r="J132" s="6">
        <f>IF(Main[[#This Row],[مقدار (کیلوگرم)]]&gt;0,Main[[#This Row],[مقدار (کیلوگرم)]],0)</f>
        <v>0</v>
      </c>
      <c r="K132" s="6">
        <f>-IF(Main[[#This Row],[مقدار (کیلوگرم)]]&lt;0,Main[[#This Row],[مقدار (کیلوگرم)]],0)</f>
        <v>5026</v>
      </c>
      <c r="L1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" s="7">
        <f>-IF(AND(Main[[#This Row],[مقدار (کیلوگرم)]]&lt;0,Main[[#This Row],[تاريخ میلادی]]&gt;44276),Main[[#This Row],[مقدار (کیلوگرم)]],0)</f>
        <v>5026</v>
      </c>
      <c r="N132" s="6">
        <f ca="1">Main[[#This Row],[بدهکار (کیلوگرم)]]-Main[[#This Row],[بدهی تسویه نشده (کیلوگرم)]]</f>
        <v>5026</v>
      </c>
      <c r="O132" s="6">
        <f ca="1">Main[[#This Row],[تفکیک]]</f>
        <v>0</v>
      </c>
      <c r="P132" s="6">
        <f ca="1">IF(Main[[#This Row],[تاخیر از سررسید]]&gt;0,Main[[#This Row],[بدهی تسویه نشده (کیلوگرم)]],0)</f>
        <v>0</v>
      </c>
      <c r="Q132" s="6">
        <f ca="1">IF(Main[[#This Row],[بدهی تسویه نشده (کیلوگرم)]]&gt;0,'گزارش فردی'!$B$7-Main[[#This Row],[تاريخ میلادی]],0)</f>
        <v>0</v>
      </c>
      <c r="R132" s="6">
        <f ca="1">IF(Main[[#This Row],[بدهی تسویه نشده (کیلوگرم)]]&gt;0,'گزارش فردی'!$B$7-Main[[#This Row],[تاريخ میلادی]]-'گزارش فردی'!$B$8,0)</f>
        <v>0</v>
      </c>
      <c r="S132" s="6">
        <f ca="1">Main[[#This Row],[روز از ارسال سفارش]]*Main[[#This Row],[بدهی تسویه نشده (کیلوگرم)]]</f>
        <v>0</v>
      </c>
      <c r="T132" s="6">
        <f ca="1">Main[[#This Row],[بدهی سررسید شده (کیلوگرم)]]*Main[[#This Row],[روز از ارسال سفارش]]</f>
        <v>0</v>
      </c>
      <c r="U132" s="6">
        <f>-SUBTOTAL(9,INDEX(Main[مقدار (کیلوگرم)],1):Main[[#This Row],[مقدار (کیلوگرم)]])</f>
        <v>21645</v>
      </c>
      <c r="V1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2" s="6">
        <f>Main[[#This Row],[تعداد کل روزهای بدهکار (روز)]]*Main[[#This Row],[مانده در خط کل (کیلوگرم)]]</f>
        <v>0</v>
      </c>
      <c r="X132" s="6">
        <f ca="1">-SUBTOTAL(9,INDEX(Main[مقدار تسویه شده (کیلوگرم)],1):Main[[#This Row],[مقدار تسویه شده (کیلوگرم)]])</f>
        <v>21645</v>
      </c>
      <c r="Y132" s="6">
        <f ca="1">IF(Main[[#This Row],[مانده در خط تسویه شده (کیلوگرم)]]&lt;&gt;0,Main[[#This Row],[تعداد کل روزهای بدهکار (روز)]],0)</f>
        <v>0</v>
      </c>
      <c r="Z132" s="6">
        <f ca="1">Main[[#This Row],[تعداد روزهای بدهکار تسویه شده (روز)]]*Main[[#This Row],[مانده در خط تسویه شده (کیلوگرم)]]</f>
        <v>0</v>
      </c>
      <c r="AA132" s="6">
        <f ca="1">SUBTOTAL(9,INDEX(Main[بدهی تسویه نشده (کیلوگرم)],1):Main[[#This Row],[بدهی تسویه نشده (کیلوگرم)]])</f>
        <v>0</v>
      </c>
      <c r="AB132" s="6">
        <f ca="1">IF(Main[[#This Row],[مانده در خط تسویه نشده (کیلوگرم)]]&lt;&gt;0,Main[[#This Row],[تعداد کل روزهای بدهکار (روز)]],0)</f>
        <v>0</v>
      </c>
      <c r="AC132" s="6">
        <f ca="1">Main[[#This Row],[تعداد روزهای بدهکار  تسویه نشده (روز)]]*Main[[#This Row],[مانده در خط تسویه نشده (کیلوگرم)]]</f>
        <v>0</v>
      </c>
      <c r="AD132" s="6">
        <f ca="1">SUBTOTAL(9,INDEX(Main[بدهی سررسید شده (کیلوگرم)],1):Main[[#This Row],[بدهی سررسید شده (کیلوگرم)]])</f>
        <v>0</v>
      </c>
      <c r="AE132" s="6">
        <f ca="1">IF(Main[[#This Row],[مانده در خط سررسید شده (کیلوگرم)]]&lt;&gt;0,Main[[#This Row],[تعداد کل روزهای بدهکار (روز)]],0)</f>
        <v>0</v>
      </c>
      <c r="AF132" s="6">
        <f ca="1">Main[[#This Row],[تعداد روزهای بدهکار سررسید شده (روز)]]*Main[[#This Row],[مانده در خط سررسید شده (کیلوگرم)]]</f>
        <v>0</v>
      </c>
    </row>
    <row r="133" spans="1:32" hidden="1" x14ac:dyDescent="0.35">
      <c r="A133" s="5">
        <f>ROW()-ROW(INDEX(Main[ردیف],1))+1</f>
        <v>131</v>
      </c>
      <c r="B133" s="31">
        <f>SUBTOTAL(2,INDEX(Main[ردیف],1):Main[[#This Row],[ردیف]])</f>
        <v>6</v>
      </c>
      <c r="C133" s="32" t="s">
        <v>510</v>
      </c>
      <c r="D133" s="32" t="str">
        <f>_xlfn.CONCAT("14",Main[[#This Row],[تاريخ]])</f>
        <v>1400/01/21</v>
      </c>
      <c r="E133" s="33">
        <v>44296</v>
      </c>
      <c r="F133" s="32">
        <v>30003</v>
      </c>
      <c r="G133" s="5" t="str">
        <f>INDEX(customer[عنوان],MATCH(Main[[#This Row],[کد ردیابی]],customer[کد],0))</f>
        <v xml:space="preserve">شهاب گاز سوز </v>
      </c>
      <c r="H133">
        <v>1037</v>
      </c>
      <c r="I133" s="6">
        <f ca="1">-Main[[#This Row],[بدهی تسویه شده (کیلوگرم)]]+Main[[#This Row],[بستانکار (کیلوگرم)]]</f>
        <v>1037</v>
      </c>
      <c r="J133" s="6">
        <f>IF(Main[[#This Row],[مقدار (کیلوگرم)]]&gt;0,Main[[#This Row],[مقدار (کیلوگرم)]],0)</f>
        <v>1037</v>
      </c>
      <c r="K133" s="6">
        <f>-IF(Main[[#This Row],[مقدار (کیلوگرم)]]&lt;0,Main[[#This Row],[مقدار (کیلوگرم)]],0)</f>
        <v>0</v>
      </c>
      <c r="L1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" s="7">
        <f>-IF(AND(Main[[#This Row],[مقدار (کیلوگرم)]]&lt;0,Main[[#This Row],[تاريخ میلادی]]&gt;44276),Main[[#This Row],[مقدار (کیلوگرم)]],0)</f>
        <v>0</v>
      </c>
      <c r="N133" s="6">
        <f ca="1">Main[[#This Row],[بدهکار (کیلوگرم)]]-Main[[#This Row],[بدهی تسویه نشده (کیلوگرم)]]</f>
        <v>0</v>
      </c>
      <c r="O133" s="6">
        <f ca="1">Main[[#This Row],[تفکیک]]</f>
        <v>0</v>
      </c>
      <c r="P133" s="6">
        <f ca="1">IF(Main[[#This Row],[تاخیر از سررسید]]&gt;0,Main[[#This Row],[بدهی تسویه نشده (کیلوگرم)]],0)</f>
        <v>0</v>
      </c>
      <c r="Q133" s="6">
        <f ca="1">IF(Main[[#This Row],[بدهی تسویه نشده (کیلوگرم)]]&gt;0,'گزارش فردی'!$B$7-Main[[#This Row],[تاريخ میلادی]],0)</f>
        <v>0</v>
      </c>
      <c r="R133" s="6">
        <f ca="1">IF(Main[[#This Row],[بدهی تسویه نشده (کیلوگرم)]]&gt;0,'گزارش فردی'!$B$7-Main[[#This Row],[تاريخ میلادی]]-'گزارش فردی'!$B$8,0)</f>
        <v>0</v>
      </c>
      <c r="S133" s="6">
        <f ca="1">Main[[#This Row],[روز از ارسال سفارش]]*Main[[#This Row],[بدهی تسویه نشده (کیلوگرم)]]</f>
        <v>0</v>
      </c>
      <c r="T133" s="6">
        <f ca="1">Main[[#This Row],[بدهی سررسید شده (کیلوگرم)]]*Main[[#This Row],[روز از ارسال سفارش]]</f>
        <v>0</v>
      </c>
      <c r="U133" s="6">
        <f>-SUBTOTAL(9,INDEX(Main[مقدار (کیلوگرم)],1):Main[[#This Row],[مقدار (کیلوگرم)]])</f>
        <v>21645</v>
      </c>
      <c r="V1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" s="6">
        <f>Main[[#This Row],[تعداد کل روزهای بدهکار (روز)]]*Main[[#This Row],[مانده در خط کل (کیلوگرم)]]</f>
        <v>0</v>
      </c>
      <c r="X133" s="6">
        <f ca="1">-SUBTOTAL(9,INDEX(Main[مقدار تسویه شده (کیلوگرم)],1):Main[[#This Row],[مقدار تسویه شده (کیلوگرم)]])</f>
        <v>21645</v>
      </c>
      <c r="Y133" s="6">
        <f ca="1">IF(Main[[#This Row],[مانده در خط تسویه شده (کیلوگرم)]]&lt;&gt;0,Main[[#This Row],[تعداد کل روزهای بدهکار (روز)]],0)</f>
        <v>0</v>
      </c>
      <c r="Z133" s="6">
        <f ca="1">Main[[#This Row],[تعداد روزهای بدهکار تسویه شده (روز)]]*Main[[#This Row],[مانده در خط تسویه شده (کیلوگرم)]]</f>
        <v>0</v>
      </c>
      <c r="AA133" s="6">
        <f ca="1">SUBTOTAL(9,INDEX(Main[بدهی تسویه نشده (کیلوگرم)],1):Main[[#This Row],[بدهی تسویه نشده (کیلوگرم)]])</f>
        <v>0</v>
      </c>
      <c r="AB133" s="6">
        <f ca="1">IF(Main[[#This Row],[مانده در خط تسویه نشده (کیلوگرم)]]&lt;&gt;0,Main[[#This Row],[تعداد کل روزهای بدهکار (روز)]],0)</f>
        <v>0</v>
      </c>
      <c r="AC133" s="6">
        <f ca="1">Main[[#This Row],[تعداد روزهای بدهکار  تسویه نشده (روز)]]*Main[[#This Row],[مانده در خط تسویه نشده (کیلوگرم)]]</f>
        <v>0</v>
      </c>
      <c r="AD133" s="6">
        <f ca="1">SUBTOTAL(9,INDEX(Main[بدهی سررسید شده (کیلوگرم)],1):Main[[#This Row],[بدهی سررسید شده (کیلوگرم)]])</f>
        <v>0</v>
      </c>
      <c r="AE133" s="6">
        <f ca="1">IF(Main[[#This Row],[مانده در خط سررسید شده (کیلوگرم)]]&lt;&gt;0,Main[[#This Row],[تعداد کل روزهای بدهکار (روز)]],0)</f>
        <v>0</v>
      </c>
      <c r="AF133" s="6">
        <f ca="1">Main[[#This Row],[تعداد روزهای بدهکار سررسید شده (روز)]]*Main[[#This Row],[مانده در خط سررسید شده (کیلوگرم)]]</f>
        <v>0</v>
      </c>
    </row>
    <row r="134" spans="1:32" hidden="1" x14ac:dyDescent="0.35">
      <c r="A134" s="5">
        <f>ROW()-ROW(INDEX(Main[ردیف],1))+1</f>
        <v>132</v>
      </c>
      <c r="B134" s="31">
        <f>SUBTOTAL(2,INDEX(Main[ردیف],1):Main[[#This Row],[ردیف]])</f>
        <v>6</v>
      </c>
      <c r="C134" s="32" t="s">
        <v>510</v>
      </c>
      <c r="D134" s="32" t="str">
        <f>_xlfn.CONCAT("14",Main[[#This Row],[تاريخ]])</f>
        <v>1400/01/21</v>
      </c>
      <c r="E134" s="33">
        <v>44296</v>
      </c>
      <c r="F134" s="32">
        <v>30003</v>
      </c>
      <c r="G134" s="5" t="str">
        <f>INDEX(customer[عنوان],MATCH(Main[[#This Row],[کد ردیابی]],customer[کد],0))</f>
        <v xml:space="preserve">شهاب گاز سوز </v>
      </c>
      <c r="H134">
        <v>-970</v>
      </c>
      <c r="I134" s="6">
        <f ca="1">-Main[[#This Row],[بدهی تسویه شده (کیلوگرم)]]+Main[[#This Row],[بستانکار (کیلوگرم)]]</f>
        <v>-970</v>
      </c>
      <c r="J134" s="6">
        <f>IF(Main[[#This Row],[مقدار (کیلوگرم)]]&gt;0,Main[[#This Row],[مقدار (کیلوگرم)]],0)</f>
        <v>0</v>
      </c>
      <c r="K134" s="6">
        <f>-IF(Main[[#This Row],[مقدار (کیلوگرم)]]&lt;0,Main[[#This Row],[مقدار (کیلوگرم)]],0)</f>
        <v>970</v>
      </c>
      <c r="L1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" s="7">
        <f>-IF(AND(Main[[#This Row],[مقدار (کیلوگرم)]]&lt;0,Main[[#This Row],[تاريخ میلادی]]&gt;44276),Main[[#This Row],[مقدار (کیلوگرم)]],0)</f>
        <v>970</v>
      </c>
      <c r="N134" s="6">
        <f ca="1">Main[[#This Row],[بدهکار (کیلوگرم)]]-Main[[#This Row],[بدهی تسویه نشده (کیلوگرم)]]</f>
        <v>970</v>
      </c>
      <c r="O134" s="6">
        <f ca="1">Main[[#This Row],[تفکیک]]</f>
        <v>0</v>
      </c>
      <c r="P134" s="6">
        <f ca="1">IF(Main[[#This Row],[تاخیر از سررسید]]&gt;0,Main[[#This Row],[بدهی تسویه نشده (کیلوگرم)]],0)</f>
        <v>0</v>
      </c>
      <c r="Q134" s="6">
        <f ca="1">IF(Main[[#This Row],[بدهی تسویه نشده (کیلوگرم)]]&gt;0,'گزارش فردی'!$B$7-Main[[#This Row],[تاريخ میلادی]],0)</f>
        <v>0</v>
      </c>
      <c r="R134" s="6">
        <f ca="1">IF(Main[[#This Row],[بدهی تسویه نشده (کیلوگرم)]]&gt;0,'گزارش فردی'!$B$7-Main[[#This Row],[تاريخ میلادی]]-'گزارش فردی'!$B$8,0)</f>
        <v>0</v>
      </c>
      <c r="S134" s="6">
        <f ca="1">Main[[#This Row],[روز از ارسال سفارش]]*Main[[#This Row],[بدهی تسویه نشده (کیلوگرم)]]</f>
        <v>0</v>
      </c>
      <c r="T134" s="6">
        <f ca="1">Main[[#This Row],[بدهی سررسید شده (کیلوگرم)]]*Main[[#This Row],[روز از ارسال سفارش]]</f>
        <v>0</v>
      </c>
      <c r="U134" s="6">
        <f>-SUBTOTAL(9,INDEX(Main[مقدار (کیلوگرم)],1):Main[[#This Row],[مقدار (کیلوگرم)]])</f>
        <v>21645</v>
      </c>
      <c r="V1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4" s="6">
        <f>Main[[#This Row],[تعداد کل روزهای بدهکار (روز)]]*Main[[#This Row],[مانده در خط کل (کیلوگرم)]]</f>
        <v>0</v>
      </c>
      <c r="X134" s="6">
        <f ca="1">-SUBTOTAL(9,INDEX(Main[مقدار تسویه شده (کیلوگرم)],1):Main[[#This Row],[مقدار تسویه شده (کیلوگرم)]])</f>
        <v>21645</v>
      </c>
      <c r="Y134" s="6">
        <f ca="1">IF(Main[[#This Row],[مانده در خط تسویه شده (کیلوگرم)]]&lt;&gt;0,Main[[#This Row],[تعداد کل روزهای بدهکار (روز)]],0)</f>
        <v>0</v>
      </c>
      <c r="Z134" s="6">
        <f ca="1">Main[[#This Row],[تعداد روزهای بدهکار تسویه شده (روز)]]*Main[[#This Row],[مانده در خط تسویه شده (کیلوگرم)]]</f>
        <v>0</v>
      </c>
      <c r="AA134" s="6">
        <f ca="1">SUBTOTAL(9,INDEX(Main[بدهی تسویه نشده (کیلوگرم)],1):Main[[#This Row],[بدهی تسویه نشده (کیلوگرم)]])</f>
        <v>0</v>
      </c>
      <c r="AB134" s="6">
        <f ca="1">IF(Main[[#This Row],[مانده در خط تسویه نشده (کیلوگرم)]]&lt;&gt;0,Main[[#This Row],[تعداد کل روزهای بدهکار (روز)]],0)</f>
        <v>0</v>
      </c>
      <c r="AC134" s="6">
        <f ca="1">Main[[#This Row],[تعداد روزهای بدهکار  تسویه نشده (روز)]]*Main[[#This Row],[مانده در خط تسویه نشده (کیلوگرم)]]</f>
        <v>0</v>
      </c>
      <c r="AD134" s="6">
        <f ca="1">SUBTOTAL(9,INDEX(Main[بدهی سررسید شده (کیلوگرم)],1):Main[[#This Row],[بدهی سررسید شده (کیلوگرم)]])</f>
        <v>0</v>
      </c>
      <c r="AE134" s="6">
        <f ca="1">IF(Main[[#This Row],[مانده در خط سررسید شده (کیلوگرم)]]&lt;&gt;0,Main[[#This Row],[تعداد کل روزهای بدهکار (روز)]],0)</f>
        <v>0</v>
      </c>
      <c r="AF134" s="6">
        <f ca="1">Main[[#This Row],[تعداد روزهای بدهکار سررسید شده (روز)]]*Main[[#This Row],[مانده در خط سررسید شده (کیلوگرم)]]</f>
        <v>0</v>
      </c>
    </row>
    <row r="135" spans="1:32" hidden="1" x14ac:dyDescent="0.35">
      <c r="A135" s="5">
        <f>ROW()-ROW(INDEX(Main[ردیف],1))+1</f>
        <v>133</v>
      </c>
      <c r="B135" s="31">
        <f>SUBTOTAL(2,INDEX(Main[ردیف],1):Main[[#This Row],[ردیف]])</f>
        <v>6</v>
      </c>
      <c r="C135" s="32" t="s">
        <v>510</v>
      </c>
      <c r="D135" s="32" t="str">
        <f>_xlfn.CONCAT("14",Main[[#This Row],[تاريخ]])</f>
        <v>1400/01/21</v>
      </c>
      <c r="E135" s="33">
        <v>44296</v>
      </c>
      <c r="F135" s="32">
        <v>30066</v>
      </c>
      <c r="G135" s="5" t="str">
        <f>INDEX(customer[عنوان],MATCH(Main[[#This Row],[کد ردیابی]],customer[کد],0))</f>
        <v xml:space="preserve">شیر آلات بهداشتی قهرمان </v>
      </c>
      <c r="H135">
        <v>4539</v>
      </c>
      <c r="I135" s="6">
        <f ca="1">-Main[[#This Row],[بدهی تسویه شده (کیلوگرم)]]+Main[[#This Row],[بستانکار (کیلوگرم)]]</f>
        <v>4539</v>
      </c>
      <c r="J135" s="6">
        <f>IF(Main[[#This Row],[مقدار (کیلوگرم)]]&gt;0,Main[[#This Row],[مقدار (کیلوگرم)]],0)</f>
        <v>4539</v>
      </c>
      <c r="K135" s="6">
        <f>-IF(Main[[#This Row],[مقدار (کیلوگرم)]]&lt;0,Main[[#This Row],[مقدار (کیلوگرم)]],0)</f>
        <v>0</v>
      </c>
      <c r="L1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" s="7">
        <f>-IF(AND(Main[[#This Row],[مقدار (کیلوگرم)]]&lt;0,Main[[#This Row],[تاريخ میلادی]]&gt;44276),Main[[#This Row],[مقدار (کیلوگرم)]],0)</f>
        <v>0</v>
      </c>
      <c r="N135" s="6">
        <f ca="1">Main[[#This Row],[بدهکار (کیلوگرم)]]-Main[[#This Row],[بدهی تسویه نشده (کیلوگرم)]]</f>
        <v>0</v>
      </c>
      <c r="O135" s="6">
        <f ca="1">Main[[#This Row],[تفکیک]]</f>
        <v>0</v>
      </c>
      <c r="P135" s="6">
        <f ca="1">IF(Main[[#This Row],[تاخیر از سررسید]]&gt;0,Main[[#This Row],[بدهی تسویه نشده (کیلوگرم)]],0)</f>
        <v>0</v>
      </c>
      <c r="Q135" s="6">
        <f ca="1">IF(Main[[#This Row],[بدهی تسویه نشده (کیلوگرم)]]&gt;0,'گزارش فردی'!$B$7-Main[[#This Row],[تاريخ میلادی]],0)</f>
        <v>0</v>
      </c>
      <c r="R135" s="6">
        <f ca="1">IF(Main[[#This Row],[بدهی تسویه نشده (کیلوگرم)]]&gt;0,'گزارش فردی'!$B$7-Main[[#This Row],[تاريخ میلادی]]-'گزارش فردی'!$B$8,0)</f>
        <v>0</v>
      </c>
      <c r="S135" s="6">
        <f ca="1">Main[[#This Row],[روز از ارسال سفارش]]*Main[[#This Row],[بدهی تسویه نشده (کیلوگرم)]]</f>
        <v>0</v>
      </c>
      <c r="T135" s="6">
        <f ca="1">Main[[#This Row],[بدهی سررسید شده (کیلوگرم)]]*Main[[#This Row],[روز از ارسال سفارش]]</f>
        <v>0</v>
      </c>
      <c r="U135" s="6">
        <f>-SUBTOTAL(9,INDEX(Main[مقدار (کیلوگرم)],1):Main[[#This Row],[مقدار (کیلوگرم)]])</f>
        <v>21645</v>
      </c>
      <c r="V1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5" s="6">
        <f>Main[[#This Row],[تعداد کل روزهای بدهکار (روز)]]*Main[[#This Row],[مانده در خط کل (کیلوگرم)]]</f>
        <v>0</v>
      </c>
      <c r="X135" s="6">
        <f ca="1">-SUBTOTAL(9,INDEX(Main[مقدار تسویه شده (کیلوگرم)],1):Main[[#This Row],[مقدار تسویه شده (کیلوگرم)]])</f>
        <v>21645</v>
      </c>
      <c r="Y135" s="6">
        <f ca="1">IF(Main[[#This Row],[مانده در خط تسویه شده (کیلوگرم)]]&lt;&gt;0,Main[[#This Row],[تعداد کل روزهای بدهکار (روز)]],0)</f>
        <v>0</v>
      </c>
      <c r="Z135" s="6">
        <f ca="1">Main[[#This Row],[تعداد روزهای بدهکار تسویه شده (روز)]]*Main[[#This Row],[مانده در خط تسویه شده (کیلوگرم)]]</f>
        <v>0</v>
      </c>
      <c r="AA135" s="6">
        <f ca="1">SUBTOTAL(9,INDEX(Main[بدهی تسویه نشده (کیلوگرم)],1):Main[[#This Row],[بدهی تسویه نشده (کیلوگرم)]])</f>
        <v>0</v>
      </c>
      <c r="AB135" s="6">
        <f ca="1">IF(Main[[#This Row],[مانده در خط تسویه نشده (کیلوگرم)]]&lt;&gt;0,Main[[#This Row],[تعداد کل روزهای بدهکار (روز)]],0)</f>
        <v>0</v>
      </c>
      <c r="AC135" s="6">
        <f ca="1">Main[[#This Row],[تعداد روزهای بدهکار  تسویه نشده (روز)]]*Main[[#This Row],[مانده در خط تسویه نشده (کیلوگرم)]]</f>
        <v>0</v>
      </c>
      <c r="AD135" s="6">
        <f ca="1">SUBTOTAL(9,INDEX(Main[بدهی سررسید شده (کیلوگرم)],1):Main[[#This Row],[بدهی سررسید شده (کیلوگرم)]])</f>
        <v>0</v>
      </c>
      <c r="AE135" s="6">
        <f ca="1">IF(Main[[#This Row],[مانده در خط سررسید شده (کیلوگرم)]]&lt;&gt;0,Main[[#This Row],[تعداد کل روزهای بدهکار (روز)]],0)</f>
        <v>0</v>
      </c>
      <c r="AF135" s="6">
        <f ca="1">Main[[#This Row],[تعداد روزهای بدهکار سررسید شده (روز)]]*Main[[#This Row],[مانده در خط سررسید شده (کیلوگرم)]]</f>
        <v>0</v>
      </c>
    </row>
    <row r="136" spans="1:32" hidden="1" x14ac:dyDescent="0.35">
      <c r="A136" s="5">
        <f>ROW()-ROW(INDEX(Main[ردیف],1))+1</f>
        <v>134</v>
      </c>
      <c r="B136" s="31">
        <f>SUBTOTAL(2,INDEX(Main[ردیف],1):Main[[#This Row],[ردیف]])</f>
        <v>6</v>
      </c>
      <c r="C136" s="32" t="s">
        <v>510</v>
      </c>
      <c r="D136" s="32" t="str">
        <f>_xlfn.CONCAT("14",Main[[#This Row],[تاريخ]])</f>
        <v>1400/01/21</v>
      </c>
      <c r="E136" s="33">
        <v>44296</v>
      </c>
      <c r="F136" s="32">
        <v>30017</v>
      </c>
      <c r="G136" s="5" t="str">
        <f>INDEX(customer[عنوان],MATCH(Main[[#This Row],[کد ردیابی]],customer[کد],0))</f>
        <v xml:space="preserve">البرز یدک </v>
      </c>
      <c r="H136">
        <v>-5178</v>
      </c>
      <c r="I136" s="6">
        <f ca="1">-Main[[#This Row],[بدهی تسویه شده (کیلوگرم)]]+Main[[#This Row],[بستانکار (کیلوگرم)]]</f>
        <v>-5178</v>
      </c>
      <c r="J136" s="6">
        <f>IF(Main[[#This Row],[مقدار (کیلوگرم)]]&gt;0,Main[[#This Row],[مقدار (کیلوگرم)]],0)</f>
        <v>0</v>
      </c>
      <c r="K136" s="6">
        <f>-IF(Main[[#This Row],[مقدار (کیلوگرم)]]&lt;0,Main[[#This Row],[مقدار (کیلوگرم)]],0)</f>
        <v>5178</v>
      </c>
      <c r="L1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" s="7">
        <f>-IF(AND(Main[[#This Row],[مقدار (کیلوگرم)]]&lt;0,Main[[#This Row],[تاريخ میلادی]]&gt;44276),Main[[#This Row],[مقدار (کیلوگرم)]],0)</f>
        <v>5178</v>
      </c>
      <c r="N136" s="6">
        <f ca="1">Main[[#This Row],[بدهکار (کیلوگرم)]]-Main[[#This Row],[بدهی تسویه نشده (کیلوگرم)]]</f>
        <v>5178</v>
      </c>
      <c r="O136" s="6">
        <f ca="1">Main[[#This Row],[تفکیک]]</f>
        <v>0</v>
      </c>
      <c r="P136" s="6">
        <f ca="1">IF(Main[[#This Row],[تاخیر از سررسید]]&gt;0,Main[[#This Row],[بدهی تسویه نشده (کیلوگرم)]],0)</f>
        <v>0</v>
      </c>
      <c r="Q136" s="6">
        <f ca="1">IF(Main[[#This Row],[بدهی تسویه نشده (کیلوگرم)]]&gt;0,'گزارش فردی'!$B$7-Main[[#This Row],[تاريخ میلادی]],0)</f>
        <v>0</v>
      </c>
      <c r="R136" s="6">
        <f ca="1">IF(Main[[#This Row],[بدهی تسویه نشده (کیلوگرم)]]&gt;0,'گزارش فردی'!$B$7-Main[[#This Row],[تاريخ میلادی]]-'گزارش فردی'!$B$8,0)</f>
        <v>0</v>
      </c>
      <c r="S136" s="6">
        <f ca="1">Main[[#This Row],[روز از ارسال سفارش]]*Main[[#This Row],[بدهی تسویه نشده (کیلوگرم)]]</f>
        <v>0</v>
      </c>
      <c r="T136" s="6">
        <f ca="1">Main[[#This Row],[بدهی سررسید شده (کیلوگرم)]]*Main[[#This Row],[روز از ارسال سفارش]]</f>
        <v>0</v>
      </c>
      <c r="U136" s="6">
        <f>-SUBTOTAL(9,INDEX(Main[مقدار (کیلوگرم)],1):Main[[#This Row],[مقدار (کیلوگرم)]])</f>
        <v>21645</v>
      </c>
      <c r="V1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6" s="6">
        <f>Main[[#This Row],[تعداد کل روزهای بدهکار (روز)]]*Main[[#This Row],[مانده در خط کل (کیلوگرم)]]</f>
        <v>0</v>
      </c>
      <c r="X136" s="6">
        <f ca="1">-SUBTOTAL(9,INDEX(Main[مقدار تسویه شده (کیلوگرم)],1):Main[[#This Row],[مقدار تسویه شده (کیلوگرم)]])</f>
        <v>21645</v>
      </c>
      <c r="Y136" s="6">
        <f ca="1">IF(Main[[#This Row],[مانده در خط تسویه شده (کیلوگرم)]]&lt;&gt;0,Main[[#This Row],[تعداد کل روزهای بدهکار (روز)]],0)</f>
        <v>0</v>
      </c>
      <c r="Z136" s="6">
        <f ca="1">Main[[#This Row],[تعداد روزهای بدهکار تسویه شده (روز)]]*Main[[#This Row],[مانده در خط تسویه شده (کیلوگرم)]]</f>
        <v>0</v>
      </c>
      <c r="AA136" s="6">
        <f ca="1">SUBTOTAL(9,INDEX(Main[بدهی تسویه نشده (کیلوگرم)],1):Main[[#This Row],[بدهی تسویه نشده (کیلوگرم)]])</f>
        <v>0</v>
      </c>
      <c r="AB136" s="6">
        <f ca="1">IF(Main[[#This Row],[مانده در خط تسویه نشده (کیلوگرم)]]&lt;&gt;0,Main[[#This Row],[تعداد کل روزهای بدهکار (روز)]],0)</f>
        <v>0</v>
      </c>
      <c r="AC136" s="6">
        <f ca="1">Main[[#This Row],[تعداد روزهای بدهکار  تسویه نشده (روز)]]*Main[[#This Row],[مانده در خط تسویه نشده (کیلوگرم)]]</f>
        <v>0</v>
      </c>
      <c r="AD136" s="6">
        <f ca="1">SUBTOTAL(9,INDEX(Main[بدهی سررسید شده (کیلوگرم)],1):Main[[#This Row],[بدهی سررسید شده (کیلوگرم)]])</f>
        <v>0</v>
      </c>
      <c r="AE136" s="6">
        <f ca="1">IF(Main[[#This Row],[مانده در خط سررسید شده (کیلوگرم)]]&lt;&gt;0,Main[[#This Row],[تعداد کل روزهای بدهکار (روز)]],0)</f>
        <v>0</v>
      </c>
      <c r="AF136" s="6">
        <f ca="1">Main[[#This Row],[تعداد روزهای بدهکار سررسید شده (روز)]]*Main[[#This Row],[مانده در خط سررسید شده (کیلوگرم)]]</f>
        <v>0</v>
      </c>
    </row>
    <row r="137" spans="1:32" hidden="1" x14ac:dyDescent="0.35">
      <c r="A137" s="5">
        <f>ROW()-ROW(INDEX(Main[ردیف],1))+1</f>
        <v>135</v>
      </c>
      <c r="B137" s="31">
        <f>SUBTOTAL(2,INDEX(Main[ردیف],1):Main[[#This Row],[ردیف]])</f>
        <v>6</v>
      </c>
      <c r="C137" s="32" t="s">
        <v>510</v>
      </c>
      <c r="D137" s="32" t="str">
        <f>_xlfn.CONCAT("14",Main[[#This Row],[تاريخ]])</f>
        <v>1400/01/21</v>
      </c>
      <c r="E137" s="33">
        <v>44296</v>
      </c>
      <c r="F137" s="32">
        <v>10027</v>
      </c>
      <c r="G137" s="5" t="str">
        <f>INDEX(customer[عنوان],MATCH(Main[[#This Row],[کد ردیابی]],customer[کد],0))</f>
        <v xml:space="preserve">مصطفی نورعلی </v>
      </c>
      <c r="H137">
        <v>-5456</v>
      </c>
      <c r="I137" s="6">
        <f ca="1">-Main[[#This Row],[بدهی تسویه شده (کیلوگرم)]]+Main[[#This Row],[بستانکار (کیلوگرم)]]</f>
        <v>-5456</v>
      </c>
      <c r="J137" s="6">
        <f>IF(Main[[#This Row],[مقدار (کیلوگرم)]]&gt;0,Main[[#This Row],[مقدار (کیلوگرم)]],0)</f>
        <v>0</v>
      </c>
      <c r="K137" s="6">
        <f>-IF(Main[[#This Row],[مقدار (کیلوگرم)]]&lt;0,Main[[#This Row],[مقدار (کیلوگرم)]],0)</f>
        <v>5456</v>
      </c>
      <c r="L1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" s="7">
        <f>-IF(AND(Main[[#This Row],[مقدار (کیلوگرم)]]&lt;0,Main[[#This Row],[تاريخ میلادی]]&gt;44276),Main[[#This Row],[مقدار (کیلوگرم)]],0)</f>
        <v>5456</v>
      </c>
      <c r="N137" s="6">
        <f ca="1">Main[[#This Row],[بدهکار (کیلوگرم)]]-Main[[#This Row],[بدهی تسویه نشده (کیلوگرم)]]</f>
        <v>5456</v>
      </c>
      <c r="O137" s="6">
        <f ca="1">Main[[#This Row],[تفکیک]]</f>
        <v>0</v>
      </c>
      <c r="P137" s="6">
        <f ca="1">IF(Main[[#This Row],[تاخیر از سررسید]]&gt;0,Main[[#This Row],[بدهی تسویه نشده (کیلوگرم)]],0)</f>
        <v>0</v>
      </c>
      <c r="Q137" s="6">
        <f ca="1">IF(Main[[#This Row],[بدهی تسویه نشده (کیلوگرم)]]&gt;0,'گزارش فردی'!$B$7-Main[[#This Row],[تاريخ میلادی]],0)</f>
        <v>0</v>
      </c>
      <c r="R137" s="6">
        <f ca="1">IF(Main[[#This Row],[بدهی تسویه نشده (کیلوگرم)]]&gt;0,'گزارش فردی'!$B$7-Main[[#This Row],[تاريخ میلادی]]-'گزارش فردی'!$B$8,0)</f>
        <v>0</v>
      </c>
      <c r="S137" s="6">
        <f ca="1">Main[[#This Row],[روز از ارسال سفارش]]*Main[[#This Row],[بدهی تسویه نشده (کیلوگرم)]]</f>
        <v>0</v>
      </c>
      <c r="T137" s="6">
        <f ca="1">Main[[#This Row],[بدهی سررسید شده (کیلوگرم)]]*Main[[#This Row],[روز از ارسال سفارش]]</f>
        <v>0</v>
      </c>
      <c r="U137" s="6">
        <f>-SUBTOTAL(9,INDEX(Main[مقدار (کیلوگرم)],1):Main[[#This Row],[مقدار (کیلوگرم)]])</f>
        <v>21645</v>
      </c>
      <c r="V1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7" s="6">
        <f>Main[[#This Row],[تعداد کل روزهای بدهکار (روز)]]*Main[[#This Row],[مانده در خط کل (کیلوگرم)]]</f>
        <v>0</v>
      </c>
      <c r="X137" s="6">
        <f ca="1">-SUBTOTAL(9,INDEX(Main[مقدار تسویه شده (کیلوگرم)],1):Main[[#This Row],[مقدار تسویه شده (کیلوگرم)]])</f>
        <v>21645</v>
      </c>
      <c r="Y137" s="6">
        <f ca="1">IF(Main[[#This Row],[مانده در خط تسویه شده (کیلوگرم)]]&lt;&gt;0,Main[[#This Row],[تعداد کل روزهای بدهکار (روز)]],0)</f>
        <v>0</v>
      </c>
      <c r="Z137" s="6">
        <f ca="1">Main[[#This Row],[تعداد روزهای بدهکار تسویه شده (روز)]]*Main[[#This Row],[مانده در خط تسویه شده (کیلوگرم)]]</f>
        <v>0</v>
      </c>
      <c r="AA137" s="6">
        <f ca="1">SUBTOTAL(9,INDEX(Main[بدهی تسویه نشده (کیلوگرم)],1):Main[[#This Row],[بدهی تسویه نشده (کیلوگرم)]])</f>
        <v>0</v>
      </c>
      <c r="AB137" s="6">
        <f ca="1">IF(Main[[#This Row],[مانده در خط تسویه نشده (کیلوگرم)]]&lt;&gt;0,Main[[#This Row],[تعداد کل روزهای بدهکار (روز)]],0)</f>
        <v>0</v>
      </c>
      <c r="AC137" s="6">
        <f ca="1">Main[[#This Row],[تعداد روزهای بدهکار  تسویه نشده (روز)]]*Main[[#This Row],[مانده در خط تسویه نشده (کیلوگرم)]]</f>
        <v>0</v>
      </c>
      <c r="AD137" s="6">
        <f ca="1">SUBTOTAL(9,INDEX(Main[بدهی سررسید شده (کیلوگرم)],1):Main[[#This Row],[بدهی سررسید شده (کیلوگرم)]])</f>
        <v>0</v>
      </c>
      <c r="AE137" s="6">
        <f ca="1">IF(Main[[#This Row],[مانده در خط سررسید شده (کیلوگرم)]]&lt;&gt;0,Main[[#This Row],[تعداد کل روزهای بدهکار (روز)]],0)</f>
        <v>0</v>
      </c>
      <c r="AF137" s="6">
        <f ca="1">Main[[#This Row],[تعداد روزهای بدهکار سررسید شده (روز)]]*Main[[#This Row],[مانده در خط سررسید شده (کیلوگرم)]]</f>
        <v>0</v>
      </c>
    </row>
    <row r="138" spans="1:32" x14ac:dyDescent="0.35">
      <c r="A138" s="5">
        <f>ROW()-ROW(INDEX(Main[ردیف],1))+1</f>
        <v>136</v>
      </c>
      <c r="B138" s="31">
        <f>SUBTOTAL(2,INDEX(Main[ردیف],1):Main[[#This Row],[ردیف]])</f>
        <v>7</v>
      </c>
      <c r="C138" s="32" t="s">
        <v>510</v>
      </c>
      <c r="D138" s="32" t="str">
        <f>_xlfn.CONCAT("14",Main[[#This Row],[تاريخ]])</f>
        <v>1400/01/21</v>
      </c>
      <c r="E138" s="33">
        <v>44296</v>
      </c>
      <c r="F138" s="32">
        <v>10003</v>
      </c>
      <c r="G138" s="5" t="str">
        <f>INDEX(customer[عنوان],MATCH(Main[[#This Row],[کد ردیابی]],customer[کد],0))</f>
        <v>اصغر نورعلی</v>
      </c>
      <c r="H138">
        <v>-2010</v>
      </c>
      <c r="I138" s="6">
        <f ca="1">-Main[[#This Row],[بدهی تسویه شده (کیلوگرم)]]+Main[[#This Row],[بستانکار (کیلوگرم)]]</f>
        <v>-2010</v>
      </c>
      <c r="J138" s="6">
        <f>IF(Main[[#This Row],[مقدار (کیلوگرم)]]&gt;0,Main[[#This Row],[مقدار (کیلوگرم)]],0)</f>
        <v>0</v>
      </c>
      <c r="K138" s="6">
        <f>-IF(Main[[#This Row],[مقدار (کیلوگرم)]]&lt;0,Main[[#This Row],[مقدار (کیلوگرم)]],0)</f>
        <v>2010</v>
      </c>
      <c r="L1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" s="7">
        <f>-IF(AND(Main[[#This Row],[مقدار (کیلوگرم)]]&lt;0,Main[[#This Row],[تاريخ میلادی]]&gt;44276),Main[[#This Row],[مقدار (کیلوگرم)]],0)</f>
        <v>2010</v>
      </c>
      <c r="N138" s="6">
        <f ca="1">Main[[#This Row],[بدهکار (کیلوگرم)]]-Main[[#This Row],[بدهی تسویه نشده (کیلوگرم)]]</f>
        <v>2010</v>
      </c>
      <c r="O138" s="6">
        <f ca="1">Main[[#This Row],[تفکیک]]</f>
        <v>0</v>
      </c>
      <c r="P138" s="6">
        <f ca="1">IF(Main[[#This Row],[تاخیر از سررسید]]&gt;0,Main[[#This Row],[بدهی تسویه نشده (کیلوگرم)]],0)</f>
        <v>0</v>
      </c>
      <c r="Q138" s="6">
        <f ca="1">IF(Main[[#This Row],[بدهی تسویه نشده (کیلوگرم)]]&gt;0,'گزارش فردی'!$B$7-Main[[#This Row],[تاريخ میلادی]],0)</f>
        <v>0</v>
      </c>
      <c r="R138" s="6">
        <f ca="1">IF(Main[[#This Row],[بدهی تسویه نشده (کیلوگرم)]]&gt;0,'گزارش فردی'!$B$7-Main[[#This Row],[تاريخ میلادی]]-'گزارش فردی'!$B$8,0)</f>
        <v>0</v>
      </c>
      <c r="S138" s="6">
        <f ca="1">Main[[#This Row],[روز از ارسال سفارش]]*Main[[#This Row],[بدهی تسویه نشده (کیلوگرم)]]</f>
        <v>0</v>
      </c>
      <c r="T138" s="6">
        <f ca="1">Main[[#This Row],[بدهی سررسید شده (کیلوگرم)]]*Main[[#This Row],[روز از ارسال سفارش]]</f>
        <v>0</v>
      </c>
      <c r="U138" s="6">
        <f>-SUBTOTAL(9,INDEX(Main[مقدار (کیلوگرم)],1):Main[[#This Row],[مقدار (کیلوگرم)]])</f>
        <v>23655</v>
      </c>
      <c r="V1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" s="6">
        <f>Main[[#This Row],[تعداد کل روزهای بدهکار (روز)]]*Main[[#This Row],[مانده در خط کل (کیلوگرم)]]</f>
        <v>23655</v>
      </c>
      <c r="X138" s="6">
        <f ca="1">-SUBTOTAL(9,INDEX(Main[مقدار تسویه شده (کیلوگرم)],1):Main[[#This Row],[مقدار تسویه شده (کیلوگرم)]])</f>
        <v>23655</v>
      </c>
      <c r="Y138" s="6">
        <f ca="1">IF(Main[[#This Row],[مانده در خط تسویه شده (کیلوگرم)]]&lt;&gt;0,Main[[#This Row],[تعداد کل روزهای بدهکار (روز)]],0)</f>
        <v>1</v>
      </c>
      <c r="Z138" s="6">
        <f ca="1">Main[[#This Row],[تعداد روزهای بدهکار تسویه شده (روز)]]*Main[[#This Row],[مانده در خط تسویه شده (کیلوگرم)]]</f>
        <v>23655</v>
      </c>
      <c r="AA138" s="6">
        <f ca="1">SUBTOTAL(9,INDEX(Main[بدهی تسویه نشده (کیلوگرم)],1):Main[[#This Row],[بدهی تسویه نشده (کیلوگرم)]])</f>
        <v>0</v>
      </c>
      <c r="AB138" s="6">
        <f ca="1">IF(Main[[#This Row],[مانده در خط تسویه نشده (کیلوگرم)]]&lt;&gt;0,Main[[#This Row],[تعداد کل روزهای بدهکار (روز)]],0)</f>
        <v>0</v>
      </c>
      <c r="AC138" s="6">
        <f ca="1">Main[[#This Row],[تعداد روزهای بدهکار  تسویه نشده (روز)]]*Main[[#This Row],[مانده در خط تسویه نشده (کیلوگرم)]]</f>
        <v>0</v>
      </c>
      <c r="AD138" s="6">
        <f ca="1">SUBTOTAL(9,INDEX(Main[بدهی سررسید شده (کیلوگرم)],1):Main[[#This Row],[بدهی سررسید شده (کیلوگرم)]])</f>
        <v>0</v>
      </c>
      <c r="AE138" s="6">
        <f ca="1">IF(Main[[#This Row],[مانده در خط سررسید شده (کیلوگرم)]]&lt;&gt;0,Main[[#This Row],[تعداد کل روزهای بدهکار (روز)]],0)</f>
        <v>0</v>
      </c>
      <c r="AF138" s="6">
        <f ca="1">Main[[#This Row],[تعداد روزهای بدهکار سررسید شده (روز)]]*Main[[#This Row],[مانده در خط سررسید شده (کیلوگرم)]]</f>
        <v>0</v>
      </c>
    </row>
    <row r="139" spans="1:32" hidden="1" x14ac:dyDescent="0.35">
      <c r="A139" s="5">
        <f>ROW()-ROW(INDEX(Main[ردیف],1))+1</f>
        <v>137</v>
      </c>
      <c r="B139" s="31">
        <f>SUBTOTAL(2,INDEX(Main[ردیف],1):Main[[#This Row],[ردیف]])</f>
        <v>7</v>
      </c>
      <c r="C139" s="32" t="s">
        <v>510</v>
      </c>
      <c r="D139" s="32" t="str">
        <f>_xlfn.CONCAT("14",Main[[#This Row],[تاريخ]])</f>
        <v>1400/01/21</v>
      </c>
      <c r="E139" s="33">
        <v>44296</v>
      </c>
      <c r="F139" s="32">
        <v>10020</v>
      </c>
      <c r="G139" s="5" t="str">
        <f>INDEX(customer[عنوان],MATCH(Main[[#This Row],[کد ردیابی]],customer[کد],0))</f>
        <v>فرزاد اسماعیل زاده</v>
      </c>
      <c r="H139">
        <v>-1524</v>
      </c>
      <c r="I139" s="6">
        <f ca="1">-Main[[#This Row],[بدهی تسویه شده (کیلوگرم)]]+Main[[#This Row],[بستانکار (کیلوگرم)]]</f>
        <v>-1524</v>
      </c>
      <c r="J139" s="6">
        <f>IF(Main[[#This Row],[مقدار (کیلوگرم)]]&gt;0,Main[[#This Row],[مقدار (کیلوگرم)]],0)</f>
        <v>0</v>
      </c>
      <c r="K139" s="6">
        <f>-IF(Main[[#This Row],[مقدار (کیلوگرم)]]&lt;0,Main[[#This Row],[مقدار (کیلوگرم)]],0)</f>
        <v>1524</v>
      </c>
      <c r="L1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" s="7">
        <f>-IF(AND(Main[[#This Row],[مقدار (کیلوگرم)]]&lt;0,Main[[#This Row],[تاريخ میلادی]]&gt;44276),Main[[#This Row],[مقدار (کیلوگرم)]],0)</f>
        <v>1524</v>
      </c>
      <c r="N139" s="6">
        <f ca="1">Main[[#This Row],[بدهکار (کیلوگرم)]]-Main[[#This Row],[بدهی تسویه نشده (کیلوگرم)]]</f>
        <v>1524</v>
      </c>
      <c r="O139" s="6">
        <f ca="1">Main[[#This Row],[تفکیک]]</f>
        <v>0</v>
      </c>
      <c r="P139" s="6">
        <f ca="1">IF(Main[[#This Row],[تاخیر از سررسید]]&gt;0,Main[[#This Row],[بدهی تسویه نشده (کیلوگرم)]],0)</f>
        <v>0</v>
      </c>
      <c r="Q139" s="6">
        <f ca="1">IF(Main[[#This Row],[بدهی تسویه نشده (کیلوگرم)]]&gt;0,'گزارش فردی'!$B$7-Main[[#This Row],[تاريخ میلادی]],0)</f>
        <v>0</v>
      </c>
      <c r="R139" s="6">
        <f ca="1">IF(Main[[#This Row],[بدهی تسویه نشده (کیلوگرم)]]&gt;0,'گزارش فردی'!$B$7-Main[[#This Row],[تاريخ میلادی]]-'گزارش فردی'!$B$8,0)</f>
        <v>0</v>
      </c>
      <c r="S139" s="6">
        <f ca="1">Main[[#This Row],[روز از ارسال سفارش]]*Main[[#This Row],[بدهی تسویه نشده (کیلوگرم)]]</f>
        <v>0</v>
      </c>
      <c r="T139" s="6">
        <f ca="1">Main[[#This Row],[بدهی سررسید شده (کیلوگرم)]]*Main[[#This Row],[روز از ارسال سفارش]]</f>
        <v>0</v>
      </c>
      <c r="U139" s="6">
        <f>-SUBTOTAL(9,INDEX(Main[مقدار (کیلوگرم)],1):Main[[#This Row],[مقدار (کیلوگرم)]])</f>
        <v>23655</v>
      </c>
      <c r="V1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" s="6">
        <f>Main[[#This Row],[تعداد کل روزهای بدهکار (روز)]]*Main[[#This Row],[مانده در خط کل (کیلوگرم)]]</f>
        <v>23655</v>
      </c>
      <c r="X139" s="6">
        <f ca="1">-SUBTOTAL(9,INDEX(Main[مقدار تسویه شده (کیلوگرم)],1):Main[[#This Row],[مقدار تسویه شده (کیلوگرم)]])</f>
        <v>23655</v>
      </c>
      <c r="Y139" s="6">
        <f ca="1">IF(Main[[#This Row],[مانده در خط تسویه شده (کیلوگرم)]]&lt;&gt;0,Main[[#This Row],[تعداد کل روزهای بدهکار (روز)]],0)</f>
        <v>1</v>
      </c>
      <c r="Z139" s="6">
        <f ca="1">Main[[#This Row],[تعداد روزهای بدهکار تسویه شده (روز)]]*Main[[#This Row],[مانده در خط تسویه شده (کیلوگرم)]]</f>
        <v>23655</v>
      </c>
      <c r="AA139" s="6">
        <f ca="1">SUBTOTAL(9,INDEX(Main[بدهی تسویه نشده (کیلوگرم)],1):Main[[#This Row],[بدهی تسویه نشده (کیلوگرم)]])</f>
        <v>0</v>
      </c>
      <c r="AB139" s="6">
        <f ca="1">IF(Main[[#This Row],[مانده در خط تسویه نشده (کیلوگرم)]]&lt;&gt;0,Main[[#This Row],[تعداد کل روزهای بدهکار (روز)]],0)</f>
        <v>0</v>
      </c>
      <c r="AC139" s="6">
        <f ca="1">Main[[#This Row],[تعداد روزهای بدهکار  تسویه نشده (روز)]]*Main[[#This Row],[مانده در خط تسویه نشده (کیلوگرم)]]</f>
        <v>0</v>
      </c>
      <c r="AD139" s="6">
        <f ca="1">SUBTOTAL(9,INDEX(Main[بدهی سررسید شده (کیلوگرم)],1):Main[[#This Row],[بدهی سررسید شده (کیلوگرم)]])</f>
        <v>0</v>
      </c>
      <c r="AE139" s="6">
        <f ca="1">IF(Main[[#This Row],[مانده در خط سررسید شده (کیلوگرم)]]&lt;&gt;0,Main[[#This Row],[تعداد کل روزهای بدهکار (روز)]],0)</f>
        <v>0</v>
      </c>
      <c r="AF139" s="6">
        <f ca="1">Main[[#This Row],[تعداد روزهای بدهکار سررسید شده (روز)]]*Main[[#This Row],[مانده در خط سررسید شده (کیلوگرم)]]</f>
        <v>0</v>
      </c>
    </row>
    <row r="140" spans="1:32" hidden="1" x14ac:dyDescent="0.35">
      <c r="A140" s="5">
        <f>ROW()-ROW(INDEX(Main[ردیف],1))+1</f>
        <v>138</v>
      </c>
      <c r="B140" s="31">
        <f>SUBTOTAL(2,INDEX(Main[ردیف],1):Main[[#This Row],[ردیف]])</f>
        <v>7</v>
      </c>
      <c r="C140" s="32" t="s">
        <v>510</v>
      </c>
      <c r="D140" s="32" t="str">
        <f>_xlfn.CONCAT("14",Main[[#This Row],[تاريخ]])</f>
        <v>1400/01/21</v>
      </c>
      <c r="E140" s="33">
        <v>44296</v>
      </c>
      <c r="F140" s="32">
        <v>10026</v>
      </c>
      <c r="G140" s="5" t="str">
        <f>INDEX(customer[عنوان],MATCH(Main[[#This Row],[کد ردیابی]],customer[کد],0))</f>
        <v xml:space="preserve">محسن فیاض بخش </v>
      </c>
      <c r="H140">
        <v>-2044</v>
      </c>
      <c r="I140" s="6">
        <f ca="1">-Main[[#This Row],[بدهی تسویه شده (کیلوگرم)]]+Main[[#This Row],[بستانکار (کیلوگرم)]]</f>
        <v>-2044</v>
      </c>
      <c r="J140" s="6">
        <f>IF(Main[[#This Row],[مقدار (کیلوگرم)]]&gt;0,Main[[#This Row],[مقدار (کیلوگرم)]],0)</f>
        <v>0</v>
      </c>
      <c r="K140" s="6">
        <f>-IF(Main[[#This Row],[مقدار (کیلوگرم)]]&lt;0,Main[[#This Row],[مقدار (کیلوگرم)]],0)</f>
        <v>2044</v>
      </c>
      <c r="L1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" s="7">
        <f>-IF(AND(Main[[#This Row],[مقدار (کیلوگرم)]]&lt;0,Main[[#This Row],[تاريخ میلادی]]&gt;44276),Main[[#This Row],[مقدار (کیلوگرم)]],0)</f>
        <v>2044</v>
      </c>
      <c r="N140" s="6">
        <f ca="1">Main[[#This Row],[بدهکار (کیلوگرم)]]-Main[[#This Row],[بدهی تسویه نشده (کیلوگرم)]]</f>
        <v>2044</v>
      </c>
      <c r="O140" s="6">
        <f ca="1">Main[[#This Row],[تفکیک]]</f>
        <v>0</v>
      </c>
      <c r="P140" s="6">
        <f ca="1">IF(Main[[#This Row],[تاخیر از سررسید]]&gt;0,Main[[#This Row],[بدهی تسویه نشده (کیلوگرم)]],0)</f>
        <v>0</v>
      </c>
      <c r="Q140" s="6">
        <f ca="1">IF(Main[[#This Row],[بدهی تسویه نشده (کیلوگرم)]]&gt;0,'گزارش فردی'!$B$7-Main[[#This Row],[تاريخ میلادی]],0)</f>
        <v>0</v>
      </c>
      <c r="R140" s="6">
        <f ca="1">IF(Main[[#This Row],[بدهی تسویه نشده (کیلوگرم)]]&gt;0,'گزارش فردی'!$B$7-Main[[#This Row],[تاريخ میلادی]]-'گزارش فردی'!$B$8,0)</f>
        <v>0</v>
      </c>
      <c r="S140" s="6">
        <f ca="1">Main[[#This Row],[روز از ارسال سفارش]]*Main[[#This Row],[بدهی تسویه نشده (کیلوگرم)]]</f>
        <v>0</v>
      </c>
      <c r="T140" s="6">
        <f ca="1">Main[[#This Row],[بدهی سررسید شده (کیلوگرم)]]*Main[[#This Row],[روز از ارسال سفارش]]</f>
        <v>0</v>
      </c>
      <c r="U140" s="6">
        <f>-SUBTOTAL(9,INDEX(Main[مقدار (کیلوگرم)],1):Main[[#This Row],[مقدار (کیلوگرم)]])</f>
        <v>23655</v>
      </c>
      <c r="V1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0" s="6">
        <f>Main[[#This Row],[تعداد کل روزهای بدهکار (روز)]]*Main[[#This Row],[مانده در خط کل (کیلوگرم)]]</f>
        <v>23655</v>
      </c>
      <c r="X140" s="6">
        <f ca="1">-SUBTOTAL(9,INDEX(Main[مقدار تسویه شده (کیلوگرم)],1):Main[[#This Row],[مقدار تسویه شده (کیلوگرم)]])</f>
        <v>23655</v>
      </c>
      <c r="Y140" s="6">
        <f ca="1">IF(Main[[#This Row],[مانده در خط تسویه شده (کیلوگرم)]]&lt;&gt;0,Main[[#This Row],[تعداد کل روزهای بدهکار (روز)]],0)</f>
        <v>1</v>
      </c>
      <c r="Z140" s="6">
        <f ca="1">Main[[#This Row],[تعداد روزهای بدهکار تسویه شده (روز)]]*Main[[#This Row],[مانده در خط تسویه شده (کیلوگرم)]]</f>
        <v>23655</v>
      </c>
      <c r="AA140" s="6">
        <f ca="1">SUBTOTAL(9,INDEX(Main[بدهی تسویه نشده (کیلوگرم)],1):Main[[#This Row],[بدهی تسویه نشده (کیلوگرم)]])</f>
        <v>0</v>
      </c>
      <c r="AB140" s="6">
        <f ca="1">IF(Main[[#This Row],[مانده در خط تسویه نشده (کیلوگرم)]]&lt;&gt;0,Main[[#This Row],[تعداد کل روزهای بدهکار (روز)]],0)</f>
        <v>0</v>
      </c>
      <c r="AC140" s="6">
        <f ca="1">Main[[#This Row],[تعداد روزهای بدهکار  تسویه نشده (روز)]]*Main[[#This Row],[مانده در خط تسویه نشده (کیلوگرم)]]</f>
        <v>0</v>
      </c>
      <c r="AD140" s="6">
        <f ca="1">SUBTOTAL(9,INDEX(Main[بدهی سررسید شده (کیلوگرم)],1):Main[[#This Row],[بدهی سررسید شده (کیلوگرم)]])</f>
        <v>0</v>
      </c>
      <c r="AE140" s="6">
        <f ca="1">IF(Main[[#This Row],[مانده در خط سررسید شده (کیلوگرم)]]&lt;&gt;0,Main[[#This Row],[تعداد کل روزهای بدهکار (روز)]],0)</f>
        <v>0</v>
      </c>
      <c r="AF140" s="6">
        <f ca="1">Main[[#This Row],[تعداد روزهای بدهکار سررسید شده (روز)]]*Main[[#This Row],[مانده در خط سررسید شده (کیلوگرم)]]</f>
        <v>0</v>
      </c>
    </row>
    <row r="141" spans="1:32" x14ac:dyDescent="0.35">
      <c r="A141" s="5">
        <f>ROW()-ROW(INDEX(Main[ردیف],1))+1</f>
        <v>139</v>
      </c>
      <c r="B141" s="31">
        <f>SUBTOTAL(2,INDEX(Main[ردیف],1):Main[[#This Row],[ردیف]])</f>
        <v>8</v>
      </c>
      <c r="C141" s="32" t="s">
        <v>512</v>
      </c>
      <c r="D141" s="32" t="str">
        <f>_xlfn.CONCAT("14",Main[[#This Row],[تاريخ]])</f>
        <v>1400/01/22</v>
      </c>
      <c r="E141" s="33">
        <v>44297</v>
      </c>
      <c r="F141" s="32">
        <v>10003</v>
      </c>
      <c r="G141" s="5" t="str">
        <f>INDEX(customer[عنوان],MATCH(Main[[#This Row],[کد ردیابی]],customer[کد],0))</f>
        <v>اصغر نورعلی</v>
      </c>
      <c r="H141">
        <v>2434</v>
      </c>
      <c r="I141" s="6">
        <f ca="1">-Main[[#This Row],[بدهی تسویه شده (کیلوگرم)]]+Main[[#This Row],[بستانکار (کیلوگرم)]]</f>
        <v>2434</v>
      </c>
      <c r="J141" s="6">
        <f>IF(Main[[#This Row],[مقدار (کیلوگرم)]]&gt;0,Main[[#This Row],[مقدار (کیلوگرم)]],0)</f>
        <v>2434</v>
      </c>
      <c r="K141" s="6">
        <f>-IF(Main[[#This Row],[مقدار (کیلوگرم)]]&lt;0,Main[[#This Row],[مقدار (کیلوگرم)]],0)</f>
        <v>0</v>
      </c>
      <c r="L1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" s="7">
        <f>-IF(AND(Main[[#This Row],[مقدار (کیلوگرم)]]&lt;0,Main[[#This Row],[تاريخ میلادی]]&gt;44276),Main[[#This Row],[مقدار (کیلوگرم)]],0)</f>
        <v>0</v>
      </c>
      <c r="N141" s="6">
        <f ca="1">Main[[#This Row],[بدهکار (کیلوگرم)]]-Main[[#This Row],[بدهی تسویه نشده (کیلوگرم)]]</f>
        <v>0</v>
      </c>
      <c r="O141" s="6">
        <f ca="1">Main[[#This Row],[تفکیک]]</f>
        <v>0</v>
      </c>
      <c r="P141" s="6">
        <f ca="1">IF(Main[[#This Row],[تاخیر از سررسید]]&gt;0,Main[[#This Row],[بدهی تسویه نشده (کیلوگرم)]],0)</f>
        <v>0</v>
      </c>
      <c r="Q141" s="6">
        <f ca="1">IF(Main[[#This Row],[بدهی تسویه نشده (کیلوگرم)]]&gt;0,'گزارش فردی'!$B$7-Main[[#This Row],[تاريخ میلادی]],0)</f>
        <v>0</v>
      </c>
      <c r="R141" s="6">
        <f ca="1">IF(Main[[#This Row],[بدهی تسویه نشده (کیلوگرم)]]&gt;0,'گزارش فردی'!$B$7-Main[[#This Row],[تاريخ میلادی]]-'گزارش فردی'!$B$8,0)</f>
        <v>0</v>
      </c>
      <c r="S141" s="6">
        <f ca="1">Main[[#This Row],[روز از ارسال سفارش]]*Main[[#This Row],[بدهی تسویه نشده (کیلوگرم)]]</f>
        <v>0</v>
      </c>
      <c r="T141" s="6">
        <f ca="1">Main[[#This Row],[بدهی سررسید شده (کیلوگرم)]]*Main[[#This Row],[روز از ارسال سفارش]]</f>
        <v>0</v>
      </c>
      <c r="U141" s="6">
        <f>-SUBTOTAL(9,INDEX(Main[مقدار (کیلوگرم)],1):Main[[#This Row],[مقدار (کیلوگرم)]])</f>
        <v>21221</v>
      </c>
      <c r="V1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1" s="6">
        <f>Main[[#This Row],[تعداد کل روزهای بدهکار (روز)]]*Main[[#This Row],[مانده در خط کل (کیلوگرم)]]</f>
        <v>0</v>
      </c>
      <c r="X141" s="6">
        <f ca="1">-SUBTOTAL(9,INDEX(Main[مقدار تسویه شده (کیلوگرم)],1):Main[[#This Row],[مقدار تسویه شده (کیلوگرم)]])</f>
        <v>21221</v>
      </c>
      <c r="Y141" s="6">
        <f ca="1">IF(Main[[#This Row],[مانده در خط تسویه شده (کیلوگرم)]]&lt;&gt;0,Main[[#This Row],[تعداد کل روزهای بدهکار (روز)]],0)</f>
        <v>0</v>
      </c>
      <c r="Z141" s="6">
        <f ca="1">Main[[#This Row],[تعداد روزهای بدهکار تسویه شده (روز)]]*Main[[#This Row],[مانده در خط تسویه شده (کیلوگرم)]]</f>
        <v>0</v>
      </c>
      <c r="AA141" s="6">
        <f ca="1">SUBTOTAL(9,INDEX(Main[بدهی تسویه نشده (کیلوگرم)],1):Main[[#This Row],[بدهی تسویه نشده (کیلوگرم)]])</f>
        <v>0</v>
      </c>
      <c r="AB141" s="6">
        <f ca="1">IF(Main[[#This Row],[مانده در خط تسویه نشده (کیلوگرم)]]&lt;&gt;0,Main[[#This Row],[تعداد کل روزهای بدهکار (روز)]],0)</f>
        <v>0</v>
      </c>
      <c r="AC141" s="6">
        <f ca="1">Main[[#This Row],[تعداد روزهای بدهکار  تسویه نشده (روز)]]*Main[[#This Row],[مانده در خط تسویه نشده (کیلوگرم)]]</f>
        <v>0</v>
      </c>
      <c r="AD141" s="6">
        <f ca="1">SUBTOTAL(9,INDEX(Main[بدهی سررسید شده (کیلوگرم)],1):Main[[#This Row],[بدهی سررسید شده (کیلوگرم)]])</f>
        <v>0</v>
      </c>
      <c r="AE141" s="6">
        <f ca="1">IF(Main[[#This Row],[مانده در خط سررسید شده (کیلوگرم)]]&lt;&gt;0,Main[[#This Row],[تعداد کل روزهای بدهکار (روز)]],0)</f>
        <v>0</v>
      </c>
      <c r="AF141" s="6">
        <f ca="1">Main[[#This Row],[تعداد روزهای بدهکار سررسید شده (روز)]]*Main[[#This Row],[مانده در خط سررسید شده (کیلوگرم)]]</f>
        <v>0</v>
      </c>
    </row>
    <row r="142" spans="1:32" hidden="1" x14ac:dyDescent="0.35">
      <c r="A142" s="5">
        <f>ROW()-ROW(INDEX(Main[ردیف],1))+1</f>
        <v>140</v>
      </c>
      <c r="B142" s="31">
        <f>SUBTOTAL(2,INDEX(Main[ردیف],1):Main[[#This Row],[ردیف]])</f>
        <v>8</v>
      </c>
      <c r="C142" s="32" t="s">
        <v>512</v>
      </c>
      <c r="D142" s="32" t="str">
        <f>_xlfn.CONCAT("14",Main[[#This Row],[تاريخ]])</f>
        <v>1400/01/22</v>
      </c>
      <c r="E142" s="33">
        <v>44297</v>
      </c>
      <c r="F142" s="32">
        <v>30055</v>
      </c>
      <c r="G142" s="5" t="str">
        <f>INDEX(customer[عنوان],MATCH(Main[[#This Row],[کد ردیابی]],customer[کد],0))</f>
        <v xml:space="preserve">تکنو کار </v>
      </c>
      <c r="H142">
        <v>-1010</v>
      </c>
      <c r="I142" s="6">
        <f ca="1">-Main[[#This Row],[بدهی تسویه شده (کیلوگرم)]]+Main[[#This Row],[بستانکار (کیلوگرم)]]</f>
        <v>-1010</v>
      </c>
      <c r="J142" s="6">
        <f>IF(Main[[#This Row],[مقدار (کیلوگرم)]]&gt;0,Main[[#This Row],[مقدار (کیلوگرم)]],0)</f>
        <v>0</v>
      </c>
      <c r="K142" s="6">
        <f>-IF(Main[[#This Row],[مقدار (کیلوگرم)]]&lt;0,Main[[#This Row],[مقدار (کیلوگرم)]],0)</f>
        <v>1010</v>
      </c>
      <c r="L1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" s="7">
        <f>-IF(AND(Main[[#This Row],[مقدار (کیلوگرم)]]&lt;0,Main[[#This Row],[تاريخ میلادی]]&gt;44276),Main[[#This Row],[مقدار (کیلوگرم)]],0)</f>
        <v>1010</v>
      </c>
      <c r="N142" s="6">
        <f ca="1">Main[[#This Row],[بدهکار (کیلوگرم)]]-Main[[#This Row],[بدهی تسویه نشده (کیلوگرم)]]</f>
        <v>1010</v>
      </c>
      <c r="O142" s="6">
        <f ca="1">Main[[#This Row],[تفکیک]]</f>
        <v>0</v>
      </c>
      <c r="P142" s="6">
        <f ca="1">IF(Main[[#This Row],[تاخیر از سررسید]]&gt;0,Main[[#This Row],[بدهی تسویه نشده (کیلوگرم)]],0)</f>
        <v>0</v>
      </c>
      <c r="Q142" s="6">
        <f ca="1">IF(Main[[#This Row],[بدهی تسویه نشده (کیلوگرم)]]&gt;0,'گزارش فردی'!$B$7-Main[[#This Row],[تاريخ میلادی]],0)</f>
        <v>0</v>
      </c>
      <c r="R142" s="6">
        <f ca="1">IF(Main[[#This Row],[بدهی تسویه نشده (کیلوگرم)]]&gt;0,'گزارش فردی'!$B$7-Main[[#This Row],[تاريخ میلادی]]-'گزارش فردی'!$B$8,0)</f>
        <v>0</v>
      </c>
      <c r="S142" s="6">
        <f ca="1">Main[[#This Row],[روز از ارسال سفارش]]*Main[[#This Row],[بدهی تسویه نشده (کیلوگرم)]]</f>
        <v>0</v>
      </c>
      <c r="T142" s="6">
        <f ca="1">Main[[#This Row],[بدهی سررسید شده (کیلوگرم)]]*Main[[#This Row],[روز از ارسال سفارش]]</f>
        <v>0</v>
      </c>
      <c r="U142" s="6">
        <f>-SUBTOTAL(9,INDEX(Main[مقدار (کیلوگرم)],1):Main[[#This Row],[مقدار (کیلوگرم)]])</f>
        <v>21221</v>
      </c>
      <c r="V1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2" s="6">
        <f>Main[[#This Row],[تعداد کل روزهای بدهکار (روز)]]*Main[[#This Row],[مانده در خط کل (کیلوگرم)]]</f>
        <v>0</v>
      </c>
      <c r="X142" s="6">
        <f ca="1">-SUBTOTAL(9,INDEX(Main[مقدار تسویه شده (کیلوگرم)],1):Main[[#This Row],[مقدار تسویه شده (کیلوگرم)]])</f>
        <v>21221</v>
      </c>
      <c r="Y142" s="6">
        <f ca="1">IF(Main[[#This Row],[مانده در خط تسویه شده (کیلوگرم)]]&lt;&gt;0,Main[[#This Row],[تعداد کل روزهای بدهکار (روز)]],0)</f>
        <v>0</v>
      </c>
      <c r="Z142" s="6">
        <f ca="1">Main[[#This Row],[تعداد روزهای بدهکار تسویه شده (روز)]]*Main[[#This Row],[مانده در خط تسویه شده (کیلوگرم)]]</f>
        <v>0</v>
      </c>
      <c r="AA142" s="6">
        <f ca="1">SUBTOTAL(9,INDEX(Main[بدهی تسویه نشده (کیلوگرم)],1):Main[[#This Row],[بدهی تسویه نشده (کیلوگرم)]])</f>
        <v>0</v>
      </c>
      <c r="AB142" s="6">
        <f ca="1">IF(Main[[#This Row],[مانده در خط تسویه نشده (کیلوگرم)]]&lt;&gt;0,Main[[#This Row],[تعداد کل روزهای بدهکار (روز)]],0)</f>
        <v>0</v>
      </c>
      <c r="AC142" s="6">
        <f ca="1">Main[[#This Row],[تعداد روزهای بدهکار  تسویه نشده (روز)]]*Main[[#This Row],[مانده در خط تسویه نشده (کیلوگرم)]]</f>
        <v>0</v>
      </c>
      <c r="AD142" s="6">
        <f ca="1">SUBTOTAL(9,INDEX(Main[بدهی سررسید شده (کیلوگرم)],1):Main[[#This Row],[بدهی سررسید شده (کیلوگرم)]])</f>
        <v>0</v>
      </c>
      <c r="AE142" s="6">
        <f ca="1">IF(Main[[#This Row],[مانده در خط سررسید شده (کیلوگرم)]]&lt;&gt;0,Main[[#This Row],[تعداد کل روزهای بدهکار (روز)]],0)</f>
        <v>0</v>
      </c>
      <c r="AF142" s="6">
        <f ca="1">Main[[#This Row],[تعداد روزهای بدهکار سررسید شده (روز)]]*Main[[#This Row],[مانده در خط سررسید شده (کیلوگرم)]]</f>
        <v>0</v>
      </c>
    </row>
    <row r="143" spans="1:32" hidden="1" x14ac:dyDescent="0.35">
      <c r="A143" s="5">
        <f>ROW()-ROW(INDEX(Main[ردیف],1))+1</f>
        <v>141</v>
      </c>
      <c r="B143" s="31">
        <f>SUBTOTAL(2,INDEX(Main[ردیف],1):Main[[#This Row],[ردیف]])</f>
        <v>8</v>
      </c>
      <c r="C143" s="32" t="s">
        <v>512</v>
      </c>
      <c r="D143" s="32" t="str">
        <f>_xlfn.CONCAT("14",Main[[#This Row],[تاريخ]])</f>
        <v>1400/01/22</v>
      </c>
      <c r="E143" s="33">
        <v>44297</v>
      </c>
      <c r="F143" s="32">
        <v>10069</v>
      </c>
      <c r="G143" s="5" t="str">
        <f>INDEX(customer[عنوان],MATCH(Main[[#This Row],[کد ردیابی]],customer[کد],0))</f>
        <v xml:space="preserve">جواد عرب </v>
      </c>
      <c r="H143">
        <v>100</v>
      </c>
      <c r="I143" s="6">
        <f ca="1">-Main[[#This Row],[بدهی تسویه شده (کیلوگرم)]]+Main[[#This Row],[بستانکار (کیلوگرم)]]</f>
        <v>100</v>
      </c>
      <c r="J143" s="6">
        <f>IF(Main[[#This Row],[مقدار (کیلوگرم)]]&gt;0,Main[[#This Row],[مقدار (کیلوگرم)]],0)</f>
        <v>100</v>
      </c>
      <c r="K143" s="6">
        <f>-IF(Main[[#This Row],[مقدار (کیلوگرم)]]&lt;0,Main[[#This Row],[مقدار (کیلوگرم)]],0)</f>
        <v>0</v>
      </c>
      <c r="L1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" s="7">
        <f>-IF(AND(Main[[#This Row],[مقدار (کیلوگرم)]]&lt;0,Main[[#This Row],[تاريخ میلادی]]&gt;44276),Main[[#This Row],[مقدار (کیلوگرم)]],0)</f>
        <v>0</v>
      </c>
      <c r="N143" s="6">
        <f ca="1">Main[[#This Row],[بدهکار (کیلوگرم)]]-Main[[#This Row],[بدهی تسویه نشده (کیلوگرم)]]</f>
        <v>0</v>
      </c>
      <c r="O143" s="6">
        <f ca="1">Main[[#This Row],[تفکیک]]</f>
        <v>0</v>
      </c>
      <c r="P143" s="6">
        <f ca="1">IF(Main[[#This Row],[تاخیر از سررسید]]&gt;0,Main[[#This Row],[بدهی تسویه نشده (کیلوگرم)]],0)</f>
        <v>0</v>
      </c>
      <c r="Q143" s="6">
        <f ca="1">IF(Main[[#This Row],[بدهی تسویه نشده (کیلوگرم)]]&gt;0,'گزارش فردی'!$B$7-Main[[#This Row],[تاريخ میلادی]],0)</f>
        <v>0</v>
      </c>
      <c r="R143" s="6">
        <f ca="1">IF(Main[[#This Row],[بدهی تسویه نشده (کیلوگرم)]]&gt;0,'گزارش فردی'!$B$7-Main[[#This Row],[تاريخ میلادی]]-'گزارش فردی'!$B$8,0)</f>
        <v>0</v>
      </c>
      <c r="S143" s="6">
        <f ca="1">Main[[#This Row],[روز از ارسال سفارش]]*Main[[#This Row],[بدهی تسویه نشده (کیلوگرم)]]</f>
        <v>0</v>
      </c>
      <c r="T143" s="6">
        <f ca="1">Main[[#This Row],[بدهی سررسید شده (کیلوگرم)]]*Main[[#This Row],[روز از ارسال سفارش]]</f>
        <v>0</v>
      </c>
      <c r="U143" s="6">
        <f>-SUBTOTAL(9,INDEX(Main[مقدار (کیلوگرم)],1):Main[[#This Row],[مقدار (کیلوگرم)]])</f>
        <v>21221</v>
      </c>
      <c r="V1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" s="6">
        <f>Main[[#This Row],[تعداد کل روزهای بدهکار (روز)]]*Main[[#This Row],[مانده در خط کل (کیلوگرم)]]</f>
        <v>0</v>
      </c>
      <c r="X143" s="6">
        <f ca="1">-SUBTOTAL(9,INDEX(Main[مقدار تسویه شده (کیلوگرم)],1):Main[[#This Row],[مقدار تسویه شده (کیلوگرم)]])</f>
        <v>21221</v>
      </c>
      <c r="Y143" s="6">
        <f ca="1">IF(Main[[#This Row],[مانده در خط تسویه شده (کیلوگرم)]]&lt;&gt;0,Main[[#This Row],[تعداد کل روزهای بدهکار (روز)]],0)</f>
        <v>0</v>
      </c>
      <c r="Z143" s="6">
        <f ca="1">Main[[#This Row],[تعداد روزهای بدهکار تسویه شده (روز)]]*Main[[#This Row],[مانده در خط تسویه شده (کیلوگرم)]]</f>
        <v>0</v>
      </c>
      <c r="AA143" s="6">
        <f ca="1">SUBTOTAL(9,INDEX(Main[بدهی تسویه نشده (کیلوگرم)],1):Main[[#This Row],[بدهی تسویه نشده (کیلوگرم)]])</f>
        <v>0</v>
      </c>
      <c r="AB143" s="6">
        <f ca="1">IF(Main[[#This Row],[مانده در خط تسویه نشده (کیلوگرم)]]&lt;&gt;0,Main[[#This Row],[تعداد کل روزهای بدهکار (روز)]],0)</f>
        <v>0</v>
      </c>
      <c r="AC143" s="6">
        <f ca="1">Main[[#This Row],[تعداد روزهای بدهکار  تسویه نشده (روز)]]*Main[[#This Row],[مانده در خط تسویه نشده (کیلوگرم)]]</f>
        <v>0</v>
      </c>
      <c r="AD143" s="6">
        <f ca="1">SUBTOTAL(9,INDEX(Main[بدهی سررسید شده (کیلوگرم)],1):Main[[#This Row],[بدهی سررسید شده (کیلوگرم)]])</f>
        <v>0</v>
      </c>
      <c r="AE143" s="6">
        <f ca="1">IF(Main[[#This Row],[مانده در خط سررسید شده (کیلوگرم)]]&lt;&gt;0,Main[[#This Row],[تعداد کل روزهای بدهکار (روز)]],0)</f>
        <v>0</v>
      </c>
      <c r="AF143" s="6">
        <f ca="1">Main[[#This Row],[تعداد روزهای بدهکار سررسید شده (روز)]]*Main[[#This Row],[مانده در خط سررسید شده (کیلوگرم)]]</f>
        <v>0</v>
      </c>
    </row>
    <row r="144" spans="1:32" hidden="1" x14ac:dyDescent="0.35">
      <c r="A144" s="5">
        <f>ROW()-ROW(INDEX(Main[ردیف],1))+1</f>
        <v>142</v>
      </c>
      <c r="B144" s="31">
        <f>SUBTOTAL(2,INDEX(Main[ردیف],1):Main[[#This Row],[ردیف]])</f>
        <v>8</v>
      </c>
      <c r="C144" s="32" t="s">
        <v>512</v>
      </c>
      <c r="D144" s="32" t="str">
        <f>_xlfn.CONCAT("14",Main[[#This Row],[تاريخ]])</f>
        <v>1400/01/22</v>
      </c>
      <c r="E144" s="33">
        <v>44297</v>
      </c>
      <c r="F144" s="32">
        <v>30066</v>
      </c>
      <c r="G144" s="5" t="str">
        <f>INDEX(customer[عنوان],MATCH(Main[[#This Row],[کد ردیابی]],customer[کد],0))</f>
        <v xml:space="preserve">شیر آلات بهداشتی قهرمان </v>
      </c>
      <c r="H144">
        <v>-4228</v>
      </c>
      <c r="I144" s="6">
        <f ca="1">-Main[[#This Row],[بدهی تسویه شده (کیلوگرم)]]+Main[[#This Row],[بستانکار (کیلوگرم)]]</f>
        <v>-4228</v>
      </c>
      <c r="J144" s="6">
        <f>IF(Main[[#This Row],[مقدار (کیلوگرم)]]&gt;0,Main[[#This Row],[مقدار (کیلوگرم)]],0)</f>
        <v>0</v>
      </c>
      <c r="K144" s="6">
        <f>-IF(Main[[#This Row],[مقدار (کیلوگرم)]]&lt;0,Main[[#This Row],[مقدار (کیلوگرم)]],0)</f>
        <v>4228</v>
      </c>
      <c r="L1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" s="7">
        <f>-IF(AND(Main[[#This Row],[مقدار (کیلوگرم)]]&lt;0,Main[[#This Row],[تاريخ میلادی]]&gt;44276),Main[[#This Row],[مقدار (کیلوگرم)]],0)</f>
        <v>4228</v>
      </c>
      <c r="N144" s="6">
        <f ca="1">Main[[#This Row],[بدهکار (کیلوگرم)]]-Main[[#This Row],[بدهی تسویه نشده (کیلوگرم)]]</f>
        <v>4228</v>
      </c>
      <c r="O144" s="6">
        <f ca="1">Main[[#This Row],[تفکیک]]</f>
        <v>0</v>
      </c>
      <c r="P144" s="6">
        <f ca="1">IF(Main[[#This Row],[تاخیر از سررسید]]&gt;0,Main[[#This Row],[بدهی تسویه نشده (کیلوگرم)]],0)</f>
        <v>0</v>
      </c>
      <c r="Q144" s="6">
        <f ca="1">IF(Main[[#This Row],[بدهی تسویه نشده (کیلوگرم)]]&gt;0,'گزارش فردی'!$B$7-Main[[#This Row],[تاريخ میلادی]],0)</f>
        <v>0</v>
      </c>
      <c r="R144" s="6">
        <f ca="1">IF(Main[[#This Row],[بدهی تسویه نشده (کیلوگرم)]]&gt;0,'گزارش فردی'!$B$7-Main[[#This Row],[تاريخ میلادی]]-'گزارش فردی'!$B$8,0)</f>
        <v>0</v>
      </c>
      <c r="S144" s="6">
        <f ca="1">Main[[#This Row],[روز از ارسال سفارش]]*Main[[#This Row],[بدهی تسویه نشده (کیلوگرم)]]</f>
        <v>0</v>
      </c>
      <c r="T144" s="6">
        <f ca="1">Main[[#This Row],[بدهی سررسید شده (کیلوگرم)]]*Main[[#This Row],[روز از ارسال سفارش]]</f>
        <v>0</v>
      </c>
      <c r="U144" s="6">
        <f>-SUBTOTAL(9,INDEX(Main[مقدار (کیلوگرم)],1):Main[[#This Row],[مقدار (کیلوگرم)]])</f>
        <v>21221</v>
      </c>
      <c r="V1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" s="6">
        <f>Main[[#This Row],[تعداد کل روزهای بدهکار (روز)]]*Main[[#This Row],[مانده در خط کل (کیلوگرم)]]</f>
        <v>0</v>
      </c>
      <c r="X144" s="6">
        <f ca="1">-SUBTOTAL(9,INDEX(Main[مقدار تسویه شده (کیلوگرم)],1):Main[[#This Row],[مقدار تسویه شده (کیلوگرم)]])</f>
        <v>21221</v>
      </c>
      <c r="Y144" s="6">
        <f ca="1">IF(Main[[#This Row],[مانده در خط تسویه شده (کیلوگرم)]]&lt;&gt;0,Main[[#This Row],[تعداد کل روزهای بدهکار (روز)]],0)</f>
        <v>0</v>
      </c>
      <c r="Z144" s="6">
        <f ca="1">Main[[#This Row],[تعداد روزهای بدهکار تسویه شده (روز)]]*Main[[#This Row],[مانده در خط تسویه شده (کیلوگرم)]]</f>
        <v>0</v>
      </c>
      <c r="AA144" s="6">
        <f ca="1">SUBTOTAL(9,INDEX(Main[بدهی تسویه نشده (کیلوگرم)],1):Main[[#This Row],[بدهی تسویه نشده (کیلوگرم)]])</f>
        <v>0</v>
      </c>
      <c r="AB144" s="6">
        <f ca="1">IF(Main[[#This Row],[مانده در خط تسویه نشده (کیلوگرم)]]&lt;&gt;0,Main[[#This Row],[تعداد کل روزهای بدهکار (روز)]],0)</f>
        <v>0</v>
      </c>
      <c r="AC144" s="6">
        <f ca="1">Main[[#This Row],[تعداد روزهای بدهکار  تسویه نشده (روز)]]*Main[[#This Row],[مانده در خط تسویه نشده (کیلوگرم)]]</f>
        <v>0</v>
      </c>
      <c r="AD144" s="6">
        <f ca="1">SUBTOTAL(9,INDEX(Main[بدهی سررسید شده (کیلوگرم)],1):Main[[#This Row],[بدهی سررسید شده (کیلوگرم)]])</f>
        <v>0</v>
      </c>
      <c r="AE144" s="6">
        <f ca="1">IF(Main[[#This Row],[مانده در خط سررسید شده (کیلوگرم)]]&lt;&gt;0,Main[[#This Row],[تعداد کل روزهای بدهکار (روز)]],0)</f>
        <v>0</v>
      </c>
      <c r="AF144" s="6">
        <f ca="1">Main[[#This Row],[تعداد روزهای بدهکار سررسید شده (روز)]]*Main[[#This Row],[مانده در خط سررسید شده (کیلوگرم)]]</f>
        <v>0</v>
      </c>
    </row>
    <row r="145" spans="1:32" hidden="1" x14ac:dyDescent="0.35">
      <c r="A145" s="5">
        <f>ROW()-ROW(INDEX(Main[ردیف],1))+1</f>
        <v>143</v>
      </c>
      <c r="B145" s="31">
        <f>SUBTOTAL(2,INDEX(Main[ردیف],1):Main[[#This Row],[ردیف]])</f>
        <v>8</v>
      </c>
      <c r="C145" s="32" t="s">
        <v>512</v>
      </c>
      <c r="D145" s="32" t="str">
        <f>_xlfn.CONCAT("14",Main[[#This Row],[تاريخ]])</f>
        <v>1400/01/22</v>
      </c>
      <c r="E145" s="33">
        <v>44297</v>
      </c>
      <c r="F145" s="32">
        <v>30017</v>
      </c>
      <c r="G145" s="5" t="str">
        <f>INDEX(customer[عنوان],MATCH(Main[[#This Row],[کد ردیابی]],customer[کد],0))</f>
        <v xml:space="preserve">البرز یدک </v>
      </c>
      <c r="H145">
        <v>2002</v>
      </c>
      <c r="I145" s="6">
        <f ca="1">-Main[[#This Row],[بدهی تسویه شده (کیلوگرم)]]+Main[[#This Row],[بستانکار (کیلوگرم)]]</f>
        <v>2002</v>
      </c>
      <c r="J145" s="6">
        <f>IF(Main[[#This Row],[مقدار (کیلوگرم)]]&gt;0,Main[[#This Row],[مقدار (کیلوگرم)]],0)</f>
        <v>2002</v>
      </c>
      <c r="K145" s="6">
        <f>-IF(Main[[#This Row],[مقدار (کیلوگرم)]]&lt;0,Main[[#This Row],[مقدار (کیلوگرم)]],0)</f>
        <v>0</v>
      </c>
      <c r="L1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" s="7">
        <f>-IF(AND(Main[[#This Row],[مقدار (کیلوگرم)]]&lt;0,Main[[#This Row],[تاريخ میلادی]]&gt;44276),Main[[#This Row],[مقدار (کیلوگرم)]],0)</f>
        <v>0</v>
      </c>
      <c r="N145" s="6">
        <f ca="1">Main[[#This Row],[بدهکار (کیلوگرم)]]-Main[[#This Row],[بدهی تسویه نشده (کیلوگرم)]]</f>
        <v>0</v>
      </c>
      <c r="O145" s="6">
        <f ca="1">Main[[#This Row],[تفکیک]]</f>
        <v>0</v>
      </c>
      <c r="P145" s="6">
        <f ca="1">IF(Main[[#This Row],[تاخیر از سررسید]]&gt;0,Main[[#This Row],[بدهی تسویه نشده (کیلوگرم)]],0)</f>
        <v>0</v>
      </c>
      <c r="Q145" s="6">
        <f ca="1">IF(Main[[#This Row],[بدهی تسویه نشده (کیلوگرم)]]&gt;0,'گزارش فردی'!$B$7-Main[[#This Row],[تاريخ میلادی]],0)</f>
        <v>0</v>
      </c>
      <c r="R145" s="6">
        <f ca="1">IF(Main[[#This Row],[بدهی تسویه نشده (کیلوگرم)]]&gt;0,'گزارش فردی'!$B$7-Main[[#This Row],[تاريخ میلادی]]-'گزارش فردی'!$B$8,0)</f>
        <v>0</v>
      </c>
      <c r="S145" s="6">
        <f ca="1">Main[[#This Row],[روز از ارسال سفارش]]*Main[[#This Row],[بدهی تسویه نشده (کیلوگرم)]]</f>
        <v>0</v>
      </c>
      <c r="T145" s="6">
        <f ca="1">Main[[#This Row],[بدهی سررسید شده (کیلوگرم)]]*Main[[#This Row],[روز از ارسال سفارش]]</f>
        <v>0</v>
      </c>
      <c r="U145" s="6">
        <f>-SUBTOTAL(9,INDEX(Main[مقدار (کیلوگرم)],1):Main[[#This Row],[مقدار (کیلوگرم)]])</f>
        <v>21221</v>
      </c>
      <c r="V1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" s="6">
        <f>Main[[#This Row],[تعداد کل روزهای بدهکار (روز)]]*Main[[#This Row],[مانده در خط کل (کیلوگرم)]]</f>
        <v>0</v>
      </c>
      <c r="X145" s="6">
        <f ca="1">-SUBTOTAL(9,INDEX(Main[مقدار تسویه شده (کیلوگرم)],1):Main[[#This Row],[مقدار تسویه شده (کیلوگرم)]])</f>
        <v>21221</v>
      </c>
      <c r="Y145" s="6">
        <f ca="1">IF(Main[[#This Row],[مانده در خط تسویه شده (کیلوگرم)]]&lt;&gt;0,Main[[#This Row],[تعداد کل روزهای بدهکار (روز)]],0)</f>
        <v>0</v>
      </c>
      <c r="Z145" s="6">
        <f ca="1">Main[[#This Row],[تعداد روزهای بدهکار تسویه شده (روز)]]*Main[[#This Row],[مانده در خط تسویه شده (کیلوگرم)]]</f>
        <v>0</v>
      </c>
      <c r="AA145" s="6">
        <f ca="1">SUBTOTAL(9,INDEX(Main[بدهی تسویه نشده (کیلوگرم)],1):Main[[#This Row],[بدهی تسویه نشده (کیلوگرم)]])</f>
        <v>0</v>
      </c>
      <c r="AB145" s="6">
        <f ca="1">IF(Main[[#This Row],[مانده در خط تسویه نشده (کیلوگرم)]]&lt;&gt;0,Main[[#This Row],[تعداد کل روزهای بدهکار (روز)]],0)</f>
        <v>0</v>
      </c>
      <c r="AC145" s="6">
        <f ca="1">Main[[#This Row],[تعداد روزهای بدهکار  تسویه نشده (روز)]]*Main[[#This Row],[مانده در خط تسویه نشده (کیلوگرم)]]</f>
        <v>0</v>
      </c>
      <c r="AD145" s="6">
        <f ca="1">SUBTOTAL(9,INDEX(Main[بدهی سررسید شده (کیلوگرم)],1):Main[[#This Row],[بدهی سررسید شده (کیلوگرم)]])</f>
        <v>0</v>
      </c>
      <c r="AE145" s="6">
        <f ca="1">IF(Main[[#This Row],[مانده در خط سررسید شده (کیلوگرم)]]&lt;&gt;0,Main[[#This Row],[تعداد کل روزهای بدهکار (روز)]],0)</f>
        <v>0</v>
      </c>
      <c r="AF145" s="6">
        <f ca="1">Main[[#This Row],[تعداد روزهای بدهکار سررسید شده (روز)]]*Main[[#This Row],[مانده در خط سررسید شده (کیلوگرم)]]</f>
        <v>0</v>
      </c>
    </row>
    <row r="146" spans="1:32" hidden="1" x14ac:dyDescent="0.35">
      <c r="A146" s="5">
        <f>ROW()-ROW(INDEX(Main[ردیف],1))+1</f>
        <v>144</v>
      </c>
      <c r="B146" s="31">
        <f>SUBTOTAL(2,INDEX(Main[ردیف],1):Main[[#This Row],[ردیف]])</f>
        <v>8</v>
      </c>
      <c r="C146" s="32" t="s">
        <v>512</v>
      </c>
      <c r="D146" s="32" t="str">
        <f>_xlfn.CONCAT("14",Main[[#This Row],[تاريخ]])</f>
        <v>1400/01/22</v>
      </c>
      <c r="E146" s="33">
        <v>44297</v>
      </c>
      <c r="F146" s="32">
        <v>30009</v>
      </c>
      <c r="G146" s="5" t="str">
        <f>INDEX(customer[عنوان],MATCH(Main[[#This Row],[کد ردیابی]],customer[کد],0))</f>
        <v>شرکت ایمن تک پیشرو</v>
      </c>
      <c r="H146">
        <v>-1190</v>
      </c>
      <c r="I146" s="6">
        <f ca="1">-Main[[#This Row],[بدهی تسویه شده (کیلوگرم)]]+Main[[#This Row],[بستانکار (کیلوگرم)]]</f>
        <v>-1190</v>
      </c>
      <c r="J146" s="6">
        <f>IF(Main[[#This Row],[مقدار (کیلوگرم)]]&gt;0,Main[[#This Row],[مقدار (کیلوگرم)]],0)</f>
        <v>0</v>
      </c>
      <c r="K146" s="6">
        <f>-IF(Main[[#This Row],[مقدار (کیلوگرم)]]&lt;0,Main[[#This Row],[مقدار (کیلوگرم)]],0)</f>
        <v>1190</v>
      </c>
      <c r="L1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" s="7">
        <f>-IF(AND(Main[[#This Row],[مقدار (کیلوگرم)]]&lt;0,Main[[#This Row],[تاريخ میلادی]]&gt;44276),Main[[#This Row],[مقدار (کیلوگرم)]],0)</f>
        <v>1190</v>
      </c>
      <c r="N146" s="6">
        <f ca="1">Main[[#This Row],[بدهکار (کیلوگرم)]]-Main[[#This Row],[بدهی تسویه نشده (کیلوگرم)]]</f>
        <v>1190</v>
      </c>
      <c r="O146" s="6">
        <f ca="1">Main[[#This Row],[تفکیک]]</f>
        <v>0</v>
      </c>
      <c r="P146" s="6">
        <f ca="1">IF(Main[[#This Row],[تاخیر از سررسید]]&gt;0,Main[[#This Row],[بدهی تسویه نشده (کیلوگرم)]],0)</f>
        <v>0</v>
      </c>
      <c r="Q146" s="6">
        <f ca="1">IF(Main[[#This Row],[بدهی تسویه نشده (کیلوگرم)]]&gt;0,'گزارش فردی'!$B$7-Main[[#This Row],[تاريخ میلادی]],0)</f>
        <v>0</v>
      </c>
      <c r="R146" s="6">
        <f ca="1">IF(Main[[#This Row],[بدهی تسویه نشده (کیلوگرم)]]&gt;0,'گزارش فردی'!$B$7-Main[[#This Row],[تاريخ میلادی]]-'گزارش فردی'!$B$8,0)</f>
        <v>0</v>
      </c>
      <c r="S146" s="6">
        <f ca="1">Main[[#This Row],[روز از ارسال سفارش]]*Main[[#This Row],[بدهی تسویه نشده (کیلوگرم)]]</f>
        <v>0</v>
      </c>
      <c r="T146" s="6">
        <f ca="1">Main[[#This Row],[بدهی سررسید شده (کیلوگرم)]]*Main[[#This Row],[روز از ارسال سفارش]]</f>
        <v>0</v>
      </c>
      <c r="U146" s="6">
        <f>-SUBTOTAL(9,INDEX(Main[مقدار (کیلوگرم)],1):Main[[#This Row],[مقدار (کیلوگرم)]])</f>
        <v>21221</v>
      </c>
      <c r="V1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" s="6">
        <f>Main[[#This Row],[تعداد کل روزهای بدهکار (روز)]]*Main[[#This Row],[مانده در خط کل (کیلوگرم)]]</f>
        <v>0</v>
      </c>
      <c r="X146" s="6">
        <f ca="1">-SUBTOTAL(9,INDEX(Main[مقدار تسویه شده (کیلوگرم)],1):Main[[#This Row],[مقدار تسویه شده (کیلوگرم)]])</f>
        <v>21221</v>
      </c>
      <c r="Y146" s="6">
        <f ca="1">IF(Main[[#This Row],[مانده در خط تسویه شده (کیلوگرم)]]&lt;&gt;0,Main[[#This Row],[تعداد کل روزهای بدهکار (روز)]],0)</f>
        <v>0</v>
      </c>
      <c r="Z146" s="6">
        <f ca="1">Main[[#This Row],[تعداد روزهای بدهکار تسویه شده (روز)]]*Main[[#This Row],[مانده در خط تسویه شده (کیلوگرم)]]</f>
        <v>0</v>
      </c>
      <c r="AA146" s="6">
        <f ca="1">SUBTOTAL(9,INDEX(Main[بدهی تسویه نشده (کیلوگرم)],1):Main[[#This Row],[بدهی تسویه نشده (کیلوگرم)]])</f>
        <v>0</v>
      </c>
      <c r="AB146" s="6">
        <f ca="1">IF(Main[[#This Row],[مانده در خط تسویه نشده (کیلوگرم)]]&lt;&gt;0,Main[[#This Row],[تعداد کل روزهای بدهکار (روز)]],0)</f>
        <v>0</v>
      </c>
      <c r="AC146" s="6">
        <f ca="1">Main[[#This Row],[تعداد روزهای بدهکار  تسویه نشده (روز)]]*Main[[#This Row],[مانده در خط تسویه نشده (کیلوگرم)]]</f>
        <v>0</v>
      </c>
      <c r="AD146" s="6">
        <f ca="1">SUBTOTAL(9,INDEX(Main[بدهی سررسید شده (کیلوگرم)],1):Main[[#This Row],[بدهی سررسید شده (کیلوگرم)]])</f>
        <v>0</v>
      </c>
      <c r="AE146" s="6">
        <f ca="1">IF(Main[[#This Row],[مانده در خط سررسید شده (کیلوگرم)]]&lt;&gt;0,Main[[#This Row],[تعداد کل روزهای بدهکار (روز)]],0)</f>
        <v>0</v>
      </c>
      <c r="AF146" s="6">
        <f ca="1">Main[[#This Row],[تعداد روزهای بدهکار سررسید شده (روز)]]*Main[[#This Row],[مانده در خط سررسید شده (کیلوگرم)]]</f>
        <v>0</v>
      </c>
    </row>
    <row r="147" spans="1:32" hidden="1" x14ac:dyDescent="0.35">
      <c r="A147" s="5">
        <f>ROW()-ROW(INDEX(Main[ردیف],1))+1</f>
        <v>145</v>
      </c>
      <c r="B147" s="31">
        <f>SUBTOTAL(2,INDEX(Main[ردیف],1):Main[[#This Row],[ردیف]])</f>
        <v>8</v>
      </c>
      <c r="C147" s="32" t="s">
        <v>512</v>
      </c>
      <c r="D147" s="32" t="str">
        <f>_xlfn.CONCAT("14",Main[[#This Row],[تاريخ]])</f>
        <v>1400/01/22</v>
      </c>
      <c r="E147" s="33">
        <v>44297</v>
      </c>
      <c r="F147" s="32">
        <v>30066</v>
      </c>
      <c r="G147" s="5" t="str">
        <f>INDEX(customer[عنوان],MATCH(Main[[#This Row],[کد ردیابی]],customer[کد],0))</f>
        <v xml:space="preserve">شیر آلات بهداشتی قهرمان </v>
      </c>
      <c r="H147">
        <v>1953</v>
      </c>
      <c r="I147" s="6">
        <f ca="1">-Main[[#This Row],[بدهی تسویه شده (کیلوگرم)]]+Main[[#This Row],[بستانکار (کیلوگرم)]]</f>
        <v>1953</v>
      </c>
      <c r="J147" s="6">
        <f>IF(Main[[#This Row],[مقدار (کیلوگرم)]]&gt;0,Main[[#This Row],[مقدار (کیلوگرم)]],0)</f>
        <v>1953</v>
      </c>
      <c r="K147" s="6">
        <f>-IF(Main[[#This Row],[مقدار (کیلوگرم)]]&lt;0,Main[[#This Row],[مقدار (کیلوگرم)]],0)</f>
        <v>0</v>
      </c>
      <c r="L1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" s="7">
        <f>-IF(AND(Main[[#This Row],[مقدار (کیلوگرم)]]&lt;0,Main[[#This Row],[تاريخ میلادی]]&gt;44276),Main[[#This Row],[مقدار (کیلوگرم)]],0)</f>
        <v>0</v>
      </c>
      <c r="N147" s="6">
        <f ca="1">Main[[#This Row],[بدهکار (کیلوگرم)]]-Main[[#This Row],[بدهی تسویه نشده (کیلوگرم)]]</f>
        <v>0</v>
      </c>
      <c r="O147" s="6">
        <f ca="1">Main[[#This Row],[تفکیک]]</f>
        <v>0</v>
      </c>
      <c r="P147" s="6">
        <f ca="1">IF(Main[[#This Row],[تاخیر از سررسید]]&gt;0,Main[[#This Row],[بدهی تسویه نشده (کیلوگرم)]],0)</f>
        <v>0</v>
      </c>
      <c r="Q147" s="6">
        <f ca="1">IF(Main[[#This Row],[بدهی تسویه نشده (کیلوگرم)]]&gt;0,'گزارش فردی'!$B$7-Main[[#This Row],[تاريخ میلادی]],0)</f>
        <v>0</v>
      </c>
      <c r="R147" s="6">
        <f ca="1">IF(Main[[#This Row],[بدهی تسویه نشده (کیلوگرم)]]&gt;0,'گزارش فردی'!$B$7-Main[[#This Row],[تاريخ میلادی]]-'گزارش فردی'!$B$8,0)</f>
        <v>0</v>
      </c>
      <c r="S147" s="6">
        <f ca="1">Main[[#This Row],[روز از ارسال سفارش]]*Main[[#This Row],[بدهی تسویه نشده (کیلوگرم)]]</f>
        <v>0</v>
      </c>
      <c r="T147" s="6">
        <f ca="1">Main[[#This Row],[بدهی سررسید شده (کیلوگرم)]]*Main[[#This Row],[روز از ارسال سفارش]]</f>
        <v>0</v>
      </c>
      <c r="U147" s="6">
        <f>-SUBTOTAL(9,INDEX(Main[مقدار (کیلوگرم)],1):Main[[#This Row],[مقدار (کیلوگرم)]])</f>
        <v>21221</v>
      </c>
      <c r="V1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7" s="6">
        <f>Main[[#This Row],[تعداد کل روزهای بدهکار (روز)]]*Main[[#This Row],[مانده در خط کل (کیلوگرم)]]</f>
        <v>0</v>
      </c>
      <c r="X147" s="6">
        <f ca="1">-SUBTOTAL(9,INDEX(Main[مقدار تسویه شده (کیلوگرم)],1):Main[[#This Row],[مقدار تسویه شده (کیلوگرم)]])</f>
        <v>21221</v>
      </c>
      <c r="Y147" s="6">
        <f ca="1">IF(Main[[#This Row],[مانده در خط تسویه شده (کیلوگرم)]]&lt;&gt;0,Main[[#This Row],[تعداد کل روزهای بدهکار (روز)]],0)</f>
        <v>0</v>
      </c>
      <c r="Z147" s="6">
        <f ca="1">Main[[#This Row],[تعداد روزهای بدهکار تسویه شده (روز)]]*Main[[#This Row],[مانده در خط تسویه شده (کیلوگرم)]]</f>
        <v>0</v>
      </c>
      <c r="AA147" s="6">
        <f ca="1">SUBTOTAL(9,INDEX(Main[بدهی تسویه نشده (کیلوگرم)],1):Main[[#This Row],[بدهی تسویه نشده (کیلوگرم)]])</f>
        <v>0</v>
      </c>
      <c r="AB147" s="6">
        <f ca="1">IF(Main[[#This Row],[مانده در خط تسویه نشده (کیلوگرم)]]&lt;&gt;0,Main[[#This Row],[تعداد کل روزهای بدهکار (روز)]],0)</f>
        <v>0</v>
      </c>
      <c r="AC147" s="6">
        <f ca="1">Main[[#This Row],[تعداد روزهای بدهکار  تسویه نشده (روز)]]*Main[[#This Row],[مانده در خط تسویه نشده (کیلوگرم)]]</f>
        <v>0</v>
      </c>
      <c r="AD147" s="6">
        <f ca="1">SUBTOTAL(9,INDEX(Main[بدهی سررسید شده (کیلوگرم)],1):Main[[#This Row],[بدهی سررسید شده (کیلوگرم)]])</f>
        <v>0</v>
      </c>
      <c r="AE147" s="6">
        <f ca="1">IF(Main[[#This Row],[مانده در خط سررسید شده (کیلوگرم)]]&lt;&gt;0,Main[[#This Row],[تعداد کل روزهای بدهکار (روز)]],0)</f>
        <v>0</v>
      </c>
      <c r="AF147" s="6">
        <f ca="1">Main[[#This Row],[تعداد روزهای بدهکار سررسید شده (روز)]]*Main[[#This Row],[مانده در خط سررسید شده (کیلوگرم)]]</f>
        <v>0</v>
      </c>
    </row>
    <row r="148" spans="1:32" x14ac:dyDescent="0.35">
      <c r="A148" s="5">
        <f>ROW()-ROW(INDEX(Main[ردیف],1))+1</f>
        <v>146</v>
      </c>
      <c r="B148" s="31">
        <f>SUBTOTAL(2,INDEX(Main[ردیف],1):Main[[#This Row],[ردیف]])</f>
        <v>9</v>
      </c>
      <c r="C148" s="32" t="s">
        <v>512</v>
      </c>
      <c r="D148" s="32" t="str">
        <f>_xlfn.CONCAT("14",Main[[#This Row],[تاريخ]])</f>
        <v>1400/01/22</v>
      </c>
      <c r="E148" s="33">
        <v>44297</v>
      </c>
      <c r="F148" s="32">
        <v>10003</v>
      </c>
      <c r="G148" s="5" t="str">
        <f>INDEX(customer[عنوان],MATCH(Main[[#This Row],[کد ردیابی]],customer[کد],0))</f>
        <v>اصغر نورعلی</v>
      </c>
      <c r="H148">
        <v>-2186</v>
      </c>
      <c r="I148" s="6">
        <f ca="1">-Main[[#This Row],[بدهی تسویه شده (کیلوگرم)]]+Main[[#This Row],[بستانکار (کیلوگرم)]]</f>
        <v>-2186</v>
      </c>
      <c r="J148" s="6">
        <f>IF(Main[[#This Row],[مقدار (کیلوگرم)]]&gt;0,Main[[#This Row],[مقدار (کیلوگرم)]],0)</f>
        <v>0</v>
      </c>
      <c r="K148" s="6">
        <f>-IF(Main[[#This Row],[مقدار (کیلوگرم)]]&lt;0,Main[[#This Row],[مقدار (کیلوگرم)]],0)</f>
        <v>2186</v>
      </c>
      <c r="L1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" s="7">
        <f>-IF(AND(Main[[#This Row],[مقدار (کیلوگرم)]]&lt;0,Main[[#This Row],[تاريخ میلادی]]&gt;44276),Main[[#This Row],[مقدار (کیلوگرم)]],0)</f>
        <v>2186</v>
      </c>
      <c r="N148" s="6">
        <f ca="1">Main[[#This Row],[بدهکار (کیلوگرم)]]-Main[[#This Row],[بدهی تسویه نشده (کیلوگرم)]]</f>
        <v>2186</v>
      </c>
      <c r="O148" s="6">
        <f ca="1">Main[[#This Row],[تفکیک]]</f>
        <v>0</v>
      </c>
      <c r="P148" s="6">
        <f ca="1">IF(Main[[#This Row],[تاخیر از سررسید]]&gt;0,Main[[#This Row],[بدهی تسویه نشده (کیلوگرم)]],0)</f>
        <v>0</v>
      </c>
      <c r="Q148" s="6">
        <f ca="1">IF(Main[[#This Row],[بدهی تسویه نشده (کیلوگرم)]]&gt;0,'گزارش فردی'!$B$7-Main[[#This Row],[تاريخ میلادی]],0)</f>
        <v>0</v>
      </c>
      <c r="R148" s="6">
        <f ca="1">IF(Main[[#This Row],[بدهی تسویه نشده (کیلوگرم)]]&gt;0,'گزارش فردی'!$B$7-Main[[#This Row],[تاريخ میلادی]]-'گزارش فردی'!$B$8,0)</f>
        <v>0</v>
      </c>
      <c r="S148" s="6">
        <f ca="1">Main[[#This Row],[روز از ارسال سفارش]]*Main[[#This Row],[بدهی تسویه نشده (کیلوگرم)]]</f>
        <v>0</v>
      </c>
      <c r="T148" s="6">
        <f ca="1">Main[[#This Row],[بدهی سررسید شده (کیلوگرم)]]*Main[[#This Row],[روز از ارسال سفارش]]</f>
        <v>0</v>
      </c>
      <c r="U148" s="6">
        <f>-SUBTOTAL(9,INDEX(Main[مقدار (کیلوگرم)],1):Main[[#This Row],[مقدار (کیلوگرم)]])</f>
        <v>23407</v>
      </c>
      <c r="V1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8" s="6">
        <f>Main[[#This Row],[تعداد کل روزهای بدهکار (روز)]]*Main[[#This Row],[مانده در خط کل (کیلوگرم)]]</f>
        <v>23407</v>
      </c>
      <c r="X148" s="6">
        <f ca="1">-SUBTOTAL(9,INDEX(Main[مقدار تسویه شده (کیلوگرم)],1):Main[[#This Row],[مقدار تسویه شده (کیلوگرم)]])</f>
        <v>23407</v>
      </c>
      <c r="Y148" s="6">
        <f ca="1">IF(Main[[#This Row],[مانده در خط تسویه شده (کیلوگرم)]]&lt;&gt;0,Main[[#This Row],[تعداد کل روزهای بدهکار (روز)]],0)</f>
        <v>1</v>
      </c>
      <c r="Z148" s="6">
        <f ca="1">Main[[#This Row],[تعداد روزهای بدهکار تسویه شده (روز)]]*Main[[#This Row],[مانده در خط تسویه شده (کیلوگرم)]]</f>
        <v>23407</v>
      </c>
      <c r="AA148" s="6">
        <f ca="1">SUBTOTAL(9,INDEX(Main[بدهی تسویه نشده (کیلوگرم)],1):Main[[#This Row],[بدهی تسویه نشده (کیلوگرم)]])</f>
        <v>0</v>
      </c>
      <c r="AB148" s="6">
        <f ca="1">IF(Main[[#This Row],[مانده در خط تسویه نشده (کیلوگرم)]]&lt;&gt;0,Main[[#This Row],[تعداد کل روزهای بدهکار (روز)]],0)</f>
        <v>0</v>
      </c>
      <c r="AC148" s="6">
        <f ca="1">Main[[#This Row],[تعداد روزهای بدهکار  تسویه نشده (روز)]]*Main[[#This Row],[مانده در خط تسویه نشده (کیلوگرم)]]</f>
        <v>0</v>
      </c>
      <c r="AD148" s="6">
        <f ca="1">SUBTOTAL(9,INDEX(Main[بدهی سررسید شده (کیلوگرم)],1):Main[[#This Row],[بدهی سررسید شده (کیلوگرم)]])</f>
        <v>0</v>
      </c>
      <c r="AE148" s="6">
        <f ca="1">IF(Main[[#This Row],[مانده در خط سررسید شده (کیلوگرم)]]&lt;&gt;0,Main[[#This Row],[تعداد کل روزهای بدهکار (روز)]],0)</f>
        <v>0</v>
      </c>
      <c r="AF148" s="6">
        <f ca="1">Main[[#This Row],[تعداد روزهای بدهکار سررسید شده (روز)]]*Main[[#This Row],[مانده در خط سررسید شده (کیلوگرم)]]</f>
        <v>0</v>
      </c>
    </row>
    <row r="149" spans="1:32" hidden="1" x14ac:dyDescent="0.35">
      <c r="A149" s="5">
        <f>ROW()-ROW(INDEX(Main[ردیف],1))+1</f>
        <v>147</v>
      </c>
      <c r="B149" s="31">
        <f>SUBTOTAL(2,INDEX(Main[ردیف],1):Main[[#This Row],[ردیف]])</f>
        <v>9</v>
      </c>
      <c r="C149" s="32" t="s">
        <v>512</v>
      </c>
      <c r="D149" s="32" t="str">
        <f>_xlfn.CONCAT("14",Main[[#This Row],[تاريخ]])</f>
        <v>1400/01/22</v>
      </c>
      <c r="E149" s="33">
        <v>44297</v>
      </c>
      <c r="F149" s="32">
        <v>30009</v>
      </c>
      <c r="G149" s="5" t="str">
        <f>INDEX(customer[عنوان],MATCH(Main[[#This Row],[کد ردیابی]],customer[کد],0))</f>
        <v>شرکت ایمن تک پیشرو</v>
      </c>
      <c r="H149">
        <v>488</v>
      </c>
      <c r="I149" s="6">
        <f ca="1">-Main[[#This Row],[بدهی تسویه شده (کیلوگرم)]]+Main[[#This Row],[بستانکار (کیلوگرم)]]</f>
        <v>488</v>
      </c>
      <c r="J149" s="6">
        <f>IF(Main[[#This Row],[مقدار (کیلوگرم)]]&gt;0,Main[[#This Row],[مقدار (کیلوگرم)]],0)</f>
        <v>488</v>
      </c>
      <c r="K149" s="6">
        <f>-IF(Main[[#This Row],[مقدار (کیلوگرم)]]&lt;0,Main[[#This Row],[مقدار (کیلوگرم)]],0)</f>
        <v>0</v>
      </c>
      <c r="L1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" s="7">
        <f>-IF(AND(Main[[#This Row],[مقدار (کیلوگرم)]]&lt;0,Main[[#This Row],[تاريخ میلادی]]&gt;44276),Main[[#This Row],[مقدار (کیلوگرم)]],0)</f>
        <v>0</v>
      </c>
      <c r="N149" s="6">
        <f ca="1">Main[[#This Row],[بدهکار (کیلوگرم)]]-Main[[#This Row],[بدهی تسویه نشده (کیلوگرم)]]</f>
        <v>0</v>
      </c>
      <c r="O149" s="6">
        <f ca="1">Main[[#This Row],[تفکیک]]</f>
        <v>0</v>
      </c>
      <c r="P149" s="6">
        <f ca="1">IF(Main[[#This Row],[تاخیر از سررسید]]&gt;0,Main[[#This Row],[بدهی تسویه نشده (کیلوگرم)]],0)</f>
        <v>0</v>
      </c>
      <c r="Q149" s="6">
        <f ca="1">IF(Main[[#This Row],[بدهی تسویه نشده (کیلوگرم)]]&gt;0,'گزارش فردی'!$B$7-Main[[#This Row],[تاريخ میلادی]],0)</f>
        <v>0</v>
      </c>
      <c r="R149" s="6">
        <f ca="1">IF(Main[[#This Row],[بدهی تسویه نشده (کیلوگرم)]]&gt;0,'گزارش فردی'!$B$7-Main[[#This Row],[تاريخ میلادی]]-'گزارش فردی'!$B$8,0)</f>
        <v>0</v>
      </c>
      <c r="S149" s="6">
        <f ca="1">Main[[#This Row],[روز از ارسال سفارش]]*Main[[#This Row],[بدهی تسویه نشده (کیلوگرم)]]</f>
        <v>0</v>
      </c>
      <c r="T149" s="6">
        <f ca="1">Main[[#This Row],[بدهی سررسید شده (کیلوگرم)]]*Main[[#This Row],[روز از ارسال سفارش]]</f>
        <v>0</v>
      </c>
      <c r="U149" s="6">
        <f>-SUBTOTAL(9,INDEX(Main[مقدار (کیلوگرم)],1):Main[[#This Row],[مقدار (کیلوگرم)]])</f>
        <v>23407</v>
      </c>
      <c r="V1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9" s="6">
        <f>Main[[#This Row],[تعداد کل روزهای بدهکار (روز)]]*Main[[#This Row],[مانده در خط کل (کیلوگرم)]]</f>
        <v>23407</v>
      </c>
      <c r="X149" s="6">
        <f ca="1">-SUBTOTAL(9,INDEX(Main[مقدار تسویه شده (کیلوگرم)],1):Main[[#This Row],[مقدار تسویه شده (کیلوگرم)]])</f>
        <v>23407</v>
      </c>
      <c r="Y149" s="6">
        <f ca="1">IF(Main[[#This Row],[مانده در خط تسویه شده (کیلوگرم)]]&lt;&gt;0,Main[[#This Row],[تعداد کل روزهای بدهکار (روز)]],0)</f>
        <v>1</v>
      </c>
      <c r="Z149" s="6">
        <f ca="1">Main[[#This Row],[تعداد روزهای بدهکار تسویه شده (روز)]]*Main[[#This Row],[مانده در خط تسویه شده (کیلوگرم)]]</f>
        <v>23407</v>
      </c>
      <c r="AA149" s="6">
        <f ca="1">SUBTOTAL(9,INDEX(Main[بدهی تسویه نشده (کیلوگرم)],1):Main[[#This Row],[بدهی تسویه نشده (کیلوگرم)]])</f>
        <v>0</v>
      </c>
      <c r="AB149" s="6">
        <f ca="1">IF(Main[[#This Row],[مانده در خط تسویه نشده (کیلوگرم)]]&lt;&gt;0,Main[[#This Row],[تعداد کل روزهای بدهکار (روز)]],0)</f>
        <v>0</v>
      </c>
      <c r="AC149" s="6">
        <f ca="1">Main[[#This Row],[تعداد روزهای بدهکار  تسویه نشده (روز)]]*Main[[#This Row],[مانده در خط تسویه نشده (کیلوگرم)]]</f>
        <v>0</v>
      </c>
      <c r="AD149" s="6">
        <f ca="1">SUBTOTAL(9,INDEX(Main[بدهی سررسید شده (کیلوگرم)],1):Main[[#This Row],[بدهی سررسید شده (کیلوگرم)]])</f>
        <v>0</v>
      </c>
      <c r="AE149" s="6">
        <f ca="1">IF(Main[[#This Row],[مانده در خط سررسید شده (کیلوگرم)]]&lt;&gt;0,Main[[#This Row],[تعداد کل روزهای بدهکار (روز)]],0)</f>
        <v>0</v>
      </c>
      <c r="AF149" s="6">
        <f ca="1">Main[[#This Row],[تعداد روزهای بدهکار سررسید شده (روز)]]*Main[[#This Row],[مانده در خط سررسید شده (کیلوگرم)]]</f>
        <v>0</v>
      </c>
    </row>
    <row r="150" spans="1:32" hidden="1" x14ac:dyDescent="0.35">
      <c r="A150" s="5">
        <f>ROW()-ROW(INDEX(Main[ردیف],1))+1</f>
        <v>148</v>
      </c>
      <c r="B150" s="31">
        <f>SUBTOTAL(2,INDEX(Main[ردیف],1):Main[[#This Row],[ردیف]])</f>
        <v>9</v>
      </c>
      <c r="C150" s="32" t="s">
        <v>512</v>
      </c>
      <c r="D150" s="32" t="str">
        <f>_xlfn.CONCAT("14",Main[[#This Row],[تاريخ]])</f>
        <v>1400/01/22</v>
      </c>
      <c r="E150" s="33">
        <v>44297</v>
      </c>
      <c r="F150" s="32">
        <v>10055</v>
      </c>
      <c r="G150" s="5" t="str">
        <f>INDEX(customer[عنوان],MATCH(Main[[#This Row],[کد ردیابی]],customer[کد],0))</f>
        <v xml:space="preserve">مریم فیض آبادی  </v>
      </c>
      <c r="H150">
        <v>-4816</v>
      </c>
      <c r="I150" s="6">
        <f ca="1">-Main[[#This Row],[بدهی تسویه شده (کیلوگرم)]]+Main[[#This Row],[بستانکار (کیلوگرم)]]</f>
        <v>-4816</v>
      </c>
      <c r="J150" s="6">
        <f>IF(Main[[#This Row],[مقدار (کیلوگرم)]]&gt;0,Main[[#This Row],[مقدار (کیلوگرم)]],0)</f>
        <v>0</v>
      </c>
      <c r="K150" s="6">
        <f>-IF(Main[[#This Row],[مقدار (کیلوگرم)]]&lt;0,Main[[#This Row],[مقدار (کیلوگرم)]],0)</f>
        <v>4816</v>
      </c>
      <c r="L1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" s="7">
        <f>-IF(AND(Main[[#This Row],[مقدار (کیلوگرم)]]&lt;0,Main[[#This Row],[تاريخ میلادی]]&gt;44276),Main[[#This Row],[مقدار (کیلوگرم)]],0)</f>
        <v>4816</v>
      </c>
      <c r="N150" s="6">
        <f ca="1">Main[[#This Row],[بدهکار (کیلوگرم)]]-Main[[#This Row],[بدهی تسویه نشده (کیلوگرم)]]</f>
        <v>4816</v>
      </c>
      <c r="O150" s="6">
        <f ca="1">Main[[#This Row],[تفکیک]]</f>
        <v>0</v>
      </c>
      <c r="P150" s="6">
        <f ca="1">IF(Main[[#This Row],[تاخیر از سررسید]]&gt;0,Main[[#This Row],[بدهی تسویه نشده (کیلوگرم)]],0)</f>
        <v>0</v>
      </c>
      <c r="Q150" s="6">
        <f ca="1">IF(Main[[#This Row],[بدهی تسویه نشده (کیلوگرم)]]&gt;0,'گزارش فردی'!$B$7-Main[[#This Row],[تاريخ میلادی]],0)</f>
        <v>0</v>
      </c>
      <c r="R150" s="6">
        <f ca="1">IF(Main[[#This Row],[بدهی تسویه نشده (کیلوگرم)]]&gt;0,'گزارش فردی'!$B$7-Main[[#This Row],[تاريخ میلادی]]-'گزارش فردی'!$B$8,0)</f>
        <v>0</v>
      </c>
      <c r="S150" s="6">
        <f ca="1">Main[[#This Row],[روز از ارسال سفارش]]*Main[[#This Row],[بدهی تسویه نشده (کیلوگرم)]]</f>
        <v>0</v>
      </c>
      <c r="T150" s="6">
        <f ca="1">Main[[#This Row],[بدهی سررسید شده (کیلوگرم)]]*Main[[#This Row],[روز از ارسال سفارش]]</f>
        <v>0</v>
      </c>
      <c r="U150" s="6">
        <f>-SUBTOTAL(9,INDEX(Main[مقدار (کیلوگرم)],1):Main[[#This Row],[مقدار (کیلوگرم)]])</f>
        <v>23407</v>
      </c>
      <c r="V1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" s="6">
        <f>Main[[#This Row],[تعداد کل روزهای بدهکار (روز)]]*Main[[#This Row],[مانده در خط کل (کیلوگرم)]]</f>
        <v>23407</v>
      </c>
      <c r="X150" s="6">
        <f ca="1">-SUBTOTAL(9,INDEX(Main[مقدار تسویه شده (کیلوگرم)],1):Main[[#This Row],[مقدار تسویه شده (کیلوگرم)]])</f>
        <v>23407</v>
      </c>
      <c r="Y150" s="6">
        <f ca="1">IF(Main[[#This Row],[مانده در خط تسویه شده (کیلوگرم)]]&lt;&gt;0,Main[[#This Row],[تعداد کل روزهای بدهکار (روز)]],0)</f>
        <v>1</v>
      </c>
      <c r="Z150" s="6">
        <f ca="1">Main[[#This Row],[تعداد روزهای بدهکار تسویه شده (روز)]]*Main[[#This Row],[مانده در خط تسویه شده (کیلوگرم)]]</f>
        <v>23407</v>
      </c>
      <c r="AA150" s="6">
        <f ca="1">SUBTOTAL(9,INDEX(Main[بدهی تسویه نشده (کیلوگرم)],1):Main[[#This Row],[بدهی تسویه نشده (کیلوگرم)]])</f>
        <v>0</v>
      </c>
      <c r="AB150" s="6">
        <f ca="1">IF(Main[[#This Row],[مانده در خط تسویه نشده (کیلوگرم)]]&lt;&gt;0,Main[[#This Row],[تعداد کل روزهای بدهکار (روز)]],0)</f>
        <v>0</v>
      </c>
      <c r="AC150" s="6">
        <f ca="1">Main[[#This Row],[تعداد روزهای بدهکار  تسویه نشده (روز)]]*Main[[#This Row],[مانده در خط تسویه نشده (کیلوگرم)]]</f>
        <v>0</v>
      </c>
      <c r="AD150" s="6">
        <f ca="1">SUBTOTAL(9,INDEX(Main[بدهی سررسید شده (کیلوگرم)],1):Main[[#This Row],[بدهی سررسید شده (کیلوگرم)]])</f>
        <v>0</v>
      </c>
      <c r="AE150" s="6">
        <f ca="1">IF(Main[[#This Row],[مانده در خط سررسید شده (کیلوگرم)]]&lt;&gt;0,Main[[#This Row],[تعداد کل روزهای بدهکار (روز)]],0)</f>
        <v>0</v>
      </c>
      <c r="AF150" s="6">
        <f ca="1">Main[[#This Row],[تعداد روزهای بدهکار سررسید شده (روز)]]*Main[[#This Row],[مانده در خط سررسید شده (کیلوگرم)]]</f>
        <v>0</v>
      </c>
    </row>
    <row r="151" spans="1:32" hidden="1" x14ac:dyDescent="0.35">
      <c r="A151" s="5">
        <f>ROW()-ROW(INDEX(Main[ردیف],1))+1</f>
        <v>149</v>
      </c>
      <c r="B151" s="31">
        <f>SUBTOTAL(2,INDEX(Main[ردیف],1):Main[[#This Row],[ردیف]])</f>
        <v>9</v>
      </c>
      <c r="C151" s="32" t="s">
        <v>512</v>
      </c>
      <c r="D151" s="32" t="str">
        <f>_xlfn.CONCAT("14",Main[[#This Row],[تاريخ]])</f>
        <v>1400/01/22</v>
      </c>
      <c r="E151" s="33">
        <v>44297</v>
      </c>
      <c r="F151" s="32">
        <v>30009</v>
      </c>
      <c r="G151" s="5" t="str">
        <f>INDEX(customer[عنوان],MATCH(Main[[#This Row],[کد ردیابی]],customer[کد],0))</f>
        <v>شرکت ایمن تک پیشرو</v>
      </c>
      <c r="H151">
        <v>777</v>
      </c>
      <c r="I151" s="6">
        <f ca="1">-Main[[#This Row],[بدهی تسویه شده (کیلوگرم)]]+Main[[#This Row],[بستانکار (کیلوگرم)]]</f>
        <v>777</v>
      </c>
      <c r="J151" s="6">
        <f>IF(Main[[#This Row],[مقدار (کیلوگرم)]]&gt;0,Main[[#This Row],[مقدار (کیلوگرم)]],0)</f>
        <v>777</v>
      </c>
      <c r="K151" s="6">
        <f>-IF(Main[[#This Row],[مقدار (کیلوگرم)]]&lt;0,Main[[#This Row],[مقدار (کیلوگرم)]],0)</f>
        <v>0</v>
      </c>
      <c r="L1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" s="7">
        <f>-IF(AND(Main[[#This Row],[مقدار (کیلوگرم)]]&lt;0,Main[[#This Row],[تاريخ میلادی]]&gt;44276),Main[[#This Row],[مقدار (کیلوگرم)]],0)</f>
        <v>0</v>
      </c>
      <c r="N151" s="6">
        <f ca="1">Main[[#This Row],[بدهکار (کیلوگرم)]]-Main[[#This Row],[بدهی تسویه نشده (کیلوگرم)]]</f>
        <v>0</v>
      </c>
      <c r="O151" s="6">
        <f ca="1">Main[[#This Row],[تفکیک]]</f>
        <v>0</v>
      </c>
      <c r="P151" s="6">
        <f ca="1">IF(Main[[#This Row],[تاخیر از سررسید]]&gt;0,Main[[#This Row],[بدهی تسویه نشده (کیلوگرم)]],0)</f>
        <v>0</v>
      </c>
      <c r="Q151" s="6">
        <f ca="1">IF(Main[[#This Row],[بدهی تسویه نشده (کیلوگرم)]]&gt;0,'گزارش فردی'!$B$7-Main[[#This Row],[تاريخ میلادی]],0)</f>
        <v>0</v>
      </c>
      <c r="R151" s="6">
        <f ca="1">IF(Main[[#This Row],[بدهی تسویه نشده (کیلوگرم)]]&gt;0,'گزارش فردی'!$B$7-Main[[#This Row],[تاريخ میلادی]]-'گزارش فردی'!$B$8,0)</f>
        <v>0</v>
      </c>
      <c r="S151" s="6">
        <f ca="1">Main[[#This Row],[روز از ارسال سفارش]]*Main[[#This Row],[بدهی تسویه نشده (کیلوگرم)]]</f>
        <v>0</v>
      </c>
      <c r="T151" s="6">
        <f ca="1">Main[[#This Row],[بدهی سررسید شده (کیلوگرم)]]*Main[[#This Row],[روز از ارسال سفارش]]</f>
        <v>0</v>
      </c>
      <c r="U151" s="6">
        <f>-SUBTOTAL(9,INDEX(Main[مقدار (کیلوگرم)],1):Main[[#This Row],[مقدار (کیلوگرم)]])</f>
        <v>23407</v>
      </c>
      <c r="V1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" s="6">
        <f>Main[[#This Row],[تعداد کل روزهای بدهکار (روز)]]*Main[[#This Row],[مانده در خط کل (کیلوگرم)]]</f>
        <v>23407</v>
      </c>
      <c r="X151" s="6">
        <f ca="1">-SUBTOTAL(9,INDEX(Main[مقدار تسویه شده (کیلوگرم)],1):Main[[#This Row],[مقدار تسویه شده (کیلوگرم)]])</f>
        <v>23407</v>
      </c>
      <c r="Y151" s="6">
        <f ca="1">IF(Main[[#This Row],[مانده در خط تسویه شده (کیلوگرم)]]&lt;&gt;0,Main[[#This Row],[تعداد کل روزهای بدهکار (روز)]],0)</f>
        <v>1</v>
      </c>
      <c r="Z151" s="6">
        <f ca="1">Main[[#This Row],[تعداد روزهای بدهکار تسویه شده (روز)]]*Main[[#This Row],[مانده در خط تسویه شده (کیلوگرم)]]</f>
        <v>23407</v>
      </c>
      <c r="AA151" s="6">
        <f ca="1">SUBTOTAL(9,INDEX(Main[بدهی تسویه نشده (کیلوگرم)],1):Main[[#This Row],[بدهی تسویه نشده (کیلوگرم)]])</f>
        <v>0</v>
      </c>
      <c r="AB151" s="6">
        <f ca="1">IF(Main[[#This Row],[مانده در خط تسویه نشده (کیلوگرم)]]&lt;&gt;0,Main[[#This Row],[تعداد کل روزهای بدهکار (روز)]],0)</f>
        <v>0</v>
      </c>
      <c r="AC151" s="6">
        <f ca="1">Main[[#This Row],[تعداد روزهای بدهکار  تسویه نشده (روز)]]*Main[[#This Row],[مانده در خط تسویه نشده (کیلوگرم)]]</f>
        <v>0</v>
      </c>
      <c r="AD151" s="6">
        <f ca="1">SUBTOTAL(9,INDEX(Main[بدهی سررسید شده (کیلوگرم)],1):Main[[#This Row],[بدهی سررسید شده (کیلوگرم)]])</f>
        <v>0</v>
      </c>
      <c r="AE151" s="6">
        <f ca="1">IF(Main[[#This Row],[مانده در خط سررسید شده (کیلوگرم)]]&lt;&gt;0,Main[[#This Row],[تعداد کل روزهای بدهکار (روز)]],0)</f>
        <v>0</v>
      </c>
      <c r="AF151" s="6">
        <f ca="1">Main[[#This Row],[تعداد روزهای بدهکار سررسید شده (روز)]]*Main[[#This Row],[مانده در خط سررسید شده (کیلوگرم)]]</f>
        <v>0</v>
      </c>
    </row>
    <row r="152" spans="1:32" hidden="1" x14ac:dyDescent="0.35">
      <c r="A152" s="5">
        <f>ROW()-ROW(INDEX(Main[ردیف],1))+1</f>
        <v>150</v>
      </c>
      <c r="B152" s="31">
        <f>SUBTOTAL(2,INDEX(Main[ردیف],1):Main[[#This Row],[ردیف]])</f>
        <v>9</v>
      </c>
      <c r="C152" s="32" t="s">
        <v>514</v>
      </c>
      <c r="D152" s="32" t="str">
        <f>_xlfn.CONCAT("14",Main[[#This Row],[تاريخ]])</f>
        <v>1400/01/23</v>
      </c>
      <c r="E152" s="33">
        <v>44298</v>
      </c>
      <c r="F152" s="32">
        <v>30018</v>
      </c>
      <c r="G152" s="5" t="str">
        <f>INDEX(customer[عنوان],MATCH(Main[[#This Row],[کد ردیابی]],customer[کد],0))</f>
        <v xml:space="preserve">تولیدی شیر سازی غریب پویا </v>
      </c>
      <c r="H152">
        <v>-2534</v>
      </c>
      <c r="I152" s="6">
        <f ca="1">-Main[[#This Row],[بدهی تسویه شده (کیلوگرم)]]+Main[[#This Row],[بستانکار (کیلوگرم)]]</f>
        <v>-2534</v>
      </c>
      <c r="J152" s="6">
        <f>IF(Main[[#This Row],[مقدار (کیلوگرم)]]&gt;0,Main[[#This Row],[مقدار (کیلوگرم)]],0)</f>
        <v>0</v>
      </c>
      <c r="K152" s="6">
        <f>-IF(Main[[#This Row],[مقدار (کیلوگرم)]]&lt;0,Main[[#This Row],[مقدار (کیلوگرم)]],0)</f>
        <v>2534</v>
      </c>
      <c r="L1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" s="7">
        <f>-IF(AND(Main[[#This Row],[مقدار (کیلوگرم)]]&lt;0,Main[[#This Row],[تاريخ میلادی]]&gt;44276),Main[[#This Row],[مقدار (کیلوگرم)]],0)</f>
        <v>2534</v>
      </c>
      <c r="N152" s="6">
        <f ca="1">Main[[#This Row],[بدهکار (کیلوگرم)]]-Main[[#This Row],[بدهی تسویه نشده (کیلوگرم)]]</f>
        <v>2534</v>
      </c>
      <c r="O152" s="6">
        <f ca="1">Main[[#This Row],[تفکیک]]</f>
        <v>0</v>
      </c>
      <c r="P152" s="6">
        <f ca="1">IF(Main[[#This Row],[تاخیر از سررسید]]&gt;0,Main[[#This Row],[بدهی تسویه نشده (کیلوگرم)]],0)</f>
        <v>0</v>
      </c>
      <c r="Q152" s="6">
        <f ca="1">IF(Main[[#This Row],[بدهی تسویه نشده (کیلوگرم)]]&gt;0,'گزارش فردی'!$B$7-Main[[#This Row],[تاريخ میلادی]],0)</f>
        <v>0</v>
      </c>
      <c r="R152" s="6">
        <f ca="1">IF(Main[[#This Row],[بدهی تسویه نشده (کیلوگرم)]]&gt;0,'گزارش فردی'!$B$7-Main[[#This Row],[تاريخ میلادی]]-'گزارش فردی'!$B$8,0)</f>
        <v>0</v>
      </c>
      <c r="S152" s="6">
        <f ca="1">Main[[#This Row],[روز از ارسال سفارش]]*Main[[#This Row],[بدهی تسویه نشده (کیلوگرم)]]</f>
        <v>0</v>
      </c>
      <c r="T152" s="6">
        <f ca="1">Main[[#This Row],[بدهی سررسید شده (کیلوگرم)]]*Main[[#This Row],[روز از ارسال سفارش]]</f>
        <v>0</v>
      </c>
      <c r="U152" s="6">
        <f>-SUBTOTAL(9,INDEX(Main[مقدار (کیلوگرم)],1):Main[[#This Row],[مقدار (کیلوگرم)]])</f>
        <v>23407</v>
      </c>
      <c r="V1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" s="6">
        <f>Main[[#This Row],[تعداد کل روزهای بدهکار (روز)]]*Main[[#This Row],[مانده در خط کل (کیلوگرم)]]</f>
        <v>0</v>
      </c>
      <c r="X152" s="6">
        <f ca="1">-SUBTOTAL(9,INDEX(Main[مقدار تسویه شده (کیلوگرم)],1):Main[[#This Row],[مقدار تسویه شده (کیلوگرم)]])</f>
        <v>23407</v>
      </c>
      <c r="Y152" s="6">
        <f ca="1">IF(Main[[#This Row],[مانده در خط تسویه شده (کیلوگرم)]]&lt;&gt;0,Main[[#This Row],[تعداد کل روزهای بدهکار (روز)]],0)</f>
        <v>0</v>
      </c>
      <c r="Z152" s="6">
        <f ca="1">Main[[#This Row],[تعداد روزهای بدهکار تسویه شده (روز)]]*Main[[#This Row],[مانده در خط تسویه شده (کیلوگرم)]]</f>
        <v>0</v>
      </c>
      <c r="AA152" s="6">
        <f ca="1">SUBTOTAL(9,INDEX(Main[بدهی تسویه نشده (کیلوگرم)],1):Main[[#This Row],[بدهی تسویه نشده (کیلوگرم)]])</f>
        <v>0</v>
      </c>
      <c r="AB152" s="6">
        <f ca="1">IF(Main[[#This Row],[مانده در خط تسویه نشده (کیلوگرم)]]&lt;&gt;0,Main[[#This Row],[تعداد کل روزهای بدهکار (روز)]],0)</f>
        <v>0</v>
      </c>
      <c r="AC152" s="6">
        <f ca="1">Main[[#This Row],[تعداد روزهای بدهکار  تسویه نشده (روز)]]*Main[[#This Row],[مانده در خط تسویه نشده (کیلوگرم)]]</f>
        <v>0</v>
      </c>
      <c r="AD152" s="6">
        <f ca="1">SUBTOTAL(9,INDEX(Main[بدهی سررسید شده (کیلوگرم)],1):Main[[#This Row],[بدهی سررسید شده (کیلوگرم)]])</f>
        <v>0</v>
      </c>
      <c r="AE152" s="6">
        <f ca="1">IF(Main[[#This Row],[مانده در خط سررسید شده (کیلوگرم)]]&lt;&gt;0,Main[[#This Row],[تعداد کل روزهای بدهکار (روز)]],0)</f>
        <v>0</v>
      </c>
      <c r="AF152" s="6">
        <f ca="1">Main[[#This Row],[تعداد روزهای بدهکار سررسید شده (روز)]]*Main[[#This Row],[مانده در خط سررسید شده (کیلوگرم)]]</f>
        <v>0</v>
      </c>
    </row>
    <row r="153" spans="1:32" hidden="1" x14ac:dyDescent="0.35">
      <c r="A153" s="5">
        <f>ROW()-ROW(INDEX(Main[ردیف],1))+1</f>
        <v>151</v>
      </c>
      <c r="B153" s="31">
        <f>SUBTOTAL(2,INDEX(Main[ردیف],1):Main[[#This Row],[ردیف]])</f>
        <v>9</v>
      </c>
      <c r="C153" s="32" t="s">
        <v>514</v>
      </c>
      <c r="D153" s="32" t="str">
        <f>_xlfn.CONCAT("14",Main[[#This Row],[تاريخ]])</f>
        <v>1400/01/23</v>
      </c>
      <c r="E153" s="33">
        <v>44298</v>
      </c>
      <c r="F153" s="32">
        <v>10048</v>
      </c>
      <c r="G153" s="5" t="str">
        <f>INDEX(customer[عنوان],MATCH(Main[[#This Row],[کد ردیابی]],customer[کد],0))</f>
        <v xml:space="preserve">حسام کریمان  </v>
      </c>
      <c r="H153">
        <v>372</v>
      </c>
      <c r="I153" s="6">
        <f ca="1">-Main[[#This Row],[بدهی تسویه شده (کیلوگرم)]]+Main[[#This Row],[بستانکار (کیلوگرم)]]</f>
        <v>372</v>
      </c>
      <c r="J153" s="6">
        <f>IF(Main[[#This Row],[مقدار (کیلوگرم)]]&gt;0,Main[[#This Row],[مقدار (کیلوگرم)]],0)</f>
        <v>372</v>
      </c>
      <c r="K153" s="6">
        <f>-IF(Main[[#This Row],[مقدار (کیلوگرم)]]&lt;0,Main[[#This Row],[مقدار (کیلوگرم)]],0)</f>
        <v>0</v>
      </c>
      <c r="L1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" s="7">
        <f>-IF(AND(Main[[#This Row],[مقدار (کیلوگرم)]]&lt;0,Main[[#This Row],[تاريخ میلادی]]&gt;44276),Main[[#This Row],[مقدار (کیلوگرم)]],0)</f>
        <v>0</v>
      </c>
      <c r="N153" s="6">
        <f ca="1">Main[[#This Row],[بدهکار (کیلوگرم)]]-Main[[#This Row],[بدهی تسویه نشده (کیلوگرم)]]</f>
        <v>0</v>
      </c>
      <c r="O153" s="6">
        <f ca="1">Main[[#This Row],[تفکیک]]</f>
        <v>0</v>
      </c>
      <c r="P153" s="6">
        <f ca="1">IF(Main[[#This Row],[تاخیر از سررسید]]&gt;0,Main[[#This Row],[بدهی تسویه نشده (کیلوگرم)]],0)</f>
        <v>0</v>
      </c>
      <c r="Q153" s="6">
        <f ca="1">IF(Main[[#This Row],[بدهی تسویه نشده (کیلوگرم)]]&gt;0,'گزارش فردی'!$B$7-Main[[#This Row],[تاريخ میلادی]],0)</f>
        <v>0</v>
      </c>
      <c r="R153" s="6">
        <f ca="1">IF(Main[[#This Row],[بدهی تسویه نشده (کیلوگرم)]]&gt;0,'گزارش فردی'!$B$7-Main[[#This Row],[تاريخ میلادی]]-'گزارش فردی'!$B$8,0)</f>
        <v>0</v>
      </c>
      <c r="S153" s="6">
        <f ca="1">Main[[#This Row],[روز از ارسال سفارش]]*Main[[#This Row],[بدهی تسویه نشده (کیلوگرم)]]</f>
        <v>0</v>
      </c>
      <c r="T153" s="6">
        <f ca="1">Main[[#This Row],[بدهی سررسید شده (کیلوگرم)]]*Main[[#This Row],[روز از ارسال سفارش]]</f>
        <v>0</v>
      </c>
      <c r="U153" s="6">
        <f>-SUBTOTAL(9,INDEX(Main[مقدار (کیلوگرم)],1):Main[[#This Row],[مقدار (کیلوگرم)]])</f>
        <v>23407</v>
      </c>
      <c r="V1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" s="6">
        <f>Main[[#This Row],[تعداد کل روزهای بدهکار (روز)]]*Main[[#This Row],[مانده در خط کل (کیلوگرم)]]</f>
        <v>0</v>
      </c>
      <c r="X153" s="6">
        <f ca="1">-SUBTOTAL(9,INDEX(Main[مقدار تسویه شده (کیلوگرم)],1):Main[[#This Row],[مقدار تسویه شده (کیلوگرم)]])</f>
        <v>23407</v>
      </c>
      <c r="Y153" s="6">
        <f ca="1">IF(Main[[#This Row],[مانده در خط تسویه شده (کیلوگرم)]]&lt;&gt;0,Main[[#This Row],[تعداد کل روزهای بدهکار (روز)]],0)</f>
        <v>0</v>
      </c>
      <c r="Z153" s="6">
        <f ca="1">Main[[#This Row],[تعداد روزهای بدهکار تسویه شده (روز)]]*Main[[#This Row],[مانده در خط تسویه شده (کیلوگرم)]]</f>
        <v>0</v>
      </c>
      <c r="AA153" s="6">
        <f ca="1">SUBTOTAL(9,INDEX(Main[بدهی تسویه نشده (کیلوگرم)],1):Main[[#This Row],[بدهی تسویه نشده (کیلوگرم)]])</f>
        <v>0</v>
      </c>
      <c r="AB153" s="6">
        <f ca="1">IF(Main[[#This Row],[مانده در خط تسویه نشده (کیلوگرم)]]&lt;&gt;0,Main[[#This Row],[تعداد کل روزهای بدهکار (روز)]],0)</f>
        <v>0</v>
      </c>
      <c r="AC153" s="6">
        <f ca="1">Main[[#This Row],[تعداد روزهای بدهکار  تسویه نشده (روز)]]*Main[[#This Row],[مانده در خط تسویه نشده (کیلوگرم)]]</f>
        <v>0</v>
      </c>
      <c r="AD153" s="6">
        <f ca="1">SUBTOTAL(9,INDEX(Main[بدهی سررسید شده (کیلوگرم)],1):Main[[#This Row],[بدهی سررسید شده (کیلوگرم)]])</f>
        <v>0</v>
      </c>
      <c r="AE153" s="6">
        <f ca="1">IF(Main[[#This Row],[مانده در خط سررسید شده (کیلوگرم)]]&lt;&gt;0,Main[[#This Row],[تعداد کل روزهای بدهکار (روز)]],0)</f>
        <v>0</v>
      </c>
      <c r="AF153" s="6">
        <f ca="1">Main[[#This Row],[تعداد روزهای بدهکار سررسید شده (روز)]]*Main[[#This Row],[مانده در خط سررسید شده (کیلوگرم)]]</f>
        <v>0</v>
      </c>
    </row>
    <row r="154" spans="1:32" hidden="1" x14ac:dyDescent="0.35">
      <c r="A154" s="5">
        <f>ROW()-ROW(INDEX(Main[ردیف],1))+1</f>
        <v>152</v>
      </c>
      <c r="B154" s="31">
        <f>SUBTOTAL(2,INDEX(Main[ردیف],1):Main[[#This Row],[ردیف]])</f>
        <v>9</v>
      </c>
      <c r="C154" s="32" t="s">
        <v>514</v>
      </c>
      <c r="D154" s="32" t="str">
        <f>_xlfn.CONCAT("14",Main[[#This Row],[تاريخ]])</f>
        <v>1400/01/23</v>
      </c>
      <c r="E154" s="33">
        <v>44298</v>
      </c>
      <c r="F154" s="32">
        <v>30162</v>
      </c>
      <c r="G154" s="5" t="str">
        <f>INDEX(customer[عنوان],MATCH(Main[[#This Row],[کد ردیابی]],customer[کد],0))</f>
        <v>شرکت الماس آریا</v>
      </c>
      <c r="H154">
        <v>-3767</v>
      </c>
      <c r="I154" s="6">
        <f ca="1">-Main[[#This Row],[بدهی تسویه شده (کیلوگرم)]]+Main[[#This Row],[بستانکار (کیلوگرم)]]</f>
        <v>-3767</v>
      </c>
      <c r="J154" s="6">
        <f>IF(Main[[#This Row],[مقدار (کیلوگرم)]]&gt;0,Main[[#This Row],[مقدار (کیلوگرم)]],0)</f>
        <v>0</v>
      </c>
      <c r="K154" s="6">
        <f>-IF(Main[[#This Row],[مقدار (کیلوگرم)]]&lt;0,Main[[#This Row],[مقدار (کیلوگرم)]],0)</f>
        <v>3767</v>
      </c>
      <c r="L1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" s="7">
        <f>-IF(AND(Main[[#This Row],[مقدار (کیلوگرم)]]&lt;0,Main[[#This Row],[تاريخ میلادی]]&gt;44276),Main[[#This Row],[مقدار (کیلوگرم)]],0)</f>
        <v>3767</v>
      </c>
      <c r="N154" s="6">
        <f ca="1">Main[[#This Row],[بدهکار (کیلوگرم)]]-Main[[#This Row],[بدهی تسویه نشده (کیلوگرم)]]</f>
        <v>3767</v>
      </c>
      <c r="O154" s="6">
        <f ca="1">Main[[#This Row],[تفکیک]]</f>
        <v>0</v>
      </c>
      <c r="P154" s="6">
        <f ca="1">IF(Main[[#This Row],[تاخیر از سررسید]]&gt;0,Main[[#This Row],[بدهی تسویه نشده (کیلوگرم)]],0)</f>
        <v>0</v>
      </c>
      <c r="Q154" s="6">
        <f ca="1">IF(Main[[#This Row],[بدهی تسویه نشده (کیلوگرم)]]&gt;0,'گزارش فردی'!$B$7-Main[[#This Row],[تاريخ میلادی]],0)</f>
        <v>0</v>
      </c>
      <c r="R154" s="6">
        <f ca="1">IF(Main[[#This Row],[بدهی تسویه نشده (کیلوگرم)]]&gt;0,'گزارش فردی'!$B$7-Main[[#This Row],[تاريخ میلادی]]-'گزارش فردی'!$B$8,0)</f>
        <v>0</v>
      </c>
      <c r="S154" s="6">
        <f ca="1">Main[[#This Row],[روز از ارسال سفارش]]*Main[[#This Row],[بدهی تسویه نشده (کیلوگرم)]]</f>
        <v>0</v>
      </c>
      <c r="T154" s="6">
        <f ca="1">Main[[#This Row],[بدهی سررسید شده (کیلوگرم)]]*Main[[#This Row],[روز از ارسال سفارش]]</f>
        <v>0</v>
      </c>
      <c r="U154" s="6">
        <f>-SUBTOTAL(9,INDEX(Main[مقدار (کیلوگرم)],1):Main[[#This Row],[مقدار (کیلوگرم)]])</f>
        <v>23407</v>
      </c>
      <c r="V1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" s="6">
        <f>Main[[#This Row],[تعداد کل روزهای بدهکار (روز)]]*Main[[#This Row],[مانده در خط کل (کیلوگرم)]]</f>
        <v>0</v>
      </c>
      <c r="X154" s="6">
        <f ca="1">-SUBTOTAL(9,INDEX(Main[مقدار تسویه شده (کیلوگرم)],1):Main[[#This Row],[مقدار تسویه شده (کیلوگرم)]])</f>
        <v>23407</v>
      </c>
      <c r="Y154" s="6">
        <f ca="1">IF(Main[[#This Row],[مانده در خط تسویه شده (کیلوگرم)]]&lt;&gt;0,Main[[#This Row],[تعداد کل روزهای بدهکار (روز)]],0)</f>
        <v>0</v>
      </c>
      <c r="Z154" s="6">
        <f ca="1">Main[[#This Row],[تعداد روزهای بدهکار تسویه شده (روز)]]*Main[[#This Row],[مانده در خط تسویه شده (کیلوگرم)]]</f>
        <v>0</v>
      </c>
      <c r="AA154" s="6">
        <f ca="1">SUBTOTAL(9,INDEX(Main[بدهی تسویه نشده (کیلوگرم)],1):Main[[#This Row],[بدهی تسویه نشده (کیلوگرم)]])</f>
        <v>0</v>
      </c>
      <c r="AB154" s="6">
        <f ca="1">IF(Main[[#This Row],[مانده در خط تسویه نشده (کیلوگرم)]]&lt;&gt;0,Main[[#This Row],[تعداد کل روزهای بدهکار (روز)]],0)</f>
        <v>0</v>
      </c>
      <c r="AC154" s="6">
        <f ca="1">Main[[#This Row],[تعداد روزهای بدهکار  تسویه نشده (روز)]]*Main[[#This Row],[مانده در خط تسویه نشده (کیلوگرم)]]</f>
        <v>0</v>
      </c>
      <c r="AD154" s="6">
        <f ca="1">SUBTOTAL(9,INDEX(Main[بدهی سررسید شده (کیلوگرم)],1):Main[[#This Row],[بدهی سررسید شده (کیلوگرم)]])</f>
        <v>0</v>
      </c>
      <c r="AE154" s="6">
        <f ca="1">IF(Main[[#This Row],[مانده در خط سررسید شده (کیلوگرم)]]&lt;&gt;0,Main[[#This Row],[تعداد کل روزهای بدهکار (روز)]],0)</f>
        <v>0</v>
      </c>
      <c r="AF154" s="6">
        <f ca="1">Main[[#This Row],[تعداد روزهای بدهکار سررسید شده (روز)]]*Main[[#This Row],[مانده در خط سررسید شده (کیلوگرم)]]</f>
        <v>0</v>
      </c>
    </row>
    <row r="155" spans="1:32" hidden="1" x14ac:dyDescent="0.35">
      <c r="A155" s="5">
        <f>ROW()-ROW(INDEX(Main[ردیف],1))+1</f>
        <v>153</v>
      </c>
      <c r="B155" s="31">
        <f>SUBTOTAL(2,INDEX(Main[ردیف],1):Main[[#This Row],[ردیف]])</f>
        <v>9</v>
      </c>
      <c r="C155" s="32" t="s">
        <v>514</v>
      </c>
      <c r="D155" s="32" t="str">
        <f>_xlfn.CONCAT("14",Main[[#This Row],[تاريخ]])</f>
        <v>1400/01/23</v>
      </c>
      <c r="E155" s="33">
        <v>44298</v>
      </c>
      <c r="F155" s="32">
        <v>30099</v>
      </c>
      <c r="G155" s="5" t="str">
        <f>INDEX(customer[عنوان],MATCH(Main[[#This Row],[کد ردیابی]],customer[کد],0))</f>
        <v>ایران شرق نیشابور</v>
      </c>
      <c r="H155">
        <v>5110</v>
      </c>
      <c r="I155" s="6">
        <f ca="1">-Main[[#This Row],[بدهی تسویه شده (کیلوگرم)]]+Main[[#This Row],[بستانکار (کیلوگرم)]]</f>
        <v>5110</v>
      </c>
      <c r="J155" s="6">
        <f>IF(Main[[#This Row],[مقدار (کیلوگرم)]]&gt;0,Main[[#This Row],[مقدار (کیلوگرم)]],0)</f>
        <v>5110</v>
      </c>
      <c r="K155" s="6">
        <f>-IF(Main[[#This Row],[مقدار (کیلوگرم)]]&lt;0,Main[[#This Row],[مقدار (کیلوگرم)]],0)</f>
        <v>0</v>
      </c>
      <c r="L1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" s="7">
        <f>-IF(AND(Main[[#This Row],[مقدار (کیلوگرم)]]&lt;0,Main[[#This Row],[تاريخ میلادی]]&gt;44276),Main[[#This Row],[مقدار (کیلوگرم)]],0)</f>
        <v>0</v>
      </c>
      <c r="N155" s="6">
        <f ca="1">Main[[#This Row],[بدهکار (کیلوگرم)]]-Main[[#This Row],[بدهی تسویه نشده (کیلوگرم)]]</f>
        <v>0</v>
      </c>
      <c r="O155" s="6">
        <f ca="1">Main[[#This Row],[تفکیک]]</f>
        <v>0</v>
      </c>
      <c r="P155" s="6">
        <f ca="1">IF(Main[[#This Row],[تاخیر از سررسید]]&gt;0,Main[[#This Row],[بدهی تسویه نشده (کیلوگرم)]],0)</f>
        <v>0</v>
      </c>
      <c r="Q155" s="6">
        <f ca="1">IF(Main[[#This Row],[بدهی تسویه نشده (کیلوگرم)]]&gt;0,'گزارش فردی'!$B$7-Main[[#This Row],[تاريخ میلادی]],0)</f>
        <v>0</v>
      </c>
      <c r="R155" s="6">
        <f ca="1">IF(Main[[#This Row],[بدهی تسویه نشده (کیلوگرم)]]&gt;0,'گزارش فردی'!$B$7-Main[[#This Row],[تاريخ میلادی]]-'گزارش فردی'!$B$8,0)</f>
        <v>0</v>
      </c>
      <c r="S155" s="6">
        <f ca="1">Main[[#This Row],[روز از ارسال سفارش]]*Main[[#This Row],[بدهی تسویه نشده (کیلوگرم)]]</f>
        <v>0</v>
      </c>
      <c r="T155" s="6">
        <f ca="1">Main[[#This Row],[بدهی سررسید شده (کیلوگرم)]]*Main[[#This Row],[روز از ارسال سفارش]]</f>
        <v>0</v>
      </c>
      <c r="U155" s="6">
        <f>-SUBTOTAL(9,INDEX(Main[مقدار (کیلوگرم)],1):Main[[#This Row],[مقدار (کیلوگرم)]])</f>
        <v>23407</v>
      </c>
      <c r="V1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" s="6">
        <f>Main[[#This Row],[تعداد کل روزهای بدهکار (روز)]]*Main[[#This Row],[مانده در خط کل (کیلوگرم)]]</f>
        <v>0</v>
      </c>
      <c r="X155" s="6">
        <f ca="1">-SUBTOTAL(9,INDEX(Main[مقدار تسویه شده (کیلوگرم)],1):Main[[#This Row],[مقدار تسویه شده (کیلوگرم)]])</f>
        <v>23407</v>
      </c>
      <c r="Y155" s="6">
        <f ca="1">IF(Main[[#This Row],[مانده در خط تسویه شده (کیلوگرم)]]&lt;&gt;0,Main[[#This Row],[تعداد کل روزهای بدهکار (روز)]],0)</f>
        <v>0</v>
      </c>
      <c r="Z155" s="6">
        <f ca="1">Main[[#This Row],[تعداد روزهای بدهکار تسویه شده (روز)]]*Main[[#This Row],[مانده در خط تسویه شده (کیلوگرم)]]</f>
        <v>0</v>
      </c>
      <c r="AA155" s="6">
        <f ca="1">SUBTOTAL(9,INDEX(Main[بدهی تسویه نشده (کیلوگرم)],1):Main[[#This Row],[بدهی تسویه نشده (کیلوگرم)]])</f>
        <v>0</v>
      </c>
      <c r="AB155" s="6">
        <f ca="1">IF(Main[[#This Row],[مانده در خط تسویه نشده (کیلوگرم)]]&lt;&gt;0,Main[[#This Row],[تعداد کل روزهای بدهکار (روز)]],0)</f>
        <v>0</v>
      </c>
      <c r="AC155" s="6">
        <f ca="1">Main[[#This Row],[تعداد روزهای بدهکار  تسویه نشده (روز)]]*Main[[#This Row],[مانده در خط تسویه نشده (کیلوگرم)]]</f>
        <v>0</v>
      </c>
      <c r="AD155" s="6">
        <f ca="1">SUBTOTAL(9,INDEX(Main[بدهی سررسید شده (کیلوگرم)],1):Main[[#This Row],[بدهی سررسید شده (کیلوگرم)]])</f>
        <v>0</v>
      </c>
      <c r="AE155" s="6">
        <f ca="1">IF(Main[[#This Row],[مانده در خط سررسید شده (کیلوگرم)]]&lt;&gt;0,Main[[#This Row],[تعداد کل روزهای بدهکار (روز)]],0)</f>
        <v>0</v>
      </c>
      <c r="AF155" s="6">
        <f ca="1">Main[[#This Row],[تعداد روزهای بدهکار سررسید شده (روز)]]*Main[[#This Row],[مانده در خط سررسید شده (کیلوگرم)]]</f>
        <v>0</v>
      </c>
    </row>
    <row r="156" spans="1:32" hidden="1" x14ac:dyDescent="0.35">
      <c r="A156" s="5">
        <f>ROW()-ROW(INDEX(Main[ردیف],1))+1</f>
        <v>154</v>
      </c>
      <c r="B156" s="31">
        <f>SUBTOTAL(2,INDEX(Main[ردیف],1):Main[[#This Row],[ردیف]])</f>
        <v>9</v>
      </c>
      <c r="C156" s="32" t="s">
        <v>514</v>
      </c>
      <c r="D156" s="32" t="str">
        <f>_xlfn.CONCAT("14",Main[[#This Row],[تاريخ]])</f>
        <v>1400/01/23</v>
      </c>
      <c r="E156" s="33">
        <v>44298</v>
      </c>
      <c r="F156" s="32">
        <v>10048</v>
      </c>
      <c r="G156" s="5" t="str">
        <f>INDEX(customer[عنوان],MATCH(Main[[#This Row],[کد ردیابی]],customer[کد],0))</f>
        <v xml:space="preserve">حسام کریمان  </v>
      </c>
      <c r="H156">
        <v>-648</v>
      </c>
      <c r="I156" s="6">
        <f ca="1">-Main[[#This Row],[بدهی تسویه شده (کیلوگرم)]]+Main[[#This Row],[بستانکار (کیلوگرم)]]</f>
        <v>-648</v>
      </c>
      <c r="J156" s="6">
        <f>IF(Main[[#This Row],[مقدار (کیلوگرم)]]&gt;0,Main[[#This Row],[مقدار (کیلوگرم)]],0)</f>
        <v>0</v>
      </c>
      <c r="K156" s="6">
        <f>-IF(Main[[#This Row],[مقدار (کیلوگرم)]]&lt;0,Main[[#This Row],[مقدار (کیلوگرم)]],0)</f>
        <v>648</v>
      </c>
      <c r="L1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" s="7">
        <f>-IF(AND(Main[[#This Row],[مقدار (کیلوگرم)]]&lt;0,Main[[#This Row],[تاريخ میلادی]]&gt;44276),Main[[#This Row],[مقدار (کیلوگرم)]],0)</f>
        <v>648</v>
      </c>
      <c r="N156" s="6">
        <f ca="1">Main[[#This Row],[بدهکار (کیلوگرم)]]-Main[[#This Row],[بدهی تسویه نشده (کیلوگرم)]]</f>
        <v>648</v>
      </c>
      <c r="O156" s="6">
        <f ca="1">Main[[#This Row],[تفکیک]]</f>
        <v>0</v>
      </c>
      <c r="P156" s="6">
        <f ca="1">IF(Main[[#This Row],[تاخیر از سررسید]]&gt;0,Main[[#This Row],[بدهی تسویه نشده (کیلوگرم)]],0)</f>
        <v>0</v>
      </c>
      <c r="Q156" s="6">
        <f ca="1">IF(Main[[#This Row],[بدهی تسویه نشده (کیلوگرم)]]&gt;0,'گزارش فردی'!$B$7-Main[[#This Row],[تاريخ میلادی]],0)</f>
        <v>0</v>
      </c>
      <c r="R156" s="6">
        <f ca="1">IF(Main[[#This Row],[بدهی تسویه نشده (کیلوگرم)]]&gt;0,'گزارش فردی'!$B$7-Main[[#This Row],[تاريخ میلادی]]-'گزارش فردی'!$B$8,0)</f>
        <v>0</v>
      </c>
      <c r="S156" s="6">
        <f ca="1">Main[[#This Row],[روز از ارسال سفارش]]*Main[[#This Row],[بدهی تسویه نشده (کیلوگرم)]]</f>
        <v>0</v>
      </c>
      <c r="T156" s="6">
        <f ca="1">Main[[#This Row],[بدهی سررسید شده (کیلوگرم)]]*Main[[#This Row],[روز از ارسال سفارش]]</f>
        <v>0</v>
      </c>
      <c r="U156" s="6">
        <f>-SUBTOTAL(9,INDEX(Main[مقدار (کیلوگرم)],1):Main[[#This Row],[مقدار (کیلوگرم)]])</f>
        <v>23407</v>
      </c>
      <c r="V1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" s="6">
        <f>Main[[#This Row],[تعداد کل روزهای بدهکار (روز)]]*Main[[#This Row],[مانده در خط کل (کیلوگرم)]]</f>
        <v>0</v>
      </c>
      <c r="X156" s="6">
        <f ca="1">-SUBTOTAL(9,INDEX(Main[مقدار تسویه شده (کیلوگرم)],1):Main[[#This Row],[مقدار تسویه شده (کیلوگرم)]])</f>
        <v>23407</v>
      </c>
      <c r="Y156" s="6">
        <f ca="1">IF(Main[[#This Row],[مانده در خط تسویه شده (کیلوگرم)]]&lt;&gt;0,Main[[#This Row],[تعداد کل روزهای بدهکار (روز)]],0)</f>
        <v>0</v>
      </c>
      <c r="Z156" s="6">
        <f ca="1">Main[[#This Row],[تعداد روزهای بدهکار تسویه شده (روز)]]*Main[[#This Row],[مانده در خط تسویه شده (کیلوگرم)]]</f>
        <v>0</v>
      </c>
      <c r="AA156" s="6">
        <f ca="1">SUBTOTAL(9,INDEX(Main[بدهی تسویه نشده (کیلوگرم)],1):Main[[#This Row],[بدهی تسویه نشده (کیلوگرم)]])</f>
        <v>0</v>
      </c>
      <c r="AB156" s="6">
        <f ca="1">IF(Main[[#This Row],[مانده در خط تسویه نشده (کیلوگرم)]]&lt;&gt;0,Main[[#This Row],[تعداد کل روزهای بدهکار (روز)]],0)</f>
        <v>0</v>
      </c>
      <c r="AC156" s="6">
        <f ca="1">Main[[#This Row],[تعداد روزهای بدهکار  تسویه نشده (روز)]]*Main[[#This Row],[مانده در خط تسویه نشده (کیلوگرم)]]</f>
        <v>0</v>
      </c>
      <c r="AD156" s="6">
        <f ca="1">SUBTOTAL(9,INDEX(Main[بدهی سررسید شده (کیلوگرم)],1):Main[[#This Row],[بدهی سررسید شده (کیلوگرم)]])</f>
        <v>0</v>
      </c>
      <c r="AE156" s="6">
        <f ca="1">IF(Main[[#This Row],[مانده در خط سررسید شده (کیلوگرم)]]&lt;&gt;0,Main[[#This Row],[تعداد کل روزهای بدهکار (روز)]],0)</f>
        <v>0</v>
      </c>
      <c r="AF156" s="6">
        <f ca="1">Main[[#This Row],[تعداد روزهای بدهکار سررسید شده (روز)]]*Main[[#This Row],[مانده در خط سررسید شده (کیلوگرم)]]</f>
        <v>0</v>
      </c>
    </row>
    <row r="157" spans="1:32" hidden="1" x14ac:dyDescent="0.35">
      <c r="A157" s="5">
        <f>ROW()-ROW(INDEX(Main[ردیف],1))+1</f>
        <v>155</v>
      </c>
      <c r="B157" s="31">
        <f>SUBTOTAL(2,INDEX(Main[ردیف],1):Main[[#This Row],[ردیف]])</f>
        <v>9</v>
      </c>
      <c r="C157" s="32" t="s">
        <v>514</v>
      </c>
      <c r="D157" s="32" t="str">
        <f>_xlfn.CONCAT("14",Main[[#This Row],[تاريخ]])</f>
        <v>1400/01/23</v>
      </c>
      <c r="E157" s="33">
        <v>44298</v>
      </c>
      <c r="F157" s="32">
        <v>10027</v>
      </c>
      <c r="G157" s="5" t="str">
        <f>INDEX(customer[عنوان],MATCH(Main[[#This Row],[کد ردیابی]],customer[کد],0))</f>
        <v xml:space="preserve">مصطفی نورعلی </v>
      </c>
      <c r="H157">
        <v>2766</v>
      </c>
      <c r="I157" s="6">
        <f ca="1">-Main[[#This Row],[بدهی تسویه شده (کیلوگرم)]]+Main[[#This Row],[بستانکار (کیلوگرم)]]</f>
        <v>2766</v>
      </c>
      <c r="J157" s="6">
        <f>IF(Main[[#This Row],[مقدار (کیلوگرم)]]&gt;0,Main[[#This Row],[مقدار (کیلوگرم)]],0)</f>
        <v>2766</v>
      </c>
      <c r="K157" s="6">
        <f>-IF(Main[[#This Row],[مقدار (کیلوگرم)]]&lt;0,Main[[#This Row],[مقدار (کیلوگرم)]],0)</f>
        <v>0</v>
      </c>
      <c r="L1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" s="7">
        <f>-IF(AND(Main[[#This Row],[مقدار (کیلوگرم)]]&lt;0,Main[[#This Row],[تاريخ میلادی]]&gt;44276),Main[[#This Row],[مقدار (کیلوگرم)]],0)</f>
        <v>0</v>
      </c>
      <c r="N157" s="6">
        <f ca="1">Main[[#This Row],[بدهکار (کیلوگرم)]]-Main[[#This Row],[بدهی تسویه نشده (کیلوگرم)]]</f>
        <v>0</v>
      </c>
      <c r="O157" s="6">
        <f ca="1">Main[[#This Row],[تفکیک]]</f>
        <v>0</v>
      </c>
      <c r="P157" s="6">
        <f ca="1">IF(Main[[#This Row],[تاخیر از سررسید]]&gt;0,Main[[#This Row],[بدهی تسویه نشده (کیلوگرم)]],0)</f>
        <v>0</v>
      </c>
      <c r="Q157" s="6">
        <f ca="1">IF(Main[[#This Row],[بدهی تسویه نشده (کیلوگرم)]]&gt;0,'گزارش فردی'!$B$7-Main[[#This Row],[تاريخ میلادی]],0)</f>
        <v>0</v>
      </c>
      <c r="R157" s="6">
        <f ca="1">IF(Main[[#This Row],[بدهی تسویه نشده (کیلوگرم)]]&gt;0,'گزارش فردی'!$B$7-Main[[#This Row],[تاريخ میلادی]]-'گزارش فردی'!$B$8,0)</f>
        <v>0</v>
      </c>
      <c r="S157" s="6">
        <f ca="1">Main[[#This Row],[روز از ارسال سفارش]]*Main[[#This Row],[بدهی تسویه نشده (کیلوگرم)]]</f>
        <v>0</v>
      </c>
      <c r="T157" s="6">
        <f ca="1">Main[[#This Row],[بدهی سررسید شده (کیلوگرم)]]*Main[[#This Row],[روز از ارسال سفارش]]</f>
        <v>0</v>
      </c>
      <c r="U157" s="6">
        <f>-SUBTOTAL(9,INDEX(Main[مقدار (کیلوگرم)],1):Main[[#This Row],[مقدار (کیلوگرم)]])</f>
        <v>23407</v>
      </c>
      <c r="V1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" s="6">
        <f>Main[[#This Row],[تعداد کل روزهای بدهکار (روز)]]*Main[[#This Row],[مانده در خط کل (کیلوگرم)]]</f>
        <v>0</v>
      </c>
      <c r="X157" s="6">
        <f ca="1">-SUBTOTAL(9,INDEX(Main[مقدار تسویه شده (کیلوگرم)],1):Main[[#This Row],[مقدار تسویه شده (کیلوگرم)]])</f>
        <v>23407</v>
      </c>
      <c r="Y157" s="6">
        <f ca="1">IF(Main[[#This Row],[مانده در خط تسویه شده (کیلوگرم)]]&lt;&gt;0,Main[[#This Row],[تعداد کل روزهای بدهکار (روز)]],0)</f>
        <v>0</v>
      </c>
      <c r="Z157" s="6">
        <f ca="1">Main[[#This Row],[تعداد روزهای بدهکار تسویه شده (روز)]]*Main[[#This Row],[مانده در خط تسویه شده (کیلوگرم)]]</f>
        <v>0</v>
      </c>
      <c r="AA157" s="6">
        <f ca="1">SUBTOTAL(9,INDEX(Main[بدهی تسویه نشده (کیلوگرم)],1):Main[[#This Row],[بدهی تسویه نشده (کیلوگرم)]])</f>
        <v>0</v>
      </c>
      <c r="AB157" s="6">
        <f ca="1">IF(Main[[#This Row],[مانده در خط تسویه نشده (کیلوگرم)]]&lt;&gt;0,Main[[#This Row],[تعداد کل روزهای بدهکار (روز)]],0)</f>
        <v>0</v>
      </c>
      <c r="AC157" s="6">
        <f ca="1">Main[[#This Row],[تعداد روزهای بدهکار  تسویه نشده (روز)]]*Main[[#This Row],[مانده در خط تسویه نشده (کیلوگرم)]]</f>
        <v>0</v>
      </c>
      <c r="AD157" s="6">
        <f ca="1">SUBTOTAL(9,INDEX(Main[بدهی سررسید شده (کیلوگرم)],1):Main[[#This Row],[بدهی سررسید شده (کیلوگرم)]])</f>
        <v>0</v>
      </c>
      <c r="AE157" s="6">
        <f ca="1">IF(Main[[#This Row],[مانده در خط سررسید شده (کیلوگرم)]]&lt;&gt;0,Main[[#This Row],[تعداد کل روزهای بدهکار (روز)]],0)</f>
        <v>0</v>
      </c>
      <c r="AF157" s="6">
        <f ca="1">Main[[#This Row],[تعداد روزهای بدهکار سررسید شده (روز)]]*Main[[#This Row],[مانده در خط سررسید شده (کیلوگرم)]]</f>
        <v>0</v>
      </c>
    </row>
    <row r="158" spans="1:32" x14ac:dyDescent="0.35">
      <c r="A158" s="5">
        <f>ROW()-ROW(INDEX(Main[ردیف],1))+1</f>
        <v>156</v>
      </c>
      <c r="B158" s="31">
        <f>SUBTOTAL(2,INDEX(Main[ردیف],1):Main[[#This Row],[ردیف]])</f>
        <v>10</v>
      </c>
      <c r="C158" s="32" t="s">
        <v>514</v>
      </c>
      <c r="D158" s="32" t="str">
        <f>_xlfn.CONCAT("14",Main[[#This Row],[تاريخ]])</f>
        <v>1400/01/23</v>
      </c>
      <c r="E158" s="33">
        <v>44298</v>
      </c>
      <c r="F158" s="32">
        <v>10003</v>
      </c>
      <c r="G158" s="5" t="str">
        <f>INDEX(customer[عنوان],MATCH(Main[[#This Row],[کد ردیابی]],customer[کد],0))</f>
        <v>اصغر نورعلی</v>
      </c>
      <c r="H158">
        <v>-878</v>
      </c>
      <c r="I158" s="6">
        <f ca="1">-Main[[#This Row],[بدهی تسویه شده (کیلوگرم)]]+Main[[#This Row],[بستانکار (کیلوگرم)]]</f>
        <v>-878</v>
      </c>
      <c r="J158" s="6">
        <f>IF(Main[[#This Row],[مقدار (کیلوگرم)]]&gt;0,Main[[#This Row],[مقدار (کیلوگرم)]],0)</f>
        <v>0</v>
      </c>
      <c r="K158" s="6">
        <f>-IF(Main[[#This Row],[مقدار (کیلوگرم)]]&lt;0,Main[[#This Row],[مقدار (کیلوگرم)]],0)</f>
        <v>878</v>
      </c>
      <c r="L1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" s="7">
        <f>-IF(AND(Main[[#This Row],[مقدار (کیلوگرم)]]&lt;0,Main[[#This Row],[تاريخ میلادی]]&gt;44276),Main[[#This Row],[مقدار (کیلوگرم)]],0)</f>
        <v>878</v>
      </c>
      <c r="N158" s="6">
        <f ca="1">Main[[#This Row],[بدهکار (کیلوگرم)]]-Main[[#This Row],[بدهی تسویه نشده (کیلوگرم)]]</f>
        <v>878</v>
      </c>
      <c r="O158" s="6">
        <f ca="1">Main[[#This Row],[تفکیک]]</f>
        <v>0</v>
      </c>
      <c r="P158" s="6">
        <f ca="1">IF(Main[[#This Row],[تاخیر از سررسید]]&gt;0,Main[[#This Row],[بدهی تسویه نشده (کیلوگرم)]],0)</f>
        <v>0</v>
      </c>
      <c r="Q158" s="6">
        <f ca="1">IF(Main[[#This Row],[بدهی تسویه نشده (کیلوگرم)]]&gt;0,'گزارش فردی'!$B$7-Main[[#This Row],[تاريخ میلادی]],0)</f>
        <v>0</v>
      </c>
      <c r="R158" s="6">
        <f ca="1">IF(Main[[#This Row],[بدهی تسویه نشده (کیلوگرم)]]&gt;0,'گزارش فردی'!$B$7-Main[[#This Row],[تاريخ میلادی]]-'گزارش فردی'!$B$8,0)</f>
        <v>0</v>
      </c>
      <c r="S158" s="6">
        <f ca="1">Main[[#This Row],[روز از ارسال سفارش]]*Main[[#This Row],[بدهی تسویه نشده (کیلوگرم)]]</f>
        <v>0</v>
      </c>
      <c r="T158" s="6">
        <f ca="1">Main[[#This Row],[بدهی سررسید شده (کیلوگرم)]]*Main[[#This Row],[روز از ارسال سفارش]]</f>
        <v>0</v>
      </c>
      <c r="U158" s="6">
        <f>-SUBTOTAL(9,INDEX(Main[مقدار (کیلوگرم)],1):Main[[#This Row],[مقدار (کیلوگرم)]])</f>
        <v>24285</v>
      </c>
      <c r="V1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8" s="6">
        <f>Main[[#This Row],[تعداد کل روزهای بدهکار (روز)]]*Main[[#This Row],[مانده در خط کل (کیلوگرم)]]</f>
        <v>24285</v>
      </c>
      <c r="X158" s="6">
        <f ca="1">-SUBTOTAL(9,INDEX(Main[مقدار تسویه شده (کیلوگرم)],1):Main[[#This Row],[مقدار تسویه شده (کیلوگرم)]])</f>
        <v>24285</v>
      </c>
      <c r="Y158" s="6">
        <f ca="1">IF(Main[[#This Row],[مانده در خط تسویه شده (کیلوگرم)]]&lt;&gt;0,Main[[#This Row],[تعداد کل روزهای بدهکار (روز)]],0)</f>
        <v>1</v>
      </c>
      <c r="Z158" s="6">
        <f ca="1">Main[[#This Row],[تعداد روزهای بدهکار تسویه شده (روز)]]*Main[[#This Row],[مانده در خط تسویه شده (کیلوگرم)]]</f>
        <v>24285</v>
      </c>
      <c r="AA158" s="6">
        <f ca="1">SUBTOTAL(9,INDEX(Main[بدهی تسویه نشده (کیلوگرم)],1):Main[[#This Row],[بدهی تسویه نشده (کیلوگرم)]])</f>
        <v>0</v>
      </c>
      <c r="AB158" s="6">
        <f ca="1">IF(Main[[#This Row],[مانده در خط تسویه نشده (کیلوگرم)]]&lt;&gt;0,Main[[#This Row],[تعداد کل روزهای بدهکار (روز)]],0)</f>
        <v>0</v>
      </c>
      <c r="AC158" s="6">
        <f ca="1">Main[[#This Row],[تعداد روزهای بدهکار  تسویه نشده (روز)]]*Main[[#This Row],[مانده در خط تسویه نشده (کیلوگرم)]]</f>
        <v>0</v>
      </c>
      <c r="AD158" s="6">
        <f ca="1">SUBTOTAL(9,INDEX(Main[بدهی سررسید شده (کیلوگرم)],1):Main[[#This Row],[بدهی سررسید شده (کیلوگرم)]])</f>
        <v>0</v>
      </c>
      <c r="AE158" s="6">
        <f ca="1">IF(Main[[#This Row],[مانده در خط سررسید شده (کیلوگرم)]]&lt;&gt;0,Main[[#This Row],[تعداد کل روزهای بدهکار (روز)]],0)</f>
        <v>0</v>
      </c>
      <c r="AF158" s="6">
        <f ca="1">Main[[#This Row],[تعداد روزهای بدهکار سررسید شده (روز)]]*Main[[#This Row],[مانده در خط سررسید شده (کیلوگرم)]]</f>
        <v>0</v>
      </c>
    </row>
    <row r="159" spans="1:32" hidden="1" x14ac:dyDescent="0.35">
      <c r="A159" s="5">
        <f>ROW()-ROW(INDEX(Main[ردیف],1))+1</f>
        <v>157</v>
      </c>
      <c r="B159" s="31">
        <f>SUBTOTAL(2,INDEX(Main[ردیف],1):Main[[#This Row],[ردیف]])</f>
        <v>10</v>
      </c>
      <c r="C159" s="32" t="s">
        <v>514</v>
      </c>
      <c r="D159" s="32" t="str">
        <f>_xlfn.CONCAT("14",Main[[#This Row],[تاريخ]])</f>
        <v>1400/01/23</v>
      </c>
      <c r="E159" s="33">
        <v>44298</v>
      </c>
      <c r="F159" s="32">
        <v>10027</v>
      </c>
      <c r="G159" s="5" t="str">
        <f>INDEX(customer[عنوان],MATCH(Main[[#This Row],[کد ردیابی]],customer[کد],0))</f>
        <v xml:space="preserve">مصطفی نورعلی </v>
      </c>
      <c r="H159">
        <v>-1938</v>
      </c>
      <c r="I159" s="6">
        <f ca="1">-Main[[#This Row],[بدهی تسویه شده (کیلوگرم)]]+Main[[#This Row],[بستانکار (کیلوگرم)]]</f>
        <v>-1938</v>
      </c>
      <c r="J159" s="6">
        <f>IF(Main[[#This Row],[مقدار (کیلوگرم)]]&gt;0,Main[[#This Row],[مقدار (کیلوگرم)]],0)</f>
        <v>0</v>
      </c>
      <c r="K159" s="6">
        <f>-IF(Main[[#This Row],[مقدار (کیلوگرم)]]&lt;0,Main[[#This Row],[مقدار (کیلوگرم)]],0)</f>
        <v>1938</v>
      </c>
      <c r="L1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" s="7">
        <f>-IF(AND(Main[[#This Row],[مقدار (کیلوگرم)]]&lt;0,Main[[#This Row],[تاريخ میلادی]]&gt;44276),Main[[#This Row],[مقدار (کیلوگرم)]],0)</f>
        <v>1938</v>
      </c>
      <c r="N159" s="6">
        <f ca="1">Main[[#This Row],[بدهکار (کیلوگرم)]]-Main[[#This Row],[بدهی تسویه نشده (کیلوگرم)]]</f>
        <v>1938</v>
      </c>
      <c r="O159" s="6">
        <f ca="1">Main[[#This Row],[تفکیک]]</f>
        <v>0</v>
      </c>
      <c r="P159" s="6">
        <f ca="1">IF(Main[[#This Row],[تاخیر از سررسید]]&gt;0,Main[[#This Row],[بدهی تسویه نشده (کیلوگرم)]],0)</f>
        <v>0</v>
      </c>
      <c r="Q159" s="6">
        <f ca="1">IF(Main[[#This Row],[بدهی تسویه نشده (کیلوگرم)]]&gt;0,'گزارش فردی'!$B$7-Main[[#This Row],[تاريخ میلادی]],0)</f>
        <v>0</v>
      </c>
      <c r="R159" s="6">
        <f ca="1">IF(Main[[#This Row],[بدهی تسویه نشده (کیلوگرم)]]&gt;0,'گزارش فردی'!$B$7-Main[[#This Row],[تاريخ میلادی]]-'گزارش فردی'!$B$8,0)</f>
        <v>0</v>
      </c>
      <c r="S159" s="6">
        <f ca="1">Main[[#This Row],[روز از ارسال سفارش]]*Main[[#This Row],[بدهی تسویه نشده (کیلوگرم)]]</f>
        <v>0</v>
      </c>
      <c r="T159" s="6">
        <f ca="1">Main[[#This Row],[بدهی سررسید شده (کیلوگرم)]]*Main[[#This Row],[روز از ارسال سفارش]]</f>
        <v>0</v>
      </c>
      <c r="U159" s="6">
        <f>-SUBTOTAL(9,INDEX(Main[مقدار (کیلوگرم)],1):Main[[#This Row],[مقدار (کیلوگرم)]])</f>
        <v>24285</v>
      </c>
      <c r="V1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9" s="6">
        <f>Main[[#This Row],[تعداد کل روزهای بدهکار (روز)]]*Main[[#This Row],[مانده در خط کل (کیلوگرم)]]</f>
        <v>24285</v>
      </c>
      <c r="X159" s="6">
        <f ca="1">-SUBTOTAL(9,INDEX(Main[مقدار تسویه شده (کیلوگرم)],1):Main[[#This Row],[مقدار تسویه شده (کیلوگرم)]])</f>
        <v>24285</v>
      </c>
      <c r="Y159" s="6">
        <f ca="1">IF(Main[[#This Row],[مانده در خط تسویه شده (کیلوگرم)]]&lt;&gt;0,Main[[#This Row],[تعداد کل روزهای بدهکار (روز)]],0)</f>
        <v>1</v>
      </c>
      <c r="Z159" s="6">
        <f ca="1">Main[[#This Row],[تعداد روزهای بدهکار تسویه شده (روز)]]*Main[[#This Row],[مانده در خط تسویه شده (کیلوگرم)]]</f>
        <v>24285</v>
      </c>
      <c r="AA159" s="6">
        <f ca="1">SUBTOTAL(9,INDEX(Main[بدهی تسویه نشده (کیلوگرم)],1):Main[[#This Row],[بدهی تسویه نشده (کیلوگرم)]])</f>
        <v>0</v>
      </c>
      <c r="AB159" s="6">
        <f ca="1">IF(Main[[#This Row],[مانده در خط تسویه نشده (کیلوگرم)]]&lt;&gt;0,Main[[#This Row],[تعداد کل روزهای بدهکار (روز)]],0)</f>
        <v>0</v>
      </c>
      <c r="AC159" s="6">
        <f ca="1">Main[[#This Row],[تعداد روزهای بدهکار  تسویه نشده (روز)]]*Main[[#This Row],[مانده در خط تسویه نشده (کیلوگرم)]]</f>
        <v>0</v>
      </c>
      <c r="AD159" s="6">
        <f ca="1">SUBTOTAL(9,INDEX(Main[بدهی سررسید شده (کیلوگرم)],1):Main[[#This Row],[بدهی سررسید شده (کیلوگرم)]])</f>
        <v>0</v>
      </c>
      <c r="AE159" s="6">
        <f ca="1">IF(Main[[#This Row],[مانده در خط سررسید شده (کیلوگرم)]]&lt;&gt;0,Main[[#This Row],[تعداد کل روزهای بدهکار (روز)]],0)</f>
        <v>0</v>
      </c>
      <c r="AF159" s="6">
        <f ca="1">Main[[#This Row],[تعداد روزهای بدهکار سررسید شده (روز)]]*Main[[#This Row],[مانده در خط سررسید شده (کیلوگرم)]]</f>
        <v>0</v>
      </c>
    </row>
    <row r="160" spans="1:32" hidden="1" x14ac:dyDescent="0.35">
      <c r="A160" s="5">
        <f>ROW()-ROW(INDEX(Main[ردیف],1))+1</f>
        <v>158</v>
      </c>
      <c r="B160" s="31">
        <f>SUBTOTAL(2,INDEX(Main[ردیف],1):Main[[#This Row],[ردیف]])</f>
        <v>10</v>
      </c>
      <c r="C160" s="32" t="s">
        <v>516</v>
      </c>
      <c r="D160" s="32" t="str">
        <f>_xlfn.CONCAT("14",Main[[#This Row],[تاريخ]])</f>
        <v>1400/01/24</v>
      </c>
      <c r="E160" s="33">
        <v>44299</v>
      </c>
      <c r="F160" s="32">
        <v>30017</v>
      </c>
      <c r="G160" s="5" t="str">
        <f>INDEX(customer[عنوان],MATCH(Main[[#This Row],[کد ردیابی]],customer[کد],0))</f>
        <v xml:space="preserve">البرز یدک </v>
      </c>
      <c r="H160">
        <v>1891</v>
      </c>
      <c r="I160" s="6">
        <f ca="1">-Main[[#This Row],[بدهی تسویه شده (کیلوگرم)]]+Main[[#This Row],[بستانکار (کیلوگرم)]]</f>
        <v>1891</v>
      </c>
      <c r="J160" s="6">
        <f>IF(Main[[#This Row],[مقدار (کیلوگرم)]]&gt;0,Main[[#This Row],[مقدار (کیلوگرم)]],0)</f>
        <v>1891</v>
      </c>
      <c r="K160" s="6">
        <f>-IF(Main[[#This Row],[مقدار (کیلوگرم)]]&lt;0,Main[[#This Row],[مقدار (کیلوگرم)]],0)</f>
        <v>0</v>
      </c>
      <c r="L1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" s="7">
        <f>-IF(AND(Main[[#This Row],[مقدار (کیلوگرم)]]&lt;0,Main[[#This Row],[تاريخ میلادی]]&gt;44276),Main[[#This Row],[مقدار (کیلوگرم)]],0)</f>
        <v>0</v>
      </c>
      <c r="N160" s="6">
        <f ca="1">Main[[#This Row],[بدهکار (کیلوگرم)]]-Main[[#This Row],[بدهی تسویه نشده (کیلوگرم)]]</f>
        <v>0</v>
      </c>
      <c r="O160" s="6">
        <f ca="1">Main[[#This Row],[تفکیک]]</f>
        <v>0</v>
      </c>
      <c r="P160" s="6">
        <f ca="1">IF(Main[[#This Row],[تاخیر از سررسید]]&gt;0,Main[[#This Row],[بدهی تسویه نشده (کیلوگرم)]],0)</f>
        <v>0</v>
      </c>
      <c r="Q160" s="6">
        <f ca="1">IF(Main[[#This Row],[بدهی تسویه نشده (کیلوگرم)]]&gt;0,'گزارش فردی'!$B$7-Main[[#This Row],[تاريخ میلادی]],0)</f>
        <v>0</v>
      </c>
      <c r="R160" s="6">
        <f ca="1">IF(Main[[#This Row],[بدهی تسویه نشده (کیلوگرم)]]&gt;0,'گزارش فردی'!$B$7-Main[[#This Row],[تاريخ میلادی]]-'گزارش فردی'!$B$8,0)</f>
        <v>0</v>
      </c>
      <c r="S160" s="6">
        <f ca="1">Main[[#This Row],[روز از ارسال سفارش]]*Main[[#This Row],[بدهی تسویه نشده (کیلوگرم)]]</f>
        <v>0</v>
      </c>
      <c r="T160" s="6">
        <f ca="1">Main[[#This Row],[بدهی سررسید شده (کیلوگرم)]]*Main[[#This Row],[روز از ارسال سفارش]]</f>
        <v>0</v>
      </c>
      <c r="U160" s="6">
        <f>-SUBTOTAL(9,INDEX(Main[مقدار (کیلوگرم)],1):Main[[#This Row],[مقدار (کیلوگرم)]])</f>
        <v>24285</v>
      </c>
      <c r="V1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0" s="6">
        <f>Main[[#This Row],[تعداد کل روزهای بدهکار (روز)]]*Main[[#This Row],[مانده در خط کل (کیلوگرم)]]</f>
        <v>0</v>
      </c>
      <c r="X160" s="6">
        <f ca="1">-SUBTOTAL(9,INDEX(Main[مقدار تسویه شده (کیلوگرم)],1):Main[[#This Row],[مقدار تسویه شده (کیلوگرم)]])</f>
        <v>24285</v>
      </c>
      <c r="Y160" s="6">
        <f ca="1">IF(Main[[#This Row],[مانده در خط تسویه شده (کیلوگرم)]]&lt;&gt;0,Main[[#This Row],[تعداد کل روزهای بدهکار (روز)]],0)</f>
        <v>0</v>
      </c>
      <c r="Z160" s="6">
        <f ca="1">Main[[#This Row],[تعداد روزهای بدهکار تسویه شده (روز)]]*Main[[#This Row],[مانده در خط تسویه شده (کیلوگرم)]]</f>
        <v>0</v>
      </c>
      <c r="AA160" s="6">
        <f ca="1">SUBTOTAL(9,INDEX(Main[بدهی تسویه نشده (کیلوگرم)],1):Main[[#This Row],[بدهی تسویه نشده (کیلوگرم)]])</f>
        <v>0</v>
      </c>
      <c r="AB160" s="6">
        <f ca="1">IF(Main[[#This Row],[مانده در خط تسویه نشده (کیلوگرم)]]&lt;&gt;0,Main[[#This Row],[تعداد کل روزهای بدهکار (روز)]],0)</f>
        <v>0</v>
      </c>
      <c r="AC160" s="6">
        <f ca="1">Main[[#This Row],[تعداد روزهای بدهکار  تسویه نشده (روز)]]*Main[[#This Row],[مانده در خط تسویه نشده (کیلوگرم)]]</f>
        <v>0</v>
      </c>
      <c r="AD160" s="6">
        <f ca="1">SUBTOTAL(9,INDEX(Main[بدهی سررسید شده (کیلوگرم)],1):Main[[#This Row],[بدهی سررسید شده (کیلوگرم)]])</f>
        <v>0</v>
      </c>
      <c r="AE160" s="6">
        <f ca="1">IF(Main[[#This Row],[مانده در خط سررسید شده (کیلوگرم)]]&lt;&gt;0,Main[[#This Row],[تعداد کل روزهای بدهکار (روز)]],0)</f>
        <v>0</v>
      </c>
      <c r="AF160" s="6">
        <f ca="1">Main[[#This Row],[تعداد روزهای بدهکار سررسید شده (روز)]]*Main[[#This Row],[مانده در خط سررسید شده (کیلوگرم)]]</f>
        <v>0</v>
      </c>
    </row>
    <row r="161" spans="1:32" hidden="1" x14ac:dyDescent="0.35">
      <c r="A161" s="5">
        <f>ROW()-ROW(INDEX(Main[ردیف],1))+1</f>
        <v>159</v>
      </c>
      <c r="B161" s="31">
        <f>SUBTOTAL(2,INDEX(Main[ردیف],1):Main[[#This Row],[ردیف]])</f>
        <v>10</v>
      </c>
      <c r="C161" s="32" t="s">
        <v>516</v>
      </c>
      <c r="D161" s="32" t="str">
        <f>_xlfn.CONCAT("14",Main[[#This Row],[تاريخ]])</f>
        <v>1400/01/24</v>
      </c>
      <c r="E161" s="33">
        <v>44299</v>
      </c>
      <c r="F161" s="32">
        <v>30066</v>
      </c>
      <c r="G161" s="5" t="str">
        <f>INDEX(customer[عنوان],MATCH(Main[[#This Row],[کد ردیابی]],customer[کد],0))</f>
        <v xml:space="preserve">شیر آلات بهداشتی قهرمان </v>
      </c>
      <c r="H161">
        <v>-996</v>
      </c>
      <c r="I161" s="6">
        <f ca="1">-Main[[#This Row],[بدهی تسویه شده (کیلوگرم)]]+Main[[#This Row],[بستانکار (کیلوگرم)]]</f>
        <v>-996</v>
      </c>
      <c r="J161" s="6">
        <f>IF(Main[[#This Row],[مقدار (کیلوگرم)]]&gt;0,Main[[#This Row],[مقدار (کیلوگرم)]],0)</f>
        <v>0</v>
      </c>
      <c r="K161" s="6">
        <f>-IF(Main[[#This Row],[مقدار (کیلوگرم)]]&lt;0,Main[[#This Row],[مقدار (کیلوگرم)]],0)</f>
        <v>996</v>
      </c>
      <c r="L1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" s="7">
        <f>-IF(AND(Main[[#This Row],[مقدار (کیلوگرم)]]&lt;0,Main[[#This Row],[تاريخ میلادی]]&gt;44276),Main[[#This Row],[مقدار (کیلوگرم)]],0)</f>
        <v>996</v>
      </c>
      <c r="N161" s="6">
        <f ca="1">Main[[#This Row],[بدهکار (کیلوگرم)]]-Main[[#This Row],[بدهی تسویه نشده (کیلوگرم)]]</f>
        <v>996</v>
      </c>
      <c r="O161" s="6">
        <f ca="1">Main[[#This Row],[تفکیک]]</f>
        <v>0</v>
      </c>
      <c r="P161" s="6">
        <f ca="1">IF(Main[[#This Row],[تاخیر از سررسید]]&gt;0,Main[[#This Row],[بدهی تسویه نشده (کیلوگرم)]],0)</f>
        <v>0</v>
      </c>
      <c r="Q161" s="6">
        <f ca="1">IF(Main[[#This Row],[بدهی تسویه نشده (کیلوگرم)]]&gt;0,'گزارش فردی'!$B$7-Main[[#This Row],[تاريخ میلادی]],0)</f>
        <v>0</v>
      </c>
      <c r="R161" s="6">
        <f ca="1">IF(Main[[#This Row],[بدهی تسویه نشده (کیلوگرم)]]&gt;0,'گزارش فردی'!$B$7-Main[[#This Row],[تاريخ میلادی]]-'گزارش فردی'!$B$8,0)</f>
        <v>0</v>
      </c>
      <c r="S161" s="6">
        <f ca="1">Main[[#This Row],[روز از ارسال سفارش]]*Main[[#This Row],[بدهی تسویه نشده (کیلوگرم)]]</f>
        <v>0</v>
      </c>
      <c r="T161" s="6">
        <f ca="1">Main[[#This Row],[بدهی سررسید شده (کیلوگرم)]]*Main[[#This Row],[روز از ارسال سفارش]]</f>
        <v>0</v>
      </c>
      <c r="U161" s="6">
        <f>-SUBTOTAL(9,INDEX(Main[مقدار (کیلوگرم)],1):Main[[#This Row],[مقدار (کیلوگرم)]])</f>
        <v>24285</v>
      </c>
      <c r="V1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" s="6">
        <f>Main[[#This Row],[تعداد کل روزهای بدهکار (روز)]]*Main[[#This Row],[مانده در خط کل (کیلوگرم)]]</f>
        <v>0</v>
      </c>
      <c r="X161" s="6">
        <f ca="1">-SUBTOTAL(9,INDEX(Main[مقدار تسویه شده (کیلوگرم)],1):Main[[#This Row],[مقدار تسویه شده (کیلوگرم)]])</f>
        <v>24285</v>
      </c>
      <c r="Y161" s="6">
        <f ca="1">IF(Main[[#This Row],[مانده در خط تسویه شده (کیلوگرم)]]&lt;&gt;0,Main[[#This Row],[تعداد کل روزهای بدهکار (روز)]],0)</f>
        <v>0</v>
      </c>
      <c r="Z161" s="6">
        <f ca="1">Main[[#This Row],[تعداد روزهای بدهکار تسویه شده (روز)]]*Main[[#This Row],[مانده در خط تسویه شده (کیلوگرم)]]</f>
        <v>0</v>
      </c>
      <c r="AA161" s="6">
        <f ca="1">SUBTOTAL(9,INDEX(Main[بدهی تسویه نشده (کیلوگرم)],1):Main[[#This Row],[بدهی تسویه نشده (کیلوگرم)]])</f>
        <v>0</v>
      </c>
      <c r="AB161" s="6">
        <f ca="1">IF(Main[[#This Row],[مانده در خط تسویه نشده (کیلوگرم)]]&lt;&gt;0,Main[[#This Row],[تعداد کل روزهای بدهکار (روز)]],0)</f>
        <v>0</v>
      </c>
      <c r="AC161" s="6">
        <f ca="1">Main[[#This Row],[تعداد روزهای بدهکار  تسویه نشده (روز)]]*Main[[#This Row],[مانده در خط تسویه نشده (کیلوگرم)]]</f>
        <v>0</v>
      </c>
      <c r="AD161" s="6">
        <f ca="1">SUBTOTAL(9,INDEX(Main[بدهی سررسید شده (کیلوگرم)],1):Main[[#This Row],[بدهی سررسید شده (کیلوگرم)]])</f>
        <v>0</v>
      </c>
      <c r="AE161" s="6">
        <f ca="1">IF(Main[[#This Row],[مانده در خط سررسید شده (کیلوگرم)]]&lt;&gt;0,Main[[#This Row],[تعداد کل روزهای بدهکار (روز)]],0)</f>
        <v>0</v>
      </c>
      <c r="AF161" s="6">
        <f ca="1">Main[[#This Row],[تعداد روزهای بدهکار سررسید شده (روز)]]*Main[[#This Row],[مانده در خط سررسید شده (کیلوگرم)]]</f>
        <v>0</v>
      </c>
    </row>
    <row r="162" spans="1:32" x14ac:dyDescent="0.35">
      <c r="A162" s="5">
        <f>ROW()-ROW(INDEX(Main[ردیف],1))+1</f>
        <v>160</v>
      </c>
      <c r="B162" s="31">
        <f>SUBTOTAL(2,INDEX(Main[ردیف],1):Main[[#This Row],[ردیف]])</f>
        <v>11</v>
      </c>
      <c r="C162" s="32" t="s">
        <v>516</v>
      </c>
      <c r="D162" s="32" t="str">
        <f>_xlfn.CONCAT("14",Main[[#This Row],[تاريخ]])</f>
        <v>1400/01/24</v>
      </c>
      <c r="E162" s="33">
        <v>44299</v>
      </c>
      <c r="F162" s="32">
        <v>10003</v>
      </c>
      <c r="G162" s="5" t="str">
        <f>INDEX(customer[عنوان],MATCH(Main[[#This Row],[کد ردیابی]],customer[کد],0))</f>
        <v>اصغر نورعلی</v>
      </c>
      <c r="H162">
        <v>2685</v>
      </c>
      <c r="I162" s="6">
        <f ca="1">-Main[[#This Row],[بدهی تسویه شده (کیلوگرم)]]+Main[[#This Row],[بستانکار (کیلوگرم)]]</f>
        <v>2685</v>
      </c>
      <c r="J162" s="6">
        <f>IF(Main[[#This Row],[مقدار (کیلوگرم)]]&gt;0,Main[[#This Row],[مقدار (کیلوگرم)]],0)</f>
        <v>2685</v>
      </c>
      <c r="K162" s="6">
        <f>-IF(Main[[#This Row],[مقدار (کیلوگرم)]]&lt;0,Main[[#This Row],[مقدار (کیلوگرم)]],0)</f>
        <v>0</v>
      </c>
      <c r="L1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" s="7">
        <f>-IF(AND(Main[[#This Row],[مقدار (کیلوگرم)]]&lt;0,Main[[#This Row],[تاريخ میلادی]]&gt;44276),Main[[#This Row],[مقدار (کیلوگرم)]],0)</f>
        <v>0</v>
      </c>
      <c r="N162" s="6">
        <f ca="1">Main[[#This Row],[بدهکار (کیلوگرم)]]-Main[[#This Row],[بدهی تسویه نشده (کیلوگرم)]]</f>
        <v>0</v>
      </c>
      <c r="O162" s="6">
        <f ca="1">Main[[#This Row],[تفکیک]]</f>
        <v>0</v>
      </c>
      <c r="P162" s="6">
        <f ca="1">IF(Main[[#This Row],[تاخیر از سررسید]]&gt;0,Main[[#This Row],[بدهی تسویه نشده (کیلوگرم)]],0)</f>
        <v>0</v>
      </c>
      <c r="Q162" s="6">
        <f ca="1">IF(Main[[#This Row],[بدهی تسویه نشده (کیلوگرم)]]&gt;0,'گزارش فردی'!$B$7-Main[[#This Row],[تاريخ میلادی]],0)</f>
        <v>0</v>
      </c>
      <c r="R162" s="6">
        <f ca="1">IF(Main[[#This Row],[بدهی تسویه نشده (کیلوگرم)]]&gt;0,'گزارش فردی'!$B$7-Main[[#This Row],[تاريخ میلادی]]-'گزارش فردی'!$B$8,0)</f>
        <v>0</v>
      </c>
      <c r="S162" s="6">
        <f ca="1">Main[[#This Row],[روز از ارسال سفارش]]*Main[[#This Row],[بدهی تسویه نشده (کیلوگرم)]]</f>
        <v>0</v>
      </c>
      <c r="T162" s="6">
        <f ca="1">Main[[#This Row],[بدهی سررسید شده (کیلوگرم)]]*Main[[#This Row],[روز از ارسال سفارش]]</f>
        <v>0</v>
      </c>
      <c r="U162" s="6">
        <f>-SUBTOTAL(9,INDEX(Main[مقدار (کیلوگرم)],1):Main[[#This Row],[مقدار (کیلوگرم)]])</f>
        <v>21600</v>
      </c>
      <c r="V1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" s="6">
        <f>Main[[#This Row],[تعداد کل روزهای بدهکار (روز)]]*Main[[#This Row],[مانده در خط کل (کیلوگرم)]]</f>
        <v>0</v>
      </c>
      <c r="X162" s="6">
        <f ca="1">-SUBTOTAL(9,INDEX(Main[مقدار تسویه شده (کیلوگرم)],1):Main[[#This Row],[مقدار تسویه شده (کیلوگرم)]])</f>
        <v>21600</v>
      </c>
      <c r="Y162" s="6">
        <f ca="1">IF(Main[[#This Row],[مانده در خط تسویه شده (کیلوگرم)]]&lt;&gt;0,Main[[#This Row],[تعداد کل روزهای بدهکار (روز)]],0)</f>
        <v>0</v>
      </c>
      <c r="Z162" s="6">
        <f ca="1">Main[[#This Row],[تعداد روزهای بدهکار تسویه شده (روز)]]*Main[[#This Row],[مانده در خط تسویه شده (کیلوگرم)]]</f>
        <v>0</v>
      </c>
      <c r="AA162" s="6">
        <f ca="1">SUBTOTAL(9,INDEX(Main[بدهی تسویه نشده (کیلوگرم)],1):Main[[#This Row],[بدهی تسویه نشده (کیلوگرم)]])</f>
        <v>0</v>
      </c>
      <c r="AB162" s="6">
        <f ca="1">IF(Main[[#This Row],[مانده در خط تسویه نشده (کیلوگرم)]]&lt;&gt;0,Main[[#This Row],[تعداد کل روزهای بدهکار (روز)]],0)</f>
        <v>0</v>
      </c>
      <c r="AC162" s="6">
        <f ca="1">Main[[#This Row],[تعداد روزهای بدهکار  تسویه نشده (روز)]]*Main[[#This Row],[مانده در خط تسویه نشده (کیلوگرم)]]</f>
        <v>0</v>
      </c>
      <c r="AD162" s="6">
        <f ca="1">SUBTOTAL(9,INDEX(Main[بدهی سررسید شده (کیلوگرم)],1):Main[[#This Row],[بدهی سررسید شده (کیلوگرم)]])</f>
        <v>0</v>
      </c>
      <c r="AE162" s="6">
        <f ca="1">IF(Main[[#This Row],[مانده در خط سررسید شده (کیلوگرم)]]&lt;&gt;0,Main[[#This Row],[تعداد کل روزهای بدهکار (روز)]],0)</f>
        <v>0</v>
      </c>
      <c r="AF162" s="6">
        <f ca="1">Main[[#This Row],[تعداد روزهای بدهکار سررسید شده (روز)]]*Main[[#This Row],[مانده در خط سررسید شده (کیلوگرم)]]</f>
        <v>0</v>
      </c>
    </row>
    <row r="163" spans="1:32" hidden="1" x14ac:dyDescent="0.35">
      <c r="A163" s="5">
        <f>ROW()-ROW(INDEX(Main[ردیف],1))+1</f>
        <v>161</v>
      </c>
      <c r="B163" s="31">
        <f>SUBTOTAL(2,INDEX(Main[ردیف],1):Main[[#This Row],[ردیف]])</f>
        <v>11</v>
      </c>
      <c r="C163" s="32" t="s">
        <v>516</v>
      </c>
      <c r="D163" s="32" t="str">
        <f>_xlfn.CONCAT("14",Main[[#This Row],[تاريخ]])</f>
        <v>1400/01/24</v>
      </c>
      <c r="E163" s="33">
        <v>44299</v>
      </c>
      <c r="F163" s="32">
        <v>30066</v>
      </c>
      <c r="G163" s="5" t="str">
        <f>INDEX(customer[عنوان],MATCH(Main[[#This Row],[کد ردیابی]],customer[کد],0))</f>
        <v xml:space="preserve">شیر آلات بهداشتی قهرمان </v>
      </c>
      <c r="H163">
        <v>-3004</v>
      </c>
      <c r="I163" s="6">
        <f ca="1">-Main[[#This Row],[بدهی تسویه شده (کیلوگرم)]]+Main[[#This Row],[بستانکار (کیلوگرم)]]</f>
        <v>-3004</v>
      </c>
      <c r="J163" s="6">
        <f>IF(Main[[#This Row],[مقدار (کیلوگرم)]]&gt;0,Main[[#This Row],[مقدار (کیلوگرم)]],0)</f>
        <v>0</v>
      </c>
      <c r="K163" s="6">
        <f>-IF(Main[[#This Row],[مقدار (کیلوگرم)]]&lt;0,Main[[#This Row],[مقدار (کیلوگرم)]],0)</f>
        <v>3004</v>
      </c>
      <c r="L1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" s="7">
        <f>-IF(AND(Main[[#This Row],[مقدار (کیلوگرم)]]&lt;0,Main[[#This Row],[تاريخ میلادی]]&gt;44276),Main[[#This Row],[مقدار (کیلوگرم)]],0)</f>
        <v>3004</v>
      </c>
      <c r="N163" s="6">
        <f ca="1">Main[[#This Row],[بدهکار (کیلوگرم)]]-Main[[#This Row],[بدهی تسویه نشده (کیلوگرم)]]</f>
        <v>3004</v>
      </c>
      <c r="O163" s="6">
        <f ca="1">Main[[#This Row],[تفکیک]]</f>
        <v>0</v>
      </c>
      <c r="P163" s="6">
        <f ca="1">IF(Main[[#This Row],[تاخیر از سررسید]]&gt;0,Main[[#This Row],[بدهی تسویه نشده (کیلوگرم)]],0)</f>
        <v>0</v>
      </c>
      <c r="Q163" s="6">
        <f ca="1">IF(Main[[#This Row],[بدهی تسویه نشده (کیلوگرم)]]&gt;0,'گزارش فردی'!$B$7-Main[[#This Row],[تاريخ میلادی]],0)</f>
        <v>0</v>
      </c>
      <c r="R163" s="6">
        <f ca="1">IF(Main[[#This Row],[بدهی تسویه نشده (کیلوگرم)]]&gt;0,'گزارش فردی'!$B$7-Main[[#This Row],[تاريخ میلادی]]-'گزارش فردی'!$B$8,0)</f>
        <v>0</v>
      </c>
      <c r="S163" s="6">
        <f ca="1">Main[[#This Row],[روز از ارسال سفارش]]*Main[[#This Row],[بدهی تسویه نشده (کیلوگرم)]]</f>
        <v>0</v>
      </c>
      <c r="T163" s="6">
        <f ca="1">Main[[#This Row],[بدهی سررسید شده (کیلوگرم)]]*Main[[#This Row],[روز از ارسال سفارش]]</f>
        <v>0</v>
      </c>
      <c r="U163" s="6">
        <f>-SUBTOTAL(9,INDEX(Main[مقدار (کیلوگرم)],1):Main[[#This Row],[مقدار (کیلوگرم)]])</f>
        <v>21600</v>
      </c>
      <c r="V1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" s="6">
        <f>Main[[#This Row],[تعداد کل روزهای بدهکار (روز)]]*Main[[#This Row],[مانده در خط کل (کیلوگرم)]]</f>
        <v>0</v>
      </c>
      <c r="X163" s="6">
        <f ca="1">-SUBTOTAL(9,INDEX(Main[مقدار تسویه شده (کیلوگرم)],1):Main[[#This Row],[مقدار تسویه شده (کیلوگرم)]])</f>
        <v>21600</v>
      </c>
      <c r="Y163" s="6">
        <f ca="1">IF(Main[[#This Row],[مانده در خط تسویه شده (کیلوگرم)]]&lt;&gt;0,Main[[#This Row],[تعداد کل روزهای بدهکار (روز)]],0)</f>
        <v>0</v>
      </c>
      <c r="Z163" s="6">
        <f ca="1">Main[[#This Row],[تعداد روزهای بدهکار تسویه شده (روز)]]*Main[[#This Row],[مانده در خط تسویه شده (کیلوگرم)]]</f>
        <v>0</v>
      </c>
      <c r="AA163" s="6">
        <f ca="1">SUBTOTAL(9,INDEX(Main[بدهی تسویه نشده (کیلوگرم)],1):Main[[#This Row],[بدهی تسویه نشده (کیلوگرم)]])</f>
        <v>0</v>
      </c>
      <c r="AB163" s="6">
        <f ca="1">IF(Main[[#This Row],[مانده در خط تسویه نشده (کیلوگرم)]]&lt;&gt;0,Main[[#This Row],[تعداد کل روزهای بدهکار (روز)]],0)</f>
        <v>0</v>
      </c>
      <c r="AC163" s="6">
        <f ca="1">Main[[#This Row],[تعداد روزهای بدهکار  تسویه نشده (روز)]]*Main[[#This Row],[مانده در خط تسویه نشده (کیلوگرم)]]</f>
        <v>0</v>
      </c>
      <c r="AD163" s="6">
        <f ca="1">SUBTOTAL(9,INDEX(Main[بدهی سررسید شده (کیلوگرم)],1):Main[[#This Row],[بدهی سررسید شده (کیلوگرم)]])</f>
        <v>0</v>
      </c>
      <c r="AE163" s="6">
        <f ca="1">IF(Main[[#This Row],[مانده در خط سررسید شده (کیلوگرم)]]&lt;&gt;0,Main[[#This Row],[تعداد کل روزهای بدهکار (روز)]],0)</f>
        <v>0</v>
      </c>
      <c r="AF163" s="6">
        <f ca="1">Main[[#This Row],[تعداد روزهای بدهکار سررسید شده (روز)]]*Main[[#This Row],[مانده در خط سررسید شده (کیلوگرم)]]</f>
        <v>0</v>
      </c>
    </row>
    <row r="164" spans="1:32" hidden="1" x14ac:dyDescent="0.35">
      <c r="A164" s="5">
        <f>ROW()-ROW(INDEX(Main[ردیف],1))+1</f>
        <v>162</v>
      </c>
      <c r="B164" s="31">
        <f>SUBTOTAL(2,INDEX(Main[ردیف],1):Main[[#This Row],[ردیف]])</f>
        <v>11</v>
      </c>
      <c r="C164" s="32" t="s">
        <v>516</v>
      </c>
      <c r="D164" s="32" t="str">
        <f>_xlfn.CONCAT("14",Main[[#This Row],[تاريخ]])</f>
        <v>1400/01/24</v>
      </c>
      <c r="E164" s="33">
        <v>44299</v>
      </c>
      <c r="F164" s="32">
        <v>30133</v>
      </c>
      <c r="G164" s="5" t="str">
        <f>INDEX(customer[عنوان],MATCH(Main[[#This Row],[کد ردیابی]],customer[کد],0))</f>
        <v>شرکت آتا بای تبریز</v>
      </c>
      <c r="H164">
        <v>529</v>
      </c>
      <c r="I164" s="6">
        <f ca="1">-Main[[#This Row],[بدهی تسویه شده (کیلوگرم)]]+Main[[#This Row],[بستانکار (کیلوگرم)]]</f>
        <v>529</v>
      </c>
      <c r="J164" s="6">
        <f>IF(Main[[#This Row],[مقدار (کیلوگرم)]]&gt;0,Main[[#This Row],[مقدار (کیلوگرم)]],0)</f>
        <v>529</v>
      </c>
      <c r="K164" s="6">
        <f>-IF(Main[[#This Row],[مقدار (کیلوگرم)]]&lt;0,Main[[#This Row],[مقدار (کیلوگرم)]],0)</f>
        <v>0</v>
      </c>
      <c r="L1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" s="7">
        <f>-IF(AND(Main[[#This Row],[مقدار (کیلوگرم)]]&lt;0,Main[[#This Row],[تاريخ میلادی]]&gt;44276),Main[[#This Row],[مقدار (کیلوگرم)]],0)</f>
        <v>0</v>
      </c>
      <c r="N164" s="6">
        <f ca="1">Main[[#This Row],[بدهکار (کیلوگرم)]]-Main[[#This Row],[بدهی تسویه نشده (کیلوگرم)]]</f>
        <v>0</v>
      </c>
      <c r="O164" s="6">
        <f ca="1">Main[[#This Row],[تفکیک]]</f>
        <v>0</v>
      </c>
      <c r="P164" s="6">
        <f ca="1">IF(Main[[#This Row],[تاخیر از سررسید]]&gt;0,Main[[#This Row],[بدهی تسویه نشده (کیلوگرم)]],0)</f>
        <v>0</v>
      </c>
      <c r="Q164" s="6">
        <f ca="1">IF(Main[[#This Row],[بدهی تسویه نشده (کیلوگرم)]]&gt;0,'گزارش فردی'!$B$7-Main[[#This Row],[تاريخ میلادی]],0)</f>
        <v>0</v>
      </c>
      <c r="R164" s="6">
        <f ca="1">IF(Main[[#This Row],[بدهی تسویه نشده (کیلوگرم)]]&gt;0,'گزارش فردی'!$B$7-Main[[#This Row],[تاريخ میلادی]]-'گزارش فردی'!$B$8,0)</f>
        <v>0</v>
      </c>
      <c r="S164" s="6">
        <f ca="1">Main[[#This Row],[روز از ارسال سفارش]]*Main[[#This Row],[بدهی تسویه نشده (کیلوگرم)]]</f>
        <v>0</v>
      </c>
      <c r="T164" s="6">
        <f ca="1">Main[[#This Row],[بدهی سررسید شده (کیلوگرم)]]*Main[[#This Row],[روز از ارسال سفارش]]</f>
        <v>0</v>
      </c>
      <c r="U164" s="6">
        <f>-SUBTOTAL(9,INDEX(Main[مقدار (کیلوگرم)],1):Main[[#This Row],[مقدار (کیلوگرم)]])</f>
        <v>21600</v>
      </c>
      <c r="V1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4" s="6">
        <f>Main[[#This Row],[تعداد کل روزهای بدهکار (روز)]]*Main[[#This Row],[مانده در خط کل (کیلوگرم)]]</f>
        <v>0</v>
      </c>
      <c r="X164" s="6">
        <f ca="1">-SUBTOTAL(9,INDEX(Main[مقدار تسویه شده (کیلوگرم)],1):Main[[#This Row],[مقدار تسویه شده (کیلوگرم)]])</f>
        <v>21600</v>
      </c>
      <c r="Y164" s="6">
        <f ca="1">IF(Main[[#This Row],[مانده در خط تسویه شده (کیلوگرم)]]&lt;&gt;0,Main[[#This Row],[تعداد کل روزهای بدهکار (روز)]],0)</f>
        <v>0</v>
      </c>
      <c r="Z164" s="6">
        <f ca="1">Main[[#This Row],[تعداد روزهای بدهکار تسویه شده (روز)]]*Main[[#This Row],[مانده در خط تسویه شده (کیلوگرم)]]</f>
        <v>0</v>
      </c>
      <c r="AA164" s="6">
        <f ca="1">SUBTOTAL(9,INDEX(Main[بدهی تسویه نشده (کیلوگرم)],1):Main[[#This Row],[بدهی تسویه نشده (کیلوگرم)]])</f>
        <v>0</v>
      </c>
      <c r="AB164" s="6">
        <f ca="1">IF(Main[[#This Row],[مانده در خط تسویه نشده (کیلوگرم)]]&lt;&gt;0,Main[[#This Row],[تعداد کل روزهای بدهکار (روز)]],0)</f>
        <v>0</v>
      </c>
      <c r="AC164" s="6">
        <f ca="1">Main[[#This Row],[تعداد روزهای بدهکار  تسویه نشده (روز)]]*Main[[#This Row],[مانده در خط تسویه نشده (کیلوگرم)]]</f>
        <v>0</v>
      </c>
      <c r="AD164" s="6">
        <f ca="1">SUBTOTAL(9,INDEX(Main[بدهی سررسید شده (کیلوگرم)],1):Main[[#This Row],[بدهی سررسید شده (کیلوگرم)]])</f>
        <v>0</v>
      </c>
      <c r="AE164" s="6">
        <f ca="1">IF(Main[[#This Row],[مانده در خط سررسید شده (کیلوگرم)]]&lt;&gt;0,Main[[#This Row],[تعداد کل روزهای بدهکار (روز)]],0)</f>
        <v>0</v>
      </c>
      <c r="AF164" s="6">
        <f ca="1">Main[[#This Row],[تعداد روزهای بدهکار سررسید شده (روز)]]*Main[[#This Row],[مانده در خط سررسید شده (کیلوگرم)]]</f>
        <v>0</v>
      </c>
    </row>
    <row r="165" spans="1:32" x14ac:dyDescent="0.35">
      <c r="A165" s="5">
        <f>ROW()-ROW(INDEX(Main[ردیف],1))+1</f>
        <v>163</v>
      </c>
      <c r="B165" s="31">
        <f>SUBTOTAL(2,INDEX(Main[ردیف],1):Main[[#This Row],[ردیف]])</f>
        <v>12</v>
      </c>
      <c r="C165" s="32" t="s">
        <v>516</v>
      </c>
      <c r="D165" s="32" t="str">
        <f>_xlfn.CONCAT("14",Main[[#This Row],[تاريخ]])</f>
        <v>1400/01/24</v>
      </c>
      <c r="E165" s="33">
        <v>44299</v>
      </c>
      <c r="F165" s="32">
        <v>10003</v>
      </c>
      <c r="G165" s="5" t="str">
        <f>INDEX(customer[عنوان],MATCH(Main[[#This Row],[کد ردیابی]],customer[کد],0))</f>
        <v>اصغر نورعلی</v>
      </c>
      <c r="H165">
        <v>-4470</v>
      </c>
      <c r="I165" s="6">
        <f ca="1">-Main[[#This Row],[بدهی تسویه شده (کیلوگرم)]]+Main[[#This Row],[بستانکار (کیلوگرم)]]</f>
        <v>-4470</v>
      </c>
      <c r="J165" s="6">
        <f>IF(Main[[#This Row],[مقدار (کیلوگرم)]]&gt;0,Main[[#This Row],[مقدار (کیلوگرم)]],0)</f>
        <v>0</v>
      </c>
      <c r="K165" s="6">
        <f>-IF(Main[[#This Row],[مقدار (کیلوگرم)]]&lt;0,Main[[#This Row],[مقدار (کیلوگرم)]],0)</f>
        <v>4470</v>
      </c>
      <c r="L1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" s="7">
        <f>-IF(AND(Main[[#This Row],[مقدار (کیلوگرم)]]&lt;0,Main[[#This Row],[تاريخ میلادی]]&gt;44276),Main[[#This Row],[مقدار (کیلوگرم)]],0)</f>
        <v>4470</v>
      </c>
      <c r="N165" s="6">
        <f ca="1">Main[[#This Row],[بدهکار (کیلوگرم)]]-Main[[#This Row],[بدهی تسویه نشده (کیلوگرم)]]</f>
        <v>4470</v>
      </c>
      <c r="O165" s="6">
        <f ca="1">Main[[#This Row],[تفکیک]]</f>
        <v>0</v>
      </c>
      <c r="P165" s="6">
        <f ca="1">IF(Main[[#This Row],[تاخیر از سررسید]]&gt;0,Main[[#This Row],[بدهی تسویه نشده (کیلوگرم)]],0)</f>
        <v>0</v>
      </c>
      <c r="Q165" s="6">
        <f ca="1">IF(Main[[#This Row],[بدهی تسویه نشده (کیلوگرم)]]&gt;0,'گزارش فردی'!$B$7-Main[[#This Row],[تاريخ میلادی]],0)</f>
        <v>0</v>
      </c>
      <c r="R165" s="6">
        <f ca="1">IF(Main[[#This Row],[بدهی تسویه نشده (کیلوگرم)]]&gt;0,'گزارش فردی'!$B$7-Main[[#This Row],[تاريخ میلادی]]-'گزارش فردی'!$B$8,0)</f>
        <v>0</v>
      </c>
      <c r="S165" s="6">
        <f ca="1">Main[[#This Row],[روز از ارسال سفارش]]*Main[[#This Row],[بدهی تسویه نشده (کیلوگرم)]]</f>
        <v>0</v>
      </c>
      <c r="T165" s="6">
        <f ca="1">Main[[#This Row],[بدهی سررسید شده (کیلوگرم)]]*Main[[#This Row],[روز از ارسال سفارش]]</f>
        <v>0</v>
      </c>
      <c r="U165" s="6">
        <f>-SUBTOTAL(9,INDEX(Main[مقدار (کیلوگرم)],1):Main[[#This Row],[مقدار (کیلوگرم)]])</f>
        <v>26070</v>
      </c>
      <c r="V1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5" s="6">
        <f>Main[[#This Row],[تعداد کل روزهای بدهکار (روز)]]*Main[[#This Row],[مانده در خط کل (کیلوگرم)]]</f>
        <v>26070</v>
      </c>
      <c r="X165" s="6">
        <f ca="1">-SUBTOTAL(9,INDEX(Main[مقدار تسویه شده (کیلوگرم)],1):Main[[#This Row],[مقدار تسویه شده (کیلوگرم)]])</f>
        <v>26070</v>
      </c>
      <c r="Y165" s="6">
        <f ca="1">IF(Main[[#This Row],[مانده در خط تسویه شده (کیلوگرم)]]&lt;&gt;0,Main[[#This Row],[تعداد کل روزهای بدهکار (روز)]],0)</f>
        <v>1</v>
      </c>
      <c r="Z165" s="6">
        <f ca="1">Main[[#This Row],[تعداد روزهای بدهکار تسویه شده (روز)]]*Main[[#This Row],[مانده در خط تسویه شده (کیلوگرم)]]</f>
        <v>26070</v>
      </c>
      <c r="AA165" s="6">
        <f ca="1">SUBTOTAL(9,INDEX(Main[بدهی تسویه نشده (کیلوگرم)],1):Main[[#This Row],[بدهی تسویه نشده (کیلوگرم)]])</f>
        <v>0</v>
      </c>
      <c r="AB165" s="6">
        <f ca="1">IF(Main[[#This Row],[مانده در خط تسویه نشده (کیلوگرم)]]&lt;&gt;0,Main[[#This Row],[تعداد کل روزهای بدهکار (روز)]],0)</f>
        <v>0</v>
      </c>
      <c r="AC165" s="6">
        <f ca="1">Main[[#This Row],[تعداد روزهای بدهکار  تسویه نشده (روز)]]*Main[[#This Row],[مانده در خط تسویه نشده (کیلوگرم)]]</f>
        <v>0</v>
      </c>
      <c r="AD165" s="6">
        <f ca="1">SUBTOTAL(9,INDEX(Main[بدهی سررسید شده (کیلوگرم)],1):Main[[#This Row],[بدهی سررسید شده (کیلوگرم)]])</f>
        <v>0</v>
      </c>
      <c r="AE165" s="6">
        <f ca="1">IF(Main[[#This Row],[مانده در خط سررسید شده (کیلوگرم)]]&lt;&gt;0,Main[[#This Row],[تعداد کل روزهای بدهکار (روز)]],0)</f>
        <v>0</v>
      </c>
      <c r="AF165" s="6">
        <f ca="1">Main[[#This Row],[تعداد روزهای بدهکار سررسید شده (روز)]]*Main[[#This Row],[مانده در خط سررسید شده (کیلوگرم)]]</f>
        <v>0</v>
      </c>
    </row>
    <row r="166" spans="1:32" hidden="1" x14ac:dyDescent="0.35">
      <c r="A166" s="5">
        <f>ROW()-ROW(INDEX(Main[ردیف],1))+1</f>
        <v>164</v>
      </c>
      <c r="B166" s="31">
        <f>SUBTOTAL(2,INDEX(Main[ردیف],1):Main[[#This Row],[ردیف]])</f>
        <v>12</v>
      </c>
      <c r="C166" s="32" t="s">
        <v>516</v>
      </c>
      <c r="D166" s="32" t="str">
        <f>_xlfn.CONCAT("14",Main[[#This Row],[تاريخ]])</f>
        <v>1400/01/24</v>
      </c>
      <c r="E166" s="33">
        <v>44299</v>
      </c>
      <c r="F166" s="32">
        <v>10026</v>
      </c>
      <c r="G166" s="5" t="str">
        <f>INDEX(customer[عنوان],MATCH(Main[[#This Row],[کد ردیابی]],customer[کد],0))</f>
        <v xml:space="preserve">محسن فیاض بخش </v>
      </c>
      <c r="H166">
        <v>-2074</v>
      </c>
      <c r="I166" s="6">
        <f ca="1">-Main[[#This Row],[بدهی تسویه شده (کیلوگرم)]]+Main[[#This Row],[بستانکار (کیلوگرم)]]</f>
        <v>-2074</v>
      </c>
      <c r="J166" s="6">
        <f>IF(Main[[#This Row],[مقدار (کیلوگرم)]]&gt;0,Main[[#This Row],[مقدار (کیلوگرم)]],0)</f>
        <v>0</v>
      </c>
      <c r="K166" s="6">
        <f>-IF(Main[[#This Row],[مقدار (کیلوگرم)]]&lt;0,Main[[#This Row],[مقدار (کیلوگرم)]],0)</f>
        <v>2074</v>
      </c>
      <c r="L1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" s="7">
        <f>-IF(AND(Main[[#This Row],[مقدار (کیلوگرم)]]&lt;0,Main[[#This Row],[تاريخ میلادی]]&gt;44276),Main[[#This Row],[مقدار (کیلوگرم)]],0)</f>
        <v>2074</v>
      </c>
      <c r="N166" s="6">
        <f ca="1">Main[[#This Row],[بدهکار (کیلوگرم)]]-Main[[#This Row],[بدهی تسویه نشده (کیلوگرم)]]</f>
        <v>2074</v>
      </c>
      <c r="O166" s="6">
        <f ca="1">Main[[#This Row],[تفکیک]]</f>
        <v>0</v>
      </c>
      <c r="P166" s="6">
        <f ca="1">IF(Main[[#This Row],[تاخیر از سررسید]]&gt;0,Main[[#This Row],[بدهی تسویه نشده (کیلوگرم)]],0)</f>
        <v>0</v>
      </c>
      <c r="Q166" s="6">
        <f ca="1">IF(Main[[#This Row],[بدهی تسویه نشده (کیلوگرم)]]&gt;0,'گزارش فردی'!$B$7-Main[[#This Row],[تاريخ میلادی]],0)</f>
        <v>0</v>
      </c>
      <c r="R166" s="6">
        <f ca="1">IF(Main[[#This Row],[بدهی تسویه نشده (کیلوگرم)]]&gt;0,'گزارش فردی'!$B$7-Main[[#This Row],[تاريخ میلادی]]-'گزارش فردی'!$B$8,0)</f>
        <v>0</v>
      </c>
      <c r="S166" s="6">
        <f ca="1">Main[[#This Row],[روز از ارسال سفارش]]*Main[[#This Row],[بدهی تسویه نشده (کیلوگرم)]]</f>
        <v>0</v>
      </c>
      <c r="T166" s="6">
        <f ca="1">Main[[#This Row],[بدهی سررسید شده (کیلوگرم)]]*Main[[#This Row],[روز از ارسال سفارش]]</f>
        <v>0</v>
      </c>
      <c r="U166" s="6">
        <f>-SUBTOTAL(9,INDEX(Main[مقدار (کیلوگرم)],1):Main[[#This Row],[مقدار (کیلوگرم)]])</f>
        <v>26070</v>
      </c>
      <c r="V1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" s="6">
        <f>Main[[#This Row],[تعداد کل روزهای بدهکار (روز)]]*Main[[#This Row],[مانده در خط کل (کیلوگرم)]]</f>
        <v>26070</v>
      </c>
      <c r="X166" s="6">
        <f ca="1">-SUBTOTAL(9,INDEX(Main[مقدار تسویه شده (کیلوگرم)],1):Main[[#This Row],[مقدار تسویه شده (کیلوگرم)]])</f>
        <v>26070</v>
      </c>
      <c r="Y166" s="6">
        <f ca="1">IF(Main[[#This Row],[مانده در خط تسویه شده (کیلوگرم)]]&lt;&gt;0,Main[[#This Row],[تعداد کل روزهای بدهکار (روز)]],0)</f>
        <v>1</v>
      </c>
      <c r="Z166" s="6">
        <f ca="1">Main[[#This Row],[تعداد روزهای بدهکار تسویه شده (روز)]]*Main[[#This Row],[مانده در خط تسویه شده (کیلوگرم)]]</f>
        <v>26070</v>
      </c>
      <c r="AA166" s="6">
        <f ca="1">SUBTOTAL(9,INDEX(Main[بدهی تسویه نشده (کیلوگرم)],1):Main[[#This Row],[بدهی تسویه نشده (کیلوگرم)]])</f>
        <v>0</v>
      </c>
      <c r="AB166" s="6">
        <f ca="1">IF(Main[[#This Row],[مانده در خط تسویه نشده (کیلوگرم)]]&lt;&gt;0,Main[[#This Row],[تعداد کل روزهای بدهکار (روز)]],0)</f>
        <v>0</v>
      </c>
      <c r="AC166" s="6">
        <f ca="1">Main[[#This Row],[تعداد روزهای بدهکار  تسویه نشده (روز)]]*Main[[#This Row],[مانده در خط تسویه نشده (کیلوگرم)]]</f>
        <v>0</v>
      </c>
      <c r="AD166" s="6">
        <f ca="1">SUBTOTAL(9,INDEX(Main[بدهی سررسید شده (کیلوگرم)],1):Main[[#This Row],[بدهی سررسید شده (کیلوگرم)]])</f>
        <v>0</v>
      </c>
      <c r="AE166" s="6">
        <f ca="1">IF(Main[[#This Row],[مانده در خط سررسید شده (کیلوگرم)]]&lt;&gt;0,Main[[#This Row],[تعداد کل روزهای بدهکار (روز)]],0)</f>
        <v>0</v>
      </c>
      <c r="AF166" s="6">
        <f ca="1">Main[[#This Row],[تعداد روزهای بدهکار سررسید شده (روز)]]*Main[[#This Row],[مانده در خط سررسید شده (کیلوگرم)]]</f>
        <v>0</v>
      </c>
    </row>
    <row r="167" spans="1:32" hidden="1" x14ac:dyDescent="0.35">
      <c r="A167" s="5">
        <f>ROW()-ROW(INDEX(Main[ردیف],1))+1</f>
        <v>165</v>
      </c>
      <c r="B167" s="31">
        <f>SUBTOTAL(2,INDEX(Main[ردیف],1):Main[[#This Row],[ردیف]])</f>
        <v>12</v>
      </c>
      <c r="C167" s="32" t="s">
        <v>517</v>
      </c>
      <c r="D167" s="32" t="str">
        <f>_xlfn.CONCAT("14",Main[[#This Row],[تاريخ]])</f>
        <v>1400/01/25</v>
      </c>
      <c r="E167" s="33">
        <v>44300</v>
      </c>
      <c r="F167" s="32">
        <v>30003</v>
      </c>
      <c r="G167" s="5" t="str">
        <f>INDEX(customer[عنوان],MATCH(Main[[#This Row],[کد ردیابی]],customer[کد],0))</f>
        <v xml:space="preserve">شهاب گاز سوز </v>
      </c>
      <c r="H167">
        <v>999</v>
      </c>
      <c r="I167" s="6">
        <f ca="1">-Main[[#This Row],[بدهی تسویه شده (کیلوگرم)]]+Main[[#This Row],[بستانکار (کیلوگرم)]]</f>
        <v>999</v>
      </c>
      <c r="J167" s="6">
        <f>IF(Main[[#This Row],[مقدار (کیلوگرم)]]&gt;0,Main[[#This Row],[مقدار (کیلوگرم)]],0)</f>
        <v>999</v>
      </c>
      <c r="K167" s="6">
        <f>-IF(Main[[#This Row],[مقدار (کیلوگرم)]]&lt;0,Main[[#This Row],[مقدار (کیلوگرم)]],0)</f>
        <v>0</v>
      </c>
      <c r="L1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" s="7">
        <f>-IF(AND(Main[[#This Row],[مقدار (کیلوگرم)]]&lt;0,Main[[#This Row],[تاريخ میلادی]]&gt;44276),Main[[#This Row],[مقدار (کیلوگرم)]],0)</f>
        <v>0</v>
      </c>
      <c r="N167" s="6">
        <f ca="1">Main[[#This Row],[بدهکار (کیلوگرم)]]-Main[[#This Row],[بدهی تسویه نشده (کیلوگرم)]]</f>
        <v>0</v>
      </c>
      <c r="O167" s="6">
        <f ca="1">Main[[#This Row],[تفکیک]]</f>
        <v>0</v>
      </c>
      <c r="P167" s="6">
        <f ca="1">IF(Main[[#This Row],[تاخیر از سررسید]]&gt;0,Main[[#This Row],[بدهی تسویه نشده (کیلوگرم)]],0)</f>
        <v>0</v>
      </c>
      <c r="Q167" s="6">
        <f ca="1">IF(Main[[#This Row],[بدهی تسویه نشده (کیلوگرم)]]&gt;0,'گزارش فردی'!$B$7-Main[[#This Row],[تاريخ میلادی]],0)</f>
        <v>0</v>
      </c>
      <c r="R167" s="6">
        <f ca="1">IF(Main[[#This Row],[بدهی تسویه نشده (کیلوگرم)]]&gt;0,'گزارش فردی'!$B$7-Main[[#This Row],[تاريخ میلادی]]-'گزارش فردی'!$B$8,0)</f>
        <v>0</v>
      </c>
      <c r="S167" s="6">
        <f ca="1">Main[[#This Row],[روز از ارسال سفارش]]*Main[[#This Row],[بدهی تسویه نشده (کیلوگرم)]]</f>
        <v>0</v>
      </c>
      <c r="T167" s="6">
        <f ca="1">Main[[#This Row],[بدهی سررسید شده (کیلوگرم)]]*Main[[#This Row],[روز از ارسال سفارش]]</f>
        <v>0</v>
      </c>
      <c r="U167" s="6">
        <f>-SUBTOTAL(9,INDEX(Main[مقدار (کیلوگرم)],1):Main[[#This Row],[مقدار (کیلوگرم)]])</f>
        <v>26070</v>
      </c>
      <c r="V1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" s="6">
        <f>Main[[#This Row],[تعداد کل روزهای بدهکار (روز)]]*Main[[#This Row],[مانده در خط کل (کیلوگرم)]]</f>
        <v>0</v>
      </c>
      <c r="X167" s="6">
        <f ca="1">-SUBTOTAL(9,INDEX(Main[مقدار تسویه شده (کیلوگرم)],1):Main[[#This Row],[مقدار تسویه شده (کیلوگرم)]])</f>
        <v>26070</v>
      </c>
      <c r="Y167" s="6">
        <f ca="1">IF(Main[[#This Row],[مانده در خط تسویه شده (کیلوگرم)]]&lt;&gt;0,Main[[#This Row],[تعداد کل روزهای بدهکار (روز)]],0)</f>
        <v>0</v>
      </c>
      <c r="Z167" s="6">
        <f ca="1">Main[[#This Row],[تعداد روزهای بدهکار تسویه شده (روز)]]*Main[[#This Row],[مانده در خط تسویه شده (کیلوگرم)]]</f>
        <v>0</v>
      </c>
      <c r="AA167" s="6">
        <f ca="1">SUBTOTAL(9,INDEX(Main[بدهی تسویه نشده (کیلوگرم)],1):Main[[#This Row],[بدهی تسویه نشده (کیلوگرم)]])</f>
        <v>0</v>
      </c>
      <c r="AB167" s="6">
        <f ca="1">IF(Main[[#This Row],[مانده در خط تسویه نشده (کیلوگرم)]]&lt;&gt;0,Main[[#This Row],[تعداد کل روزهای بدهکار (روز)]],0)</f>
        <v>0</v>
      </c>
      <c r="AC167" s="6">
        <f ca="1">Main[[#This Row],[تعداد روزهای بدهکار  تسویه نشده (روز)]]*Main[[#This Row],[مانده در خط تسویه نشده (کیلوگرم)]]</f>
        <v>0</v>
      </c>
      <c r="AD167" s="6">
        <f ca="1">SUBTOTAL(9,INDEX(Main[بدهی سررسید شده (کیلوگرم)],1):Main[[#This Row],[بدهی سررسید شده (کیلوگرم)]])</f>
        <v>0</v>
      </c>
      <c r="AE167" s="6">
        <f ca="1">IF(Main[[#This Row],[مانده در خط سررسید شده (کیلوگرم)]]&lt;&gt;0,Main[[#This Row],[تعداد کل روزهای بدهکار (روز)]],0)</f>
        <v>0</v>
      </c>
      <c r="AF167" s="6">
        <f ca="1">Main[[#This Row],[تعداد روزهای بدهکار سررسید شده (روز)]]*Main[[#This Row],[مانده در خط سررسید شده (کیلوگرم)]]</f>
        <v>0</v>
      </c>
    </row>
    <row r="168" spans="1:32" hidden="1" x14ac:dyDescent="0.35">
      <c r="A168" s="5">
        <f>ROW()-ROW(INDEX(Main[ردیف],1))+1</f>
        <v>166</v>
      </c>
      <c r="B168" s="31">
        <f>SUBTOTAL(2,INDEX(Main[ردیف],1):Main[[#This Row],[ردیف]])</f>
        <v>12</v>
      </c>
      <c r="C168" s="32" t="s">
        <v>517</v>
      </c>
      <c r="D168" s="32" t="str">
        <f>_xlfn.CONCAT("14",Main[[#This Row],[تاريخ]])</f>
        <v>1400/01/25</v>
      </c>
      <c r="E168" s="33">
        <v>44300</v>
      </c>
      <c r="F168" s="32">
        <v>30012</v>
      </c>
      <c r="G168" s="5" t="str">
        <f>INDEX(customer[عنوان],MATCH(Main[[#This Row],[کد ردیابی]],customer[کد],0))</f>
        <v xml:space="preserve">پارس قفل </v>
      </c>
      <c r="H168">
        <v>-2760</v>
      </c>
      <c r="I168" s="6">
        <f ca="1">-Main[[#This Row],[بدهی تسویه شده (کیلوگرم)]]+Main[[#This Row],[بستانکار (کیلوگرم)]]</f>
        <v>-2760</v>
      </c>
      <c r="J168" s="6">
        <f>IF(Main[[#This Row],[مقدار (کیلوگرم)]]&gt;0,Main[[#This Row],[مقدار (کیلوگرم)]],0)</f>
        <v>0</v>
      </c>
      <c r="K168" s="6">
        <f>-IF(Main[[#This Row],[مقدار (کیلوگرم)]]&lt;0,Main[[#This Row],[مقدار (کیلوگرم)]],0)</f>
        <v>2760</v>
      </c>
      <c r="L1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" s="7">
        <f>-IF(AND(Main[[#This Row],[مقدار (کیلوگرم)]]&lt;0,Main[[#This Row],[تاريخ میلادی]]&gt;44276),Main[[#This Row],[مقدار (کیلوگرم)]],0)</f>
        <v>2760</v>
      </c>
      <c r="N168" s="6">
        <f ca="1">Main[[#This Row],[بدهکار (کیلوگرم)]]-Main[[#This Row],[بدهی تسویه نشده (کیلوگرم)]]</f>
        <v>2760</v>
      </c>
      <c r="O168" s="6">
        <f ca="1">Main[[#This Row],[تفکیک]]</f>
        <v>0</v>
      </c>
      <c r="P168" s="6">
        <f ca="1">IF(Main[[#This Row],[تاخیر از سررسید]]&gt;0,Main[[#This Row],[بدهی تسویه نشده (کیلوگرم)]],0)</f>
        <v>0</v>
      </c>
      <c r="Q168" s="6">
        <f ca="1">IF(Main[[#This Row],[بدهی تسویه نشده (کیلوگرم)]]&gt;0,'گزارش فردی'!$B$7-Main[[#This Row],[تاريخ میلادی]],0)</f>
        <v>0</v>
      </c>
      <c r="R168" s="6">
        <f ca="1">IF(Main[[#This Row],[بدهی تسویه نشده (کیلوگرم)]]&gt;0,'گزارش فردی'!$B$7-Main[[#This Row],[تاريخ میلادی]]-'گزارش فردی'!$B$8,0)</f>
        <v>0</v>
      </c>
      <c r="S168" s="6">
        <f ca="1">Main[[#This Row],[روز از ارسال سفارش]]*Main[[#This Row],[بدهی تسویه نشده (کیلوگرم)]]</f>
        <v>0</v>
      </c>
      <c r="T168" s="6">
        <f ca="1">Main[[#This Row],[بدهی سررسید شده (کیلوگرم)]]*Main[[#This Row],[روز از ارسال سفارش]]</f>
        <v>0</v>
      </c>
      <c r="U168" s="6">
        <f>-SUBTOTAL(9,INDEX(Main[مقدار (کیلوگرم)],1):Main[[#This Row],[مقدار (کیلوگرم)]])</f>
        <v>26070</v>
      </c>
      <c r="V1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8" s="6">
        <f>Main[[#This Row],[تعداد کل روزهای بدهکار (روز)]]*Main[[#This Row],[مانده در خط کل (کیلوگرم)]]</f>
        <v>0</v>
      </c>
      <c r="X168" s="6">
        <f ca="1">-SUBTOTAL(9,INDEX(Main[مقدار تسویه شده (کیلوگرم)],1):Main[[#This Row],[مقدار تسویه شده (کیلوگرم)]])</f>
        <v>26070</v>
      </c>
      <c r="Y168" s="6">
        <f ca="1">IF(Main[[#This Row],[مانده در خط تسویه شده (کیلوگرم)]]&lt;&gt;0,Main[[#This Row],[تعداد کل روزهای بدهکار (روز)]],0)</f>
        <v>0</v>
      </c>
      <c r="Z168" s="6">
        <f ca="1">Main[[#This Row],[تعداد روزهای بدهکار تسویه شده (روز)]]*Main[[#This Row],[مانده در خط تسویه شده (کیلوگرم)]]</f>
        <v>0</v>
      </c>
      <c r="AA168" s="6">
        <f ca="1">SUBTOTAL(9,INDEX(Main[بدهی تسویه نشده (کیلوگرم)],1):Main[[#This Row],[بدهی تسویه نشده (کیلوگرم)]])</f>
        <v>0</v>
      </c>
      <c r="AB168" s="6">
        <f ca="1">IF(Main[[#This Row],[مانده در خط تسویه نشده (کیلوگرم)]]&lt;&gt;0,Main[[#This Row],[تعداد کل روزهای بدهکار (روز)]],0)</f>
        <v>0</v>
      </c>
      <c r="AC168" s="6">
        <f ca="1">Main[[#This Row],[تعداد روزهای بدهکار  تسویه نشده (روز)]]*Main[[#This Row],[مانده در خط تسویه نشده (کیلوگرم)]]</f>
        <v>0</v>
      </c>
      <c r="AD168" s="6">
        <f ca="1">SUBTOTAL(9,INDEX(Main[بدهی سررسید شده (کیلوگرم)],1):Main[[#This Row],[بدهی سررسید شده (کیلوگرم)]])</f>
        <v>0</v>
      </c>
      <c r="AE168" s="6">
        <f ca="1">IF(Main[[#This Row],[مانده در خط سررسید شده (کیلوگرم)]]&lt;&gt;0,Main[[#This Row],[تعداد کل روزهای بدهکار (روز)]],0)</f>
        <v>0</v>
      </c>
      <c r="AF168" s="6">
        <f ca="1">Main[[#This Row],[تعداد روزهای بدهکار سررسید شده (روز)]]*Main[[#This Row],[مانده در خط سررسید شده (کیلوگرم)]]</f>
        <v>0</v>
      </c>
    </row>
    <row r="169" spans="1:32" hidden="1" x14ac:dyDescent="0.35">
      <c r="A169" s="5">
        <f>ROW()-ROW(INDEX(Main[ردیف],1))+1</f>
        <v>167</v>
      </c>
      <c r="B169" s="31">
        <f>SUBTOTAL(2,INDEX(Main[ردیف],1):Main[[#This Row],[ردیف]])</f>
        <v>12</v>
      </c>
      <c r="C169" s="32" t="s">
        <v>517</v>
      </c>
      <c r="D169" s="32" t="str">
        <f>_xlfn.CONCAT("14",Main[[#This Row],[تاريخ]])</f>
        <v>1400/01/25</v>
      </c>
      <c r="E169" s="33">
        <v>44300</v>
      </c>
      <c r="F169" s="32">
        <v>30066</v>
      </c>
      <c r="G169" s="5" t="str">
        <f>INDEX(customer[عنوان],MATCH(Main[[#This Row],[کد ردیابی]],customer[کد],0))</f>
        <v xml:space="preserve">شیر آلات بهداشتی قهرمان </v>
      </c>
      <c r="H169">
        <v>2122</v>
      </c>
      <c r="I169" s="6">
        <f ca="1">-Main[[#This Row],[بدهی تسویه شده (کیلوگرم)]]+Main[[#This Row],[بستانکار (کیلوگرم)]]</f>
        <v>2122</v>
      </c>
      <c r="J169" s="6">
        <f>IF(Main[[#This Row],[مقدار (کیلوگرم)]]&gt;0,Main[[#This Row],[مقدار (کیلوگرم)]],0)</f>
        <v>2122</v>
      </c>
      <c r="K169" s="6">
        <f>-IF(Main[[#This Row],[مقدار (کیلوگرم)]]&lt;0,Main[[#This Row],[مقدار (کیلوگرم)]],0)</f>
        <v>0</v>
      </c>
      <c r="L1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" s="7">
        <f>-IF(AND(Main[[#This Row],[مقدار (کیلوگرم)]]&lt;0,Main[[#This Row],[تاريخ میلادی]]&gt;44276),Main[[#This Row],[مقدار (کیلوگرم)]],0)</f>
        <v>0</v>
      </c>
      <c r="N169" s="6">
        <f ca="1">Main[[#This Row],[بدهکار (کیلوگرم)]]-Main[[#This Row],[بدهی تسویه نشده (کیلوگرم)]]</f>
        <v>0</v>
      </c>
      <c r="O169" s="6">
        <f ca="1">Main[[#This Row],[تفکیک]]</f>
        <v>0</v>
      </c>
      <c r="P169" s="6">
        <f ca="1">IF(Main[[#This Row],[تاخیر از سررسید]]&gt;0,Main[[#This Row],[بدهی تسویه نشده (کیلوگرم)]],0)</f>
        <v>0</v>
      </c>
      <c r="Q169" s="6">
        <f ca="1">IF(Main[[#This Row],[بدهی تسویه نشده (کیلوگرم)]]&gt;0,'گزارش فردی'!$B$7-Main[[#This Row],[تاريخ میلادی]],0)</f>
        <v>0</v>
      </c>
      <c r="R169" s="6">
        <f ca="1">IF(Main[[#This Row],[بدهی تسویه نشده (کیلوگرم)]]&gt;0,'گزارش فردی'!$B$7-Main[[#This Row],[تاريخ میلادی]]-'گزارش فردی'!$B$8,0)</f>
        <v>0</v>
      </c>
      <c r="S169" s="6">
        <f ca="1">Main[[#This Row],[روز از ارسال سفارش]]*Main[[#This Row],[بدهی تسویه نشده (کیلوگرم)]]</f>
        <v>0</v>
      </c>
      <c r="T169" s="6">
        <f ca="1">Main[[#This Row],[بدهی سررسید شده (کیلوگرم)]]*Main[[#This Row],[روز از ارسال سفارش]]</f>
        <v>0</v>
      </c>
      <c r="U169" s="6">
        <f>-SUBTOTAL(9,INDEX(Main[مقدار (کیلوگرم)],1):Main[[#This Row],[مقدار (کیلوگرم)]])</f>
        <v>26070</v>
      </c>
      <c r="V1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" s="6">
        <f>Main[[#This Row],[تعداد کل روزهای بدهکار (روز)]]*Main[[#This Row],[مانده در خط کل (کیلوگرم)]]</f>
        <v>0</v>
      </c>
      <c r="X169" s="6">
        <f ca="1">-SUBTOTAL(9,INDEX(Main[مقدار تسویه شده (کیلوگرم)],1):Main[[#This Row],[مقدار تسویه شده (کیلوگرم)]])</f>
        <v>26070</v>
      </c>
      <c r="Y169" s="6">
        <f ca="1">IF(Main[[#This Row],[مانده در خط تسویه شده (کیلوگرم)]]&lt;&gt;0,Main[[#This Row],[تعداد کل روزهای بدهکار (روز)]],0)</f>
        <v>0</v>
      </c>
      <c r="Z169" s="6">
        <f ca="1">Main[[#This Row],[تعداد روزهای بدهکار تسویه شده (روز)]]*Main[[#This Row],[مانده در خط تسویه شده (کیلوگرم)]]</f>
        <v>0</v>
      </c>
      <c r="AA169" s="6">
        <f ca="1">SUBTOTAL(9,INDEX(Main[بدهی تسویه نشده (کیلوگرم)],1):Main[[#This Row],[بدهی تسویه نشده (کیلوگرم)]])</f>
        <v>0</v>
      </c>
      <c r="AB169" s="6">
        <f ca="1">IF(Main[[#This Row],[مانده در خط تسویه نشده (کیلوگرم)]]&lt;&gt;0,Main[[#This Row],[تعداد کل روزهای بدهکار (روز)]],0)</f>
        <v>0</v>
      </c>
      <c r="AC169" s="6">
        <f ca="1">Main[[#This Row],[تعداد روزهای بدهکار  تسویه نشده (روز)]]*Main[[#This Row],[مانده در خط تسویه نشده (کیلوگرم)]]</f>
        <v>0</v>
      </c>
      <c r="AD169" s="6">
        <f ca="1">SUBTOTAL(9,INDEX(Main[بدهی سررسید شده (کیلوگرم)],1):Main[[#This Row],[بدهی سررسید شده (کیلوگرم)]])</f>
        <v>0</v>
      </c>
      <c r="AE169" s="6">
        <f ca="1">IF(Main[[#This Row],[مانده در خط سررسید شده (کیلوگرم)]]&lt;&gt;0,Main[[#This Row],[تعداد کل روزهای بدهکار (روز)]],0)</f>
        <v>0</v>
      </c>
      <c r="AF169" s="6">
        <f ca="1">Main[[#This Row],[تعداد روزهای بدهکار سررسید شده (روز)]]*Main[[#This Row],[مانده در خط سررسید شده (کیلوگرم)]]</f>
        <v>0</v>
      </c>
    </row>
    <row r="170" spans="1:32" hidden="1" x14ac:dyDescent="0.35">
      <c r="A170" s="5">
        <f>ROW()-ROW(INDEX(Main[ردیف],1))+1</f>
        <v>168</v>
      </c>
      <c r="B170" s="31">
        <f>SUBTOTAL(2,INDEX(Main[ردیف],1):Main[[#This Row],[ردیف]])</f>
        <v>12</v>
      </c>
      <c r="C170" s="32" t="s">
        <v>517</v>
      </c>
      <c r="D170" s="32" t="str">
        <f>_xlfn.CONCAT("14",Main[[#This Row],[تاريخ]])</f>
        <v>1400/01/25</v>
      </c>
      <c r="E170" s="33">
        <v>44300</v>
      </c>
      <c r="F170" s="32">
        <v>30022</v>
      </c>
      <c r="G170" s="5" t="str">
        <f>INDEX(customer[عنوان],MATCH(Main[[#This Row],[کد ردیابی]],customer[کد],0))</f>
        <v xml:space="preserve">کلار پویا </v>
      </c>
      <c r="H170">
        <v>-5135</v>
      </c>
      <c r="I170" s="6">
        <f ca="1">-Main[[#This Row],[بدهی تسویه شده (کیلوگرم)]]+Main[[#This Row],[بستانکار (کیلوگرم)]]</f>
        <v>-5135</v>
      </c>
      <c r="J170" s="6">
        <f>IF(Main[[#This Row],[مقدار (کیلوگرم)]]&gt;0,Main[[#This Row],[مقدار (کیلوگرم)]],0)</f>
        <v>0</v>
      </c>
      <c r="K170" s="6">
        <f>-IF(Main[[#This Row],[مقدار (کیلوگرم)]]&lt;0,Main[[#This Row],[مقدار (کیلوگرم)]],0)</f>
        <v>5135</v>
      </c>
      <c r="L1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" s="7">
        <f>-IF(AND(Main[[#This Row],[مقدار (کیلوگرم)]]&lt;0,Main[[#This Row],[تاريخ میلادی]]&gt;44276),Main[[#This Row],[مقدار (کیلوگرم)]],0)</f>
        <v>5135</v>
      </c>
      <c r="N170" s="6">
        <f ca="1">Main[[#This Row],[بدهکار (کیلوگرم)]]-Main[[#This Row],[بدهی تسویه نشده (کیلوگرم)]]</f>
        <v>5135</v>
      </c>
      <c r="O170" s="6">
        <f ca="1">Main[[#This Row],[تفکیک]]</f>
        <v>0</v>
      </c>
      <c r="P170" s="6">
        <f ca="1">IF(Main[[#This Row],[تاخیر از سررسید]]&gt;0,Main[[#This Row],[بدهی تسویه نشده (کیلوگرم)]],0)</f>
        <v>0</v>
      </c>
      <c r="Q170" s="6">
        <f ca="1">IF(Main[[#This Row],[بدهی تسویه نشده (کیلوگرم)]]&gt;0,'گزارش فردی'!$B$7-Main[[#This Row],[تاريخ میلادی]],0)</f>
        <v>0</v>
      </c>
      <c r="R170" s="6">
        <f ca="1">IF(Main[[#This Row],[بدهی تسویه نشده (کیلوگرم)]]&gt;0,'گزارش فردی'!$B$7-Main[[#This Row],[تاريخ میلادی]]-'گزارش فردی'!$B$8,0)</f>
        <v>0</v>
      </c>
      <c r="S170" s="6">
        <f ca="1">Main[[#This Row],[روز از ارسال سفارش]]*Main[[#This Row],[بدهی تسویه نشده (کیلوگرم)]]</f>
        <v>0</v>
      </c>
      <c r="T170" s="6">
        <f ca="1">Main[[#This Row],[بدهی سررسید شده (کیلوگرم)]]*Main[[#This Row],[روز از ارسال سفارش]]</f>
        <v>0</v>
      </c>
      <c r="U170" s="6">
        <f>-SUBTOTAL(9,INDEX(Main[مقدار (کیلوگرم)],1):Main[[#This Row],[مقدار (کیلوگرم)]])</f>
        <v>26070</v>
      </c>
      <c r="V1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" s="6">
        <f>Main[[#This Row],[تعداد کل روزهای بدهکار (روز)]]*Main[[#This Row],[مانده در خط کل (کیلوگرم)]]</f>
        <v>0</v>
      </c>
      <c r="X170" s="6">
        <f ca="1">-SUBTOTAL(9,INDEX(Main[مقدار تسویه شده (کیلوگرم)],1):Main[[#This Row],[مقدار تسویه شده (کیلوگرم)]])</f>
        <v>26070</v>
      </c>
      <c r="Y170" s="6">
        <f ca="1">IF(Main[[#This Row],[مانده در خط تسویه شده (کیلوگرم)]]&lt;&gt;0,Main[[#This Row],[تعداد کل روزهای بدهکار (روز)]],0)</f>
        <v>0</v>
      </c>
      <c r="Z170" s="6">
        <f ca="1">Main[[#This Row],[تعداد روزهای بدهکار تسویه شده (روز)]]*Main[[#This Row],[مانده در خط تسویه شده (کیلوگرم)]]</f>
        <v>0</v>
      </c>
      <c r="AA170" s="6">
        <f ca="1">SUBTOTAL(9,INDEX(Main[بدهی تسویه نشده (کیلوگرم)],1):Main[[#This Row],[بدهی تسویه نشده (کیلوگرم)]])</f>
        <v>0</v>
      </c>
      <c r="AB170" s="6">
        <f ca="1">IF(Main[[#This Row],[مانده در خط تسویه نشده (کیلوگرم)]]&lt;&gt;0,Main[[#This Row],[تعداد کل روزهای بدهکار (روز)]],0)</f>
        <v>0</v>
      </c>
      <c r="AC170" s="6">
        <f ca="1">Main[[#This Row],[تعداد روزهای بدهکار  تسویه نشده (روز)]]*Main[[#This Row],[مانده در خط تسویه نشده (کیلوگرم)]]</f>
        <v>0</v>
      </c>
      <c r="AD170" s="6">
        <f ca="1">SUBTOTAL(9,INDEX(Main[بدهی سررسید شده (کیلوگرم)],1):Main[[#This Row],[بدهی سررسید شده (کیلوگرم)]])</f>
        <v>0</v>
      </c>
      <c r="AE170" s="6">
        <f ca="1">IF(Main[[#This Row],[مانده در خط سررسید شده (کیلوگرم)]]&lt;&gt;0,Main[[#This Row],[تعداد کل روزهای بدهکار (روز)]],0)</f>
        <v>0</v>
      </c>
      <c r="AF170" s="6">
        <f ca="1">Main[[#This Row],[تعداد روزهای بدهکار سررسید شده (روز)]]*Main[[#This Row],[مانده در خط سررسید شده (کیلوگرم)]]</f>
        <v>0</v>
      </c>
    </row>
    <row r="171" spans="1:32" hidden="1" x14ac:dyDescent="0.35">
      <c r="A171" s="5">
        <f>ROW()-ROW(INDEX(Main[ردیف],1))+1</f>
        <v>169</v>
      </c>
      <c r="B171" s="31">
        <f>SUBTOTAL(2,INDEX(Main[ردیف],1):Main[[#This Row],[ردیف]])</f>
        <v>12</v>
      </c>
      <c r="C171" s="32" t="s">
        <v>517</v>
      </c>
      <c r="D171" s="32" t="str">
        <f>_xlfn.CONCAT("14",Main[[#This Row],[تاريخ]])</f>
        <v>1400/01/25</v>
      </c>
      <c r="E171" s="33">
        <v>44300</v>
      </c>
      <c r="F171" s="32">
        <v>30017</v>
      </c>
      <c r="G171" s="5" t="str">
        <f>INDEX(customer[عنوان],MATCH(Main[[#This Row],[کد ردیابی]],customer[کد],0))</f>
        <v xml:space="preserve">البرز یدک </v>
      </c>
      <c r="H171">
        <v>2033</v>
      </c>
      <c r="I171" s="6">
        <f ca="1">-Main[[#This Row],[بدهی تسویه شده (کیلوگرم)]]+Main[[#This Row],[بستانکار (کیلوگرم)]]</f>
        <v>2033</v>
      </c>
      <c r="J171" s="6">
        <f>IF(Main[[#This Row],[مقدار (کیلوگرم)]]&gt;0,Main[[#This Row],[مقدار (کیلوگرم)]],0)</f>
        <v>2033</v>
      </c>
      <c r="K171" s="6">
        <f>-IF(Main[[#This Row],[مقدار (کیلوگرم)]]&lt;0,Main[[#This Row],[مقدار (کیلوگرم)]],0)</f>
        <v>0</v>
      </c>
      <c r="L1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" s="7">
        <f>-IF(AND(Main[[#This Row],[مقدار (کیلوگرم)]]&lt;0,Main[[#This Row],[تاريخ میلادی]]&gt;44276),Main[[#This Row],[مقدار (کیلوگرم)]],0)</f>
        <v>0</v>
      </c>
      <c r="N171" s="6">
        <f ca="1">Main[[#This Row],[بدهکار (کیلوگرم)]]-Main[[#This Row],[بدهی تسویه نشده (کیلوگرم)]]</f>
        <v>0</v>
      </c>
      <c r="O171" s="6">
        <f ca="1">Main[[#This Row],[تفکیک]]</f>
        <v>0</v>
      </c>
      <c r="P171" s="6">
        <f ca="1">IF(Main[[#This Row],[تاخیر از سررسید]]&gt;0,Main[[#This Row],[بدهی تسویه نشده (کیلوگرم)]],0)</f>
        <v>0</v>
      </c>
      <c r="Q171" s="6">
        <f ca="1">IF(Main[[#This Row],[بدهی تسویه نشده (کیلوگرم)]]&gt;0,'گزارش فردی'!$B$7-Main[[#This Row],[تاريخ میلادی]],0)</f>
        <v>0</v>
      </c>
      <c r="R171" s="6">
        <f ca="1">IF(Main[[#This Row],[بدهی تسویه نشده (کیلوگرم)]]&gt;0,'گزارش فردی'!$B$7-Main[[#This Row],[تاريخ میلادی]]-'گزارش فردی'!$B$8,0)</f>
        <v>0</v>
      </c>
      <c r="S171" s="6">
        <f ca="1">Main[[#This Row],[روز از ارسال سفارش]]*Main[[#This Row],[بدهی تسویه نشده (کیلوگرم)]]</f>
        <v>0</v>
      </c>
      <c r="T171" s="6">
        <f ca="1">Main[[#This Row],[بدهی سررسید شده (کیلوگرم)]]*Main[[#This Row],[روز از ارسال سفارش]]</f>
        <v>0</v>
      </c>
      <c r="U171" s="6">
        <f>-SUBTOTAL(9,INDEX(Main[مقدار (کیلوگرم)],1):Main[[#This Row],[مقدار (کیلوگرم)]])</f>
        <v>26070</v>
      </c>
      <c r="V1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" s="6">
        <f>Main[[#This Row],[تعداد کل روزهای بدهکار (روز)]]*Main[[#This Row],[مانده در خط کل (کیلوگرم)]]</f>
        <v>0</v>
      </c>
      <c r="X171" s="6">
        <f ca="1">-SUBTOTAL(9,INDEX(Main[مقدار تسویه شده (کیلوگرم)],1):Main[[#This Row],[مقدار تسویه شده (کیلوگرم)]])</f>
        <v>26070</v>
      </c>
      <c r="Y171" s="6">
        <f ca="1">IF(Main[[#This Row],[مانده در خط تسویه شده (کیلوگرم)]]&lt;&gt;0,Main[[#This Row],[تعداد کل روزهای بدهکار (روز)]],0)</f>
        <v>0</v>
      </c>
      <c r="Z171" s="6">
        <f ca="1">Main[[#This Row],[تعداد روزهای بدهکار تسویه شده (روز)]]*Main[[#This Row],[مانده در خط تسویه شده (کیلوگرم)]]</f>
        <v>0</v>
      </c>
      <c r="AA171" s="6">
        <f ca="1">SUBTOTAL(9,INDEX(Main[بدهی تسویه نشده (کیلوگرم)],1):Main[[#This Row],[بدهی تسویه نشده (کیلوگرم)]])</f>
        <v>0</v>
      </c>
      <c r="AB171" s="6">
        <f ca="1">IF(Main[[#This Row],[مانده در خط تسویه نشده (کیلوگرم)]]&lt;&gt;0,Main[[#This Row],[تعداد کل روزهای بدهکار (روز)]],0)</f>
        <v>0</v>
      </c>
      <c r="AC171" s="6">
        <f ca="1">Main[[#This Row],[تعداد روزهای بدهکار  تسویه نشده (روز)]]*Main[[#This Row],[مانده در خط تسویه نشده (کیلوگرم)]]</f>
        <v>0</v>
      </c>
      <c r="AD171" s="6">
        <f ca="1">SUBTOTAL(9,INDEX(Main[بدهی سررسید شده (کیلوگرم)],1):Main[[#This Row],[بدهی سررسید شده (کیلوگرم)]])</f>
        <v>0</v>
      </c>
      <c r="AE171" s="6">
        <f ca="1">IF(Main[[#This Row],[مانده در خط سررسید شده (کیلوگرم)]]&lt;&gt;0,Main[[#This Row],[تعداد کل روزهای بدهکار (روز)]],0)</f>
        <v>0</v>
      </c>
      <c r="AF171" s="6">
        <f ca="1">Main[[#This Row],[تعداد روزهای بدهکار سررسید شده (روز)]]*Main[[#This Row],[مانده در خط سررسید شده (کیلوگرم)]]</f>
        <v>0</v>
      </c>
    </row>
    <row r="172" spans="1:32" hidden="1" x14ac:dyDescent="0.35">
      <c r="A172" s="5">
        <f>ROW()-ROW(INDEX(Main[ردیف],1))+1</f>
        <v>170</v>
      </c>
      <c r="B172" s="31">
        <f>SUBTOTAL(2,INDEX(Main[ردیف],1):Main[[#This Row],[ردیف]])</f>
        <v>12</v>
      </c>
      <c r="C172" s="32" t="s">
        <v>517</v>
      </c>
      <c r="D172" s="32" t="str">
        <f>_xlfn.CONCAT("14",Main[[#This Row],[تاريخ]])</f>
        <v>1400/01/25</v>
      </c>
      <c r="E172" s="33">
        <v>44300</v>
      </c>
      <c r="F172" s="32">
        <v>30006</v>
      </c>
      <c r="G172" s="5" t="str">
        <f>INDEX(customer[عنوان],MATCH(Main[[#This Row],[کد ردیابی]],customer[کد],0))</f>
        <v xml:space="preserve">توان جم </v>
      </c>
      <c r="H172">
        <v>-990</v>
      </c>
      <c r="I172" s="6">
        <f ca="1">-Main[[#This Row],[بدهی تسویه شده (کیلوگرم)]]+Main[[#This Row],[بستانکار (کیلوگرم)]]</f>
        <v>-990</v>
      </c>
      <c r="J172" s="6">
        <f>IF(Main[[#This Row],[مقدار (کیلوگرم)]]&gt;0,Main[[#This Row],[مقدار (کیلوگرم)]],0)</f>
        <v>0</v>
      </c>
      <c r="K172" s="6">
        <f>-IF(Main[[#This Row],[مقدار (کیلوگرم)]]&lt;0,Main[[#This Row],[مقدار (کیلوگرم)]],0)</f>
        <v>990</v>
      </c>
      <c r="L1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" s="7">
        <f>-IF(AND(Main[[#This Row],[مقدار (کیلوگرم)]]&lt;0,Main[[#This Row],[تاريخ میلادی]]&gt;44276),Main[[#This Row],[مقدار (کیلوگرم)]],0)</f>
        <v>990</v>
      </c>
      <c r="N172" s="6">
        <f ca="1">Main[[#This Row],[بدهکار (کیلوگرم)]]-Main[[#This Row],[بدهی تسویه نشده (کیلوگرم)]]</f>
        <v>990</v>
      </c>
      <c r="O172" s="6">
        <f ca="1">Main[[#This Row],[تفکیک]]</f>
        <v>0</v>
      </c>
      <c r="P172" s="6">
        <f ca="1">IF(Main[[#This Row],[تاخیر از سررسید]]&gt;0,Main[[#This Row],[بدهی تسویه نشده (کیلوگرم)]],0)</f>
        <v>0</v>
      </c>
      <c r="Q172" s="6">
        <f ca="1">IF(Main[[#This Row],[بدهی تسویه نشده (کیلوگرم)]]&gt;0,'گزارش فردی'!$B$7-Main[[#This Row],[تاريخ میلادی]],0)</f>
        <v>0</v>
      </c>
      <c r="R172" s="6">
        <f ca="1">IF(Main[[#This Row],[بدهی تسویه نشده (کیلوگرم)]]&gt;0,'گزارش فردی'!$B$7-Main[[#This Row],[تاريخ میلادی]]-'گزارش فردی'!$B$8,0)</f>
        <v>0</v>
      </c>
      <c r="S172" s="6">
        <f ca="1">Main[[#This Row],[روز از ارسال سفارش]]*Main[[#This Row],[بدهی تسویه نشده (کیلوگرم)]]</f>
        <v>0</v>
      </c>
      <c r="T172" s="6">
        <f ca="1">Main[[#This Row],[بدهی سررسید شده (کیلوگرم)]]*Main[[#This Row],[روز از ارسال سفارش]]</f>
        <v>0</v>
      </c>
      <c r="U172" s="6">
        <f>-SUBTOTAL(9,INDEX(Main[مقدار (کیلوگرم)],1):Main[[#This Row],[مقدار (کیلوگرم)]])</f>
        <v>26070</v>
      </c>
      <c r="V1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2" s="6">
        <f>Main[[#This Row],[تعداد کل روزهای بدهکار (روز)]]*Main[[#This Row],[مانده در خط کل (کیلوگرم)]]</f>
        <v>0</v>
      </c>
      <c r="X172" s="6">
        <f ca="1">-SUBTOTAL(9,INDEX(Main[مقدار تسویه شده (کیلوگرم)],1):Main[[#This Row],[مقدار تسویه شده (کیلوگرم)]])</f>
        <v>26070</v>
      </c>
      <c r="Y172" s="6">
        <f ca="1">IF(Main[[#This Row],[مانده در خط تسویه شده (کیلوگرم)]]&lt;&gt;0,Main[[#This Row],[تعداد کل روزهای بدهکار (روز)]],0)</f>
        <v>0</v>
      </c>
      <c r="Z172" s="6">
        <f ca="1">Main[[#This Row],[تعداد روزهای بدهکار تسویه شده (روز)]]*Main[[#This Row],[مانده در خط تسویه شده (کیلوگرم)]]</f>
        <v>0</v>
      </c>
      <c r="AA172" s="6">
        <f ca="1">SUBTOTAL(9,INDEX(Main[بدهی تسویه نشده (کیلوگرم)],1):Main[[#This Row],[بدهی تسویه نشده (کیلوگرم)]])</f>
        <v>0</v>
      </c>
      <c r="AB172" s="6">
        <f ca="1">IF(Main[[#This Row],[مانده در خط تسویه نشده (کیلوگرم)]]&lt;&gt;0,Main[[#This Row],[تعداد کل روزهای بدهکار (روز)]],0)</f>
        <v>0</v>
      </c>
      <c r="AC172" s="6">
        <f ca="1">Main[[#This Row],[تعداد روزهای بدهکار  تسویه نشده (روز)]]*Main[[#This Row],[مانده در خط تسویه نشده (کیلوگرم)]]</f>
        <v>0</v>
      </c>
      <c r="AD172" s="6">
        <f ca="1">SUBTOTAL(9,INDEX(Main[بدهی سررسید شده (کیلوگرم)],1):Main[[#This Row],[بدهی سررسید شده (کیلوگرم)]])</f>
        <v>0</v>
      </c>
      <c r="AE172" s="6">
        <f ca="1">IF(Main[[#This Row],[مانده در خط سررسید شده (کیلوگرم)]]&lt;&gt;0,Main[[#This Row],[تعداد کل روزهای بدهکار (روز)]],0)</f>
        <v>0</v>
      </c>
      <c r="AF172" s="6">
        <f ca="1">Main[[#This Row],[تعداد روزهای بدهکار سررسید شده (روز)]]*Main[[#This Row],[مانده در خط سررسید شده (کیلوگرم)]]</f>
        <v>0</v>
      </c>
    </row>
    <row r="173" spans="1:32" hidden="1" x14ac:dyDescent="0.35">
      <c r="A173" s="5">
        <f>ROW()-ROW(INDEX(Main[ردیف],1))+1</f>
        <v>171</v>
      </c>
      <c r="B173" s="31">
        <f>SUBTOTAL(2,INDEX(Main[ردیف],1):Main[[#This Row],[ردیف]])</f>
        <v>12</v>
      </c>
      <c r="C173" s="32" t="s">
        <v>517</v>
      </c>
      <c r="D173" s="32" t="str">
        <f>_xlfn.CONCAT("14",Main[[#This Row],[تاريخ]])</f>
        <v>1400/01/25</v>
      </c>
      <c r="E173" s="33">
        <v>44300</v>
      </c>
      <c r="F173" s="32">
        <v>10084</v>
      </c>
      <c r="G173" s="5" t="str">
        <f>INDEX(customer[عنوان],MATCH(Main[[#This Row],[کد ردیابی]],customer[کد],0))</f>
        <v xml:space="preserve">سیدحمید کاظمی </v>
      </c>
      <c r="H173">
        <v>1061</v>
      </c>
      <c r="I173" s="6">
        <f ca="1">-Main[[#This Row],[بدهی تسویه شده (کیلوگرم)]]+Main[[#This Row],[بستانکار (کیلوگرم)]]</f>
        <v>1061</v>
      </c>
      <c r="J173" s="6">
        <f>IF(Main[[#This Row],[مقدار (کیلوگرم)]]&gt;0,Main[[#This Row],[مقدار (کیلوگرم)]],0)</f>
        <v>1061</v>
      </c>
      <c r="K173" s="6">
        <f>-IF(Main[[#This Row],[مقدار (کیلوگرم)]]&lt;0,Main[[#This Row],[مقدار (کیلوگرم)]],0)</f>
        <v>0</v>
      </c>
      <c r="L1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" s="7">
        <f>-IF(AND(Main[[#This Row],[مقدار (کیلوگرم)]]&lt;0,Main[[#This Row],[تاريخ میلادی]]&gt;44276),Main[[#This Row],[مقدار (کیلوگرم)]],0)</f>
        <v>0</v>
      </c>
      <c r="N173" s="6">
        <f ca="1">Main[[#This Row],[بدهکار (کیلوگرم)]]-Main[[#This Row],[بدهی تسویه نشده (کیلوگرم)]]</f>
        <v>0</v>
      </c>
      <c r="O173" s="6">
        <f ca="1">Main[[#This Row],[تفکیک]]</f>
        <v>0</v>
      </c>
      <c r="P173" s="6">
        <f ca="1">IF(Main[[#This Row],[تاخیر از سررسید]]&gt;0,Main[[#This Row],[بدهی تسویه نشده (کیلوگرم)]],0)</f>
        <v>0</v>
      </c>
      <c r="Q173" s="6">
        <f ca="1">IF(Main[[#This Row],[بدهی تسویه نشده (کیلوگرم)]]&gt;0,'گزارش فردی'!$B$7-Main[[#This Row],[تاريخ میلادی]],0)</f>
        <v>0</v>
      </c>
      <c r="R173" s="6">
        <f ca="1">IF(Main[[#This Row],[بدهی تسویه نشده (کیلوگرم)]]&gt;0,'گزارش فردی'!$B$7-Main[[#This Row],[تاريخ میلادی]]-'گزارش فردی'!$B$8,0)</f>
        <v>0</v>
      </c>
      <c r="S173" s="6">
        <f ca="1">Main[[#This Row],[روز از ارسال سفارش]]*Main[[#This Row],[بدهی تسویه نشده (کیلوگرم)]]</f>
        <v>0</v>
      </c>
      <c r="T173" s="6">
        <f ca="1">Main[[#This Row],[بدهی سررسید شده (کیلوگرم)]]*Main[[#This Row],[روز از ارسال سفارش]]</f>
        <v>0</v>
      </c>
      <c r="U173" s="6">
        <f>-SUBTOTAL(9,INDEX(Main[مقدار (کیلوگرم)],1):Main[[#This Row],[مقدار (کیلوگرم)]])</f>
        <v>26070</v>
      </c>
      <c r="V1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" s="6">
        <f>Main[[#This Row],[تعداد کل روزهای بدهکار (روز)]]*Main[[#This Row],[مانده در خط کل (کیلوگرم)]]</f>
        <v>0</v>
      </c>
      <c r="X173" s="6">
        <f ca="1">-SUBTOTAL(9,INDEX(Main[مقدار تسویه شده (کیلوگرم)],1):Main[[#This Row],[مقدار تسویه شده (کیلوگرم)]])</f>
        <v>26070</v>
      </c>
      <c r="Y173" s="6">
        <f ca="1">IF(Main[[#This Row],[مانده در خط تسویه شده (کیلوگرم)]]&lt;&gt;0,Main[[#This Row],[تعداد کل روزهای بدهکار (روز)]],0)</f>
        <v>0</v>
      </c>
      <c r="Z173" s="6">
        <f ca="1">Main[[#This Row],[تعداد روزهای بدهکار تسویه شده (روز)]]*Main[[#This Row],[مانده در خط تسویه شده (کیلوگرم)]]</f>
        <v>0</v>
      </c>
      <c r="AA173" s="6">
        <f ca="1">SUBTOTAL(9,INDEX(Main[بدهی تسویه نشده (کیلوگرم)],1):Main[[#This Row],[بدهی تسویه نشده (کیلوگرم)]])</f>
        <v>0</v>
      </c>
      <c r="AB173" s="6">
        <f ca="1">IF(Main[[#This Row],[مانده در خط تسویه نشده (کیلوگرم)]]&lt;&gt;0,Main[[#This Row],[تعداد کل روزهای بدهکار (روز)]],0)</f>
        <v>0</v>
      </c>
      <c r="AC173" s="6">
        <f ca="1">Main[[#This Row],[تعداد روزهای بدهکار  تسویه نشده (روز)]]*Main[[#This Row],[مانده در خط تسویه نشده (کیلوگرم)]]</f>
        <v>0</v>
      </c>
      <c r="AD173" s="6">
        <f ca="1">SUBTOTAL(9,INDEX(Main[بدهی سررسید شده (کیلوگرم)],1):Main[[#This Row],[بدهی سررسید شده (کیلوگرم)]])</f>
        <v>0</v>
      </c>
      <c r="AE173" s="6">
        <f ca="1">IF(Main[[#This Row],[مانده در خط سررسید شده (کیلوگرم)]]&lt;&gt;0,Main[[#This Row],[تعداد کل روزهای بدهکار (روز)]],0)</f>
        <v>0</v>
      </c>
      <c r="AF173" s="6">
        <f ca="1">Main[[#This Row],[تعداد روزهای بدهکار سررسید شده (روز)]]*Main[[#This Row],[مانده در خط سررسید شده (کیلوگرم)]]</f>
        <v>0</v>
      </c>
    </row>
    <row r="174" spans="1:32" hidden="1" x14ac:dyDescent="0.35">
      <c r="A174" s="5">
        <f>ROW()-ROW(INDEX(Main[ردیف],1))+1</f>
        <v>172</v>
      </c>
      <c r="B174" s="31">
        <f>SUBTOTAL(2,INDEX(Main[ردیف],1):Main[[#This Row],[ردیف]])</f>
        <v>12</v>
      </c>
      <c r="C174" s="32" t="s">
        <v>517</v>
      </c>
      <c r="D174" s="32" t="str">
        <f>_xlfn.CONCAT("14",Main[[#This Row],[تاريخ]])</f>
        <v>1400/01/25</v>
      </c>
      <c r="E174" s="33">
        <v>44300</v>
      </c>
      <c r="F174" s="32">
        <v>30003</v>
      </c>
      <c r="G174" s="5" t="str">
        <f>INDEX(customer[عنوان],MATCH(Main[[#This Row],[کد ردیابی]],customer[کد],0))</f>
        <v xml:space="preserve">شهاب گاز سوز </v>
      </c>
      <c r="H174">
        <v>-996</v>
      </c>
      <c r="I174" s="6">
        <f ca="1">-Main[[#This Row],[بدهی تسویه شده (کیلوگرم)]]+Main[[#This Row],[بستانکار (کیلوگرم)]]</f>
        <v>-996</v>
      </c>
      <c r="J174" s="6">
        <f>IF(Main[[#This Row],[مقدار (کیلوگرم)]]&gt;0,Main[[#This Row],[مقدار (کیلوگرم)]],0)</f>
        <v>0</v>
      </c>
      <c r="K174" s="6">
        <f>-IF(Main[[#This Row],[مقدار (کیلوگرم)]]&lt;0,Main[[#This Row],[مقدار (کیلوگرم)]],0)</f>
        <v>996</v>
      </c>
      <c r="L1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" s="7">
        <f>-IF(AND(Main[[#This Row],[مقدار (کیلوگرم)]]&lt;0,Main[[#This Row],[تاريخ میلادی]]&gt;44276),Main[[#This Row],[مقدار (کیلوگرم)]],0)</f>
        <v>996</v>
      </c>
      <c r="N174" s="6">
        <f ca="1">Main[[#This Row],[بدهکار (کیلوگرم)]]-Main[[#This Row],[بدهی تسویه نشده (کیلوگرم)]]</f>
        <v>996</v>
      </c>
      <c r="O174" s="6">
        <f ca="1">Main[[#This Row],[تفکیک]]</f>
        <v>0</v>
      </c>
      <c r="P174" s="6">
        <f ca="1">IF(Main[[#This Row],[تاخیر از سررسید]]&gt;0,Main[[#This Row],[بدهی تسویه نشده (کیلوگرم)]],0)</f>
        <v>0</v>
      </c>
      <c r="Q174" s="6">
        <f ca="1">IF(Main[[#This Row],[بدهی تسویه نشده (کیلوگرم)]]&gt;0,'گزارش فردی'!$B$7-Main[[#This Row],[تاريخ میلادی]],0)</f>
        <v>0</v>
      </c>
      <c r="R174" s="6">
        <f ca="1">IF(Main[[#This Row],[بدهی تسویه نشده (کیلوگرم)]]&gt;0,'گزارش فردی'!$B$7-Main[[#This Row],[تاريخ میلادی]]-'گزارش فردی'!$B$8,0)</f>
        <v>0</v>
      </c>
      <c r="S174" s="6">
        <f ca="1">Main[[#This Row],[روز از ارسال سفارش]]*Main[[#This Row],[بدهی تسویه نشده (کیلوگرم)]]</f>
        <v>0</v>
      </c>
      <c r="T174" s="6">
        <f ca="1">Main[[#This Row],[بدهی سررسید شده (کیلوگرم)]]*Main[[#This Row],[روز از ارسال سفارش]]</f>
        <v>0</v>
      </c>
      <c r="U174" s="6">
        <f>-SUBTOTAL(9,INDEX(Main[مقدار (کیلوگرم)],1):Main[[#This Row],[مقدار (کیلوگرم)]])</f>
        <v>26070</v>
      </c>
      <c r="V1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4" s="6">
        <f>Main[[#This Row],[تعداد کل روزهای بدهکار (روز)]]*Main[[#This Row],[مانده در خط کل (کیلوگرم)]]</f>
        <v>0</v>
      </c>
      <c r="X174" s="6">
        <f ca="1">-SUBTOTAL(9,INDEX(Main[مقدار تسویه شده (کیلوگرم)],1):Main[[#This Row],[مقدار تسویه شده (کیلوگرم)]])</f>
        <v>26070</v>
      </c>
      <c r="Y174" s="6">
        <f ca="1">IF(Main[[#This Row],[مانده در خط تسویه شده (کیلوگرم)]]&lt;&gt;0,Main[[#This Row],[تعداد کل روزهای بدهکار (روز)]],0)</f>
        <v>0</v>
      </c>
      <c r="Z174" s="6">
        <f ca="1">Main[[#This Row],[تعداد روزهای بدهکار تسویه شده (روز)]]*Main[[#This Row],[مانده در خط تسویه شده (کیلوگرم)]]</f>
        <v>0</v>
      </c>
      <c r="AA174" s="6">
        <f ca="1">SUBTOTAL(9,INDEX(Main[بدهی تسویه نشده (کیلوگرم)],1):Main[[#This Row],[بدهی تسویه نشده (کیلوگرم)]])</f>
        <v>0</v>
      </c>
      <c r="AB174" s="6">
        <f ca="1">IF(Main[[#This Row],[مانده در خط تسویه نشده (کیلوگرم)]]&lt;&gt;0,Main[[#This Row],[تعداد کل روزهای بدهکار (روز)]],0)</f>
        <v>0</v>
      </c>
      <c r="AC174" s="6">
        <f ca="1">Main[[#This Row],[تعداد روزهای بدهکار  تسویه نشده (روز)]]*Main[[#This Row],[مانده در خط تسویه نشده (کیلوگرم)]]</f>
        <v>0</v>
      </c>
      <c r="AD174" s="6">
        <f ca="1">SUBTOTAL(9,INDEX(Main[بدهی سررسید شده (کیلوگرم)],1):Main[[#This Row],[بدهی سررسید شده (کیلوگرم)]])</f>
        <v>0</v>
      </c>
      <c r="AE174" s="6">
        <f ca="1">IF(Main[[#This Row],[مانده در خط سررسید شده (کیلوگرم)]]&lt;&gt;0,Main[[#This Row],[تعداد کل روزهای بدهکار (روز)]],0)</f>
        <v>0</v>
      </c>
      <c r="AF174" s="6">
        <f ca="1">Main[[#This Row],[تعداد روزهای بدهکار سررسید شده (روز)]]*Main[[#This Row],[مانده در خط سررسید شده (کیلوگرم)]]</f>
        <v>0</v>
      </c>
    </row>
    <row r="175" spans="1:32" hidden="1" x14ac:dyDescent="0.35">
      <c r="A175" s="5">
        <f>ROW()-ROW(INDEX(Main[ردیف],1))+1</f>
        <v>173</v>
      </c>
      <c r="B175" s="31">
        <f>SUBTOTAL(2,INDEX(Main[ردیف],1):Main[[#This Row],[ردیف]])</f>
        <v>12</v>
      </c>
      <c r="C175" s="32" t="s">
        <v>517</v>
      </c>
      <c r="D175" s="32" t="str">
        <f>_xlfn.CONCAT("14",Main[[#This Row],[تاريخ]])</f>
        <v>1400/01/25</v>
      </c>
      <c r="E175" s="33">
        <v>44300</v>
      </c>
      <c r="F175" s="32">
        <v>30066</v>
      </c>
      <c r="G175" s="5" t="str">
        <f>INDEX(customer[عنوان],MATCH(Main[[#This Row],[کد ردیابی]],customer[کد],0))</f>
        <v xml:space="preserve">شیر آلات بهداشتی قهرمان </v>
      </c>
      <c r="H175">
        <v>992</v>
      </c>
      <c r="I175" s="6">
        <f ca="1">-Main[[#This Row],[بدهی تسویه شده (کیلوگرم)]]+Main[[#This Row],[بستانکار (کیلوگرم)]]</f>
        <v>992</v>
      </c>
      <c r="J175" s="6">
        <f>IF(Main[[#This Row],[مقدار (کیلوگرم)]]&gt;0,Main[[#This Row],[مقدار (کیلوگرم)]],0)</f>
        <v>992</v>
      </c>
      <c r="K175" s="6">
        <f>-IF(Main[[#This Row],[مقدار (کیلوگرم)]]&lt;0,Main[[#This Row],[مقدار (کیلوگرم)]],0)</f>
        <v>0</v>
      </c>
      <c r="L1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" s="7">
        <f>-IF(AND(Main[[#This Row],[مقدار (کیلوگرم)]]&lt;0,Main[[#This Row],[تاريخ میلادی]]&gt;44276),Main[[#This Row],[مقدار (کیلوگرم)]],0)</f>
        <v>0</v>
      </c>
      <c r="N175" s="6">
        <f ca="1">Main[[#This Row],[بدهکار (کیلوگرم)]]-Main[[#This Row],[بدهی تسویه نشده (کیلوگرم)]]</f>
        <v>0</v>
      </c>
      <c r="O175" s="6">
        <f ca="1">Main[[#This Row],[تفکیک]]</f>
        <v>0</v>
      </c>
      <c r="P175" s="6">
        <f ca="1">IF(Main[[#This Row],[تاخیر از سررسید]]&gt;0,Main[[#This Row],[بدهی تسویه نشده (کیلوگرم)]],0)</f>
        <v>0</v>
      </c>
      <c r="Q175" s="6">
        <f ca="1">IF(Main[[#This Row],[بدهی تسویه نشده (کیلوگرم)]]&gt;0,'گزارش فردی'!$B$7-Main[[#This Row],[تاريخ میلادی]],0)</f>
        <v>0</v>
      </c>
      <c r="R175" s="6">
        <f ca="1">IF(Main[[#This Row],[بدهی تسویه نشده (کیلوگرم)]]&gt;0,'گزارش فردی'!$B$7-Main[[#This Row],[تاريخ میلادی]]-'گزارش فردی'!$B$8,0)</f>
        <v>0</v>
      </c>
      <c r="S175" s="6">
        <f ca="1">Main[[#This Row],[روز از ارسال سفارش]]*Main[[#This Row],[بدهی تسویه نشده (کیلوگرم)]]</f>
        <v>0</v>
      </c>
      <c r="T175" s="6">
        <f ca="1">Main[[#This Row],[بدهی سررسید شده (کیلوگرم)]]*Main[[#This Row],[روز از ارسال سفارش]]</f>
        <v>0</v>
      </c>
      <c r="U175" s="6">
        <f>-SUBTOTAL(9,INDEX(Main[مقدار (کیلوگرم)],1):Main[[#This Row],[مقدار (کیلوگرم)]])</f>
        <v>26070</v>
      </c>
      <c r="V1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5" s="6">
        <f>Main[[#This Row],[تعداد کل روزهای بدهکار (روز)]]*Main[[#This Row],[مانده در خط کل (کیلوگرم)]]</f>
        <v>0</v>
      </c>
      <c r="X175" s="6">
        <f ca="1">-SUBTOTAL(9,INDEX(Main[مقدار تسویه شده (کیلوگرم)],1):Main[[#This Row],[مقدار تسویه شده (کیلوگرم)]])</f>
        <v>26070</v>
      </c>
      <c r="Y175" s="6">
        <f ca="1">IF(Main[[#This Row],[مانده در خط تسویه شده (کیلوگرم)]]&lt;&gt;0,Main[[#This Row],[تعداد کل روزهای بدهکار (روز)]],0)</f>
        <v>0</v>
      </c>
      <c r="Z175" s="6">
        <f ca="1">Main[[#This Row],[تعداد روزهای بدهکار تسویه شده (روز)]]*Main[[#This Row],[مانده در خط تسویه شده (کیلوگرم)]]</f>
        <v>0</v>
      </c>
      <c r="AA175" s="6">
        <f ca="1">SUBTOTAL(9,INDEX(Main[بدهی تسویه نشده (کیلوگرم)],1):Main[[#This Row],[بدهی تسویه نشده (کیلوگرم)]])</f>
        <v>0</v>
      </c>
      <c r="AB175" s="6">
        <f ca="1">IF(Main[[#This Row],[مانده در خط تسویه نشده (کیلوگرم)]]&lt;&gt;0,Main[[#This Row],[تعداد کل روزهای بدهکار (روز)]],0)</f>
        <v>0</v>
      </c>
      <c r="AC175" s="6">
        <f ca="1">Main[[#This Row],[تعداد روزهای بدهکار  تسویه نشده (روز)]]*Main[[#This Row],[مانده در خط تسویه نشده (کیلوگرم)]]</f>
        <v>0</v>
      </c>
      <c r="AD175" s="6">
        <f ca="1">SUBTOTAL(9,INDEX(Main[بدهی سررسید شده (کیلوگرم)],1):Main[[#This Row],[بدهی سررسید شده (کیلوگرم)]])</f>
        <v>0</v>
      </c>
      <c r="AE175" s="6">
        <f ca="1">IF(Main[[#This Row],[مانده در خط سررسید شده (کیلوگرم)]]&lt;&gt;0,Main[[#This Row],[تعداد کل روزهای بدهکار (روز)]],0)</f>
        <v>0</v>
      </c>
      <c r="AF175" s="6">
        <f ca="1">Main[[#This Row],[تعداد روزهای بدهکار سررسید شده (روز)]]*Main[[#This Row],[مانده در خط سررسید شده (کیلوگرم)]]</f>
        <v>0</v>
      </c>
    </row>
    <row r="176" spans="1:32" x14ac:dyDescent="0.35">
      <c r="A176" s="5">
        <f>ROW()-ROW(INDEX(Main[ردیف],1))+1</f>
        <v>174</v>
      </c>
      <c r="B176" s="31">
        <f>SUBTOTAL(2,INDEX(Main[ردیف],1):Main[[#This Row],[ردیف]])</f>
        <v>13</v>
      </c>
      <c r="C176" s="32" t="s">
        <v>517</v>
      </c>
      <c r="D176" s="32" t="str">
        <f>_xlfn.CONCAT("14",Main[[#This Row],[تاريخ]])</f>
        <v>1400/01/25</v>
      </c>
      <c r="E176" s="33">
        <v>44300</v>
      </c>
      <c r="F176" s="32">
        <v>10003</v>
      </c>
      <c r="G176" s="5" t="str">
        <f>INDEX(customer[عنوان],MATCH(Main[[#This Row],[کد ردیابی]],customer[کد],0))</f>
        <v>اصغر نورعلی</v>
      </c>
      <c r="H176">
        <v>-3182</v>
      </c>
      <c r="I176" s="6">
        <f ca="1">-Main[[#This Row],[بدهی تسویه شده (کیلوگرم)]]+Main[[#This Row],[بستانکار (کیلوگرم)]]</f>
        <v>-3182</v>
      </c>
      <c r="J176" s="6">
        <f>IF(Main[[#This Row],[مقدار (کیلوگرم)]]&gt;0,Main[[#This Row],[مقدار (کیلوگرم)]],0)</f>
        <v>0</v>
      </c>
      <c r="K176" s="6">
        <f>-IF(Main[[#This Row],[مقدار (کیلوگرم)]]&lt;0,Main[[#This Row],[مقدار (کیلوگرم)]],0)</f>
        <v>3182</v>
      </c>
      <c r="L1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" s="7">
        <f>-IF(AND(Main[[#This Row],[مقدار (کیلوگرم)]]&lt;0,Main[[#This Row],[تاريخ میلادی]]&gt;44276),Main[[#This Row],[مقدار (کیلوگرم)]],0)</f>
        <v>3182</v>
      </c>
      <c r="N176" s="6">
        <f ca="1">Main[[#This Row],[بدهکار (کیلوگرم)]]-Main[[#This Row],[بدهی تسویه نشده (کیلوگرم)]]</f>
        <v>3182</v>
      </c>
      <c r="O176" s="6">
        <f ca="1">Main[[#This Row],[تفکیک]]</f>
        <v>0</v>
      </c>
      <c r="P176" s="6">
        <f ca="1">IF(Main[[#This Row],[تاخیر از سررسید]]&gt;0,Main[[#This Row],[بدهی تسویه نشده (کیلوگرم)]],0)</f>
        <v>0</v>
      </c>
      <c r="Q176" s="6">
        <f ca="1">IF(Main[[#This Row],[بدهی تسویه نشده (کیلوگرم)]]&gt;0,'گزارش فردی'!$B$7-Main[[#This Row],[تاريخ میلادی]],0)</f>
        <v>0</v>
      </c>
      <c r="R176" s="6">
        <f ca="1">IF(Main[[#This Row],[بدهی تسویه نشده (کیلوگرم)]]&gt;0,'گزارش فردی'!$B$7-Main[[#This Row],[تاريخ میلادی]]-'گزارش فردی'!$B$8,0)</f>
        <v>0</v>
      </c>
      <c r="S176" s="6">
        <f ca="1">Main[[#This Row],[روز از ارسال سفارش]]*Main[[#This Row],[بدهی تسویه نشده (کیلوگرم)]]</f>
        <v>0</v>
      </c>
      <c r="T176" s="6">
        <f ca="1">Main[[#This Row],[بدهی سررسید شده (کیلوگرم)]]*Main[[#This Row],[روز از ارسال سفارش]]</f>
        <v>0</v>
      </c>
      <c r="U176" s="6">
        <f>-SUBTOTAL(9,INDEX(Main[مقدار (کیلوگرم)],1):Main[[#This Row],[مقدار (کیلوگرم)]])</f>
        <v>29252</v>
      </c>
      <c r="V1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6" s="6">
        <f>Main[[#This Row],[تعداد کل روزهای بدهکار (روز)]]*Main[[#This Row],[مانده در خط کل (کیلوگرم)]]</f>
        <v>29252</v>
      </c>
      <c r="X176" s="6">
        <f ca="1">-SUBTOTAL(9,INDEX(Main[مقدار تسویه شده (کیلوگرم)],1):Main[[#This Row],[مقدار تسویه شده (کیلوگرم)]])</f>
        <v>29252</v>
      </c>
      <c r="Y176" s="6">
        <f ca="1">IF(Main[[#This Row],[مانده در خط تسویه شده (کیلوگرم)]]&lt;&gt;0,Main[[#This Row],[تعداد کل روزهای بدهکار (روز)]],0)</f>
        <v>1</v>
      </c>
      <c r="Z176" s="6">
        <f ca="1">Main[[#This Row],[تعداد روزهای بدهکار تسویه شده (روز)]]*Main[[#This Row],[مانده در خط تسویه شده (کیلوگرم)]]</f>
        <v>29252</v>
      </c>
      <c r="AA176" s="6">
        <f ca="1">SUBTOTAL(9,INDEX(Main[بدهی تسویه نشده (کیلوگرم)],1):Main[[#This Row],[بدهی تسویه نشده (کیلوگرم)]])</f>
        <v>0</v>
      </c>
      <c r="AB176" s="6">
        <f ca="1">IF(Main[[#This Row],[مانده در خط تسویه نشده (کیلوگرم)]]&lt;&gt;0,Main[[#This Row],[تعداد کل روزهای بدهکار (روز)]],0)</f>
        <v>0</v>
      </c>
      <c r="AC176" s="6">
        <f ca="1">Main[[#This Row],[تعداد روزهای بدهکار  تسویه نشده (روز)]]*Main[[#This Row],[مانده در خط تسویه نشده (کیلوگرم)]]</f>
        <v>0</v>
      </c>
      <c r="AD176" s="6">
        <f ca="1">SUBTOTAL(9,INDEX(Main[بدهی سررسید شده (کیلوگرم)],1):Main[[#This Row],[بدهی سررسید شده (کیلوگرم)]])</f>
        <v>0</v>
      </c>
      <c r="AE176" s="6">
        <f ca="1">IF(Main[[#This Row],[مانده در خط سررسید شده (کیلوگرم)]]&lt;&gt;0,Main[[#This Row],[تعداد کل روزهای بدهکار (روز)]],0)</f>
        <v>0</v>
      </c>
      <c r="AF176" s="6">
        <f ca="1">Main[[#This Row],[تعداد روزهای بدهکار سررسید شده (روز)]]*Main[[#This Row],[مانده در خط سررسید شده (کیلوگرم)]]</f>
        <v>0</v>
      </c>
    </row>
    <row r="177" spans="1:32" hidden="1" x14ac:dyDescent="0.35">
      <c r="A177" s="5">
        <f>ROW()-ROW(INDEX(Main[ردیف],1))+1</f>
        <v>175</v>
      </c>
      <c r="B177" s="31">
        <f>SUBTOTAL(2,INDEX(Main[ردیف],1):Main[[#This Row],[ردیف]])</f>
        <v>13</v>
      </c>
      <c r="C177" s="32" t="s">
        <v>517</v>
      </c>
      <c r="D177" s="32" t="str">
        <f>_xlfn.CONCAT("14",Main[[#This Row],[تاريخ]])</f>
        <v>1400/01/25</v>
      </c>
      <c r="E177" s="33">
        <v>44300</v>
      </c>
      <c r="F177" s="32">
        <v>10018</v>
      </c>
      <c r="G177" s="5" t="str">
        <f>INDEX(customer[عنوان],MATCH(Main[[#This Row],[کد ردیابی]],customer[کد],0))</f>
        <v xml:space="preserve">کوهی </v>
      </c>
      <c r="H177">
        <v>344</v>
      </c>
      <c r="I177" s="6">
        <f ca="1">-Main[[#This Row],[بدهی تسویه شده (کیلوگرم)]]+Main[[#This Row],[بستانکار (کیلوگرم)]]</f>
        <v>344</v>
      </c>
      <c r="J177" s="6">
        <f>IF(Main[[#This Row],[مقدار (کیلوگرم)]]&gt;0,Main[[#This Row],[مقدار (کیلوگرم)]],0)</f>
        <v>344</v>
      </c>
      <c r="K177" s="6">
        <f>-IF(Main[[#This Row],[مقدار (کیلوگرم)]]&lt;0,Main[[#This Row],[مقدار (کیلوگرم)]],0)</f>
        <v>0</v>
      </c>
      <c r="L1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" s="7">
        <f>-IF(AND(Main[[#This Row],[مقدار (کیلوگرم)]]&lt;0,Main[[#This Row],[تاريخ میلادی]]&gt;44276),Main[[#This Row],[مقدار (کیلوگرم)]],0)</f>
        <v>0</v>
      </c>
      <c r="N177" s="6">
        <f ca="1">Main[[#This Row],[بدهکار (کیلوگرم)]]-Main[[#This Row],[بدهی تسویه نشده (کیلوگرم)]]</f>
        <v>0</v>
      </c>
      <c r="O177" s="6">
        <f ca="1">Main[[#This Row],[تفکیک]]</f>
        <v>0</v>
      </c>
      <c r="P177" s="6">
        <f ca="1">IF(Main[[#This Row],[تاخیر از سررسید]]&gt;0,Main[[#This Row],[بدهی تسویه نشده (کیلوگرم)]],0)</f>
        <v>0</v>
      </c>
      <c r="Q177" s="6">
        <f ca="1">IF(Main[[#This Row],[بدهی تسویه نشده (کیلوگرم)]]&gt;0,'گزارش فردی'!$B$7-Main[[#This Row],[تاريخ میلادی]],0)</f>
        <v>0</v>
      </c>
      <c r="R177" s="6">
        <f ca="1">IF(Main[[#This Row],[بدهی تسویه نشده (کیلوگرم)]]&gt;0,'گزارش فردی'!$B$7-Main[[#This Row],[تاريخ میلادی]]-'گزارش فردی'!$B$8,0)</f>
        <v>0</v>
      </c>
      <c r="S177" s="6">
        <f ca="1">Main[[#This Row],[روز از ارسال سفارش]]*Main[[#This Row],[بدهی تسویه نشده (کیلوگرم)]]</f>
        <v>0</v>
      </c>
      <c r="T177" s="6">
        <f ca="1">Main[[#This Row],[بدهی سررسید شده (کیلوگرم)]]*Main[[#This Row],[روز از ارسال سفارش]]</f>
        <v>0</v>
      </c>
      <c r="U177" s="6">
        <f>-SUBTOTAL(9,INDEX(Main[مقدار (کیلوگرم)],1):Main[[#This Row],[مقدار (کیلوگرم)]])</f>
        <v>29252</v>
      </c>
      <c r="V1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" s="6">
        <f>Main[[#This Row],[تعداد کل روزهای بدهکار (روز)]]*Main[[#This Row],[مانده در خط کل (کیلوگرم)]]</f>
        <v>29252</v>
      </c>
      <c r="X177" s="6">
        <f ca="1">-SUBTOTAL(9,INDEX(Main[مقدار تسویه شده (کیلوگرم)],1):Main[[#This Row],[مقدار تسویه شده (کیلوگرم)]])</f>
        <v>29252</v>
      </c>
      <c r="Y177" s="6">
        <f ca="1">IF(Main[[#This Row],[مانده در خط تسویه شده (کیلوگرم)]]&lt;&gt;0,Main[[#This Row],[تعداد کل روزهای بدهکار (روز)]],0)</f>
        <v>1</v>
      </c>
      <c r="Z177" s="6">
        <f ca="1">Main[[#This Row],[تعداد روزهای بدهکار تسویه شده (روز)]]*Main[[#This Row],[مانده در خط تسویه شده (کیلوگرم)]]</f>
        <v>29252</v>
      </c>
      <c r="AA177" s="6">
        <f ca="1">SUBTOTAL(9,INDEX(Main[بدهی تسویه نشده (کیلوگرم)],1):Main[[#This Row],[بدهی تسویه نشده (کیلوگرم)]])</f>
        <v>0</v>
      </c>
      <c r="AB177" s="6">
        <f ca="1">IF(Main[[#This Row],[مانده در خط تسویه نشده (کیلوگرم)]]&lt;&gt;0,Main[[#This Row],[تعداد کل روزهای بدهکار (روز)]],0)</f>
        <v>0</v>
      </c>
      <c r="AC177" s="6">
        <f ca="1">Main[[#This Row],[تعداد روزهای بدهکار  تسویه نشده (روز)]]*Main[[#This Row],[مانده در خط تسویه نشده (کیلوگرم)]]</f>
        <v>0</v>
      </c>
      <c r="AD177" s="6">
        <f ca="1">SUBTOTAL(9,INDEX(Main[بدهی سررسید شده (کیلوگرم)],1):Main[[#This Row],[بدهی سررسید شده (کیلوگرم)]])</f>
        <v>0</v>
      </c>
      <c r="AE177" s="6">
        <f ca="1">IF(Main[[#This Row],[مانده در خط سررسید شده (کیلوگرم)]]&lt;&gt;0,Main[[#This Row],[تعداد کل روزهای بدهکار (روز)]],0)</f>
        <v>0</v>
      </c>
      <c r="AF177" s="6">
        <f ca="1">Main[[#This Row],[تعداد روزهای بدهکار سررسید شده (روز)]]*Main[[#This Row],[مانده در خط سررسید شده (کیلوگرم)]]</f>
        <v>0</v>
      </c>
    </row>
    <row r="178" spans="1:32" hidden="1" x14ac:dyDescent="0.35">
      <c r="A178" s="5">
        <f>ROW()-ROW(INDEX(Main[ردیف],1))+1</f>
        <v>176</v>
      </c>
      <c r="B178" s="31">
        <f>SUBTOTAL(2,INDEX(Main[ردیف],1):Main[[#This Row],[ردیف]])</f>
        <v>13</v>
      </c>
      <c r="C178" s="32" t="s">
        <v>517</v>
      </c>
      <c r="D178" s="32" t="str">
        <f>_xlfn.CONCAT("14",Main[[#This Row],[تاريخ]])</f>
        <v>1400/01/25</v>
      </c>
      <c r="E178" s="33">
        <v>44300</v>
      </c>
      <c r="F178" s="32">
        <v>10026</v>
      </c>
      <c r="G178" s="5" t="str">
        <f>INDEX(customer[عنوان],MATCH(Main[[#This Row],[کد ردیابی]],customer[کد],0))</f>
        <v xml:space="preserve">محسن فیاض بخش </v>
      </c>
      <c r="H178">
        <v>-4144</v>
      </c>
      <c r="I178" s="6">
        <f ca="1">-Main[[#This Row],[بدهی تسویه شده (کیلوگرم)]]+Main[[#This Row],[بستانکار (کیلوگرم)]]</f>
        <v>-4144</v>
      </c>
      <c r="J178" s="6">
        <f>IF(Main[[#This Row],[مقدار (کیلوگرم)]]&gt;0,Main[[#This Row],[مقدار (کیلوگرم)]],0)</f>
        <v>0</v>
      </c>
      <c r="K178" s="6">
        <f>-IF(Main[[#This Row],[مقدار (کیلوگرم)]]&lt;0,Main[[#This Row],[مقدار (کیلوگرم)]],0)</f>
        <v>4144</v>
      </c>
      <c r="L1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" s="7">
        <f>-IF(AND(Main[[#This Row],[مقدار (کیلوگرم)]]&lt;0,Main[[#This Row],[تاريخ میلادی]]&gt;44276),Main[[#This Row],[مقدار (کیلوگرم)]],0)</f>
        <v>4144</v>
      </c>
      <c r="N178" s="6">
        <f ca="1">Main[[#This Row],[بدهکار (کیلوگرم)]]-Main[[#This Row],[بدهی تسویه نشده (کیلوگرم)]]</f>
        <v>4144</v>
      </c>
      <c r="O178" s="6">
        <f ca="1">Main[[#This Row],[تفکیک]]</f>
        <v>0</v>
      </c>
      <c r="P178" s="6">
        <f ca="1">IF(Main[[#This Row],[تاخیر از سررسید]]&gt;0,Main[[#This Row],[بدهی تسویه نشده (کیلوگرم)]],0)</f>
        <v>0</v>
      </c>
      <c r="Q178" s="6">
        <f ca="1">IF(Main[[#This Row],[بدهی تسویه نشده (کیلوگرم)]]&gt;0,'گزارش فردی'!$B$7-Main[[#This Row],[تاريخ میلادی]],0)</f>
        <v>0</v>
      </c>
      <c r="R178" s="6">
        <f ca="1">IF(Main[[#This Row],[بدهی تسویه نشده (کیلوگرم)]]&gt;0,'گزارش فردی'!$B$7-Main[[#This Row],[تاريخ میلادی]]-'گزارش فردی'!$B$8,0)</f>
        <v>0</v>
      </c>
      <c r="S178" s="6">
        <f ca="1">Main[[#This Row],[روز از ارسال سفارش]]*Main[[#This Row],[بدهی تسویه نشده (کیلوگرم)]]</f>
        <v>0</v>
      </c>
      <c r="T178" s="6">
        <f ca="1">Main[[#This Row],[بدهی سررسید شده (کیلوگرم)]]*Main[[#This Row],[روز از ارسال سفارش]]</f>
        <v>0</v>
      </c>
      <c r="U178" s="6">
        <f>-SUBTOTAL(9,INDEX(Main[مقدار (کیلوگرم)],1):Main[[#This Row],[مقدار (کیلوگرم)]])</f>
        <v>29252</v>
      </c>
      <c r="V1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8" s="6">
        <f>Main[[#This Row],[تعداد کل روزهای بدهکار (روز)]]*Main[[#This Row],[مانده در خط کل (کیلوگرم)]]</f>
        <v>29252</v>
      </c>
      <c r="X178" s="6">
        <f ca="1">-SUBTOTAL(9,INDEX(Main[مقدار تسویه شده (کیلوگرم)],1):Main[[#This Row],[مقدار تسویه شده (کیلوگرم)]])</f>
        <v>29252</v>
      </c>
      <c r="Y178" s="6">
        <f ca="1">IF(Main[[#This Row],[مانده در خط تسویه شده (کیلوگرم)]]&lt;&gt;0,Main[[#This Row],[تعداد کل روزهای بدهکار (روز)]],0)</f>
        <v>1</v>
      </c>
      <c r="Z178" s="6">
        <f ca="1">Main[[#This Row],[تعداد روزهای بدهکار تسویه شده (روز)]]*Main[[#This Row],[مانده در خط تسویه شده (کیلوگرم)]]</f>
        <v>29252</v>
      </c>
      <c r="AA178" s="6">
        <f ca="1">SUBTOTAL(9,INDEX(Main[بدهی تسویه نشده (کیلوگرم)],1):Main[[#This Row],[بدهی تسویه نشده (کیلوگرم)]])</f>
        <v>0</v>
      </c>
      <c r="AB178" s="6">
        <f ca="1">IF(Main[[#This Row],[مانده در خط تسویه نشده (کیلوگرم)]]&lt;&gt;0,Main[[#This Row],[تعداد کل روزهای بدهکار (روز)]],0)</f>
        <v>0</v>
      </c>
      <c r="AC178" s="6">
        <f ca="1">Main[[#This Row],[تعداد روزهای بدهکار  تسویه نشده (روز)]]*Main[[#This Row],[مانده در خط تسویه نشده (کیلوگرم)]]</f>
        <v>0</v>
      </c>
      <c r="AD178" s="6">
        <f ca="1">SUBTOTAL(9,INDEX(Main[بدهی سررسید شده (کیلوگرم)],1):Main[[#This Row],[بدهی سررسید شده (کیلوگرم)]])</f>
        <v>0</v>
      </c>
      <c r="AE178" s="6">
        <f ca="1">IF(Main[[#This Row],[مانده در خط سررسید شده (کیلوگرم)]]&lt;&gt;0,Main[[#This Row],[تعداد کل روزهای بدهکار (روز)]],0)</f>
        <v>0</v>
      </c>
      <c r="AF178" s="6">
        <f ca="1">Main[[#This Row],[تعداد روزهای بدهکار سررسید شده (روز)]]*Main[[#This Row],[مانده در خط سررسید شده (کیلوگرم)]]</f>
        <v>0</v>
      </c>
    </row>
    <row r="179" spans="1:32" hidden="1" x14ac:dyDescent="0.35">
      <c r="A179" s="5">
        <f>ROW()-ROW(INDEX(Main[ردیف],1))+1</f>
        <v>177</v>
      </c>
      <c r="B179" s="31">
        <f>SUBTOTAL(2,INDEX(Main[ردیف],1):Main[[#This Row],[ردیف]])</f>
        <v>13</v>
      </c>
      <c r="C179" s="32" t="s">
        <v>517</v>
      </c>
      <c r="D179" s="32" t="str">
        <f>_xlfn.CONCAT("14",Main[[#This Row],[تاريخ]])</f>
        <v>1400/01/25</v>
      </c>
      <c r="E179" s="33">
        <v>44300</v>
      </c>
      <c r="F179" s="32">
        <v>10027</v>
      </c>
      <c r="G179" s="5" t="str">
        <f>INDEX(customer[عنوان],MATCH(Main[[#This Row],[کد ردیابی]],customer[کد],0))</f>
        <v xml:space="preserve">مصطفی نورعلی </v>
      </c>
      <c r="H179">
        <v>-5270</v>
      </c>
      <c r="I179" s="6">
        <f ca="1">-Main[[#This Row],[بدهی تسویه شده (کیلوگرم)]]+Main[[#This Row],[بستانکار (کیلوگرم)]]</f>
        <v>-5270</v>
      </c>
      <c r="J179" s="6">
        <f>IF(Main[[#This Row],[مقدار (کیلوگرم)]]&gt;0,Main[[#This Row],[مقدار (کیلوگرم)]],0)</f>
        <v>0</v>
      </c>
      <c r="K179" s="6">
        <f>-IF(Main[[#This Row],[مقدار (کیلوگرم)]]&lt;0,Main[[#This Row],[مقدار (کیلوگرم)]],0)</f>
        <v>5270</v>
      </c>
      <c r="L1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" s="7">
        <f>-IF(AND(Main[[#This Row],[مقدار (کیلوگرم)]]&lt;0,Main[[#This Row],[تاريخ میلادی]]&gt;44276),Main[[#This Row],[مقدار (کیلوگرم)]],0)</f>
        <v>5270</v>
      </c>
      <c r="N179" s="6">
        <f ca="1">Main[[#This Row],[بدهکار (کیلوگرم)]]-Main[[#This Row],[بدهی تسویه نشده (کیلوگرم)]]</f>
        <v>5270</v>
      </c>
      <c r="O179" s="6">
        <f ca="1">Main[[#This Row],[تفکیک]]</f>
        <v>0</v>
      </c>
      <c r="P179" s="6">
        <f ca="1">IF(Main[[#This Row],[تاخیر از سررسید]]&gt;0,Main[[#This Row],[بدهی تسویه نشده (کیلوگرم)]],0)</f>
        <v>0</v>
      </c>
      <c r="Q179" s="6">
        <f ca="1">IF(Main[[#This Row],[بدهی تسویه نشده (کیلوگرم)]]&gt;0,'گزارش فردی'!$B$7-Main[[#This Row],[تاريخ میلادی]],0)</f>
        <v>0</v>
      </c>
      <c r="R179" s="6">
        <f ca="1">IF(Main[[#This Row],[بدهی تسویه نشده (کیلوگرم)]]&gt;0,'گزارش فردی'!$B$7-Main[[#This Row],[تاريخ میلادی]]-'گزارش فردی'!$B$8,0)</f>
        <v>0</v>
      </c>
      <c r="S179" s="6">
        <f ca="1">Main[[#This Row],[روز از ارسال سفارش]]*Main[[#This Row],[بدهی تسویه نشده (کیلوگرم)]]</f>
        <v>0</v>
      </c>
      <c r="T179" s="6">
        <f ca="1">Main[[#This Row],[بدهی سررسید شده (کیلوگرم)]]*Main[[#This Row],[روز از ارسال سفارش]]</f>
        <v>0</v>
      </c>
      <c r="U179" s="6">
        <f>-SUBTOTAL(9,INDEX(Main[مقدار (کیلوگرم)],1):Main[[#This Row],[مقدار (کیلوگرم)]])</f>
        <v>29252</v>
      </c>
      <c r="V1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9" s="6">
        <f>Main[[#This Row],[تعداد کل روزهای بدهکار (روز)]]*Main[[#This Row],[مانده در خط کل (کیلوگرم)]]</f>
        <v>29252</v>
      </c>
      <c r="X179" s="6">
        <f ca="1">-SUBTOTAL(9,INDEX(Main[مقدار تسویه شده (کیلوگرم)],1):Main[[#This Row],[مقدار تسویه شده (کیلوگرم)]])</f>
        <v>29252</v>
      </c>
      <c r="Y179" s="6">
        <f ca="1">IF(Main[[#This Row],[مانده در خط تسویه شده (کیلوگرم)]]&lt;&gt;0,Main[[#This Row],[تعداد کل روزهای بدهکار (روز)]],0)</f>
        <v>1</v>
      </c>
      <c r="Z179" s="6">
        <f ca="1">Main[[#This Row],[تعداد روزهای بدهکار تسویه شده (روز)]]*Main[[#This Row],[مانده در خط تسویه شده (کیلوگرم)]]</f>
        <v>29252</v>
      </c>
      <c r="AA179" s="6">
        <f ca="1">SUBTOTAL(9,INDEX(Main[بدهی تسویه نشده (کیلوگرم)],1):Main[[#This Row],[بدهی تسویه نشده (کیلوگرم)]])</f>
        <v>0</v>
      </c>
      <c r="AB179" s="6">
        <f ca="1">IF(Main[[#This Row],[مانده در خط تسویه نشده (کیلوگرم)]]&lt;&gt;0,Main[[#This Row],[تعداد کل روزهای بدهکار (روز)]],0)</f>
        <v>0</v>
      </c>
      <c r="AC179" s="6">
        <f ca="1">Main[[#This Row],[تعداد روزهای بدهکار  تسویه نشده (روز)]]*Main[[#This Row],[مانده در خط تسویه نشده (کیلوگرم)]]</f>
        <v>0</v>
      </c>
      <c r="AD179" s="6">
        <f ca="1">SUBTOTAL(9,INDEX(Main[بدهی سررسید شده (کیلوگرم)],1):Main[[#This Row],[بدهی سررسید شده (کیلوگرم)]])</f>
        <v>0</v>
      </c>
      <c r="AE179" s="6">
        <f ca="1">IF(Main[[#This Row],[مانده در خط سررسید شده (کیلوگرم)]]&lt;&gt;0,Main[[#This Row],[تعداد کل روزهای بدهکار (روز)]],0)</f>
        <v>0</v>
      </c>
      <c r="AF179" s="6">
        <f ca="1">Main[[#This Row],[تعداد روزهای بدهکار سررسید شده (روز)]]*Main[[#This Row],[مانده در خط سررسید شده (کیلوگرم)]]</f>
        <v>0</v>
      </c>
    </row>
    <row r="180" spans="1:32" hidden="1" x14ac:dyDescent="0.35">
      <c r="A180" s="5">
        <f>ROW()-ROW(INDEX(Main[ردیف],1))+1</f>
        <v>178</v>
      </c>
      <c r="B180" s="31">
        <f>SUBTOTAL(2,INDEX(Main[ردیف],1):Main[[#This Row],[ردیف]])</f>
        <v>13</v>
      </c>
      <c r="C180" s="32" t="s">
        <v>518</v>
      </c>
      <c r="D180" s="32" t="str">
        <f>_xlfn.CONCAT("14",Main[[#This Row],[تاريخ]])</f>
        <v>1400/01/26</v>
      </c>
      <c r="E180" s="33">
        <v>44301</v>
      </c>
      <c r="F180" s="32">
        <v>50011</v>
      </c>
      <c r="G180" s="5" t="str">
        <f>INDEX(customer[عنوان],MATCH(Main[[#This Row],[کد ردیابی]],customer[کد],0))</f>
        <v xml:space="preserve">جعفر هوشمند </v>
      </c>
      <c r="H180">
        <v>1750</v>
      </c>
      <c r="I180" s="6">
        <f ca="1">-Main[[#This Row],[بدهی تسویه شده (کیلوگرم)]]+Main[[#This Row],[بستانکار (کیلوگرم)]]</f>
        <v>1750</v>
      </c>
      <c r="J180" s="6">
        <f>IF(Main[[#This Row],[مقدار (کیلوگرم)]]&gt;0,Main[[#This Row],[مقدار (کیلوگرم)]],0)</f>
        <v>1750</v>
      </c>
      <c r="K180" s="6">
        <f>-IF(Main[[#This Row],[مقدار (کیلوگرم)]]&lt;0,Main[[#This Row],[مقدار (کیلوگرم)]],0)</f>
        <v>0</v>
      </c>
      <c r="L1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" s="7">
        <f>-IF(AND(Main[[#This Row],[مقدار (کیلوگرم)]]&lt;0,Main[[#This Row],[تاريخ میلادی]]&gt;44276),Main[[#This Row],[مقدار (کیلوگرم)]],0)</f>
        <v>0</v>
      </c>
      <c r="N180" s="6">
        <f ca="1">Main[[#This Row],[بدهکار (کیلوگرم)]]-Main[[#This Row],[بدهی تسویه نشده (کیلوگرم)]]</f>
        <v>0</v>
      </c>
      <c r="O180" s="6">
        <f ca="1">Main[[#This Row],[تفکیک]]</f>
        <v>0</v>
      </c>
      <c r="P180" s="6">
        <f ca="1">IF(Main[[#This Row],[تاخیر از سررسید]]&gt;0,Main[[#This Row],[بدهی تسویه نشده (کیلوگرم)]],0)</f>
        <v>0</v>
      </c>
      <c r="Q180" s="6">
        <f ca="1">IF(Main[[#This Row],[بدهی تسویه نشده (کیلوگرم)]]&gt;0,'گزارش فردی'!$B$7-Main[[#This Row],[تاريخ میلادی]],0)</f>
        <v>0</v>
      </c>
      <c r="R180" s="6">
        <f ca="1">IF(Main[[#This Row],[بدهی تسویه نشده (کیلوگرم)]]&gt;0,'گزارش فردی'!$B$7-Main[[#This Row],[تاريخ میلادی]]-'گزارش فردی'!$B$8,0)</f>
        <v>0</v>
      </c>
      <c r="S180" s="6">
        <f ca="1">Main[[#This Row],[روز از ارسال سفارش]]*Main[[#This Row],[بدهی تسویه نشده (کیلوگرم)]]</f>
        <v>0</v>
      </c>
      <c r="T180" s="6">
        <f ca="1">Main[[#This Row],[بدهی سررسید شده (کیلوگرم)]]*Main[[#This Row],[روز از ارسال سفارش]]</f>
        <v>0</v>
      </c>
      <c r="U180" s="6">
        <f>-SUBTOTAL(9,INDEX(Main[مقدار (کیلوگرم)],1):Main[[#This Row],[مقدار (کیلوگرم)]])</f>
        <v>29252</v>
      </c>
      <c r="V1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0" s="6">
        <f>Main[[#This Row],[تعداد کل روزهای بدهکار (روز)]]*Main[[#This Row],[مانده در خط کل (کیلوگرم)]]</f>
        <v>0</v>
      </c>
      <c r="X180" s="6">
        <f ca="1">-SUBTOTAL(9,INDEX(Main[مقدار تسویه شده (کیلوگرم)],1):Main[[#This Row],[مقدار تسویه شده (کیلوگرم)]])</f>
        <v>29252</v>
      </c>
      <c r="Y180" s="6">
        <f ca="1">IF(Main[[#This Row],[مانده در خط تسویه شده (کیلوگرم)]]&lt;&gt;0,Main[[#This Row],[تعداد کل روزهای بدهکار (روز)]],0)</f>
        <v>0</v>
      </c>
      <c r="Z180" s="6">
        <f ca="1">Main[[#This Row],[تعداد روزهای بدهکار تسویه شده (روز)]]*Main[[#This Row],[مانده در خط تسویه شده (کیلوگرم)]]</f>
        <v>0</v>
      </c>
      <c r="AA180" s="6">
        <f ca="1">SUBTOTAL(9,INDEX(Main[بدهی تسویه نشده (کیلوگرم)],1):Main[[#This Row],[بدهی تسویه نشده (کیلوگرم)]])</f>
        <v>0</v>
      </c>
      <c r="AB180" s="6">
        <f ca="1">IF(Main[[#This Row],[مانده در خط تسویه نشده (کیلوگرم)]]&lt;&gt;0,Main[[#This Row],[تعداد کل روزهای بدهکار (روز)]],0)</f>
        <v>0</v>
      </c>
      <c r="AC180" s="6">
        <f ca="1">Main[[#This Row],[تعداد روزهای بدهکار  تسویه نشده (روز)]]*Main[[#This Row],[مانده در خط تسویه نشده (کیلوگرم)]]</f>
        <v>0</v>
      </c>
      <c r="AD180" s="6">
        <f ca="1">SUBTOTAL(9,INDEX(Main[بدهی سررسید شده (کیلوگرم)],1):Main[[#This Row],[بدهی سررسید شده (کیلوگرم)]])</f>
        <v>0</v>
      </c>
      <c r="AE180" s="6">
        <f ca="1">IF(Main[[#This Row],[مانده در خط سررسید شده (کیلوگرم)]]&lt;&gt;0,Main[[#This Row],[تعداد کل روزهای بدهکار (روز)]],0)</f>
        <v>0</v>
      </c>
      <c r="AF180" s="6">
        <f ca="1">Main[[#This Row],[تعداد روزهای بدهکار سررسید شده (روز)]]*Main[[#This Row],[مانده در خط سررسید شده (کیلوگرم)]]</f>
        <v>0</v>
      </c>
    </row>
    <row r="181" spans="1:32" hidden="1" x14ac:dyDescent="0.35">
      <c r="A181" s="5">
        <f>ROW()-ROW(INDEX(Main[ردیف],1))+1</f>
        <v>179</v>
      </c>
      <c r="B181" s="31">
        <f>SUBTOTAL(2,INDEX(Main[ردیف],1):Main[[#This Row],[ردیف]])</f>
        <v>13</v>
      </c>
      <c r="C181" s="32" t="s">
        <v>518</v>
      </c>
      <c r="D181" s="32" t="str">
        <f>_xlfn.CONCAT("14",Main[[#This Row],[تاريخ]])</f>
        <v>1400/01/26</v>
      </c>
      <c r="E181" s="33">
        <v>44301</v>
      </c>
      <c r="F181" s="32">
        <v>30066</v>
      </c>
      <c r="G181" s="5" t="str">
        <f>INDEX(customer[عنوان],MATCH(Main[[#This Row],[کد ردیابی]],customer[کد],0))</f>
        <v xml:space="preserve">شیر آلات بهداشتی قهرمان </v>
      </c>
      <c r="H181">
        <v>-2144</v>
      </c>
      <c r="I181" s="6">
        <f ca="1">-Main[[#This Row],[بدهی تسویه شده (کیلوگرم)]]+Main[[#This Row],[بستانکار (کیلوگرم)]]</f>
        <v>-2144</v>
      </c>
      <c r="J181" s="6">
        <f>IF(Main[[#This Row],[مقدار (کیلوگرم)]]&gt;0,Main[[#This Row],[مقدار (کیلوگرم)]],0)</f>
        <v>0</v>
      </c>
      <c r="K181" s="6">
        <f>-IF(Main[[#This Row],[مقدار (کیلوگرم)]]&lt;0,Main[[#This Row],[مقدار (کیلوگرم)]],0)</f>
        <v>2144</v>
      </c>
      <c r="L1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" s="7">
        <f>-IF(AND(Main[[#This Row],[مقدار (کیلوگرم)]]&lt;0,Main[[#This Row],[تاريخ میلادی]]&gt;44276),Main[[#This Row],[مقدار (کیلوگرم)]],0)</f>
        <v>2144</v>
      </c>
      <c r="N181" s="6">
        <f ca="1">Main[[#This Row],[بدهکار (کیلوگرم)]]-Main[[#This Row],[بدهی تسویه نشده (کیلوگرم)]]</f>
        <v>2144</v>
      </c>
      <c r="O181" s="6">
        <f ca="1">Main[[#This Row],[تفکیک]]</f>
        <v>0</v>
      </c>
      <c r="P181" s="6">
        <f ca="1">IF(Main[[#This Row],[تاخیر از سررسید]]&gt;0,Main[[#This Row],[بدهی تسویه نشده (کیلوگرم)]],0)</f>
        <v>0</v>
      </c>
      <c r="Q181" s="6">
        <f ca="1">IF(Main[[#This Row],[بدهی تسویه نشده (کیلوگرم)]]&gt;0,'گزارش فردی'!$B$7-Main[[#This Row],[تاريخ میلادی]],0)</f>
        <v>0</v>
      </c>
      <c r="R181" s="6">
        <f ca="1">IF(Main[[#This Row],[بدهی تسویه نشده (کیلوگرم)]]&gt;0,'گزارش فردی'!$B$7-Main[[#This Row],[تاريخ میلادی]]-'گزارش فردی'!$B$8,0)</f>
        <v>0</v>
      </c>
      <c r="S181" s="6">
        <f ca="1">Main[[#This Row],[روز از ارسال سفارش]]*Main[[#This Row],[بدهی تسویه نشده (کیلوگرم)]]</f>
        <v>0</v>
      </c>
      <c r="T181" s="6">
        <f ca="1">Main[[#This Row],[بدهی سررسید شده (کیلوگرم)]]*Main[[#This Row],[روز از ارسال سفارش]]</f>
        <v>0</v>
      </c>
      <c r="U181" s="6">
        <f>-SUBTOTAL(9,INDEX(Main[مقدار (کیلوگرم)],1):Main[[#This Row],[مقدار (کیلوگرم)]])</f>
        <v>29252</v>
      </c>
      <c r="V1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" s="6">
        <f>Main[[#This Row],[تعداد کل روزهای بدهکار (روز)]]*Main[[#This Row],[مانده در خط کل (کیلوگرم)]]</f>
        <v>0</v>
      </c>
      <c r="X181" s="6">
        <f ca="1">-SUBTOTAL(9,INDEX(Main[مقدار تسویه شده (کیلوگرم)],1):Main[[#This Row],[مقدار تسویه شده (کیلوگرم)]])</f>
        <v>29252</v>
      </c>
      <c r="Y181" s="6">
        <f ca="1">IF(Main[[#This Row],[مانده در خط تسویه شده (کیلوگرم)]]&lt;&gt;0,Main[[#This Row],[تعداد کل روزهای بدهکار (روز)]],0)</f>
        <v>0</v>
      </c>
      <c r="Z181" s="6">
        <f ca="1">Main[[#This Row],[تعداد روزهای بدهکار تسویه شده (روز)]]*Main[[#This Row],[مانده در خط تسویه شده (کیلوگرم)]]</f>
        <v>0</v>
      </c>
      <c r="AA181" s="6">
        <f ca="1">SUBTOTAL(9,INDEX(Main[بدهی تسویه نشده (کیلوگرم)],1):Main[[#This Row],[بدهی تسویه نشده (کیلوگرم)]])</f>
        <v>0</v>
      </c>
      <c r="AB181" s="6">
        <f ca="1">IF(Main[[#This Row],[مانده در خط تسویه نشده (کیلوگرم)]]&lt;&gt;0,Main[[#This Row],[تعداد کل روزهای بدهکار (روز)]],0)</f>
        <v>0</v>
      </c>
      <c r="AC181" s="6">
        <f ca="1">Main[[#This Row],[تعداد روزهای بدهکار  تسویه نشده (روز)]]*Main[[#This Row],[مانده در خط تسویه نشده (کیلوگرم)]]</f>
        <v>0</v>
      </c>
      <c r="AD181" s="6">
        <f ca="1">SUBTOTAL(9,INDEX(Main[بدهی سررسید شده (کیلوگرم)],1):Main[[#This Row],[بدهی سررسید شده (کیلوگرم)]])</f>
        <v>0</v>
      </c>
      <c r="AE181" s="6">
        <f ca="1">IF(Main[[#This Row],[مانده در خط سررسید شده (کیلوگرم)]]&lt;&gt;0,Main[[#This Row],[تعداد کل روزهای بدهکار (روز)]],0)</f>
        <v>0</v>
      </c>
      <c r="AF181" s="6">
        <f ca="1">Main[[#This Row],[تعداد روزهای بدهکار سررسید شده (روز)]]*Main[[#This Row],[مانده در خط سررسید شده (کیلوگرم)]]</f>
        <v>0</v>
      </c>
    </row>
    <row r="182" spans="1:32" x14ac:dyDescent="0.35">
      <c r="A182" s="5">
        <f>ROW()-ROW(INDEX(Main[ردیف],1))+1</f>
        <v>180</v>
      </c>
      <c r="B182" s="31">
        <f>SUBTOTAL(2,INDEX(Main[ردیف],1):Main[[#This Row],[ردیف]])</f>
        <v>14</v>
      </c>
      <c r="C182" s="32" t="s">
        <v>518</v>
      </c>
      <c r="D182" s="32" t="str">
        <f>_xlfn.CONCAT("14",Main[[#This Row],[تاريخ]])</f>
        <v>1400/01/26</v>
      </c>
      <c r="E182" s="33">
        <v>44301</v>
      </c>
      <c r="F182" s="32">
        <v>10003</v>
      </c>
      <c r="G182" s="5" t="str">
        <f>INDEX(customer[عنوان],MATCH(Main[[#This Row],[کد ردیابی]],customer[کد],0))</f>
        <v>اصغر نورعلی</v>
      </c>
      <c r="H182">
        <v>2812</v>
      </c>
      <c r="I182" s="6">
        <f ca="1">-Main[[#This Row],[بدهی تسویه شده (کیلوگرم)]]+Main[[#This Row],[بستانکار (کیلوگرم)]]</f>
        <v>2812</v>
      </c>
      <c r="J182" s="6">
        <f>IF(Main[[#This Row],[مقدار (کیلوگرم)]]&gt;0,Main[[#This Row],[مقدار (کیلوگرم)]],0)</f>
        <v>2812</v>
      </c>
      <c r="K182" s="6">
        <f>-IF(Main[[#This Row],[مقدار (کیلوگرم)]]&lt;0,Main[[#This Row],[مقدار (کیلوگرم)]],0)</f>
        <v>0</v>
      </c>
      <c r="L1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" s="7">
        <f>-IF(AND(Main[[#This Row],[مقدار (کیلوگرم)]]&lt;0,Main[[#This Row],[تاريخ میلادی]]&gt;44276),Main[[#This Row],[مقدار (کیلوگرم)]],0)</f>
        <v>0</v>
      </c>
      <c r="N182" s="6">
        <f ca="1">Main[[#This Row],[بدهکار (کیلوگرم)]]-Main[[#This Row],[بدهی تسویه نشده (کیلوگرم)]]</f>
        <v>0</v>
      </c>
      <c r="O182" s="6">
        <f ca="1">Main[[#This Row],[تفکیک]]</f>
        <v>0</v>
      </c>
      <c r="P182" s="6">
        <f ca="1">IF(Main[[#This Row],[تاخیر از سررسید]]&gt;0,Main[[#This Row],[بدهی تسویه نشده (کیلوگرم)]],0)</f>
        <v>0</v>
      </c>
      <c r="Q182" s="6">
        <f ca="1">IF(Main[[#This Row],[بدهی تسویه نشده (کیلوگرم)]]&gt;0,'گزارش فردی'!$B$7-Main[[#This Row],[تاريخ میلادی]],0)</f>
        <v>0</v>
      </c>
      <c r="R182" s="6">
        <f ca="1">IF(Main[[#This Row],[بدهی تسویه نشده (کیلوگرم)]]&gt;0,'گزارش فردی'!$B$7-Main[[#This Row],[تاريخ میلادی]]-'گزارش فردی'!$B$8,0)</f>
        <v>0</v>
      </c>
      <c r="S182" s="6">
        <f ca="1">Main[[#This Row],[روز از ارسال سفارش]]*Main[[#This Row],[بدهی تسویه نشده (کیلوگرم)]]</f>
        <v>0</v>
      </c>
      <c r="T182" s="6">
        <f ca="1">Main[[#This Row],[بدهی سررسید شده (کیلوگرم)]]*Main[[#This Row],[روز از ارسال سفارش]]</f>
        <v>0</v>
      </c>
      <c r="U182" s="6">
        <f>-SUBTOTAL(9,INDEX(Main[مقدار (کیلوگرم)],1):Main[[#This Row],[مقدار (کیلوگرم)]])</f>
        <v>26440</v>
      </c>
      <c r="V1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" s="6">
        <f>Main[[#This Row],[تعداد کل روزهای بدهکار (روز)]]*Main[[#This Row],[مانده در خط کل (کیلوگرم)]]</f>
        <v>0</v>
      </c>
      <c r="X182" s="6">
        <f ca="1">-SUBTOTAL(9,INDEX(Main[مقدار تسویه شده (کیلوگرم)],1):Main[[#This Row],[مقدار تسویه شده (کیلوگرم)]])</f>
        <v>26440</v>
      </c>
      <c r="Y182" s="6">
        <f ca="1">IF(Main[[#This Row],[مانده در خط تسویه شده (کیلوگرم)]]&lt;&gt;0,Main[[#This Row],[تعداد کل روزهای بدهکار (روز)]],0)</f>
        <v>0</v>
      </c>
      <c r="Z182" s="6">
        <f ca="1">Main[[#This Row],[تعداد روزهای بدهکار تسویه شده (روز)]]*Main[[#This Row],[مانده در خط تسویه شده (کیلوگرم)]]</f>
        <v>0</v>
      </c>
      <c r="AA182" s="6">
        <f ca="1">SUBTOTAL(9,INDEX(Main[بدهی تسویه نشده (کیلوگرم)],1):Main[[#This Row],[بدهی تسویه نشده (کیلوگرم)]])</f>
        <v>0</v>
      </c>
      <c r="AB182" s="6">
        <f ca="1">IF(Main[[#This Row],[مانده در خط تسویه نشده (کیلوگرم)]]&lt;&gt;0,Main[[#This Row],[تعداد کل روزهای بدهکار (روز)]],0)</f>
        <v>0</v>
      </c>
      <c r="AC182" s="6">
        <f ca="1">Main[[#This Row],[تعداد روزهای بدهکار  تسویه نشده (روز)]]*Main[[#This Row],[مانده در خط تسویه نشده (کیلوگرم)]]</f>
        <v>0</v>
      </c>
      <c r="AD182" s="6">
        <f ca="1">SUBTOTAL(9,INDEX(Main[بدهی سررسید شده (کیلوگرم)],1):Main[[#This Row],[بدهی سررسید شده (کیلوگرم)]])</f>
        <v>0</v>
      </c>
      <c r="AE182" s="6">
        <f ca="1">IF(Main[[#This Row],[مانده در خط سررسید شده (کیلوگرم)]]&lt;&gt;0,Main[[#This Row],[تعداد کل روزهای بدهکار (روز)]],0)</f>
        <v>0</v>
      </c>
      <c r="AF182" s="6">
        <f ca="1">Main[[#This Row],[تعداد روزهای بدهکار سررسید شده (روز)]]*Main[[#This Row],[مانده در خط سررسید شده (کیلوگرم)]]</f>
        <v>0</v>
      </c>
    </row>
    <row r="183" spans="1:32" hidden="1" x14ac:dyDescent="0.35">
      <c r="A183" s="5">
        <f>ROW()-ROW(INDEX(Main[ردیف],1))+1</f>
        <v>181</v>
      </c>
      <c r="B183" s="31">
        <f>SUBTOTAL(2,INDEX(Main[ردیف],1):Main[[#This Row],[ردیف]])</f>
        <v>14</v>
      </c>
      <c r="C183" s="32" t="s">
        <v>518</v>
      </c>
      <c r="D183" s="32" t="str">
        <f>_xlfn.CONCAT("14",Main[[#This Row],[تاريخ]])</f>
        <v>1400/01/26</v>
      </c>
      <c r="E183" s="33">
        <v>44301</v>
      </c>
      <c r="F183" s="32">
        <v>50011</v>
      </c>
      <c r="G183" s="5" t="str">
        <f>INDEX(customer[عنوان],MATCH(Main[[#This Row],[کد ردیابی]],customer[کد],0))</f>
        <v xml:space="preserve">جعفر هوشمند </v>
      </c>
      <c r="H183">
        <v>-1654</v>
      </c>
      <c r="I183" s="6">
        <f ca="1">-Main[[#This Row],[بدهی تسویه شده (کیلوگرم)]]+Main[[#This Row],[بستانکار (کیلوگرم)]]</f>
        <v>-1654</v>
      </c>
      <c r="J183" s="6">
        <f>IF(Main[[#This Row],[مقدار (کیلوگرم)]]&gt;0,Main[[#This Row],[مقدار (کیلوگرم)]],0)</f>
        <v>0</v>
      </c>
      <c r="K183" s="6">
        <f>-IF(Main[[#This Row],[مقدار (کیلوگرم)]]&lt;0,Main[[#This Row],[مقدار (کیلوگرم)]],0)</f>
        <v>1654</v>
      </c>
      <c r="L1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" s="7">
        <f>-IF(AND(Main[[#This Row],[مقدار (کیلوگرم)]]&lt;0,Main[[#This Row],[تاريخ میلادی]]&gt;44276),Main[[#This Row],[مقدار (کیلوگرم)]],0)</f>
        <v>1654</v>
      </c>
      <c r="N183" s="6">
        <f ca="1">Main[[#This Row],[بدهکار (کیلوگرم)]]-Main[[#This Row],[بدهی تسویه نشده (کیلوگرم)]]</f>
        <v>1654</v>
      </c>
      <c r="O183" s="6">
        <f ca="1">Main[[#This Row],[تفکیک]]</f>
        <v>0</v>
      </c>
      <c r="P183" s="6">
        <f ca="1">IF(Main[[#This Row],[تاخیر از سررسید]]&gt;0,Main[[#This Row],[بدهی تسویه نشده (کیلوگرم)]],0)</f>
        <v>0</v>
      </c>
      <c r="Q183" s="6">
        <f ca="1">IF(Main[[#This Row],[بدهی تسویه نشده (کیلوگرم)]]&gt;0,'گزارش فردی'!$B$7-Main[[#This Row],[تاريخ میلادی]],0)</f>
        <v>0</v>
      </c>
      <c r="R183" s="6">
        <f ca="1">IF(Main[[#This Row],[بدهی تسویه نشده (کیلوگرم)]]&gt;0,'گزارش فردی'!$B$7-Main[[#This Row],[تاريخ میلادی]]-'گزارش فردی'!$B$8,0)</f>
        <v>0</v>
      </c>
      <c r="S183" s="6">
        <f ca="1">Main[[#This Row],[روز از ارسال سفارش]]*Main[[#This Row],[بدهی تسویه نشده (کیلوگرم)]]</f>
        <v>0</v>
      </c>
      <c r="T183" s="6">
        <f ca="1">Main[[#This Row],[بدهی سررسید شده (کیلوگرم)]]*Main[[#This Row],[روز از ارسال سفارش]]</f>
        <v>0</v>
      </c>
      <c r="U183" s="6">
        <f>-SUBTOTAL(9,INDEX(Main[مقدار (کیلوگرم)],1):Main[[#This Row],[مقدار (کیلوگرم)]])</f>
        <v>26440</v>
      </c>
      <c r="V1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3" s="6">
        <f>Main[[#This Row],[تعداد کل روزهای بدهکار (روز)]]*Main[[#This Row],[مانده در خط کل (کیلوگرم)]]</f>
        <v>0</v>
      </c>
      <c r="X183" s="6">
        <f ca="1">-SUBTOTAL(9,INDEX(Main[مقدار تسویه شده (کیلوگرم)],1):Main[[#This Row],[مقدار تسویه شده (کیلوگرم)]])</f>
        <v>26440</v>
      </c>
      <c r="Y183" s="6">
        <f ca="1">IF(Main[[#This Row],[مانده در خط تسویه شده (کیلوگرم)]]&lt;&gt;0,Main[[#This Row],[تعداد کل روزهای بدهکار (روز)]],0)</f>
        <v>0</v>
      </c>
      <c r="Z183" s="6">
        <f ca="1">Main[[#This Row],[تعداد روزهای بدهکار تسویه شده (روز)]]*Main[[#This Row],[مانده در خط تسویه شده (کیلوگرم)]]</f>
        <v>0</v>
      </c>
      <c r="AA183" s="6">
        <f ca="1">SUBTOTAL(9,INDEX(Main[بدهی تسویه نشده (کیلوگرم)],1):Main[[#This Row],[بدهی تسویه نشده (کیلوگرم)]])</f>
        <v>0</v>
      </c>
      <c r="AB183" s="6">
        <f ca="1">IF(Main[[#This Row],[مانده در خط تسویه نشده (کیلوگرم)]]&lt;&gt;0,Main[[#This Row],[تعداد کل روزهای بدهکار (روز)]],0)</f>
        <v>0</v>
      </c>
      <c r="AC183" s="6">
        <f ca="1">Main[[#This Row],[تعداد روزهای بدهکار  تسویه نشده (روز)]]*Main[[#This Row],[مانده در خط تسویه نشده (کیلوگرم)]]</f>
        <v>0</v>
      </c>
      <c r="AD183" s="6">
        <f ca="1">SUBTOTAL(9,INDEX(Main[بدهی سررسید شده (کیلوگرم)],1):Main[[#This Row],[بدهی سررسید شده (کیلوگرم)]])</f>
        <v>0</v>
      </c>
      <c r="AE183" s="6">
        <f ca="1">IF(Main[[#This Row],[مانده در خط سررسید شده (کیلوگرم)]]&lt;&gt;0,Main[[#This Row],[تعداد کل روزهای بدهکار (روز)]],0)</f>
        <v>0</v>
      </c>
      <c r="AF183" s="6">
        <f ca="1">Main[[#This Row],[تعداد روزهای بدهکار سررسید شده (روز)]]*Main[[#This Row],[مانده در خط سررسید شده (کیلوگرم)]]</f>
        <v>0</v>
      </c>
    </row>
    <row r="184" spans="1:32" hidden="1" x14ac:dyDescent="0.35">
      <c r="A184" s="5">
        <f>ROW()-ROW(INDEX(Main[ردیف],1))+1</f>
        <v>182</v>
      </c>
      <c r="B184" s="31">
        <f>SUBTOTAL(2,INDEX(Main[ردیف],1):Main[[#This Row],[ردیف]])</f>
        <v>14</v>
      </c>
      <c r="C184" s="32" t="s">
        <v>518</v>
      </c>
      <c r="D184" s="32" t="str">
        <f>_xlfn.CONCAT("14",Main[[#This Row],[تاريخ]])</f>
        <v>1400/01/26</v>
      </c>
      <c r="E184" s="33">
        <v>44301</v>
      </c>
      <c r="F184" s="32">
        <v>30066</v>
      </c>
      <c r="G184" s="5" t="str">
        <f>INDEX(customer[عنوان],MATCH(Main[[#This Row],[کد ردیابی]],customer[کد],0))</f>
        <v xml:space="preserve">شیر آلات بهداشتی قهرمان </v>
      </c>
      <c r="H184">
        <v>3857</v>
      </c>
      <c r="I184" s="6">
        <f ca="1">-Main[[#This Row],[بدهی تسویه شده (کیلوگرم)]]+Main[[#This Row],[بستانکار (کیلوگرم)]]</f>
        <v>3857</v>
      </c>
      <c r="J184" s="6">
        <f>IF(Main[[#This Row],[مقدار (کیلوگرم)]]&gt;0,Main[[#This Row],[مقدار (کیلوگرم)]],0)</f>
        <v>3857</v>
      </c>
      <c r="K184" s="6">
        <f>-IF(Main[[#This Row],[مقدار (کیلوگرم)]]&lt;0,Main[[#This Row],[مقدار (کیلوگرم)]],0)</f>
        <v>0</v>
      </c>
      <c r="L1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" s="7">
        <f>-IF(AND(Main[[#This Row],[مقدار (کیلوگرم)]]&lt;0,Main[[#This Row],[تاريخ میلادی]]&gt;44276),Main[[#This Row],[مقدار (کیلوگرم)]],0)</f>
        <v>0</v>
      </c>
      <c r="N184" s="6">
        <f ca="1">Main[[#This Row],[بدهکار (کیلوگرم)]]-Main[[#This Row],[بدهی تسویه نشده (کیلوگرم)]]</f>
        <v>0</v>
      </c>
      <c r="O184" s="6">
        <f ca="1">Main[[#This Row],[تفکیک]]</f>
        <v>0</v>
      </c>
      <c r="P184" s="6">
        <f ca="1">IF(Main[[#This Row],[تاخیر از سررسید]]&gt;0,Main[[#This Row],[بدهی تسویه نشده (کیلوگرم)]],0)</f>
        <v>0</v>
      </c>
      <c r="Q184" s="6">
        <f ca="1">IF(Main[[#This Row],[بدهی تسویه نشده (کیلوگرم)]]&gt;0,'گزارش فردی'!$B$7-Main[[#This Row],[تاريخ میلادی]],0)</f>
        <v>0</v>
      </c>
      <c r="R184" s="6">
        <f ca="1">IF(Main[[#This Row],[بدهی تسویه نشده (کیلوگرم)]]&gt;0,'گزارش فردی'!$B$7-Main[[#This Row],[تاريخ میلادی]]-'گزارش فردی'!$B$8,0)</f>
        <v>0</v>
      </c>
      <c r="S184" s="6">
        <f ca="1">Main[[#This Row],[روز از ارسال سفارش]]*Main[[#This Row],[بدهی تسویه نشده (کیلوگرم)]]</f>
        <v>0</v>
      </c>
      <c r="T184" s="6">
        <f ca="1">Main[[#This Row],[بدهی سررسید شده (کیلوگرم)]]*Main[[#This Row],[روز از ارسال سفارش]]</f>
        <v>0</v>
      </c>
      <c r="U184" s="6">
        <f>-SUBTOTAL(9,INDEX(Main[مقدار (کیلوگرم)],1):Main[[#This Row],[مقدار (کیلوگرم)]])</f>
        <v>26440</v>
      </c>
      <c r="V1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" s="6">
        <f>Main[[#This Row],[تعداد کل روزهای بدهکار (روز)]]*Main[[#This Row],[مانده در خط کل (کیلوگرم)]]</f>
        <v>0</v>
      </c>
      <c r="X184" s="6">
        <f ca="1">-SUBTOTAL(9,INDEX(Main[مقدار تسویه شده (کیلوگرم)],1):Main[[#This Row],[مقدار تسویه شده (کیلوگرم)]])</f>
        <v>26440</v>
      </c>
      <c r="Y184" s="6">
        <f ca="1">IF(Main[[#This Row],[مانده در خط تسویه شده (کیلوگرم)]]&lt;&gt;0,Main[[#This Row],[تعداد کل روزهای بدهکار (روز)]],0)</f>
        <v>0</v>
      </c>
      <c r="Z184" s="6">
        <f ca="1">Main[[#This Row],[تعداد روزهای بدهکار تسویه شده (روز)]]*Main[[#This Row],[مانده در خط تسویه شده (کیلوگرم)]]</f>
        <v>0</v>
      </c>
      <c r="AA184" s="6">
        <f ca="1">SUBTOTAL(9,INDEX(Main[بدهی تسویه نشده (کیلوگرم)],1):Main[[#This Row],[بدهی تسویه نشده (کیلوگرم)]])</f>
        <v>0</v>
      </c>
      <c r="AB184" s="6">
        <f ca="1">IF(Main[[#This Row],[مانده در خط تسویه نشده (کیلوگرم)]]&lt;&gt;0,Main[[#This Row],[تعداد کل روزهای بدهکار (روز)]],0)</f>
        <v>0</v>
      </c>
      <c r="AC184" s="6">
        <f ca="1">Main[[#This Row],[تعداد روزهای بدهکار  تسویه نشده (روز)]]*Main[[#This Row],[مانده در خط تسویه نشده (کیلوگرم)]]</f>
        <v>0</v>
      </c>
      <c r="AD184" s="6">
        <f ca="1">SUBTOTAL(9,INDEX(Main[بدهی سررسید شده (کیلوگرم)],1):Main[[#This Row],[بدهی سررسید شده (کیلوگرم)]])</f>
        <v>0</v>
      </c>
      <c r="AE184" s="6">
        <f ca="1">IF(Main[[#This Row],[مانده در خط سررسید شده (کیلوگرم)]]&lt;&gt;0,Main[[#This Row],[تعداد کل روزهای بدهکار (روز)]],0)</f>
        <v>0</v>
      </c>
      <c r="AF184" s="6">
        <f ca="1">Main[[#This Row],[تعداد روزهای بدهکار سررسید شده (روز)]]*Main[[#This Row],[مانده در خط سررسید شده (کیلوگرم)]]</f>
        <v>0</v>
      </c>
    </row>
    <row r="185" spans="1:32" hidden="1" x14ac:dyDescent="0.35">
      <c r="A185" s="5">
        <f>ROW()-ROW(INDEX(Main[ردیف],1))+1</f>
        <v>183</v>
      </c>
      <c r="B185" s="31">
        <f>SUBTOTAL(2,INDEX(Main[ردیف],1):Main[[#This Row],[ردیف]])</f>
        <v>14</v>
      </c>
      <c r="C185" s="32" t="s">
        <v>518</v>
      </c>
      <c r="D185" s="32" t="str">
        <f>_xlfn.CONCAT("14",Main[[#This Row],[تاريخ]])</f>
        <v>1400/01/26</v>
      </c>
      <c r="E185" s="33">
        <v>44301</v>
      </c>
      <c r="F185" s="32">
        <v>30009</v>
      </c>
      <c r="G185" s="5" t="str">
        <f>INDEX(customer[عنوان],MATCH(Main[[#This Row],[کد ردیابی]],customer[کد],0))</f>
        <v>شرکت ایمن تک پیشرو</v>
      </c>
      <c r="H185">
        <v>-1052</v>
      </c>
      <c r="I185" s="6">
        <f ca="1">-Main[[#This Row],[بدهی تسویه شده (کیلوگرم)]]+Main[[#This Row],[بستانکار (کیلوگرم)]]</f>
        <v>-1052</v>
      </c>
      <c r="J185" s="6">
        <f>IF(Main[[#This Row],[مقدار (کیلوگرم)]]&gt;0,Main[[#This Row],[مقدار (کیلوگرم)]],0)</f>
        <v>0</v>
      </c>
      <c r="K185" s="6">
        <f>-IF(Main[[#This Row],[مقدار (کیلوگرم)]]&lt;0,Main[[#This Row],[مقدار (کیلوگرم)]],0)</f>
        <v>1052</v>
      </c>
      <c r="L1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" s="7">
        <f>-IF(AND(Main[[#This Row],[مقدار (کیلوگرم)]]&lt;0,Main[[#This Row],[تاريخ میلادی]]&gt;44276),Main[[#This Row],[مقدار (کیلوگرم)]],0)</f>
        <v>1052</v>
      </c>
      <c r="N185" s="6">
        <f ca="1">Main[[#This Row],[بدهکار (کیلوگرم)]]-Main[[#This Row],[بدهی تسویه نشده (کیلوگرم)]]</f>
        <v>1052</v>
      </c>
      <c r="O185" s="6">
        <f ca="1">Main[[#This Row],[تفکیک]]</f>
        <v>0</v>
      </c>
      <c r="P185" s="6">
        <f ca="1">IF(Main[[#This Row],[تاخیر از سررسید]]&gt;0,Main[[#This Row],[بدهی تسویه نشده (کیلوگرم)]],0)</f>
        <v>0</v>
      </c>
      <c r="Q185" s="6">
        <f ca="1">IF(Main[[#This Row],[بدهی تسویه نشده (کیلوگرم)]]&gt;0,'گزارش فردی'!$B$7-Main[[#This Row],[تاريخ میلادی]],0)</f>
        <v>0</v>
      </c>
      <c r="R185" s="6">
        <f ca="1">IF(Main[[#This Row],[بدهی تسویه نشده (کیلوگرم)]]&gt;0,'گزارش فردی'!$B$7-Main[[#This Row],[تاريخ میلادی]]-'گزارش فردی'!$B$8,0)</f>
        <v>0</v>
      </c>
      <c r="S185" s="6">
        <f ca="1">Main[[#This Row],[روز از ارسال سفارش]]*Main[[#This Row],[بدهی تسویه نشده (کیلوگرم)]]</f>
        <v>0</v>
      </c>
      <c r="T185" s="6">
        <f ca="1">Main[[#This Row],[بدهی سررسید شده (کیلوگرم)]]*Main[[#This Row],[روز از ارسال سفارش]]</f>
        <v>0</v>
      </c>
      <c r="U185" s="6">
        <f>-SUBTOTAL(9,INDEX(Main[مقدار (کیلوگرم)],1):Main[[#This Row],[مقدار (کیلوگرم)]])</f>
        <v>26440</v>
      </c>
      <c r="V1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5" s="6">
        <f>Main[[#This Row],[تعداد کل روزهای بدهکار (روز)]]*Main[[#This Row],[مانده در خط کل (کیلوگرم)]]</f>
        <v>0</v>
      </c>
      <c r="X185" s="6">
        <f ca="1">-SUBTOTAL(9,INDEX(Main[مقدار تسویه شده (کیلوگرم)],1):Main[[#This Row],[مقدار تسویه شده (کیلوگرم)]])</f>
        <v>26440</v>
      </c>
      <c r="Y185" s="6">
        <f ca="1">IF(Main[[#This Row],[مانده در خط تسویه شده (کیلوگرم)]]&lt;&gt;0,Main[[#This Row],[تعداد کل روزهای بدهکار (روز)]],0)</f>
        <v>0</v>
      </c>
      <c r="Z185" s="6">
        <f ca="1">Main[[#This Row],[تعداد روزهای بدهکار تسویه شده (روز)]]*Main[[#This Row],[مانده در خط تسویه شده (کیلوگرم)]]</f>
        <v>0</v>
      </c>
      <c r="AA185" s="6">
        <f ca="1">SUBTOTAL(9,INDEX(Main[بدهی تسویه نشده (کیلوگرم)],1):Main[[#This Row],[بدهی تسویه نشده (کیلوگرم)]])</f>
        <v>0</v>
      </c>
      <c r="AB185" s="6">
        <f ca="1">IF(Main[[#This Row],[مانده در خط تسویه نشده (کیلوگرم)]]&lt;&gt;0,Main[[#This Row],[تعداد کل روزهای بدهکار (روز)]],0)</f>
        <v>0</v>
      </c>
      <c r="AC185" s="6">
        <f ca="1">Main[[#This Row],[تعداد روزهای بدهکار  تسویه نشده (روز)]]*Main[[#This Row],[مانده در خط تسویه نشده (کیلوگرم)]]</f>
        <v>0</v>
      </c>
      <c r="AD185" s="6">
        <f ca="1">SUBTOTAL(9,INDEX(Main[بدهی سررسید شده (کیلوگرم)],1):Main[[#This Row],[بدهی سررسید شده (کیلوگرم)]])</f>
        <v>0</v>
      </c>
      <c r="AE185" s="6">
        <f ca="1">IF(Main[[#This Row],[مانده در خط سررسید شده (کیلوگرم)]]&lt;&gt;0,Main[[#This Row],[تعداد کل روزهای بدهکار (روز)]],0)</f>
        <v>0</v>
      </c>
      <c r="AF185" s="6">
        <f ca="1">Main[[#This Row],[تعداد روزهای بدهکار سررسید شده (روز)]]*Main[[#This Row],[مانده در خط سررسید شده (کیلوگرم)]]</f>
        <v>0</v>
      </c>
    </row>
    <row r="186" spans="1:32" x14ac:dyDescent="0.35">
      <c r="A186" s="5">
        <f>ROW()-ROW(INDEX(Main[ردیف],1))+1</f>
        <v>184</v>
      </c>
      <c r="B186" s="31">
        <f>SUBTOTAL(2,INDEX(Main[ردیف],1):Main[[#This Row],[ردیف]])</f>
        <v>15</v>
      </c>
      <c r="C186" s="32" t="s">
        <v>518</v>
      </c>
      <c r="D186" s="32" t="str">
        <f>_xlfn.CONCAT("14",Main[[#This Row],[تاريخ]])</f>
        <v>1400/01/26</v>
      </c>
      <c r="E186" s="33">
        <v>44301</v>
      </c>
      <c r="F186" s="32">
        <v>10003</v>
      </c>
      <c r="G186" s="5" t="str">
        <f>INDEX(customer[عنوان],MATCH(Main[[#This Row],[کد ردیابی]],customer[کد],0))</f>
        <v>اصغر نورعلی</v>
      </c>
      <c r="H186">
        <v>-1496</v>
      </c>
      <c r="I186" s="6">
        <f ca="1">-Main[[#This Row],[بدهی تسویه شده (کیلوگرم)]]+Main[[#This Row],[بستانکار (کیلوگرم)]]</f>
        <v>-1496</v>
      </c>
      <c r="J186" s="6">
        <f>IF(Main[[#This Row],[مقدار (کیلوگرم)]]&gt;0,Main[[#This Row],[مقدار (کیلوگرم)]],0)</f>
        <v>0</v>
      </c>
      <c r="K186" s="6">
        <f>-IF(Main[[#This Row],[مقدار (کیلوگرم)]]&lt;0,Main[[#This Row],[مقدار (کیلوگرم)]],0)</f>
        <v>1496</v>
      </c>
      <c r="L1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" s="7">
        <f>-IF(AND(Main[[#This Row],[مقدار (کیلوگرم)]]&lt;0,Main[[#This Row],[تاريخ میلادی]]&gt;44276),Main[[#This Row],[مقدار (کیلوگرم)]],0)</f>
        <v>1496</v>
      </c>
      <c r="N186" s="6">
        <f ca="1">Main[[#This Row],[بدهکار (کیلوگرم)]]-Main[[#This Row],[بدهی تسویه نشده (کیلوگرم)]]</f>
        <v>1496</v>
      </c>
      <c r="O186" s="6">
        <f ca="1">Main[[#This Row],[تفکیک]]</f>
        <v>0</v>
      </c>
      <c r="P186" s="6">
        <f ca="1">IF(Main[[#This Row],[تاخیر از سررسید]]&gt;0,Main[[#This Row],[بدهی تسویه نشده (کیلوگرم)]],0)</f>
        <v>0</v>
      </c>
      <c r="Q186" s="6">
        <f ca="1">IF(Main[[#This Row],[بدهی تسویه نشده (کیلوگرم)]]&gt;0,'گزارش فردی'!$B$7-Main[[#This Row],[تاريخ میلادی]],0)</f>
        <v>0</v>
      </c>
      <c r="R186" s="6">
        <f ca="1">IF(Main[[#This Row],[بدهی تسویه نشده (کیلوگرم)]]&gt;0,'گزارش فردی'!$B$7-Main[[#This Row],[تاريخ میلادی]]-'گزارش فردی'!$B$8,0)</f>
        <v>0</v>
      </c>
      <c r="S186" s="6">
        <f ca="1">Main[[#This Row],[روز از ارسال سفارش]]*Main[[#This Row],[بدهی تسویه نشده (کیلوگرم)]]</f>
        <v>0</v>
      </c>
      <c r="T186" s="6">
        <f ca="1">Main[[#This Row],[بدهی سررسید شده (کیلوگرم)]]*Main[[#This Row],[روز از ارسال سفارش]]</f>
        <v>0</v>
      </c>
      <c r="U186" s="6">
        <f>-SUBTOTAL(9,INDEX(Main[مقدار (کیلوگرم)],1):Main[[#This Row],[مقدار (کیلوگرم)]])</f>
        <v>27936</v>
      </c>
      <c r="V18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6" s="6">
        <f>Main[[#This Row],[تعداد کل روزهای بدهکار (روز)]]*Main[[#This Row],[مانده در خط کل (کیلوگرم)]]</f>
        <v>55872</v>
      </c>
      <c r="X186" s="6">
        <f ca="1">-SUBTOTAL(9,INDEX(Main[مقدار تسویه شده (کیلوگرم)],1):Main[[#This Row],[مقدار تسویه شده (کیلوگرم)]])</f>
        <v>27936</v>
      </c>
      <c r="Y186" s="6">
        <f ca="1">IF(Main[[#This Row],[مانده در خط تسویه شده (کیلوگرم)]]&lt;&gt;0,Main[[#This Row],[تعداد کل روزهای بدهکار (روز)]],0)</f>
        <v>2</v>
      </c>
      <c r="Z186" s="6">
        <f ca="1">Main[[#This Row],[تعداد روزهای بدهکار تسویه شده (روز)]]*Main[[#This Row],[مانده در خط تسویه شده (کیلوگرم)]]</f>
        <v>55872</v>
      </c>
      <c r="AA186" s="6">
        <f ca="1">SUBTOTAL(9,INDEX(Main[بدهی تسویه نشده (کیلوگرم)],1):Main[[#This Row],[بدهی تسویه نشده (کیلوگرم)]])</f>
        <v>0</v>
      </c>
      <c r="AB186" s="6">
        <f ca="1">IF(Main[[#This Row],[مانده در خط تسویه نشده (کیلوگرم)]]&lt;&gt;0,Main[[#This Row],[تعداد کل روزهای بدهکار (روز)]],0)</f>
        <v>0</v>
      </c>
      <c r="AC186" s="6">
        <f ca="1">Main[[#This Row],[تعداد روزهای بدهکار  تسویه نشده (روز)]]*Main[[#This Row],[مانده در خط تسویه نشده (کیلوگرم)]]</f>
        <v>0</v>
      </c>
      <c r="AD186" s="6">
        <f ca="1">SUBTOTAL(9,INDEX(Main[بدهی سررسید شده (کیلوگرم)],1):Main[[#This Row],[بدهی سررسید شده (کیلوگرم)]])</f>
        <v>0</v>
      </c>
      <c r="AE186" s="6">
        <f ca="1">IF(Main[[#This Row],[مانده در خط سررسید شده (کیلوگرم)]]&lt;&gt;0,Main[[#This Row],[تعداد کل روزهای بدهکار (روز)]],0)</f>
        <v>0</v>
      </c>
      <c r="AF186" s="6">
        <f ca="1">Main[[#This Row],[تعداد روزهای بدهکار سررسید شده (روز)]]*Main[[#This Row],[مانده در خط سررسید شده (کیلوگرم)]]</f>
        <v>0</v>
      </c>
    </row>
    <row r="187" spans="1:32" hidden="1" x14ac:dyDescent="0.35">
      <c r="A187" s="5">
        <f>ROW()-ROW(INDEX(Main[ردیف],1))+1</f>
        <v>185</v>
      </c>
      <c r="B187" s="31">
        <f>SUBTOTAL(2,INDEX(Main[ردیف],1):Main[[#This Row],[ردیف]])</f>
        <v>15</v>
      </c>
      <c r="C187" s="32" t="s">
        <v>518</v>
      </c>
      <c r="D187" s="32" t="str">
        <f>_xlfn.CONCAT("14",Main[[#This Row],[تاريخ]])</f>
        <v>1400/01/26</v>
      </c>
      <c r="E187" s="33">
        <v>44301</v>
      </c>
      <c r="F187" s="32">
        <v>10084</v>
      </c>
      <c r="G187" s="5" t="str">
        <f>INDEX(customer[عنوان],MATCH(Main[[#This Row],[کد ردیابی]],customer[کد],0))</f>
        <v xml:space="preserve">سیدحمید کاظمی </v>
      </c>
      <c r="H187">
        <v>-1500</v>
      </c>
      <c r="I187" s="6">
        <f ca="1">-Main[[#This Row],[بدهی تسویه شده (کیلوگرم)]]+Main[[#This Row],[بستانکار (کیلوگرم)]]</f>
        <v>-1500</v>
      </c>
      <c r="J187" s="6">
        <f>IF(Main[[#This Row],[مقدار (کیلوگرم)]]&gt;0,Main[[#This Row],[مقدار (کیلوگرم)]],0)</f>
        <v>0</v>
      </c>
      <c r="K187" s="6">
        <f>-IF(Main[[#This Row],[مقدار (کیلوگرم)]]&lt;0,Main[[#This Row],[مقدار (کیلوگرم)]],0)</f>
        <v>1500</v>
      </c>
      <c r="L1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" s="7">
        <f>-IF(AND(Main[[#This Row],[مقدار (کیلوگرم)]]&lt;0,Main[[#This Row],[تاريخ میلادی]]&gt;44276),Main[[#This Row],[مقدار (کیلوگرم)]],0)</f>
        <v>1500</v>
      </c>
      <c r="N187" s="6">
        <f ca="1">Main[[#This Row],[بدهکار (کیلوگرم)]]-Main[[#This Row],[بدهی تسویه نشده (کیلوگرم)]]</f>
        <v>1500</v>
      </c>
      <c r="O187" s="6">
        <f ca="1">Main[[#This Row],[تفکیک]]</f>
        <v>0</v>
      </c>
      <c r="P187" s="6">
        <f ca="1">IF(Main[[#This Row],[تاخیر از سررسید]]&gt;0,Main[[#This Row],[بدهی تسویه نشده (کیلوگرم)]],0)</f>
        <v>0</v>
      </c>
      <c r="Q187" s="6">
        <f ca="1">IF(Main[[#This Row],[بدهی تسویه نشده (کیلوگرم)]]&gt;0,'گزارش فردی'!$B$7-Main[[#This Row],[تاريخ میلادی]],0)</f>
        <v>0</v>
      </c>
      <c r="R187" s="6">
        <f ca="1">IF(Main[[#This Row],[بدهی تسویه نشده (کیلوگرم)]]&gt;0,'گزارش فردی'!$B$7-Main[[#This Row],[تاريخ میلادی]]-'گزارش فردی'!$B$8,0)</f>
        <v>0</v>
      </c>
      <c r="S187" s="6">
        <f ca="1">Main[[#This Row],[روز از ارسال سفارش]]*Main[[#This Row],[بدهی تسویه نشده (کیلوگرم)]]</f>
        <v>0</v>
      </c>
      <c r="T187" s="6">
        <f ca="1">Main[[#This Row],[بدهی سررسید شده (کیلوگرم)]]*Main[[#This Row],[روز از ارسال سفارش]]</f>
        <v>0</v>
      </c>
      <c r="U187" s="6">
        <f>-SUBTOTAL(9,INDEX(Main[مقدار (کیلوگرم)],1):Main[[#This Row],[مقدار (کیلوگرم)]])</f>
        <v>27936</v>
      </c>
      <c r="V18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7" s="6">
        <f>Main[[#This Row],[تعداد کل روزهای بدهکار (روز)]]*Main[[#This Row],[مانده در خط کل (کیلوگرم)]]</f>
        <v>55872</v>
      </c>
      <c r="X187" s="6">
        <f ca="1">-SUBTOTAL(9,INDEX(Main[مقدار تسویه شده (کیلوگرم)],1):Main[[#This Row],[مقدار تسویه شده (کیلوگرم)]])</f>
        <v>27936</v>
      </c>
      <c r="Y187" s="6">
        <f ca="1">IF(Main[[#This Row],[مانده در خط تسویه شده (کیلوگرم)]]&lt;&gt;0,Main[[#This Row],[تعداد کل روزهای بدهکار (روز)]],0)</f>
        <v>2</v>
      </c>
      <c r="Z187" s="6">
        <f ca="1">Main[[#This Row],[تعداد روزهای بدهکار تسویه شده (روز)]]*Main[[#This Row],[مانده در خط تسویه شده (کیلوگرم)]]</f>
        <v>55872</v>
      </c>
      <c r="AA187" s="6">
        <f ca="1">SUBTOTAL(9,INDEX(Main[بدهی تسویه نشده (کیلوگرم)],1):Main[[#This Row],[بدهی تسویه نشده (کیلوگرم)]])</f>
        <v>0</v>
      </c>
      <c r="AB187" s="6">
        <f ca="1">IF(Main[[#This Row],[مانده در خط تسویه نشده (کیلوگرم)]]&lt;&gt;0,Main[[#This Row],[تعداد کل روزهای بدهکار (روز)]],0)</f>
        <v>0</v>
      </c>
      <c r="AC187" s="6">
        <f ca="1">Main[[#This Row],[تعداد روزهای بدهکار  تسویه نشده (روز)]]*Main[[#This Row],[مانده در خط تسویه نشده (کیلوگرم)]]</f>
        <v>0</v>
      </c>
      <c r="AD187" s="6">
        <f ca="1">SUBTOTAL(9,INDEX(Main[بدهی سررسید شده (کیلوگرم)],1):Main[[#This Row],[بدهی سررسید شده (کیلوگرم)]])</f>
        <v>0</v>
      </c>
      <c r="AE187" s="6">
        <f ca="1">IF(Main[[#This Row],[مانده در خط سررسید شده (کیلوگرم)]]&lt;&gt;0,Main[[#This Row],[تعداد کل روزهای بدهکار (روز)]],0)</f>
        <v>0</v>
      </c>
      <c r="AF187" s="6">
        <f ca="1">Main[[#This Row],[تعداد روزهای بدهکار سررسید شده (روز)]]*Main[[#This Row],[مانده در خط سررسید شده (کیلوگرم)]]</f>
        <v>0</v>
      </c>
    </row>
    <row r="188" spans="1:32" hidden="1" x14ac:dyDescent="0.35">
      <c r="A188" s="5">
        <f>ROW()-ROW(INDEX(Main[ردیف],1))+1</f>
        <v>186</v>
      </c>
      <c r="B188" s="31">
        <f>SUBTOTAL(2,INDEX(Main[ردیف],1):Main[[#This Row],[ردیف]])</f>
        <v>15</v>
      </c>
      <c r="C188" s="32" t="s">
        <v>518</v>
      </c>
      <c r="D188" s="32" t="str">
        <f>_xlfn.CONCAT("14",Main[[#This Row],[تاريخ]])</f>
        <v>1400/01/26</v>
      </c>
      <c r="E188" s="33">
        <v>44301</v>
      </c>
      <c r="F188" s="32">
        <v>30006</v>
      </c>
      <c r="G188" s="5" t="str">
        <f>INDEX(customer[عنوان],MATCH(Main[[#This Row],[کد ردیابی]],customer[کد],0))</f>
        <v xml:space="preserve">توان جم </v>
      </c>
      <c r="H188">
        <v>-600</v>
      </c>
      <c r="I188" s="6">
        <f ca="1">-Main[[#This Row],[بدهی تسویه شده (کیلوگرم)]]+Main[[#This Row],[بستانکار (کیلوگرم)]]</f>
        <v>-600</v>
      </c>
      <c r="J188" s="6">
        <f>IF(Main[[#This Row],[مقدار (کیلوگرم)]]&gt;0,Main[[#This Row],[مقدار (کیلوگرم)]],0)</f>
        <v>0</v>
      </c>
      <c r="K188" s="6">
        <f>-IF(Main[[#This Row],[مقدار (کیلوگرم)]]&lt;0,Main[[#This Row],[مقدار (کیلوگرم)]],0)</f>
        <v>600</v>
      </c>
      <c r="L1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" s="7">
        <f>-IF(AND(Main[[#This Row],[مقدار (کیلوگرم)]]&lt;0,Main[[#This Row],[تاريخ میلادی]]&gt;44276),Main[[#This Row],[مقدار (کیلوگرم)]],0)</f>
        <v>600</v>
      </c>
      <c r="N188" s="6">
        <f ca="1">Main[[#This Row],[بدهکار (کیلوگرم)]]-Main[[#This Row],[بدهی تسویه نشده (کیلوگرم)]]</f>
        <v>600</v>
      </c>
      <c r="O188" s="6">
        <f ca="1">Main[[#This Row],[تفکیک]]</f>
        <v>0</v>
      </c>
      <c r="P188" s="6">
        <f ca="1">IF(Main[[#This Row],[تاخیر از سررسید]]&gt;0,Main[[#This Row],[بدهی تسویه نشده (کیلوگرم)]],0)</f>
        <v>0</v>
      </c>
      <c r="Q188" s="6">
        <f ca="1">IF(Main[[#This Row],[بدهی تسویه نشده (کیلوگرم)]]&gt;0,'گزارش فردی'!$B$7-Main[[#This Row],[تاريخ میلادی]],0)</f>
        <v>0</v>
      </c>
      <c r="R188" s="6">
        <f ca="1">IF(Main[[#This Row],[بدهی تسویه نشده (کیلوگرم)]]&gt;0,'گزارش فردی'!$B$7-Main[[#This Row],[تاريخ میلادی]]-'گزارش فردی'!$B$8,0)</f>
        <v>0</v>
      </c>
      <c r="S188" s="6">
        <f ca="1">Main[[#This Row],[روز از ارسال سفارش]]*Main[[#This Row],[بدهی تسویه نشده (کیلوگرم)]]</f>
        <v>0</v>
      </c>
      <c r="T188" s="6">
        <f ca="1">Main[[#This Row],[بدهی سررسید شده (کیلوگرم)]]*Main[[#This Row],[روز از ارسال سفارش]]</f>
        <v>0</v>
      </c>
      <c r="U188" s="6">
        <f>-SUBTOTAL(9,INDEX(Main[مقدار (کیلوگرم)],1):Main[[#This Row],[مقدار (کیلوگرم)]])</f>
        <v>27936</v>
      </c>
      <c r="V1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8" s="6">
        <f>Main[[#This Row],[تعداد کل روزهای بدهکار (روز)]]*Main[[#This Row],[مانده در خط کل (کیلوگرم)]]</f>
        <v>55872</v>
      </c>
      <c r="X188" s="6">
        <f ca="1">-SUBTOTAL(9,INDEX(Main[مقدار تسویه شده (کیلوگرم)],1):Main[[#This Row],[مقدار تسویه شده (کیلوگرم)]])</f>
        <v>27936</v>
      </c>
      <c r="Y188" s="6">
        <f ca="1">IF(Main[[#This Row],[مانده در خط تسویه شده (کیلوگرم)]]&lt;&gt;0,Main[[#This Row],[تعداد کل روزهای بدهکار (روز)]],0)</f>
        <v>2</v>
      </c>
      <c r="Z188" s="6">
        <f ca="1">Main[[#This Row],[تعداد روزهای بدهکار تسویه شده (روز)]]*Main[[#This Row],[مانده در خط تسویه شده (کیلوگرم)]]</f>
        <v>55872</v>
      </c>
      <c r="AA188" s="6">
        <f ca="1">SUBTOTAL(9,INDEX(Main[بدهی تسویه نشده (کیلوگرم)],1):Main[[#This Row],[بدهی تسویه نشده (کیلوگرم)]])</f>
        <v>0</v>
      </c>
      <c r="AB188" s="6">
        <f ca="1">IF(Main[[#This Row],[مانده در خط تسویه نشده (کیلوگرم)]]&lt;&gt;0,Main[[#This Row],[تعداد کل روزهای بدهکار (روز)]],0)</f>
        <v>0</v>
      </c>
      <c r="AC188" s="6">
        <f ca="1">Main[[#This Row],[تعداد روزهای بدهکار  تسویه نشده (روز)]]*Main[[#This Row],[مانده در خط تسویه نشده (کیلوگرم)]]</f>
        <v>0</v>
      </c>
      <c r="AD188" s="6">
        <f ca="1">SUBTOTAL(9,INDEX(Main[بدهی سررسید شده (کیلوگرم)],1):Main[[#This Row],[بدهی سررسید شده (کیلوگرم)]])</f>
        <v>0</v>
      </c>
      <c r="AE188" s="6">
        <f ca="1">IF(Main[[#This Row],[مانده در خط سررسید شده (کیلوگرم)]]&lt;&gt;0,Main[[#This Row],[تعداد کل روزهای بدهکار (روز)]],0)</f>
        <v>0</v>
      </c>
      <c r="AF188" s="6">
        <f ca="1">Main[[#This Row],[تعداد روزهای بدهکار سررسید شده (روز)]]*Main[[#This Row],[مانده در خط سررسید شده (کیلوگرم)]]</f>
        <v>0</v>
      </c>
    </row>
    <row r="189" spans="1:32" hidden="1" x14ac:dyDescent="0.35">
      <c r="A189" s="5">
        <f>ROW()-ROW(INDEX(Main[ردیف],1))+1</f>
        <v>187</v>
      </c>
      <c r="B189" s="31">
        <f>SUBTOTAL(2,INDEX(Main[ردیف],1):Main[[#This Row],[ردیف]])</f>
        <v>15</v>
      </c>
      <c r="C189" s="32" t="s">
        <v>519</v>
      </c>
      <c r="D189" s="32" t="str">
        <f>_xlfn.CONCAT("14",Main[[#This Row],[تاريخ]])</f>
        <v>1400/01/28</v>
      </c>
      <c r="E189" s="33">
        <v>44303</v>
      </c>
      <c r="F189" s="32">
        <v>30146</v>
      </c>
      <c r="G189" s="5" t="str">
        <f>INDEX(customer[عنوان],MATCH(Main[[#This Row],[کد ردیابی]],customer[کد],0))</f>
        <v>شرکت آذرپاد</v>
      </c>
      <c r="H189">
        <v>608</v>
      </c>
      <c r="I189" s="6">
        <f ca="1">-Main[[#This Row],[بدهی تسویه شده (کیلوگرم)]]+Main[[#This Row],[بستانکار (کیلوگرم)]]</f>
        <v>608</v>
      </c>
      <c r="J189" s="6">
        <f>IF(Main[[#This Row],[مقدار (کیلوگرم)]]&gt;0,Main[[#This Row],[مقدار (کیلوگرم)]],0)</f>
        <v>608</v>
      </c>
      <c r="K189" s="6">
        <f>-IF(Main[[#This Row],[مقدار (کیلوگرم)]]&lt;0,Main[[#This Row],[مقدار (کیلوگرم)]],0)</f>
        <v>0</v>
      </c>
      <c r="L1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" s="7">
        <f>-IF(AND(Main[[#This Row],[مقدار (کیلوگرم)]]&lt;0,Main[[#This Row],[تاريخ میلادی]]&gt;44276),Main[[#This Row],[مقدار (کیلوگرم)]],0)</f>
        <v>0</v>
      </c>
      <c r="N189" s="6">
        <f ca="1">Main[[#This Row],[بدهکار (کیلوگرم)]]-Main[[#This Row],[بدهی تسویه نشده (کیلوگرم)]]</f>
        <v>0</v>
      </c>
      <c r="O189" s="6">
        <f ca="1">Main[[#This Row],[تفکیک]]</f>
        <v>0</v>
      </c>
      <c r="P189" s="6">
        <f ca="1">IF(Main[[#This Row],[تاخیر از سررسید]]&gt;0,Main[[#This Row],[بدهی تسویه نشده (کیلوگرم)]],0)</f>
        <v>0</v>
      </c>
      <c r="Q189" s="6">
        <f ca="1">IF(Main[[#This Row],[بدهی تسویه نشده (کیلوگرم)]]&gt;0,'گزارش فردی'!$B$7-Main[[#This Row],[تاريخ میلادی]],0)</f>
        <v>0</v>
      </c>
      <c r="R189" s="6">
        <f ca="1">IF(Main[[#This Row],[بدهی تسویه نشده (کیلوگرم)]]&gt;0,'گزارش فردی'!$B$7-Main[[#This Row],[تاريخ میلادی]]-'گزارش فردی'!$B$8,0)</f>
        <v>0</v>
      </c>
      <c r="S189" s="6">
        <f ca="1">Main[[#This Row],[روز از ارسال سفارش]]*Main[[#This Row],[بدهی تسویه نشده (کیلوگرم)]]</f>
        <v>0</v>
      </c>
      <c r="T189" s="6">
        <f ca="1">Main[[#This Row],[بدهی سررسید شده (کیلوگرم)]]*Main[[#This Row],[روز از ارسال سفارش]]</f>
        <v>0</v>
      </c>
      <c r="U189" s="6">
        <f>-SUBTOTAL(9,INDEX(Main[مقدار (کیلوگرم)],1):Main[[#This Row],[مقدار (کیلوگرم)]])</f>
        <v>27936</v>
      </c>
      <c r="V1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" s="6">
        <f>Main[[#This Row],[تعداد کل روزهای بدهکار (روز)]]*Main[[#This Row],[مانده در خط کل (کیلوگرم)]]</f>
        <v>0</v>
      </c>
      <c r="X189" s="6">
        <f ca="1">-SUBTOTAL(9,INDEX(Main[مقدار تسویه شده (کیلوگرم)],1):Main[[#This Row],[مقدار تسویه شده (کیلوگرم)]])</f>
        <v>27936</v>
      </c>
      <c r="Y189" s="6">
        <f ca="1">IF(Main[[#This Row],[مانده در خط تسویه شده (کیلوگرم)]]&lt;&gt;0,Main[[#This Row],[تعداد کل روزهای بدهکار (روز)]],0)</f>
        <v>0</v>
      </c>
      <c r="Z189" s="6">
        <f ca="1">Main[[#This Row],[تعداد روزهای بدهکار تسویه شده (روز)]]*Main[[#This Row],[مانده در خط تسویه شده (کیلوگرم)]]</f>
        <v>0</v>
      </c>
      <c r="AA189" s="6">
        <f ca="1">SUBTOTAL(9,INDEX(Main[بدهی تسویه نشده (کیلوگرم)],1):Main[[#This Row],[بدهی تسویه نشده (کیلوگرم)]])</f>
        <v>0</v>
      </c>
      <c r="AB189" s="6">
        <f ca="1">IF(Main[[#This Row],[مانده در خط تسویه نشده (کیلوگرم)]]&lt;&gt;0,Main[[#This Row],[تعداد کل روزهای بدهکار (روز)]],0)</f>
        <v>0</v>
      </c>
      <c r="AC189" s="6">
        <f ca="1">Main[[#This Row],[تعداد روزهای بدهکار  تسویه نشده (روز)]]*Main[[#This Row],[مانده در خط تسویه نشده (کیلوگرم)]]</f>
        <v>0</v>
      </c>
      <c r="AD189" s="6">
        <f ca="1">SUBTOTAL(9,INDEX(Main[بدهی سررسید شده (کیلوگرم)],1):Main[[#This Row],[بدهی سررسید شده (کیلوگرم)]])</f>
        <v>0</v>
      </c>
      <c r="AE189" s="6">
        <f ca="1">IF(Main[[#This Row],[مانده در خط سررسید شده (کیلوگرم)]]&lt;&gt;0,Main[[#This Row],[تعداد کل روزهای بدهکار (روز)]],0)</f>
        <v>0</v>
      </c>
      <c r="AF189" s="6">
        <f ca="1">Main[[#This Row],[تعداد روزهای بدهکار سررسید شده (روز)]]*Main[[#This Row],[مانده در خط سررسید شده (کیلوگرم)]]</f>
        <v>0</v>
      </c>
    </row>
    <row r="190" spans="1:32" hidden="1" x14ac:dyDescent="0.35">
      <c r="A190" s="5">
        <f>ROW()-ROW(INDEX(Main[ردیف],1))+1</f>
        <v>188</v>
      </c>
      <c r="B190" s="31">
        <f>SUBTOTAL(2,INDEX(Main[ردیف],1):Main[[#This Row],[ردیف]])</f>
        <v>15</v>
      </c>
      <c r="C190" s="32" t="s">
        <v>519</v>
      </c>
      <c r="D190" s="32" t="str">
        <f>_xlfn.CONCAT("14",Main[[#This Row],[تاريخ]])</f>
        <v>1400/01/28</v>
      </c>
      <c r="E190" s="33">
        <v>44303</v>
      </c>
      <c r="F190" s="32">
        <v>30133</v>
      </c>
      <c r="G190" s="5" t="str">
        <f>INDEX(customer[عنوان],MATCH(Main[[#This Row],[کد ردیابی]],customer[کد],0))</f>
        <v>شرکت آتا بای تبریز</v>
      </c>
      <c r="H190">
        <v>-5035</v>
      </c>
      <c r="I190" s="6">
        <f ca="1">-Main[[#This Row],[بدهی تسویه شده (کیلوگرم)]]+Main[[#This Row],[بستانکار (کیلوگرم)]]</f>
        <v>-5035</v>
      </c>
      <c r="J190" s="6">
        <f>IF(Main[[#This Row],[مقدار (کیلوگرم)]]&gt;0,Main[[#This Row],[مقدار (کیلوگرم)]],0)</f>
        <v>0</v>
      </c>
      <c r="K190" s="6">
        <f>-IF(Main[[#This Row],[مقدار (کیلوگرم)]]&lt;0,Main[[#This Row],[مقدار (کیلوگرم)]],0)</f>
        <v>5035</v>
      </c>
      <c r="L1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" s="7">
        <f>-IF(AND(Main[[#This Row],[مقدار (کیلوگرم)]]&lt;0,Main[[#This Row],[تاريخ میلادی]]&gt;44276),Main[[#This Row],[مقدار (کیلوگرم)]],0)</f>
        <v>5035</v>
      </c>
      <c r="N190" s="6">
        <f ca="1">Main[[#This Row],[بدهکار (کیلوگرم)]]-Main[[#This Row],[بدهی تسویه نشده (کیلوگرم)]]</f>
        <v>5035</v>
      </c>
      <c r="O190" s="6">
        <f ca="1">Main[[#This Row],[تفکیک]]</f>
        <v>0</v>
      </c>
      <c r="P190" s="6">
        <f ca="1">IF(Main[[#This Row],[تاخیر از سررسید]]&gt;0,Main[[#This Row],[بدهی تسویه نشده (کیلوگرم)]],0)</f>
        <v>0</v>
      </c>
      <c r="Q190" s="6">
        <f ca="1">IF(Main[[#This Row],[بدهی تسویه نشده (کیلوگرم)]]&gt;0,'گزارش فردی'!$B$7-Main[[#This Row],[تاريخ میلادی]],0)</f>
        <v>0</v>
      </c>
      <c r="R190" s="6">
        <f ca="1">IF(Main[[#This Row],[بدهی تسویه نشده (کیلوگرم)]]&gt;0,'گزارش فردی'!$B$7-Main[[#This Row],[تاريخ میلادی]]-'گزارش فردی'!$B$8,0)</f>
        <v>0</v>
      </c>
      <c r="S190" s="6">
        <f ca="1">Main[[#This Row],[روز از ارسال سفارش]]*Main[[#This Row],[بدهی تسویه نشده (کیلوگرم)]]</f>
        <v>0</v>
      </c>
      <c r="T190" s="6">
        <f ca="1">Main[[#This Row],[بدهی سررسید شده (کیلوگرم)]]*Main[[#This Row],[روز از ارسال سفارش]]</f>
        <v>0</v>
      </c>
      <c r="U190" s="6">
        <f>-SUBTOTAL(9,INDEX(Main[مقدار (کیلوگرم)],1):Main[[#This Row],[مقدار (کیلوگرم)]])</f>
        <v>27936</v>
      </c>
      <c r="V1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0" s="6">
        <f>Main[[#This Row],[تعداد کل روزهای بدهکار (روز)]]*Main[[#This Row],[مانده در خط کل (کیلوگرم)]]</f>
        <v>0</v>
      </c>
      <c r="X190" s="6">
        <f ca="1">-SUBTOTAL(9,INDEX(Main[مقدار تسویه شده (کیلوگرم)],1):Main[[#This Row],[مقدار تسویه شده (کیلوگرم)]])</f>
        <v>27936</v>
      </c>
      <c r="Y190" s="6">
        <f ca="1">IF(Main[[#This Row],[مانده در خط تسویه شده (کیلوگرم)]]&lt;&gt;0,Main[[#This Row],[تعداد کل روزهای بدهکار (روز)]],0)</f>
        <v>0</v>
      </c>
      <c r="Z190" s="6">
        <f ca="1">Main[[#This Row],[تعداد روزهای بدهکار تسویه شده (روز)]]*Main[[#This Row],[مانده در خط تسویه شده (کیلوگرم)]]</f>
        <v>0</v>
      </c>
      <c r="AA190" s="6">
        <f ca="1">SUBTOTAL(9,INDEX(Main[بدهی تسویه نشده (کیلوگرم)],1):Main[[#This Row],[بدهی تسویه نشده (کیلوگرم)]])</f>
        <v>0</v>
      </c>
      <c r="AB190" s="6">
        <f ca="1">IF(Main[[#This Row],[مانده در خط تسویه نشده (کیلوگرم)]]&lt;&gt;0,Main[[#This Row],[تعداد کل روزهای بدهکار (روز)]],0)</f>
        <v>0</v>
      </c>
      <c r="AC190" s="6">
        <f ca="1">Main[[#This Row],[تعداد روزهای بدهکار  تسویه نشده (روز)]]*Main[[#This Row],[مانده در خط تسویه نشده (کیلوگرم)]]</f>
        <v>0</v>
      </c>
      <c r="AD190" s="6">
        <f ca="1">SUBTOTAL(9,INDEX(Main[بدهی سررسید شده (کیلوگرم)],1):Main[[#This Row],[بدهی سررسید شده (کیلوگرم)]])</f>
        <v>0</v>
      </c>
      <c r="AE190" s="6">
        <f ca="1">IF(Main[[#This Row],[مانده در خط سررسید شده (کیلوگرم)]]&lt;&gt;0,Main[[#This Row],[تعداد کل روزهای بدهکار (روز)]],0)</f>
        <v>0</v>
      </c>
      <c r="AF190" s="6">
        <f ca="1">Main[[#This Row],[تعداد روزهای بدهکار سررسید شده (روز)]]*Main[[#This Row],[مانده در خط سررسید شده (کیلوگرم)]]</f>
        <v>0</v>
      </c>
    </row>
    <row r="191" spans="1:32" hidden="1" x14ac:dyDescent="0.35">
      <c r="A191" s="5">
        <f>ROW()-ROW(INDEX(Main[ردیف],1))+1</f>
        <v>189</v>
      </c>
      <c r="B191" s="31">
        <f>SUBTOTAL(2,INDEX(Main[ردیف],1):Main[[#This Row],[ردیف]])</f>
        <v>15</v>
      </c>
      <c r="C191" s="32" t="s">
        <v>519</v>
      </c>
      <c r="D191" s="32" t="str">
        <f>_xlfn.CONCAT("14",Main[[#This Row],[تاريخ]])</f>
        <v>1400/01/28</v>
      </c>
      <c r="E191" s="33">
        <v>44303</v>
      </c>
      <c r="F191" s="32">
        <v>10027</v>
      </c>
      <c r="G191" s="5" t="str">
        <f>INDEX(customer[عنوان],MATCH(Main[[#This Row],[کد ردیابی]],customer[کد],0))</f>
        <v xml:space="preserve">مصطفی نورعلی </v>
      </c>
      <c r="H191">
        <v>2902</v>
      </c>
      <c r="I191" s="6">
        <f ca="1">-Main[[#This Row],[بدهی تسویه شده (کیلوگرم)]]+Main[[#This Row],[بستانکار (کیلوگرم)]]</f>
        <v>2902</v>
      </c>
      <c r="J191" s="6">
        <f>IF(Main[[#This Row],[مقدار (کیلوگرم)]]&gt;0,Main[[#This Row],[مقدار (کیلوگرم)]],0)</f>
        <v>2902</v>
      </c>
      <c r="K191" s="6">
        <f>-IF(Main[[#This Row],[مقدار (کیلوگرم)]]&lt;0,Main[[#This Row],[مقدار (کیلوگرم)]],0)</f>
        <v>0</v>
      </c>
      <c r="L1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" s="7">
        <f>-IF(AND(Main[[#This Row],[مقدار (کیلوگرم)]]&lt;0,Main[[#This Row],[تاريخ میلادی]]&gt;44276),Main[[#This Row],[مقدار (کیلوگرم)]],0)</f>
        <v>0</v>
      </c>
      <c r="N191" s="6">
        <f ca="1">Main[[#This Row],[بدهکار (کیلوگرم)]]-Main[[#This Row],[بدهی تسویه نشده (کیلوگرم)]]</f>
        <v>0</v>
      </c>
      <c r="O191" s="6">
        <f ca="1">Main[[#This Row],[تفکیک]]</f>
        <v>0</v>
      </c>
      <c r="P191" s="6">
        <f ca="1">IF(Main[[#This Row],[تاخیر از سررسید]]&gt;0,Main[[#This Row],[بدهی تسویه نشده (کیلوگرم)]],0)</f>
        <v>0</v>
      </c>
      <c r="Q191" s="6">
        <f ca="1">IF(Main[[#This Row],[بدهی تسویه نشده (کیلوگرم)]]&gt;0,'گزارش فردی'!$B$7-Main[[#This Row],[تاريخ میلادی]],0)</f>
        <v>0</v>
      </c>
      <c r="R191" s="6">
        <f ca="1">IF(Main[[#This Row],[بدهی تسویه نشده (کیلوگرم)]]&gt;0,'گزارش فردی'!$B$7-Main[[#This Row],[تاريخ میلادی]]-'گزارش فردی'!$B$8,0)</f>
        <v>0</v>
      </c>
      <c r="S191" s="6">
        <f ca="1">Main[[#This Row],[روز از ارسال سفارش]]*Main[[#This Row],[بدهی تسویه نشده (کیلوگرم)]]</f>
        <v>0</v>
      </c>
      <c r="T191" s="6">
        <f ca="1">Main[[#This Row],[بدهی سررسید شده (کیلوگرم)]]*Main[[#This Row],[روز از ارسال سفارش]]</f>
        <v>0</v>
      </c>
      <c r="U191" s="6">
        <f>-SUBTOTAL(9,INDEX(Main[مقدار (کیلوگرم)],1):Main[[#This Row],[مقدار (کیلوگرم)]])</f>
        <v>27936</v>
      </c>
      <c r="V1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1" s="6">
        <f>Main[[#This Row],[تعداد کل روزهای بدهکار (روز)]]*Main[[#This Row],[مانده در خط کل (کیلوگرم)]]</f>
        <v>0</v>
      </c>
      <c r="X191" s="6">
        <f ca="1">-SUBTOTAL(9,INDEX(Main[مقدار تسویه شده (کیلوگرم)],1):Main[[#This Row],[مقدار تسویه شده (کیلوگرم)]])</f>
        <v>27936</v>
      </c>
      <c r="Y191" s="6">
        <f ca="1">IF(Main[[#This Row],[مانده در خط تسویه شده (کیلوگرم)]]&lt;&gt;0,Main[[#This Row],[تعداد کل روزهای بدهکار (روز)]],0)</f>
        <v>0</v>
      </c>
      <c r="Z191" s="6">
        <f ca="1">Main[[#This Row],[تعداد روزهای بدهکار تسویه شده (روز)]]*Main[[#This Row],[مانده در خط تسویه شده (کیلوگرم)]]</f>
        <v>0</v>
      </c>
      <c r="AA191" s="6">
        <f ca="1">SUBTOTAL(9,INDEX(Main[بدهی تسویه نشده (کیلوگرم)],1):Main[[#This Row],[بدهی تسویه نشده (کیلوگرم)]])</f>
        <v>0</v>
      </c>
      <c r="AB191" s="6">
        <f ca="1">IF(Main[[#This Row],[مانده در خط تسویه نشده (کیلوگرم)]]&lt;&gt;0,Main[[#This Row],[تعداد کل روزهای بدهکار (روز)]],0)</f>
        <v>0</v>
      </c>
      <c r="AC191" s="6">
        <f ca="1">Main[[#This Row],[تعداد روزهای بدهکار  تسویه نشده (روز)]]*Main[[#This Row],[مانده در خط تسویه نشده (کیلوگرم)]]</f>
        <v>0</v>
      </c>
      <c r="AD191" s="6">
        <f ca="1">SUBTOTAL(9,INDEX(Main[بدهی سررسید شده (کیلوگرم)],1):Main[[#This Row],[بدهی سررسید شده (کیلوگرم)]])</f>
        <v>0</v>
      </c>
      <c r="AE191" s="6">
        <f ca="1">IF(Main[[#This Row],[مانده در خط سررسید شده (کیلوگرم)]]&lt;&gt;0,Main[[#This Row],[تعداد کل روزهای بدهکار (روز)]],0)</f>
        <v>0</v>
      </c>
      <c r="AF191" s="6">
        <f ca="1">Main[[#This Row],[تعداد روزهای بدهکار سررسید شده (روز)]]*Main[[#This Row],[مانده در خط سررسید شده (کیلوگرم)]]</f>
        <v>0</v>
      </c>
    </row>
    <row r="192" spans="1:32" hidden="1" x14ac:dyDescent="0.35">
      <c r="A192" s="5">
        <f>ROW()-ROW(INDEX(Main[ردیف],1))+1</f>
        <v>190</v>
      </c>
      <c r="B192" s="31">
        <f>SUBTOTAL(2,INDEX(Main[ردیف],1):Main[[#This Row],[ردیف]])</f>
        <v>15</v>
      </c>
      <c r="C192" s="32" t="s">
        <v>519</v>
      </c>
      <c r="D192" s="32" t="str">
        <f>_xlfn.CONCAT("14",Main[[#This Row],[تاريخ]])</f>
        <v>1400/01/28</v>
      </c>
      <c r="E192" s="33">
        <v>44303</v>
      </c>
      <c r="F192" s="32">
        <v>30017</v>
      </c>
      <c r="G192" s="5" t="str">
        <f>INDEX(customer[عنوان],MATCH(Main[[#This Row],[کد ردیابی]],customer[کد],0))</f>
        <v xml:space="preserve">البرز یدک </v>
      </c>
      <c r="H192">
        <v>-5016</v>
      </c>
      <c r="I192" s="6">
        <f ca="1">-Main[[#This Row],[بدهی تسویه شده (کیلوگرم)]]+Main[[#This Row],[بستانکار (کیلوگرم)]]</f>
        <v>-5016</v>
      </c>
      <c r="J192" s="6">
        <f>IF(Main[[#This Row],[مقدار (کیلوگرم)]]&gt;0,Main[[#This Row],[مقدار (کیلوگرم)]],0)</f>
        <v>0</v>
      </c>
      <c r="K192" s="6">
        <f>-IF(Main[[#This Row],[مقدار (کیلوگرم)]]&lt;0,Main[[#This Row],[مقدار (کیلوگرم)]],0)</f>
        <v>5016</v>
      </c>
      <c r="L1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" s="7">
        <f>-IF(AND(Main[[#This Row],[مقدار (کیلوگرم)]]&lt;0,Main[[#This Row],[تاريخ میلادی]]&gt;44276),Main[[#This Row],[مقدار (کیلوگرم)]],0)</f>
        <v>5016</v>
      </c>
      <c r="N192" s="6">
        <f ca="1">Main[[#This Row],[بدهکار (کیلوگرم)]]-Main[[#This Row],[بدهی تسویه نشده (کیلوگرم)]]</f>
        <v>5016</v>
      </c>
      <c r="O192" s="6">
        <f ca="1">Main[[#This Row],[تفکیک]]</f>
        <v>0</v>
      </c>
      <c r="P192" s="6">
        <f ca="1">IF(Main[[#This Row],[تاخیر از سررسید]]&gt;0,Main[[#This Row],[بدهی تسویه نشده (کیلوگرم)]],0)</f>
        <v>0</v>
      </c>
      <c r="Q192" s="6">
        <f ca="1">IF(Main[[#This Row],[بدهی تسویه نشده (کیلوگرم)]]&gt;0,'گزارش فردی'!$B$7-Main[[#This Row],[تاريخ میلادی]],0)</f>
        <v>0</v>
      </c>
      <c r="R192" s="6">
        <f ca="1">IF(Main[[#This Row],[بدهی تسویه نشده (کیلوگرم)]]&gt;0,'گزارش فردی'!$B$7-Main[[#This Row],[تاريخ میلادی]]-'گزارش فردی'!$B$8,0)</f>
        <v>0</v>
      </c>
      <c r="S192" s="6">
        <f ca="1">Main[[#This Row],[روز از ارسال سفارش]]*Main[[#This Row],[بدهی تسویه نشده (کیلوگرم)]]</f>
        <v>0</v>
      </c>
      <c r="T192" s="6">
        <f ca="1">Main[[#This Row],[بدهی سررسید شده (کیلوگرم)]]*Main[[#This Row],[روز از ارسال سفارش]]</f>
        <v>0</v>
      </c>
      <c r="U192" s="6">
        <f>-SUBTOTAL(9,INDEX(Main[مقدار (کیلوگرم)],1):Main[[#This Row],[مقدار (کیلوگرم)]])</f>
        <v>27936</v>
      </c>
      <c r="V1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2" s="6">
        <f>Main[[#This Row],[تعداد کل روزهای بدهکار (روز)]]*Main[[#This Row],[مانده در خط کل (کیلوگرم)]]</f>
        <v>0</v>
      </c>
      <c r="X192" s="6">
        <f ca="1">-SUBTOTAL(9,INDEX(Main[مقدار تسویه شده (کیلوگرم)],1):Main[[#This Row],[مقدار تسویه شده (کیلوگرم)]])</f>
        <v>27936</v>
      </c>
      <c r="Y192" s="6">
        <f ca="1">IF(Main[[#This Row],[مانده در خط تسویه شده (کیلوگرم)]]&lt;&gt;0,Main[[#This Row],[تعداد کل روزهای بدهکار (روز)]],0)</f>
        <v>0</v>
      </c>
      <c r="Z192" s="6">
        <f ca="1">Main[[#This Row],[تعداد روزهای بدهکار تسویه شده (روز)]]*Main[[#This Row],[مانده در خط تسویه شده (کیلوگرم)]]</f>
        <v>0</v>
      </c>
      <c r="AA192" s="6">
        <f ca="1">SUBTOTAL(9,INDEX(Main[بدهی تسویه نشده (کیلوگرم)],1):Main[[#This Row],[بدهی تسویه نشده (کیلوگرم)]])</f>
        <v>0</v>
      </c>
      <c r="AB192" s="6">
        <f ca="1">IF(Main[[#This Row],[مانده در خط تسویه نشده (کیلوگرم)]]&lt;&gt;0,Main[[#This Row],[تعداد کل روزهای بدهکار (روز)]],0)</f>
        <v>0</v>
      </c>
      <c r="AC192" s="6">
        <f ca="1">Main[[#This Row],[تعداد روزهای بدهکار  تسویه نشده (روز)]]*Main[[#This Row],[مانده در خط تسویه نشده (کیلوگرم)]]</f>
        <v>0</v>
      </c>
      <c r="AD192" s="6">
        <f ca="1">SUBTOTAL(9,INDEX(Main[بدهی سررسید شده (کیلوگرم)],1):Main[[#This Row],[بدهی سررسید شده (کیلوگرم)]])</f>
        <v>0</v>
      </c>
      <c r="AE192" s="6">
        <f ca="1">IF(Main[[#This Row],[مانده در خط سررسید شده (کیلوگرم)]]&lt;&gt;0,Main[[#This Row],[تعداد کل روزهای بدهکار (روز)]],0)</f>
        <v>0</v>
      </c>
      <c r="AF192" s="6">
        <f ca="1">Main[[#This Row],[تعداد روزهای بدهکار سررسید شده (روز)]]*Main[[#This Row],[مانده در خط سررسید شده (کیلوگرم)]]</f>
        <v>0</v>
      </c>
    </row>
    <row r="193" spans="1:32" hidden="1" x14ac:dyDescent="0.35">
      <c r="A193" s="5">
        <f>ROW()-ROW(INDEX(Main[ردیف],1))+1</f>
        <v>191</v>
      </c>
      <c r="B193" s="31">
        <f>SUBTOTAL(2,INDEX(Main[ردیف],1):Main[[#This Row],[ردیف]])</f>
        <v>15</v>
      </c>
      <c r="C193" s="32" t="s">
        <v>519</v>
      </c>
      <c r="D193" s="32" t="str">
        <f>_xlfn.CONCAT("14",Main[[#This Row],[تاريخ]])</f>
        <v>1400/01/28</v>
      </c>
      <c r="E193" s="33">
        <v>44303</v>
      </c>
      <c r="F193" s="32">
        <v>30146</v>
      </c>
      <c r="G193" s="5" t="str">
        <f>INDEX(customer[عنوان],MATCH(Main[[#This Row],[کد ردیابی]],customer[کد],0))</f>
        <v>شرکت آذرپاد</v>
      </c>
      <c r="H193">
        <v>1240</v>
      </c>
      <c r="I193" s="6">
        <f ca="1">-Main[[#This Row],[بدهی تسویه شده (کیلوگرم)]]+Main[[#This Row],[بستانکار (کیلوگرم)]]</f>
        <v>1240</v>
      </c>
      <c r="J193" s="6">
        <f>IF(Main[[#This Row],[مقدار (کیلوگرم)]]&gt;0,Main[[#This Row],[مقدار (کیلوگرم)]],0)</f>
        <v>1240</v>
      </c>
      <c r="K193" s="6">
        <f>-IF(Main[[#This Row],[مقدار (کیلوگرم)]]&lt;0,Main[[#This Row],[مقدار (کیلوگرم)]],0)</f>
        <v>0</v>
      </c>
      <c r="L1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" s="7">
        <f>-IF(AND(Main[[#This Row],[مقدار (کیلوگرم)]]&lt;0,Main[[#This Row],[تاريخ میلادی]]&gt;44276),Main[[#This Row],[مقدار (کیلوگرم)]],0)</f>
        <v>0</v>
      </c>
      <c r="N193" s="6">
        <f ca="1">Main[[#This Row],[بدهکار (کیلوگرم)]]-Main[[#This Row],[بدهی تسویه نشده (کیلوگرم)]]</f>
        <v>0</v>
      </c>
      <c r="O193" s="6">
        <f ca="1">Main[[#This Row],[تفکیک]]</f>
        <v>0</v>
      </c>
      <c r="P193" s="6">
        <f ca="1">IF(Main[[#This Row],[تاخیر از سررسید]]&gt;0,Main[[#This Row],[بدهی تسویه نشده (کیلوگرم)]],0)</f>
        <v>0</v>
      </c>
      <c r="Q193" s="6">
        <f ca="1">IF(Main[[#This Row],[بدهی تسویه نشده (کیلوگرم)]]&gt;0,'گزارش فردی'!$B$7-Main[[#This Row],[تاريخ میلادی]],0)</f>
        <v>0</v>
      </c>
      <c r="R193" s="6">
        <f ca="1">IF(Main[[#This Row],[بدهی تسویه نشده (کیلوگرم)]]&gt;0,'گزارش فردی'!$B$7-Main[[#This Row],[تاريخ میلادی]]-'گزارش فردی'!$B$8,0)</f>
        <v>0</v>
      </c>
      <c r="S193" s="6">
        <f ca="1">Main[[#This Row],[روز از ارسال سفارش]]*Main[[#This Row],[بدهی تسویه نشده (کیلوگرم)]]</f>
        <v>0</v>
      </c>
      <c r="T193" s="6">
        <f ca="1">Main[[#This Row],[بدهی سررسید شده (کیلوگرم)]]*Main[[#This Row],[روز از ارسال سفارش]]</f>
        <v>0</v>
      </c>
      <c r="U193" s="6">
        <f>-SUBTOTAL(9,INDEX(Main[مقدار (کیلوگرم)],1):Main[[#This Row],[مقدار (کیلوگرم)]])</f>
        <v>27936</v>
      </c>
      <c r="V1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" s="6">
        <f>Main[[#This Row],[تعداد کل روزهای بدهکار (روز)]]*Main[[#This Row],[مانده در خط کل (کیلوگرم)]]</f>
        <v>0</v>
      </c>
      <c r="X193" s="6">
        <f ca="1">-SUBTOTAL(9,INDEX(Main[مقدار تسویه شده (کیلوگرم)],1):Main[[#This Row],[مقدار تسویه شده (کیلوگرم)]])</f>
        <v>27936</v>
      </c>
      <c r="Y193" s="6">
        <f ca="1">IF(Main[[#This Row],[مانده در خط تسویه شده (کیلوگرم)]]&lt;&gt;0,Main[[#This Row],[تعداد کل روزهای بدهکار (روز)]],0)</f>
        <v>0</v>
      </c>
      <c r="Z193" s="6">
        <f ca="1">Main[[#This Row],[تعداد روزهای بدهکار تسویه شده (روز)]]*Main[[#This Row],[مانده در خط تسویه شده (کیلوگرم)]]</f>
        <v>0</v>
      </c>
      <c r="AA193" s="6">
        <f ca="1">SUBTOTAL(9,INDEX(Main[بدهی تسویه نشده (کیلوگرم)],1):Main[[#This Row],[بدهی تسویه نشده (کیلوگرم)]])</f>
        <v>0</v>
      </c>
      <c r="AB193" s="6">
        <f ca="1">IF(Main[[#This Row],[مانده در خط تسویه نشده (کیلوگرم)]]&lt;&gt;0,Main[[#This Row],[تعداد کل روزهای بدهکار (روز)]],0)</f>
        <v>0</v>
      </c>
      <c r="AC193" s="6">
        <f ca="1">Main[[#This Row],[تعداد روزهای بدهکار  تسویه نشده (روز)]]*Main[[#This Row],[مانده در خط تسویه نشده (کیلوگرم)]]</f>
        <v>0</v>
      </c>
      <c r="AD193" s="6">
        <f ca="1">SUBTOTAL(9,INDEX(Main[بدهی سررسید شده (کیلوگرم)],1):Main[[#This Row],[بدهی سررسید شده (کیلوگرم)]])</f>
        <v>0</v>
      </c>
      <c r="AE193" s="6">
        <f ca="1">IF(Main[[#This Row],[مانده در خط سررسید شده (کیلوگرم)]]&lt;&gt;0,Main[[#This Row],[تعداد کل روزهای بدهکار (روز)]],0)</f>
        <v>0</v>
      </c>
      <c r="AF193" s="6">
        <f ca="1">Main[[#This Row],[تعداد روزهای بدهکار سررسید شده (روز)]]*Main[[#This Row],[مانده در خط سررسید شده (کیلوگرم)]]</f>
        <v>0</v>
      </c>
    </row>
    <row r="194" spans="1:32" hidden="1" x14ac:dyDescent="0.35">
      <c r="A194" s="5">
        <f>ROW()-ROW(INDEX(Main[ردیف],1))+1</f>
        <v>192</v>
      </c>
      <c r="B194" s="31">
        <f>SUBTOTAL(2,INDEX(Main[ردیف],1):Main[[#This Row],[ردیف]])</f>
        <v>15</v>
      </c>
      <c r="C194" s="32" t="s">
        <v>519</v>
      </c>
      <c r="D194" s="32" t="str">
        <f>_xlfn.CONCAT("14",Main[[#This Row],[تاريخ]])</f>
        <v>1400/01/28</v>
      </c>
      <c r="E194" s="33">
        <v>44303</v>
      </c>
      <c r="F194" s="32">
        <v>30066</v>
      </c>
      <c r="G194" s="5" t="str">
        <f>INDEX(customer[عنوان],MATCH(Main[[#This Row],[کد ردیابی]],customer[کد],0))</f>
        <v xml:space="preserve">شیر آلات بهداشتی قهرمان </v>
      </c>
      <c r="H194">
        <v>-2420</v>
      </c>
      <c r="I194" s="6">
        <f ca="1">-Main[[#This Row],[بدهی تسویه شده (کیلوگرم)]]+Main[[#This Row],[بستانکار (کیلوگرم)]]</f>
        <v>-2420</v>
      </c>
      <c r="J194" s="6">
        <f>IF(Main[[#This Row],[مقدار (کیلوگرم)]]&gt;0,Main[[#This Row],[مقدار (کیلوگرم)]],0)</f>
        <v>0</v>
      </c>
      <c r="K194" s="6">
        <f>-IF(Main[[#This Row],[مقدار (کیلوگرم)]]&lt;0,Main[[#This Row],[مقدار (کیلوگرم)]],0)</f>
        <v>2420</v>
      </c>
      <c r="L1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" s="7">
        <f>-IF(AND(Main[[#This Row],[مقدار (کیلوگرم)]]&lt;0,Main[[#This Row],[تاريخ میلادی]]&gt;44276),Main[[#This Row],[مقدار (کیلوگرم)]],0)</f>
        <v>2420</v>
      </c>
      <c r="N194" s="6">
        <f ca="1">Main[[#This Row],[بدهکار (کیلوگرم)]]-Main[[#This Row],[بدهی تسویه نشده (کیلوگرم)]]</f>
        <v>2420</v>
      </c>
      <c r="O194" s="6">
        <f ca="1">Main[[#This Row],[تفکیک]]</f>
        <v>0</v>
      </c>
      <c r="P194" s="6">
        <f ca="1">IF(Main[[#This Row],[تاخیر از سررسید]]&gt;0,Main[[#This Row],[بدهی تسویه نشده (کیلوگرم)]],0)</f>
        <v>0</v>
      </c>
      <c r="Q194" s="6">
        <f ca="1">IF(Main[[#This Row],[بدهی تسویه نشده (کیلوگرم)]]&gt;0,'گزارش فردی'!$B$7-Main[[#This Row],[تاريخ میلادی]],0)</f>
        <v>0</v>
      </c>
      <c r="R194" s="6">
        <f ca="1">IF(Main[[#This Row],[بدهی تسویه نشده (کیلوگرم)]]&gt;0,'گزارش فردی'!$B$7-Main[[#This Row],[تاريخ میلادی]]-'گزارش فردی'!$B$8,0)</f>
        <v>0</v>
      </c>
      <c r="S194" s="6">
        <f ca="1">Main[[#This Row],[روز از ارسال سفارش]]*Main[[#This Row],[بدهی تسویه نشده (کیلوگرم)]]</f>
        <v>0</v>
      </c>
      <c r="T194" s="6">
        <f ca="1">Main[[#This Row],[بدهی سررسید شده (کیلوگرم)]]*Main[[#This Row],[روز از ارسال سفارش]]</f>
        <v>0</v>
      </c>
      <c r="U194" s="6">
        <f>-SUBTOTAL(9,INDEX(Main[مقدار (کیلوگرم)],1):Main[[#This Row],[مقدار (کیلوگرم)]])</f>
        <v>27936</v>
      </c>
      <c r="V1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" s="6">
        <f>Main[[#This Row],[تعداد کل روزهای بدهکار (روز)]]*Main[[#This Row],[مانده در خط کل (کیلوگرم)]]</f>
        <v>0</v>
      </c>
      <c r="X194" s="6">
        <f ca="1">-SUBTOTAL(9,INDEX(Main[مقدار تسویه شده (کیلوگرم)],1):Main[[#This Row],[مقدار تسویه شده (کیلوگرم)]])</f>
        <v>27936</v>
      </c>
      <c r="Y194" s="6">
        <f ca="1">IF(Main[[#This Row],[مانده در خط تسویه شده (کیلوگرم)]]&lt;&gt;0,Main[[#This Row],[تعداد کل روزهای بدهکار (روز)]],0)</f>
        <v>0</v>
      </c>
      <c r="Z194" s="6">
        <f ca="1">Main[[#This Row],[تعداد روزهای بدهکار تسویه شده (روز)]]*Main[[#This Row],[مانده در خط تسویه شده (کیلوگرم)]]</f>
        <v>0</v>
      </c>
      <c r="AA194" s="6">
        <f ca="1">SUBTOTAL(9,INDEX(Main[بدهی تسویه نشده (کیلوگرم)],1):Main[[#This Row],[بدهی تسویه نشده (کیلوگرم)]])</f>
        <v>0</v>
      </c>
      <c r="AB194" s="6">
        <f ca="1">IF(Main[[#This Row],[مانده در خط تسویه نشده (کیلوگرم)]]&lt;&gt;0,Main[[#This Row],[تعداد کل روزهای بدهکار (روز)]],0)</f>
        <v>0</v>
      </c>
      <c r="AC194" s="6">
        <f ca="1">Main[[#This Row],[تعداد روزهای بدهکار  تسویه نشده (روز)]]*Main[[#This Row],[مانده در خط تسویه نشده (کیلوگرم)]]</f>
        <v>0</v>
      </c>
      <c r="AD194" s="6">
        <f ca="1">SUBTOTAL(9,INDEX(Main[بدهی سررسید شده (کیلوگرم)],1):Main[[#This Row],[بدهی سررسید شده (کیلوگرم)]])</f>
        <v>0</v>
      </c>
      <c r="AE194" s="6">
        <f ca="1">IF(Main[[#This Row],[مانده در خط سررسید شده (کیلوگرم)]]&lt;&gt;0,Main[[#This Row],[تعداد کل روزهای بدهکار (روز)]],0)</f>
        <v>0</v>
      </c>
      <c r="AF194" s="6">
        <f ca="1">Main[[#This Row],[تعداد روزهای بدهکار سررسید شده (روز)]]*Main[[#This Row],[مانده در خط سررسید شده (کیلوگرم)]]</f>
        <v>0</v>
      </c>
    </row>
    <row r="195" spans="1:32" hidden="1" x14ac:dyDescent="0.35">
      <c r="A195" s="5">
        <f>ROW()-ROW(INDEX(Main[ردیف],1))+1</f>
        <v>193</v>
      </c>
      <c r="B195" s="31">
        <f>SUBTOTAL(2,INDEX(Main[ردیف],1):Main[[#This Row],[ردیف]])</f>
        <v>15</v>
      </c>
      <c r="C195" s="32" t="s">
        <v>519</v>
      </c>
      <c r="D195" s="32" t="str">
        <f>_xlfn.CONCAT("14",Main[[#This Row],[تاريخ]])</f>
        <v>1400/01/28</v>
      </c>
      <c r="E195" s="33">
        <v>44303</v>
      </c>
      <c r="F195" s="32">
        <v>30066</v>
      </c>
      <c r="G195" s="5" t="str">
        <f>INDEX(customer[عنوان],MATCH(Main[[#This Row],[کد ردیابی]],customer[کد],0))</f>
        <v xml:space="preserve">شیر آلات بهداشتی قهرمان </v>
      </c>
      <c r="H195">
        <v>2103</v>
      </c>
      <c r="I195" s="6">
        <f ca="1">-Main[[#This Row],[بدهی تسویه شده (کیلوگرم)]]+Main[[#This Row],[بستانکار (کیلوگرم)]]</f>
        <v>2103</v>
      </c>
      <c r="J195" s="6">
        <f>IF(Main[[#This Row],[مقدار (کیلوگرم)]]&gt;0,Main[[#This Row],[مقدار (کیلوگرم)]],0)</f>
        <v>2103</v>
      </c>
      <c r="K195" s="6">
        <f>-IF(Main[[#This Row],[مقدار (کیلوگرم)]]&lt;0,Main[[#This Row],[مقدار (کیلوگرم)]],0)</f>
        <v>0</v>
      </c>
      <c r="L1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" s="7">
        <f>-IF(AND(Main[[#This Row],[مقدار (کیلوگرم)]]&lt;0,Main[[#This Row],[تاريخ میلادی]]&gt;44276),Main[[#This Row],[مقدار (کیلوگرم)]],0)</f>
        <v>0</v>
      </c>
      <c r="N195" s="6">
        <f ca="1">Main[[#This Row],[بدهکار (کیلوگرم)]]-Main[[#This Row],[بدهی تسویه نشده (کیلوگرم)]]</f>
        <v>0</v>
      </c>
      <c r="O195" s="6">
        <f ca="1">Main[[#This Row],[تفکیک]]</f>
        <v>0</v>
      </c>
      <c r="P195" s="6">
        <f ca="1">IF(Main[[#This Row],[تاخیر از سررسید]]&gt;0,Main[[#This Row],[بدهی تسویه نشده (کیلوگرم)]],0)</f>
        <v>0</v>
      </c>
      <c r="Q195" s="6">
        <f ca="1">IF(Main[[#This Row],[بدهی تسویه نشده (کیلوگرم)]]&gt;0,'گزارش فردی'!$B$7-Main[[#This Row],[تاريخ میلادی]],0)</f>
        <v>0</v>
      </c>
      <c r="R195" s="6">
        <f ca="1">IF(Main[[#This Row],[بدهی تسویه نشده (کیلوگرم)]]&gt;0,'گزارش فردی'!$B$7-Main[[#This Row],[تاريخ میلادی]]-'گزارش فردی'!$B$8,0)</f>
        <v>0</v>
      </c>
      <c r="S195" s="6">
        <f ca="1">Main[[#This Row],[روز از ارسال سفارش]]*Main[[#This Row],[بدهی تسویه نشده (کیلوگرم)]]</f>
        <v>0</v>
      </c>
      <c r="T195" s="6">
        <f ca="1">Main[[#This Row],[بدهی سررسید شده (کیلوگرم)]]*Main[[#This Row],[روز از ارسال سفارش]]</f>
        <v>0</v>
      </c>
      <c r="U195" s="6">
        <f>-SUBTOTAL(9,INDEX(Main[مقدار (کیلوگرم)],1):Main[[#This Row],[مقدار (کیلوگرم)]])</f>
        <v>27936</v>
      </c>
      <c r="V1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" s="6">
        <f>Main[[#This Row],[تعداد کل روزهای بدهکار (روز)]]*Main[[#This Row],[مانده در خط کل (کیلوگرم)]]</f>
        <v>0</v>
      </c>
      <c r="X195" s="6">
        <f ca="1">-SUBTOTAL(9,INDEX(Main[مقدار تسویه شده (کیلوگرم)],1):Main[[#This Row],[مقدار تسویه شده (کیلوگرم)]])</f>
        <v>27936</v>
      </c>
      <c r="Y195" s="6">
        <f ca="1">IF(Main[[#This Row],[مانده در خط تسویه شده (کیلوگرم)]]&lt;&gt;0,Main[[#This Row],[تعداد کل روزهای بدهکار (روز)]],0)</f>
        <v>0</v>
      </c>
      <c r="Z195" s="6">
        <f ca="1">Main[[#This Row],[تعداد روزهای بدهکار تسویه شده (روز)]]*Main[[#This Row],[مانده در خط تسویه شده (کیلوگرم)]]</f>
        <v>0</v>
      </c>
      <c r="AA195" s="6">
        <f ca="1">SUBTOTAL(9,INDEX(Main[بدهی تسویه نشده (کیلوگرم)],1):Main[[#This Row],[بدهی تسویه نشده (کیلوگرم)]])</f>
        <v>0</v>
      </c>
      <c r="AB195" s="6">
        <f ca="1">IF(Main[[#This Row],[مانده در خط تسویه نشده (کیلوگرم)]]&lt;&gt;0,Main[[#This Row],[تعداد کل روزهای بدهکار (روز)]],0)</f>
        <v>0</v>
      </c>
      <c r="AC195" s="6">
        <f ca="1">Main[[#This Row],[تعداد روزهای بدهکار  تسویه نشده (روز)]]*Main[[#This Row],[مانده در خط تسویه نشده (کیلوگرم)]]</f>
        <v>0</v>
      </c>
      <c r="AD195" s="6">
        <f ca="1">SUBTOTAL(9,INDEX(Main[بدهی سررسید شده (کیلوگرم)],1):Main[[#This Row],[بدهی سررسید شده (کیلوگرم)]])</f>
        <v>0</v>
      </c>
      <c r="AE195" s="6">
        <f ca="1">IF(Main[[#This Row],[مانده در خط سررسید شده (کیلوگرم)]]&lt;&gt;0,Main[[#This Row],[تعداد کل روزهای بدهکار (روز)]],0)</f>
        <v>0</v>
      </c>
      <c r="AF195" s="6">
        <f ca="1">Main[[#This Row],[تعداد روزهای بدهکار سررسید شده (روز)]]*Main[[#This Row],[مانده در خط سررسید شده (کیلوگرم)]]</f>
        <v>0</v>
      </c>
    </row>
    <row r="196" spans="1:32" hidden="1" x14ac:dyDescent="0.35">
      <c r="A196" s="5">
        <f>ROW()-ROW(INDEX(Main[ردیف],1))+1</f>
        <v>194</v>
      </c>
      <c r="B196" s="31">
        <f>SUBTOTAL(2,INDEX(Main[ردیف],1):Main[[#This Row],[ردیف]])</f>
        <v>15</v>
      </c>
      <c r="C196" s="32" t="s">
        <v>519</v>
      </c>
      <c r="D196" s="32" t="str">
        <f>_xlfn.CONCAT("14",Main[[#This Row],[تاريخ]])</f>
        <v>1400/01/28</v>
      </c>
      <c r="E196" s="33">
        <v>44303</v>
      </c>
      <c r="F196" s="32">
        <v>30146</v>
      </c>
      <c r="G196" s="5" t="str">
        <f>INDEX(customer[عنوان],MATCH(Main[[#This Row],[کد ردیابی]],customer[کد],0))</f>
        <v>شرکت آذرپاد</v>
      </c>
      <c r="H196">
        <v>-5089</v>
      </c>
      <c r="I196" s="6">
        <f ca="1">-Main[[#This Row],[بدهی تسویه شده (کیلوگرم)]]+Main[[#This Row],[بستانکار (کیلوگرم)]]</f>
        <v>-5089</v>
      </c>
      <c r="J196" s="6">
        <f>IF(Main[[#This Row],[مقدار (کیلوگرم)]]&gt;0,Main[[#This Row],[مقدار (کیلوگرم)]],0)</f>
        <v>0</v>
      </c>
      <c r="K196" s="6">
        <f>-IF(Main[[#This Row],[مقدار (کیلوگرم)]]&lt;0,Main[[#This Row],[مقدار (کیلوگرم)]],0)</f>
        <v>5089</v>
      </c>
      <c r="L1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" s="7">
        <f>-IF(AND(Main[[#This Row],[مقدار (کیلوگرم)]]&lt;0,Main[[#This Row],[تاريخ میلادی]]&gt;44276),Main[[#This Row],[مقدار (کیلوگرم)]],0)</f>
        <v>5089</v>
      </c>
      <c r="N196" s="6">
        <f ca="1">Main[[#This Row],[بدهکار (کیلوگرم)]]-Main[[#This Row],[بدهی تسویه نشده (کیلوگرم)]]</f>
        <v>5089</v>
      </c>
      <c r="O196" s="6">
        <f ca="1">Main[[#This Row],[تفکیک]]</f>
        <v>0</v>
      </c>
      <c r="P196" s="6">
        <f ca="1">IF(Main[[#This Row],[تاخیر از سررسید]]&gt;0,Main[[#This Row],[بدهی تسویه نشده (کیلوگرم)]],0)</f>
        <v>0</v>
      </c>
      <c r="Q196" s="6">
        <f ca="1">IF(Main[[#This Row],[بدهی تسویه نشده (کیلوگرم)]]&gt;0,'گزارش فردی'!$B$7-Main[[#This Row],[تاريخ میلادی]],0)</f>
        <v>0</v>
      </c>
      <c r="R196" s="6">
        <f ca="1">IF(Main[[#This Row],[بدهی تسویه نشده (کیلوگرم)]]&gt;0,'گزارش فردی'!$B$7-Main[[#This Row],[تاريخ میلادی]]-'گزارش فردی'!$B$8,0)</f>
        <v>0</v>
      </c>
      <c r="S196" s="6">
        <f ca="1">Main[[#This Row],[روز از ارسال سفارش]]*Main[[#This Row],[بدهی تسویه نشده (کیلوگرم)]]</f>
        <v>0</v>
      </c>
      <c r="T196" s="6">
        <f ca="1">Main[[#This Row],[بدهی سررسید شده (کیلوگرم)]]*Main[[#This Row],[روز از ارسال سفارش]]</f>
        <v>0</v>
      </c>
      <c r="U196" s="6">
        <f>-SUBTOTAL(9,INDEX(Main[مقدار (کیلوگرم)],1):Main[[#This Row],[مقدار (کیلوگرم)]])</f>
        <v>27936</v>
      </c>
      <c r="V1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6" s="6">
        <f>Main[[#This Row],[تعداد کل روزهای بدهکار (روز)]]*Main[[#This Row],[مانده در خط کل (کیلوگرم)]]</f>
        <v>0</v>
      </c>
      <c r="X196" s="6">
        <f ca="1">-SUBTOTAL(9,INDEX(Main[مقدار تسویه شده (کیلوگرم)],1):Main[[#This Row],[مقدار تسویه شده (کیلوگرم)]])</f>
        <v>27936</v>
      </c>
      <c r="Y196" s="6">
        <f ca="1">IF(Main[[#This Row],[مانده در خط تسویه شده (کیلوگرم)]]&lt;&gt;0,Main[[#This Row],[تعداد کل روزهای بدهکار (روز)]],0)</f>
        <v>0</v>
      </c>
      <c r="Z196" s="6">
        <f ca="1">Main[[#This Row],[تعداد روزهای بدهکار تسویه شده (روز)]]*Main[[#This Row],[مانده در خط تسویه شده (کیلوگرم)]]</f>
        <v>0</v>
      </c>
      <c r="AA196" s="6">
        <f ca="1">SUBTOTAL(9,INDEX(Main[بدهی تسویه نشده (کیلوگرم)],1):Main[[#This Row],[بدهی تسویه نشده (کیلوگرم)]])</f>
        <v>0</v>
      </c>
      <c r="AB196" s="6">
        <f ca="1">IF(Main[[#This Row],[مانده در خط تسویه نشده (کیلوگرم)]]&lt;&gt;0,Main[[#This Row],[تعداد کل روزهای بدهکار (روز)]],0)</f>
        <v>0</v>
      </c>
      <c r="AC196" s="6">
        <f ca="1">Main[[#This Row],[تعداد روزهای بدهکار  تسویه نشده (روز)]]*Main[[#This Row],[مانده در خط تسویه نشده (کیلوگرم)]]</f>
        <v>0</v>
      </c>
      <c r="AD196" s="6">
        <f ca="1">SUBTOTAL(9,INDEX(Main[بدهی سررسید شده (کیلوگرم)],1):Main[[#This Row],[بدهی سررسید شده (کیلوگرم)]])</f>
        <v>0</v>
      </c>
      <c r="AE196" s="6">
        <f ca="1">IF(Main[[#This Row],[مانده در خط سررسید شده (کیلوگرم)]]&lt;&gt;0,Main[[#This Row],[تعداد کل روزهای بدهکار (روز)]],0)</f>
        <v>0</v>
      </c>
      <c r="AF196" s="6">
        <f ca="1">Main[[#This Row],[تعداد روزهای بدهکار سررسید شده (روز)]]*Main[[#This Row],[مانده در خط سررسید شده (کیلوگرم)]]</f>
        <v>0</v>
      </c>
    </row>
    <row r="197" spans="1:32" hidden="1" x14ac:dyDescent="0.35">
      <c r="A197" s="5">
        <f>ROW()-ROW(INDEX(Main[ردیف],1))+1</f>
        <v>195</v>
      </c>
      <c r="B197" s="31">
        <f>SUBTOTAL(2,INDEX(Main[ردیف],1):Main[[#This Row],[ردیف]])</f>
        <v>15</v>
      </c>
      <c r="C197" s="32" t="s">
        <v>519</v>
      </c>
      <c r="D197" s="32" t="str">
        <f>_xlfn.CONCAT("14",Main[[#This Row],[تاريخ]])</f>
        <v>1400/01/28</v>
      </c>
      <c r="E197" s="33">
        <v>44303</v>
      </c>
      <c r="F197" s="32">
        <v>30066</v>
      </c>
      <c r="G197" s="5" t="str">
        <f>INDEX(customer[عنوان],MATCH(Main[[#This Row],[کد ردیابی]],customer[کد],0))</f>
        <v xml:space="preserve">شیر آلات بهداشتی قهرمان </v>
      </c>
      <c r="H197">
        <v>4126</v>
      </c>
      <c r="I197" s="6">
        <f ca="1">-Main[[#This Row],[بدهی تسویه شده (کیلوگرم)]]+Main[[#This Row],[بستانکار (کیلوگرم)]]</f>
        <v>4126</v>
      </c>
      <c r="J197" s="6">
        <f>IF(Main[[#This Row],[مقدار (کیلوگرم)]]&gt;0,Main[[#This Row],[مقدار (کیلوگرم)]],0)</f>
        <v>4126</v>
      </c>
      <c r="K197" s="6">
        <f>-IF(Main[[#This Row],[مقدار (کیلوگرم)]]&lt;0,Main[[#This Row],[مقدار (کیلوگرم)]],0)</f>
        <v>0</v>
      </c>
      <c r="L1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" s="7">
        <f>-IF(AND(Main[[#This Row],[مقدار (کیلوگرم)]]&lt;0,Main[[#This Row],[تاريخ میلادی]]&gt;44276),Main[[#This Row],[مقدار (کیلوگرم)]],0)</f>
        <v>0</v>
      </c>
      <c r="N197" s="6">
        <f ca="1">Main[[#This Row],[بدهکار (کیلوگرم)]]-Main[[#This Row],[بدهی تسویه نشده (کیلوگرم)]]</f>
        <v>0</v>
      </c>
      <c r="O197" s="6">
        <f ca="1">Main[[#This Row],[تفکیک]]</f>
        <v>0</v>
      </c>
      <c r="P197" s="6">
        <f ca="1">IF(Main[[#This Row],[تاخیر از سررسید]]&gt;0,Main[[#This Row],[بدهی تسویه نشده (کیلوگرم)]],0)</f>
        <v>0</v>
      </c>
      <c r="Q197" s="6">
        <f ca="1">IF(Main[[#This Row],[بدهی تسویه نشده (کیلوگرم)]]&gt;0,'گزارش فردی'!$B$7-Main[[#This Row],[تاريخ میلادی]],0)</f>
        <v>0</v>
      </c>
      <c r="R197" s="6">
        <f ca="1">IF(Main[[#This Row],[بدهی تسویه نشده (کیلوگرم)]]&gt;0,'گزارش فردی'!$B$7-Main[[#This Row],[تاريخ میلادی]]-'گزارش فردی'!$B$8,0)</f>
        <v>0</v>
      </c>
      <c r="S197" s="6">
        <f ca="1">Main[[#This Row],[روز از ارسال سفارش]]*Main[[#This Row],[بدهی تسویه نشده (کیلوگرم)]]</f>
        <v>0</v>
      </c>
      <c r="T197" s="6">
        <f ca="1">Main[[#This Row],[بدهی سررسید شده (کیلوگرم)]]*Main[[#This Row],[روز از ارسال سفارش]]</f>
        <v>0</v>
      </c>
      <c r="U197" s="6">
        <f>-SUBTOTAL(9,INDEX(Main[مقدار (کیلوگرم)],1):Main[[#This Row],[مقدار (کیلوگرم)]])</f>
        <v>27936</v>
      </c>
      <c r="V1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" s="6">
        <f>Main[[#This Row],[تعداد کل روزهای بدهکار (روز)]]*Main[[#This Row],[مانده در خط کل (کیلوگرم)]]</f>
        <v>0</v>
      </c>
      <c r="X197" s="6">
        <f ca="1">-SUBTOTAL(9,INDEX(Main[مقدار تسویه شده (کیلوگرم)],1):Main[[#This Row],[مقدار تسویه شده (کیلوگرم)]])</f>
        <v>27936</v>
      </c>
      <c r="Y197" s="6">
        <f ca="1">IF(Main[[#This Row],[مانده در خط تسویه شده (کیلوگرم)]]&lt;&gt;0,Main[[#This Row],[تعداد کل روزهای بدهکار (روز)]],0)</f>
        <v>0</v>
      </c>
      <c r="Z197" s="6">
        <f ca="1">Main[[#This Row],[تعداد روزهای بدهکار تسویه شده (روز)]]*Main[[#This Row],[مانده در خط تسویه شده (کیلوگرم)]]</f>
        <v>0</v>
      </c>
      <c r="AA197" s="6">
        <f ca="1">SUBTOTAL(9,INDEX(Main[بدهی تسویه نشده (کیلوگرم)],1):Main[[#This Row],[بدهی تسویه نشده (کیلوگرم)]])</f>
        <v>0</v>
      </c>
      <c r="AB197" s="6">
        <f ca="1">IF(Main[[#This Row],[مانده در خط تسویه نشده (کیلوگرم)]]&lt;&gt;0,Main[[#This Row],[تعداد کل روزهای بدهکار (روز)]],0)</f>
        <v>0</v>
      </c>
      <c r="AC197" s="6">
        <f ca="1">Main[[#This Row],[تعداد روزهای بدهکار  تسویه نشده (روز)]]*Main[[#This Row],[مانده در خط تسویه نشده (کیلوگرم)]]</f>
        <v>0</v>
      </c>
      <c r="AD197" s="6">
        <f ca="1">SUBTOTAL(9,INDEX(Main[بدهی سررسید شده (کیلوگرم)],1):Main[[#This Row],[بدهی سررسید شده (کیلوگرم)]])</f>
        <v>0</v>
      </c>
      <c r="AE197" s="6">
        <f ca="1">IF(Main[[#This Row],[مانده در خط سررسید شده (کیلوگرم)]]&lt;&gt;0,Main[[#This Row],[تعداد کل روزهای بدهکار (روز)]],0)</f>
        <v>0</v>
      </c>
      <c r="AF197" s="6">
        <f ca="1">Main[[#This Row],[تعداد روزهای بدهکار سررسید شده (روز)]]*Main[[#This Row],[مانده در خط سررسید شده (کیلوگرم)]]</f>
        <v>0</v>
      </c>
    </row>
    <row r="198" spans="1:32" hidden="1" x14ac:dyDescent="0.35">
      <c r="A198" s="5">
        <f>ROW()-ROW(INDEX(Main[ردیف],1))+1</f>
        <v>196</v>
      </c>
      <c r="B198" s="31">
        <f>SUBTOTAL(2,INDEX(Main[ردیف],1):Main[[#This Row],[ردیف]])</f>
        <v>15</v>
      </c>
      <c r="C198" s="32" t="s">
        <v>519</v>
      </c>
      <c r="D198" s="32" t="str">
        <f>_xlfn.CONCAT("14",Main[[#This Row],[تاريخ]])</f>
        <v>1400/01/28</v>
      </c>
      <c r="E198" s="33">
        <v>44303</v>
      </c>
      <c r="F198" s="32">
        <v>10015</v>
      </c>
      <c r="G198" s="5" t="str">
        <f>INDEX(customer[عنوان],MATCH(Main[[#This Row],[کد ردیابی]],customer[کد],0))</f>
        <v xml:space="preserve">مصدقی </v>
      </c>
      <c r="H198">
        <v>-998</v>
      </c>
      <c r="I198" s="6">
        <f ca="1">-Main[[#This Row],[بدهی تسویه شده (کیلوگرم)]]+Main[[#This Row],[بستانکار (کیلوگرم)]]</f>
        <v>-998</v>
      </c>
      <c r="J198" s="6">
        <f>IF(Main[[#This Row],[مقدار (کیلوگرم)]]&gt;0,Main[[#This Row],[مقدار (کیلوگرم)]],0)</f>
        <v>0</v>
      </c>
      <c r="K198" s="6">
        <f>-IF(Main[[#This Row],[مقدار (کیلوگرم)]]&lt;0,Main[[#This Row],[مقدار (کیلوگرم)]],0)</f>
        <v>998</v>
      </c>
      <c r="L1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" s="7">
        <f>-IF(AND(Main[[#This Row],[مقدار (کیلوگرم)]]&lt;0,Main[[#This Row],[تاريخ میلادی]]&gt;44276),Main[[#This Row],[مقدار (کیلوگرم)]],0)</f>
        <v>998</v>
      </c>
      <c r="N198" s="6">
        <f ca="1">Main[[#This Row],[بدهکار (کیلوگرم)]]-Main[[#This Row],[بدهی تسویه نشده (کیلوگرم)]]</f>
        <v>998</v>
      </c>
      <c r="O198" s="6">
        <f ca="1">Main[[#This Row],[تفکیک]]</f>
        <v>0</v>
      </c>
      <c r="P198" s="6">
        <f ca="1">IF(Main[[#This Row],[تاخیر از سررسید]]&gt;0,Main[[#This Row],[بدهی تسویه نشده (کیلوگرم)]],0)</f>
        <v>0</v>
      </c>
      <c r="Q198" s="6">
        <f ca="1">IF(Main[[#This Row],[بدهی تسویه نشده (کیلوگرم)]]&gt;0,'گزارش فردی'!$B$7-Main[[#This Row],[تاريخ میلادی]],0)</f>
        <v>0</v>
      </c>
      <c r="R198" s="6">
        <f ca="1">IF(Main[[#This Row],[بدهی تسویه نشده (کیلوگرم)]]&gt;0,'گزارش فردی'!$B$7-Main[[#This Row],[تاريخ میلادی]]-'گزارش فردی'!$B$8,0)</f>
        <v>0</v>
      </c>
      <c r="S198" s="6">
        <f ca="1">Main[[#This Row],[روز از ارسال سفارش]]*Main[[#This Row],[بدهی تسویه نشده (کیلوگرم)]]</f>
        <v>0</v>
      </c>
      <c r="T198" s="6">
        <f ca="1">Main[[#This Row],[بدهی سررسید شده (کیلوگرم)]]*Main[[#This Row],[روز از ارسال سفارش]]</f>
        <v>0</v>
      </c>
      <c r="U198" s="6">
        <f>-SUBTOTAL(9,INDEX(Main[مقدار (کیلوگرم)],1):Main[[#This Row],[مقدار (کیلوگرم)]])</f>
        <v>27936</v>
      </c>
      <c r="V1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" s="6">
        <f>Main[[#This Row],[تعداد کل روزهای بدهکار (روز)]]*Main[[#This Row],[مانده در خط کل (کیلوگرم)]]</f>
        <v>0</v>
      </c>
      <c r="X198" s="6">
        <f ca="1">-SUBTOTAL(9,INDEX(Main[مقدار تسویه شده (کیلوگرم)],1):Main[[#This Row],[مقدار تسویه شده (کیلوگرم)]])</f>
        <v>27936</v>
      </c>
      <c r="Y198" s="6">
        <f ca="1">IF(Main[[#This Row],[مانده در خط تسویه شده (کیلوگرم)]]&lt;&gt;0,Main[[#This Row],[تعداد کل روزهای بدهکار (روز)]],0)</f>
        <v>0</v>
      </c>
      <c r="Z198" s="6">
        <f ca="1">Main[[#This Row],[تعداد روزهای بدهکار تسویه شده (روز)]]*Main[[#This Row],[مانده در خط تسویه شده (کیلوگرم)]]</f>
        <v>0</v>
      </c>
      <c r="AA198" s="6">
        <f ca="1">SUBTOTAL(9,INDEX(Main[بدهی تسویه نشده (کیلوگرم)],1):Main[[#This Row],[بدهی تسویه نشده (کیلوگرم)]])</f>
        <v>0</v>
      </c>
      <c r="AB198" s="6">
        <f ca="1">IF(Main[[#This Row],[مانده در خط تسویه نشده (کیلوگرم)]]&lt;&gt;0,Main[[#This Row],[تعداد کل روزهای بدهکار (روز)]],0)</f>
        <v>0</v>
      </c>
      <c r="AC198" s="6">
        <f ca="1">Main[[#This Row],[تعداد روزهای بدهکار  تسویه نشده (روز)]]*Main[[#This Row],[مانده در خط تسویه نشده (کیلوگرم)]]</f>
        <v>0</v>
      </c>
      <c r="AD198" s="6">
        <f ca="1">SUBTOTAL(9,INDEX(Main[بدهی سررسید شده (کیلوگرم)],1):Main[[#This Row],[بدهی سررسید شده (کیلوگرم)]])</f>
        <v>0</v>
      </c>
      <c r="AE198" s="6">
        <f ca="1">IF(Main[[#This Row],[مانده در خط سررسید شده (کیلوگرم)]]&lt;&gt;0,Main[[#This Row],[تعداد کل روزهای بدهکار (روز)]],0)</f>
        <v>0</v>
      </c>
      <c r="AF198" s="6">
        <f ca="1">Main[[#This Row],[تعداد روزهای بدهکار سررسید شده (روز)]]*Main[[#This Row],[مانده در خط سررسید شده (کیلوگرم)]]</f>
        <v>0</v>
      </c>
    </row>
    <row r="199" spans="1:32" hidden="1" x14ac:dyDescent="0.35">
      <c r="A199" s="5">
        <f>ROW()-ROW(INDEX(Main[ردیف],1))+1</f>
        <v>197</v>
      </c>
      <c r="B199" s="31">
        <f>SUBTOTAL(2,INDEX(Main[ردیف],1):Main[[#This Row],[ردیف]])</f>
        <v>15</v>
      </c>
      <c r="C199" s="32" t="s">
        <v>519</v>
      </c>
      <c r="D199" s="32" t="str">
        <f>_xlfn.CONCAT("14",Main[[#This Row],[تاريخ]])</f>
        <v>1400/01/28</v>
      </c>
      <c r="E199" s="33">
        <v>44303</v>
      </c>
      <c r="F199" s="32">
        <v>30066</v>
      </c>
      <c r="G199" s="5" t="str">
        <f>INDEX(customer[عنوان],MATCH(Main[[#This Row],[کد ردیابی]],customer[کد],0))</f>
        <v xml:space="preserve">شیر آلات بهداشتی قهرمان </v>
      </c>
      <c r="H199">
        <v>1843</v>
      </c>
      <c r="I199" s="6">
        <f ca="1">-Main[[#This Row],[بدهی تسویه شده (کیلوگرم)]]+Main[[#This Row],[بستانکار (کیلوگرم)]]</f>
        <v>1843</v>
      </c>
      <c r="J199" s="6">
        <f>IF(Main[[#This Row],[مقدار (کیلوگرم)]]&gt;0,Main[[#This Row],[مقدار (کیلوگرم)]],0)</f>
        <v>1843</v>
      </c>
      <c r="K199" s="6">
        <f>-IF(Main[[#This Row],[مقدار (کیلوگرم)]]&lt;0,Main[[#This Row],[مقدار (کیلوگرم)]],0)</f>
        <v>0</v>
      </c>
      <c r="L1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" s="7">
        <f>-IF(AND(Main[[#This Row],[مقدار (کیلوگرم)]]&lt;0,Main[[#This Row],[تاريخ میلادی]]&gt;44276),Main[[#This Row],[مقدار (کیلوگرم)]],0)</f>
        <v>0</v>
      </c>
      <c r="N199" s="6">
        <f ca="1">Main[[#This Row],[بدهکار (کیلوگرم)]]-Main[[#This Row],[بدهی تسویه نشده (کیلوگرم)]]</f>
        <v>0</v>
      </c>
      <c r="O199" s="6">
        <f ca="1">Main[[#This Row],[تفکیک]]</f>
        <v>0</v>
      </c>
      <c r="P199" s="6">
        <f ca="1">IF(Main[[#This Row],[تاخیر از سررسید]]&gt;0,Main[[#This Row],[بدهی تسویه نشده (کیلوگرم)]],0)</f>
        <v>0</v>
      </c>
      <c r="Q199" s="6">
        <f ca="1">IF(Main[[#This Row],[بدهی تسویه نشده (کیلوگرم)]]&gt;0,'گزارش فردی'!$B$7-Main[[#This Row],[تاريخ میلادی]],0)</f>
        <v>0</v>
      </c>
      <c r="R199" s="6">
        <f ca="1">IF(Main[[#This Row],[بدهی تسویه نشده (کیلوگرم)]]&gt;0,'گزارش فردی'!$B$7-Main[[#This Row],[تاريخ میلادی]]-'گزارش فردی'!$B$8,0)</f>
        <v>0</v>
      </c>
      <c r="S199" s="6">
        <f ca="1">Main[[#This Row],[روز از ارسال سفارش]]*Main[[#This Row],[بدهی تسویه نشده (کیلوگرم)]]</f>
        <v>0</v>
      </c>
      <c r="T199" s="6">
        <f ca="1">Main[[#This Row],[بدهی سررسید شده (کیلوگرم)]]*Main[[#This Row],[روز از ارسال سفارش]]</f>
        <v>0</v>
      </c>
      <c r="U199" s="6">
        <f>-SUBTOTAL(9,INDEX(Main[مقدار (کیلوگرم)],1):Main[[#This Row],[مقدار (کیلوگرم)]])</f>
        <v>27936</v>
      </c>
      <c r="V1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" s="6">
        <f>Main[[#This Row],[تعداد کل روزهای بدهکار (روز)]]*Main[[#This Row],[مانده در خط کل (کیلوگرم)]]</f>
        <v>0</v>
      </c>
      <c r="X199" s="6">
        <f ca="1">-SUBTOTAL(9,INDEX(Main[مقدار تسویه شده (کیلوگرم)],1):Main[[#This Row],[مقدار تسویه شده (کیلوگرم)]])</f>
        <v>27936</v>
      </c>
      <c r="Y199" s="6">
        <f ca="1">IF(Main[[#This Row],[مانده در خط تسویه شده (کیلوگرم)]]&lt;&gt;0,Main[[#This Row],[تعداد کل روزهای بدهکار (روز)]],0)</f>
        <v>0</v>
      </c>
      <c r="Z199" s="6">
        <f ca="1">Main[[#This Row],[تعداد روزهای بدهکار تسویه شده (روز)]]*Main[[#This Row],[مانده در خط تسویه شده (کیلوگرم)]]</f>
        <v>0</v>
      </c>
      <c r="AA199" s="6">
        <f ca="1">SUBTOTAL(9,INDEX(Main[بدهی تسویه نشده (کیلوگرم)],1):Main[[#This Row],[بدهی تسویه نشده (کیلوگرم)]])</f>
        <v>0</v>
      </c>
      <c r="AB199" s="6">
        <f ca="1">IF(Main[[#This Row],[مانده در خط تسویه نشده (کیلوگرم)]]&lt;&gt;0,Main[[#This Row],[تعداد کل روزهای بدهکار (روز)]],0)</f>
        <v>0</v>
      </c>
      <c r="AC199" s="6">
        <f ca="1">Main[[#This Row],[تعداد روزهای بدهکار  تسویه نشده (روز)]]*Main[[#This Row],[مانده در خط تسویه نشده (کیلوگرم)]]</f>
        <v>0</v>
      </c>
      <c r="AD199" s="6">
        <f ca="1">SUBTOTAL(9,INDEX(Main[بدهی سررسید شده (کیلوگرم)],1):Main[[#This Row],[بدهی سررسید شده (کیلوگرم)]])</f>
        <v>0</v>
      </c>
      <c r="AE199" s="6">
        <f ca="1">IF(Main[[#This Row],[مانده در خط سررسید شده (کیلوگرم)]]&lt;&gt;0,Main[[#This Row],[تعداد کل روزهای بدهکار (روز)]],0)</f>
        <v>0</v>
      </c>
      <c r="AF199" s="6">
        <f ca="1">Main[[#This Row],[تعداد روزهای بدهکار سررسید شده (روز)]]*Main[[#This Row],[مانده در خط سررسید شده (کیلوگرم)]]</f>
        <v>0</v>
      </c>
    </row>
    <row r="200" spans="1:32" x14ac:dyDescent="0.35">
      <c r="A200" s="5">
        <f>ROW()-ROW(INDEX(Main[ردیف],1))+1</f>
        <v>198</v>
      </c>
      <c r="B200" s="31">
        <f>SUBTOTAL(2,INDEX(Main[ردیف],1):Main[[#This Row],[ردیف]])</f>
        <v>16</v>
      </c>
      <c r="C200" s="32" t="s">
        <v>519</v>
      </c>
      <c r="D200" s="32" t="str">
        <f>_xlfn.CONCAT("14",Main[[#This Row],[تاريخ]])</f>
        <v>1400/01/28</v>
      </c>
      <c r="E200" s="33">
        <v>44303</v>
      </c>
      <c r="F200" s="32">
        <v>10003</v>
      </c>
      <c r="G200" s="5" t="str">
        <f>INDEX(customer[عنوان],MATCH(Main[[#This Row],[کد ردیابی]],customer[کد],0))</f>
        <v>اصغر نورعلی</v>
      </c>
      <c r="H200">
        <v>-2490</v>
      </c>
      <c r="I200" s="6">
        <f ca="1">-Main[[#This Row],[بدهی تسویه شده (کیلوگرم)]]+Main[[#This Row],[بستانکار (کیلوگرم)]]</f>
        <v>-2490</v>
      </c>
      <c r="J200" s="6">
        <f>IF(Main[[#This Row],[مقدار (کیلوگرم)]]&gt;0,Main[[#This Row],[مقدار (کیلوگرم)]],0)</f>
        <v>0</v>
      </c>
      <c r="K200" s="6">
        <f>-IF(Main[[#This Row],[مقدار (کیلوگرم)]]&lt;0,Main[[#This Row],[مقدار (کیلوگرم)]],0)</f>
        <v>2490</v>
      </c>
      <c r="L2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" s="7">
        <f>-IF(AND(Main[[#This Row],[مقدار (کیلوگرم)]]&lt;0,Main[[#This Row],[تاريخ میلادی]]&gt;44276),Main[[#This Row],[مقدار (کیلوگرم)]],0)</f>
        <v>2490</v>
      </c>
      <c r="N200" s="6">
        <f ca="1">Main[[#This Row],[بدهکار (کیلوگرم)]]-Main[[#This Row],[بدهی تسویه نشده (کیلوگرم)]]</f>
        <v>2490</v>
      </c>
      <c r="O200" s="6">
        <f ca="1">Main[[#This Row],[تفکیک]]</f>
        <v>0</v>
      </c>
      <c r="P200" s="6">
        <f ca="1">IF(Main[[#This Row],[تاخیر از سررسید]]&gt;0,Main[[#This Row],[بدهی تسویه نشده (کیلوگرم)]],0)</f>
        <v>0</v>
      </c>
      <c r="Q200" s="6">
        <f ca="1">IF(Main[[#This Row],[بدهی تسویه نشده (کیلوگرم)]]&gt;0,'گزارش فردی'!$B$7-Main[[#This Row],[تاريخ میلادی]],0)</f>
        <v>0</v>
      </c>
      <c r="R200" s="6">
        <f ca="1">IF(Main[[#This Row],[بدهی تسویه نشده (کیلوگرم)]]&gt;0,'گزارش فردی'!$B$7-Main[[#This Row],[تاريخ میلادی]]-'گزارش فردی'!$B$8,0)</f>
        <v>0</v>
      </c>
      <c r="S200" s="6">
        <f ca="1">Main[[#This Row],[روز از ارسال سفارش]]*Main[[#This Row],[بدهی تسویه نشده (کیلوگرم)]]</f>
        <v>0</v>
      </c>
      <c r="T200" s="6">
        <f ca="1">Main[[#This Row],[بدهی سررسید شده (کیلوگرم)]]*Main[[#This Row],[روز از ارسال سفارش]]</f>
        <v>0</v>
      </c>
      <c r="U200" s="6">
        <f>-SUBTOTAL(9,INDEX(Main[مقدار (کیلوگرم)],1):Main[[#This Row],[مقدار (کیلوگرم)]])</f>
        <v>30426</v>
      </c>
      <c r="V2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" s="6">
        <f>Main[[#This Row],[تعداد کل روزهای بدهکار (روز)]]*Main[[#This Row],[مانده در خط کل (کیلوگرم)]]</f>
        <v>30426</v>
      </c>
      <c r="X200" s="6">
        <f ca="1">-SUBTOTAL(9,INDEX(Main[مقدار تسویه شده (کیلوگرم)],1):Main[[#This Row],[مقدار تسویه شده (کیلوگرم)]])</f>
        <v>30426</v>
      </c>
      <c r="Y200" s="6">
        <f ca="1">IF(Main[[#This Row],[مانده در خط تسویه شده (کیلوگرم)]]&lt;&gt;0,Main[[#This Row],[تعداد کل روزهای بدهکار (روز)]],0)</f>
        <v>1</v>
      </c>
      <c r="Z200" s="6">
        <f ca="1">Main[[#This Row],[تعداد روزهای بدهکار تسویه شده (روز)]]*Main[[#This Row],[مانده در خط تسویه شده (کیلوگرم)]]</f>
        <v>30426</v>
      </c>
      <c r="AA200" s="6">
        <f ca="1">SUBTOTAL(9,INDEX(Main[بدهی تسویه نشده (کیلوگرم)],1):Main[[#This Row],[بدهی تسویه نشده (کیلوگرم)]])</f>
        <v>0</v>
      </c>
      <c r="AB200" s="6">
        <f ca="1">IF(Main[[#This Row],[مانده در خط تسویه نشده (کیلوگرم)]]&lt;&gt;0,Main[[#This Row],[تعداد کل روزهای بدهکار (روز)]],0)</f>
        <v>0</v>
      </c>
      <c r="AC200" s="6">
        <f ca="1">Main[[#This Row],[تعداد روزهای بدهکار  تسویه نشده (روز)]]*Main[[#This Row],[مانده در خط تسویه نشده (کیلوگرم)]]</f>
        <v>0</v>
      </c>
      <c r="AD200" s="6">
        <f ca="1">SUBTOTAL(9,INDEX(Main[بدهی سررسید شده (کیلوگرم)],1):Main[[#This Row],[بدهی سررسید شده (کیلوگرم)]])</f>
        <v>0</v>
      </c>
      <c r="AE200" s="6">
        <f ca="1">IF(Main[[#This Row],[مانده در خط سررسید شده (کیلوگرم)]]&lt;&gt;0,Main[[#This Row],[تعداد کل روزهای بدهکار (روز)]],0)</f>
        <v>0</v>
      </c>
      <c r="AF200" s="6">
        <f ca="1">Main[[#This Row],[تعداد روزهای بدهکار سررسید شده (روز)]]*Main[[#This Row],[مانده در خط سررسید شده (کیلوگرم)]]</f>
        <v>0</v>
      </c>
    </row>
    <row r="201" spans="1:32" hidden="1" x14ac:dyDescent="0.35">
      <c r="A201" s="5">
        <f>ROW()-ROW(INDEX(Main[ردیف],1))+1</f>
        <v>199</v>
      </c>
      <c r="B201" s="31">
        <f>SUBTOTAL(2,INDEX(Main[ردیف],1):Main[[#This Row],[ردیف]])</f>
        <v>16</v>
      </c>
      <c r="C201" s="32" t="s">
        <v>519</v>
      </c>
      <c r="D201" s="32" t="str">
        <f>_xlfn.CONCAT("14",Main[[#This Row],[تاريخ]])</f>
        <v>1400/01/28</v>
      </c>
      <c r="E201" s="33">
        <v>44303</v>
      </c>
      <c r="F201" s="32">
        <v>30009</v>
      </c>
      <c r="G201" s="5" t="str">
        <f>INDEX(customer[عنوان],MATCH(Main[[#This Row],[کد ردیابی]],customer[کد],0))</f>
        <v>شرکت ایمن تک پیشرو</v>
      </c>
      <c r="H201">
        <v>1187</v>
      </c>
      <c r="I201" s="6">
        <f ca="1">-Main[[#This Row],[بدهی تسویه شده (کیلوگرم)]]+Main[[#This Row],[بستانکار (کیلوگرم)]]</f>
        <v>1187</v>
      </c>
      <c r="J201" s="6">
        <f>IF(Main[[#This Row],[مقدار (کیلوگرم)]]&gt;0,Main[[#This Row],[مقدار (کیلوگرم)]],0)</f>
        <v>1187</v>
      </c>
      <c r="K201" s="6">
        <f>-IF(Main[[#This Row],[مقدار (کیلوگرم)]]&lt;0,Main[[#This Row],[مقدار (کیلوگرم)]],0)</f>
        <v>0</v>
      </c>
      <c r="L2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" s="7">
        <f>-IF(AND(Main[[#This Row],[مقدار (کیلوگرم)]]&lt;0,Main[[#This Row],[تاريخ میلادی]]&gt;44276),Main[[#This Row],[مقدار (کیلوگرم)]],0)</f>
        <v>0</v>
      </c>
      <c r="N201" s="6">
        <f ca="1">Main[[#This Row],[بدهکار (کیلوگرم)]]-Main[[#This Row],[بدهی تسویه نشده (کیلوگرم)]]</f>
        <v>0</v>
      </c>
      <c r="O201" s="6">
        <f ca="1">Main[[#This Row],[تفکیک]]</f>
        <v>0</v>
      </c>
      <c r="P201" s="6">
        <f ca="1">IF(Main[[#This Row],[تاخیر از سررسید]]&gt;0,Main[[#This Row],[بدهی تسویه نشده (کیلوگرم)]],0)</f>
        <v>0</v>
      </c>
      <c r="Q201" s="6">
        <f ca="1">IF(Main[[#This Row],[بدهی تسویه نشده (کیلوگرم)]]&gt;0,'گزارش فردی'!$B$7-Main[[#This Row],[تاريخ میلادی]],0)</f>
        <v>0</v>
      </c>
      <c r="R201" s="6">
        <f ca="1">IF(Main[[#This Row],[بدهی تسویه نشده (کیلوگرم)]]&gt;0,'گزارش فردی'!$B$7-Main[[#This Row],[تاريخ میلادی]]-'گزارش فردی'!$B$8,0)</f>
        <v>0</v>
      </c>
      <c r="S201" s="6">
        <f ca="1">Main[[#This Row],[روز از ارسال سفارش]]*Main[[#This Row],[بدهی تسویه نشده (کیلوگرم)]]</f>
        <v>0</v>
      </c>
      <c r="T201" s="6">
        <f ca="1">Main[[#This Row],[بدهی سررسید شده (کیلوگرم)]]*Main[[#This Row],[روز از ارسال سفارش]]</f>
        <v>0</v>
      </c>
      <c r="U201" s="6">
        <f>-SUBTOTAL(9,INDEX(Main[مقدار (کیلوگرم)],1):Main[[#This Row],[مقدار (کیلوگرم)]])</f>
        <v>30426</v>
      </c>
      <c r="V2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" s="6">
        <f>Main[[#This Row],[تعداد کل روزهای بدهکار (روز)]]*Main[[#This Row],[مانده در خط کل (کیلوگرم)]]</f>
        <v>30426</v>
      </c>
      <c r="X201" s="6">
        <f ca="1">-SUBTOTAL(9,INDEX(Main[مقدار تسویه شده (کیلوگرم)],1):Main[[#This Row],[مقدار تسویه شده (کیلوگرم)]])</f>
        <v>30426</v>
      </c>
      <c r="Y201" s="6">
        <f ca="1">IF(Main[[#This Row],[مانده در خط تسویه شده (کیلوگرم)]]&lt;&gt;0,Main[[#This Row],[تعداد کل روزهای بدهکار (روز)]],0)</f>
        <v>1</v>
      </c>
      <c r="Z201" s="6">
        <f ca="1">Main[[#This Row],[تعداد روزهای بدهکار تسویه شده (روز)]]*Main[[#This Row],[مانده در خط تسویه شده (کیلوگرم)]]</f>
        <v>30426</v>
      </c>
      <c r="AA201" s="6">
        <f ca="1">SUBTOTAL(9,INDEX(Main[بدهی تسویه نشده (کیلوگرم)],1):Main[[#This Row],[بدهی تسویه نشده (کیلوگرم)]])</f>
        <v>0</v>
      </c>
      <c r="AB201" s="6">
        <f ca="1">IF(Main[[#This Row],[مانده در خط تسویه نشده (کیلوگرم)]]&lt;&gt;0,Main[[#This Row],[تعداد کل روزهای بدهکار (روز)]],0)</f>
        <v>0</v>
      </c>
      <c r="AC201" s="6">
        <f ca="1">Main[[#This Row],[تعداد روزهای بدهکار  تسویه نشده (روز)]]*Main[[#This Row],[مانده در خط تسویه نشده (کیلوگرم)]]</f>
        <v>0</v>
      </c>
      <c r="AD201" s="6">
        <f ca="1">SUBTOTAL(9,INDEX(Main[بدهی سررسید شده (کیلوگرم)],1):Main[[#This Row],[بدهی سررسید شده (کیلوگرم)]])</f>
        <v>0</v>
      </c>
      <c r="AE201" s="6">
        <f ca="1">IF(Main[[#This Row],[مانده در خط سررسید شده (کیلوگرم)]]&lt;&gt;0,Main[[#This Row],[تعداد کل روزهای بدهکار (روز)]],0)</f>
        <v>0</v>
      </c>
      <c r="AF201" s="6">
        <f ca="1">Main[[#This Row],[تعداد روزهای بدهکار سررسید شده (روز)]]*Main[[#This Row],[مانده در خط سررسید شده (کیلوگرم)]]</f>
        <v>0</v>
      </c>
    </row>
    <row r="202" spans="1:32" hidden="1" x14ac:dyDescent="0.35">
      <c r="A202" s="5">
        <f>ROW()-ROW(INDEX(Main[ردیف],1))+1</f>
        <v>200</v>
      </c>
      <c r="B202" s="31">
        <f>SUBTOTAL(2,INDEX(Main[ردیف],1):Main[[#This Row],[ردیف]])</f>
        <v>16</v>
      </c>
      <c r="C202" s="32" t="s">
        <v>519</v>
      </c>
      <c r="D202" s="32" t="str">
        <f>_xlfn.CONCAT("14",Main[[#This Row],[تاريخ]])</f>
        <v>1400/01/28</v>
      </c>
      <c r="E202" s="33">
        <v>44303</v>
      </c>
      <c r="F202" s="32">
        <v>10070</v>
      </c>
      <c r="G202" s="5" t="str">
        <f>INDEX(customer[عنوان],MATCH(Main[[#This Row],[کد ردیابی]],customer[کد],0))</f>
        <v xml:space="preserve">حمیدرضا شفیعی </v>
      </c>
      <c r="H202">
        <v>-62</v>
      </c>
      <c r="I202" s="6">
        <f ca="1">-Main[[#This Row],[بدهی تسویه شده (کیلوگرم)]]+Main[[#This Row],[بستانکار (کیلوگرم)]]</f>
        <v>-62</v>
      </c>
      <c r="J202" s="6">
        <f>IF(Main[[#This Row],[مقدار (کیلوگرم)]]&gt;0,Main[[#This Row],[مقدار (کیلوگرم)]],0)</f>
        <v>0</v>
      </c>
      <c r="K202" s="6">
        <f>-IF(Main[[#This Row],[مقدار (کیلوگرم)]]&lt;0,Main[[#This Row],[مقدار (کیلوگرم)]],0)</f>
        <v>62</v>
      </c>
      <c r="L2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" s="7">
        <f>-IF(AND(Main[[#This Row],[مقدار (کیلوگرم)]]&lt;0,Main[[#This Row],[تاريخ میلادی]]&gt;44276),Main[[#This Row],[مقدار (کیلوگرم)]],0)</f>
        <v>62</v>
      </c>
      <c r="N202" s="6">
        <f ca="1">Main[[#This Row],[بدهکار (کیلوگرم)]]-Main[[#This Row],[بدهی تسویه نشده (کیلوگرم)]]</f>
        <v>62</v>
      </c>
      <c r="O202" s="6">
        <f ca="1">Main[[#This Row],[تفکیک]]</f>
        <v>0</v>
      </c>
      <c r="P202" s="6">
        <f ca="1">IF(Main[[#This Row],[تاخیر از سررسید]]&gt;0,Main[[#This Row],[بدهی تسویه نشده (کیلوگرم)]],0)</f>
        <v>0</v>
      </c>
      <c r="Q202" s="6">
        <f ca="1">IF(Main[[#This Row],[بدهی تسویه نشده (کیلوگرم)]]&gt;0,'گزارش فردی'!$B$7-Main[[#This Row],[تاريخ میلادی]],0)</f>
        <v>0</v>
      </c>
      <c r="R202" s="6">
        <f ca="1">IF(Main[[#This Row],[بدهی تسویه نشده (کیلوگرم)]]&gt;0,'گزارش فردی'!$B$7-Main[[#This Row],[تاريخ میلادی]]-'گزارش فردی'!$B$8,0)</f>
        <v>0</v>
      </c>
      <c r="S202" s="6">
        <f ca="1">Main[[#This Row],[روز از ارسال سفارش]]*Main[[#This Row],[بدهی تسویه نشده (کیلوگرم)]]</f>
        <v>0</v>
      </c>
      <c r="T202" s="6">
        <f ca="1">Main[[#This Row],[بدهی سررسید شده (کیلوگرم)]]*Main[[#This Row],[روز از ارسال سفارش]]</f>
        <v>0</v>
      </c>
      <c r="U202" s="6">
        <f>-SUBTOTAL(9,INDEX(Main[مقدار (کیلوگرم)],1):Main[[#This Row],[مقدار (کیلوگرم)]])</f>
        <v>30426</v>
      </c>
      <c r="V2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" s="6">
        <f>Main[[#This Row],[تعداد کل روزهای بدهکار (روز)]]*Main[[#This Row],[مانده در خط کل (کیلوگرم)]]</f>
        <v>30426</v>
      </c>
      <c r="X202" s="6">
        <f ca="1">-SUBTOTAL(9,INDEX(Main[مقدار تسویه شده (کیلوگرم)],1):Main[[#This Row],[مقدار تسویه شده (کیلوگرم)]])</f>
        <v>30426</v>
      </c>
      <c r="Y202" s="6">
        <f ca="1">IF(Main[[#This Row],[مانده در خط تسویه شده (کیلوگرم)]]&lt;&gt;0,Main[[#This Row],[تعداد کل روزهای بدهکار (روز)]],0)</f>
        <v>1</v>
      </c>
      <c r="Z202" s="6">
        <f ca="1">Main[[#This Row],[تعداد روزهای بدهکار تسویه شده (روز)]]*Main[[#This Row],[مانده در خط تسویه شده (کیلوگرم)]]</f>
        <v>30426</v>
      </c>
      <c r="AA202" s="6">
        <f ca="1">SUBTOTAL(9,INDEX(Main[بدهی تسویه نشده (کیلوگرم)],1):Main[[#This Row],[بدهی تسویه نشده (کیلوگرم)]])</f>
        <v>0</v>
      </c>
      <c r="AB202" s="6">
        <f ca="1">IF(Main[[#This Row],[مانده در خط تسویه نشده (کیلوگرم)]]&lt;&gt;0,Main[[#This Row],[تعداد کل روزهای بدهکار (روز)]],0)</f>
        <v>0</v>
      </c>
      <c r="AC202" s="6">
        <f ca="1">Main[[#This Row],[تعداد روزهای بدهکار  تسویه نشده (روز)]]*Main[[#This Row],[مانده در خط تسویه نشده (کیلوگرم)]]</f>
        <v>0</v>
      </c>
      <c r="AD202" s="6">
        <f ca="1">SUBTOTAL(9,INDEX(Main[بدهی سررسید شده (کیلوگرم)],1):Main[[#This Row],[بدهی سررسید شده (کیلوگرم)]])</f>
        <v>0</v>
      </c>
      <c r="AE202" s="6">
        <f ca="1">IF(Main[[#This Row],[مانده در خط سررسید شده (کیلوگرم)]]&lt;&gt;0,Main[[#This Row],[تعداد کل روزهای بدهکار (روز)]],0)</f>
        <v>0</v>
      </c>
      <c r="AF202" s="6">
        <f ca="1">Main[[#This Row],[تعداد روزهای بدهکار سررسید شده (روز)]]*Main[[#This Row],[مانده در خط سررسید شده (کیلوگرم)]]</f>
        <v>0</v>
      </c>
    </row>
    <row r="203" spans="1:32" hidden="1" x14ac:dyDescent="0.35">
      <c r="A203" s="5">
        <f>ROW()-ROW(INDEX(Main[ردیف],1))+1</f>
        <v>201</v>
      </c>
      <c r="B203" s="31">
        <f>SUBTOTAL(2,INDEX(Main[ردیف],1):Main[[#This Row],[ردیف]])</f>
        <v>16</v>
      </c>
      <c r="C203" s="32" t="s">
        <v>519</v>
      </c>
      <c r="D203" s="32" t="str">
        <f>_xlfn.CONCAT("14",Main[[#This Row],[تاريخ]])</f>
        <v>1400/01/28</v>
      </c>
      <c r="E203" s="33">
        <v>44303</v>
      </c>
      <c r="F203" s="32">
        <v>30146</v>
      </c>
      <c r="G203" s="5" t="str">
        <f>INDEX(customer[عنوان],MATCH(Main[[#This Row],[کد ردیابی]],customer[کد],0))</f>
        <v>شرکت آذرپاد</v>
      </c>
      <c r="H203">
        <v>522</v>
      </c>
      <c r="I203" s="6">
        <f ca="1">-Main[[#This Row],[بدهی تسویه شده (کیلوگرم)]]+Main[[#This Row],[بستانکار (کیلوگرم)]]</f>
        <v>522</v>
      </c>
      <c r="J203" s="6">
        <f>IF(Main[[#This Row],[مقدار (کیلوگرم)]]&gt;0,Main[[#This Row],[مقدار (کیلوگرم)]],0)</f>
        <v>522</v>
      </c>
      <c r="K203" s="6">
        <f>-IF(Main[[#This Row],[مقدار (کیلوگرم)]]&lt;0,Main[[#This Row],[مقدار (کیلوگرم)]],0)</f>
        <v>0</v>
      </c>
      <c r="L2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" s="7">
        <f>-IF(AND(Main[[#This Row],[مقدار (کیلوگرم)]]&lt;0,Main[[#This Row],[تاريخ میلادی]]&gt;44276),Main[[#This Row],[مقدار (کیلوگرم)]],0)</f>
        <v>0</v>
      </c>
      <c r="N203" s="6">
        <f ca="1">Main[[#This Row],[بدهکار (کیلوگرم)]]-Main[[#This Row],[بدهی تسویه نشده (کیلوگرم)]]</f>
        <v>0</v>
      </c>
      <c r="O203" s="6">
        <f ca="1">Main[[#This Row],[تفکیک]]</f>
        <v>0</v>
      </c>
      <c r="P203" s="6">
        <f ca="1">IF(Main[[#This Row],[تاخیر از سررسید]]&gt;0,Main[[#This Row],[بدهی تسویه نشده (کیلوگرم)]],0)</f>
        <v>0</v>
      </c>
      <c r="Q203" s="6">
        <f ca="1">IF(Main[[#This Row],[بدهی تسویه نشده (کیلوگرم)]]&gt;0,'گزارش فردی'!$B$7-Main[[#This Row],[تاريخ میلادی]],0)</f>
        <v>0</v>
      </c>
      <c r="R203" s="6">
        <f ca="1">IF(Main[[#This Row],[بدهی تسویه نشده (کیلوگرم)]]&gt;0,'گزارش فردی'!$B$7-Main[[#This Row],[تاريخ میلادی]]-'گزارش فردی'!$B$8,0)</f>
        <v>0</v>
      </c>
      <c r="S203" s="6">
        <f ca="1">Main[[#This Row],[روز از ارسال سفارش]]*Main[[#This Row],[بدهی تسویه نشده (کیلوگرم)]]</f>
        <v>0</v>
      </c>
      <c r="T203" s="6">
        <f ca="1">Main[[#This Row],[بدهی سررسید شده (کیلوگرم)]]*Main[[#This Row],[روز از ارسال سفارش]]</f>
        <v>0</v>
      </c>
      <c r="U203" s="6">
        <f>-SUBTOTAL(9,INDEX(Main[مقدار (کیلوگرم)],1):Main[[#This Row],[مقدار (کیلوگرم)]])</f>
        <v>30426</v>
      </c>
      <c r="V2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3" s="6">
        <f>Main[[#This Row],[تعداد کل روزهای بدهکار (روز)]]*Main[[#This Row],[مانده در خط کل (کیلوگرم)]]</f>
        <v>30426</v>
      </c>
      <c r="X203" s="6">
        <f ca="1">-SUBTOTAL(9,INDEX(Main[مقدار تسویه شده (کیلوگرم)],1):Main[[#This Row],[مقدار تسویه شده (کیلوگرم)]])</f>
        <v>30426</v>
      </c>
      <c r="Y203" s="6">
        <f ca="1">IF(Main[[#This Row],[مانده در خط تسویه شده (کیلوگرم)]]&lt;&gt;0,Main[[#This Row],[تعداد کل روزهای بدهکار (روز)]],0)</f>
        <v>1</v>
      </c>
      <c r="Z203" s="6">
        <f ca="1">Main[[#This Row],[تعداد روزهای بدهکار تسویه شده (روز)]]*Main[[#This Row],[مانده در خط تسویه شده (کیلوگرم)]]</f>
        <v>30426</v>
      </c>
      <c r="AA203" s="6">
        <f ca="1">SUBTOTAL(9,INDEX(Main[بدهی تسویه نشده (کیلوگرم)],1):Main[[#This Row],[بدهی تسویه نشده (کیلوگرم)]])</f>
        <v>0</v>
      </c>
      <c r="AB203" s="6">
        <f ca="1">IF(Main[[#This Row],[مانده در خط تسویه نشده (کیلوگرم)]]&lt;&gt;0,Main[[#This Row],[تعداد کل روزهای بدهکار (روز)]],0)</f>
        <v>0</v>
      </c>
      <c r="AC203" s="6">
        <f ca="1">Main[[#This Row],[تعداد روزهای بدهکار  تسویه نشده (روز)]]*Main[[#This Row],[مانده در خط تسویه نشده (کیلوگرم)]]</f>
        <v>0</v>
      </c>
      <c r="AD203" s="6">
        <f ca="1">SUBTOTAL(9,INDEX(Main[بدهی سررسید شده (کیلوگرم)],1):Main[[#This Row],[بدهی سررسید شده (کیلوگرم)]])</f>
        <v>0</v>
      </c>
      <c r="AE203" s="6">
        <f ca="1">IF(Main[[#This Row],[مانده در خط سررسید شده (کیلوگرم)]]&lt;&gt;0,Main[[#This Row],[تعداد کل روزهای بدهکار (روز)]],0)</f>
        <v>0</v>
      </c>
      <c r="AF203" s="6">
        <f ca="1">Main[[#This Row],[تعداد روزهای بدهکار سررسید شده (روز)]]*Main[[#This Row],[مانده در خط سررسید شده (کیلوگرم)]]</f>
        <v>0</v>
      </c>
    </row>
    <row r="204" spans="1:32" hidden="1" x14ac:dyDescent="0.35">
      <c r="A204" s="5">
        <f>ROW()-ROW(INDEX(Main[ردیف],1))+1</f>
        <v>202</v>
      </c>
      <c r="B204" s="31">
        <f>SUBTOTAL(2,INDEX(Main[ردیف],1):Main[[#This Row],[ردیف]])</f>
        <v>16</v>
      </c>
      <c r="C204" s="32" t="s">
        <v>519</v>
      </c>
      <c r="D204" s="32" t="str">
        <f>_xlfn.CONCAT("14",Main[[#This Row],[تاريخ]])</f>
        <v>1400/01/28</v>
      </c>
      <c r="E204" s="33">
        <v>44303</v>
      </c>
      <c r="F204" s="32">
        <v>10026</v>
      </c>
      <c r="G204" s="5" t="str">
        <f>INDEX(customer[عنوان],MATCH(Main[[#This Row],[کد ردیابی]],customer[کد],0))</f>
        <v xml:space="preserve">محسن فیاض بخش </v>
      </c>
      <c r="H204">
        <v>-1850</v>
      </c>
      <c r="I204" s="6">
        <f ca="1">-Main[[#This Row],[بدهی تسویه شده (کیلوگرم)]]+Main[[#This Row],[بستانکار (کیلوگرم)]]</f>
        <v>-1850</v>
      </c>
      <c r="J204" s="6">
        <f>IF(Main[[#This Row],[مقدار (کیلوگرم)]]&gt;0,Main[[#This Row],[مقدار (کیلوگرم)]],0)</f>
        <v>0</v>
      </c>
      <c r="K204" s="6">
        <f>-IF(Main[[#This Row],[مقدار (کیلوگرم)]]&lt;0,Main[[#This Row],[مقدار (کیلوگرم)]],0)</f>
        <v>1850</v>
      </c>
      <c r="L2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" s="7">
        <f>-IF(AND(Main[[#This Row],[مقدار (کیلوگرم)]]&lt;0,Main[[#This Row],[تاريخ میلادی]]&gt;44276),Main[[#This Row],[مقدار (کیلوگرم)]],0)</f>
        <v>1850</v>
      </c>
      <c r="N204" s="6">
        <f ca="1">Main[[#This Row],[بدهکار (کیلوگرم)]]-Main[[#This Row],[بدهی تسویه نشده (کیلوگرم)]]</f>
        <v>1850</v>
      </c>
      <c r="O204" s="6">
        <f ca="1">Main[[#This Row],[تفکیک]]</f>
        <v>0</v>
      </c>
      <c r="P204" s="6">
        <f ca="1">IF(Main[[#This Row],[تاخیر از سررسید]]&gt;0,Main[[#This Row],[بدهی تسویه نشده (کیلوگرم)]],0)</f>
        <v>0</v>
      </c>
      <c r="Q204" s="6">
        <f ca="1">IF(Main[[#This Row],[بدهی تسویه نشده (کیلوگرم)]]&gt;0,'گزارش فردی'!$B$7-Main[[#This Row],[تاريخ میلادی]],0)</f>
        <v>0</v>
      </c>
      <c r="R204" s="6">
        <f ca="1">IF(Main[[#This Row],[بدهی تسویه نشده (کیلوگرم)]]&gt;0,'گزارش فردی'!$B$7-Main[[#This Row],[تاريخ میلادی]]-'گزارش فردی'!$B$8,0)</f>
        <v>0</v>
      </c>
      <c r="S204" s="6">
        <f ca="1">Main[[#This Row],[روز از ارسال سفارش]]*Main[[#This Row],[بدهی تسویه نشده (کیلوگرم)]]</f>
        <v>0</v>
      </c>
      <c r="T204" s="6">
        <f ca="1">Main[[#This Row],[بدهی سررسید شده (کیلوگرم)]]*Main[[#This Row],[روز از ارسال سفارش]]</f>
        <v>0</v>
      </c>
      <c r="U204" s="6">
        <f>-SUBTOTAL(9,INDEX(Main[مقدار (کیلوگرم)],1):Main[[#This Row],[مقدار (کیلوگرم)]])</f>
        <v>30426</v>
      </c>
      <c r="V2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" s="6">
        <f>Main[[#This Row],[تعداد کل روزهای بدهکار (روز)]]*Main[[#This Row],[مانده در خط کل (کیلوگرم)]]</f>
        <v>30426</v>
      </c>
      <c r="X204" s="6">
        <f ca="1">-SUBTOTAL(9,INDEX(Main[مقدار تسویه شده (کیلوگرم)],1):Main[[#This Row],[مقدار تسویه شده (کیلوگرم)]])</f>
        <v>30426</v>
      </c>
      <c r="Y204" s="6">
        <f ca="1">IF(Main[[#This Row],[مانده در خط تسویه شده (کیلوگرم)]]&lt;&gt;0,Main[[#This Row],[تعداد کل روزهای بدهکار (روز)]],0)</f>
        <v>1</v>
      </c>
      <c r="Z204" s="6">
        <f ca="1">Main[[#This Row],[تعداد روزهای بدهکار تسویه شده (روز)]]*Main[[#This Row],[مانده در خط تسویه شده (کیلوگرم)]]</f>
        <v>30426</v>
      </c>
      <c r="AA204" s="6">
        <f ca="1">SUBTOTAL(9,INDEX(Main[بدهی تسویه نشده (کیلوگرم)],1):Main[[#This Row],[بدهی تسویه نشده (کیلوگرم)]])</f>
        <v>0</v>
      </c>
      <c r="AB204" s="6">
        <f ca="1">IF(Main[[#This Row],[مانده در خط تسویه نشده (کیلوگرم)]]&lt;&gt;0,Main[[#This Row],[تعداد کل روزهای بدهکار (روز)]],0)</f>
        <v>0</v>
      </c>
      <c r="AC204" s="6">
        <f ca="1">Main[[#This Row],[تعداد روزهای بدهکار  تسویه نشده (روز)]]*Main[[#This Row],[مانده در خط تسویه نشده (کیلوگرم)]]</f>
        <v>0</v>
      </c>
      <c r="AD204" s="6">
        <f ca="1">SUBTOTAL(9,INDEX(Main[بدهی سررسید شده (کیلوگرم)],1):Main[[#This Row],[بدهی سررسید شده (کیلوگرم)]])</f>
        <v>0</v>
      </c>
      <c r="AE204" s="6">
        <f ca="1">IF(Main[[#This Row],[مانده در خط سررسید شده (کیلوگرم)]]&lt;&gt;0,Main[[#This Row],[تعداد کل روزهای بدهکار (روز)]],0)</f>
        <v>0</v>
      </c>
      <c r="AF204" s="6">
        <f ca="1">Main[[#This Row],[تعداد روزهای بدهکار سررسید شده (روز)]]*Main[[#This Row],[مانده در خط سررسید شده (کیلوگرم)]]</f>
        <v>0</v>
      </c>
    </row>
    <row r="205" spans="1:32" hidden="1" x14ac:dyDescent="0.35">
      <c r="A205" s="5">
        <f>ROW()-ROW(INDEX(Main[ردیف],1))+1</f>
        <v>203</v>
      </c>
      <c r="B205" s="31">
        <f>SUBTOTAL(2,INDEX(Main[ردیف],1):Main[[#This Row],[ردیف]])</f>
        <v>16</v>
      </c>
      <c r="C205" s="32" t="s">
        <v>519</v>
      </c>
      <c r="D205" s="32" t="str">
        <f>_xlfn.CONCAT("14",Main[[#This Row],[تاريخ]])</f>
        <v>1400/01/28</v>
      </c>
      <c r="E205" s="33">
        <v>44303</v>
      </c>
      <c r="F205" s="32">
        <v>30009</v>
      </c>
      <c r="G205" s="5" t="str">
        <f>INDEX(customer[عنوان],MATCH(Main[[#This Row],[کد ردیابی]],customer[کد],0))</f>
        <v>شرکت ایمن تک پیشرو</v>
      </c>
      <c r="H205">
        <v>1213</v>
      </c>
      <c r="I205" s="6">
        <f ca="1">-Main[[#This Row],[بدهی تسویه شده (کیلوگرم)]]+Main[[#This Row],[بستانکار (کیلوگرم)]]</f>
        <v>1213</v>
      </c>
      <c r="J205" s="6">
        <f>IF(Main[[#This Row],[مقدار (کیلوگرم)]]&gt;0,Main[[#This Row],[مقدار (کیلوگرم)]],0)</f>
        <v>1213</v>
      </c>
      <c r="K205" s="6">
        <f>-IF(Main[[#This Row],[مقدار (کیلوگرم)]]&lt;0,Main[[#This Row],[مقدار (کیلوگرم)]],0)</f>
        <v>0</v>
      </c>
      <c r="L2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" s="7">
        <f>-IF(AND(Main[[#This Row],[مقدار (کیلوگرم)]]&lt;0,Main[[#This Row],[تاريخ میلادی]]&gt;44276),Main[[#This Row],[مقدار (کیلوگرم)]],0)</f>
        <v>0</v>
      </c>
      <c r="N205" s="6">
        <f ca="1">Main[[#This Row],[بدهکار (کیلوگرم)]]-Main[[#This Row],[بدهی تسویه نشده (کیلوگرم)]]</f>
        <v>0</v>
      </c>
      <c r="O205" s="6">
        <f ca="1">Main[[#This Row],[تفکیک]]</f>
        <v>0</v>
      </c>
      <c r="P205" s="6">
        <f ca="1">IF(Main[[#This Row],[تاخیر از سررسید]]&gt;0,Main[[#This Row],[بدهی تسویه نشده (کیلوگرم)]],0)</f>
        <v>0</v>
      </c>
      <c r="Q205" s="6">
        <f ca="1">IF(Main[[#This Row],[بدهی تسویه نشده (کیلوگرم)]]&gt;0,'گزارش فردی'!$B$7-Main[[#This Row],[تاريخ میلادی]],0)</f>
        <v>0</v>
      </c>
      <c r="R205" s="6">
        <f ca="1">IF(Main[[#This Row],[بدهی تسویه نشده (کیلوگرم)]]&gt;0,'گزارش فردی'!$B$7-Main[[#This Row],[تاريخ میلادی]]-'گزارش فردی'!$B$8,0)</f>
        <v>0</v>
      </c>
      <c r="S205" s="6">
        <f ca="1">Main[[#This Row],[روز از ارسال سفارش]]*Main[[#This Row],[بدهی تسویه نشده (کیلوگرم)]]</f>
        <v>0</v>
      </c>
      <c r="T205" s="6">
        <f ca="1">Main[[#This Row],[بدهی سررسید شده (کیلوگرم)]]*Main[[#This Row],[روز از ارسال سفارش]]</f>
        <v>0</v>
      </c>
      <c r="U205" s="6">
        <f>-SUBTOTAL(9,INDEX(Main[مقدار (کیلوگرم)],1):Main[[#This Row],[مقدار (کیلوگرم)]])</f>
        <v>30426</v>
      </c>
      <c r="V2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5" s="6">
        <f>Main[[#This Row],[تعداد کل روزهای بدهکار (روز)]]*Main[[#This Row],[مانده در خط کل (کیلوگرم)]]</f>
        <v>30426</v>
      </c>
      <c r="X205" s="6">
        <f ca="1">-SUBTOTAL(9,INDEX(Main[مقدار تسویه شده (کیلوگرم)],1):Main[[#This Row],[مقدار تسویه شده (کیلوگرم)]])</f>
        <v>30426</v>
      </c>
      <c r="Y205" s="6">
        <f ca="1">IF(Main[[#This Row],[مانده در خط تسویه شده (کیلوگرم)]]&lt;&gt;0,Main[[#This Row],[تعداد کل روزهای بدهکار (روز)]],0)</f>
        <v>1</v>
      </c>
      <c r="Z205" s="6">
        <f ca="1">Main[[#This Row],[تعداد روزهای بدهکار تسویه شده (روز)]]*Main[[#This Row],[مانده در خط تسویه شده (کیلوگرم)]]</f>
        <v>30426</v>
      </c>
      <c r="AA205" s="6">
        <f ca="1">SUBTOTAL(9,INDEX(Main[بدهی تسویه نشده (کیلوگرم)],1):Main[[#This Row],[بدهی تسویه نشده (کیلوگرم)]])</f>
        <v>0</v>
      </c>
      <c r="AB205" s="6">
        <f ca="1">IF(Main[[#This Row],[مانده در خط تسویه نشده (کیلوگرم)]]&lt;&gt;0,Main[[#This Row],[تعداد کل روزهای بدهکار (روز)]],0)</f>
        <v>0</v>
      </c>
      <c r="AC205" s="6">
        <f ca="1">Main[[#This Row],[تعداد روزهای بدهکار  تسویه نشده (روز)]]*Main[[#This Row],[مانده در خط تسویه نشده (کیلوگرم)]]</f>
        <v>0</v>
      </c>
      <c r="AD205" s="6">
        <f ca="1">SUBTOTAL(9,INDEX(Main[بدهی سررسید شده (کیلوگرم)],1):Main[[#This Row],[بدهی سررسید شده (کیلوگرم)]])</f>
        <v>0</v>
      </c>
      <c r="AE205" s="6">
        <f ca="1">IF(Main[[#This Row],[مانده در خط سررسید شده (کیلوگرم)]]&lt;&gt;0,Main[[#This Row],[تعداد کل روزهای بدهکار (روز)]],0)</f>
        <v>0</v>
      </c>
      <c r="AF205" s="6">
        <f ca="1">Main[[#This Row],[تعداد روزهای بدهکار سررسید شده (روز)]]*Main[[#This Row],[مانده در خط سررسید شده (کیلوگرم)]]</f>
        <v>0</v>
      </c>
    </row>
    <row r="206" spans="1:32" hidden="1" x14ac:dyDescent="0.35">
      <c r="A206" s="5">
        <f>ROW()-ROW(INDEX(Main[ردیف],1))+1</f>
        <v>204</v>
      </c>
      <c r="B206" s="31">
        <f>SUBTOTAL(2,INDEX(Main[ردیف],1):Main[[#This Row],[ردیف]])</f>
        <v>16</v>
      </c>
      <c r="C206" s="32" t="s">
        <v>519</v>
      </c>
      <c r="D206" s="32" t="str">
        <f>_xlfn.CONCAT("14",Main[[#This Row],[تاريخ]])</f>
        <v>1400/01/28</v>
      </c>
      <c r="E206" s="33">
        <v>44303</v>
      </c>
      <c r="F206" s="32">
        <v>10070</v>
      </c>
      <c r="G206" s="5" t="str">
        <f>INDEX(customer[عنوان],MATCH(Main[[#This Row],[کد ردیابی]],customer[کد],0))</f>
        <v xml:space="preserve">حمیدرضا شفیعی </v>
      </c>
      <c r="H206">
        <v>76</v>
      </c>
      <c r="I206" s="6">
        <f ca="1">-Main[[#This Row],[بدهی تسویه شده (کیلوگرم)]]+Main[[#This Row],[بستانکار (کیلوگرم)]]</f>
        <v>76</v>
      </c>
      <c r="J206" s="6">
        <f>IF(Main[[#This Row],[مقدار (کیلوگرم)]]&gt;0,Main[[#This Row],[مقدار (کیلوگرم)]],0)</f>
        <v>76</v>
      </c>
      <c r="K206" s="6">
        <f>-IF(Main[[#This Row],[مقدار (کیلوگرم)]]&lt;0,Main[[#This Row],[مقدار (کیلوگرم)]],0)</f>
        <v>0</v>
      </c>
      <c r="L2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" s="7">
        <f>-IF(AND(Main[[#This Row],[مقدار (کیلوگرم)]]&lt;0,Main[[#This Row],[تاريخ میلادی]]&gt;44276),Main[[#This Row],[مقدار (کیلوگرم)]],0)</f>
        <v>0</v>
      </c>
      <c r="N206" s="6">
        <f ca="1">Main[[#This Row],[بدهکار (کیلوگرم)]]-Main[[#This Row],[بدهی تسویه نشده (کیلوگرم)]]</f>
        <v>0</v>
      </c>
      <c r="O206" s="6">
        <f ca="1">Main[[#This Row],[تفکیک]]</f>
        <v>0</v>
      </c>
      <c r="P206" s="6">
        <f ca="1">IF(Main[[#This Row],[تاخیر از سررسید]]&gt;0,Main[[#This Row],[بدهی تسویه نشده (کیلوگرم)]],0)</f>
        <v>0</v>
      </c>
      <c r="Q206" s="6">
        <f ca="1">IF(Main[[#This Row],[بدهی تسویه نشده (کیلوگرم)]]&gt;0,'گزارش فردی'!$B$7-Main[[#This Row],[تاريخ میلادی]],0)</f>
        <v>0</v>
      </c>
      <c r="R206" s="6">
        <f ca="1">IF(Main[[#This Row],[بدهی تسویه نشده (کیلوگرم)]]&gt;0,'گزارش فردی'!$B$7-Main[[#This Row],[تاريخ میلادی]]-'گزارش فردی'!$B$8,0)</f>
        <v>0</v>
      </c>
      <c r="S206" s="6">
        <f ca="1">Main[[#This Row],[روز از ارسال سفارش]]*Main[[#This Row],[بدهی تسویه نشده (کیلوگرم)]]</f>
        <v>0</v>
      </c>
      <c r="T206" s="6">
        <f ca="1">Main[[#This Row],[بدهی سررسید شده (کیلوگرم)]]*Main[[#This Row],[روز از ارسال سفارش]]</f>
        <v>0</v>
      </c>
      <c r="U206" s="6">
        <f>-SUBTOTAL(9,INDEX(Main[مقدار (کیلوگرم)],1):Main[[#This Row],[مقدار (کیلوگرم)]])</f>
        <v>30426</v>
      </c>
      <c r="V2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" s="6">
        <f>Main[[#This Row],[تعداد کل روزهای بدهکار (روز)]]*Main[[#This Row],[مانده در خط کل (کیلوگرم)]]</f>
        <v>30426</v>
      </c>
      <c r="X206" s="6">
        <f ca="1">-SUBTOTAL(9,INDEX(Main[مقدار تسویه شده (کیلوگرم)],1):Main[[#This Row],[مقدار تسویه شده (کیلوگرم)]])</f>
        <v>30426</v>
      </c>
      <c r="Y206" s="6">
        <f ca="1">IF(Main[[#This Row],[مانده در خط تسویه شده (کیلوگرم)]]&lt;&gt;0,Main[[#This Row],[تعداد کل روزهای بدهکار (روز)]],0)</f>
        <v>1</v>
      </c>
      <c r="Z206" s="6">
        <f ca="1">Main[[#This Row],[تعداد روزهای بدهکار تسویه شده (روز)]]*Main[[#This Row],[مانده در خط تسویه شده (کیلوگرم)]]</f>
        <v>30426</v>
      </c>
      <c r="AA206" s="6">
        <f ca="1">SUBTOTAL(9,INDEX(Main[بدهی تسویه نشده (کیلوگرم)],1):Main[[#This Row],[بدهی تسویه نشده (کیلوگرم)]])</f>
        <v>0</v>
      </c>
      <c r="AB206" s="6">
        <f ca="1">IF(Main[[#This Row],[مانده در خط تسویه نشده (کیلوگرم)]]&lt;&gt;0,Main[[#This Row],[تعداد کل روزهای بدهکار (روز)]],0)</f>
        <v>0</v>
      </c>
      <c r="AC206" s="6">
        <f ca="1">Main[[#This Row],[تعداد روزهای بدهکار  تسویه نشده (روز)]]*Main[[#This Row],[مانده در خط تسویه نشده (کیلوگرم)]]</f>
        <v>0</v>
      </c>
      <c r="AD206" s="6">
        <f ca="1">SUBTOTAL(9,INDEX(Main[بدهی سررسید شده (کیلوگرم)],1):Main[[#This Row],[بدهی سررسید شده (کیلوگرم)]])</f>
        <v>0</v>
      </c>
      <c r="AE206" s="6">
        <f ca="1">IF(Main[[#This Row],[مانده در خط سررسید شده (کیلوگرم)]]&lt;&gt;0,Main[[#This Row],[تعداد کل روزهای بدهکار (روز)]],0)</f>
        <v>0</v>
      </c>
      <c r="AF206" s="6">
        <f ca="1">Main[[#This Row],[تعداد روزهای بدهکار سررسید شده (روز)]]*Main[[#This Row],[مانده در خط سررسید شده (کیلوگرم)]]</f>
        <v>0</v>
      </c>
    </row>
    <row r="207" spans="1:32" hidden="1" x14ac:dyDescent="0.35">
      <c r="A207" s="5">
        <f>ROW()-ROW(INDEX(Main[ردیف],1))+1</f>
        <v>205</v>
      </c>
      <c r="B207" s="31">
        <f>SUBTOTAL(2,INDEX(Main[ردیف],1):Main[[#This Row],[ردیف]])</f>
        <v>16</v>
      </c>
      <c r="C207" s="32" t="s">
        <v>521</v>
      </c>
      <c r="D207" s="32" t="str">
        <f>_xlfn.CONCAT("14",Main[[#This Row],[تاريخ]])</f>
        <v>1400/01/29</v>
      </c>
      <c r="E207" s="33">
        <v>44304</v>
      </c>
      <c r="F207" s="32">
        <v>10055</v>
      </c>
      <c r="G207" s="5" t="str">
        <f>INDEX(customer[عنوان],MATCH(Main[[#This Row],[کد ردیابی]],customer[کد],0))</f>
        <v xml:space="preserve">مریم فیض آبادی  </v>
      </c>
      <c r="H207">
        <v>-5240</v>
      </c>
      <c r="I207" s="6">
        <f ca="1">-Main[[#This Row],[بدهی تسویه شده (کیلوگرم)]]+Main[[#This Row],[بستانکار (کیلوگرم)]]</f>
        <v>-5240</v>
      </c>
      <c r="J207" s="6">
        <f>IF(Main[[#This Row],[مقدار (کیلوگرم)]]&gt;0,Main[[#This Row],[مقدار (کیلوگرم)]],0)</f>
        <v>0</v>
      </c>
      <c r="K207" s="6">
        <f>-IF(Main[[#This Row],[مقدار (کیلوگرم)]]&lt;0,Main[[#This Row],[مقدار (کیلوگرم)]],0)</f>
        <v>5240</v>
      </c>
      <c r="L2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" s="7">
        <f>-IF(AND(Main[[#This Row],[مقدار (کیلوگرم)]]&lt;0,Main[[#This Row],[تاريخ میلادی]]&gt;44276),Main[[#This Row],[مقدار (کیلوگرم)]],0)</f>
        <v>5240</v>
      </c>
      <c r="N207" s="6">
        <f ca="1">Main[[#This Row],[بدهکار (کیلوگرم)]]-Main[[#This Row],[بدهی تسویه نشده (کیلوگرم)]]</f>
        <v>5240</v>
      </c>
      <c r="O207" s="6">
        <f ca="1">Main[[#This Row],[تفکیک]]</f>
        <v>0</v>
      </c>
      <c r="P207" s="6">
        <f ca="1">IF(Main[[#This Row],[تاخیر از سررسید]]&gt;0,Main[[#This Row],[بدهی تسویه نشده (کیلوگرم)]],0)</f>
        <v>0</v>
      </c>
      <c r="Q207" s="6">
        <f ca="1">IF(Main[[#This Row],[بدهی تسویه نشده (کیلوگرم)]]&gt;0,'گزارش فردی'!$B$7-Main[[#This Row],[تاريخ میلادی]],0)</f>
        <v>0</v>
      </c>
      <c r="R207" s="6">
        <f ca="1">IF(Main[[#This Row],[بدهی تسویه نشده (کیلوگرم)]]&gt;0,'گزارش فردی'!$B$7-Main[[#This Row],[تاريخ میلادی]]-'گزارش فردی'!$B$8,0)</f>
        <v>0</v>
      </c>
      <c r="S207" s="6">
        <f ca="1">Main[[#This Row],[روز از ارسال سفارش]]*Main[[#This Row],[بدهی تسویه نشده (کیلوگرم)]]</f>
        <v>0</v>
      </c>
      <c r="T207" s="6">
        <f ca="1">Main[[#This Row],[بدهی سررسید شده (کیلوگرم)]]*Main[[#This Row],[روز از ارسال سفارش]]</f>
        <v>0</v>
      </c>
      <c r="U207" s="6">
        <f>-SUBTOTAL(9,INDEX(Main[مقدار (کیلوگرم)],1):Main[[#This Row],[مقدار (کیلوگرم)]])</f>
        <v>30426</v>
      </c>
      <c r="V2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" s="6">
        <f>Main[[#This Row],[تعداد کل روزهای بدهکار (روز)]]*Main[[#This Row],[مانده در خط کل (کیلوگرم)]]</f>
        <v>0</v>
      </c>
      <c r="X207" s="6">
        <f ca="1">-SUBTOTAL(9,INDEX(Main[مقدار تسویه شده (کیلوگرم)],1):Main[[#This Row],[مقدار تسویه شده (کیلوگرم)]])</f>
        <v>30426</v>
      </c>
      <c r="Y207" s="6">
        <f ca="1">IF(Main[[#This Row],[مانده در خط تسویه شده (کیلوگرم)]]&lt;&gt;0,Main[[#This Row],[تعداد کل روزهای بدهکار (روز)]],0)</f>
        <v>0</v>
      </c>
      <c r="Z207" s="6">
        <f ca="1">Main[[#This Row],[تعداد روزهای بدهکار تسویه شده (روز)]]*Main[[#This Row],[مانده در خط تسویه شده (کیلوگرم)]]</f>
        <v>0</v>
      </c>
      <c r="AA207" s="6">
        <f ca="1">SUBTOTAL(9,INDEX(Main[بدهی تسویه نشده (کیلوگرم)],1):Main[[#This Row],[بدهی تسویه نشده (کیلوگرم)]])</f>
        <v>0</v>
      </c>
      <c r="AB207" s="6">
        <f ca="1">IF(Main[[#This Row],[مانده در خط تسویه نشده (کیلوگرم)]]&lt;&gt;0,Main[[#This Row],[تعداد کل روزهای بدهکار (روز)]],0)</f>
        <v>0</v>
      </c>
      <c r="AC207" s="6">
        <f ca="1">Main[[#This Row],[تعداد روزهای بدهکار  تسویه نشده (روز)]]*Main[[#This Row],[مانده در خط تسویه نشده (کیلوگرم)]]</f>
        <v>0</v>
      </c>
      <c r="AD207" s="6">
        <f ca="1">SUBTOTAL(9,INDEX(Main[بدهی سررسید شده (کیلوگرم)],1):Main[[#This Row],[بدهی سررسید شده (کیلوگرم)]])</f>
        <v>0</v>
      </c>
      <c r="AE207" s="6">
        <f ca="1">IF(Main[[#This Row],[مانده در خط سررسید شده (کیلوگرم)]]&lt;&gt;0,Main[[#This Row],[تعداد کل روزهای بدهکار (روز)]],0)</f>
        <v>0</v>
      </c>
      <c r="AF207" s="6">
        <f ca="1">Main[[#This Row],[تعداد روزهای بدهکار سررسید شده (روز)]]*Main[[#This Row],[مانده در خط سررسید شده (کیلوگرم)]]</f>
        <v>0</v>
      </c>
    </row>
    <row r="208" spans="1:32" x14ac:dyDescent="0.35">
      <c r="A208" s="5">
        <f>ROW()-ROW(INDEX(Main[ردیف],1))+1</f>
        <v>206</v>
      </c>
      <c r="B208" s="31">
        <f>SUBTOTAL(2,INDEX(Main[ردیف],1):Main[[#This Row],[ردیف]])</f>
        <v>17</v>
      </c>
      <c r="C208" s="32" t="s">
        <v>521</v>
      </c>
      <c r="D208" s="32" t="str">
        <f>_xlfn.CONCAT("14",Main[[#This Row],[تاريخ]])</f>
        <v>1400/01/29</v>
      </c>
      <c r="E208" s="33">
        <v>44304</v>
      </c>
      <c r="F208" s="32">
        <v>10003</v>
      </c>
      <c r="G208" s="5" t="str">
        <f>INDEX(customer[عنوان],MATCH(Main[[#This Row],[کد ردیابی]],customer[کد],0))</f>
        <v>اصغر نورعلی</v>
      </c>
      <c r="H208">
        <v>-905</v>
      </c>
      <c r="I208" s="6">
        <f ca="1">-Main[[#This Row],[بدهی تسویه شده (کیلوگرم)]]+Main[[#This Row],[بستانکار (کیلوگرم)]]</f>
        <v>-905</v>
      </c>
      <c r="J208" s="6">
        <f>IF(Main[[#This Row],[مقدار (کیلوگرم)]]&gt;0,Main[[#This Row],[مقدار (کیلوگرم)]],0)</f>
        <v>0</v>
      </c>
      <c r="K208" s="6">
        <f>-IF(Main[[#This Row],[مقدار (کیلوگرم)]]&lt;0,Main[[#This Row],[مقدار (کیلوگرم)]],0)</f>
        <v>905</v>
      </c>
      <c r="L2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" s="7">
        <f>-IF(AND(Main[[#This Row],[مقدار (کیلوگرم)]]&lt;0,Main[[#This Row],[تاريخ میلادی]]&gt;44276),Main[[#This Row],[مقدار (کیلوگرم)]],0)</f>
        <v>905</v>
      </c>
      <c r="N208" s="6">
        <f ca="1">Main[[#This Row],[بدهکار (کیلوگرم)]]-Main[[#This Row],[بدهی تسویه نشده (کیلوگرم)]]</f>
        <v>905</v>
      </c>
      <c r="O208" s="6">
        <f ca="1">Main[[#This Row],[تفکیک]]</f>
        <v>0</v>
      </c>
      <c r="P208" s="6">
        <f ca="1">IF(Main[[#This Row],[تاخیر از سررسید]]&gt;0,Main[[#This Row],[بدهی تسویه نشده (کیلوگرم)]],0)</f>
        <v>0</v>
      </c>
      <c r="Q208" s="6">
        <f ca="1">IF(Main[[#This Row],[بدهی تسویه نشده (کیلوگرم)]]&gt;0,'گزارش فردی'!$B$7-Main[[#This Row],[تاريخ میلادی]],0)</f>
        <v>0</v>
      </c>
      <c r="R208" s="6">
        <f ca="1">IF(Main[[#This Row],[بدهی تسویه نشده (کیلوگرم)]]&gt;0,'گزارش فردی'!$B$7-Main[[#This Row],[تاريخ میلادی]]-'گزارش فردی'!$B$8,0)</f>
        <v>0</v>
      </c>
      <c r="S208" s="6">
        <f ca="1">Main[[#This Row],[روز از ارسال سفارش]]*Main[[#This Row],[بدهی تسویه نشده (کیلوگرم)]]</f>
        <v>0</v>
      </c>
      <c r="T208" s="6">
        <f ca="1">Main[[#This Row],[بدهی سررسید شده (کیلوگرم)]]*Main[[#This Row],[روز از ارسال سفارش]]</f>
        <v>0</v>
      </c>
      <c r="U208" s="6">
        <f>-SUBTOTAL(9,INDEX(Main[مقدار (کیلوگرم)],1):Main[[#This Row],[مقدار (کیلوگرم)]])</f>
        <v>31331</v>
      </c>
      <c r="V2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" s="6">
        <f>Main[[#This Row],[تعداد کل روزهای بدهکار (روز)]]*Main[[#This Row],[مانده در خط کل (کیلوگرم)]]</f>
        <v>0</v>
      </c>
      <c r="X208" s="6">
        <f ca="1">-SUBTOTAL(9,INDEX(Main[مقدار تسویه شده (کیلوگرم)],1):Main[[#This Row],[مقدار تسویه شده (کیلوگرم)]])</f>
        <v>31331</v>
      </c>
      <c r="Y208" s="6">
        <f ca="1">IF(Main[[#This Row],[مانده در خط تسویه شده (کیلوگرم)]]&lt;&gt;0,Main[[#This Row],[تعداد کل روزهای بدهکار (روز)]],0)</f>
        <v>0</v>
      </c>
      <c r="Z208" s="6">
        <f ca="1">Main[[#This Row],[تعداد روزهای بدهکار تسویه شده (روز)]]*Main[[#This Row],[مانده در خط تسویه شده (کیلوگرم)]]</f>
        <v>0</v>
      </c>
      <c r="AA208" s="6">
        <f ca="1">SUBTOTAL(9,INDEX(Main[بدهی تسویه نشده (کیلوگرم)],1):Main[[#This Row],[بدهی تسویه نشده (کیلوگرم)]])</f>
        <v>0</v>
      </c>
      <c r="AB208" s="6">
        <f ca="1">IF(Main[[#This Row],[مانده در خط تسویه نشده (کیلوگرم)]]&lt;&gt;0,Main[[#This Row],[تعداد کل روزهای بدهکار (روز)]],0)</f>
        <v>0</v>
      </c>
      <c r="AC208" s="6">
        <f ca="1">Main[[#This Row],[تعداد روزهای بدهکار  تسویه نشده (روز)]]*Main[[#This Row],[مانده در خط تسویه نشده (کیلوگرم)]]</f>
        <v>0</v>
      </c>
      <c r="AD208" s="6">
        <f ca="1">SUBTOTAL(9,INDEX(Main[بدهی سررسید شده (کیلوگرم)],1):Main[[#This Row],[بدهی سررسید شده (کیلوگرم)]])</f>
        <v>0</v>
      </c>
      <c r="AE208" s="6">
        <f ca="1">IF(Main[[#This Row],[مانده در خط سررسید شده (کیلوگرم)]]&lt;&gt;0,Main[[#This Row],[تعداد کل روزهای بدهکار (روز)]],0)</f>
        <v>0</v>
      </c>
      <c r="AF208" s="6">
        <f ca="1">Main[[#This Row],[تعداد روزهای بدهکار سررسید شده (روز)]]*Main[[#This Row],[مانده در خط سررسید شده (کیلوگرم)]]</f>
        <v>0</v>
      </c>
    </row>
    <row r="209" spans="1:32" x14ac:dyDescent="0.35">
      <c r="A209" s="5">
        <f>ROW()-ROW(INDEX(Main[ردیف],1))+1</f>
        <v>207</v>
      </c>
      <c r="B209" s="31">
        <f>SUBTOTAL(2,INDEX(Main[ردیف],1):Main[[#This Row],[ردیف]])</f>
        <v>18</v>
      </c>
      <c r="C209" s="32" t="s">
        <v>521</v>
      </c>
      <c r="D209" s="32" t="str">
        <f>_xlfn.CONCAT("14",Main[[#This Row],[تاريخ]])</f>
        <v>1400/01/29</v>
      </c>
      <c r="E209" s="33">
        <v>44304</v>
      </c>
      <c r="F209" s="32">
        <v>10003</v>
      </c>
      <c r="G209" s="5" t="str">
        <f>INDEX(customer[عنوان],MATCH(Main[[#This Row],[کد ردیابی]],customer[کد],0))</f>
        <v>اصغر نورعلی</v>
      </c>
      <c r="H209">
        <v>-4425</v>
      </c>
      <c r="I209" s="6">
        <f ca="1">-Main[[#This Row],[بدهی تسویه شده (کیلوگرم)]]+Main[[#This Row],[بستانکار (کیلوگرم)]]</f>
        <v>-4425</v>
      </c>
      <c r="J209" s="6">
        <f>IF(Main[[#This Row],[مقدار (کیلوگرم)]]&gt;0,Main[[#This Row],[مقدار (کیلوگرم)]],0)</f>
        <v>0</v>
      </c>
      <c r="K209" s="6">
        <f>-IF(Main[[#This Row],[مقدار (کیلوگرم)]]&lt;0,Main[[#This Row],[مقدار (کیلوگرم)]],0)</f>
        <v>4425</v>
      </c>
      <c r="L2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" s="7">
        <f>-IF(AND(Main[[#This Row],[مقدار (کیلوگرم)]]&lt;0,Main[[#This Row],[تاريخ میلادی]]&gt;44276),Main[[#This Row],[مقدار (کیلوگرم)]],0)</f>
        <v>4425</v>
      </c>
      <c r="N209" s="6">
        <f ca="1">Main[[#This Row],[بدهکار (کیلوگرم)]]-Main[[#This Row],[بدهی تسویه نشده (کیلوگرم)]]</f>
        <v>4425</v>
      </c>
      <c r="O209" s="6">
        <f ca="1">Main[[#This Row],[تفکیک]]</f>
        <v>0</v>
      </c>
      <c r="P209" s="6">
        <f ca="1">IF(Main[[#This Row],[تاخیر از سررسید]]&gt;0,Main[[#This Row],[بدهی تسویه نشده (کیلوگرم)]],0)</f>
        <v>0</v>
      </c>
      <c r="Q209" s="6">
        <f ca="1">IF(Main[[#This Row],[بدهی تسویه نشده (کیلوگرم)]]&gt;0,'گزارش فردی'!$B$7-Main[[#This Row],[تاريخ میلادی]],0)</f>
        <v>0</v>
      </c>
      <c r="R209" s="6">
        <f ca="1">IF(Main[[#This Row],[بدهی تسویه نشده (کیلوگرم)]]&gt;0,'گزارش فردی'!$B$7-Main[[#This Row],[تاريخ میلادی]]-'گزارش فردی'!$B$8,0)</f>
        <v>0</v>
      </c>
      <c r="S209" s="6">
        <f ca="1">Main[[#This Row],[روز از ارسال سفارش]]*Main[[#This Row],[بدهی تسویه نشده (کیلوگرم)]]</f>
        <v>0</v>
      </c>
      <c r="T209" s="6">
        <f ca="1">Main[[#This Row],[بدهی سررسید شده (کیلوگرم)]]*Main[[#This Row],[روز از ارسال سفارش]]</f>
        <v>0</v>
      </c>
      <c r="U209" s="6">
        <f>-SUBTOTAL(9,INDEX(Main[مقدار (کیلوگرم)],1):Main[[#This Row],[مقدار (کیلوگرم)]])</f>
        <v>35756</v>
      </c>
      <c r="V2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9" s="6">
        <f>Main[[#This Row],[تعداد کل روزهای بدهکار (روز)]]*Main[[#This Row],[مانده در خط کل (کیلوگرم)]]</f>
        <v>71512</v>
      </c>
      <c r="X209" s="6">
        <f ca="1">-SUBTOTAL(9,INDEX(Main[مقدار تسویه شده (کیلوگرم)],1):Main[[#This Row],[مقدار تسویه شده (کیلوگرم)]])</f>
        <v>35756</v>
      </c>
      <c r="Y209" s="6">
        <f ca="1">IF(Main[[#This Row],[مانده در خط تسویه شده (کیلوگرم)]]&lt;&gt;0,Main[[#This Row],[تعداد کل روزهای بدهکار (روز)]],0)</f>
        <v>2</v>
      </c>
      <c r="Z209" s="6">
        <f ca="1">Main[[#This Row],[تعداد روزهای بدهکار تسویه شده (روز)]]*Main[[#This Row],[مانده در خط تسویه شده (کیلوگرم)]]</f>
        <v>71512</v>
      </c>
      <c r="AA209" s="6">
        <f ca="1">SUBTOTAL(9,INDEX(Main[بدهی تسویه نشده (کیلوگرم)],1):Main[[#This Row],[بدهی تسویه نشده (کیلوگرم)]])</f>
        <v>0</v>
      </c>
      <c r="AB209" s="6">
        <f ca="1">IF(Main[[#This Row],[مانده در خط تسویه نشده (کیلوگرم)]]&lt;&gt;0,Main[[#This Row],[تعداد کل روزهای بدهکار (روز)]],0)</f>
        <v>0</v>
      </c>
      <c r="AC209" s="6">
        <f ca="1">Main[[#This Row],[تعداد روزهای بدهکار  تسویه نشده (روز)]]*Main[[#This Row],[مانده در خط تسویه نشده (کیلوگرم)]]</f>
        <v>0</v>
      </c>
      <c r="AD209" s="6">
        <f ca="1">SUBTOTAL(9,INDEX(Main[بدهی سررسید شده (کیلوگرم)],1):Main[[#This Row],[بدهی سررسید شده (کیلوگرم)]])</f>
        <v>0</v>
      </c>
      <c r="AE209" s="6">
        <f ca="1">IF(Main[[#This Row],[مانده در خط سررسید شده (کیلوگرم)]]&lt;&gt;0,Main[[#This Row],[تعداد کل روزهای بدهکار (روز)]],0)</f>
        <v>0</v>
      </c>
      <c r="AF209" s="6">
        <f ca="1">Main[[#This Row],[تعداد روزهای بدهکار سررسید شده (روز)]]*Main[[#This Row],[مانده در خط سررسید شده (کیلوگرم)]]</f>
        <v>0</v>
      </c>
    </row>
    <row r="210" spans="1:32" hidden="1" x14ac:dyDescent="0.35">
      <c r="A210" s="5">
        <f>ROW()-ROW(INDEX(Main[ردیف],1))+1</f>
        <v>208</v>
      </c>
      <c r="B210" s="31">
        <f>SUBTOTAL(2,INDEX(Main[ردیف],1):Main[[#This Row],[ردیف]])</f>
        <v>18</v>
      </c>
      <c r="C210" s="32" t="s">
        <v>521</v>
      </c>
      <c r="D210" s="32" t="str">
        <f>_xlfn.CONCAT("14",Main[[#This Row],[تاريخ]])</f>
        <v>1400/01/29</v>
      </c>
      <c r="E210" s="33">
        <v>44304</v>
      </c>
      <c r="F210" s="32">
        <v>10027</v>
      </c>
      <c r="G210" s="5" t="str">
        <f>INDEX(customer[عنوان],MATCH(Main[[#This Row],[کد ردیابی]],customer[کد],0))</f>
        <v xml:space="preserve">مصطفی نورعلی </v>
      </c>
      <c r="H210">
        <v>-4626</v>
      </c>
      <c r="I210" s="6">
        <f ca="1">-Main[[#This Row],[بدهی تسویه شده (کیلوگرم)]]+Main[[#This Row],[بستانکار (کیلوگرم)]]</f>
        <v>-4626</v>
      </c>
      <c r="J210" s="6">
        <f>IF(Main[[#This Row],[مقدار (کیلوگرم)]]&gt;0,Main[[#This Row],[مقدار (کیلوگرم)]],0)</f>
        <v>0</v>
      </c>
      <c r="K210" s="6">
        <f>-IF(Main[[#This Row],[مقدار (کیلوگرم)]]&lt;0,Main[[#This Row],[مقدار (کیلوگرم)]],0)</f>
        <v>4626</v>
      </c>
      <c r="L2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" s="7">
        <f>-IF(AND(Main[[#This Row],[مقدار (کیلوگرم)]]&lt;0,Main[[#This Row],[تاريخ میلادی]]&gt;44276),Main[[#This Row],[مقدار (کیلوگرم)]],0)</f>
        <v>4626</v>
      </c>
      <c r="N210" s="6">
        <f ca="1">Main[[#This Row],[بدهکار (کیلوگرم)]]-Main[[#This Row],[بدهی تسویه نشده (کیلوگرم)]]</f>
        <v>4626</v>
      </c>
      <c r="O210" s="6">
        <f ca="1">Main[[#This Row],[تفکیک]]</f>
        <v>0</v>
      </c>
      <c r="P210" s="6">
        <f ca="1">IF(Main[[#This Row],[تاخیر از سررسید]]&gt;0,Main[[#This Row],[بدهی تسویه نشده (کیلوگرم)]],0)</f>
        <v>0</v>
      </c>
      <c r="Q210" s="6">
        <f ca="1">IF(Main[[#This Row],[بدهی تسویه نشده (کیلوگرم)]]&gt;0,'گزارش فردی'!$B$7-Main[[#This Row],[تاريخ میلادی]],0)</f>
        <v>0</v>
      </c>
      <c r="R210" s="6">
        <f ca="1">IF(Main[[#This Row],[بدهی تسویه نشده (کیلوگرم)]]&gt;0,'گزارش فردی'!$B$7-Main[[#This Row],[تاريخ میلادی]]-'گزارش فردی'!$B$8,0)</f>
        <v>0</v>
      </c>
      <c r="S210" s="6">
        <f ca="1">Main[[#This Row],[روز از ارسال سفارش]]*Main[[#This Row],[بدهی تسویه نشده (کیلوگرم)]]</f>
        <v>0</v>
      </c>
      <c r="T210" s="6">
        <f ca="1">Main[[#This Row],[بدهی سررسید شده (کیلوگرم)]]*Main[[#This Row],[روز از ارسال سفارش]]</f>
        <v>0</v>
      </c>
      <c r="U210" s="6">
        <f>-SUBTOTAL(9,INDEX(Main[مقدار (کیلوگرم)],1):Main[[#This Row],[مقدار (کیلوگرم)]])</f>
        <v>35756</v>
      </c>
      <c r="V2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0" s="6">
        <f>Main[[#This Row],[تعداد کل روزهای بدهکار (روز)]]*Main[[#This Row],[مانده در خط کل (کیلوگرم)]]</f>
        <v>71512</v>
      </c>
      <c r="X210" s="6">
        <f ca="1">-SUBTOTAL(9,INDEX(Main[مقدار تسویه شده (کیلوگرم)],1):Main[[#This Row],[مقدار تسویه شده (کیلوگرم)]])</f>
        <v>35756</v>
      </c>
      <c r="Y210" s="6">
        <f ca="1">IF(Main[[#This Row],[مانده در خط تسویه شده (کیلوگرم)]]&lt;&gt;0,Main[[#This Row],[تعداد کل روزهای بدهکار (روز)]],0)</f>
        <v>2</v>
      </c>
      <c r="Z210" s="6">
        <f ca="1">Main[[#This Row],[تعداد روزهای بدهکار تسویه شده (روز)]]*Main[[#This Row],[مانده در خط تسویه شده (کیلوگرم)]]</f>
        <v>71512</v>
      </c>
      <c r="AA210" s="6">
        <f ca="1">SUBTOTAL(9,INDEX(Main[بدهی تسویه نشده (کیلوگرم)],1):Main[[#This Row],[بدهی تسویه نشده (کیلوگرم)]])</f>
        <v>0</v>
      </c>
      <c r="AB210" s="6">
        <f ca="1">IF(Main[[#This Row],[مانده در خط تسویه نشده (کیلوگرم)]]&lt;&gt;0,Main[[#This Row],[تعداد کل روزهای بدهکار (روز)]],0)</f>
        <v>0</v>
      </c>
      <c r="AC210" s="6">
        <f ca="1">Main[[#This Row],[تعداد روزهای بدهکار  تسویه نشده (روز)]]*Main[[#This Row],[مانده در خط تسویه نشده (کیلوگرم)]]</f>
        <v>0</v>
      </c>
      <c r="AD210" s="6">
        <f ca="1">SUBTOTAL(9,INDEX(Main[بدهی سررسید شده (کیلوگرم)],1):Main[[#This Row],[بدهی سررسید شده (کیلوگرم)]])</f>
        <v>0</v>
      </c>
      <c r="AE210" s="6">
        <f ca="1">IF(Main[[#This Row],[مانده در خط سررسید شده (کیلوگرم)]]&lt;&gt;0,Main[[#This Row],[تعداد کل روزهای بدهکار (روز)]],0)</f>
        <v>0</v>
      </c>
      <c r="AF210" s="6">
        <f ca="1">Main[[#This Row],[تعداد روزهای بدهکار سررسید شده (روز)]]*Main[[#This Row],[مانده در خط سررسید شده (کیلوگرم)]]</f>
        <v>0</v>
      </c>
    </row>
    <row r="211" spans="1:32" hidden="1" x14ac:dyDescent="0.35">
      <c r="A211" s="5">
        <f>ROW()-ROW(INDEX(Main[ردیف],1))+1</f>
        <v>209</v>
      </c>
      <c r="B211" s="31">
        <f>SUBTOTAL(2,INDEX(Main[ردیف],1):Main[[#This Row],[ردیف]])</f>
        <v>18</v>
      </c>
      <c r="C211" s="32" t="s">
        <v>522</v>
      </c>
      <c r="D211" s="32" t="str">
        <f>_xlfn.CONCAT("14",Main[[#This Row],[تاريخ]])</f>
        <v>1400/01/30</v>
      </c>
      <c r="E211" s="33">
        <v>44305</v>
      </c>
      <c r="F211" s="32">
        <v>30058</v>
      </c>
      <c r="G211" s="5" t="str">
        <f>INDEX(customer[عنوان],MATCH(Main[[#This Row],[کد ردیابی]],customer[کد],0))</f>
        <v xml:space="preserve">پارس شیر </v>
      </c>
      <c r="H211">
        <v>4084</v>
      </c>
      <c r="I211" s="6">
        <f ca="1">-Main[[#This Row],[بدهی تسویه شده (کیلوگرم)]]+Main[[#This Row],[بستانکار (کیلوگرم)]]</f>
        <v>4084</v>
      </c>
      <c r="J211" s="6">
        <f>IF(Main[[#This Row],[مقدار (کیلوگرم)]]&gt;0,Main[[#This Row],[مقدار (کیلوگرم)]],0)</f>
        <v>4084</v>
      </c>
      <c r="K211" s="6">
        <f>-IF(Main[[#This Row],[مقدار (کیلوگرم)]]&lt;0,Main[[#This Row],[مقدار (کیلوگرم)]],0)</f>
        <v>0</v>
      </c>
      <c r="L2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" s="7">
        <f>-IF(AND(Main[[#This Row],[مقدار (کیلوگرم)]]&lt;0,Main[[#This Row],[تاريخ میلادی]]&gt;44276),Main[[#This Row],[مقدار (کیلوگرم)]],0)</f>
        <v>0</v>
      </c>
      <c r="N211" s="6">
        <f ca="1">Main[[#This Row],[بدهکار (کیلوگرم)]]-Main[[#This Row],[بدهی تسویه نشده (کیلوگرم)]]</f>
        <v>0</v>
      </c>
      <c r="O211" s="6">
        <f ca="1">Main[[#This Row],[تفکیک]]</f>
        <v>0</v>
      </c>
      <c r="P211" s="6">
        <f ca="1">IF(Main[[#This Row],[تاخیر از سررسید]]&gt;0,Main[[#This Row],[بدهی تسویه نشده (کیلوگرم)]],0)</f>
        <v>0</v>
      </c>
      <c r="Q211" s="6">
        <f ca="1">IF(Main[[#This Row],[بدهی تسویه نشده (کیلوگرم)]]&gt;0,'گزارش فردی'!$B$7-Main[[#This Row],[تاريخ میلادی]],0)</f>
        <v>0</v>
      </c>
      <c r="R211" s="6">
        <f ca="1">IF(Main[[#This Row],[بدهی تسویه نشده (کیلوگرم)]]&gt;0,'گزارش فردی'!$B$7-Main[[#This Row],[تاريخ میلادی]]-'گزارش فردی'!$B$8,0)</f>
        <v>0</v>
      </c>
      <c r="S211" s="6">
        <f ca="1">Main[[#This Row],[روز از ارسال سفارش]]*Main[[#This Row],[بدهی تسویه نشده (کیلوگرم)]]</f>
        <v>0</v>
      </c>
      <c r="T211" s="6">
        <f ca="1">Main[[#This Row],[بدهی سررسید شده (کیلوگرم)]]*Main[[#This Row],[روز از ارسال سفارش]]</f>
        <v>0</v>
      </c>
      <c r="U211" s="6">
        <f>-SUBTOTAL(9,INDEX(Main[مقدار (کیلوگرم)],1):Main[[#This Row],[مقدار (کیلوگرم)]])</f>
        <v>35756</v>
      </c>
      <c r="V2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1" s="6">
        <f>Main[[#This Row],[تعداد کل روزهای بدهکار (روز)]]*Main[[#This Row],[مانده در خط کل (کیلوگرم)]]</f>
        <v>35756</v>
      </c>
      <c r="X211" s="6">
        <f ca="1">-SUBTOTAL(9,INDEX(Main[مقدار تسویه شده (کیلوگرم)],1):Main[[#This Row],[مقدار تسویه شده (کیلوگرم)]])</f>
        <v>35756</v>
      </c>
      <c r="Y211" s="6">
        <f ca="1">IF(Main[[#This Row],[مانده در خط تسویه شده (کیلوگرم)]]&lt;&gt;0,Main[[#This Row],[تعداد کل روزهای بدهکار (روز)]],0)</f>
        <v>1</v>
      </c>
      <c r="Z211" s="6">
        <f ca="1">Main[[#This Row],[تعداد روزهای بدهکار تسویه شده (روز)]]*Main[[#This Row],[مانده در خط تسویه شده (کیلوگرم)]]</f>
        <v>35756</v>
      </c>
      <c r="AA211" s="6">
        <f ca="1">SUBTOTAL(9,INDEX(Main[بدهی تسویه نشده (کیلوگرم)],1):Main[[#This Row],[بدهی تسویه نشده (کیلوگرم)]])</f>
        <v>0</v>
      </c>
      <c r="AB211" s="6">
        <f ca="1">IF(Main[[#This Row],[مانده در خط تسویه نشده (کیلوگرم)]]&lt;&gt;0,Main[[#This Row],[تعداد کل روزهای بدهکار (روز)]],0)</f>
        <v>0</v>
      </c>
      <c r="AC211" s="6">
        <f ca="1">Main[[#This Row],[تعداد روزهای بدهکار  تسویه نشده (روز)]]*Main[[#This Row],[مانده در خط تسویه نشده (کیلوگرم)]]</f>
        <v>0</v>
      </c>
      <c r="AD211" s="6">
        <f ca="1">SUBTOTAL(9,INDEX(Main[بدهی سررسید شده (کیلوگرم)],1):Main[[#This Row],[بدهی سررسید شده (کیلوگرم)]])</f>
        <v>0</v>
      </c>
      <c r="AE211" s="6">
        <f ca="1">IF(Main[[#This Row],[مانده در خط سررسید شده (کیلوگرم)]]&lt;&gt;0,Main[[#This Row],[تعداد کل روزهای بدهکار (روز)]],0)</f>
        <v>0</v>
      </c>
      <c r="AF211" s="6">
        <f ca="1">Main[[#This Row],[تعداد روزهای بدهکار سررسید شده (روز)]]*Main[[#This Row],[مانده در خط سررسید شده (کیلوگرم)]]</f>
        <v>0</v>
      </c>
    </row>
    <row r="212" spans="1:32" hidden="1" x14ac:dyDescent="0.35">
      <c r="A212" s="5">
        <f>ROW()-ROW(INDEX(Main[ردیف],1))+1</f>
        <v>210</v>
      </c>
      <c r="B212" s="31">
        <f>SUBTOTAL(2,INDEX(Main[ردیف],1):Main[[#This Row],[ردیف]])</f>
        <v>18</v>
      </c>
      <c r="C212" s="32" t="s">
        <v>522</v>
      </c>
      <c r="D212" s="32" t="str">
        <f>_xlfn.CONCAT("14",Main[[#This Row],[تاريخ]])</f>
        <v>1400/01/30</v>
      </c>
      <c r="E212" s="33">
        <v>44305</v>
      </c>
      <c r="F212" s="32">
        <v>10029</v>
      </c>
      <c r="G212" s="5" t="str">
        <f>INDEX(customer[عنوان],MATCH(Main[[#This Row],[کد ردیابی]],customer[کد],0))</f>
        <v>رضا شریعتی</v>
      </c>
      <c r="H212">
        <v>-3094</v>
      </c>
      <c r="I212" s="6">
        <f ca="1">-Main[[#This Row],[بدهی تسویه شده (کیلوگرم)]]+Main[[#This Row],[بستانکار (کیلوگرم)]]</f>
        <v>-3094</v>
      </c>
      <c r="J212" s="6">
        <f>IF(Main[[#This Row],[مقدار (کیلوگرم)]]&gt;0,Main[[#This Row],[مقدار (کیلوگرم)]],0)</f>
        <v>0</v>
      </c>
      <c r="K212" s="6">
        <f>-IF(Main[[#This Row],[مقدار (کیلوگرم)]]&lt;0,Main[[#This Row],[مقدار (کیلوگرم)]],0)</f>
        <v>3094</v>
      </c>
      <c r="L2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" s="7">
        <f>-IF(AND(Main[[#This Row],[مقدار (کیلوگرم)]]&lt;0,Main[[#This Row],[تاريخ میلادی]]&gt;44276),Main[[#This Row],[مقدار (کیلوگرم)]],0)</f>
        <v>3094</v>
      </c>
      <c r="N212" s="6">
        <f ca="1">Main[[#This Row],[بدهکار (کیلوگرم)]]-Main[[#This Row],[بدهی تسویه نشده (کیلوگرم)]]</f>
        <v>3094</v>
      </c>
      <c r="O212" s="6">
        <f ca="1">Main[[#This Row],[تفکیک]]</f>
        <v>0</v>
      </c>
      <c r="P212" s="6">
        <f ca="1">IF(Main[[#This Row],[تاخیر از سررسید]]&gt;0,Main[[#This Row],[بدهی تسویه نشده (کیلوگرم)]],0)</f>
        <v>0</v>
      </c>
      <c r="Q212" s="6">
        <f ca="1">IF(Main[[#This Row],[بدهی تسویه نشده (کیلوگرم)]]&gt;0,'گزارش فردی'!$B$7-Main[[#This Row],[تاريخ میلادی]],0)</f>
        <v>0</v>
      </c>
      <c r="R212" s="6">
        <f ca="1">IF(Main[[#This Row],[بدهی تسویه نشده (کیلوگرم)]]&gt;0,'گزارش فردی'!$B$7-Main[[#This Row],[تاريخ میلادی]]-'گزارش فردی'!$B$8,0)</f>
        <v>0</v>
      </c>
      <c r="S212" s="6">
        <f ca="1">Main[[#This Row],[روز از ارسال سفارش]]*Main[[#This Row],[بدهی تسویه نشده (کیلوگرم)]]</f>
        <v>0</v>
      </c>
      <c r="T212" s="6">
        <f ca="1">Main[[#This Row],[بدهی سررسید شده (کیلوگرم)]]*Main[[#This Row],[روز از ارسال سفارش]]</f>
        <v>0</v>
      </c>
      <c r="U212" s="6">
        <f>-SUBTOTAL(9,INDEX(Main[مقدار (کیلوگرم)],1):Main[[#This Row],[مقدار (کیلوگرم)]])</f>
        <v>35756</v>
      </c>
      <c r="V2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" s="6">
        <f>Main[[#This Row],[تعداد کل روزهای بدهکار (روز)]]*Main[[#This Row],[مانده در خط کل (کیلوگرم)]]</f>
        <v>35756</v>
      </c>
      <c r="X212" s="6">
        <f ca="1">-SUBTOTAL(9,INDEX(Main[مقدار تسویه شده (کیلوگرم)],1):Main[[#This Row],[مقدار تسویه شده (کیلوگرم)]])</f>
        <v>35756</v>
      </c>
      <c r="Y212" s="6">
        <f ca="1">IF(Main[[#This Row],[مانده در خط تسویه شده (کیلوگرم)]]&lt;&gt;0,Main[[#This Row],[تعداد کل روزهای بدهکار (روز)]],0)</f>
        <v>1</v>
      </c>
      <c r="Z212" s="6">
        <f ca="1">Main[[#This Row],[تعداد روزهای بدهکار تسویه شده (روز)]]*Main[[#This Row],[مانده در خط تسویه شده (کیلوگرم)]]</f>
        <v>35756</v>
      </c>
      <c r="AA212" s="6">
        <f ca="1">SUBTOTAL(9,INDEX(Main[بدهی تسویه نشده (کیلوگرم)],1):Main[[#This Row],[بدهی تسویه نشده (کیلوگرم)]])</f>
        <v>0</v>
      </c>
      <c r="AB212" s="6">
        <f ca="1">IF(Main[[#This Row],[مانده در خط تسویه نشده (کیلوگرم)]]&lt;&gt;0,Main[[#This Row],[تعداد کل روزهای بدهکار (روز)]],0)</f>
        <v>0</v>
      </c>
      <c r="AC212" s="6">
        <f ca="1">Main[[#This Row],[تعداد روزهای بدهکار  تسویه نشده (روز)]]*Main[[#This Row],[مانده در خط تسویه نشده (کیلوگرم)]]</f>
        <v>0</v>
      </c>
      <c r="AD212" s="6">
        <f ca="1">SUBTOTAL(9,INDEX(Main[بدهی سررسید شده (کیلوگرم)],1):Main[[#This Row],[بدهی سررسید شده (کیلوگرم)]])</f>
        <v>0</v>
      </c>
      <c r="AE212" s="6">
        <f ca="1">IF(Main[[#This Row],[مانده در خط سررسید شده (کیلوگرم)]]&lt;&gt;0,Main[[#This Row],[تعداد کل روزهای بدهکار (روز)]],0)</f>
        <v>0</v>
      </c>
      <c r="AF212" s="6">
        <f ca="1">Main[[#This Row],[تعداد روزهای بدهکار سررسید شده (روز)]]*Main[[#This Row],[مانده در خط سررسید شده (کیلوگرم)]]</f>
        <v>0</v>
      </c>
    </row>
    <row r="213" spans="1:32" hidden="1" x14ac:dyDescent="0.35">
      <c r="A213" s="5">
        <f>ROW()-ROW(INDEX(Main[ردیف],1))+1</f>
        <v>211</v>
      </c>
      <c r="B213" s="31">
        <f>SUBTOTAL(2,INDEX(Main[ردیف],1):Main[[#This Row],[ردیف]])</f>
        <v>18</v>
      </c>
      <c r="C213" s="32" t="s">
        <v>522</v>
      </c>
      <c r="D213" s="32" t="str">
        <f>_xlfn.CONCAT("14",Main[[#This Row],[تاريخ]])</f>
        <v>1400/01/30</v>
      </c>
      <c r="E213" s="33">
        <v>44305</v>
      </c>
      <c r="F213" s="32">
        <v>30066</v>
      </c>
      <c r="G213" s="5" t="str">
        <f>INDEX(customer[عنوان],MATCH(Main[[#This Row],[کد ردیابی]],customer[کد],0))</f>
        <v xml:space="preserve">شیر آلات بهداشتی قهرمان </v>
      </c>
      <c r="H213">
        <v>3067</v>
      </c>
      <c r="I213" s="6">
        <f ca="1">-Main[[#This Row],[بدهی تسویه شده (کیلوگرم)]]+Main[[#This Row],[بستانکار (کیلوگرم)]]</f>
        <v>3067</v>
      </c>
      <c r="J213" s="6">
        <f>IF(Main[[#This Row],[مقدار (کیلوگرم)]]&gt;0,Main[[#This Row],[مقدار (کیلوگرم)]],0)</f>
        <v>3067</v>
      </c>
      <c r="K213" s="6">
        <f>-IF(Main[[#This Row],[مقدار (کیلوگرم)]]&lt;0,Main[[#This Row],[مقدار (کیلوگرم)]],0)</f>
        <v>0</v>
      </c>
      <c r="L2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" s="7">
        <f>-IF(AND(Main[[#This Row],[مقدار (کیلوگرم)]]&lt;0,Main[[#This Row],[تاريخ میلادی]]&gt;44276),Main[[#This Row],[مقدار (کیلوگرم)]],0)</f>
        <v>0</v>
      </c>
      <c r="N213" s="6">
        <f ca="1">Main[[#This Row],[بدهکار (کیلوگرم)]]-Main[[#This Row],[بدهی تسویه نشده (کیلوگرم)]]</f>
        <v>0</v>
      </c>
      <c r="O213" s="6">
        <f ca="1">Main[[#This Row],[تفکیک]]</f>
        <v>0</v>
      </c>
      <c r="P213" s="6">
        <f ca="1">IF(Main[[#This Row],[تاخیر از سررسید]]&gt;0,Main[[#This Row],[بدهی تسویه نشده (کیلوگرم)]],0)</f>
        <v>0</v>
      </c>
      <c r="Q213" s="6">
        <f ca="1">IF(Main[[#This Row],[بدهی تسویه نشده (کیلوگرم)]]&gt;0,'گزارش فردی'!$B$7-Main[[#This Row],[تاريخ میلادی]],0)</f>
        <v>0</v>
      </c>
      <c r="R213" s="6">
        <f ca="1">IF(Main[[#This Row],[بدهی تسویه نشده (کیلوگرم)]]&gt;0,'گزارش فردی'!$B$7-Main[[#This Row],[تاريخ میلادی]]-'گزارش فردی'!$B$8,0)</f>
        <v>0</v>
      </c>
      <c r="S213" s="6">
        <f ca="1">Main[[#This Row],[روز از ارسال سفارش]]*Main[[#This Row],[بدهی تسویه نشده (کیلوگرم)]]</f>
        <v>0</v>
      </c>
      <c r="T213" s="6">
        <f ca="1">Main[[#This Row],[بدهی سررسید شده (کیلوگرم)]]*Main[[#This Row],[روز از ارسال سفارش]]</f>
        <v>0</v>
      </c>
      <c r="U213" s="6">
        <f>-SUBTOTAL(9,INDEX(Main[مقدار (کیلوگرم)],1):Main[[#This Row],[مقدار (کیلوگرم)]])</f>
        <v>35756</v>
      </c>
      <c r="V2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3" s="6">
        <f>Main[[#This Row],[تعداد کل روزهای بدهکار (روز)]]*Main[[#This Row],[مانده در خط کل (کیلوگرم)]]</f>
        <v>35756</v>
      </c>
      <c r="X213" s="6">
        <f ca="1">-SUBTOTAL(9,INDEX(Main[مقدار تسویه شده (کیلوگرم)],1):Main[[#This Row],[مقدار تسویه شده (کیلوگرم)]])</f>
        <v>35756</v>
      </c>
      <c r="Y213" s="6">
        <f ca="1">IF(Main[[#This Row],[مانده در خط تسویه شده (کیلوگرم)]]&lt;&gt;0,Main[[#This Row],[تعداد کل روزهای بدهکار (روز)]],0)</f>
        <v>1</v>
      </c>
      <c r="Z213" s="6">
        <f ca="1">Main[[#This Row],[تعداد روزهای بدهکار تسویه شده (روز)]]*Main[[#This Row],[مانده در خط تسویه شده (کیلوگرم)]]</f>
        <v>35756</v>
      </c>
      <c r="AA213" s="6">
        <f ca="1">SUBTOTAL(9,INDEX(Main[بدهی تسویه نشده (کیلوگرم)],1):Main[[#This Row],[بدهی تسویه نشده (کیلوگرم)]])</f>
        <v>0</v>
      </c>
      <c r="AB213" s="6">
        <f ca="1">IF(Main[[#This Row],[مانده در خط تسویه نشده (کیلوگرم)]]&lt;&gt;0,Main[[#This Row],[تعداد کل روزهای بدهکار (روز)]],0)</f>
        <v>0</v>
      </c>
      <c r="AC213" s="6">
        <f ca="1">Main[[#This Row],[تعداد روزهای بدهکار  تسویه نشده (روز)]]*Main[[#This Row],[مانده در خط تسویه نشده (کیلوگرم)]]</f>
        <v>0</v>
      </c>
      <c r="AD213" s="6">
        <f ca="1">SUBTOTAL(9,INDEX(Main[بدهی سررسید شده (کیلوگرم)],1):Main[[#This Row],[بدهی سررسید شده (کیلوگرم)]])</f>
        <v>0</v>
      </c>
      <c r="AE213" s="6">
        <f ca="1">IF(Main[[#This Row],[مانده در خط سررسید شده (کیلوگرم)]]&lt;&gt;0,Main[[#This Row],[تعداد کل روزهای بدهکار (روز)]],0)</f>
        <v>0</v>
      </c>
      <c r="AF213" s="6">
        <f ca="1">Main[[#This Row],[تعداد روزهای بدهکار سررسید شده (روز)]]*Main[[#This Row],[مانده در خط سررسید شده (کیلوگرم)]]</f>
        <v>0</v>
      </c>
    </row>
    <row r="214" spans="1:32" hidden="1" x14ac:dyDescent="0.35">
      <c r="A214" s="5">
        <f>ROW()-ROW(INDEX(Main[ردیف],1))+1</f>
        <v>212</v>
      </c>
      <c r="B214" s="31">
        <f>SUBTOTAL(2,INDEX(Main[ردیف],1):Main[[#This Row],[ردیف]])</f>
        <v>18</v>
      </c>
      <c r="C214" s="32" t="s">
        <v>522</v>
      </c>
      <c r="D214" s="32" t="str">
        <f>_xlfn.CONCAT("14",Main[[#This Row],[تاريخ]])</f>
        <v>1400/01/30</v>
      </c>
      <c r="E214" s="33">
        <v>44305</v>
      </c>
      <c r="F214" s="32">
        <v>30127</v>
      </c>
      <c r="G214" s="5" t="str">
        <f>INDEX(customer[عنوان],MATCH(Main[[#This Row],[کد ردیابی]],customer[کد],0))</f>
        <v>شیر گاز آذران</v>
      </c>
      <c r="H214">
        <v>15153</v>
      </c>
      <c r="I214" s="6">
        <f ca="1">-Main[[#This Row],[بدهی تسویه شده (کیلوگرم)]]+Main[[#This Row],[بستانکار (کیلوگرم)]]</f>
        <v>15153</v>
      </c>
      <c r="J214" s="6">
        <f>IF(Main[[#This Row],[مقدار (کیلوگرم)]]&gt;0,Main[[#This Row],[مقدار (کیلوگرم)]],0)</f>
        <v>15153</v>
      </c>
      <c r="K214" s="6">
        <f>-IF(Main[[#This Row],[مقدار (کیلوگرم)]]&lt;0,Main[[#This Row],[مقدار (کیلوگرم)]],0)</f>
        <v>0</v>
      </c>
      <c r="L2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" s="7">
        <f>-IF(AND(Main[[#This Row],[مقدار (کیلوگرم)]]&lt;0,Main[[#This Row],[تاريخ میلادی]]&gt;44276),Main[[#This Row],[مقدار (کیلوگرم)]],0)</f>
        <v>0</v>
      </c>
      <c r="N214" s="6">
        <f ca="1">Main[[#This Row],[بدهکار (کیلوگرم)]]-Main[[#This Row],[بدهی تسویه نشده (کیلوگرم)]]</f>
        <v>0</v>
      </c>
      <c r="O214" s="6">
        <f ca="1">Main[[#This Row],[تفکیک]]</f>
        <v>0</v>
      </c>
      <c r="P214" s="6">
        <f ca="1">IF(Main[[#This Row],[تاخیر از سررسید]]&gt;0,Main[[#This Row],[بدهی تسویه نشده (کیلوگرم)]],0)</f>
        <v>0</v>
      </c>
      <c r="Q214" s="6">
        <f ca="1">IF(Main[[#This Row],[بدهی تسویه نشده (کیلوگرم)]]&gt;0,'گزارش فردی'!$B$7-Main[[#This Row],[تاريخ میلادی]],0)</f>
        <v>0</v>
      </c>
      <c r="R214" s="6">
        <f ca="1">IF(Main[[#This Row],[بدهی تسویه نشده (کیلوگرم)]]&gt;0,'گزارش فردی'!$B$7-Main[[#This Row],[تاريخ میلادی]]-'گزارش فردی'!$B$8,0)</f>
        <v>0</v>
      </c>
      <c r="S214" s="6">
        <f ca="1">Main[[#This Row],[روز از ارسال سفارش]]*Main[[#This Row],[بدهی تسویه نشده (کیلوگرم)]]</f>
        <v>0</v>
      </c>
      <c r="T214" s="6">
        <f ca="1">Main[[#This Row],[بدهی سررسید شده (کیلوگرم)]]*Main[[#This Row],[روز از ارسال سفارش]]</f>
        <v>0</v>
      </c>
      <c r="U214" s="6">
        <f>-SUBTOTAL(9,INDEX(Main[مقدار (کیلوگرم)],1):Main[[#This Row],[مقدار (کیلوگرم)]])</f>
        <v>35756</v>
      </c>
      <c r="V2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" s="6">
        <f>Main[[#This Row],[تعداد کل روزهای بدهکار (روز)]]*Main[[#This Row],[مانده در خط کل (کیلوگرم)]]</f>
        <v>35756</v>
      </c>
      <c r="X214" s="6">
        <f ca="1">-SUBTOTAL(9,INDEX(Main[مقدار تسویه شده (کیلوگرم)],1):Main[[#This Row],[مقدار تسویه شده (کیلوگرم)]])</f>
        <v>35756</v>
      </c>
      <c r="Y214" s="6">
        <f ca="1">IF(Main[[#This Row],[مانده در خط تسویه شده (کیلوگرم)]]&lt;&gt;0,Main[[#This Row],[تعداد کل روزهای بدهکار (روز)]],0)</f>
        <v>1</v>
      </c>
      <c r="Z214" s="6">
        <f ca="1">Main[[#This Row],[تعداد روزهای بدهکار تسویه شده (روز)]]*Main[[#This Row],[مانده در خط تسویه شده (کیلوگرم)]]</f>
        <v>35756</v>
      </c>
      <c r="AA214" s="6">
        <f ca="1">SUBTOTAL(9,INDEX(Main[بدهی تسویه نشده (کیلوگرم)],1):Main[[#This Row],[بدهی تسویه نشده (کیلوگرم)]])</f>
        <v>0</v>
      </c>
      <c r="AB214" s="6">
        <f ca="1">IF(Main[[#This Row],[مانده در خط تسویه نشده (کیلوگرم)]]&lt;&gt;0,Main[[#This Row],[تعداد کل روزهای بدهکار (روز)]],0)</f>
        <v>0</v>
      </c>
      <c r="AC214" s="6">
        <f ca="1">Main[[#This Row],[تعداد روزهای بدهکار  تسویه نشده (روز)]]*Main[[#This Row],[مانده در خط تسویه نشده (کیلوگرم)]]</f>
        <v>0</v>
      </c>
      <c r="AD214" s="6">
        <f ca="1">SUBTOTAL(9,INDEX(Main[بدهی سررسید شده (کیلوگرم)],1):Main[[#This Row],[بدهی سررسید شده (کیلوگرم)]])</f>
        <v>0</v>
      </c>
      <c r="AE214" s="6">
        <f ca="1">IF(Main[[#This Row],[مانده در خط سررسید شده (کیلوگرم)]]&lt;&gt;0,Main[[#This Row],[تعداد کل روزهای بدهکار (روز)]],0)</f>
        <v>0</v>
      </c>
      <c r="AF214" s="6">
        <f ca="1">Main[[#This Row],[تعداد روزهای بدهکار سررسید شده (روز)]]*Main[[#This Row],[مانده در خط سررسید شده (کیلوگرم)]]</f>
        <v>0</v>
      </c>
    </row>
    <row r="215" spans="1:32" hidden="1" x14ac:dyDescent="0.35">
      <c r="A215" s="5">
        <f>ROW()-ROW(INDEX(Main[ردیف],1))+1</f>
        <v>213</v>
      </c>
      <c r="B215" s="31">
        <f>SUBTOTAL(2,INDEX(Main[ردیف],1):Main[[#This Row],[ردیف]])</f>
        <v>18</v>
      </c>
      <c r="C215" s="32" t="s">
        <v>522</v>
      </c>
      <c r="D215" s="32" t="str">
        <f>_xlfn.CONCAT("14",Main[[#This Row],[تاريخ]])</f>
        <v>1400/01/30</v>
      </c>
      <c r="E215" s="33">
        <v>44305</v>
      </c>
      <c r="F215" s="32">
        <v>30009</v>
      </c>
      <c r="G215" s="5" t="str">
        <f>INDEX(customer[عنوان],MATCH(Main[[#This Row],[کد ردیابی]],customer[کد],0))</f>
        <v>شرکت ایمن تک پیشرو</v>
      </c>
      <c r="H215">
        <v>1060</v>
      </c>
      <c r="I215" s="6">
        <f ca="1">-Main[[#This Row],[بدهی تسویه شده (کیلوگرم)]]+Main[[#This Row],[بستانکار (کیلوگرم)]]</f>
        <v>1060</v>
      </c>
      <c r="J215" s="6">
        <f>IF(Main[[#This Row],[مقدار (کیلوگرم)]]&gt;0,Main[[#This Row],[مقدار (کیلوگرم)]],0)</f>
        <v>1060</v>
      </c>
      <c r="K215" s="6">
        <f>-IF(Main[[#This Row],[مقدار (کیلوگرم)]]&lt;0,Main[[#This Row],[مقدار (کیلوگرم)]],0)</f>
        <v>0</v>
      </c>
      <c r="L2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" s="7">
        <f>-IF(AND(Main[[#This Row],[مقدار (کیلوگرم)]]&lt;0,Main[[#This Row],[تاريخ میلادی]]&gt;44276),Main[[#This Row],[مقدار (کیلوگرم)]],0)</f>
        <v>0</v>
      </c>
      <c r="N215" s="6">
        <f ca="1">Main[[#This Row],[بدهکار (کیلوگرم)]]-Main[[#This Row],[بدهی تسویه نشده (کیلوگرم)]]</f>
        <v>0</v>
      </c>
      <c r="O215" s="6">
        <f ca="1">Main[[#This Row],[تفکیک]]</f>
        <v>0</v>
      </c>
      <c r="P215" s="6">
        <f ca="1">IF(Main[[#This Row],[تاخیر از سررسید]]&gt;0,Main[[#This Row],[بدهی تسویه نشده (کیلوگرم)]],0)</f>
        <v>0</v>
      </c>
      <c r="Q215" s="6">
        <f ca="1">IF(Main[[#This Row],[بدهی تسویه نشده (کیلوگرم)]]&gt;0,'گزارش فردی'!$B$7-Main[[#This Row],[تاريخ میلادی]],0)</f>
        <v>0</v>
      </c>
      <c r="R215" s="6">
        <f ca="1">IF(Main[[#This Row],[بدهی تسویه نشده (کیلوگرم)]]&gt;0,'گزارش فردی'!$B$7-Main[[#This Row],[تاريخ میلادی]]-'گزارش فردی'!$B$8,0)</f>
        <v>0</v>
      </c>
      <c r="S215" s="6">
        <f ca="1">Main[[#This Row],[روز از ارسال سفارش]]*Main[[#This Row],[بدهی تسویه نشده (کیلوگرم)]]</f>
        <v>0</v>
      </c>
      <c r="T215" s="6">
        <f ca="1">Main[[#This Row],[بدهی سررسید شده (کیلوگرم)]]*Main[[#This Row],[روز از ارسال سفارش]]</f>
        <v>0</v>
      </c>
      <c r="U215" s="6">
        <f>-SUBTOTAL(9,INDEX(Main[مقدار (کیلوگرم)],1):Main[[#This Row],[مقدار (کیلوگرم)]])</f>
        <v>35756</v>
      </c>
      <c r="V2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" s="6">
        <f>Main[[#This Row],[تعداد کل روزهای بدهکار (روز)]]*Main[[#This Row],[مانده در خط کل (کیلوگرم)]]</f>
        <v>35756</v>
      </c>
      <c r="X215" s="6">
        <f ca="1">-SUBTOTAL(9,INDEX(Main[مقدار تسویه شده (کیلوگرم)],1):Main[[#This Row],[مقدار تسویه شده (کیلوگرم)]])</f>
        <v>35756</v>
      </c>
      <c r="Y215" s="6">
        <f ca="1">IF(Main[[#This Row],[مانده در خط تسویه شده (کیلوگرم)]]&lt;&gt;0,Main[[#This Row],[تعداد کل روزهای بدهکار (روز)]],0)</f>
        <v>1</v>
      </c>
      <c r="Z215" s="6">
        <f ca="1">Main[[#This Row],[تعداد روزهای بدهکار تسویه شده (روز)]]*Main[[#This Row],[مانده در خط تسویه شده (کیلوگرم)]]</f>
        <v>35756</v>
      </c>
      <c r="AA215" s="6">
        <f ca="1">SUBTOTAL(9,INDEX(Main[بدهی تسویه نشده (کیلوگرم)],1):Main[[#This Row],[بدهی تسویه نشده (کیلوگرم)]])</f>
        <v>0</v>
      </c>
      <c r="AB215" s="6">
        <f ca="1">IF(Main[[#This Row],[مانده در خط تسویه نشده (کیلوگرم)]]&lt;&gt;0,Main[[#This Row],[تعداد کل روزهای بدهکار (روز)]],0)</f>
        <v>0</v>
      </c>
      <c r="AC215" s="6">
        <f ca="1">Main[[#This Row],[تعداد روزهای بدهکار  تسویه نشده (روز)]]*Main[[#This Row],[مانده در خط تسویه نشده (کیلوگرم)]]</f>
        <v>0</v>
      </c>
      <c r="AD215" s="6">
        <f ca="1">SUBTOTAL(9,INDEX(Main[بدهی سررسید شده (کیلوگرم)],1):Main[[#This Row],[بدهی سررسید شده (کیلوگرم)]])</f>
        <v>0</v>
      </c>
      <c r="AE215" s="6">
        <f ca="1">IF(Main[[#This Row],[مانده در خط سررسید شده (کیلوگرم)]]&lt;&gt;0,Main[[#This Row],[تعداد کل روزهای بدهکار (روز)]],0)</f>
        <v>0</v>
      </c>
      <c r="AF215" s="6">
        <f ca="1">Main[[#This Row],[تعداد روزهای بدهکار سررسید شده (روز)]]*Main[[#This Row],[مانده در خط سررسید شده (کیلوگرم)]]</f>
        <v>0</v>
      </c>
    </row>
    <row r="216" spans="1:32" hidden="1" x14ac:dyDescent="0.35">
      <c r="A216" s="5">
        <f>ROW()-ROW(INDEX(Main[ردیف],1))+1</f>
        <v>214</v>
      </c>
      <c r="B216" s="31">
        <f>SUBTOTAL(2,INDEX(Main[ردیف],1):Main[[#This Row],[ردیف]])</f>
        <v>18</v>
      </c>
      <c r="C216" s="32" t="s">
        <v>522</v>
      </c>
      <c r="D216" s="32" t="str">
        <f>_xlfn.CONCAT("14",Main[[#This Row],[تاريخ]])</f>
        <v>1400/01/30</v>
      </c>
      <c r="E216" s="33">
        <v>44305</v>
      </c>
      <c r="F216" s="32">
        <v>30009</v>
      </c>
      <c r="G216" s="5" t="str">
        <f>INDEX(customer[عنوان],MATCH(Main[[#This Row],[کد ردیابی]],customer[کد],0))</f>
        <v>شرکت ایمن تک پیشرو</v>
      </c>
      <c r="H216">
        <v>846</v>
      </c>
      <c r="I216" s="6">
        <f ca="1">-Main[[#This Row],[بدهی تسویه شده (کیلوگرم)]]+Main[[#This Row],[بستانکار (کیلوگرم)]]</f>
        <v>846</v>
      </c>
      <c r="J216" s="6">
        <f>IF(Main[[#This Row],[مقدار (کیلوگرم)]]&gt;0,Main[[#This Row],[مقدار (کیلوگرم)]],0)</f>
        <v>846</v>
      </c>
      <c r="K216" s="6">
        <f>-IF(Main[[#This Row],[مقدار (کیلوگرم)]]&lt;0,Main[[#This Row],[مقدار (کیلوگرم)]],0)</f>
        <v>0</v>
      </c>
      <c r="L2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" s="7">
        <f>-IF(AND(Main[[#This Row],[مقدار (کیلوگرم)]]&lt;0,Main[[#This Row],[تاريخ میلادی]]&gt;44276),Main[[#This Row],[مقدار (کیلوگرم)]],0)</f>
        <v>0</v>
      </c>
      <c r="N216" s="6">
        <f ca="1">Main[[#This Row],[بدهکار (کیلوگرم)]]-Main[[#This Row],[بدهی تسویه نشده (کیلوگرم)]]</f>
        <v>0</v>
      </c>
      <c r="O216" s="6">
        <f ca="1">Main[[#This Row],[تفکیک]]</f>
        <v>0</v>
      </c>
      <c r="P216" s="6">
        <f ca="1">IF(Main[[#This Row],[تاخیر از سررسید]]&gt;0,Main[[#This Row],[بدهی تسویه نشده (کیلوگرم)]],0)</f>
        <v>0</v>
      </c>
      <c r="Q216" s="6">
        <f ca="1">IF(Main[[#This Row],[بدهی تسویه نشده (کیلوگرم)]]&gt;0,'گزارش فردی'!$B$7-Main[[#This Row],[تاريخ میلادی]],0)</f>
        <v>0</v>
      </c>
      <c r="R216" s="6">
        <f ca="1">IF(Main[[#This Row],[بدهی تسویه نشده (کیلوگرم)]]&gt;0,'گزارش فردی'!$B$7-Main[[#This Row],[تاريخ میلادی]]-'گزارش فردی'!$B$8,0)</f>
        <v>0</v>
      </c>
      <c r="S216" s="6">
        <f ca="1">Main[[#This Row],[روز از ارسال سفارش]]*Main[[#This Row],[بدهی تسویه نشده (کیلوگرم)]]</f>
        <v>0</v>
      </c>
      <c r="T216" s="6">
        <f ca="1">Main[[#This Row],[بدهی سررسید شده (کیلوگرم)]]*Main[[#This Row],[روز از ارسال سفارش]]</f>
        <v>0</v>
      </c>
      <c r="U216" s="6">
        <f>-SUBTOTAL(9,INDEX(Main[مقدار (کیلوگرم)],1):Main[[#This Row],[مقدار (کیلوگرم)]])</f>
        <v>35756</v>
      </c>
      <c r="V2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6" s="6">
        <f>Main[[#This Row],[تعداد کل روزهای بدهکار (روز)]]*Main[[#This Row],[مانده در خط کل (کیلوگرم)]]</f>
        <v>35756</v>
      </c>
      <c r="X216" s="6">
        <f ca="1">-SUBTOTAL(9,INDEX(Main[مقدار تسویه شده (کیلوگرم)],1):Main[[#This Row],[مقدار تسویه شده (کیلوگرم)]])</f>
        <v>35756</v>
      </c>
      <c r="Y216" s="6">
        <f ca="1">IF(Main[[#This Row],[مانده در خط تسویه شده (کیلوگرم)]]&lt;&gt;0,Main[[#This Row],[تعداد کل روزهای بدهکار (روز)]],0)</f>
        <v>1</v>
      </c>
      <c r="Z216" s="6">
        <f ca="1">Main[[#This Row],[تعداد روزهای بدهکار تسویه شده (روز)]]*Main[[#This Row],[مانده در خط تسویه شده (کیلوگرم)]]</f>
        <v>35756</v>
      </c>
      <c r="AA216" s="6">
        <f ca="1">SUBTOTAL(9,INDEX(Main[بدهی تسویه نشده (کیلوگرم)],1):Main[[#This Row],[بدهی تسویه نشده (کیلوگرم)]])</f>
        <v>0</v>
      </c>
      <c r="AB216" s="6">
        <f ca="1">IF(Main[[#This Row],[مانده در خط تسویه نشده (کیلوگرم)]]&lt;&gt;0,Main[[#This Row],[تعداد کل روزهای بدهکار (روز)]],0)</f>
        <v>0</v>
      </c>
      <c r="AC216" s="6">
        <f ca="1">Main[[#This Row],[تعداد روزهای بدهکار  تسویه نشده (روز)]]*Main[[#This Row],[مانده در خط تسویه نشده (کیلوگرم)]]</f>
        <v>0</v>
      </c>
      <c r="AD216" s="6">
        <f ca="1">SUBTOTAL(9,INDEX(Main[بدهی سررسید شده (کیلوگرم)],1):Main[[#This Row],[بدهی سررسید شده (کیلوگرم)]])</f>
        <v>0</v>
      </c>
      <c r="AE216" s="6">
        <f ca="1">IF(Main[[#This Row],[مانده در خط سررسید شده (کیلوگرم)]]&lt;&gt;0,Main[[#This Row],[تعداد کل روزهای بدهکار (روز)]],0)</f>
        <v>0</v>
      </c>
      <c r="AF216" s="6">
        <f ca="1">Main[[#This Row],[تعداد روزهای بدهکار سررسید شده (روز)]]*Main[[#This Row],[مانده در خط سررسید شده (کیلوگرم)]]</f>
        <v>0</v>
      </c>
    </row>
    <row r="217" spans="1:32" hidden="1" x14ac:dyDescent="0.35">
      <c r="A217" s="5">
        <f>ROW()-ROW(INDEX(Main[ردیف],1))+1</f>
        <v>215</v>
      </c>
      <c r="B217" s="31">
        <f>SUBTOTAL(2,INDEX(Main[ردیف],1):Main[[#This Row],[ردیف]])</f>
        <v>18</v>
      </c>
      <c r="C217" s="32" t="s">
        <v>523</v>
      </c>
      <c r="D217" s="32" t="str">
        <f>_xlfn.CONCAT("14",Main[[#This Row],[تاريخ]])</f>
        <v>1400/01/31</v>
      </c>
      <c r="E217" s="33">
        <v>44306</v>
      </c>
      <c r="F217" s="32">
        <v>30174</v>
      </c>
      <c r="G217" s="5" t="str">
        <f>INDEX(customer[عنوان],MATCH(Main[[#This Row],[کد ردیابی]],customer[کد],0))</f>
        <v>شیرآلات مهرآرا</v>
      </c>
      <c r="H217">
        <v>-127</v>
      </c>
      <c r="I217" s="6">
        <f ca="1">-Main[[#This Row],[بدهی تسویه شده (کیلوگرم)]]+Main[[#This Row],[بستانکار (کیلوگرم)]]</f>
        <v>-127</v>
      </c>
      <c r="J217" s="6">
        <f>IF(Main[[#This Row],[مقدار (کیلوگرم)]]&gt;0,Main[[#This Row],[مقدار (کیلوگرم)]],0)</f>
        <v>0</v>
      </c>
      <c r="K217" s="6">
        <f>-IF(Main[[#This Row],[مقدار (کیلوگرم)]]&lt;0,Main[[#This Row],[مقدار (کیلوگرم)]],0)</f>
        <v>127</v>
      </c>
      <c r="L2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" s="7">
        <f>-IF(AND(Main[[#This Row],[مقدار (کیلوگرم)]]&lt;0,Main[[#This Row],[تاريخ میلادی]]&gt;44276),Main[[#This Row],[مقدار (کیلوگرم)]],0)</f>
        <v>127</v>
      </c>
      <c r="N217" s="6">
        <f ca="1">Main[[#This Row],[بدهکار (کیلوگرم)]]-Main[[#This Row],[بدهی تسویه نشده (کیلوگرم)]]</f>
        <v>127</v>
      </c>
      <c r="O217" s="6">
        <f ca="1">Main[[#This Row],[تفکیک]]</f>
        <v>0</v>
      </c>
      <c r="P217" s="6">
        <f ca="1">IF(Main[[#This Row],[تاخیر از سررسید]]&gt;0,Main[[#This Row],[بدهی تسویه نشده (کیلوگرم)]],0)</f>
        <v>0</v>
      </c>
      <c r="Q217" s="6">
        <f ca="1">IF(Main[[#This Row],[بدهی تسویه نشده (کیلوگرم)]]&gt;0,'گزارش فردی'!$B$7-Main[[#This Row],[تاريخ میلادی]],0)</f>
        <v>0</v>
      </c>
      <c r="R217" s="6">
        <f ca="1">IF(Main[[#This Row],[بدهی تسویه نشده (کیلوگرم)]]&gt;0,'گزارش فردی'!$B$7-Main[[#This Row],[تاريخ میلادی]]-'گزارش فردی'!$B$8,0)</f>
        <v>0</v>
      </c>
      <c r="S217" s="6">
        <f ca="1">Main[[#This Row],[روز از ارسال سفارش]]*Main[[#This Row],[بدهی تسویه نشده (کیلوگرم)]]</f>
        <v>0</v>
      </c>
      <c r="T217" s="6">
        <f ca="1">Main[[#This Row],[بدهی سررسید شده (کیلوگرم)]]*Main[[#This Row],[روز از ارسال سفارش]]</f>
        <v>0</v>
      </c>
      <c r="U217" s="6">
        <f>-SUBTOTAL(9,INDEX(Main[مقدار (کیلوگرم)],1):Main[[#This Row],[مقدار (کیلوگرم)]])</f>
        <v>35756</v>
      </c>
      <c r="V2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" s="6">
        <f>Main[[#This Row],[تعداد کل روزهای بدهکار (روز)]]*Main[[#This Row],[مانده در خط کل (کیلوگرم)]]</f>
        <v>0</v>
      </c>
      <c r="X217" s="6">
        <f ca="1">-SUBTOTAL(9,INDEX(Main[مقدار تسویه شده (کیلوگرم)],1):Main[[#This Row],[مقدار تسویه شده (کیلوگرم)]])</f>
        <v>35756</v>
      </c>
      <c r="Y217" s="6">
        <f ca="1">IF(Main[[#This Row],[مانده در خط تسویه شده (کیلوگرم)]]&lt;&gt;0,Main[[#This Row],[تعداد کل روزهای بدهکار (روز)]],0)</f>
        <v>0</v>
      </c>
      <c r="Z217" s="6">
        <f ca="1">Main[[#This Row],[تعداد روزهای بدهکار تسویه شده (روز)]]*Main[[#This Row],[مانده در خط تسویه شده (کیلوگرم)]]</f>
        <v>0</v>
      </c>
      <c r="AA217" s="6">
        <f ca="1">SUBTOTAL(9,INDEX(Main[بدهی تسویه نشده (کیلوگرم)],1):Main[[#This Row],[بدهی تسویه نشده (کیلوگرم)]])</f>
        <v>0</v>
      </c>
      <c r="AB217" s="6">
        <f ca="1">IF(Main[[#This Row],[مانده در خط تسویه نشده (کیلوگرم)]]&lt;&gt;0,Main[[#This Row],[تعداد کل روزهای بدهکار (روز)]],0)</f>
        <v>0</v>
      </c>
      <c r="AC217" s="6">
        <f ca="1">Main[[#This Row],[تعداد روزهای بدهکار  تسویه نشده (روز)]]*Main[[#This Row],[مانده در خط تسویه نشده (کیلوگرم)]]</f>
        <v>0</v>
      </c>
      <c r="AD217" s="6">
        <f ca="1">SUBTOTAL(9,INDEX(Main[بدهی سررسید شده (کیلوگرم)],1):Main[[#This Row],[بدهی سررسید شده (کیلوگرم)]])</f>
        <v>0</v>
      </c>
      <c r="AE217" s="6">
        <f ca="1">IF(Main[[#This Row],[مانده در خط سررسید شده (کیلوگرم)]]&lt;&gt;0,Main[[#This Row],[تعداد کل روزهای بدهکار (روز)]],0)</f>
        <v>0</v>
      </c>
      <c r="AF217" s="6">
        <f ca="1">Main[[#This Row],[تعداد روزهای بدهکار سررسید شده (روز)]]*Main[[#This Row],[مانده در خط سررسید شده (کیلوگرم)]]</f>
        <v>0</v>
      </c>
    </row>
    <row r="218" spans="1:32" hidden="1" x14ac:dyDescent="0.35">
      <c r="A218" s="5">
        <f>ROW()-ROW(INDEX(Main[ردیف],1))+1</f>
        <v>216</v>
      </c>
      <c r="B218" s="31">
        <f>SUBTOTAL(2,INDEX(Main[ردیف],1):Main[[#This Row],[ردیف]])</f>
        <v>18</v>
      </c>
      <c r="C218" s="32" t="s">
        <v>523</v>
      </c>
      <c r="D218" s="32" t="str">
        <f>_xlfn.CONCAT("14",Main[[#This Row],[تاريخ]])</f>
        <v>1400/01/31</v>
      </c>
      <c r="E218" s="33">
        <v>44306</v>
      </c>
      <c r="F218" s="32">
        <v>10048</v>
      </c>
      <c r="G218" s="5" t="str">
        <f>INDEX(customer[عنوان],MATCH(Main[[#This Row],[کد ردیابی]],customer[کد],0))</f>
        <v xml:space="preserve">حسام کریمان  </v>
      </c>
      <c r="H218">
        <v>164</v>
      </c>
      <c r="I218" s="6">
        <f ca="1">-Main[[#This Row],[بدهی تسویه شده (کیلوگرم)]]+Main[[#This Row],[بستانکار (کیلوگرم)]]</f>
        <v>164</v>
      </c>
      <c r="J218" s="6">
        <f>IF(Main[[#This Row],[مقدار (کیلوگرم)]]&gt;0,Main[[#This Row],[مقدار (کیلوگرم)]],0)</f>
        <v>164</v>
      </c>
      <c r="K218" s="6">
        <f>-IF(Main[[#This Row],[مقدار (کیلوگرم)]]&lt;0,Main[[#This Row],[مقدار (کیلوگرم)]],0)</f>
        <v>0</v>
      </c>
      <c r="L2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" s="7">
        <f>-IF(AND(Main[[#This Row],[مقدار (کیلوگرم)]]&lt;0,Main[[#This Row],[تاريخ میلادی]]&gt;44276),Main[[#This Row],[مقدار (کیلوگرم)]],0)</f>
        <v>0</v>
      </c>
      <c r="N218" s="6">
        <f ca="1">Main[[#This Row],[بدهکار (کیلوگرم)]]-Main[[#This Row],[بدهی تسویه نشده (کیلوگرم)]]</f>
        <v>0</v>
      </c>
      <c r="O218" s="6">
        <f ca="1">Main[[#This Row],[تفکیک]]</f>
        <v>0</v>
      </c>
      <c r="P218" s="6">
        <f ca="1">IF(Main[[#This Row],[تاخیر از سررسید]]&gt;0,Main[[#This Row],[بدهی تسویه نشده (کیلوگرم)]],0)</f>
        <v>0</v>
      </c>
      <c r="Q218" s="6">
        <f ca="1">IF(Main[[#This Row],[بدهی تسویه نشده (کیلوگرم)]]&gt;0,'گزارش فردی'!$B$7-Main[[#This Row],[تاريخ میلادی]],0)</f>
        <v>0</v>
      </c>
      <c r="R218" s="6">
        <f ca="1">IF(Main[[#This Row],[بدهی تسویه نشده (کیلوگرم)]]&gt;0,'گزارش فردی'!$B$7-Main[[#This Row],[تاريخ میلادی]]-'گزارش فردی'!$B$8,0)</f>
        <v>0</v>
      </c>
      <c r="S218" s="6">
        <f ca="1">Main[[#This Row],[روز از ارسال سفارش]]*Main[[#This Row],[بدهی تسویه نشده (کیلوگرم)]]</f>
        <v>0</v>
      </c>
      <c r="T218" s="6">
        <f ca="1">Main[[#This Row],[بدهی سررسید شده (کیلوگرم)]]*Main[[#This Row],[روز از ارسال سفارش]]</f>
        <v>0</v>
      </c>
      <c r="U218" s="6">
        <f>-SUBTOTAL(9,INDEX(Main[مقدار (کیلوگرم)],1):Main[[#This Row],[مقدار (کیلوگرم)]])</f>
        <v>35756</v>
      </c>
      <c r="V2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" s="6">
        <f>Main[[#This Row],[تعداد کل روزهای بدهکار (روز)]]*Main[[#This Row],[مانده در خط کل (کیلوگرم)]]</f>
        <v>0</v>
      </c>
      <c r="X218" s="6">
        <f ca="1">-SUBTOTAL(9,INDEX(Main[مقدار تسویه شده (کیلوگرم)],1):Main[[#This Row],[مقدار تسویه شده (کیلوگرم)]])</f>
        <v>35756</v>
      </c>
      <c r="Y218" s="6">
        <f ca="1">IF(Main[[#This Row],[مانده در خط تسویه شده (کیلوگرم)]]&lt;&gt;0,Main[[#This Row],[تعداد کل روزهای بدهکار (روز)]],0)</f>
        <v>0</v>
      </c>
      <c r="Z218" s="6">
        <f ca="1">Main[[#This Row],[تعداد روزهای بدهکار تسویه شده (روز)]]*Main[[#This Row],[مانده در خط تسویه شده (کیلوگرم)]]</f>
        <v>0</v>
      </c>
      <c r="AA218" s="6">
        <f ca="1">SUBTOTAL(9,INDEX(Main[بدهی تسویه نشده (کیلوگرم)],1):Main[[#This Row],[بدهی تسویه نشده (کیلوگرم)]])</f>
        <v>0</v>
      </c>
      <c r="AB218" s="6">
        <f ca="1">IF(Main[[#This Row],[مانده در خط تسویه نشده (کیلوگرم)]]&lt;&gt;0,Main[[#This Row],[تعداد کل روزهای بدهکار (روز)]],0)</f>
        <v>0</v>
      </c>
      <c r="AC218" s="6">
        <f ca="1">Main[[#This Row],[تعداد روزهای بدهکار  تسویه نشده (روز)]]*Main[[#This Row],[مانده در خط تسویه نشده (کیلوگرم)]]</f>
        <v>0</v>
      </c>
      <c r="AD218" s="6">
        <f ca="1">SUBTOTAL(9,INDEX(Main[بدهی سررسید شده (کیلوگرم)],1):Main[[#This Row],[بدهی سررسید شده (کیلوگرم)]])</f>
        <v>0</v>
      </c>
      <c r="AE218" s="6">
        <f ca="1">IF(Main[[#This Row],[مانده در خط سررسید شده (کیلوگرم)]]&lt;&gt;0,Main[[#This Row],[تعداد کل روزهای بدهکار (روز)]],0)</f>
        <v>0</v>
      </c>
      <c r="AF218" s="6">
        <f ca="1">Main[[#This Row],[تعداد روزهای بدهکار سررسید شده (روز)]]*Main[[#This Row],[مانده در خط سررسید شده (کیلوگرم)]]</f>
        <v>0</v>
      </c>
    </row>
    <row r="219" spans="1:32" hidden="1" x14ac:dyDescent="0.35">
      <c r="A219" s="5">
        <f>ROW()-ROW(INDEX(Main[ردیف],1))+1</f>
        <v>217</v>
      </c>
      <c r="B219" s="31">
        <f>SUBTOTAL(2,INDEX(Main[ردیف],1):Main[[#This Row],[ردیف]])</f>
        <v>18</v>
      </c>
      <c r="C219" s="32" t="s">
        <v>523</v>
      </c>
      <c r="D219" s="32" t="str">
        <f>_xlfn.CONCAT("14",Main[[#This Row],[تاريخ]])</f>
        <v>1400/01/31</v>
      </c>
      <c r="E219" s="33">
        <v>44306</v>
      </c>
      <c r="F219" s="32">
        <v>30162</v>
      </c>
      <c r="G219" s="5" t="str">
        <f>INDEX(customer[عنوان],MATCH(Main[[#This Row],[کد ردیابی]],customer[کد],0))</f>
        <v>شرکت الماس آریا</v>
      </c>
      <c r="H219">
        <v>-1918</v>
      </c>
      <c r="I219" s="6">
        <f ca="1">-Main[[#This Row],[بدهی تسویه شده (کیلوگرم)]]+Main[[#This Row],[بستانکار (کیلوگرم)]]</f>
        <v>-1918</v>
      </c>
      <c r="J219" s="6">
        <f>IF(Main[[#This Row],[مقدار (کیلوگرم)]]&gt;0,Main[[#This Row],[مقدار (کیلوگرم)]],0)</f>
        <v>0</v>
      </c>
      <c r="K219" s="6">
        <f>-IF(Main[[#This Row],[مقدار (کیلوگرم)]]&lt;0,Main[[#This Row],[مقدار (کیلوگرم)]],0)</f>
        <v>1918</v>
      </c>
      <c r="L2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" s="7">
        <f>-IF(AND(Main[[#This Row],[مقدار (کیلوگرم)]]&lt;0,Main[[#This Row],[تاريخ میلادی]]&gt;44276),Main[[#This Row],[مقدار (کیلوگرم)]],0)</f>
        <v>1918</v>
      </c>
      <c r="N219" s="6">
        <f ca="1">Main[[#This Row],[بدهکار (کیلوگرم)]]-Main[[#This Row],[بدهی تسویه نشده (کیلوگرم)]]</f>
        <v>1918</v>
      </c>
      <c r="O219" s="6">
        <f ca="1">Main[[#This Row],[تفکیک]]</f>
        <v>0</v>
      </c>
      <c r="P219" s="6">
        <f ca="1">IF(Main[[#This Row],[تاخیر از سررسید]]&gt;0,Main[[#This Row],[بدهی تسویه نشده (کیلوگرم)]],0)</f>
        <v>0</v>
      </c>
      <c r="Q219" s="6">
        <f ca="1">IF(Main[[#This Row],[بدهی تسویه نشده (کیلوگرم)]]&gt;0,'گزارش فردی'!$B$7-Main[[#This Row],[تاريخ میلادی]],0)</f>
        <v>0</v>
      </c>
      <c r="R219" s="6">
        <f ca="1">IF(Main[[#This Row],[بدهی تسویه نشده (کیلوگرم)]]&gt;0,'گزارش فردی'!$B$7-Main[[#This Row],[تاريخ میلادی]]-'گزارش فردی'!$B$8,0)</f>
        <v>0</v>
      </c>
      <c r="S219" s="6">
        <f ca="1">Main[[#This Row],[روز از ارسال سفارش]]*Main[[#This Row],[بدهی تسویه نشده (کیلوگرم)]]</f>
        <v>0</v>
      </c>
      <c r="T219" s="6">
        <f ca="1">Main[[#This Row],[بدهی سررسید شده (کیلوگرم)]]*Main[[#This Row],[روز از ارسال سفارش]]</f>
        <v>0</v>
      </c>
      <c r="U219" s="6">
        <f>-SUBTOTAL(9,INDEX(Main[مقدار (کیلوگرم)],1):Main[[#This Row],[مقدار (کیلوگرم)]])</f>
        <v>35756</v>
      </c>
      <c r="V2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9" s="6">
        <f>Main[[#This Row],[تعداد کل روزهای بدهکار (روز)]]*Main[[#This Row],[مانده در خط کل (کیلوگرم)]]</f>
        <v>0</v>
      </c>
      <c r="X219" s="6">
        <f ca="1">-SUBTOTAL(9,INDEX(Main[مقدار تسویه شده (کیلوگرم)],1):Main[[#This Row],[مقدار تسویه شده (کیلوگرم)]])</f>
        <v>35756</v>
      </c>
      <c r="Y219" s="6">
        <f ca="1">IF(Main[[#This Row],[مانده در خط تسویه شده (کیلوگرم)]]&lt;&gt;0,Main[[#This Row],[تعداد کل روزهای بدهکار (روز)]],0)</f>
        <v>0</v>
      </c>
      <c r="Z219" s="6">
        <f ca="1">Main[[#This Row],[تعداد روزهای بدهکار تسویه شده (روز)]]*Main[[#This Row],[مانده در خط تسویه شده (کیلوگرم)]]</f>
        <v>0</v>
      </c>
      <c r="AA219" s="6">
        <f ca="1">SUBTOTAL(9,INDEX(Main[بدهی تسویه نشده (کیلوگرم)],1):Main[[#This Row],[بدهی تسویه نشده (کیلوگرم)]])</f>
        <v>0</v>
      </c>
      <c r="AB219" s="6">
        <f ca="1">IF(Main[[#This Row],[مانده در خط تسویه نشده (کیلوگرم)]]&lt;&gt;0,Main[[#This Row],[تعداد کل روزهای بدهکار (روز)]],0)</f>
        <v>0</v>
      </c>
      <c r="AC219" s="6">
        <f ca="1">Main[[#This Row],[تعداد روزهای بدهکار  تسویه نشده (روز)]]*Main[[#This Row],[مانده در خط تسویه نشده (کیلوگرم)]]</f>
        <v>0</v>
      </c>
      <c r="AD219" s="6">
        <f ca="1">SUBTOTAL(9,INDEX(Main[بدهی سررسید شده (کیلوگرم)],1):Main[[#This Row],[بدهی سررسید شده (کیلوگرم)]])</f>
        <v>0</v>
      </c>
      <c r="AE219" s="6">
        <f ca="1">IF(Main[[#This Row],[مانده در خط سررسید شده (کیلوگرم)]]&lt;&gt;0,Main[[#This Row],[تعداد کل روزهای بدهکار (روز)]],0)</f>
        <v>0</v>
      </c>
      <c r="AF219" s="6">
        <f ca="1">Main[[#This Row],[تعداد روزهای بدهکار سررسید شده (روز)]]*Main[[#This Row],[مانده در خط سررسید شده (کیلوگرم)]]</f>
        <v>0</v>
      </c>
    </row>
    <row r="220" spans="1:32" hidden="1" x14ac:dyDescent="0.35">
      <c r="A220" s="5">
        <f>ROW()-ROW(INDEX(Main[ردیف],1))+1</f>
        <v>218</v>
      </c>
      <c r="B220" s="31">
        <f>SUBTOTAL(2,INDEX(Main[ردیف],1):Main[[#This Row],[ردیف]])</f>
        <v>18</v>
      </c>
      <c r="C220" s="32" t="s">
        <v>523</v>
      </c>
      <c r="D220" s="32" t="str">
        <f>_xlfn.CONCAT("14",Main[[#This Row],[تاريخ]])</f>
        <v>1400/01/31</v>
      </c>
      <c r="E220" s="33">
        <v>44306</v>
      </c>
      <c r="F220" s="32">
        <v>30014</v>
      </c>
      <c r="G220" s="5" t="str">
        <f>INDEX(customer[عنوان],MATCH(Main[[#This Row],[کد ردیابی]],customer[کد],0))</f>
        <v>کلون</v>
      </c>
      <c r="H220">
        <v>760</v>
      </c>
      <c r="I220" s="6">
        <f ca="1">-Main[[#This Row],[بدهی تسویه شده (کیلوگرم)]]+Main[[#This Row],[بستانکار (کیلوگرم)]]</f>
        <v>760</v>
      </c>
      <c r="J220" s="6">
        <f>IF(Main[[#This Row],[مقدار (کیلوگرم)]]&gt;0,Main[[#This Row],[مقدار (کیلوگرم)]],0)</f>
        <v>760</v>
      </c>
      <c r="K220" s="6">
        <f>-IF(Main[[#This Row],[مقدار (کیلوگرم)]]&lt;0,Main[[#This Row],[مقدار (کیلوگرم)]],0)</f>
        <v>0</v>
      </c>
      <c r="L2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" s="7">
        <f>-IF(AND(Main[[#This Row],[مقدار (کیلوگرم)]]&lt;0,Main[[#This Row],[تاريخ میلادی]]&gt;44276),Main[[#This Row],[مقدار (کیلوگرم)]],0)</f>
        <v>0</v>
      </c>
      <c r="N220" s="6">
        <f ca="1">Main[[#This Row],[بدهکار (کیلوگرم)]]-Main[[#This Row],[بدهی تسویه نشده (کیلوگرم)]]</f>
        <v>0</v>
      </c>
      <c r="O220" s="6">
        <f ca="1">Main[[#This Row],[تفکیک]]</f>
        <v>0</v>
      </c>
      <c r="P220" s="6">
        <f ca="1">IF(Main[[#This Row],[تاخیر از سررسید]]&gt;0,Main[[#This Row],[بدهی تسویه نشده (کیلوگرم)]],0)</f>
        <v>0</v>
      </c>
      <c r="Q220" s="6">
        <f ca="1">IF(Main[[#This Row],[بدهی تسویه نشده (کیلوگرم)]]&gt;0,'گزارش فردی'!$B$7-Main[[#This Row],[تاريخ میلادی]],0)</f>
        <v>0</v>
      </c>
      <c r="R220" s="6">
        <f ca="1">IF(Main[[#This Row],[بدهی تسویه نشده (کیلوگرم)]]&gt;0,'گزارش فردی'!$B$7-Main[[#This Row],[تاريخ میلادی]]-'گزارش فردی'!$B$8,0)</f>
        <v>0</v>
      </c>
      <c r="S220" s="6">
        <f ca="1">Main[[#This Row],[روز از ارسال سفارش]]*Main[[#This Row],[بدهی تسویه نشده (کیلوگرم)]]</f>
        <v>0</v>
      </c>
      <c r="T220" s="6">
        <f ca="1">Main[[#This Row],[بدهی سررسید شده (کیلوگرم)]]*Main[[#This Row],[روز از ارسال سفارش]]</f>
        <v>0</v>
      </c>
      <c r="U220" s="6">
        <f>-SUBTOTAL(9,INDEX(Main[مقدار (کیلوگرم)],1):Main[[#This Row],[مقدار (کیلوگرم)]])</f>
        <v>35756</v>
      </c>
      <c r="V2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" s="6">
        <f>Main[[#This Row],[تعداد کل روزهای بدهکار (روز)]]*Main[[#This Row],[مانده در خط کل (کیلوگرم)]]</f>
        <v>0</v>
      </c>
      <c r="X220" s="6">
        <f ca="1">-SUBTOTAL(9,INDEX(Main[مقدار تسویه شده (کیلوگرم)],1):Main[[#This Row],[مقدار تسویه شده (کیلوگرم)]])</f>
        <v>35756</v>
      </c>
      <c r="Y220" s="6">
        <f ca="1">IF(Main[[#This Row],[مانده در خط تسویه شده (کیلوگرم)]]&lt;&gt;0,Main[[#This Row],[تعداد کل روزهای بدهکار (روز)]],0)</f>
        <v>0</v>
      </c>
      <c r="Z220" s="6">
        <f ca="1">Main[[#This Row],[تعداد روزهای بدهکار تسویه شده (روز)]]*Main[[#This Row],[مانده در خط تسویه شده (کیلوگرم)]]</f>
        <v>0</v>
      </c>
      <c r="AA220" s="6">
        <f ca="1">SUBTOTAL(9,INDEX(Main[بدهی تسویه نشده (کیلوگرم)],1):Main[[#This Row],[بدهی تسویه نشده (کیلوگرم)]])</f>
        <v>0</v>
      </c>
      <c r="AB220" s="6">
        <f ca="1">IF(Main[[#This Row],[مانده در خط تسویه نشده (کیلوگرم)]]&lt;&gt;0,Main[[#This Row],[تعداد کل روزهای بدهکار (روز)]],0)</f>
        <v>0</v>
      </c>
      <c r="AC220" s="6">
        <f ca="1">Main[[#This Row],[تعداد روزهای بدهکار  تسویه نشده (روز)]]*Main[[#This Row],[مانده در خط تسویه نشده (کیلوگرم)]]</f>
        <v>0</v>
      </c>
      <c r="AD220" s="6">
        <f ca="1">SUBTOTAL(9,INDEX(Main[بدهی سررسید شده (کیلوگرم)],1):Main[[#This Row],[بدهی سررسید شده (کیلوگرم)]])</f>
        <v>0</v>
      </c>
      <c r="AE220" s="6">
        <f ca="1">IF(Main[[#This Row],[مانده در خط سررسید شده (کیلوگرم)]]&lt;&gt;0,Main[[#This Row],[تعداد کل روزهای بدهکار (روز)]],0)</f>
        <v>0</v>
      </c>
      <c r="AF220" s="6">
        <f ca="1">Main[[#This Row],[تعداد روزهای بدهکار سررسید شده (روز)]]*Main[[#This Row],[مانده در خط سررسید شده (کیلوگرم)]]</f>
        <v>0</v>
      </c>
    </row>
    <row r="221" spans="1:32" hidden="1" x14ac:dyDescent="0.35">
      <c r="A221" s="5">
        <f>ROW()-ROW(INDEX(Main[ردیف],1))+1</f>
        <v>219</v>
      </c>
      <c r="B221" s="31">
        <f>SUBTOTAL(2,INDEX(Main[ردیف],1):Main[[#This Row],[ردیف]])</f>
        <v>18</v>
      </c>
      <c r="C221" s="32" t="s">
        <v>523</v>
      </c>
      <c r="D221" s="32" t="str">
        <f>_xlfn.CONCAT("14",Main[[#This Row],[تاريخ]])</f>
        <v>1400/01/31</v>
      </c>
      <c r="E221" s="33">
        <v>44306</v>
      </c>
      <c r="F221" s="32">
        <v>30174</v>
      </c>
      <c r="G221" s="5" t="str">
        <f>INDEX(customer[عنوان],MATCH(Main[[#This Row],[کد ردیابی]],customer[کد],0))</f>
        <v>شیرآلات مهرآرا</v>
      </c>
      <c r="H221">
        <v>-47</v>
      </c>
      <c r="I221" s="6">
        <f ca="1">-Main[[#This Row],[بدهی تسویه شده (کیلوگرم)]]+Main[[#This Row],[بستانکار (کیلوگرم)]]</f>
        <v>-47</v>
      </c>
      <c r="J221" s="6">
        <f>IF(Main[[#This Row],[مقدار (کیلوگرم)]]&gt;0,Main[[#This Row],[مقدار (کیلوگرم)]],0)</f>
        <v>0</v>
      </c>
      <c r="K221" s="6">
        <f>-IF(Main[[#This Row],[مقدار (کیلوگرم)]]&lt;0,Main[[#This Row],[مقدار (کیلوگرم)]],0)</f>
        <v>47</v>
      </c>
      <c r="L2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" s="7">
        <f>-IF(AND(Main[[#This Row],[مقدار (کیلوگرم)]]&lt;0,Main[[#This Row],[تاريخ میلادی]]&gt;44276),Main[[#This Row],[مقدار (کیلوگرم)]],0)</f>
        <v>47</v>
      </c>
      <c r="N221" s="6">
        <f ca="1">Main[[#This Row],[بدهکار (کیلوگرم)]]-Main[[#This Row],[بدهی تسویه نشده (کیلوگرم)]]</f>
        <v>47</v>
      </c>
      <c r="O221" s="6">
        <f ca="1">Main[[#This Row],[تفکیک]]</f>
        <v>0</v>
      </c>
      <c r="P221" s="6">
        <f ca="1">IF(Main[[#This Row],[تاخیر از سررسید]]&gt;0,Main[[#This Row],[بدهی تسویه نشده (کیلوگرم)]],0)</f>
        <v>0</v>
      </c>
      <c r="Q221" s="6">
        <f ca="1">IF(Main[[#This Row],[بدهی تسویه نشده (کیلوگرم)]]&gt;0,'گزارش فردی'!$B$7-Main[[#This Row],[تاريخ میلادی]],0)</f>
        <v>0</v>
      </c>
      <c r="R221" s="6">
        <f ca="1">IF(Main[[#This Row],[بدهی تسویه نشده (کیلوگرم)]]&gt;0,'گزارش فردی'!$B$7-Main[[#This Row],[تاريخ میلادی]]-'گزارش فردی'!$B$8,0)</f>
        <v>0</v>
      </c>
      <c r="S221" s="6">
        <f ca="1">Main[[#This Row],[روز از ارسال سفارش]]*Main[[#This Row],[بدهی تسویه نشده (کیلوگرم)]]</f>
        <v>0</v>
      </c>
      <c r="T221" s="6">
        <f ca="1">Main[[#This Row],[بدهی سررسید شده (کیلوگرم)]]*Main[[#This Row],[روز از ارسال سفارش]]</f>
        <v>0</v>
      </c>
      <c r="U221" s="6">
        <f>-SUBTOTAL(9,INDEX(Main[مقدار (کیلوگرم)],1):Main[[#This Row],[مقدار (کیلوگرم)]])</f>
        <v>35756</v>
      </c>
      <c r="V2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" s="6">
        <f>Main[[#This Row],[تعداد کل روزهای بدهکار (روز)]]*Main[[#This Row],[مانده در خط کل (کیلوگرم)]]</f>
        <v>0</v>
      </c>
      <c r="X221" s="6">
        <f ca="1">-SUBTOTAL(9,INDEX(Main[مقدار تسویه شده (کیلوگرم)],1):Main[[#This Row],[مقدار تسویه شده (کیلوگرم)]])</f>
        <v>35756</v>
      </c>
      <c r="Y221" s="6">
        <f ca="1">IF(Main[[#This Row],[مانده در خط تسویه شده (کیلوگرم)]]&lt;&gt;0,Main[[#This Row],[تعداد کل روزهای بدهکار (روز)]],0)</f>
        <v>0</v>
      </c>
      <c r="Z221" s="6">
        <f ca="1">Main[[#This Row],[تعداد روزهای بدهکار تسویه شده (روز)]]*Main[[#This Row],[مانده در خط تسویه شده (کیلوگرم)]]</f>
        <v>0</v>
      </c>
      <c r="AA221" s="6">
        <f ca="1">SUBTOTAL(9,INDEX(Main[بدهی تسویه نشده (کیلوگرم)],1):Main[[#This Row],[بدهی تسویه نشده (کیلوگرم)]])</f>
        <v>0</v>
      </c>
      <c r="AB221" s="6">
        <f ca="1">IF(Main[[#This Row],[مانده در خط تسویه نشده (کیلوگرم)]]&lt;&gt;0,Main[[#This Row],[تعداد کل روزهای بدهکار (روز)]],0)</f>
        <v>0</v>
      </c>
      <c r="AC221" s="6">
        <f ca="1">Main[[#This Row],[تعداد روزهای بدهکار  تسویه نشده (روز)]]*Main[[#This Row],[مانده در خط تسویه نشده (کیلوگرم)]]</f>
        <v>0</v>
      </c>
      <c r="AD221" s="6">
        <f ca="1">SUBTOTAL(9,INDEX(Main[بدهی سررسید شده (کیلوگرم)],1):Main[[#This Row],[بدهی سررسید شده (کیلوگرم)]])</f>
        <v>0</v>
      </c>
      <c r="AE221" s="6">
        <f ca="1">IF(Main[[#This Row],[مانده در خط سررسید شده (کیلوگرم)]]&lt;&gt;0,Main[[#This Row],[تعداد کل روزهای بدهکار (روز)]],0)</f>
        <v>0</v>
      </c>
      <c r="AF221" s="6">
        <f ca="1">Main[[#This Row],[تعداد روزهای بدهکار سررسید شده (روز)]]*Main[[#This Row],[مانده در خط سررسید شده (کیلوگرم)]]</f>
        <v>0</v>
      </c>
    </row>
    <row r="222" spans="1:32" hidden="1" x14ac:dyDescent="0.35">
      <c r="A222" s="5">
        <f>ROW()-ROW(INDEX(Main[ردیف],1))+1</f>
        <v>220</v>
      </c>
      <c r="B222" s="31">
        <f>SUBTOTAL(2,INDEX(Main[ردیف],1):Main[[#This Row],[ردیف]])</f>
        <v>18</v>
      </c>
      <c r="C222" s="32" t="s">
        <v>523</v>
      </c>
      <c r="D222" s="32" t="str">
        <f>_xlfn.CONCAT("14",Main[[#This Row],[تاريخ]])</f>
        <v>1400/01/31</v>
      </c>
      <c r="E222" s="33">
        <v>44306</v>
      </c>
      <c r="F222" s="32">
        <v>10028</v>
      </c>
      <c r="G222" s="5" t="str">
        <f>INDEX(customer[عنوان],MATCH(Main[[#This Row],[کد ردیابی]],customer[کد],0))</f>
        <v xml:space="preserve">احمد سنجری </v>
      </c>
      <c r="H222">
        <v>140</v>
      </c>
      <c r="I222" s="6">
        <f ca="1">-Main[[#This Row],[بدهی تسویه شده (کیلوگرم)]]+Main[[#This Row],[بستانکار (کیلوگرم)]]</f>
        <v>140</v>
      </c>
      <c r="J222" s="6">
        <f>IF(Main[[#This Row],[مقدار (کیلوگرم)]]&gt;0,Main[[#This Row],[مقدار (کیلوگرم)]],0)</f>
        <v>140</v>
      </c>
      <c r="K222" s="6">
        <f>-IF(Main[[#This Row],[مقدار (کیلوگرم)]]&lt;0,Main[[#This Row],[مقدار (کیلوگرم)]],0)</f>
        <v>0</v>
      </c>
      <c r="L2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" s="7">
        <f>-IF(AND(Main[[#This Row],[مقدار (کیلوگرم)]]&lt;0,Main[[#This Row],[تاريخ میلادی]]&gt;44276),Main[[#This Row],[مقدار (کیلوگرم)]],0)</f>
        <v>0</v>
      </c>
      <c r="N222" s="6">
        <f ca="1">Main[[#This Row],[بدهکار (کیلوگرم)]]-Main[[#This Row],[بدهی تسویه نشده (کیلوگرم)]]</f>
        <v>0</v>
      </c>
      <c r="O222" s="6">
        <f ca="1">Main[[#This Row],[تفکیک]]</f>
        <v>0</v>
      </c>
      <c r="P222" s="6">
        <f ca="1">IF(Main[[#This Row],[تاخیر از سررسید]]&gt;0,Main[[#This Row],[بدهی تسویه نشده (کیلوگرم)]],0)</f>
        <v>0</v>
      </c>
      <c r="Q222" s="6">
        <f ca="1">IF(Main[[#This Row],[بدهی تسویه نشده (کیلوگرم)]]&gt;0,'گزارش فردی'!$B$7-Main[[#This Row],[تاريخ میلادی]],0)</f>
        <v>0</v>
      </c>
      <c r="R222" s="6">
        <f ca="1">IF(Main[[#This Row],[بدهی تسویه نشده (کیلوگرم)]]&gt;0,'گزارش فردی'!$B$7-Main[[#This Row],[تاريخ میلادی]]-'گزارش فردی'!$B$8,0)</f>
        <v>0</v>
      </c>
      <c r="S222" s="6">
        <f ca="1">Main[[#This Row],[روز از ارسال سفارش]]*Main[[#This Row],[بدهی تسویه نشده (کیلوگرم)]]</f>
        <v>0</v>
      </c>
      <c r="T222" s="6">
        <f ca="1">Main[[#This Row],[بدهی سررسید شده (کیلوگرم)]]*Main[[#This Row],[روز از ارسال سفارش]]</f>
        <v>0</v>
      </c>
      <c r="U222" s="6">
        <f>-SUBTOTAL(9,INDEX(Main[مقدار (کیلوگرم)],1):Main[[#This Row],[مقدار (کیلوگرم)]])</f>
        <v>35756</v>
      </c>
      <c r="V2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" s="6">
        <f>Main[[#This Row],[تعداد کل روزهای بدهکار (روز)]]*Main[[#This Row],[مانده در خط کل (کیلوگرم)]]</f>
        <v>0</v>
      </c>
      <c r="X222" s="6">
        <f ca="1">-SUBTOTAL(9,INDEX(Main[مقدار تسویه شده (کیلوگرم)],1):Main[[#This Row],[مقدار تسویه شده (کیلوگرم)]])</f>
        <v>35756</v>
      </c>
      <c r="Y222" s="6">
        <f ca="1">IF(Main[[#This Row],[مانده در خط تسویه شده (کیلوگرم)]]&lt;&gt;0,Main[[#This Row],[تعداد کل روزهای بدهکار (روز)]],0)</f>
        <v>0</v>
      </c>
      <c r="Z222" s="6">
        <f ca="1">Main[[#This Row],[تعداد روزهای بدهکار تسویه شده (روز)]]*Main[[#This Row],[مانده در خط تسویه شده (کیلوگرم)]]</f>
        <v>0</v>
      </c>
      <c r="AA222" s="6">
        <f ca="1">SUBTOTAL(9,INDEX(Main[بدهی تسویه نشده (کیلوگرم)],1):Main[[#This Row],[بدهی تسویه نشده (کیلوگرم)]])</f>
        <v>0</v>
      </c>
      <c r="AB222" s="6">
        <f ca="1">IF(Main[[#This Row],[مانده در خط تسویه نشده (کیلوگرم)]]&lt;&gt;0,Main[[#This Row],[تعداد کل روزهای بدهکار (روز)]],0)</f>
        <v>0</v>
      </c>
      <c r="AC222" s="6">
        <f ca="1">Main[[#This Row],[تعداد روزهای بدهکار  تسویه نشده (روز)]]*Main[[#This Row],[مانده در خط تسویه نشده (کیلوگرم)]]</f>
        <v>0</v>
      </c>
      <c r="AD222" s="6">
        <f ca="1">SUBTOTAL(9,INDEX(Main[بدهی سررسید شده (کیلوگرم)],1):Main[[#This Row],[بدهی سررسید شده (کیلوگرم)]])</f>
        <v>0</v>
      </c>
      <c r="AE222" s="6">
        <f ca="1">IF(Main[[#This Row],[مانده در خط سررسید شده (کیلوگرم)]]&lt;&gt;0,Main[[#This Row],[تعداد کل روزهای بدهکار (روز)]],0)</f>
        <v>0</v>
      </c>
      <c r="AF222" s="6">
        <f ca="1">Main[[#This Row],[تعداد روزهای بدهکار سررسید شده (روز)]]*Main[[#This Row],[مانده در خط سررسید شده (کیلوگرم)]]</f>
        <v>0</v>
      </c>
    </row>
    <row r="223" spans="1:32" hidden="1" x14ac:dyDescent="0.35">
      <c r="A223" s="5">
        <f>ROW()-ROW(INDEX(Main[ردیف],1))+1</f>
        <v>221</v>
      </c>
      <c r="B223" s="31">
        <f>SUBTOTAL(2,INDEX(Main[ردیف],1):Main[[#This Row],[ردیف]])</f>
        <v>18</v>
      </c>
      <c r="C223" s="32" t="s">
        <v>523</v>
      </c>
      <c r="D223" s="32" t="str">
        <f>_xlfn.CONCAT("14",Main[[#This Row],[تاريخ]])</f>
        <v>1400/01/31</v>
      </c>
      <c r="E223" s="33">
        <v>44306</v>
      </c>
      <c r="F223" s="32">
        <v>30014</v>
      </c>
      <c r="G223" s="5" t="str">
        <f>INDEX(customer[عنوان],MATCH(Main[[#This Row],[کد ردیابی]],customer[کد],0))</f>
        <v>کلون</v>
      </c>
      <c r="H223">
        <v>-3992</v>
      </c>
      <c r="I223" s="6">
        <f ca="1">-Main[[#This Row],[بدهی تسویه شده (کیلوگرم)]]+Main[[#This Row],[بستانکار (کیلوگرم)]]</f>
        <v>-3992</v>
      </c>
      <c r="J223" s="6">
        <f>IF(Main[[#This Row],[مقدار (کیلوگرم)]]&gt;0,Main[[#This Row],[مقدار (کیلوگرم)]],0)</f>
        <v>0</v>
      </c>
      <c r="K223" s="6">
        <f>-IF(Main[[#This Row],[مقدار (کیلوگرم)]]&lt;0,Main[[#This Row],[مقدار (کیلوگرم)]],0)</f>
        <v>3992</v>
      </c>
      <c r="L2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" s="7">
        <f>-IF(AND(Main[[#This Row],[مقدار (کیلوگرم)]]&lt;0,Main[[#This Row],[تاريخ میلادی]]&gt;44276),Main[[#This Row],[مقدار (کیلوگرم)]],0)</f>
        <v>3992</v>
      </c>
      <c r="N223" s="6">
        <f ca="1">Main[[#This Row],[بدهکار (کیلوگرم)]]-Main[[#This Row],[بدهی تسویه نشده (کیلوگرم)]]</f>
        <v>3992</v>
      </c>
      <c r="O223" s="6">
        <f ca="1">Main[[#This Row],[تفکیک]]</f>
        <v>0</v>
      </c>
      <c r="P223" s="6">
        <f ca="1">IF(Main[[#This Row],[تاخیر از سررسید]]&gt;0,Main[[#This Row],[بدهی تسویه نشده (کیلوگرم)]],0)</f>
        <v>0</v>
      </c>
      <c r="Q223" s="6">
        <f ca="1">IF(Main[[#This Row],[بدهی تسویه نشده (کیلوگرم)]]&gt;0,'گزارش فردی'!$B$7-Main[[#This Row],[تاريخ میلادی]],0)</f>
        <v>0</v>
      </c>
      <c r="R223" s="6">
        <f ca="1">IF(Main[[#This Row],[بدهی تسویه نشده (کیلوگرم)]]&gt;0,'گزارش فردی'!$B$7-Main[[#This Row],[تاريخ میلادی]]-'گزارش فردی'!$B$8,0)</f>
        <v>0</v>
      </c>
      <c r="S223" s="6">
        <f ca="1">Main[[#This Row],[روز از ارسال سفارش]]*Main[[#This Row],[بدهی تسویه نشده (کیلوگرم)]]</f>
        <v>0</v>
      </c>
      <c r="T223" s="6">
        <f ca="1">Main[[#This Row],[بدهی سررسید شده (کیلوگرم)]]*Main[[#This Row],[روز از ارسال سفارش]]</f>
        <v>0</v>
      </c>
      <c r="U223" s="6">
        <f>-SUBTOTAL(9,INDEX(Main[مقدار (کیلوگرم)],1):Main[[#This Row],[مقدار (کیلوگرم)]])</f>
        <v>35756</v>
      </c>
      <c r="V2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" s="6">
        <f>Main[[#This Row],[تعداد کل روزهای بدهکار (روز)]]*Main[[#This Row],[مانده در خط کل (کیلوگرم)]]</f>
        <v>0</v>
      </c>
      <c r="X223" s="6">
        <f ca="1">-SUBTOTAL(9,INDEX(Main[مقدار تسویه شده (کیلوگرم)],1):Main[[#This Row],[مقدار تسویه شده (کیلوگرم)]])</f>
        <v>35756</v>
      </c>
      <c r="Y223" s="6">
        <f ca="1">IF(Main[[#This Row],[مانده در خط تسویه شده (کیلوگرم)]]&lt;&gt;0,Main[[#This Row],[تعداد کل روزهای بدهکار (روز)]],0)</f>
        <v>0</v>
      </c>
      <c r="Z223" s="6">
        <f ca="1">Main[[#This Row],[تعداد روزهای بدهکار تسویه شده (روز)]]*Main[[#This Row],[مانده در خط تسویه شده (کیلوگرم)]]</f>
        <v>0</v>
      </c>
      <c r="AA223" s="6">
        <f ca="1">SUBTOTAL(9,INDEX(Main[بدهی تسویه نشده (کیلوگرم)],1):Main[[#This Row],[بدهی تسویه نشده (کیلوگرم)]])</f>
        <v>0</v>
      </c>
      <c r="AB223" s="6">
        <f ca="1">IF(Main[[#This Row],[مانده در خط تسویه نشده (کیلوگرم)]]&lt;&gt;0,Main[[#This Row],[تعداد کل روزهای بدهکار (روز)]],0)</f>
        <v>0</v>
      </c>
      <c r="AC223" s="6">
        <f ca="1">Main[[#This Row],[تعداد روزهای بدهکار  تسویه نشده (روز)]]*Main[[#This Row],[مانده در خط تسویه نشده (کیلوگرم)]]</f>
        <v>0</v>
      </c>
      <c r="AD223" s="6">
        <f ca="1">SUBTOTAL(9,INDEX(Main[بدهی سررسید شده (کیلوگرم)],1):Main[[#This Row],[بدهی سررسید شده (کیلوگرم)]])</f>
        <v>0</v>
      </c>
      <c r="AE223" s="6">
        <f ca="1">IF(Main[[#This Row],[مانده در خط سررسید شده (کیلوگرم)]]&lt;&gt;0,Main[[#This Row],[تعداد کل روزهای بدهکار (روز)]],0)</f>
        <v>0</v>
      </c>
      <c r="AF223" s="6">
        <f ca="1">Main[[#This Row],[تعداد روزهای بدهکار سررسید شده (روز)]]*Main[[#This Row],[مانده در خط سررسید شده (کیلوگرم)]]</f>
        <v>0</v>
      </c>
    </row>
    <row r="224" spans="1:32" hidden="1" x14ac:dyDescent="0.35">
      <c r="A224" s="5">
        <f>ROW()-ROW(INDEX(Main[ردیف],1))+1</f>
        <v>222</v>
      </c>
      <c r="B224" s="31">
        <f>SUBTOTAL(2,INDEX(Main[ردیف],1):Main[[#This Row],[ردیف]])</f>
        <v>18</v>
      </c>
      <c r="C224" s="32" t="s">
        <v>523</v>
      </c>
      <c r="D224" s="32" t="str">
        <f>_xlfn.CONCAT("14",Main[[#This Row],[تاريخ]])</f>
        <v>1400/01/31</v>
      </c>
      <c r="E224" s="33">
        <v>44306</v>
      </c>
      <c r="F224" s="32">
        <v>30174</v>
      </c>
      <c r="G224" s="5" t="str">
        <f>INDEX(customer[عنوان],MATCH(Main[[#This Row],[کد ردیابی]],customer[کد],0))</f>
        <v>شیرآلات مهرآرا</v>
      </c>
      <c r="H224">
        <v>176</v>
      </c>
      <c r="I224" s="6">
        <f ca="1">-Main[[#This Row],[بدهی تسویه شده (کیلوگرم)]]+Main[[#This Row],[بستانکار (کیلوگرم)]]</f>
        <v>176</v>
      </c>
      <c r="J224" s="6">
        <f>IF(Main[[#This Row],[مقدار (کیلوگرم)]]&gt;0,Main[[#This Row],[مقدار (کیلوگرم)]],0)</f>
        <v>176</v>
      </c>
      <c r="K224" s="6">
        <f>-IF(Main[[#This Row],[مقدار (کیلوگرم)]]&lt;0,Main[[#This Row],[مقدار (کیلوگرم)]],0)</f>
        <v>0</v>
      </c>
      <c r="L2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" s="7">
        <f>-IF(AND(Main[[#This Row],[مقدار (کیلوگرم)]]&lt;0,Main[[#This Row],[تاريخ میلادی]]&gt;44276),Main[[#This Row],[مقدار (کیلوگرم)]],0)</f>
        <v>0</v>
      </c>
      <c r="N224" s="6">
        <f ca="1">Main[[#This Row],[بدهکار (کیلوگرم)]]-Main[[#This Row],[بدهی تسویه نشده (کیلوگرم)]]</f>
        <v>0</v>
      </c>
      <c r="O224" s="6">
        <f ca="1">Main[[#This Row],[تفکیک]]</f>
        <v>0</v>
      </c>
      <c r="P224" s="6">
        <f ca="1">IF(Main[[#This Row],[تاخیر از سررسید]]&gt;0,Main[[#This Row],[بدهی تسویه نشده (کیلوگرم)]],0)</f>
        <v>0</v>
      </c>
      <c r="Q224" s="6">
        <f ca="1">IF(Main[[#This Row],[بدهی تسویه نشده (کیلوگرم)]]&gt;0,'گزارش فردی'!$B$7-Main[[#This Row],[تاريخ میلادی]],0)</f>
        <v>0</v>
      </c>
      <c r="R224" s="6">
        <f ca="1">IF(Main[[#This Row],[بدهی تسویه نشده (کیلوگرم)]]&gt;0,'گزارش فردی'!$B$7-Main[[#This Row],[تاريخ میلادی]]-'گزارش فردی'!$B$8,0)</f>
        <v>0</v>
      </c>
      <c r="S224" s="6">
        <f ca="1">Main[[#This Row],[روز از ارسال سفارش]]*Main[[#This Row],[بدهی تسویه نشده (کیلوگرم)]]</f>
        <v>0</v>
      </c>
      <c r="T224" s="6">
        <f ca="1">Main[[#This Row],[بدهی سررسید شده (کیلوگرم)]]*Main[[#This Row],[روز از ارسال سفارش]]</f>
        <v>0</v>
      </c>
      <c r="U224" s="6">
        <f>-SUBTOTAL(9,INDEX(Main[مقدار (کیلوگرم)],1):Main[[#This Row],[مقدار (کیلوگرم)]])</f>
        <v>35756</v>
      </c>
      <c r="V2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4" s="6">
        <f>Main[[#This Row],[تعداد کل روزهای بدهکار (روز)]]*Main[[#This Row],[مانده در خط کل (کیلوگرم)]]</f>
        <v>0</v>
      </c>
      <c r="X224" s="6">
        <f ca="1">-SUBTOTAL(9,INDEX(Main[مقدار تسویه شده (کیلوگرم)],1):Main[[#This Row],[مقدار تسویه شده (کیلوگرم)]])</f>
        <v>35756</v>
      </c>
      <c r="Y224" s="6">
        <f ca="1">IF(Main[[#This Row],[مانده در خط تسویه شده (کیلوگرم)]]&lt;&gt;0,Main[[#This Row],[تعداد کل روزهای بدهکار (روز)]],0)</f>
        <v>0</v>
      </c>
      <c r="Z224" s="6">
        <f ca="1">Main[[#This Row],[تعداد روزهای بدهکار تسویه شده (روز)]]*Main[[#This Row],[مانده در خط تسویه شده (کیلوگرم)]]</f>
        <v>0</v>
      </c>
      <c r="AA224" s="6">
        <f ca="1">SUBTOTAL(9,INDEX(Main[بدهی تسویه نشده (کیلوگرم)],1):Main[[#This Row],[بدهی تسویه نشده (کیلوگرم)]])</f>
        <v>0</v>
      </c>
      <c r="AB224" s="6">
        <f ca="1">IF(Main[[#This Row],[مانده در خط تسویه نشده (کیلوگرم)]]&lt;&gt;0,Main[[#This Row],[تعداد کل روزهای بدهکار (روز)]],0)</f>
        <v>0</v>
      </c>
      <c r="AC224" s="6">
        <f ca="1">Main[[#This Row],[تعداد روزهای بدهکار  تسویه نشده (روز)]]*Main[[#This Row],[مانده در خط تسویه نشده (کیلوگرم)]]</f>
        <v>0</v>
      </c>
      <c r="AD224" s="6">
        <f ca="1">SUBTOTAL(9,INDEX(Main[بدهی سررسید شده (کیلوگرم)],1):Main[[#This Row],[بدهی سررسید شده (کیلوگرم)]])</f>
        <v>0</v>
      </c>
      <c r="AE224" s="6">
        <f ca="1">IF(Main[[#This Row],[مانده در خط سررسید شده (کیلوگرم)]]&lt;&gt;0,Main[[#This Row],[تعداد کل روزهای بدهکار (روز)]],0)</f>
        <v>0</v>
      </c>
      <c r="AF224" s="6">
        <f ca="1">Main[[#This Row],[تعداد روزهای بدهکار سررسید شده (روز)]]*Main[[#This Row],[مانده در خط سررسید شده (کیلوگرم)]]</f>
        <v>0</v>
      </c>
    </row>
    <row r="225" spans="1:32" x14ac:dyDescent="0.35">
      <c r="A225" s="5">
        <f>ROW()-ROW(INDEX(Main[ردیف],1))+1</f>
        <v>223</v>
      </c>
      <c r="B225" s="31">
        <f>SUBTOTAL(2,INDEX(Main[ردیف],1):Main[[#This Row],[ردیف]])</f>
        <v>19</v>
      </c>
      <c r="C225" s="32" t="s">
        <v>523</v>
      </c>
      <c r="D225" s="32" t="str">
        <f>_xlfn.CONCAT("14",Main[[#This Row],[تاريخ]])</f>
        <v>1400/01/31</v>
      </c>
      <c r="E225" s="33">
        <v>44306</v>
      </c>
      <c r="F225" s="32">
        <v>10003</v>
      </c>
      <c r="G225" s="5" t="str">
        <f>INDEX(customer[عنوان],MATCH(Main[[#This Row],[کد ردیابی]],customer[کد],0))</f>
        <v>اصغر نورعلی</v>
      </c>
      <c r="H225">
        <v>-3794</v>
      </c>
      <c r="I225" s="6">
        <f ca="1">-Main[[#This Row],[بدهی تسویه شده (کیلوگرم)]]+Main[[#This Row],[بستانکار (کیلوگرم)]]</f>
        <v>-3794</v>
      </c>
      <c r="J225" s="6">
        <f>IF(Main[[#This Row],[مقدار (کیلوگرم)]]&gt;0,Main[[#This Row],[مقدار (کیلوگرم)]],0)</f>
        <v>0</v>
      </c>
      <c r="K225" s="6">
        <f>-IF(Main[[#This Row],[مقدار (کیلوگرم)]]&lt;0,Main[[#This Row],[مقدار (کیلوگرم)]],0)</f>
        <v>3794</v>
      </c>
      <c r="L2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" s="7">
        <f>-IF(AND(Main[[#This Row],[مقدار (کیلوگرم)]]&lt;0,Main[[#This Row],[تاريخ میلادی]]&gt;44276),Main[[#This Row],[مقدار (کیلوگرم)]],0)</f>
        <v>3794</v>
      </c>
      <c r="N225" s="6">
        <f ca="1">Main[[#This Row],[بدهکار (کیلوگرم)]]-Main[[#This Row],[بدهی تسویه نشده (کیلوگرم)]]</f>
        <v>3794</v>
      </c>
      <c r="O225" s="6">
        <f ca="1">Main[[#This Row],[تفکیک]]</f>
        <v>0</v>
      </c>
      <c r="P225" s="6">
        <f ca="1">IF(Main[[#This Row],[تاخیر از سررسید]]&gt;0,Main[[#This Row],[بدهی تسویه نشده (کیلوگرم)]],0)</f>
        <v>0</v>
      </c>
      <c r="Q225" s="6">
        <f ca="1">IF(Main[[#This Row],[بدهی تسویه نشده (کیلوگرم)]]&gt;0,'گزارش فردی'!$B$7-Main[[#This Row],[تاريخ میلادی]],0)</f>
        <v>0</v>
      </c>
      <c r="R225" s="6">
        <f ca="1">IF(Main[[#This Row],[بدهی تسویه نشده (کیلوگرم)]]&gt;0,'گزارش فردی'!$B$7-Main[[#This Row],[تاريخ میلادی]]-'گزارش فردی'!$B$8,0)</f>
        <v>0</v>
      </c>
      <c r="S225" s="6">
        <f ca="1">Main[[#This Row],[روز از ارسال سفارش]]*Main[[#This Row],[بدهی تسویه نشده (کیلوگرم)]]</f>
        <v>0</v>
      </c>
      <c r="T225" s="6">
        <f ca="1">Main[[#This Row],[بدهی سررسید شده (کیلوگرم)]]*Main[[#This Row],[روز از ارسال سفارش]]</f>
        <v>0</v>
      </c>
      <c r="U225" s="6">
        <f>-SUBTOTAL(9,INDEX(Main[مقدار (کیلوگرم)],1):Main[[#This Row],[مقدار (کیلوگرم)]])</f>
        <v>39550</v>
      </c>
      <c r="V2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5" s="6">
        <f>Main[[#This Row],[تعداد کل روزهای بدهکار (روز)]]*Main[[#This Row],[مانده در خط کل (کیلوگرم)]]</f>
        <v>79100</v>
      </c>
      <c r="X225" s="6">
        <f ca="1">-SUBTOTAL(9,INDEX(Main[مقدار تسویه شده (کیلوگرم)],1):Main[[#This Row],[مقدار تسویه شده (کیلوگرم)]])</f>
        <v>39550</v>
      </c>
      <c r="Y225" s="6">
        <f ca="1">IF(Main[[#This Row],[مانده در خط تسویه شده (کیلوگرم)]]&lt;&gt;0,Main[[#This Row],[تعداد کل روزهای بدهکار (روز)]],0)</f>
        <v>2</v>
      </c>
      <c r="Z225" s="6">
        <f ca="1">Main[[#This Row],[تعداد روزهای بدهکار تسویه شده (روز)]]*Main[[#This Row],[مانده در خط تسویه شده (کیلوگرم)]]</f>
        <v>79100</v>
      </c>
      <c r="AA225" s="6">
        <f ca="1">SUBTOTAL(9,INDEX(Main[بدهی تسویه نشده (کیلوگرم)],1):Main[[#This Row],[بدهی تسویه نشده (کیلوگرم)]])</f>
        <v>0</v>
      </c>
      <c r="AB225" s="6">
        <f ca="1">IF(Main[[#This Row],[مانده در خط تسویه نشده (کیلوگرم)]]&lt;&gt;0,Main[[#This Row],[تعداد کل روزهای بدهکار (روز)]],0)</f>
        <v>0</v>
      </c>
      <c r="AC225" s="6">
        <f ca="1">Main[[#This Row],[تعداد روزهای بدهکار  تسویه نشده (روز)]]*Main[[#This Row],[مانده در خط تسویه نشده (کیلوگرم)]]</f>
        <v>0</v>
      </c>
      <c r="AD225" s="6">
        <f ca="1">SUBTOTAL(9,INDEX(Main[بدهی سررسید شده (کیلوگرم)],1):Main[[#This Row],[بدهی سررسید شده (کیلوگرم)]])</f>
        <v>0</v>
      </c>
      <c r="AE225" s="6">
        <f ca="1">IF(Main[[#This Row],[مانده در خط سررسید شده (کیلوگرم)]]&lt;&gt;0,Main[[#This Row],[تعداد کل روزهای بدهکار (روز)]],0)</f>
        <v>0</v>
      </c>
      <c r="AF225" s="6">
        <f ca="1">Main[[#This Row],[تعداد روزهای بدهکار سررسید شده (روز)]]*Main[[#This Row],[مانده در خط سررسید شده (کیلوگرم)]]</f>
        <v>0</v>
      </c>
    </row>
    <row r="226" spans="1:32" hidden="1" x14ac:dyDescent="0.35">
      <c r="A226" s="5">
        <f>ROW()-ROW(INDEX(Main[ردیف],1))+1</f>
        <v>224</v>
      </c>
      <c r="B226" s="31">
        <f>SUBTOTAL(2,INDEX(Main[ردیف],1):Main[[#This Row],[ردیف]])</f>
        <v>19</v>
      </c>
      <c r="C226" s="32" t="s">
        <v>523</v>
      </c>
      <c r="D226" s="32" t="str">
        <f>_xlfn.CONCAT("14",Main[[#This Row],[تاريخ]])</f>
        <v>1400/01/31</v>
      </c>
      <c r="E226" s="33">
        <v>44306</v>
      </c>
      <c r="F226" s="32">
        <v>30009</v>
      </c>
      <c r="G226" s="5" t="str">
        <f>INDEX(customer[عنوان],MATCH(Main[[#This Row],[کد ردیابی]],customer[کد],0))</f>
        <v>شرکت ایمن تک پیشرو</v>
      </c>
      <c r="H226">
        <v>902</v>
      </c>
      <c r="I226" s="6">
        <f ca="1">-Main[[#This Row],[بدهی تسویه شده (کیلوگرم)]]+Main[[#This Row],[بستانکار (کیلوگرم)]]</f>
        <v>902</v>
      </c>
      <c r="J226" s="6">
        <f>IF(Main[[#This Row],[مقدار (کیلوگرم)]]&gt;0,Main[[#This Row],[مقدار (کیلوگرم)]],0)</f>
        <v>902</v>
      </c>
      <c r="K226" s="6">
        <f>-IF(Main[[#This Row],[مقدار (کیلوگرم)]]&lt;0,Main[[#This Row],[مقدار (کیلوگرم)]],0)</f>
        <v>0</v>
      </c>
      <c r="L2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" s="7">
        <f>-IF(AND(Main[[#This Row],[مقدار (کیلوگرم)]]&lt;0,Main[[#This Row],[تاريخ میلادی]]&gt;44276),Main[[#This Row],[مقدار (کیلوگرم)]],0)</f>
        <v>0</v>
      </c>
      <c r="N226" s="6">
        <f ca="1">Main[[#This Row],[بدهکار (کیلوگرم)]]-Main[[#This Row],[بدهی تسویه نشده (کیلوگرم)]]</f>
        <v>0</v>
      </c>
      <c r="O226" s="6">
        <f ca="1">Main[[#This Row],[تفکیک]]</f>
        <v>0</v>
      </c>
      <c r="P226" s="6">
        <f ca="1">IF(Main[[#This Row],[تاخیر از سررسید]]&gt;0,Main[[#This Row],[بدهی تسویه نشده (کیلوگرم)]],0)</f>
        <v>0</v>
      </c>
      <c r="Q226" s="6">
        <f ca="1">IF(Main[[#This Row],[بدهی تسویه نشده (کیلوگرم)]]&gt;0,'گزارش فردی'!$B$7-Main[[#This Row],[تاريخ میلادی]],0)</f>
        <v>0</v>
      </c>
      <c r="R226" s="6">
        <f ca="1">IF(Main[[#This Row],[بدهی تسویه نشده (کیلوگرم)]]&gt;0,'گزارش فردی'!$B$7-Main[[#This Row],[تاريخ میلادی]]-'گزارش فردی'!$B$8,0)</f>
        <v>0</v>
      </c>
      <c r="S226" s="6">
        <f ca="1">Main[[#This Row],[روز از ارسال سفارش]]*Main[[#This Row],[بدهی تسویه نشده (کیلوگرم)]]</f>
        <v>0</v>
      </c>
      <c r="T226" s="6">
        <f ca="1">Main[[#This Row],[بدهی سررسید شده (کیلوگرم)]]*Main[[#This Row],[روز از ارسال سفارش]]</f>
        <v>0</v>
      </c>
      <c r="U226" s="6">
        <f>-SUBTOTAL(9,INDEX(Main[مقدار (کیلوگرم)],1):Main[[#This Row],[مقدار (کیلوگرم)]])</f>
        <v>39550</v>
      </c>
      <c r="V2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6" s="6">
        <f>Main[[#This Row],[تعداد کل روزهای بدهکار (روز)]]*Main[[#This Row],[مانده در خط کل (کیلوگرم)]]</f>
        <v>79100</v>
      </c>
      <c r="X226" s="6">
        <f ca="1">-SUBTOTAL(9,INDEX(Main[مقدار تسویه شده (کیلوگرم)],1):Main[[#This Row],[مقدار تسویه شده (کیلوگرم)]])</f>
        <v>39550</v>
      </c>
      <c r="Y226" s="6">
        <f ca="1">IF(Main[[#This Row],[مانده در خط تسویه شده (کیلوگرم)]]&lt;&gt;0,Main[[#This Row],[تعداد کل روزهای بدهکار (روز)]],0)</f>
        <v>2</v>
      </c>
      <c r="Z226" s="6">
        <f ca="1">Main[[#This Row],[تعداد روزهای بدهکار تسویه شده (روز)]]*Main[[#This Row],[مانده در خط تسویه شده (کیلوگرم)]]</f>
        <v>79100</v>
      </c>
      <c r="AA226" s="6">
        <f ca="1">SUBTOTAL(9,INDEX(Main[بدهی تسویه نشده (کیلوگرم)],1):Main[[#This Row],[بدهی تسویه نشده (کیلوگرم)]])</f>
        <v>0</v>
      </c>
      <c r="AB226" s="6">
        <f ca="1">IF(Main[[#This Row],[مانده در خط تسویه نشده (کیلوگرم)]]&lt;&gt;0,Main[[#This Row],[تعداد کل روزهای بدهکار (روز)]],0)</f>
        <v>0</v>
      </c>
      <c r="AC226" s="6">
        <f ca="1">Main[[#This Row],[تعداد روزهای بدهکار  تسویه نشده (روز)]]*Main[[#This Row],[مانده در خط تسویه نشده (کیلوگرم)]]</f>
        <v>0</v>
      </c>
      <c r="AD226" s="6">
        <f ca="1">SUBTOTAL(9,INDEX(Main[بدهی سررسید شده (کیلوگرم)],1):Main[[#This Row],[بدهی سررسید شده (کیلوگرم)]])</f>
        <v>0</v>
      </c>
      <c r="AE226" s="6">
        <f ca="1">IF(Main[[#This Row],[مانده در خط سررسید شده (کیلوگرم)]]&lt;&gt;0,Main[[#This Row],[تعداد کل روزهای بدهکار (روز)]],0)</f>
        <v>0</v>
      </c>
      <c r="AF226" s="6">
        <f ca="1">Main[[#This Row],[تعداد روزهای بدهکار سررسید شده (روز)]]*Main[[#This Row],[مانده در خط سررسید شده (کیلوگرم)]]</f>
        <v>0</v>
      </c>
    </row>
    <row r="227" spans="1:32" hidden="1" x14ac:dyDescent="0.35">
      <c r="A227" s="5">
        <f>ROW()-ROW(INDEX(Main[ردیف],1))+1</f>
        <v>225</v>
      </c>
      <c r="B227" s="31">
        <f>SUBTOTAL(2,INDEX(Main[ردیف],1):Main[[#This Row],[ردیف]])</f>
        <v>19</v>
      </c>
      <c r="C227" s="32" t="s">
        <v>523</v>
      </c>
      <c r="D227" s="32" t="str">
        <f>_xlfn.CONCAT("14",Main[[#This Row],[تاريخ]])</f>
        <v>1400/01/31</v>
      </c>
      <c r="E227" s="33">
        <v>44306</v>
      </c>
      <c r="F227" s="32">
        <v>10028</v>
      </c>
      <c r="G227" s="5" t="str">
        <f>INDEX(customer[عنوان],MATCH(Main[[#This Row],[کد ردیابی]],customer[کد],0))</f>
        <v xml:space="preserve">احمد سنجری </v>
      </c>
      <c r="H227">
        <v>-140</v>
      </c>
      <c r="I227" s="6">
        <f ca="1">-Main[[#This Row],[بدهی تسویه شده (کیلوگرم)]]+Main[[#This Row],[بستانکار (کیلوگرم)]]</f>
        <v>-140</v>
      </c>
      <c r="J227" s="6">
        <f>IF(Main[[#This Row],[مقدار (کیلوگرم)]]&gt;0,Main[[#This Row],[مقدار (کیلوگرم)]],0)</f>
        <v>0</v>
      </c>
      <c r="K227" s="6">
        <f>-IF(Main[[#This Row],[مقدار (کیلوگرم)]]&lt;0,Main[[#This Row],[مقدار (کیلوگرم)]],0)</f>
        <v>140</v>
      </c>
      <c r="L2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" s="7">
        <f>-IF(AND(Main[[#This Row],[مقدار (کیلوگرم)]]&lt;0,Main[[#This Row],[تاريخ میلادی]]&gt;44276),Main[[#This Row],[مقدار (کیلوگرم)]],0)</f>
        <v>140</v>
      </c>
      <c r="N227" s="6">
        <f ca="1">Main[[#This Row],[بدهکار (کیلوگرم)]]-Main[[#This Row],[بدهی تسویه نشده (کیلوگرم)]]</f>
        <v>140</v>
      </c>
      <c r="O227" s="6">
        <f ca="1">Main[[#This Row],[تفکیک]]</f>
        <v>0</v>
      </c>
      <c r="P227" s="6">
        <f ca="1">IF(Main[[#This Row],[تاخیر از سررسید]]&gt;0,Main[[#This Row],[بدهی تسویه نشده (کیلوگرم)]],0)</f>
        <v>0</v>
      </c>
      <c r="Q227" s="6">
        <f ca="1">IF(Main[[#This Row],[بدهی تسویه نشده (کیلوگرم)]]&gt;0,'گزارش فردی'!$B$7-Main[[#This Row],[تاريخ میلادی]],0)</f>
        <v>0</v>
      </c>
      <c r="R227" s="6">
        <f ca="1">IF(Main[[#This Row],[بدهی تسویه نشده (کیلوگرم)]]&gt;0,'گزارش فردی'!$B$7-Main[[#This Row],[تاريخ میلادی]]-'گزارش فردی'!$B$8,0)</f>
        <v>0</v>
      </c>
      <c r="S227" s="6">
        <f ca="1">Main[[#This Row],[روز از ارسال سفارش]]*Main[[#This Row],[بدهی تسویه نشده (کیلوگرم)]]</f>
        <v>0</v>
      </c>
      <c r="T227" s="6">
        <f ca="1">Main[[#This Row],[بدهی سررسید شده (کیلوگرم)]]*Main[[#This Row],[روز از ارسال سفارش]]</f>
        <v>0</v>
      </c>
      <c r="U227" s="6">
        <f>-SUBTOTAL(9,INDEX(Main[مقدار (کیلوگرم)],1):Main[[#This Row],[مقدار (کیلوگرم)]])</f>
        <v>39550</v>
      </c>
      <c r="V2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7" s="6">
        <f>Main[[#This Row],[تعداد کل روزهای بدهکار (روز)]]*Main[[#This Row],[مانده در خط کل (کیلوگرم)]]</f>
        <v>79100</v>
      </c>
      <c r="X227" s="6">
        <f ca="1">-SUBTOTAL(9,INDEX(Main[مقدار تسویه شده (کیلوگرم)],1):Main[[#This Row],[مقدار تسویه شده (کیلوگرم)]])</f>
        <v>39550</v>
      </c>
      <c r="Y227" s="6">
        <f ca="1">IF(Main[[#This Row],[مانده در خط تسویه شده (کیلوگرم)]]&lt;&gt;0,Main[[#This Row],[تعداد کل روزهای بدهکار (روز)]],0)</f>
        <v>2</v>
      </c>
      <c r="Z227" s="6">
        <f ca="1">Main[[#This Row],[تعداد روزهای بدهکار تسویه شده (روز)]]*Main[[#This Row],[مانده در خط تسویه شده (کیلوگرم)]]</f>
        <v>79100</v>
      </c>
      <c r="AA227" s="6">
        <f ca="1">SUBTOTAL(9,INDEX(Main[بدهی تسویه نشده (کیلوگرم)],1):Main[[#This Row],[بدهی تسویه نشده (کیلوگرم)]])</f>
        <v>0</v>
      </c>
      <c r="AB227" s="6">
        <f ca="1">IF(Main[[#This Row],[مانده در خط تسویه نشده (کیلوگرم)]]&lt;&gt;0,Main[[#This Row],[تعداد کل روزهای بدهکار (روز)]],0)</f>
        <v>0</v>
      </c>
      <c r="AC227" s="6">
        <f ca="1">Main[[#This Row],[تعداد روزهای بدهکار  تسویه نشده (روز)]]*Main[[#This Row],[مانده در خط تسویه نشده (کیلوگرم)]]</f>
        <v>0</v>
      </c>
      <c r="AD227" s="6">
        <f ca="1">SUBTOTAL(9,INDEX(Main[بدهی سررسید شده (کیلوگرم)],1):Main[[#This Row],[بدهی سررسید شده (کیلوگرم)]])</f>
        <v>0</v>
      </c>
      <c r="AE227" s="6">
        <f ca="1">IF(Main[[#This Row],[مانده در خط سررسید شده (کیلوگرم)]]&lt;&gt;0,Main[[#This Row],[تعداد کل روزهای بدهکار (روز)]],0)</f>
        <v>0</v>
      </c>
      <c r="AF227" s="6">
        <f ca="1">Main[[#This Row],[تعداد روزهای بدهکار سررسید شده (روز)]]*Main[[#This Row],[مانده در خط سررسید شده (کیلوگرم)]]</f>
        <v>0</v>
      </c>
    </row>
    <row r="228" spans="1:32" hidden="1" x14ac:dyDescent="0.35">
      <c r="A228" s="5">
        <f>ROW()-ROW(INDEX(Main[ردیف],1))+1</f>
        <v>226</v>
      </c>
      <c r="B228" s="31">
        <f>SUBTOTAL(2,INDEX(Main[ردیف],1):Main[[#This Row],[ردیف]])</f>
        <v>19</v>
      </c>
      <c r="C228" s="32" t="s">
        <v>523</v>
      </c>
      <c r="D228" s="32" t="str">
        <f>_xlfn.CONCAT("14",Main[[#This Row],[تاريخ]])</f>
        <v>1400/01/31</v>
      </c>
      <c r="E228" s="33">
        <v>44306</v>
      </c>
      <c r="F228" s="32">
        <v>10055</v>
      </c>
      <c r="G228" s="5" t="str">
        <f>INDEX(customer[عنوان],MATCH(Main[[#This Row],[کد ردیابی]],customer[کد],0))</f>
        <v xml:space="preserve">مریم فیض آبادی  </v>
      </c>
      <c r="H228">
        <v>-4970</v>
      </c>
      <c r="I228" s="6">
        <f ca="1">-Main[[#This Row],[بدهی تسویه شده (کیلوگرم)]]+Main[[#This Row],[بستانکار (کیلوگرم)]]</f>
        <v>-4970</v>
      </c>
      <c r="J228" s="6">
        <f>IF(Main[[#This Row],[مقدار (کیلوگرم)]]&gt;0,Main[[#This Row],[مقدار (کیلوگرم)]],0)</f>
        <v>0</v>
      </c>
      <c r="K228" s="6">
        <f>-IF(Main[[#This Row],[مقدار (کیلوگرم)]]&lt;0,Main[[#This Row],[مقدار (کیلوگرم)]],0)</f>
        <v>4970</v>
      </c>
      <c r="L2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" s="7">
        <f>-IF(AND(Main[[#This Row],[مقدار (کیلوگرم)]]&lt;0,Main[[#This Row],[تاريخ میلادی]]&gt;44276),Main[[#This Row],[مقدار (کیلوگرم)]],0)</f>
        <v>4970</v>
      </c>
      <c r="N228" s="6">
        <f ca="1">Main[[#This Row],[بدهکار (کیلوگرم)]]-Main[[#This Row],[بدهی تسویه نشده (کیلوگرم)]]</f>
        <v>4970</v>
      </c>
      <c r="O228" s="6">
        <f ca="1">Main[[#This Row],[تفکیک]]</f>
        <v>0</v>
      </c>
      <c r="P228" s="6">
        <f ca="1">IF(Main[[#This Row],[تاخیر از سررسید]]&gt;0,Main[[#This Row],[بدهی تسویه نشده (کیلوگرم)]],0)</f>
        <v>0</v>
      </c>
      <c r="Q228" s="6">
        <f ca="1">IF(Main[[#This Row],[بدهی تسویه نشده (کیلوگرم)]]&gt;0,'گزارش فردی'!$B$7-Main[[#This Row],[تاريخ میلادی]],0)</f>
        <v>0</v>
      </c>
      <c r="R228" s="6">
        <f ca="1">IF(Main[[#This Row],[بدهی تسویه نشده (کیلوگرم)]]&gt;0,'گزارش فردی'!$B$7-Main[[#This Row],[تاريخ میلادی]]-'گزارش فردی'!$B$8,0)</f>
        <v>0</v>
      </c>
      <c r="S228" s="6">
        <f ca="1">Main[[#This Row],[روز از ارسال سفارش]]*Main[[#This Row],[بدهی تسویه نشده (کیلوگرم)]]</f>
        <v>0</v>
      </c>
      <c r="T228" s="6">
        <f ca="1">Main[[#This Row],[بدهی سررسید شده (کیلوگرم)]]*Main[[#This Row],[روز از ارسال سفارش]]</f>
        <v>0</v>
      </c>
      <c r="U228" s="6">
        <f>-SUBTOTAL(9,INDEX(Main[مقدار (کیلوگرم)],1):Main[[#This Row],[مقدار (کیلوگرم)]])</f>
        <v>39550</v>
      </c>
      <c r="V2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8" s="6">
        <f>Main[[#This Row],[تعداد کل روزهای بدهکار (روز)]]*Main[[#This Row],[مانده در خط کل (کیلوگرم)]]</f>
        <v>79100</v>
      </c>
      <c r="X228" s="6">
        <f ca="1">-SUBTOTAL(9,INDEX(Main[مقدار تسویه شده (کیلوگرم)],1):Main[[#This Row],[مقدار تسویه شده (کیلوگرم)]])</f>
        <v>39550</v>
      </c>
      <c r="Y228" s="6">
        <f ca="1">IF(Main[[#This Row],[مانده در خط تسویه شده (کیلوگرم)]]&lt;&gt;0,Main[[#This Row],[تعداد کل روزهای بدهکار (روز)]],0)</f>
        <v>2</v>
      </c>
      <c r="Z228" s="6">
        <f ca="1">Main[[#This Row],[تعداد روزهای بدهکار تسویه شده (روز)]]*Main[[#This Row],[مانده در خط تسویه شده (کیلوگرم)]]</f>
        <v>79100</v>
      </c>
      <c r="AA228" s="6">
        <f ca="1">SUBTOTAL(9,INDEX(Main[بدهی تسویه نشده (کیلوگرم)],1):Main[[#This Row],[بدهی تسویه نشده (کیلوگرم)]])</f>
        <v>0</v>
      </c>
      <c r="AB228" s="6">
        <f ca="1">IF(Main[[#This Row],[مانده در خط تسویه نشده (کیلوگرم)]]&lt;&gt;0,Main[[#This Row],[تعداد کل روزهای بدهکار (روز)]],0)</f>
        <v>0</v>
      </c>
      <c r="AC228" s="6">
        <f ca="1">Main[[#This Row],[تعداد روزهای بدهکار  تسویه نشده (روز)]]*Main[[#This Row],[مانده در خط تسویه نشده (کیلوگرم)]]</f>
        <v>0</v>
      </c>
      <c r="AD228" s="6">
        <f ca="1">SUBTOTAL(9,INDEX(Main[بدهی سررسید شده (کیلوگرم)],1):Main[[#This Row],[بدهی سررسید شده (کیلوگرم)]])</f>
        <v>0</v>
      </c>
      <c r="AE228" s="6">
        <f ca="1">IF(Main[[#This Row],[مانده در خط سررسید شده (کیلوگرم)]]&lt;&gt;0,Main[[#This Row],[تعداد کل روزهای بدهکار (روز)]],0)</f>
        <v>0</v>
      </c>
      <c r="AF228" s="6">
        <f ca="1">Main[[#This Row],[تعداد روزهای بدهکار سررسید شده (روز)]]*Main[[#This Row],[مانده در خط سررسید شده (کیلوگرم)]]</f>
        <v>0</v>
      </c>
    </row>
    <row r="229" spans="1:32" hidden="1" x14ac:dyDescent="0.35">
      <c r="A229" s="5">
        <f>ROW()-ROW(INDEX(Main[ردیف],1))+1</f>
        <v>227</v>
      </c>
      <c r="B229" s="31">
        <f>SUBTOTAL(2,INDEX(Main[ردیف],1):Main[[#This Row],[ردیف]])</f>
        <v>19</v>
      </c>
      <c r="C229" s="32" t="s">
        <v>525</v>
      </c>
      <c r="D229" s="32" t="str">
        <f>_xlfn.CONCAT("14",Main[[#This Row],[تاريخ]])</f>
        <v>1400/02/01</v>
      </c>
      <c r="E229" s="33">
        <v>44307</v>
      </c>
      <c r="F229" s="32">
        <v>30146</v>
      </c>
      <c r="G229" s="5" t="str">
        <f>INDEX(customer[عنوان],MATCH(Main[[#This Row],[کد ردیابی]],customer[کد],0))</f>
        <v>شرکت آذرپاد</v>
      </c>
      <c r="H229">
        <v>5089</v>
      </c>
      <c r="I229" s="6">
        <f ca="1">-Main[[#This Row],[بدهی تسویه شده (کیلوگرم)]]+Main[[#This Row],[بستانکار (کیلوگرم)]]</f>
        <v>5089</v>
      </c>
      <c r="J229" s="6">
        <f>IF(Main[[#This Row],[مقدار (کیلوگرم)]]&gt;0,Main[[#This Row],[مقدار (کیلوگرم)]],0)</f>
        <v>5089</v>
      </c>
      <c r="K229" s="6">
        <f>-IF(Main[[#This Row],[مقدار (کیلوگرم)]]&lt;0,Main[[#This Row],[مقدار (کیلوگرم)]],0)</f>
        <v>0</v>
      </c>
      <c r="L2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" s="7">
        <f>-IF(AND(Main[[#This Row],[مقدار (کیلوگرم)]]&lt;0,Main[[#This Row],[تاريخ میلادی]]&gt;44276),Main[[#This Row],[مقدار (کیلوگرم)]],0)</f>
        <v>0</v>
      </c>
      <c r="N229" s="6">
        <f ca="1">Main[[#This Row],[بدهکار (کیلوگرم)]]-Main[[#This Row],[بدهی تسویه نشده (کیلوگرم)]]</f>
        <v>0</v>
      </c>
      <c r="O229" s="6">
        <f ca="1">Main[[#This Row],[تفکیک]]</f>
        <v>0</v>
      </c>
      <c r="P229" s="6">
        <f ca="1">IF(Main[[#This Row],[تاخیر از سررسید]]&gt;0,Main[[#This Row],[بدهی تسویه نشده (کیلوگرم)]],0)</f>
        <v>0</v>
      </c>
      <c r="Q229" s="6">
        <f ca="1">IF(Main[[#This Row],[بدهی تسویه نشده (کیلوگرم)]]&gt;0,'گزارش فردی'!$B$7-Main[[#This Row],[تاريخ میلادی]],0)</f>
        <v>0</v>
      </c>
      <c r="R229" s="6">
        <f ca="1">IF(Main[[#This Row],[بدهی تسویه نشده (کیلوگرم)]]&gt;0,'گزارش فردی'!$B$7-Main[[#This Row],[تاريخ میلادی]]-'گزارش فردی'!$B$8,0)</f>
        <v>0</v>
      </c>
      <c r="S229" s="6">
        <f ca="1">Main[[#This Row],[روز از ارسال سفارش]]*Main[[#This Row],[بدهی تسویه نشده (کیلوگرم)]]</f>
        <v>0</v>
      </c>
      <c r="T229" s="6">
        <f ca="1">Main[[#This Row],[بدهی سررسید شده (کیلوگرم)]]*Main[[#This Row],[روز از ارسال سفارش]]</f>
        <v>0</v>
      </c>
      <c r="U229" s="6">
        <f>-SUBTOTAL(9,INDEX(Main[مقدار (کیلوگرم)],1):Main[[#This Row],[مقدار (کیلوگرم)]])</f>
        <v>39550</v>
      </c>
      <c r="V2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9" s="6">
        <f>Main[[#This Row],[تعداد کل روزهای بدهکار (روز)]]*Main[[#This Row],[مانده در خط کل (کیلوگرم)]]</f>
        <v>39550</v>
      </c>
      <c r="X229" s="6">
        <f ca="1">-SUBTOTAL(9,INDEX(Main[مقدار تسویه شده (کیلوگرم)],1):Main[[#This Row],[مقدار تسویه شده (کیلوگرم)]])</f>
        <v>39550</v>
      </c>
      <c r="Y229" s="6">
        <f ca="1">IF(Main[[#This Row],[مانده در خط تسویه شده (کیلوگرم)]]&lt;&gt;0,Main[[#This Row],[تعداد کل روزهای بدهکار (روز)]],0)</f>
        <v>1</v>
      </c>
      <c r="Z229" s="6">
        <f ca="1">Main[[#This Row],[تعداد روزهای بدهکار تسویه شده (روز)]]*Main[[#This Row],[مانده در خط تسویه شده (کیلوگرم)]]</f>
        <v>39550</v>
      </c>
      <c r="AA229" s="6">
        <f ca="1">SUBTOTAL(9,INDEX(Main[بدهی تسویه نشده (کیلوگرم)],1):Main[[#This Row],[بدهی تسویه نشده (کیلوگرم)]])</f>
        <v>0</v>
      </c>
      <c r="AB229" s="6">
        <f ca="1">IF(Main[[#This Row],[مانده در خط تسویه نشده (کیلوگرم)]]&lt;&gt;0,Main[[#This Row],[تعداد کل روزهای بدهکار (روز)]],0)</f>
        <v>0</v>
      </c>
      <c r="AC229" s="6">
        <f ca="1">Main[[#This Row],[تعداد روزهای بدهکار  تسویه نشده (روز)]]*Main[[#This Row],[مانده در خط تسویه نشده (کیلوگرم)]]</f>
        <v>0</v>
      </c>
      <c r="AD229" s="6">
        <f ca="1">SUBTOTAL(9,INDEX(Main[بدهی سررسید شده (کیلوگرم)],1):Main[[#This Row],[بدهی سررسید شده (کیلوگرم)]])</f>
        <v>0</v>
      </c>
      <c r="AE229" s="6">
        <f ca="1">IF(Main[[#This Row],[مانده در خط سررسید شده (کیلوگرم)]]&lt;&gt;0,Main[[#This Row],[تعداد کل روزهای بدهکار (روز)]],0)</f>
        <v>0</v>
      </c>
      <c r="AF229" s="6">
        <f ca="1">Main[[#This Row],[تعداد روزهای بدهکار سررسید شده (روز)]]*Main[[#This Row],[مانده در خط سررسید شده (کیلوگرم)]]</f>
        <v>0</v>
      </c>
    </row>
    <row r="230" spans="1:32" hidden="1" x14ac:dyDescent="0.35">
      <c r="A230" s="5">
        <f>ROW()-ROW(INDEX(Main[ردیف],1))+1</f>
        <v>228</v>
      </c>
      <c r="B230" s="31">
        <f>SUBTOTAL(2,INDEX(Main[ردیف],1):Main[[#This Row],[ردیف]])</f>
        <v>19</v>
      </c>
      <c r="C230" s="32" t="s">
        <v>525</v>
      </c>
      <c r="D230" s="32" t="str">
        <f>_xlfn.CONCAT("14",Main[[#This Row],[تاريخ]])</f>
        <v>1400/02/01</v>
      </c>
      <c r="E230" s="33">
        <v>44307</v>
      </c>
      <c r="F230" s="32">
        <v>30127</v>
      </c>
      <c r="G230" s="5" t="str">
        <f>INDEX(customer[عنوان],MATCH(Main[[#This Row],[کد ردیابی]],customer[کد],0))</f>
        <v>شیر گاز آذران</v>
      </c>
      <c r="H230">
        <v>-15202</v>
      </c>
      <c r="I230" s="6">
        <f ca="1">-Main[[#This Row],[بدهی تسویه شده (کیلوگرم)]]+Main[[#This Row],[بستانکار (کیلوگرم)]]</f>
        <v>-15202</v>
      </c>
      <c r="J230" s="6">
        <f>IF(Main[[#This Row],[مقدار (کیلوگرم)]]&gt;0,Main[[#This Row],[مقدار (کیلوگرم)]],0)</f>
        <v>0</v>
      </c>
      <c r="K230" s="6">
        <f>-IF(Main[[#This Row],[مقدار (کیلوگرم)]]&lt;0,Main[[#This Row],[مقدار (کیلوگرم)]],0)</f>
        <v>15202</v>
      </c>
      <c r="L2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" s="7">
        <f>-IF(AND(Main[[#This Row],[مقدار (کیلوگرم)]]&lt;0,Main[[#This Row],[تاريخ میلادی]]&gt;44276),Main[[#This Row],[مقدار (کیلوگرم)]],0)</f>
        <v>15202</v>
      </c>
      <c r="N230" s="6">
        <f ca="1">Main[[#This Row],[بدهکار (کیلوگرم)]]-Main[[#This Row],[بدهی تسویه نشده (کیلوگرم)]]</f>
        <v>15202</v>
      </c>
      <c r="O230" s="6">
        <f ca="1">Main[[#This Row],[تفکیک]]</f>
        <v>0</v>
      </c>
      <c r="P230" s="6">
        <f ca="1">IF(Main[[#This Row],[تاخیر از سررسید]]&gt;0,Main[[#This Row],[بدهی تسویه نشده (کیلوگرم)]],0)</f>
        <v>0</v>
      </c>
      <c r="Q230" s="6">
        <f ca="1">IF(Main[[#This Row],[بدهی تسویه نشده (کیلوگرم)]]&gt;0,'گزارش فردی'!$B$7-Main[[#This Row],[تاريخ میلادی]],0)</f>
        <v>0</v>
      </c>
      <c r="R230" s="6">
        <f ca="1">IF(Main[[#This Row],[بدهی تسویه نشده (کیلوگرم)]]&gt;0,'گزارش فردی'!$B$7-Main[[#This Row],[تاريخ میلادی]]-'گزارش فردی'!$B$8,0)</f>
        <v>0</v>
      </c>
      <c r="S230" s="6">
        <f ca="1">Main[[#This Row],[روز از ارسال سفارش]]*Main[[#This Row],[بدهی تسویه نشده (کیلوگرم)]]</f>
        <v>0</v>
      </c>
      <c r="T230" s="6">
        <f ca="1">Main[[#This Row],[بدهی سررسید شده (کیلوگرم)]]*Main[[#This Row],[روز از ارسال سفارش]]</f>
        <v>0</v>
      </c>
      <c r="U230" s="6">
        <f>-SUBTOTAL(9,INDEX(Main[مقدار (کیلوگرم)],1):Main[[#This Row],[مقدار (کیلوگرم)]])</f>
        <v>39550</v>
      </c>
      <c r="V2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" s="6">
        <f>Main[[#This Row],[تعداد کل روزهای بدهکار (روز)]]*Main[[#This Row],[مانده در خط کل (کیلوگرم)]]</f>
        <v>39550</v>
      </c>
      <c r="X230" s="6">
        <f ca="1">-SUBTOTAL(9,INDEX(Main[مقدار تسویه شده (کیلوگرم)],1):Main[[#This Row],[مقدار تسویه شده (کیلوگرم)]])</f>
        <v>39550</v>
      </c>
      <c r="Y230" s="6">
        <f ca="1">IF(Main[[#This Row],[مانده در خط تسویه شده (کیلوگرم)]]&lt;&gt;0,Main[[#This Row],[تعداد کل روزهای بدهکار (روز)]],0)</f>
        <v>1</v>
      </c>
      <c r="Z230" s="6">
        <f ca="1">Main[[#This Row],[تعداد روزهای بدهکار تسویه شده (روز)]]*Main[[#This Row],[مانده در خط تسویه شده (کیلوگرم)]]</f>
        <v>39550</v>
      </c>
      <c r="AA230" s="6">
        <f ca="1">SUBTOTAL(9,INDEX(Main[بدهی تسویه نشده (کیلوگرم)],1):Main[[#This Row],[بدهی تسویه نشده (کیلوگرم)]])</f>
        <v>0</v>
      </c>
      <c r="AB230" s="6">
        <f ca="1">IF(Main[[#This Row],[مانده در خط تسویه نشده (کیلوگرم)]]&lt;&gt;0,Main[[#This Row],[تعداد کل روزهای بدهکار (روز)]],0)</f>
        <v>0</v>
      </c>
      <c r="AC230" s="6">
        <f ca="1">Main[[#This Row],[تعداد روزهای بدهکار  تسویه نشده (روز)]]*Main[[#This Row],[مانده در خط تسویه نشده (کیلوگرم)]]</f>
        <v>0</v>
      </c>
      <c r="AD230" s="6">
        <f ca="1">SUBTOTAL(9,INDEX(Main[بدهی سررسید شده (کیلوگرم)],1):Main[[#This Row],[بدهی سررسید شده (کیلوگرم)]])</f>
        <v>0</v>
      </c>
      <c r="AE230" s="6">
        <f ca="1">IF(Main[[#This Row],[مانده در خط سررسید شده (کیلوگرم)]]&lt;&gt;0,Main[[#This Row],[تعداد کل روزهای بدهکار (روز)]],0)</f>
        <v>0</v>
      </c>
      <c r="AF230" s="6">
        <f ca="1">Main[[#This Row],[تعداد روزهای بدهکار سررسید شده (روز)]]*Main[[#This Row],[مانده در خط سررسید شده (کیلوگرم)]]</f>
        <v>0</v>
      </c>
    </row>
    <row r="231" spans="1:32" hidden="1" x14ac:dyDescent="0.35">
      <c r="A231" s="5">
        <f>ROW()-ROW(INDEX(Main[ردیف],1))+1</f>
        <v>229</v>
      </c>
      <c r="B231" s="31">
        <f>SUBTOTAL(2,INDEX(Main[ردیف],1):Main[[#This Row],[ردیف]])</f>
        <v>19</v>
      </c>
      <c r="C231" s="32" t="s">
        <v>525</v>
      </c>
      <c r="D231" s="32" t="str">
        <f>_xlfn.CONCAT("14",Main[[#This Row],[تاريخ]])</f>
        <v>1400/02/01</v>
      </c>
      <c r="E231" s="33">
        <v>44307</v>
      </c>
      <c r="F231" s="32">
        <v>10020</v>
      </c>
      <c r="G231" s="5" t="str">
        <f>INDEX(customer[عنوان],MATCH(Main[[#This Row],[کد ردیابی]],customer[کد],0))</f>
        <v>فرزاد اسماعیل زاده</v>
      </c>
      <c r="H231">
        <v>1305</v>
      </c>
      <c r="I231" s="6">
        <f ca="1">-Main[[#This Row],[بدهی تسویه شده (کیلوگرم)]]+Main[[#This Row],[بستانکار (کیلوگرم)]]</f>
        <v>1305</v>
      </c>
      <c r="J231" s="6">
        <f>IF(Main[[#This Row],[مقدار (کیلوگرم)]]&gt;0,Main[[#This Row],[مقدار (کیلوگرم)]],0)</f>
        <v>1305</v>
      </c>
      <c r="K231" s="6">
        <f>-IF(Main[[#This Row],[مقدار (کیلوگرم)]]&lt;0,Main[[#This Row],[مقدار (کیلوگرم)]],0)</f>
        <v>0</v>
      </c>
      <c r="L2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" s="7">
        <f>-IF(AND(Main[[#This Row],[مقدار (کیلوگرم)]]&lt;0,Main[[#This Row],[تاريخ میلادی]]&gt;44276),Main[[#This Row],[مقدار (کیلوگرم)]],0)</f>
        <v>0</v>
      </c>
      <c r="N231" s="6">
        <f ca="1">Main[[#This Row],[بدهکار (کیلوگرم)]]-Main[[#This Row],[بدهی تسویه نشده (کیلوگرم)]]</f>
        <v>0</v>
      </c>
      <c r="O231" s="6">
        <f ca="1">Main[[#This Row],[تفکیک]]</f>
        <v>0</v>
      </c>
      <c r="P231" s="6">
        <f ca="1">IF(Main[[#This Row],[تاخیر از سررسید]]&gt;0,Main[[#This Row],[بدهی تسویه نشده (کیلوگرم)]],0)</f>
        <v>0</v>
      </c>
      <c r="Q231" s="6">
        <f ca="1">IF(Main[[#This Row],[بدهی تسویه نشده (کیلوگرم)]]&gt;0,'گزارش فردی'!$B$7-Main[[#This Row],[تاريخ میلادی]],0)</f>
        <v>0</v>
      </c>
      <c r="R231" s="6">
        <f ca="1">IF(Main[[#This Row],[بدهی تسویه نشده (کیلوگرم)]]&gt;0,'گزارش فردی'!$B$7-Main[[#This Row],[تاريخ میلادی]]-'گزارش فردی'!$B$8,0)</f>
        <v>0</v>
      </c>
      <c r="S231" s="6">
        <f ca="1">Main[[#This Row],[روز از ارسال سفارش]]*Main[[#This Row],[بدهی تسویه نشده (کیلوگرم)]]</f>
        <v>0</v>
      </c>
      <c r="T231" s="6">
        <f ca="1">Main[[#This Row],[بدهی سررسید شده (کیلوگرم)]]*Main[[#This Row],[روز از ارسال سفارش]]</f>
        <v>0</v>
      </c>
      <c r="U231" s="6">
        <f>-SUBTOTAL(9,INDEX(Main[مقدار (کیلوگرم)],1):Main[[#This Row],[مقدار (کیلوگرم)]])</f>
        <v>39550</v>
      </c>
      <c r="V2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1" s="6">
        <f>Main[[#This Row],[تعداد کل روزهای بدهکار (روز)]]*Main[[#This Row],[مانده در خط کل (کیلوگرم)]]</f>
        <v>39550</v>
      </c>
      <c r="X231" s="6">
        <f ca="1">-SUBTOTAL(9,INDEX(Main[مقدار تسویه شده (کیلوگرم)],1):Main[[#This Row],[مقدار تسویه شده (کیلوگرم)]])</f>
        <v>39550</v>
      </c>
      <c r="Y231" s="6">
        <f ca="1">IF(Main[[#This Row],[مانده در خط تسویه شده (کیلوگرم)]]&lt;&gt;0,Main[[#This Row],[تعداد کل روزهای بدهکار (روز)]],0)</f>
        <v>1</v>
      </c>
      <c r="Z231" s="6">
        <f ca="1">Main[[#This Row],[تعداد روزهای بدهکار تسویه شده (روز)]]*Main[[#This Row],[مانده در خط تسویه شده (کیلوگرم)]]</f>
        <v>39550</v>
      </c>
      <c r="AA231" s="6">
        <f ca="1">SUBTOTAL(9,INDEX(Main[بدهی تسویه نشده (کیلوگرم)],1):Main[[#This Row],[بدهی تسویه نشده (کیلوگرم)]])</f>
        <v>0</v>
      </c>
      <c r="AB231" s="6">
        <f ca="1">IF(Main[[#This Row],[مانده در خط تسویه نشده (کیلوگرم)]]&lt;&gt;0,Main[[#This Row],[تعداد کل روزهای بدهکار (روز)]],0)</f>
        <v>0</v>
      </c>
      <c r="AC231" s="6">
        <f ca="1">Main[[#This Row],[تعداد روزهای بدهکار  تسویه نشده (روز)]]*Main[[#This Row],[مانده در خط تسویه نشده (کیلوگرم)]]</f>
        <v>0</v>
      </c>
      <c r="AD231" s="6">
        <f ca="1">SUBTOTAL(9,INDEX(Main[بدهی سررسید شده (کیلوگرم)],1):Main[[#This Row],[بدهی سررسید شده (کیلوگرم)]])</f>
        <v>0</v>
      </c>
      <c r="AE231" s="6">
        <f ca="1">IF(Main[[#This Row],[مانده در خط سررسید شده (کیلوگرم)]]&lt;&gt;0,Main[[#This Row],[تعداد کل روزهای بدهکار (روز)]],0)</f>
        <v>0</v>
      </c>
      <c r="AF231" s="6">
        <f ca="1">Main[[#This Row],[تعداد روزهای بدهکار سررسید شده (روز)]]*Main[[#This Row],[مانده در خط سررسید شده (کیلوگرم)]]</f>
        <v>0</v>
      </c>
    </row>
    <row r="232" spans="1:32" hidden="1" x14ac:dyDescent="0.35">
      <c r="A232" s="5">
        <f>ROW()-ROW(INDEX(Main[ردیف],1))+1</f>
        <v>230</v>
      </c>
      <c r="B232" s="31">
        <f>SUBTOTAL(2,INDEX(Main[ردیف],1):Main[[#This Row],[ردیف]])</f>
        <v>19</v>
      </c>
      <c r="C232" s="32" t="s">
        <v>525</v>
      </c>
      <c r="D232" s="32" t="str">
        <f>_xlfn.CONCAT("14",Main[[#This Row],[تاريخ]])</f>
        <v>1400/02/01</v>
      </c>
      <c r="E232" s="33">
        <v>44307</v>
      </c>
      <c r="F232" s="32">
        <v>30066</v>
      </c>
      <c r="G232" s="5" t="str">
        <f>INDEX(customer[عنوان],MATCH(Main[[#This Row],[کد ردیابی]],customer[کد],0))</f>
        <v xml:space="preserve">شیر آلات بهداشتی قهرمان </v>
      </c>
      <c r="H232">
        <v>-3734</v>
      </c>
      <c r="I232" s="6">
        <f ca="1">-Main[[#This Row],[بدهی تسویه شده (کیلوگرم)]]+Main[[#This Row],[بستانکار (کیلوگرم)]]</f>
        <v>-3734</v>
      </c>
      <c r="J232" s="6">
        <f>IF(Main[[#This Row],[مقدار (کیلوگرم)]]&gt;0,Main[[#This Row],[مقدار (کیلوگرم)]],0)</f>
        <v>0</v>
      </c>
      <c r="K232" s="6">
        <f>-IF(Main[[#This Row],[مقدار (کیلوگرم)]]&lt;0,Main[[#This Row],[مقدار (کیلوگرم)]],0)</f>
        <v>3734</v>
      </c>
      <c r="L2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" s="7">
        <f>-IF(AND(Main[[#This Row],[مقدار (کیلوگرم)]]&lt;0,Main[[#This Row],[تاريخ میلادی]]&gt;44276),Main[[#This Row],[مقدار (کیلوگرم)]],0)</f>
        <v>3734</v>
      </c>
      <c r="N232" s="6">
        <f ca="1">Main[[#This Row],[بدهکار (کیلوگرم)]]-Main[[#This Row],[بدهی تسویه نشده (کیلوگرم)]]</f>
        <v>3734</v>
      </c>
      <c r="O232" s="6">
        <f ca="1">Main[[#This Row],[تفکیک]]</f>
        <v>0</v>
      </c>
      <c r="P232" s="6">
        <f ca="1">IF(Main[[#This Row],[تاخیر از سررسید]]&gt;0,Main[[#This Row],[بدهی تسویه نشده (کیلوگرم)]],0)</f>
        <v>0</v>
      </c>
      <c r="Q232" s="6">
        <f ca="1">IF(Main[[#This Row],[بدهی تسویه نشده (کیلوگرم)]]&gt;0,'گزارش فردی'!$B$7-Main[[#This Row],[تاريخ میلادی]],0)</f>
        <v>0</v>
      </c>
      <c r="R232" s="6">
        <f ca="1">IF(Main[[#This Row],[بدهی تسویه نشده (کیلوگرم)]]&gt;0,'گزارش فردی'!$B$7-Main[[#This Row],[تاريخ میلادی]]-'گزارش فردی'!$B$8,0)</f>
        <v>0</v>
      </c>
      <c r="S232" s="6">
        <f ca="1">Main[[#This Row],[روز از ارسال سفارش]]*Main[[#This Row],[بدهی تسویه نشده (کیلوگرم)]]</f>
        <v>0</v>
      </c>
      <c r="T232" s="6">
        <f ca="1">Main[[#This Row],[بدهی سررسید شده (کیلوگرم)]]*Main[[#This Row],[روز از ارسال سفارش]]</f>
        <v>0</v>
      </c>
      <c r="U232" s="6">
        <f>-SUBTOTAL(9,INDEX(Main[مقدار (کیلوگرم)],1):Main[[#This Row],[مقدار (کیلوگرم)]])</f>
        <v>39550</v>
      </c>
      <c r="V2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" s="6">
        <f>Main[[#This Row],[تعداد کل روزهای بدهکار (روز)]]*Main[[#This Row],[مانده در خط کل (کیلوگرم)]]</f>
        <v>39550</v>
      </c>
      <c r="X232" s="6">
        <f ca="1">-SUBTOTAL(9,INDEX(Main[مقدار تسویه شده (کیلوگرم)],1):Main[[#This Row],[مقدار تسویه شده (کیلوگرم)]])</f>
        <v>39550</v>
      </c>
      <c r="Y232" s="6">
        <f ca="1">IF(Main[[#This Row],[مانده در خط تسویه شده (کیلوگرم)]]&lt;&gt;0,Main[[#This Row],[تعداد کل روزهای بدهکار (روز)]],0)</f>
        <v>1</v>
      </c>
      <c r="Z232" s="6">
        <f ca="1">Main[[#This Row],[تعداد روزهای بدهکار تسویه شده (روز)]]*Main[[#This Row],[مانده در خط تسویه شده (کیلوگرم)]]</f>
        <v>39550</v>
      </c>
      <c r="AA232" s="6">
        <f ca="1">SUBTOTAL(9,INDEX(Main[بدهی تسویه نشده (کیلوگرم)],1):Main[[#This Row],[بدهی تسویه نشده (کیلوگرم)]])</f>
        <v>0</v>
      </c>
      <c r="AB232" s="6">
        <f ca="1">IF(Main[[#This Row],[مانده در خط تسویه نشده (کیلوگرم)]]&lt;&gt;0,Main[[#This Row],[تعداد کل روزهای بدهکار (روز)]],0)</f>
        <v>0</v>
      </c>
      <c r="AC232" s="6">
        <f ca="1">Main[[#This Row],[تعداد روزهای بدهکار  تسویه نشده (روز)]]*Main[[#This Row],[مانده در خط تسویه نشده (کیلوگرم)]]</f>
        <v>0</v>
      </c>
      <c r="AD232" s="6">
        <f ca="1">SUBTOTAL(9,INDEX(Main[بدهی سررسید شده (کیلوگرم)],1):Main[[#This Row],[بدهی سررسید شده (کیلوگرم)]])</f>
        <v>0</v>
      </c>
      <c r="AE232" s="6">
        <f ca="1">IF(Main[[#This Row],[مانده در خط سررسید شده (کیلوگرم)]]&lt;&gt;0,Main[[#This Row],[تعداد کل روزهای بدهکار (روز)]],0)</f>
        <v>0</v>
      </c>
      <c r="AF232" s="6">
        <f ca="1">Main[[#This Row],[تعداد روزهای بدهکار سررسید شده (روز)]]*Main[[#This Row],[مانده در خط سررسید شده (کیلوگرم)]]</f>
        <v>0</v>
      </c>
    </row>
    <row r="233" spans="1:32" hidden="1" x14ac:dyDescent="0.35">
      <c r="A233" s="5">
        <f>ROW()-ROW(INDEX(Main[ردیف],1))+1</f>
        <v>231</v>
      </c>
      <c r="B233" s="31">
        <f>SUBTOTAL(2,INDEX(Main[ردیف],1):Main[[#This Row],[ردیف]])</f>
        <v>19</v>
      </c>
      <c r="C233" s="32" t="s">
        <v>525</v>
      </c>
      <c r="D233" s="32" t="str">
        <f>_xlfn.CONCAT("14",Main[[#This Row],[تاريخ]])</f>
        <v>1400/02/01</v>
      </c>
      <c r="E233" s="33">
        <v>44307</v>
      </c>
      <c r="F233" s="32">
        <v>30162</v>
      </c>
      <c r="G233" s="5" t="str">
        <f>INDEX(customer[عنوان],MATCH(Main[[#This Row],[کد ردیابی]],customer[کد],0))</f>
        <v>شرکت الماس آریا</v>
      </c>
      <c r="H233">
        <v>-2242</v>
      </c>
      <c r="I233" s="6">
        <f ca="1">-Main[[#This Row],[بدهی تسویه شده (کیلوگرم)]]+Main[[#This Row],[بستانکار (کیلوگرم)]]</f>
        <v>-2242</v>
      </c>
      <c r="J233" s="6">
        <f>IF(Main[[#This Row],[مقدار (کیلوگرم)]]&gt;0,Main[[#This Row],[مقدار (کیلوگرم)]],0)</f>
        <v>0</v>
      </c>
      <c r="K233" s="6">
        <f>-IF(Main[[#This Row],[مقدار (کیلوگرم)]]&lt;0,Main[[#This Row],[مقدار (کیلوگرم)]],0)</f>
        <v>2242</v>
      </c>
      <c r="L2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" s="7">
        <f>-IF(AND(Main[[#This Row],[مقدار (کیلوگرم)]]&lt;0,Main[[#This Row],[تاريخ میلادی]]&gt;44276),Main[[#This Row],[مقدار (کیلوگرم)]],0)</f>
        <v>2242</v>
      </c>
      <c r="N233" s="6">
        <f ca="1">Main[[#This Row],[بدهکار (کیلوگرم)]]-Main[[#This Row],[بدهی تسویه نشده (کیلوگرم)]]</f>
        <v>2242</v>
      </c>
      <c r="O233" s="6">
        <f ca="1">Main[[#This Row],[تفکیک]]</f>
        <v>0</v>
      </c>
      <c r="P233" s="6">
        <f ca="1">IF(Main[[#This Row],[تاخیر از سررسید]]&gt;0,Main[[#This Row],[بدهی تسویه نشده (کیلوگرم)]],0)</f>
        <v>0</v>
      </c>
      <c r="Q233" s="6">
        <f ca="1">IF(Main[[#This Row],[بدهی تسویه نشده (کیلوگرم)]]&gt;0,'گزارش فردی'!$B$7-Main[[#This Row],[تاريخ میلادی]],0)</f>
        <v>0</v>
      </c>
      <c r="R233" s="6">
        <f ca="1">IF(Main[[#This Row],[بدهی تسویه نشده (کیلوگرم)]]&gt;0,'گزارش فردی'!$B$7-Main[[#This Row],[تاريخ میلادی]]-'گزارش فردی'!$B$8,0)</f>
        <v>0</v>
      </c>
      <c r="S233" s="6">
        <f ca="1">Main[[#This Row],[روز از ارسال سفارش]]*Main[[#This Row],[بدهی تسویه نشده (کیلوگرم)]]</f>
        <v>0</v>
      </c>
      <c r="T233" s="6">
        <f ca="1">Main[[#This Row],[بدهی سررسید شده (کیلوگرم)]]*Main[[#This Row],[روز از ارسال سفارش]]</f>
        <v>0</v>
      </c>
      <c r="U233" s="6">
        <f>-SUBTOTAL(9,INDEX(Main[مقدار (کیلوگرم)],1):Main[[#This Row],[مقدار (کیلوگرم)]])</f>
        <v>39550</v>
      </c>
      <c r="V2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" s="6">
        <f>Main[[#This Row],[تعداد کل روزهای بدهکار (روز)]]*Main[[#This Row],[مانده در خط کل (کیلوگرم)]]</f>
        <v>39550</v>
      </c>
      <c r="X233" s="6">
        <f ca="1">-SUBTOTAL(9,INDEX(Main[مقدار تسویه شده (کیلوگرم)],1):Main[[#This Row],[مقدار تسویه شده (کیلوگرم)]])</f>
        <v>39550</v>
      </c>
      <c r="Y233" s="6">
        <f ca="1">IF(Main[[#This Row],[مانده در خط تسویه شده (کیلوگرم)]]&lt;&gt;0,Main[[#This Row],[تعداد کل روزهای بدهکار (روز)]],0)</f>
        <v>1</v>
      </c>
      <c r="Z233" s="6">
        <f ca="1">Main[[#This Row],[تعداد روزهای بدهکار تسویه شده (روز)]]*Main[[#This Row],[مانده در خط تسویه شده (کیلوگرم)]]</f>
        <v>39550</v>
      </c>
      <c r="AA233" s="6">
        <f ca="1">SUBTOTAL(9,INDEX(Main[بدهی تسویه نشده (کیلوگرم)],1):Main[[#This Row],[بدهی تسویه نشده (کیلوگرم)]])</f>
        <v>0</v>
      </c>
      <c r="AB233" s="6">
        <f ca="1">IF(Main[[#This Row],[مانده در خط تسویه نشده (کیلوگرم)]]&lt;&gt;0,Main[[#This Row],[تعداد کل روزهای بدهکار (روز)]],0)</f>
        <v>0</v>
      </c>
      <c r="AC233" s="6">
        <f ca="1">Main[[#This Row],[تعداد روزهای بدهکار  تسویه نشده (روز)]]*Main[[#This Row],[مانده در خط تسویه نشده (کیلوگرم)]]</f>
        <v>0</v>
      </c>
      <c r="AD233" s="6">
        <f ca="1">SUBTOTAL(9,INDEX(Main[بدهی سررسید شده (کیلوگرم)],1):Main[[#This Row],[بدهی سررسید شده (کیلوگرم)]])</f>
        <v>0</v>
      </c>
      <c r="AE233" s="6">
        <f ca="1">IF(Main[[#This Row],[مانده در خط سررسید شده (کیلوگرم)]]&lt;&gt;0,Main[[#This Row],[تعداد کل روزهای بدهکار (روز)]],0)</f>
        <v>0</v>
      </c>
      <c r="AF233" s="6">
        <f ca="1">Main[[#This Row],[تعداد روزهای بدهکار سررسید شده (روز)]]*Main[[#This Row],[مانده در خط سررسید شده (کیلوگرم)]]</f>
        <v>0</v>
      </c>
    </row>
    <row r="234" spans="1:32" hidden="1" x14ac:dyDescent="0.35">
      <c r="A234" s="5">
        <f>ROW()-ROW(INDEX(Main[ردیف],1))+1</f>
        <v>232</v>
      </c>
      <c r="B234" s="31">
        <f>SUBTOTAL(2,INDEX(Main[ردیف],1):Main[[#This Row],[ردیف]])</f>
        <v>19</v>
      </c>
      <c r="C234" s="32" t="s">
        <v>525</v>
      </c>
      <c r="D234" s="32" t="str">
        <f>_xlfn.CONCAT("14",Main[[#This Row],[تاريخ]])</f>
        <v>1400/02/01</v>
      </c>
      <c r="E234" s="33">
        <v>44307</v>
      </c>
      <c r="F234" s="32">
        <v>10020</v>
      </c>
      <c r="G234" s="5" t="str">
        <f>INDEX(customer[عنوان],MATCH(Main[[#This Row],[کد ردیابی]],customer[کد],0))</f>
        <v>فرزاد اسماعیل زاده</v>
      </c>
      <c r="H234">
        <v>-1498</v>
      </c>
      <c r="I234" s="6">
        <f ca="1">-Main[[#This Row],[بدهی تسویه شده (کیلوگرم)]]+Main[[#This Row],[بستانکار (کیلوگرم)]]</f>
        <v>-1498</v>
      </c>
      <c r="J234" s="6">
        <f>IF(Main[[#This Row],[مقدار (کیلوگرم)]]&gt;0,Main[[#This Row],[مقدار (کیلوگرم)]],0)</f>
        <v>0</v>
      </c>
      <c r="K234" s="6">
        <f>-IF(Main[[#This Row],[مقدار (کیلوگرم)]]&lt;0,Main[[#This Row],[مقدار (کیلوگرم)]],0)</f>
        <v>1498</v>
      </c>
      <c r="L2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" s="7">
        <f>-IF(AND(Main[[#This Row],[مقدار (کیلوگرم)]]&lt;0,Main[[#This Row],[تاريخ میلادی]]&gt;44276),Main[[#This Row],[مقدار (کیلوگرم)]],0)</f>
        <v>1498</v>
      </c>
      <c r="N234" s="6">
        <f ca="1">Main[[#This Row],[بدهکار (کیلوگرم)]]-Main[[#This Row],[بدهی تسویه نشده (کیلوگرم)]]</f>
        <v>1498</v>
      </c>
      <c r="O234" s="6">
        <f ca="1">Main[[#This Row],[تفکیک]]</f>
        <v>0</v>
      </c>
      <c r="P234" s="6">
        <f ca="1">IF(Main[[#This Row],[تاخیر از سررسید]]&gt;0,Main[[#This Row],[بدهی تسویه نشده (کیلوگرم)]],0)</f>
        <v>0</v>
      </c>
      <c r="Q234" s="6">
        <f ca="1">IF(Main[[#This Row],[بدهی تسویه نشده (کیلوگرم)]]&gt;0,'گزارش فردی'!$B$7-Main[[#This Row],[تاريخ میلادی]],0)</f>
        <v>0</v>
      </c>
      <c r="R234" s="6">
        <f ca="1">IF(Main[[#This Row],[بدهی تسویه نشده (کیلوگرم)]]&gt;0,'گزارش فردی'!$B$7-Main[[#This Row],[تاريخ میلادی]]-'گزارش فردی'!$B$8,0)</f>
        <v>0</v>
      </c>
      <c r="S234" s="6">
        <f ca="1">Main[[#This Row],[روز از ارسال سفارش]]*Main[[#This Row],[بدهی تسویه نشده (کیلوگرم)]]</f>
        <v>0</v>
      </c>
      <c r="T234" s="6">
        <f ca="1">Main[[#This Row],[بدهی سررسید شده (کیلوگرم)]]*Main[[#This Row],[روز از ارسال سفارش]]</f>
        <v>0</v>
      </c>
      <c r="U234" s="6">
        <f>-SUBTOTAL(9,INDEX(Main[مقدار (کیلوگرم)],1):Main[[#This Row],[مقدار (کیلوگرم)]])</f>
        <v>39550</v>
      </c>
      <c r="V2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4" s="6">
        <f>Main[[#This Row],[تعداد کل روزهای بدهکار (روز)]]*Main[[#This Row],[مانده در خط کل (کیلوگرم)]]</f>
        <v>39550</v>
      </c>
      <c r="X234" s="6">
        <f ca="1">-SUBTOTAL(9,INDEX(Main[مقدار تسویه شده (کیلوگرم)],1):Main[[#This Row],[مقدار تسویه شده (کیلوگرم)]])</f>
        <v>39550</v>
      </c>
      <c r="Y234" s="6">
        <f ca="1">IF(Main[[#This Row],[مانده در خط تسویه شده (کیلوگرم)]]&lt;&gt;0,Main[[#This Row],[تعداد کل روزهای بدهکار (روز)]],0)</f>
        <v>1</v>
      </c>
      <c r="Z234" s="6">
        <f ca="1">Main[[#This Row],[تعداد روزهای بدهکار تسویه شده (روز)]]*Main[[#This Row],[مانده در خط تسویه شده (کیلوگرم)]]</f>
        <v>39550</v>
      </c>
      <c r="AA234" s="6">
        <f ca="1">SUBTOTAL(9,INDEX(Main[بدهی تسویه نشده (کیلوگرم)],1):Main[[#This Row],[بدهی تسویه نشده (کیلوگرم)]])</f>
        <v>0</v>
      </c>
      <c r="AB234" s="6">
        <f ca="1">IF(Main[[#This Row],[مانده در خط تسویه نشده (کیلوگرم)]]&lt;&gt;0,Main[[#This Row],[تعداد کل روزهای بدهکار (روز)]],0)</f>
        <v>0</v>
      </c>
      <c r="AC234" s="6">
        <f ca="1">Main[[#This Row],[تعداد روزهای بدهکار  تسویه نشده (روز)]]*Main[[#This Row],[مانده در خط تسویه نشده (کیلوگرم)]]</f>
        <v>0</v>
      </c>
      <c r="AD234" s="6">
        <f ca="1">SUBTOTAL(9,INDEX(Main[بدهی سررسید شده (کیلوگرم)],1):Main[[#This Row],[بدهی سررسید شده (کیلوگرم)]])</f>
        <v>0</v>
      </c>
      <c r="AE234" s="6">
        <f ca="1">IF(Main[[#This Row],[مانده در خط سررسید شده (کیلوگرم)]]&lt;&gt;0,Main[[#This Row],[تعداد کل روزهای بدهکار (روز)]],0)</f>
        <v>0</v>
      </c>
      <c r="AF234" s="6">
        <f ca="1">Main[[#This Row],[تعداد روزهای بدهکار سررسید شده (روز)]]*Main[[#This Row],[مانده در خط سررسید شده (کیلوگرم)]]</f>
        <v>0</v>
      </c>
    </row>
    <row r="235" spans="1:32" hidden="1" x14ac:dyDescent="0.35">
      <c r="A235" s="5">
        <f>ROW()-ROW(INDEX(Main[ردیف],1))+1</f>
        <v>233</v>
      </c>
      <c r="B235" s="31">
        <f>SUBTOTAL(2,INDEX(Main[ردیف],1):Main[[#This Row],[ردیف]])</f>
        <v>19</v>
      </c>
      <c r="C235" s="32" t="s">
        <v>525</v>
      </c>
      <c r="D235" s="32" t="str">
        <f>_xlfn.CONCAT("14",Main[[#This Row],[تاريخ]])</f>
        <v>1400/02/01</v>
      </c>
      <c r="E235" s="33">
        <v>44307</v>
      </c>
      <c r="F235" s="32">
        <v>30009</v>
      </c>
      <c r="G235" s="5" t="str">
        <f>INDEX(customer[عنوان],MATCH(Main[[#This Row],[کد ردیابی]],customer[کد],0))</f>
        <v>شرکت ایمن تک پیشرو</v>
      </c>
      <c r="H235">
        <v>-4292</v>
      </c>
      <c r="I235" s="6">
        <f ca="1">-Main[[#This Row],[بدهی تسویه شده (کیلوگرم)]]+Main[[#This Row],[بستانکار (کیلوگرم)]]</f>
        <v>-4292</v>
      </c>
      <c r="J235" s="6">
        <f>IF(Main[[#This Row],[مقدار (کیلوگرم)]]&gt;0,Main[[#This Row],[مقدار (کیلوگرم)]],0)</f>
        <v>0</v>
      </c>
      <c r="K235" s="6">
        <f>-IF(Main[[#This Row],[مقدار (کیلوگرم)]]&lt;0,Main[[#This Row],[مقدار (کیلوگرم)]],0)</f>
        <v>4292</v>
      </c>
      <c r="L2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" s="7">
        <f>-IF(AND(Main[[#This Row],[مقدار (کیلوگرم)]]&lt;0,Main[[#This Row],[تاريخ میلادی]]&gt;44276),Main[[#This Row],[مقدار (کیلوگرم)]],0)</f>
        <v>4292</v>
      </c>
      <c r="N235" s="6">
        <f ca="1">Main[[#This Row],[بدهکار (کیلوگرم)]]-Main[[#This Row],[بدهی تسویه نشده (کیلوگرم)]]</f>
        <v>4292</v>
      </c>
      <c r="O235" s="6">
        <f ca="1">Main[[#This Row],[تفکیک]]</f>
        <v>0</v>
      </c>
      <c r="P235" s="6">
        <f ca="1">IF(Main[[#This Row],[تاخیر از سررسید]]&gt;0,Main[[#This Row],[بدهی تسویه نشده (کیلوگرم)]],0)</f>
        <v>0</v>
      </c>
      <c r="Q235" s="6">
        <f ca="1">IF(Main[[#This Row],[بدهی تسویه نشده (کیلوگرم)]]&gt;0,'گزارش فردی'!$B$7-Main[[#This Row],[تاريخ میلادی]],0)</f>
        <v>0</v>
      </c>
      <c r="R235" s="6">
        <f ca="1">IF(Main[[#This Row],[بدهی تسویه نشده (کیلوگرم)]]&gt;0,'گزارش فردی'!$B$7-Main[[#This Row],[تاريخ میلادی]]-'گزارش فردی'!$B$8,0)</f>
        <v>0</v>
      </c>
      <c r="S235" s="6">
        <f ca="1">Main[[#This Row],[روز از ارسال سفارش]]*Main[[#This Row],[بدهی تسویه نشده (کیلوگرم)]]</f>
        <v>0</v>
      </c>
      <c r="T235" s="6">
        <f ca="1">Main[[#This Row],[بدهی سررسید شده (کیلوگرم)]]*Main[[#This Row],[روز از ارسال سفارش]]</f>
        <v>0</v>
      </c>
      <c r="U235" s="6">
        <f>-SUBTOTAL(9,INDEX(Main[مقدار (کیلوگرم)],1):Main[[#This Row],[مقدار (کیلوگرم)]])</f>
        <v>39550</v>
      </c>
      <c r="V2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5" s="6">
        <f>Main[[#This Row],[تعداد کل روزهای بدهکار (روز)]]*Main[[#This Row],[مانده در خط کل (کیلوگرم)]]</f>
        <v>39550</v>
      </c>
      <c r="X235" s="6">
        <f ca="1">-SUBTOTAL(9,INDEX(Main[مقدار تسویه شده (کیلوگرم)],1):Main[[#This Row],[مقدار تسویه شده (کیلوگرم)]])</f>
        <v>39550</v>
      </c>
      <c r="Y235" s="6">
        <f ca="1">IF(Main[[#This Row],[مانده در خط تسویه شده (کیلوگرم)]]&lt;&gt;0,Main[[#This Row],[تعداد کل روزهای بدهکار (روز)]],0)</f>
        <v>1</v>
      </c>
      <c r="Z235" s="6">
        <f ca="1">Main[[#This Row],[تعداد روزهای بدهکار تسویه شده (روز)]]*Main[[#This Row],[مانده در خط تسویه شده (کیلوگرم)]]</f>
        <v>39550</v>
      </c>
      <c r="AA235" s="6">
        <f ca="1">SUBTOTAL(9,INDEX(Main[بدهی تسویه نشده (کیلوگرم)],1):Main[[#This Row],[بدهی تسویه نشده (کیلوگرم)]])</f>
        <v>0</v>
      </c>
      <c r="AB235" s="6">
        <f ca="1">IF(Main[[#This Row],[مانده در خط تسویه نشده (کیلوگرم)]]&lt;&gt;0,Main[[#This Row],[تعداد کل روزهای بدهکار (روز)]],0)</f>
        <v>0</v>
      </c>
      <c r="AC235" s="6">
        <f ca="1">Main[[#This Row],[تعداد روزهای بدهکار  تسویه نشده (روز)]]*Main[[#This Row],[مانده در خط تسویه نشده (کیلوگرم)]]</f>
        <v>0</v>
      </c>
      <c r="AD235" s="6">
        <f ca="1">SUBTOTAL(9,INDEX(Main[بدهی سررسید شده (کیلوگرم)],1):Main[[#This Row],[بدهی سررسید شده (کیلوگرم)]])</f>
        <v>0</v>
      </c>
      <c r="AE235" s="6">
        <f ca="1">IF(Main[[#This Row],[مانده در خط سررسید شده (کیلوگرم)]]&lt;&gt;0,Main[[#This Row],[تعداد کل روزهای بدهکار (روز)]],0)</f>
        <v>0</v>
      </c>
      <c r="AF235" s="6">
        <f ca="1">Main[[#This Row],[تعداد روزهای بدهکار سررسید شده (روز)]]*Main[[#This Row],[مانده در خط سررسید شده (کیلوگرم)]]</f>
        <v>0</v>
      </c>
    </row>
    <row r="236" spans="1:32" hidden="1" x14ac:dyDescent="0.35">
      <c r="A236" s="5">
        <f>ROW()-ROW(INDEX(Main[ردیف],1))+1</f>
        <v>234</v>
      </c>
      <c r="B236" s="31">
        <f>SUBTOTAL(2,INDEX(Main[ردیف],1):Main[[#This Row],[ردیف]])</f>
        <v>19</v>
      </c>
      <c r="C236" s="32" t="s">
        <v>525</v>
      </c>
      <c r="D236" s="32" t="str">
        <f>_xlfn.CONCAT("14",Main[[#This Row],[تاريخ]])</f>
        <v>1400/02/01</v>
      </c>
      <c r="E236" s="33">
        <v>44307</v>
      </c>
      <c r="F236" s="32">
        <v>30017</v>
      </c>
      <c r="G236" s="5" t="str">
        <f>INDEX(customer[عنوان],MATCH(Main[[#This Row],[کد ردیابی]],customer[کد],0))</f>
        <v xml:space="preserve">البرز یدک </v>
      </c>
      <c r="H236">
        <v>-5000</v>
      </c>
      <c r="I236" s="6">
        <f ca="1">-Main[[#This Row],[بدهی تسویه شده (کیلوگرم)]]+Main[[#This Row],[بستانکار (کیلوگرم)]]</f>
        <v>-5000</v>
      </c>
      <c r="J236" s="6">
        <f>IF(Main[[#This Row],[مقدار (کیلوگرم)]]&gt;0,Main[[#This Row],[مقدار (کیلوگرم)]],0)</f>
        <v>0</v>
      </c>
      <c r="K236" s="6">
        <f>-IF(Main[[#This Row],[مقدار (کیلوگرم)]]&lt;0,Main[[#This Row],[مقدار (کیلوگرم)]],0)</f>
        <v>5000</v>
      </c>
      <c r="L2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" s="7">
        <f>-IF(AND(Main[[#This Row],[مقدار (کیلوگرم)]]&lt;0,Main[[#This Row],[تاريخ میلادی]]&gt;44276),Main[[#This Row],[مقدار (کیلوگرم)]],0)</f>
        <v>5000</v>
      </c>
      <c r="N236" s="6">
        <f ca="1">Main[[#This Row],[بدهکار (کیلوگرم)]]-Main[[#This Row],[بدهی تسویه نشده (کیلوگرم)]]</f>
        <v>5000</v>
      </c>
      <c r="O236" s="6">
        <f ca="1">Main[[#This Row],[تفکیک]]</f>
        <v>0</v>
      </c>
      <c r="P236" s="6">
        <f ca="1">IF(Main[[#This Row],[تاخیر از سررسید]]&gt;0,Main[[#This Row],[بدهی تسویه نشده (کیلوگرم)]],0)</f>
        <v>0</v>
      </c>
      <c r="Q236" s="6">
        <f ca="1">IF(Main[[#This Row],[بدهی تسویه نشده (کیلوگرم)]]&gt;0,'گزارش فردی'!$B$7-Main[[#This Row],[تاريخ میلادی]],0)</f>
        <v>0</v>
      </c>
      <c r="R236" s="6">
        <f ca="1">IF(Main[[#This Row],[بدهی تسویه نشده (کیلوگرم)]]&gt;0,'گزارش فردی'!$B$7-Main[[#This Row],[تاريخ میلادی]]-'گزارش فردی'!$B$8,0)</f>
        <v>0</v>
      </c>
      <c r="S236" s="6">
        <f ca="1">Main[[#This Row],[روز از ارسال سفارش]]*Main[[#This Row],[بدهی تسویه نشده (کیلوگرم)]]</f>
        <v>0</v>
      </c>
      <c r="T236" s="6">
        <f ca="1">Main[[#This Row],[بدهی سررسید شده (کیلوگرم)]]*Main[[#This Row],[روز از ارسال سفارش]]</f>
        <v>0</v>
      </c>
      <c r="U236" s="6">
        <f>-SUBTOTAL(9,INDEX(Main[مقدار (کیلوگرم)],1):Main[[#This Row],[مقدار (کیلوگرم)]])</f>
        <v>39550</v>
      </c>
      <c r="V2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6" s="6">
        <f>Main[[#This Row],[تعداد کل روزهای بدهکار (روز)]]*Main[[#This Row],[مانده در خط کل (کیلوگرم)]]</f>
        <v>39550</v>
      </c>
      <c r="X236" s="6">
        <f ca="1">-SUBTOTAL(9,INDEX(Main[مقدار تسویه شده (کیلوگرم)],1):Main[[#This Row],[مقدار تسویه شده (کیلوگرم)]])</f>
        <v>39550</v>
      </c>
      <c r="Y236" s="6">
        <f ca="1">IF(Main[[#This Row],[مانده در خط تسویه شده (کیلوگرم)]]&lt;&gt;0,Main[[#This Row],[تعداد کل روزهای بدهکار (روز)]],0)</f>
        <v>1</v>
      </c>
      <c r="Z236" s="6">
        <f ca="1">Main[[#This Row],[تعداد روزهای بدهکار تسویه شده (روز)]]*Main[[#This Row],[مانده در خط تسویه شده (کیلوگرم)]]</f>
        <v>39550</v>
      </c>
      <c r="AA236" s="6">
        <f ca="1">SUBTOTAL(9,INDEX(Main[بدهی تسویه نشده (کیلوگرم)],1):Main[[#This Row],[بدهی تسویه نشده (کیلوگرم)]])</f>
        <v>0</v>
      </c>
      <c r="AB236" s="6">
        <f ca="1">IF(Main[[#This Row],[مانده در خط تسویه نشده (کیلوگرم)]]&lt;&gt;0,Main[[#This Row],[تعداد کل روزهای بدهکار (روز)]],0)</f>
        <v>0</v>
      </c>
      <c r="AC236" s="6">
        <f ca="1">Main[[#This Row],[تعداد روزهای بدهکار  تسویه نشده (روز)]]*Main[[#This Row],[مانده در خط تسویه نشده (کیلوگرم)]]</f>
        <v>0</v>
      </c>
      <c r="AD236" s="6">
        <f ca="1">SUBTOTAL(9,INDEX(Main[بدهی سررسید شده (کیلوگرم)],1):Main[[#This Row],[بدهی سررسید شده (کیلوگرم)]])</f>
        <v>0</v>
      </c>
      <c r="AE236" s="6">
        <f ca="1">IF(Main[[#This Row],[مانده در خط سررسید شده (کیلوگرم)]]&lt;&gt;0,Main[[#This Row],[تعداد کل روزهای بدهکار (روز)]],0)</f>
        <v>0</v>
      </c>
      <c r="AF236" s="6">
        <f ca="1">Main[[#This Row],[تعداد روزهای بدهکار سررسید شده (روز)]]*Main[[#This Row],[مانده در خط سررسید شده (کیلوگرم)]]</f>
        <v>0</v>
      </c>
    </row>
    <row r="237" spans="1:32" hidden="1" x14ac:dyDescent="0.35">
      <c r="A237" s="5">
        <f>ROW()-ROW(INDEX(Main[ردیف],1))+1</f>
        <v>235</v>
      </c>
      <c r="B237" s="31">
        <f>SUBTOTAL(2,INDEX(Main[ردیف],1):Main[[#This Row],[ردیف]])</f>
        <v>19</v>
      </c>
      <c r="C237" s="32" t="s">
        <v>527</v>
      </c>
      <c r="D237" s="32" t="str">
        <f>_xlfn.CONCAT("14",Main[[#This Row],[تاريخ]])</f>
        <v>1400/02/02</v>
      </c>
      <c r="E237" s="33">
        <v>44308</v>
      </c>
      <c r="F237" s="32">
        <v>10020</v>
      </c>
      <c r="G237" s="5" t="str">
        <f>INDEX(customer[عنوان],MATCH(Main[[#This Row],[کد ردیابی]],customer[کد],0))</f>
        <v>فرزاد اسماعیل زاده</v>
      </c>
      <c r="H237">
        <v>819</v>
      </c>
      <c r="I237" s="6">
        <f ca="1">-Main[[#This Row],[بدهی تسویه شده (کیلوگرم)]]+Main[[#This Row],[بستانکار (کیلوگرم)]]</f>
        <v>819</v>
      </c>
      <c r="J237" s="6">
        <f>IF(Main[[#This Row],[مقدار (کیلوگرم)]]&gt;0,Main[[#This Row],[مقدار (کیلوگرم)]],0)</f>
        <v>819</v>
      </c>
      <c r="K237" s="6">
        <f>-IF(Main[[#This Row],[مقدار (کیلوگرم)]]&lt;0,Main[[#This Row],[مقدار (کیلوگرم)]],0)</f>
        <v>0</v>
      </c>
      <c r="L2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" s="7">
        <f>-IF(AND(Main[[#This Row],[مقدار (کیلوگرم)]]&lt;0,Main[[#This Row],[تاريخ میلادی]]&gt;44276),Main[[#This Row],[مقدار (کیلوگرم)]],0)</f>
        <v>0</v>
      </c>
      <c r="N237" s="6">
        <f ca="1">Main[[#This Row],[بدهکار (کیلوگرم)]]-Main[[#This Row],[بدهی تسویه نشده (کیلوگرم)]]</f>
        <v>0</v>
      </c>
      <c r="O237" s="6">
        <f ca="1">Main[[#This Row],[تفکیک]]</f>
        <v>0</v>
      </c>
      <c r="P237" s="6">
        <f ca="1">IF(Main[[#This Row],[تاخیر از سررسید]]&gt;0,Main[[#This Row],[بدهی تسویه نشده (کیلوگرم)]],0)</f>
        <v>0</v>
      </c>
      <c r="Q237" s="6">
        <f ca="1">IF(Main[[#This Row],[بدهی تسویه نشده (کیلوگرم)]]&gt;0,'گزارش فردی'!$B$7-Main[[#This Row],[تاريخ میلادی]],0)</f>
        <v>0</v>
      </c>
      <c r="R237" s="6">
        <f ca="1">IF(Main[[#This Row],[بدهی تسویه نشده (کیلوگرم)]]&gt;0,'گزارش فردی'!$B$7-Main[[#This Row],[تاريخ میلادی]]-'گزارش فردی'!$B$8,0)</f>
        <v>0</v>
      </c>
      <c r="S237" s="6">
        <f ca="1">Main[[#This Row],[روز از ارسال سفارش]]*Main[[#This Row],[بدهی تسویه نشده (کیلوگرم)]]</f>
        <v>0</v>
      </c>
      <c r="T237" s="6">
        <f ca="1">Main[[#This Row],[بدهی سررسید شده (کیلوگرم)]]*Main[[#This Row],[روز از ارسال سفارش]]</f>
        <v>0</v>
      </c>
      <c r="U237" s="6">
        <f>-SUBTOTAL(9,INDEX(Main[مقدار (کیلوگرم)],1):Main[[#This Row],[مقدار (کیلوگرم)]])</f>
        <v>39550</v>
      </c>
      <c r="V2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7" s="6">
        <f>Main[[#This Row],[تعداد کل روزهای بدهکار (روز)]]*Main[[#This Row],[مانده در خط کل (کیلوگرم)]]</f>
        <v>0</v>
      </c>
      <c r="X237" s="6">
        <f ca="1">-SUBTOTAL(9,INDEX(Main[مقدار تسویه شده (کیلوگرم)],1):Main[[#This Row],[مقدار تسویه شده (کیلوگرم)]])</f>
        <v>39550</v>
      </c>
      <c r="Y237" s="6">
        <f ca="1">IF(Main[[#This Row],[مانده در خط تسویه شده (کیلوگرم)]]&lt;&gt;0,Main[[#This Row],[تعداد کل روزهای بدهکار (روز)]],0)</f>
        <v>0</v>
      </c>
      <c r="Z237" s="6">
        <f ca="1">Main[[#This Row],[تعداد روزهای بدهکار تسویه شده (روز)]]*Main[[#This Row],[مانده در خط تسویه شده (کیلوگرم)]]</f>
        <v>0</v>
      </c>
      <c r="AA237" s="6">
        <f ca="1">SUBTOTAL(9,INDEX(Main[بدهی تسویه نشده (کیلوگرم)],1):Main[[#This Row],[بدهی تسویه نشده (کیلوگرم)]])</f>
        <v>0</v>
      </c>
      <c r="AB237" s="6">
        <f ca="1">IF(Main[[#This Row],[مانده در خط تسویه نشده (کیلوگرم)]]&lt;&gt;0,Main[[#This Row],[تعداد کل روزهای بدهکار (روز)]],0)</f>
        <v>0</v>
      </c>
      <c r="AC237" s="6">
        <f ca="1">Main[[#This Row],[تعداد روزهای بدهکار  تسویه نشده (روز)]]*Main[[#This Row],[مانده در خط تسویه نشده (کیلوگرم)]]</f>
        <v>0</v>
      </c>
      <c r="AD237" s="6">
        <f ca="1">SUBTOTAL(9,INDEX(Main[بدهی سررسید شده (کیلوگرم)],1):Main[[#This Row],[بدهی سررسید شده (کیلوگرم)]])</f>
        <v>0</v>
      </c>
      <c r="AE237" s="6">
        <f ca="1">IF(Main[[#This Row],[مانده در خط سررسید شده (کیلوگرم)]]&lt;&gt;0,Main[[#This Row],[تعداد کل روزهای بدهکار (روز)]],0)</f>
        <v>0</v>
      </c>
      <c r="AF237" s="6">
        <f ca="1">Main[[#This Row],[تعداد روزهای بدهکار سررسید شده (روز)]]*Main[[#This Row],[مانده در خط سررسید شده (کیلوگرم)]]</f>
        <v>0</v>
      </c>
    </row>
    <row r="238" spans="1:32" x14ac:dyDescent="0.35">
      <c r="A238" s="5">
        <f>ROW()-ROW(INDEX(Main[ردیف],1))+1</f>
        <v>236</v>
      </c>
      <c r="B238" s="31">
        <f>SUBTOTAL(2,INDEX(Main[ردیف],1):Main[[#This Row],[ردیف]])</f>
        <v>20</v>
      </c>
      <c r="C238" s="32" t="s">
        <v>527</v>
      </c>
      <c r="D238" s="32" t="str">
        <f>_xlfn.CONCAT("14",Main[[#This Row],[تاريخ]])</f>
        <v>1400/02/02</v>
      </c>
      <c r="E238" s="33">
        <v>44308</v>
      </c>
      <c r="F238" s="32">
        <v>10003</v>
      </c>
      <c r="G238" s="5" t="str">
        <f>INDEX(customer[عنوان],MATCH(Main[[#This Row],[کد ردیابی]],customer[کد],0))</f>
        <v>اصغر نورعلی</v>
      </c>
      <c r="H238">
        <v>-1066</v>
      </c>
      <c r="I238" s="6">
        <f ca="1">-Main[[#This Row],[بدهی تسویه شده (کیلوگرم)]]+Main[[#This Row],[بستانکار (کیلوگرم)]]</f>
        <v>-1066</v>
      </c>
      <c r="J238" s="6">
        <f>IF(Main[[#This Row],[مقدار (کیلوگرم)]]&gt;0,Main[[#This Row],[مقدار (کیلوگرم)]],0)</f>
        <v>0</v>
      </c>
      <c r="K238" s="6">
        <f>-IF(Main[[#This Row],[مقدار (کیلوگرم)]]&lt;0,Main[[#This Row],[مقدار (کیلوگرم)]],0)</f>
        <v>1066</v>
      </c>
      <c r="L2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" s="7">
        <f>-IF(AND(Main[[#This Row],[مقدار (کیلوگرم)]]&lt;0,Main[[#This Row],[تاريخ میلادی]]&gt;44276),Main[[#This Row],[مقدار (کیلوگرم)]],0)</f>
        <v>1066</v>
      </c>
      <c r="N238" s="6">
        <f ca="1">Main[[#This Row],[بدهکار (کیلوگرم)]]-Main[[#This Row],[بدهی تسویه نشده (کیلوگرم)]]</f>
        <v>1066</v>
      </c>
      <c r="O238" s="6">
        <f ca="1">Main[[#This Row],[تفکیک]]</f>
        <v>0</v>
      </c>
      <c r="P238" s="6">
        <f ca="1">IF(Main[[#This Row],[تاخیر از سررسید]]&gt;0,Main[[#This Row],[بدهی تسویه نشده (کیلوگرم)]],0)</f>
        <v>0</v>
      </c>
      <c r="Q238" s="6">
        <f ca="1">IF(Main[[#This Row],[بدهی تسویه نشده (کیلوگرم)]]&gt;0,'گزارش فردی'!$B$7-Main[[#This Row],[تاريخ میلادی]],0)</f>
        <v>0</v>
      </c>
      <c r="R238" s="6">
        <f ca="1">IF(Main[[#This Row],[بدهی تسویه نشده (کیلوگرم)]]&gt;0,'گزارش فردی'!$B$7-Main[[#This Row],[تاريخ میلادی]]-'گزارش فردی'!$B$8,0)</f>
        <v>0</v>
      </c>
      <c r="S238" s="6">
        <f ca="1">Main[[#This Row],[روز از ارسال سفارش]]*Main[[#This Row],[بدهی تسویه نشده (کیلوگرم)]]</f>
        <v>0</v>
      </c>
      <c r="T238" s="6">
        <f ca="1">Main[[#This Row],[بدهی سررسید شده (کیلوگرم)]]*Main[[#This Row],[روز از ارسال سفارش]]</f>
        <v>0</v>
      </c>
      <c r="U238" s="6">
        <f>-SUBTOTAL(9,INDEX(Main[مقدار (کیلوگرم)],1):Main[[#This Row],[مقدار (کیلوگرم)]])</f>
        <v>40616</v>
      </c>
      <c r="V2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" s="6">
        <f>Main[[#This Row],[تعداد کل روزهای بدهکار (روز)]]*Main[[#This Row],[مانده در خط کل (کیلوگرم)]]</f>
        <v>0</v>
      </c>
      <c r="X238" s="6">
        <f ca="1">-SUBTOTAL(9,INDEX(Main[مقدار تسویه شده (کیلوگرم)],1):Main[[#This Row],[مقدار تسویه شده (کیلوگرم)]])</f>
        <v>40616</v>
      </c>
      <c r="Y238" s="6">
        <f ca="1">IF(Main[[#This Row],[مانده در خط تسویه شده (کیلوگرم)]]&lt;&gt;0,Main[[#This Row],[تعداد کل روزهای بدهکار (روز)]],0)</f>
        <v>0</v>
      </c>
      <c r="Z238" s="6">
        <f ca="1">Main[[#This Row],[تعداد روزهای بدهکار تسویه شده (روز)]]*Main[[#This Row],[مانده در خط تسویه شده (کیلوگرم)]]</f>
        <v>0</v>
      </c>
      <c r="AA238" s="6">
        <f ca="1">SUBTOTAL(9,INDEX(Main[بدهی تسویه نشده (کیلوگرم)],1):Main[[#This Row],[بدهی تسویه نشده (کیلوگرم)]])</f>
        <v>0</v>
      </c>
      <c r="AB238" s="6">
        <f ca="1">IF(Main[[#This Row],[مانده در خط تسویه نشده (کیلوگرم)]]&lt;&gt;0,Main[[#This Row],[تعداد کل روزهای بدهکار (روز)]],0)</f>
        <v>0</v>
      </c>
      <c r="AC238" s="6">
        <f ca="1">Main[[#This Row],[تعداد روزهای بدهکار  تسویه نشده (روز)]]*Main[[#This Row],[مانده در خط تسویه نشده (کیلوگرم)]]</f>
        <v>0</v>
      </c>
      <c r="AD238" s="6">
        <f ca="1">SUBTOTAL(9,INDEX(Main[بدهی سررسید شده (کیلوگرم)],1):Main[[#This Row],[بدهی سررسید شده (کیلوگرم)]])</f>
        <v>0</v>
      </c>
      <c r="AE238" s="6">
        <f ca="1">IF(Main[[#This Row],[مانده در خط سررسید شده (کیلوگرم)]]&lt;&gt;0,Main[[#This Row],[تعداد کل روزهای بدهکار (روز)]],0)</f>
        <v>0</v>
      </c>
      <c r="AF238" s="6">
        <f ca="1">Main[[#This Row],[تعداد روزهای بدهکار سررسید شده (روز)]]*Main[[#This Row],[مانده در خط سررسید شده (کیلوگرم)]]</f>
        <v>0</v>
      </c>
    </row>
    <row r="239" spans="1:32" x14ac:dyDescent="0.35">
      <c r="A239" s="5">
        <f>ROW()-ROW(INDEX(Main[ردیف],1))+1</f>
        <v>237</v>
      </c>
      <c r="B239" s="31">
        <f>SUBTOTAL(2,INDEX(Main[ردیف],1):Main[[#This Row],[ردیف]])</f>
        <v>21</v>
      </c>
      <c r="C239" s="32" t="s">
        <v>527</v>
      </c>
      <c r="D239" s="32" t="str">
        <f>_xlfn.CONCAT("14",Main[[#This Row],[تاريخ]])</f>
        <v>1400/02/02</v>
      </c>
      <c r="E239" s="33">
        <v>44308</v>
      </c>
      <c r="F239" s="32">
        <v>10003</v>
      </c>
      <c r="G239" s="5" t="str">
        <f>INDEX(customer[عنوان],MATCH(Main[[#This Row],[کد ردیابی]],customer[کد],0))</f>
        <v>اصغر نورعلی</v>
      </c>
      <c r="H239">
        <v>2918</v>
      </c>
      <c r="I239" s="6">
        <f ca="1">-Main[[#This Row],[بدهی تسویه شده (کیلوگرم)]]+Main[[#This Row],[بستانکار (کیلوگرم)]]</f>
        <v>2918</v>
      </c>
      <c r="J239" s="6">
        <f>IF(Main[[#This Row],[مقدار (کیلوگرم)]]&gt;0,Main[[#This Row],[مقدار (کیلوگرم)]],0)</f>
        <v>2918</v>
      </c>
      <c r="K239" s="6">
        <f>-IF(Main[[#This Row],[مقدار (کیلوگرم)]]&lt;0,Main[[#This Row],[مقدار (کیلوگرم)]],0)</f>
        <v>0</v>
      </c>
      <c r="L2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" s="7">
        <f>-IF(AND(Main[[#This Row],[مقدار (کیلوگرم)]]&lt;0,Main[[#This Row],[تاريخ میلادی]]&gt;44276),Main[[#This Row],[مقدار (کیلوگرم)]],0)</f>
        <v>0</v>
      </c>
      <c r="N239" s="6">
        <f ca="1">Main[[#This Row],[بدهکار (کیلوگرم)]]-Main[[#This Row],[بدهی تسویه نشده (کیلوگرم)]]</f>
        <v>0</v>
      </c>
      <c r="O239" s="6">
        <f ca="1">Main[[#This Row],[تفکیک]]</f>
        <v>0</v>
      </c>
      <c r="P239" s="6">
        <f ca="1">IF(Main[[#This Row],[تاخیر از سررسید]]&gt;0,Main[[#This Row],[بدهی تسویه نشده (کیلوگرم)]],0)</f>
        <v>0</v>
      </c>
      <c r="Q239" s="6">
        <f ca="1">IF(Main[[#This Row],[بدهی تسویه نشده (کیلوگرم)]]&gt;0,'گزارش فردی'!$B$7-Main[[#This Row],[تاريخ میلادی]],0)</f>
        <v>0</v>
      </c>
      <c r="R239" s="6">
        <f ca="1">IF(Main[[#This Row],[بدهی تسویه نشده (کیلوگرم)]]&gt;0,'گزارش فردی'!$B$7-Main[[#This Row],[تاريخ میلادی]]-'گزارش فردی'!$B$8,0)</f>
        <v>0</v>
      </c>
      <c r="S239" s="6">
        <f ca="1">Main[[#This Row],[روز از ارسال سفارش]]*Main[[#This Row],[بدهی تسویه نشده (کیلوگرم)]]</f>
        <v>0</v>
      </c>
      <c r="T239" s="6">
        <f ca="1">Main[[#This Row],[بدهی سررسید شده (کیلوگرم)]]*Main[[#This Row],[روز از ارسال سفارش]]</f>
        <v>0</v>
      </c>
      <c r="U239" s="6">
        <f>-SUBTOTAL(9,INDEX(Main[مقدار (کیلوگرم)],1):Main[[#This Row],[مقدار (کیلوگرم)]])</f>
        <v>37698</v>
      </c>
      <c r="V2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9" s="6">
        <f>Main[[#This Row],[تعداد کل روزهای بدهکار (روز)]]*Main[[#This Row],[مانده در خط کل (کیلوگرم)]]</f>
        <v>75396</v>
      </c>
      <c r="X239" s="6">
        <f ca="1">-SUBTOTAL(9,INDEX(Main[مقدار تسویه شده (کیلوگرم)],1):Main[[#This Row],[مقدار تسویه شده (کیلوگرم)]])</f>
        <v>37698</v>
      </c>
      <c r="Y239" s="6">
        <f ca="1">IF(Main[[#This Row],[مانده در خط تسویه شده (کیلوگرم)]]&lt;&gt;0,Main[[#This Row],[تعداد کل روزهای بدهکار (روز)]],0)</f>
        <v>2</v>
      </c>
      <c r="Z239" s="6">
        <f ca="1">Main[[#This Row],[تعداد روزهای بدهکار تسویه شده (روز)]]*Main[[#This Row],[مانده در خط تسویه شده (کیلوگرم)]]</f>
        <v>75396</v>
      </c>
      <c r="AA239" s="6">
        <f ca="1">SUBTOTAL(9,INDEX(Main[بدهی تسویه نشده (کیلوگرم)],1):Main[[#This Row],[بدهی تسویه نشده (کیلوگرم)]])</f>
        <v>0</v>
      </c>
      <c r="AB239" s="6">
        <f ca="1">IF(Main[[#This Row],[مانده در خط تسویه نشده (کیلوگرم)]]&lt;&gt;0,Main[[#This Row],[تعداد کل روزهای بدهکار (روز)]],0)</f>
        <v>0</v>
      </c>
      <c r="AC239" s="6">
        <f ca="1">Main[[#This Row],[تعداد روزهای بدهکار  تسویه نشده (روز)]]*Main[[#This Row],[مانده در خط تسویه نشده (کیلوگرم)]]</f>
        <v>0</v>
      </c>
      <c r="AD239" s="6">
        <f ca="1">SUBTOTAL(9,INDEX(Main[بدهی سررسید شده (کیلوگرم)],1):Main[[#This Row],[بدهی سررسید شده (کیلوگرم)]])</f>
        <v>0</v>
      </c>
      <c r="AE239" s="6">
        <f ca="1">IF(Main[[#This Row],[مانده در خط سررسید شده (کیلوگرم)]]&lt;&gt;0,Main[[#This Row],[تعداد کل روزهای بدهکار (روز)]],0)</f>
        <v>0</v>
      </c>
      <c r="AF239" s="6">
        <f ca="1">Main[[#This Row],[تعداد روزهای بدهکار سررسید شده (روز)]]*Main[[#This Row],[مانده در خط سررسید شده (کیلوگرم)]]</f>
        <v>0</v>
      </c>
    </row>
    <row r="240" spans="1:32" hidden="1" x14ac:dyDescent="0.35">
      <c r="A240" s="5">
        <f>ROW()-ROW(INDEX(Main[ردیف],1))+1</f>
        <v>238</v>
      </c>
      <c r="B240" s="31">
        <f>SUBTOTAL(2,INDEX(Main[ردیف],1):Main[[#This Row],[ردیف]])</f>
        <v>21</v>
      </c>
      <c r="C240" s="32" t="s">
        <v>528</v>
      </c>
      <c r="D240" s="32" t="str">
        <f>_xlfn.CONCAT("14",Main[[#This Row],[تاريخ]])</f>
        <v>1400/02/04</v>
      </c>
      <c r="E240" s="33">
        <v>44310</v>
      </c>
      <c r="F240" s="32">
        <v>30058</v>
      </c>
      <c r="G240" s="5" t="str">
        <f>INDEX(customer[عنوان],MATCH(Main[[#This Row],[کد ردیابی]],customer[کد],0))</f>
        <v xml:space="preserve">پارس شیر </v>
      </c>
      <c r="H240">
        <v>-3972</v>
      </c>
      <c r="I240" s="6">
        <f ca="1">-Main[[#This Row],[بدهی تسویه شده (کیلوگرم)]]+Main[[#This Row],[بستانکار (کیلوگرم)]]</f>
        <v>-3972</v>
      </c>
      <c r="J240" s="6">
        <f>IF(Main[[#This Row],[مقدار (کیلوگرم)]]&gt;0,Main[[#This Row],[مقدار (کیلوگرم)]],0)</f>
        <v>0</v>
      </c>
      <c r="K240" s="6">
        <f>-IF(Main[[#This Row],[مقدار (کیلوگرم)]]&lt;0,Main[[#This Row],[مقدار (کیلوگرم)]],0)</f>
        <v>3972</v>
      </c>
      <c r="L2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" s="7">
        <f>-IF(AND(Main[[#This Row],[مقدار (کیلوگرم)]]&lt;0,Main[[#This Row],[تاريخ میلادی]]&gt;44276),Main[[#This Row],[مقدار (کیلوگرم)]],0)</f>
        <v>3972</v>
      </c>
      <c r="N240" s="6">
        <f ca="1">Main[[#This Row],[بدهکار (کیلوگرم)]]-Main[[#This Row],[بدهی تسویه نشده (کیلوگرم)]]</f>
        <v>3972</v>
      </c>
      <c r="O240" s="6">
        <f ca="1">Main[[#This Row],[تفکیک]]</f>
        <v>0</v>
      </c>
      <c r="P240" s="6">
        <f ca="1">IF(Main[[#This Row],[تاخیر از سررسید]]&gt;0,Main[[#This Row],[بدهی تسویه نشده (کیلوگرم)]],0)</f>
        <v>0</v>
      </c>
      <c r="Q240" s="6">
        <f ca="1">IF(Main[[#This Row],[بدهی تسویه نشده (کیلوگرم)]]&gt;0,'گزارش فردی'!$B$7-Main[[#This Row],[تاريخ میلادی]],0)</f>
        <v>0</v>
      </c>
      <c r="R240" s="6">
        <f ca="1">IF(Main[[#This Row],[بدهی تسویه نشده (کیلوگرم)]]&gt;0,'گزارش فردی'!$B$7-Main[[#This Row],[تاريخ میلادی]]-'گزارش فردی'!$B$8,0)</f>
        <v>0</v>
      </c>
      <c r="S240" s="6">
        <f ca="1">Main[[#This Row],[روز از ارسال سفارش]]*Main[[#This Row],[بدهی تسویه نشده (کیلوگرم)]]</f>
        <v>0</v>
      </c>
      <c r="T240" s="6">
        <f ca="1">Main[[#This Row],[بدهی سررسید شده (کیلوگرم)]]*Main[[#This Row],[روز از ارسال سفارش]]</f>
        <v>0</v>
      </c>
      <c r="U240" s="6">
        <f>-SUBTOTAL(9,INDEX(Main[مقدار (کیلوگرم)],1):Main[[#This Row],[مقدار (کیلوگرم)]])</f>
        <v>37698</v>
      </c>
      <c r="V2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" s="6">
        <f>Main[[#This Row],[تعداد کل روزهای بدهکار (روز)]]*Main[[#This Row],[مانده در خط کل (کیلوگرم)]]</f>
        <v>0</v>
      </c>
      <c r="X240" s="6">
        <f ca="1">-SUBTOTAL(9,INDEX(Main[مقدار تسویه شده (کیلوگرم)],1):Main[[#This Row],[مقدار تسویه شده (کیلوگرم)]])</f>
        <v>37698</v>
      </c>
      <c r="Y240" s="6">
        <f ca="1">IF(Main[[#This Row],[مانده در خط تسویه شده (کیلوگرم)]]&lt;&gt;0,Main[[#This Row],[تعداد کل روزهای بدهکار (روز)]],0)</f>
        <v>0</v>
      </c>
      <c r="Z240" s="6">
        <f ca="1">Main[[#This Row],[تعداد روزهای بدهکار تسویه شده (روز)]]*Main[[#This Row],[مانده در خط تسویه شده (کیلوگرم)]]</f>
        <v>0</v>
      </c>
      <c r="AA240" s="6">
        <f ca="1">SUBTOTAL(9,INDEX(Main[بدهی تسویه نشده (کیلوگرم)],1):Main[[#This Row],[بدهی تسویه نشده (کیلوگرم)]])</f>
        <v>0</v>
      </c>
      <c r="AB240" s="6">
        <f ca="1">IF(Main[[#This Row],[مانده در خط تسویه نشده (کیلوگرم)]]&lt;&gt;0,Main[[#This Row],[تعداد کل روزهای بدهکار (روز)]],0)</f>
        <v>0</v>
      </c>
      <c r="AC240" s="6">
        <f ca="1">Main[[#This Row],[تعداد روزهای بدهکار  تسویه نشده (روز)]]*Main[[#This Row],[مانده در خط تسویه نشده (کیلوگرم)]]</f>
        <v>0</v>
      </c>
      <c r="AD240" s="6">
        <f ca="1">SUBTOTAL(9,INDEX(Main[بدهی سررسید شده (کیلوگرم)],1):Main[[#This Row],[بدهی سررسید شده (کیلوگرم)]])</f>
        <v>0</v>
      </c>
      <c r="AE240" s="6">
        <f ca="1">IF(Main[[#This Row],[مانده در خط سررسید شده (کیلوگرم)]]&lt;&gt;0,Main[[#This Row],[تعداد کل روزهای بدهکار (روز)]],0)</f>
        <v>0</v>
      </c>
      <c r="AF240" s="6">
        <f ca="1">Main[[#This Row],[تعداد روزهای بدهکار سررسید شده (روز)]]*Main[[#This Row],[مانده در خط سررسید شده (کیلوگرم)]]</f>
        <v>0</v>
      </c>
    </row>
    <row r="241" spans="1:32" hidden="1" x14ac:dyDescent="0.35">
      <c r="A241" s="5">
        <f>ROW()-ROW(INDEX(Main[ردیف],1))+1</f>
        <v>239</v>
      </c>
      <c r="B241" s="31">
        <f>SUBTOTAL(2,INDEX(Main[ردیف],1):Main[[#This Row],[ردیف]])</f>
        <v>21</v>
      </c>
      <c r="C241" s="32" t="s">
        <v>528</v>
      </c>
      <c r="D241" s="32" t="str">
        <f>_xlfn.CONCAT("14",Main[[#This Row],[تاريخ]])</f>
        <v>1400/02/04</v>
      </c>
      <c r="E241" s="33">
        <v>44310</v>
      </c>
      <c r="F241" s="32">
        <v>30022</v>
      </c>
      <c r="G241" s="5" t="str">
        <f>INDEX(customer[عنوان],MATCH(Main[[#This Row],[کد ردیابی]],customer[کد],0))</f>
        <v xml:space="preserve">کلار پویا </v>
      </c>
      <c r="H241">
        <v>-4996</v>
      </c>
      <c r="I241" s="6">
        <f ca="1">-Main[[#This Row],[بدهی تسویه شده (کیلوگرم)]]+Main[[#This Row],[بستانکار (کیلوگرم)]]</f>
        <v>-4996</v>
      </c>
      <c r="J241" s="6">
        <f>IF(Main[[#This Row],[مقدار (کیلوگرم)]]&gt;0,Main[[#This Row],[مقدار (کیلوگرم)]],0)</f>
        <v>0</v>
      </c>
      <c r="K241" s="6">
        <f>-IF(Main[[#This Row],[مقدار (کیلوگرم)]]&lt;0,Main[[#This Row],[مقدار (کیلوگرم)]],0)</f>
        <v>4996</v>
      </c>
      <c r="L2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" s="7">
        <f>-IF(AND(Main[[#This Row],[مقدار (کیلوگرم)]]&lt;0,Main[[#This Row],[تاريخ میلادی]]&gt;44276),Main[[#This Row],[مقدار (کیلوگرم)]],0)</f>
        <v>4996</v>
      </c>
      <c r="N241" s="6">
        <f ca="1">Main[[#This Row],[بدهکار (کیلوگرم)]]-Main[[#This Row],[بدهی تسویه نشده (کیلوگرم)]]</f>
        <v>4996</v>
      </c>
      <c r="O241" s="6">
        <f ca="1">Main[[#This Row],[تفکیک]]</f>
        <v>0</v>
      </c>
      <c r="P241" s="6">
        <f ca="1">IF(Main[[#This Row],[تاخیر از سررسید]]&gt;0,Main[[#This Row],[بدهی تسویه نشده (کیلوگرم)]],0)</f>
        <v>0</v>
      </c>
      <c r="Q241" s="6">
        <f ca="1">IF(Main[[#This Row],[بدهی تسویه نشده (کیلوگرم)]]&gt;0,'گزارش فردی'!$B$7-Main[[#This Row],[تاريخ میلادی]],0)</f>
        <v>0</v>
      </c>
      <c r="R241" s="6">
        <f ca="1">IF(Main[[#This Row],[بدهی تسویه نشده (کیلوگرم)]]&gt;0,'گزارش فردی'!$B$7-Main[[#This Row],[تاريخ میلادی]]-'گزارش فردی'!$B$8,0)</f>
        <v>0</v>
      </c>
      <c r="S241" s="6">
        <f ca="1">Main[[#This Row],[روز از ارسال سفارش]]*Main[[#This Row],[بدهی تسویه نشده (کیلوگرم)]]</f>
        <v>0</v>
      </c>
      <c r="T241" s="6">
        <f ca="1">Main[[#This Row],[بدهی سررسید شده (کیلوگرم)]]*Main[[#This Row],[روز از ارسال سفارش]]</f>
        <v>0</v>
      </c>
      <c r="U241" s="6">
        <f>-SUBTOTAL(9,INDEX(Main[مقدار (کیلوگرم)],1):Main[[#This Row],[مقدار (کیلوگرم)]])</f>
        <v>37698</v>
      </c>
      <c r="V2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1" s="6">
        <f>Main[[#This Row],[تعداد کل روزهای بدهکار (روز)]]*Main[[#This Row],[مانده در خط کل (کیلوگرم)]]</f>
        <v>0</v>
      </c>
      <c r="X241" s="6">
        <f ca="1">-SUBTOTAL(9,INDEX(Main[مقدار تسویه شده (کیلوگرم)],1):Main[[#This Row],[مقدار تسویه شده (کیلوگرم)]])</f>
        <v>37698</v>
      </c>
      <c r="Y241" s="6">
        <f ca="1">IF(Main[[#This Row],[مانده در خط تسویه شده (کیلوگرم)]]&lt;&gt;0,Main[[#This Row],[تعداد کل روزهای بدهکار (روز)]],0)</f>
        <v>0</v>
      </c>
      <c r="Z241" s="6">
        <f ca="1">Main[[#This Row],[تعداد روزهای بدهکار تسویه شده (روز)]]*Main[[#This Row],[مانده در خط تسویه شده (کیلوگرم)]]</f>
        <v>0</v>
      </c>
      <c r="AA241" s="6">
        <f ca="1">SUBTOTAL(9,INDEX(Main[بدهی تسویه نشده (کیلوگرم)],1):Main[[#This Row],[بدهی تسویه نشده (کیلوگرم)]])</f>
        <v>0</v>
      </c>
      <c r="AB241" s="6">
        <f ca="1">IF(Main[[#This Row],[مانده در خط تسویه نشده (کیلوگرم)]]&lt;&gt;0,Main[[#This Row],[تعداد کل روزهای بدهکار (روز)]],0)</f>
        <v>0</v>
      </c>
      <c r="AC241" s="6">
        <f ca="1">Main[[#This Row],[تعداد روزهای بدهکار  تسویه نشده (روز)]]*Main[[#This Row],[مانده در خط تسویه نشده (کیلوگرم)]]</f>
        <v>0</v>
      </c>
      <c r="AD241" s="6">
        <f ca="1">SUBTOTAL(9,INDEX(Main[بدهی سررسید شده (کیلوگرم)],1):Main[[#This Row],[بدهی سررسید شده (کیلوگرم)]])</f>
        <v>0</v>
      </c>
      <c r="AE241" s="6">
        <f ca="1">IF(Main[[#This Row],[مانده در خط سررسید شده (کیلوگرم)]]&lt;&gt;0,Main[[#This Row],[تعداد کل روزهای بدهکار (روز)]],0)</f>
        <v>0</v>
      </c>
      <c r="AF241" s="6">
        <f ca="1">Main[[#This Row],[تعداد روزهای بدهکار سررسید شده (روز)]]*Main[[#This Row],[مانده در خط سررسید شده (کیلوگرم)]]</f>
        <v>0</v>
      </c>
    </row>
    <row r="242" spans="1:32" hidden="1" x14ac:dyDescent="0.35">
      <c r="A242" s="5">
        <f>ROW()-ROW(INDEX(Main[ردیف],1))+1</f>
        <v>240</v>
      </c>
      <c r="B242" s="31">
        <f>SUBTOTAL(2,INDEX(Main[ردیف],1):Main[[#This Row],[ردیف]])</f>
        <v>21</v>
      </c>
      <c r="C242" s="32" t="s">
        <v>528</v>
      </c>
      <c r="D242" s="32" t="str">
        <f>_xlfn.CONCAT("14",Main[[#This Row],[تاريخ]])</f>
        <v>1400/02/04</v>
      </c>
      <c r="E242" s="33">
        <v>44310</v>
      </c>
      <c r="F242" s="32">
        <v>30009</v>
      </c>
      <c r="G242" s="5" t="str">
        <f>INDEX(customer[عنوان],MATCH(Main[[#This Row],[کد ردیابی]],customer[کد],0))</f>
        <v>شرکت ایمن تک پیشرو</v>
      </c>
      <c r="H242">
        <v>-677</v>
      </c>
      <c r="I242" s="6">
        <f ca="1">-Main[[#This Row],[بدهی تسویه شده (کیلوگرم)]]+Main[[#This Row],[بستانکار (کیلوگرم)]]</f>
        <v>-677</v>
      </c>
      <c r="J242" s="6">
        <f>IF(Main[[#This Row],[مقدار (کیلوگرم)]]&gt;0,Main[[#This Row],[مقدار (کیلوگرم)]],0)</f>
        <v>0</v>
      </c>
      <c r="K242" s="6">
        <f>-IF(Main[[#This Row],[مقدار (کیلوگرم)]]&lt;0,Main[[#This Row],[مقدار (کیلوگرم)]],0)</f>
        <v>677</v>
      </c>
      <c r="L2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" s="7">
        <f>-IF(AND(Main[[#This Row],[مقدار (کیلوگرم)]]&lt;0,Main[[#This Row],[تاريخ میلادی]]&gt;44276),Main[[#This Row],[مقدار (کیلوگرم)]],0)</f>
        <v>677</v>
      </c>
      <c r="N242" s="6">
        <f ca="1">Main[[#This Row],[بدهکار (کیلوگرم)]]-Main[[#This Row],[بدهی تسویه نشده (کیلوگرم)]]</f>
        <v>677</v>
      </c>
      <c r="O242" s="6">
        <f ca="1">Main[[#This Row],[تفکیک]]</f>
        <v>0</v>
      </c>
      <c r="P242" s="6">
        <f ca="1">IF(Main[[#This Row],[تاخیر از سررسید]]&gt;0,Main[[#This Row],[بدهی تسویه نشده (کیلوگرم)]],0)</f>
        <v>0</v>
      </c>
      <c r="Q242" s="6">
        <f ca="1">IF(Main[[#This Row],[بدهی تسویه نشده (کیلوگرم)]]&gt;0,'گزارش فردی'!$B$7-Main[[#This Row],[تاريخ میلادی]],0)</f>
        <v>0</v>
      </c>
      <c r="R242" s="6">
        <f ca="1">IF(Main[[#This Row],[بدهی تسویه نشده (کیلوگرم)]]&gt;0,'گزارش فردی'!$B$7-Main[[#This Row],[تاريخ میلادی]]-'گزارش فردی'!$B$8,0)</f>
        <v>0</v>
      </c>
      <c r="S242" s="6">
        <f ca="1">Main[[#This Row],[روز از ارسال سفارش]]*Main[[#This Row],[بدهی تسویه نشده (کیلوگرم)]]</f>
        <v>0</v>
      </c>
      <c r="T242" s="6">
        <f ca="1">Main[[#This Row],[بدهی سررسید شده (کیلوگرم)]]*Main[[#This Row],[روز از ارسال سفارش]]</f>
        <v>0</v>
      </c>
      <c r="U242" s="6">
        <f>-SUBTOTAL(9,INDEX(Main[مقدار (کیلوگرم)],1):Main[[#This Row],[مقدار (کیلوگرم)]])</f>
        <v>37698</v>
      </c>
      <c r="V2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2" s="6">
        <f>Main[[#This Row],[تعداد کل روزهای بدهکار (روز)]]*Main[[#This Row],[مانده در خط کل (کیلوگرم)]]</f>
        <v>0</v>
      </c>
      <c r="X242" s="6">
        <f ca="1">-SUBTOTAL(9,INDEX(Main[مقدار تسویه شده (کیلوگرم)],1):Main[[#This Row],[مقدار تسویه شده (کیلوگرم)]])</f>
        <v>37698</v>
      </c>
      <c r="Y242" s="6">
        <f ca="1">IF(Main[[#This Row],[مانده در خط تسویه شده (کیلوگرم)]]&lt;&gt;0,Main[[#This Row],[تعداد کل روزهای بدهکار (روز)]],0)</f>
        <v>0</v>
      </c>
      <c r="Z242" s="6">
        <f ca="1">Main[[#This Row],[تعداد روزهای بدهکار تسویه شده (روز)]]*Main[[#This Row],[مانده در خط تسویه شده (کیلوگرم)]]</f>
        <v>0</v>
      </c>
      <c r="AA242" s="6">
        <f ca="1">SUBTOTAL(9,INDEX(Main[بدهی تسویه نشده (کیلوگرم)],1):Main[[#This Row],[بدهی تسویه نشده (کیلوگرم)]])</f>
        <v>0</v>
      </c>
      <c r="AB242" s="6">
        <f ca="1">IF(Main[[#This Row],[مانده در خط تسویه نشده (کیلوگرم)]]&lt;&gt;0,Main[[#This Row],[تعداد کل روزهای بدهکار (روز)]],0)</f>
        <v>0</v>
      </c>
      <c r="AC242" s="6">
        <f ca="1">Main[[#This Row],[تعداد روزهای بدهکار  تسویه نشده (روز)]]*Main[[#This Row],[مانده در خط تسویه نشده (کیلوگرم)]]</f>
        <v>0</v>
      </c>
      <c r="AD242" s="6">
        <f ca="1">SUBTOTAL(9,INDEX(Main[بدهی سررسید شده (کیلوگرم)],1):Main[[#This Row],[بدهی سررسید شده (کیلوگرم)]])</f>
        <v>0</v>
      </c>
      <c r="AE242" s="6">
        <f ca="1">IF(Main[[#This Row],[مانده در خط سررسید شده (کیلوگرم)]]&lt;&gt;0,Main[[#This Row],[تعداد کل روزهای بدهکار (روز)]],0)</f>
        <v>0</v>
      </c>
      <c r="AF242" s="6">
        <f ca="1">Main[[#This Row],[تعداد روزهای بدهکار سررسید شده (روز)]]*Main[[#This Row],[مانده در خط سررسید شده (کیلوگرم)]]</f>
        <v>0</v>
      </c>
    </row>
    <row r="243" spans="1:32" hidden="1" x14ac:dyDescent="0.35">
      <c r="A243" s="5">
        <f>ROW()-ROW(INDEX(Main[ردیف],1))+1</f>
        <v>241</v>
      </c>
      <c r="B243" s="31">
        <f>SUBTOTAL(2,INDEX(Main[ردیف],1):Main[[#This Row],[ردیف]])</f>
        <v>21</v>
      </c>
      <c r="C243" s="32" t="s">
        <v>528</v>
      </c>
      <c r="D243" s="32" t="str">
        <f>_xlfn.CONCAT("14",Main[[#This Row],[تاريخ]])</f>
        <v>1400/02/04</v>
      </c>
      <c r="E243" s="33">
        <v>44310</v>
      </c>
      <c r="F243" s="32">
        <v>30066</v>
      </c>
      <c r="G243" s="5" t="str">
        <f>INDEX(customer[عنوان],MATCH(Main[[#This Row],[کد ردیابی]],customer[کد],0))</f>
        <v xml:space="preserve">شیر آلات بهداشتی قهرمان </v>
      </c>
      <c r="H243">
        <v>-5310</v>
      </c>
      <c r="I243" s="6">
        <f ca="1">-Main[[#This Row],[بدهی تسویه شده (کیلوگرم)]]+Main[[#This Row],[بستانکار (کیلوگرم)]]</f>
        <v>-5310</v>
      </c>
      <c r="J243" s="6">
        <f>IF(Main[[#This Row],[مقدار (کیلوگرم)]]&gt;0,Main[[#This Row],[مقدار (کیلوگرم)]],0)</f>
        <v>0</v>
      </c>
      <c r="K243" s="6">
        <f>-IF(Main[[#This Row],[مقدار (کیلوگرم)]]&lt;0,Main[[#This Row],[مقدار (کیلوگرم)]],0)</f>
        <v>5310</v>
      </c>
      <c r="L2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" s="7">
        <f>-IF(AND(Main[[#This Row],[مقدار (کیلوگرم)]]&lt;0,Main[[#This Row],[تاريخ میلادی]]&gt;44276),Main[[#This Row],[مقدار (کیلوگرم)]],0)</f>
        <v>5310</v>
      </c>
      <c r="N243" s="6">
        <f ca="1">Main[[#This Row],[بدهکار (کیلوگرم)]]-Main[[#This Row],[بدهی تسویه نشده (کیلوگرم)]]</f>
        <v>5310</v>
      </c>
      <c r="O243" s="6">
        <f ca="1">Main[[#This Row],[تفکیک]]</f>
        <v>0</v>
      </c>
      <c r="P243" s="6">
        <f ca="1">IF(Main[[#This Row],[تاخیر از سررسید]]&gt;0,Main[[#This Row],[بدهی تسویه نشده (کیلوگرم)]],0)</f>
        <v>0</v>
      </c>
      <c r="Q243" s="6">
        <f ca="1">IF(Main[[#This Row],[بدهی تسویه نشده (کیلوگرم)]]&gt;0,'گزارش فردی'!$B$7-Main[[#This Row],[تاريخ میلادی]],0)</f>
        <v>0</v>
      </c>
      <c r="R243" s="6">
        <f ca="1">IF(Main[[#This Row],[بدهی تسویه نشده (کیلوگرم)]]&gt;0,'گزارش فردی'!$B$7-Main[[#This Row],[تاريخ میلادی]]-'گزارش فردی'!$B$8,0)</f>
        <v>0</v>
      </c>
      <c r="S243" s="6">
        <f ca="1">Main[[#This Row],[روز از ارسال سفارش]]*Main[[#This Row],[بدهی تسویه نشده (کیلوگرم)]]</f>
        <v>0</v>
      </c>
      <c r="T243" s="6">
        <f ca="1">Main[[#This Row],[بدهی سررسید شده (کیلوگرم)]]*Main[[#This Row],[روز از ارسال سفارش]]</f>
        <v>0</v>
      </c>
      <c r="U243" s="6">
        <f>-SUBTOTAL(9,INDEX(Main[مقدار (کیلوگرم)],1):Main[[#This Row],[مقدار (کیلوگرم)]])</f>
        <v>37698</v>
      </c>
      <c r="V2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" s="6">
        <f>Main[[#This Row],[تعداد کل روزهای بدهکار (روز)]]*Main[[#This Row],[مانده در خط کل (کیلوگرم)]]</f>
        <v>0</v>
      </c>
      <c r="X243" s="6">
        <f ca="1">-SUBTOTAL(9,INDEX(Main[مقدار تسویه شده (کیلوگرم)],1):Main[[#This Row],[مقدار تسویه شده (کیلوگرم)]])</f>
        <v>37698</v>
      </c>
      <c r="Y243" s="6">
        <f ca="1">IF(Main[[#This Row],[مانده در خط تسویه شده (کیلوگرم)]]&lt;&gt;0,Main[[#This Row],[تعداد کل روزهای بدهکار (روز)]],0)</f>
        <v>0</v>
      </c>
      <c r="Z243" s="6">
        <f ca="1">Main[[#This Row],[تعداد روزهای بدهکار تسویه شده (روز)]]*Main[[#This Row],[مانده در خط تسویه شده (کیلوگرم)]]</f>
        <v>0</v>
      </c>
      <c r="AA243" s="6">
        <f ca="1">SUBTOTAL(9,INDEX(Main[بدهی تسویه نشده (کیلوگرم)],1):Main[[#This Row],[بدهی تسویه نشده (کیلوگرم)]])</f>
        <v>0</v>
      </c>
      <c r="AB243" s="6">
        <f ca="1">IF(Main[[#This Row],[مانده در خط تسویه نشده (کیلوگرم)]]&lt;&gt;0,Main[[#This Row],[تعداد کل روزهای بدهکار (روز)]],0)</f>
        <v>0</v>
      </c>
      <c r="AC243" s="6">
        <f ca="1">Main[[#This Row],[تعداد روزهای بدهکار  تسویه نشده (روز)]]*Main[[#This Row],[مانده در خط تسویه نشده (کیلوگرم)]]</f>
        <v>0</v>
      </c>
      <c r="AD243" s="6">
        <f ca="1">SUBTOTAL(9,INDEX(Main[بدهی سررسید شده (کیلوگرم)],1):Main[[#This Row],[بدهی سررسید شده (کیلوگرم)]])</f>
        <v>0</v>
      </c>
      <c r="AE243" s="6">
        <f ca="1">IF(Main[[#This Row],[مانده در خط سررسید شده (کیلوگرم)]]&lt;&gt;0,Main[[#This Row],[تعداد کل روزهای بدهکار (روز)]],0)</f>
        <v>0</v>
      </c>
      <c r="AF243" s="6">
        <f ca="1">Main[[#This Row],[تعداد روزهای بدهکار سررسید شده (روز)]]*Main[[#This Row],[مانده در خط سررسید شده (کیلوگرم)]]</f>
        <v>0</v>
      </c>
    </row>
    <row r="244" spans="1:32" hidden="1" x14ac:dyDescent="0.35">
      <c r="A244" s="5">
        <f>ROW()-ROW(INDEX(Main[ردیف],1))+1</f>
        <v>242</v>
      </c>
      <c r="B244" s="31">
        <f>SUBTOTAL(2,INDEX(Main[ردیف],1):Main[[#This Row],[ردیف]])</f>
        <v>21</v>
      </c>
      <c r="C244" s="32" t="s">
        <v>528</v>
      </c>
      <c r="D244" s="32" t="str">
        <f>_xlfn.CONCAT("14",Main[[#This Row],[تاريخ]])</f>
        <v>1400/02/04</v>
      </c>
      <c r="E244" s="33">
        <v>44310</v>
      </c>
      <c r="F244" s="32">
        <v>30009</v>
      </c>
      <c r="G244" s="5" t="str">
        <f>INDEX(customer[عنوان],MATCH(Main[[#This Row],[کد ردیابی]],customer[کد],0))</f>
        <v>شرکت ایمن تک پیشرو</v>
      </c>
      <c r="H244">
        <v>-3775</v>
      </c>
      <c r="I244" s="6">
        <f ca="1">-Main[[#This Row],[بدهی تسویه شده (کیلوگرم)]]+Main[[#This Row],[بستانکار (کیلوگرم)]]</f>
        <v>-3775</v>
      </c>
      <c r="J244" s="6">
        <f>IF(Main[[#This Row],[مقدار (کیلوگرم)]]&gt;0,Main[[#This Row],[مقدار (کیلوگرم)]],0)</f>
        <v>0</v>
      </c>
      <c r="K244" s="6">
        <f>-IF(Main[[#This Row],[مقدار (کیلوگرم)]]&lt;0,Main[[#This Row],[مقدار (کیلوگرم)]],0)</f>
        <v>3775</v>
      </c>
      <c r="L2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" s="7">
        <f>-IF(AND(Main[[#This Row],[مقدار (کیلوگرم)]]&lt;0,Main[[#This Row],[تاريخ میلادی]]&gt;44276),Main[[#This Row],[مقدار (کیلوگرم)]],0)</f>
        <v>3775</v>
      </c>
      <c r="N244" s="6">
        <f ca="1">Main[[#This Row],[بدهکار (کیلوگرم)]]-Main[[#This Row],[بدهی تسویه نشده (کیلوگرم)]]</f>
        <v>3775</v>
      </c>
      <c r="O244" s="6">
        <f ca="1">Main[[#This Row],[تفکیک]]</f>
        <v>0</v>
      </c>
      <c r="P244" s="6">
        <f ca="1">IF(Main[[#This Row],[تاخیر از سررسید]]&gt;0,Main[[#This Row],[بدهی تسویه نشده (کیلوگرم)]],0)</f>
        <v>0</v>
      </c>
      <c r="Q244" s="6">
        <f ca="1">IF(Main[[#This Row],[بدهی تسویه نشده (کیلوگرم)]]&gt;0,'گزارش فردی'!$B$7-Main[[#This Row],[تاريخ میلادی]],0)</f>
        <v>0</v>
      </c>
      <c r="R244" s="6">
        <f ca="1">IF(Main[[#This Row],[بدهی تسویه نشده (کیلوگرم)]]&gt;0,'گزارش فردی'!$B$7-Main[[#This Row],[تاريخ میلادی]]-'گزارش فردی'!$B$8,0)</f>
        <v>0</v>
      </c>
      <c r="S244" s="6">
        <f ca="1">Main[[#This Row],[روز از ارسال سفارش]]*Main[[#This Row],[بدهی تسویه نشده (کیلوگرم)]]</f>
        <v>0</v>
      </c>
      <c r="T244" s="6">
        <f ca="1">Main[[#This Row],[بدهی سررسید شده (کیلوگرم)]]*Main[[#This Row],[روز از ارسال سفارش]]</f>
        <v>0</v>
      </c>
      <c r="U244" s="6">
        <f>-SUBTOTAL(9,INDEX(Main[مقدار (کیلوگرم)],1):Main[[#This Row],[مقدار (کیلوگرم)]])</f>
        <v>37698</v>
      </c>
      <c r="V2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" s="6">
        <f>Main[[#This Row],[تعداد کل روزهای بدهکار (روز)]]*Main[[#This Row],[مانده در خط کل (کیلوگرم)]]</f>
        <v>0</v>
      </c>
      <c r="X244" s="6">
        <f ca="1">-SUBTOTAL(9,INDEX(Main[مقدار تسویه شده (کیلوگرم)],1):Main[[#This Row],[مقدار تسویه شده (کیلوگرم)]])</f>
        <v>37698</v>
      </c>
      <c r="Y244" s="6">
        <f ca="1">IF(Main[[#This Row],[مانده در خط تسویه شده (کیلوگرم)]]&lt;&gt;0,Main[[#This Row],[تعداد کل روزهای بدهکار (روز)]],0)</f>
        <v>0</v>
      </c>
      <c r="Z244" s="6">
        <f ca="1">Main[[#This Row],[تعداد روزهای بدهکار تسویه شده (روز)]]*Main[[#This Row],[مانده در خط تسویه شده (کیلوگرم)]]</f>
        <v>0</v>
      </c>
      <c r="AA244" s="6">
        <f ca="1">SUBTOTAL(9,INDEX(Main[بدهی تسویه نشده (کیلوگرم)],1):Main[[#This Row],[بدهی تسویه نشده (کیلوگرم)]])</f>
        <v>0</v>
      </c>
      <c r="AB244" s="6">
        <f ca="1">IF(Main[[#This Row],[مانده در خط تسویه نشده (کیلوگرم)]]&lt;&gt;0,Main[[#This Row],[تعداد کل روزهای بدهکار (روز)]],0)</f>
        <v>0</v>
      </c>
      <c r="AC244" s="6">
        <f ca="1">Main[[#This Row],[تعداد روزهای بدهکار  تسویه نشده (روز)]]*Main[[#This Row],[مانده در خط تسویه نشده (کیلوگرم)]]</f>
        <v>0</v>
      </c>
      <c r="AD244" s="6">
        <f ca="1">SUBTOTAL(9,INDEX(Main[بدهی سررسید شده (کیلوگرم)],1):Main[[#This Row],[بدهی سررسید شده (کیلوگرم)]])</f>
        <v>0</v>
      </c>
      <c r="AE244" s="6">
        <f ca="1">IF(Main[[#This Row],[مانده در خط سررسید شده (کیلوگرم)]]&lt;&gt;0,Main[[#This Row],[تعداد کل روزهای بدهکار (روز)]],0)</f>
        <v>0</v>
      </c>
      <c r="AF244" s="6">
        <f ca="1">Main[[#This Row],[تعداد روزهای بدهکار سررسید شده (روز)]]*Main[[#This Row],[مانده در خط سررسید شده (کیلوگرم)]]</f>
        <v>0</v>
      </c>
    </row>
    <row r="245" spans="1:32" hidden="1" x14ac:dyDescent="0.35">
      <c r="A245" s="5">
        <f>ROW()-ROW(INDEX(Main[ردیف],1))+1</f>
        <v>243</v>
      </c>
      <c r="B245" s="31">
        <f>SUBTOTAL(2,INDEX(Main[ردیف],1):Main[[#This Row],[ردیف]])</f>
        <v>21</v>
      </c>
      <c r="C245" s="32" t="s">
        <v>528</v>
      </c>
      <c r="D245" s="32" t="str">
        <f>_xlfn.CONCAT("14",Main[[#This Row],[تاريخ]])</f>
        <v>1400/02/04</v>
      </c>
      <c r="E245" s="33">
        <v>44310</v>
      </c>
      <c r="F245" s="32">
        <v>10026</v>
      </c>
      <c r="G245" s="5" t="str">
        <f>INDEX(customer[عنوان],MATCH(Main[[#This Row],[کد ردیابی]],customer[کد],0))</f>
        <v xml:space="preserve">محسن فیاض بخش </v>
      </c>
      <c r="H245">
        <v>-1744</v>
      </c>
      <c r="I245" s="6">
        <f ca="1">-Main[[#This Row],[بدهی تسویه شده (کیلوگرم)]]+Main[[#This Row],[بستانکار (کیلوگرم)]]</f>
        <v>-1744</v>
      </c>
      <c r="J245" s="6">
        <f>IF(Main[[#This Row],[مقدار (کیلوگرم)]]&gt;0,Main[[#This Row],[مقدار (کیلوگرم)]],0)</f>
        <v>0</v>
      </c>
      <c r="K245" s="6">
        <f>-IF(Main[[#This Row],[مقدار (کیلوگرم)]]&lt;0,Main[[#This Row],[مقدار (کیلوگرم)]],0)</f>
        <v>1744</v>
      </c>
      <c r="L2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" s="7">
        <f>-IF(AND(Main[[#This Row],[مقدار (کیلوگرم)]]&lt;0,Main[[#This Row],[تاريخ میلادی]]&gt;44276),Main[[#This Row],[مقدار (کیلوگرم)]],0)</f>
        <v>1744</v>
      </c>
      <c r="N245" s="6">
        <f ca="1">Main[[#This Row],[بدهکار (کیلوگرم)]]-Main[[#This Row],[بدهی تسویه نشده (کیلوگرم)]]</f>
        <v>1744</v>
      </c>
      <c r="O245" s="6">
        <f ca="1">Main[[#This Row],[تفکیک]]</f>
        <v>0</v>
      </c>
      <c r="P245" s="6">
        <f ca="1">IF(Main[[#This Row],[تاخیر از سررسید]]&gt;0,Main[[#This Row],[بدهی تسویه نشده (کیلوگرم)]],0)</f>
        <v>0</v>
      </c>
      <c r="Q245" s="6">
        <f ca="1">IF(Main[[#This Row],[بدهی تسویه نشده (کیلوگرم)]]&gt;0,'گزارش فردی'!$B$7-Main[[#This Row],[تاريخ میلادی]],0)</f>
        <v>0</v>
      </c>
      <c r="R245" s="6">
        <f ca="1">IF(Main[[#This Row],[بدهی تسویه نشده (کیلوگرم)]]&gt;0,'گزارش فردی'!$B$7-Main[[#This Row],[تاريخ میلادی]]-'گزارش فردی'!$B$8,0)</f>
        <v>0</v>
      </c>
      <c r="S245" s="6">
        <f ca="1">Main[[#This Row],[روز از ارسال سفارش]]*Main[[#This Row],[بدهی تسویه نشده (کیلوگرم)]]</f>
        <v>0</v>
      </c>
      <c r="T245" s="6">
        <f ca="1">Main[[#This Row],[بدهی سررسید شده (کیلوگرم)]]*Main[[#This Row],[روز از ارسال سفارش]]</f>
        <v>0</v>
      </c>
      <c r="U245" s="6">
        <f>-SUBTOTAL(9,INDEX(Main[مقدار (کیلوگرم)],1):Main[[#This Row],[مقدار (کیلوگرم)]])</f>
        <v>37698</v>
      </c>
      <c r="V2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" s="6">
        <f>Main[[#This Row],[تعداد کل روزهای بدهکار (روز)]]*Main[[#This Row],[مانده در خط کل (کیلوگرم)]]</f>
        <v>0</v>
      </c>
      <c r="X245" s="6">
        <f ca="1">-SUBTOTAL(9,INDEX(Main[مقدار تسویه شده (کیلوگرم)],1):Main[[#This Row],[مقدار تسویه شده (کیلوگرم)]])</f>
        <v>37698</v>
      </c>
      <c r="Y245" s="6">
        <f ca="1">IF(Main[[#This Row],[مانده در خط تسویه شده (کیلوگرم)]]&lt;&gt;0,Main[[#This Row],[تعداد کل روزهای بدهکار (روز)]],0)</f>
        <v>0</v>
      </c>
      <c r="Z245" s="6">
        <f ca="1">Main[[#This Row],[تعداد روزهای بدهکار تسویه شده (روز)]]*Main[[#This Row],[مانده در خط تسویه شده (کیلوگرم)]]</f>
        <v>0</v>
      </c>
      <c r="AA245" s="6">
        <f ca="1">SUBTOTAL(9,INDEX(Main[بدهی تسویه نشده (کیلوگرم)],1):Main[[#This Row],[بدهی تسویه نشده (کیلوگرم)]])</f>
        <v>0</v>
      </c>
      <c r="AB245" s="6">
        <f ca="1">IF(Main[[#This Row],[مانده در خط تسویه نشده (کیلوگرم)]]&lt;&gt;0,Main[[#This Row],[تعداد کل روزهای بدهکار (روز)]],0)</f>
        <v>0</v>
      </c>
      <c r="AC245" s="6">
        <f ca="1">Main[[#This Row],[تعداد روزهای بدهکار  تسویه نشده (روز)]]*Main[[#This Row],[مانده در خط تسویه نشده (کیلوگرم)]]</f>
        <v>0</v>
      </c>
      <c r="AD245" s="6">
        <f ca="1">SUBTOTAL(9,INDEX(Main[بدهی سررسید شده (کیلوگرم)],1):Main[[#This Row],[بدهی سررسید شده (کیلوگرم)]])</f>
        <v>0</v>
      </c>
      <c r="AE245" s="6">
        <f ca="1">IF(Main[[#This Row],[مانده در خط سررسید شده (کیلوگرم)]]&lt;&gt;0,Main[[#This Row],[تعداد کل روزهای بدهکار (روز)]],0)</f>
        <v>0</v>
      </c>
      <c r="AF245" s="6">
        <f ca="1">Main[[#This Row],[تعداد روزهای بدهکار سررسید شده (روز)]]*Main[[#This Row],[مانده در خط سررسید شده (کیلوگرم)]]</f>
        <v>0</v>
      </c>
    </row>
    <row r="246" spans="1:32" x14ac:dyDescent="0.35">
      <c r="A246" s="5">
        <f>ROW()-ROW(INDEX(Main[ردیف],1))+1</f>
        <v>244</v>
      </c>
      <c r="B246" s="31">
        <f>SUBTOTAL(2,INDEX(Main[ردیف],1):Main[[#This Row],[ردیف]])</f>
        <v>22</v>
      </c>
      <c r="C246" s="32" t="s">
        <v>528</v>
      </c>
      <c r="D246" s="32" t="str">
        <f>_xlfn.CONCAT("14",Main[[#This Row],[تاريخ]])</f>
        <v>1400/02/04</v>
      </c>
      <c r="E246" s="33">
        <v>44310</v>
      </c>
      <c r="F246" s="32">
        <v>10003</v>
      </c>
      <c r="G246" s="5" t="str">
        <f>INDEX(customer[عنوان],MATCH(Main[[#This Row],[کد ردیابی]],customer[کد],0))</f>
        <v>اصغر نورعلی</v>
      </c>
      <c r="H246">
        <v>-2020</v>
      </c>
      <c r="I246" s="6">
        <f ca="1">-Main[[#This Row],[بدهی تسویه شده (کیلوگرم)]]+Main[[#This Row],[بستانکار (کیلوگرم)]]</f>
        <v>-2020</v>
      </c>
      <c r="J246" s="6">
        <f>IF(Main[[#This Row],[مقدار (کیلوگرم)]]&gt;0,Main[[#This Row],[مقدار (کیلوگرم)]],0)</f>
        <v>0</v>
      </c>
      <c r="K246" s="6">
        <f>-IF(Main[[#This Row],[مقدار (کیلوگرم)]]&lt;0,Main[[#This Row],[مقدار (کیلوگرم)]],0)</f>
        <v>2020</v>
      </c>
      <c r="L2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" s="7">
        <f>-IF(AND(Main[[#This Row],[مقدار (کیلوگرم)]]&lt;0,Main[[#This Row],[تاريخ میلادی]]&gt;44276),Main[[#This Row],[مقدار (کیلوگرم)]],0)</f>
        <v>2020</v>
      </c>
      <c r="N246" s="6">
        <f ca="1">Main[[#This Row],[بدهکار (کیلوگرم)]]-Main[[#This Row],[بدهی تسویه نشده (کیلوگرم)]]</f>
        <v>2020</v>
      </c>
      <c r="O246" s="6">
        <f ca="1">Main[[#This Row],[تفکیک]]</f>
        <v>0</v>
      </c>
      <c r="P246" s="6">
        <f ca="1">IF(Main[[#This Row],[تاخیر از سررسید]]&gt;0,Main[[#This Row],[بدهی تسویه نشده (کیلوگرم)]],0)</f>
        <v>0</v>
      </c>
      <c r="Q246" s="6">
        <f ca="1">IF(Main[[#This Row],[بدهی تسویه نشده (کیلوگرم)]]&gt;0,'گزارش فردی'!$B$7-Main[[#This Row],[تاريخ میلادی]],0)</f>
        <v>0</v>
      </c>
      <c r="R246" s="6">
        <f ca="1">IF(Main[[#This Row],[بدهی تسویه نشده (کیلوگرم)]]&gt;0,'گزارش فردی'!$B$7-Main[[#This Row],[تاريخ میلادی]]-'گزارش فردی'!$B$8,0)</f>
        <v>0</v>
      </c>
      <c r="S246" s="6">
        <f ca="1">Main[[#This Row],[روز از ارسال سفارش]]*Main[[#This Row],[بدهی تسویه نشده (کیلوگرم)]]</f>
        <v>0</v>
      </c>
      <c r="T246" s="6">
        <f ca="1">Main[[#This Row],[بدهی سررسید شده (کیلوگرم)]]*Main[[#This Row],[روز از ارسال سفارش]]</f>
        <v>0</v>
      </c>
      <c r="U246" s="6">
        <f>-SUBTOTAL(9,INDEX(Main[مقدار (کیلوگرم)],1):Main[[#This Row],[مقدار (کیلوگرم)]])</f>
        <v>39718</v>
      </c>
      <c r="V2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6" s="6">
        <f>Main[[#This Row],[تعداد کل روزهای بدهکار (روز)]]*Main[[#This Row],[مانده در خط کل (کیلوگرم)]]</f>
        <v>39718</v>
      </c>
      <c r="X246" s="6">
        <f ca="1">-SUBTOTAL(9,INDEX(Main[مقدار تسویه شده (کیلوگرم)],1):Main[[#This Row],[مقدار تسویه شده (کیلوگرم)]])</f>
        <v>39718</v>
      </c>
      <c r="Y246" s="6">
        <f ca="1">IF(Main[[#This Row],[مانده در خط تسویه شده (کیلوگرم)]]&lt;&gt;0,Main[[#This Row],[تعداد کل روزهای بدهکار (روز)]],0)</f>
        <v>1</v>
      </c>
      <c r="Z246" s="6">
        <f ca="1">Main[[#This Row],[تعداد روزهای بدهکار تسویه شده (روز)]]*Main[[#This Row],[مانده در خط تسویه شده (کیلوگرم)]]</f>
        <v>39718</v>
      </c>
      <c r="AA246" s="6">
        <f ca="1">SUBTOTAL(9,INDEX(Main[بدهی تسویه نشده (کیلوگرم)],1):Main[[#This Row],[بدهی تسویه نشده (کیلوگرم)]])</f>
        <v>0</v>
      </c>
      <c r="AB246" s="6">
        <f ca="1">IF(Main[[#This Row],[مانده در خط تسویه نشده (کیلوگرم)]]&lt;&gt;0,Main[[#This Row],[تعداد کل روزهای بدهکار (روز)]],0)</f>
        <v>0</v>
      </c>
      <c r="AC246" s="6">
        <f ca="1">Main[[#This Row],[تعداد روزهای بدهکار  تسویه نشده (روز)]]*Main[[#This Row],[مانده در خط تسویه نشده (کیلوگرم)]]</f>
        <v>0</v>
      </c>
      <c r="AD246" s="6">
        <f ca="1">SUBTOTAL(9,INDEX(Main[بدهی سررسید شده (کیلوگرم)],1):Main[[#This Row],[بدهی سررسید شده (کیلوگرم)]])</f>
        <v>0</v>
      </c>
      <c r="AE246" s="6">
        <f ca="1">IF(Main[[#This Row],[مانده در خط سررسید شده (کیلوگرم)]]&lt;&gt;0,Main[[#This Row],[تعداد کل روزهای بدهکار (روز)]],0)</f>
        <v>0</v>
      </c>
      <c r="AF246" s="6">
        <f ca="1">Main[[#This Row],[تعداد روزهای بدهکار سررسید شده (روز)]]*Main[[#This Row],[مانده در خط سررسید شده (کیلوگرم)]]</f>
        <v>0</v>
      </c>
    </row>
    <row r="247" spans="1:32" hidden="1" x14ac:dyDescent="0.35">
      <c r="A247" s="5">
        <f>ROW()-ROW(INDEX(Main[ردیف],1))+1</f>
        <v>245</v>
      </c>
      <c r="B247" s="31">
        <f>SUBTOTAL(2,INDEX(Main[ردیف],1):Main[[#This Row],[ردیف]])</f>
        <v>22</v>
      </c>
      <c r="C247" s="32" t="s">
        <v>528</v>
      </c>
      <c r="D247" s="32" t="str">
        <f>_xlfn.CONCAT("14",Main[[#This Row],[تاريخ]])</f>
        <v>1400/02/04</v>
      </c>
      <c r="E247" s="33">
        <v>44310</v>
      </c>
      <c r="F247" s="32">
        <v>10055</v>
      </c>
      <c r="G247" s="5" t="str">
        <f>INDEX(customer[عنوان],MATCH(Main[[#This Row],[کد ردیابی]],customer[کد],0))</f>
        <v xml:space="preserve">مریم فیض آبادی  </v>
      </c>
      <c r="H247">
        <v>-5128</v>
      </c>
      <c r="I247" s="6">
        <f ca="1">-Main[[#This Row],[بدهی تسویه شده (کیلوگرم)]]+Main[[#This Row],[بستانکار (کیلوگرم)]]</f>
        <v>-5128</v>
      </c>
      <c r="J247" s="6">
        <f>IF(Main[[#This Row],[مقدار (کیلوگرم)]]&gt;0,Main[[#This Row],[مقدار (کیلوگرم)]],0)</f>
        <v>0</v>
      </c>
      <c r="K247" s="6">
        <f>-IF(Main[[#This Row],[مقدار (کیلوگرم)]]&lt;0,Main[[#This Row],[مقدار (کیلوگرم)]],0)</f>
        <v>5128</v>
      </c>
      <c r="L2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" s="7">
        <f>-IF(AND(Main[[#This Row],[مقدار (کیلوگرم)]]&lt;0,Main[[#This Row],[تاريخ میلادی]]&gt;44276),Main[[#This Row],[مقدار (کیلوگرم)]],0)</f>
        <v>5128</v>
      </c>
      <c r="N247" s="6">
        <f ca="1">Main[[#This Row],[بدهکار (کیلوگرم)]]-Main[[#This Row],[بدهی تسویه نشده (کیلوگرم)]]</f>
        <v>5128</v>
      </c>
      <c r="O247" s="6">
        <f ca="1">Main[[#This Row],[تفکیک]]</f>
        <v>0</v>
      </c>
      <c r="P247" s="6">
        <f ca="1">IF(Main[[#This Row],[تاخیر از سررسید]]&gt;0,Main[[#This Row],[بدهی تسویه نشده (کیلوگرم)]],0)</f>
        <v>0</v>
      </c>
      <c r="Q247" s="6">
        <f ca="1">IF(Main[[#This Row],[بدهی تسویه نشده (کیلوگرم)]]&gt;0,'گزارش فردی'!$B$7-Main[[#This Row],[تاريخ میلادی]],0)</f>
        <v>0</v>
      </c>
      <c r="R247" s="6">
        <f ca="1">IF(Main[[#This Row],[بدهی تسویه نشده (کیلوگرم)]]&gt;0,'گزارش فردی'!$B$7-Main[[#This Row],[تاريخ میلادی]]-'گزارش فردی'!$B$8,0)</f>
        <v>0</v>
      </c>
      <c r="S247" s="6">
        <f ca="1">Main[[#This Row],[روز از ارسال سفارش]]*Main[[#This Row],[بدهی تسویه نشده (کیلوگرم)]]</f>
        <v>0</v>
      </c>
      <c r="T247" s="6">
        <f ca="1">Main[[#This Row],[بدهی سررسید شده (کیلوگرم)]]*Main[[#This Row],[روز از ارسال سفارش]]</f>
        <v>0</v>
      </c>
      <c r="U247" s="6">
        <f>-SUBTOTAL(9,INDEX(Main[مقدار (کیلوگرم)],1):Main[[#This Row],[مقدار (کیلوگرم)]])</f>
        <v>39718</v>
      </c>
      <c r="V2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7" s="6">
        <f>Main[[#This Row],[تعداد کل روزهای بدهکار (روز)]]*Main[[#This Row],[مانده در خط کل (کیلوگرم)]]</f>
        <v>39718</v>
      </c>
      <c r="X247" s="6">
        <f ca="1">-SUBTOTAL(9,INDEX(Main[مقدار تسویه شده (کیلوگرم)],1):Main[[#This Row],[مقدار تسویه شده (کیلوگرم)]])</f>
        <v>39718</v>
      </c>
      <c r="Y247" s="6">
        <f ca="1">IF(Main[[#This Row],[مانده در خط تسویه شده (کیلوگرم)]]&lt;&gt;0,Main[[#This Row],[تعداد کل روزهای بدهکار (روز)]],0)</f>
        <v>1</v>
      </c>
      <c r="Z247" s="6">
        <f ca="1">Main[[#This Row],[تعداد روزهای بدهکار تسویه شده (روز)]]*Main[[#This Row],[مانده در خط تسویه شده (کیلوگرم)]]</f>
        <v>39718</v>
      </c>
      <c r="AA247" s="6">
        <f ca="1">SUBTOTAL(9,INDEX(Main[بدهی تسویه نشده (کیلوگرم)],1):Main[[#This Row],[بدهی تسویه نشده (کیلوگرم)]])</f>
        <v>0</v>
      </c>
      <c r="AB247" s="6">
        <f ca="1">IF(Main[[#This Row],[مانده در خط تسویه نشده (کیلوگرم)]]&lt;&gt;0,Main[[#This Row],[تعداد کل روزهای بدهکار (روز)]],0)</f>
        <v>0</v>
      </c>
      <c r="AC247" s="6">
        <f ca="1">Main[[#This Row],[تعداد روزهای بدهکار  تسویه نشده (روز)]]*Main[[#This Row],[مانده در خط تسویه نشده (کیلوگرم)]]</f>
        <v>0</v>
      </c>
      <c r="AD247" s="6">
        <f ca="1">SUBTOTAL(9,INDEX(Main[بدهی سررسید شده (کیلوگرم)],1):Main[[#This Row],[بدهی سررسید شده (کیلوگرم)]])</f>
        <v>0</v>
      </c>
      <c r="AE247" s="6">
        <f ca="1">IF(Main[[#This Row],[مانده در خط سررسید شده (کیلوگرم)]]&lt;&gt;0,Main[[#This Row],[تعداد کل روزهای بدهکار (روز)]],0)</f>
        <v>0</v>
      </c>
      <c r="AF247" s="6">
        <f ca="1">Main[[#This Row],[تعداد روزهای بدهکار سررسید شده (روز)]]*Main[[#This Row],[مانده در خط سررسید شده (کیلوگرم)]]</f>
        <v>0</v>
      </c>
    </row>
    <row r="248" spans="1:32" hidden="1" x14ac:dyDescent="0.35">
      <c r="A248" s="5">
        <f>ROW()-ROW(INDEX(Main[ردیف],1))+1</f>
        <v>246</v>
      </c>
      <c r="B248" s="31">
        <f>SUBTOTAL(2,INDEX(Main[ردیف],1):Main[[#This Row],[ردیف]])</f>
        <v>22</v>
      </c>
      <c r="C248" s="32" t="s">
        <v>528</v>
      </c>
      <c r="D248" s="32" t="str">
        <f>_xlfn.CONCAT("14",Main[[#This Row],[تاريخ]])</f>
        <v>1400/02/04</v>
      </c>
      <c r="E248" s="33">
        <v>44310</v>
      </c>
      <c r="F248" s="32">
        <v>10027</v>
      </c>
      <c r="G248" s="5" t="str">
        <f>INDEX(customer[عنوان],MATCH(Main[[#This Row],[کد ردیابی]],customer[کد],0))</f>
        <v xml:space="preserve">مصطفی نورعلی </v>
      </c>
      <c r="H248">
        <v>-2926</v>
      </c>
      <c r="I248" s="6">
        <f ca="1">-Main[[#This Row],[بدهی تسویه شده (کیلوگرم)]]+Main[[#This Row],[بستانکار (کیلوگرم)]]</f>
        <v>-2926</v>
      </c>
      <c r="J248" s="6">
        <f>IF(Main[[#This Row],[مقدار (کیلوگرم)]]&gt;0,Main[[#This Row],[مقدار (کیلوگرم)]],0)</f>
        <v>0</v>
      </c>
      <c r="K248" s="6">
        <f>-IF(Main[[#This Row],[مقدار (کیلوگرم)]]&lt;0,Main[[#This Row],[مقدار (کیلوگرم)]],0)</f>
        <v>2926</v>
      </c>
      <c r="L2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" s="7">
        <f>-IF(AND(Main[[#This Row],[مقدار (کیلوگرم)]]&lt;0,Main[[#This Row],[تاريخ میلادی]]&gt;44276),Main[[#This Row],[مقدار (کیلوگرم)]],0)</f>
        <v>2926</v>
      </c>
      <c r="N248" s="6">
        <f ca="1">Main[[#This Row],[بدهکار (کیلوگرم)]]-Main[[#This Row],[بدهی تسویه نشده (کیلوگرم)]]</f>
        <v>2926</v>
      </c>
      <c r="O248" s="6">
        <f ca="1">Main[[#This Row],[تفکیک]]</f>
        <v>0</v>
      </c>
      <c r="P248" s="6">
        <f ca="1">IF(Main[[#This Row],[تاخیر از سررسید]]&gt;0,Main[[#This Row],[بدهی تسویه نشده (کیلوگرم)]],0)</f>
        <v>0</v>
      </c>
      <c r="Q248" s="6">
        <f ca="1">IF(Main[[#This Row],[بدهی تسویه نشده (کیلوگرم)]]&gt;0,'گزارش فردی'!$B$7-Main[[#This Row],[تاريخ میلادی]],0)</f>
        <v>0</v>
      </c>
      <c r="R248" s="6">
        <f ca="1">IF(Main[[#This Row],[بدهی تسویه نشده (کیلوگرم)]]&gt;0,'گزارش فردی'!$B$7-Main[[#This Row],[تاريخ میلادی]]-'گزارش فردی'!$B$8,0)</f>
        <v>0</v>
      </c>
      <c r="S248" s="6">
        <f ca="1">Main[[#This Row],[روز از ارسال سفارش]]*Main[[#This Row],[بدهی تسویه نشده (کیلوگرم)]]</f>
        <v>0</v>
      </c>
      <c r="T248" s="6">
        <f ca="1">Main[[#This Row],[بدهی سررسید شده (کیلوگرم)]]*Main[[#This Row],[روز از ارسال سفارش]]</f>
        <v>0</v>
      </c>
      <c r="U248" s="6">
        <f>-SUBTOTAL(9,INDEX(Main[مقدار (کیلوگرم)],1):Main[[#This Row],[مقدار (کیلوگرم)]])</f>
        <v>39718</v>
      </c>
      <c r="V2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" s="6">
        <f>Main[[#This Row],[تعداد کل روزهای بدهکار (روز)]]*Main[[#This Row],[مانده در خط کل (کیلوگرم)]]</f>
        <v>39718</v>
      </c>
      <c r="X248" s="6">
        <f ca="1">-SUBTOTAL(9,INDEX(Main[مقدار تسویه شده (کیلوگرم)],1):Main[[#This Row],[مقدار تسویه شده (کیلوگرم)]])</f>
        <v>39718</v>
      </c>
      <c r="Y248" s="6">
        <f ca="1">IF(Main[[#This Row],[مانده در خط تسویه شده (کیلوگرم)]]&lt;&gt;0,Main[[#This Row],[تعداد کل روزهای بدهکار (روز)]],0)</f>
        <v>1</v>
      </c>
      <c r="Z248" s="6">
        <f ca="1">Main[[#This Row],[تعداد روزهای بدهکار تسویه شده (روز)]]*Main[[#This Row],[مانده در خط تسویه شده (کیلوگرم)]]</f>
        <v>39718</v>
      </c>
      <c r="AA248" s="6">
        <f ca="1">SUBTOTAL(9,INDEX(Main[بدهی تسویه نشده (کیلوگرم)],1):Main[[#This Row],[بدهی تسویه نشده (کیلوگرم)]])</f>
        <v>0</v>
      </c>
      <c r="AB248" s="6">
        <f ca="1">IF(Main[[#This Row],[مانده در خط تسویه نشده (کیلوگرم)]]&lt;&gt;0,Main[[#This Row],[تعداد کل روزهای بدهکار (روز)]],0)</f>
        <v>0</v>
      </c>
      <c r="AC248" s="6">
        <f ca="1">Main[[#This Row],[تعداد روزهای بدهکار  تسویه نشده (روز)]]*Main[[#This Row],[مانده در خط تسویه نشده (کیلوگرم)]]</f>
        <v>0</v>
      </c>
      <c r="AD248" s="6">
        <f ca="1">SUBTOTAL(9,INDEX(Main[بدهی سررسید شده (کیلوگرم)],1):Main[[#This Row],[بدهی سررسید شده (کیلوگرم)]])</f>
        <v>0</v>
      </c>
      <c r="AE248" s="6">
        <f ca="1">IF(Main[[#This Row],[مانده در خط سررسید شده (کیلوگرم)]]&lt;&gt;0,Main[[#This Row],[تعداد کل روزهای بدهکار (روز)]],0)</f>
        <v>0</v>
      </c>
      <c r="AF248" s="6">
        <f ca="1">Main[[#This Row],[تعداد روزهای بدهکار سررسید شده (روز)]]*Main[[#This Row],[مانده در خط سررسید شده (کیلوگرم)]]</f>
        <v>0</v>
      </c>
    </row>
    <row r="249" spans="1:32" hidden="1" x14ac:dyDescent="0.35">
      <c r="A249" s="5">
        <f>ROW()-ROW(INDEX(Main[ردیف],1))+1</f>
        <v>247</v>
      </c>
      <c r="B249" s="31">
        <f>SUBTOTAL(2,INDEX(Main[ردیف],1):Main[[#This Row],[ردیف]])</f>
        <v>22</v>
      </c>
      <c r="C249" s="32" t="s">
        <v>529</v>
      </c>
      <c r="D249" s="32" t="str">
        <f>_xlfn.CONCAT("14",Main[[#This Row],[تاريخ]])</f>
        <v>1400/02/05</v>
      </c>
      <c r="E249" s="33">
        <v>44311</v>
      </c>
      <c r="F249" s="32">
        <v>10055</v>
      </c>
      <c r="G249" s="5" t="str">
        <f>INDEX(customer[عنوان],MATCH(Main[[#This Row],[کد ردیابی]],customer[کد],0))</f>
        <v xml:space="preserve">مریم فیض آبادی  </v>
      </c>
      <c r="H249">
        <v>4254</v>
      </c>
      <c r="I249" s="6">
        <f ca="1">-Main[[#This Row],[بدهی تسویه شده (کیلوگرم)]]+Main[[#This Row],[بستانکار (کیلوگرم)]]</f>
        <v>4254</v>
      </c>
      <c r="J249" s="6">
        <f>IF(Main[[#This Row],[مقدار (کیلوگرم)]]&gt;0,Main[[#This Row],[مقدار (کیلوگرم)]],0)</f>
        <v>4254</v>
      </c>
      <c r="K249" s="6">
        <f>-IF(Main[[#This Row],[مقدار (کیلوگرم)]]&lt;0,Main[[#This Row],[مقدار (کیلوگرم)]],0)</f>
        <v>0</v>
      </c>
      <c r="L2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" s="7">
        <f>-IF(AND(Main[[#This Row],[مقدار (کیلوگرم)]]&lt;0,Main[[#This Row],[تاريخ میلادی]]&gt;44276),Main[[#This Row],[مقدار (کیلوگرم)]],0)</f>
        <v>0</v>
      </c>
      <c r="N249" s="6">
        <f ca="1">Main[[#This Row],[بدهکار (کیلوگرم)]]-Main[[#This Row],[بدهی تسویه نشده (کیلوگرم)]]</f>
        <v>0</v>
      </c>
      <c r="O249" s="6">
        <f ca="1">Main[[#This Row],[تفکیک]]</f>
        <v>0</v>
      </c>
      <c r="P249" s="6">
        <f ca="1">IF(Main[[#This Row],[تاخیر از سررسید]]&gt;0,Main[[#This Row],[بدهی تسویه نشده (کیلوگرم)]],0)</f>
        <v>0</v>
      </c>
      <c r="Q249" s="6">
        <f ca="1">IF(Main[[#This Row],[بدهی تسویه نشده (کیلوگرم)]]&gt;0,'گزارش فردی'!$B$7-Main[[#This Row],[تاريخ میلادی]],0)</f>
        <v>0</v>
      </c>
      <c r="R249" s="6">
        <f ca="1">IF(Main[[#This Row],[بدهی تسویه نشده (کیلوگرم)]]&gt;0,'گزارش فردی'!$B$7-Main[[#This Row],[تاريخ میلادی]]-'گزارش فردی'!$B$8,0)</f>
        <v>0</v>
      </c>
      <c r="S249" s="6">
        <f ca="1">Main[[#This Row],[روز از ارسال سفارش]]*Main[[#This Row],[بدهی تسویه نشده (کیلوگرم)]]</f>
        <v>0</v>
      </c>
      <c r="T249" s="6">
        <f ca="1">Main[[#This Row],[بدهی سررسید شده (کیلوگرم)]]*Main[[#This Row],[روز از ارسال سفارش]]</f>
        <v>0</v>
      </c>
      <c r="U249" s="6">
        <f>-SUBTOTAL(9,INDEX(Main[مقدار (کیلوگرم)],1):Main[[#This Row],[مقدار (کیلوگرم)]])</f>
        <v>39718</v>
      </c>
      <c r="V2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" s="6">
        <f>Main[[#This Row],[تعداد کل روزهای بدهکار (روز)]]*Main[[#This Row],[مانده در خط کل (کیلوگرم)]]</f>
        <v>0</v>
      </c>
      <c r="X249" s="6">
        <f ca="1">-SUBTOTAL(9,INDEX(Main[مقدار تسویه شده (کیلوگرم)],1):Main[[#This Row],[مقدار تسویه شده (کیلوگرم)]])</f>
        <v>39718</v>
      </c>
      <c r="Y249" s="6">
        <f ca="1">IF(Main[[#This Row],[مانده در خط تسویه شده (کیلوگرم)]]&lt;&gt;0,Main[[#This Row],[تعداد کل روزهای بدهکار (روز)]],0)</f>
        <v>0</v>
      </c>
      <c r="Z249" s="6">
        <f ca="1">Main[[#This Row],[تعداد روزهای بدهکار تسویه شده (روز)]]*Main[[#This Row],[مانده در خط تسویه شده (کیلوگرم)]]</f>
        <v>0</v>
      </c>
      <c r="AA249" s="6">
        <f ca="1">SUBTOTAL(9,INDEX(Main[بدهی تسویه نشده (کیلوگرم)],1):Main[[#This Row],[بدهی تسویه نشده (کیلوگرم)]])</f>
        <v>0</v>
      </c>
      <c r="AB249" s="6">
        <f ca="1">IF(Main[[#This Row],[مانده در خط تسویه نشده (کیلوگرم)]]&lt;&gt;0,Main[[#This Row],[تعداد کل روزهای بدهکار (روز)]],0)</f>
        <v>0</v>
      </c>
      <c r="AC249" s="6">
        <f ca="1">Main[[#This Row],[تعداد روزهای بدهکار  تسویه نشده (روز)]]*Main[[#This Row],[مانده در خط تسویه نشده (کیلوگرم)]]</f>
        <v>0</v>
      </c>
      <c r="AD249" s="6">
        <f ca="1">SUBTOTAL(9,INDEX(Main[بدهی سررسید شده (کیلوگرم)],1):Main[[#This Row],[بدهی سررسید شده (کیلوگرم)]])</f>
        <v>0</v>
      </c>
      <c r="AE249" s="6">
        <f ca="1">IF(Main[[#This Row],[مانده در خط سررسید شده (کیلوگرم)]]&lt;&gt;0,Main[[#This Row],[تعداد کل روزهای بدهکار (روز)]],0)</f>
        <v>0</v>
      </c>
      <c r="AF249" s="6">
        <f ca="1">Main[[#This Row],[تعداد روزهای بدهکار سررسید شده (روز)]]*Main[[#This Row],[مانده در خط سررسید شده (کیلوگرم)]]</f>
        <v>0</v>
      </c>
    </row>
    <row r="250" spans="1:32" hidden="1" x14ac:dyDescent="0.35">
      <c r="A250" s="5">
        <f>ROW()-ROW(INDEX(Main[ردیف],1))+1</f>
        <v>248</v>
      </c>
      <c r="B250" s="31">
        <f>SUBTOTAL(2,INDEX(Main[ردیف],1):Main[[#This Row],[ردیف]])</f>
        <v>22</v>
      </c>
      <c r="C250" s="32" t="s">
        <v>529</v>
      </c>
      <c r="D250" s="32" t="str">
        <f>_xlfn.CONCAT("14",Main[[#This Row],[تاريخ]])</f>
        <v>1400/02/05</v>
      </c>
      <c r="E250" s="33">
        <v>44311</v>
      </c>
      <c r="F250" s="32">
        <v>30009</v>
      </c>
      <c r="G250" s="5" t="str">
        <f>INDEX(customer[عنوان],MATCH(Main[[#This Row],[کد ردیابی]],customer[کد],0))</f>
        <v>شرکت ایمن تک پیشرو</v>
      </c>
      <c r="H250">
        <v>-4238</v>
      </c>
      <c r="I250" s="6">
        <f ca="1">-Main[[#This Row],[بدهی تسویه شده (کیلوگرم)]]+Main[[#This Row],[بستانکار (کیلوگرم)]]</f>
        <v>-4238</v>
      </c>
      <c r="J250" s="6">
        <f>IF(Main[[#This Row],[مقدار (کیلوگرم)]]&gt;0,Main[[#This Row],[مقدار (کیلوگرم)]],0)</f>
        <v>0</v>
      </c>
      <c r="K250" s="6">
        <f>-IF(Main[[#This Row],[مقدار (کیلوگرم)]]&lt;0,Main[[#This Row],[مقدار (کیلوگرم)]],0)</f>
        <v>4238</v>
      </c>
      <c r="L2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" s="7">
        <f>-IF(AND(Main[[#This Row],[مقدار (کیلوگرم)]]&lt;0,Main[[#This Row],[تاريخ میلادی]]&gt;44276),Main[[#This Row],[مقدار (کیلوگرم)]],0)</f>
        <v>4238</v>
      </c>
      <c r="N250" s="6">
        <f ca="1">Main[[#This Row],[بدهکار (کیلوگرم)]]-Main[[#This Row],[بدهی تسویه نشده (کیلوگرم)]]</f>
        <v>4238</v>
      </c>
      <c r="O250" s="6">
        <f ca="1">Main[[#This Row],[تفکیک]]</f>
        <v>0</v>
      </c>
      <c r="P250" s="6">
        <f ca="1">IF(Main[[#This Row],[تاخیر از سررسید]]&gt;0,Main[[#This Row],[بدهی تسویه نشده (کیلوگرم)]],0)</f>
        <v>0</v>
      </c>
      <c r="Q250" s="6">
        <f ca="1">IF(Main[[#This Row],[بدهی تسویه نشده (کیلوگرم)]]&gt;0,'گزارش فردی'!$B$7-Main[[#This Row],[تاريخ میلادی]],0)</f>
        <v>0</v>
      </c>
      <c r="R250" s="6">
        <f ca="1">IF(Main[[#This Row],[بدهی تسویه نشده (کیلوگرم)]]&gt;0,'گزارش فردی'!$B$7-Main[[#This Row],[تاريخ میلادی]]-'گزارش فردی'!$B$8,0)</f>
        <v>0</v>
      </c>
      <c r="S250" s="6">
        <f ca="1">Main[[#This Row],[روز از ارسال سفارش]]*Main[[#This Row],[بدهی تسویه نشده (کیلوگرم)]]</f>
        <v>0</v>
      </c>
      <c r="T250" s="6">
        <f ca="1">Main[[#This Row],[بدهی سررسید شده (کیلوگرم)]]*Main[[#This Row],[روز از ارسال سفارش]]</f>
        <v>0</v>
      </c>
      <c r="U250" s="6">
        <f>-SUBTOTAL(9,INDEX(Main[مقدار (کیلوگرم)],1):Main[[#This Row],[مقدار (کیلوگرم)]])</f>
        <v>39718</v>
      </c>
      <c r="V2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" s="6">
        <f>Main[[#This Row],[تعداد کل روزهای بدهکار (روز)]]*Main[[#This Row],[مانده در خط کل (کیلوگرم)]]</f>
        <v>0</v>
      </c>
      <c r="X250" s="6">
        <f ca="1">-SUBTOTAL(9,INDEX(Main[مقدار تسویه شده (کیلوگرم)],1):Main[[#This Row],[مقدار تسویه شده (کیلوگرم)]])</f>
        <v>39718</v>
      </c>
      <c r="Y250" s="6">
        <f ca="1">IF(Main[[#This Row],[مانده در خط تسویه شده (کیلوگرم)]]&lt;&gt;0,Main[[#This Row],[تعداد کل روزهای بدهکار (روز)]],0)</f>
        <v>0</v>
      </c>
      <c r="Z250" s="6">
        <f ca="1">Main[[#This Row],[تعداد روزهای بدهکار تسویه شده (روز)]]*Main[[#This Row],[مانده در خط تسویه شده (کیلوگرم)]]</f>
        <v>0</v>
      </c>
      <c r="AA250" s="6">
        <f ca="1">SUBTOTAL(9,INDEX(Main[بدهی تسویه نشده (کیلوگرم)],1):Main[[#This Row],[بدهی تسویه نشده (کیلوگرم)]])</f>
        <v>0</v>
      </c>
      <c r="AB250" s="6">
        <f ca="1">IF(Main[[#This Row],[مانده در خط تسویه نشده (کیلوگرم)]]&lt;&gt;0,Main[[#This Row],[تعداد کل روزهای بدهکار (روز)]],0)</f>
        <v>0</v>
      </c>
      <c r="AC250" s="6">
        <f ca="1">Main[[#This Row],[تعداد روزهای بدهکار  تسویه نشده (روز)]]*Main[[#This Row],[مانده در خط تسویه نشده (کیلوگرم)]]</f>
        <v>0</v>
      </c>
      <c r="AD250" s="6">
        <f ca="1">SUBTOTAL(9,INDEX(Main[بدهی سررسید شده (کیلوگرم)],1):Main[[#This Row],[بدهی سررسید شده (کیلوگرم)]])</f>
        <v>0</v>
      </c>
      <c r="AE250" s="6">
        <f ca="1">IF(Main[[#This Row],[مانده در خط سررسید شده (کیلوگرم)]]&lt;&gt;0,Main[[#This Row],[تعداد کل روزهای بدهکار (روز)]],0)</f>
        <v>0</v>
      </c>
      <c r="AF250" s="6">
        <f ca="1">Main[[#This Row],[تعداد روزهای بدهکار سررسید شده (روز)]]*Main[[#This Row],[مانده در خط سررسید شده (کیلوگرم)]]</f>
        <v>0</v>
      </c>
    </row>
    <row r="251" spans="1:32" hidden="1" x14ac:dyDescent="0.35">
      <c r="A251" s="5">
        <f>ROW()-ROW(INDEX(Main[ردیف],1))+1</f>
        <v>249</v>
      </c>
      <c r="B251" s="31">
        <f>SUBTOTAL(2,INDEX(Main[ردیف],1):Main[[#This Row],[ردیف]])</f>
        <v>22</v>
      </c>
      <c r="C251" s="32" t="s">
        <v>529</v>
      </c>
      <c r="D251" s="32" t="str">
        <f>_xlfn.CONCAT("14",Main[[#This Row],[تاريخ]])</f>
        <v>1400/02/05</v>
      </c>
      <c r="E251" s="33">
        <v>44311</v>
      </c>
      <c r="F251" s="32">
        <v>10055</v>
      </c>
      <c r="G251" s="5" t="str">
        <f>INDEX(customer[عنوان],MATCH(Main[[#This Row],[کد ردیابی]],customer[کد],0))</f>
        <v xml:space="preserve">مریم فیض آبادی  </v>
      </c>
      <c r="H251">
        <v>2168</v>
      </c>
      <c r="I251" s="6">
        <f ca="1">-Main[[#This Row],[بدهی تسویه شده (کیلوگرم)]]+Main[[#This Row],[بستانکار (کیلوگرم)]]</f>
        <v>2168</v>
      </c>
      <c r="J251" s="6">
        <f>IF(Main[[#This Row],[مقدار (کیلوگرم)]]&gt;0,Main[[#This Row],[مقدار (کیلوگرم)]],0)</f>
        <v>2168</v>
      </c>
      <c r="K251" s="6">
        <f>-IF(Main[[#This Row],[مقدار (کیلوگرم)]]&lt;0,Main[[#This Row],[مقدار (کیلوگرم)]],0)</f>
        <v>0</v>
      </c>
      <c r="L2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" s="7">
        <f>-IF(AND(Main[[#This Row],[مقدار (کیلوگرم)]]&lt;0,Main[[#This Row],[تاريخ میلادی]]&gt;44276),Main[[#This Row],[مقدار (کیلوگرم)]],0)</f>
        <v>0</v>
      </c>
      <c r="N251" s="6">
        <f ca="1">Main[[#This Row],[بدهکار (کیلوگرم)]]-Main[[#This Row],[بدهی تسویه نشده (کیلوگرم)]]</f>
        <v>0</v>
      </c>
      <c r="O251" s="6">
        <f ca="1">Main[[#This Row],[تفکیک]]</f>
        <v>0</v>
      </c>
      <c r="P251" s="6">
        <f ca="1">IF(Main[[#This Row],[تاخیر از سررسید]]&gt;0,Main[[#This Row],[بدهی تسویه نشده (کیلوگرم)]],0)</f>
        <v>0</v>
      </c>
      <c r="Q251" s="6">
        <f ca="1">IF(Main[[#This Row],[بدهی تسویه نشده (کیلوگرم)]]&gt;0,'گزارش فردی'!$B$7-Main[[#This Row],[تاريخ میلادی]],0)</f>
        <v>0</v>
      </c>
      <c r="R251" s="6">
        <f ca="1">IF(Main[[#This Row],[بدهی تسویه نشده (کیلوگرم)]]&gt;0,'گزارش فردی'!$B$7-Main[[#This Row],[تاريخ میلادی]]-'گزارش فردی'!$B$8,0)</f>
        <v>0</v>
      </c>
      <c r="S251" s="6">
        <f ca="1">Main[[#This Row],[روز از ارسال سفارش]]*Main[[#This Row],[بدهی تسویه نشده (کیلوگرم)]]</f>
        <v>0</v>
      </c>
      <c r="T251" s="6">
        <f ca="1">Main[[#This Row],[بدهی سررسید شده (کیلوگرم)]]*Main[[#This Row],[روز از ارسال سفارش]]</f>
        <v>0</v>
      </c>
      <c r="U251" s="6">
        <f>-SUBTOTAL(9,INDEX(Main[مقدار (کیلوگرم)],1):Main[[#This Row],[مقدار (کیلوگرم)]])</f>
        <v>39718</v>
      </c>
      <c r="V2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" s="6">
        <f>Main[[#This Row],[تعداد کل روزهای بدهکار (روز)]]*Main[[#This Row],[مانده در خط کل (کیلوگرم)]]</f>
        <v>0</v>
      </c>
      <c r="X251" s="6">
        <f ca="1">-SUBTOTAL(9,INDEX(Main[مقدار تسویه شده (کیلوگرم)],1):Main[[#This Row],[مقدار تسویه شده (کیلوگرم)]])</f>
        <v>39718</v>
      </c>
      <c r="Y251" s="6">
        <f ca="1">IF(Main[[#This Row],[مانده در خط تسویه شده (کیلوگرم)]]&lt;&gt;0,Main[[#This Row],[تعداد کل روزهای بدهکار (روز)]],0)</f>
        <v>0</v>
      </c>
      <c r="Z251" s="6">
        <f ca="1">Main[[#This Row],[تعداد روزهای بدهکار تسویه شده (روز)]]*Main[[#This Row],[مانده در خط تسویه شده (کیلوگرم)]]</f>
        <v>0</v>
      </c>
      <c r="AA251" s="6">
        <f ca="1">SUBTOTAL(9,INDEX(Main[بدهی تسویه نشده (کیلوگرم)],1):Main[[#This Row],[بدهی تسویه نشده (کیلوگرم)]])</f>
        <v>0</v>
      </c>
      <c r="AB251" s="6">
        <f ca="1">IF(Main[[#This Row],[مانده در خط تسویه نشده (کیلوگرم)]]&lt;&gt;0,Main[[#This Row],[تعداد کل روزهای بدهکار (روز)]],0)</f>
        <v>0</v>
      </c>
      <c r="AC251" s="6">
        <f ca="1">Main[[#This Row],[تعداد روزهای بدهکار  تسویه نشده (روز)]]*Main[[#This Row],[مانده در خط تسویه نشده (کیلوگرم)]]</f>
        <v>0</v>
      </c>
      <c r="AD251" s="6">
        <f ca="1">SUBTOTAL(9,INDEX(Main[بدهی سررسید شده (کیلوگرم)],1):Main[[#This Row],[بدهی سررسید شده (کیلوگرم)]])</f>
        <v>0</v>
      </c>
      <c r="AE251" s="6">
        <f ca="1">IF(Main[[#This Row],[مانده در خط سررسید شده (کیلوگرم)]]&lt;&gt;0,Main[[#This Row],[تعداد کل روزهای بدهکار (روز)]],0)</f>
        <v>0</v>
      </c>
      <c r="AF251" s="6">
        <f ca="1">Main[[#This Row],[تعداد روزهای بدهکار سررسید شده (روز)]]*Main[[#This Row],[مانده در خط سررسید شده (کیلوگرم)]]</f>
        <v>0</v>
      </c>
    </row>
    <row r="252" spans="1:32" hidden="1" x14ac:dyDescent="0.35">
      <c r="A252" s="5">
        <f>ROW()-ROW(INDEX(Main[ردیف],1))+1</f>
        <v>250</v>
      </c>
      <c r="B252" s="31">
        <f>SUBTOTAL(2,INDEX(Main[ردیف],1):Main[[#This Row],[ردیف]])</f>
        <v>22</v>
      </c>
      <c r="C252" s="32" t="s">
        <v>529</v>
      </c>
      <c r="D252" s="32" t="str">
        <f>_xlfn.CONCAT("14",Main[[#This Row],[تاريخ]])</f>
        <v>1400/02/05</v>
      </c>
      <c r="E252" s="33">
        <v>44311</v>
      </c>
      <c r="F252" s="32">
        <v>30066</v>
      </c>
      <c r="G252" s="5" t="str">
        <f>INDEX(customer[عنوان],MATCH(Main[[#This Row],[کد ردیابی]],customer[کد],0))</f>
        <v xml:space="preserve">شیر آلات بهداشتی قهرمان </v>
      </c>
      <c r="H252">
        <v>-4112</v>
      </c>
      <c r="I252" s="6">
        <f ca="1">-Main[[#This Row],[بدهی تسویه شده (کیلوگرم)]]+Main[[#This Row],[بستانکار (کیلوگرم)]]</f>
        <v>-4112</v>
      </c>
      <c r="J252" s="6">
        <f>IF(Main[[#This Row],[مقدار (کیلوگرم)]]&gt;0,Main[[#This Row],[مقدار (کیلوگرم)]],0)</f>
        <v>0</v>
      </c>
      <c r="K252" s="6">
        <f>-IF(Main[[#This Row],[مقدار (کیلوگرم)]]&lt;0,Main[[#This Row],[مقدار (کیلوگرم)]],0)</f>
        <v>4112</v>
      </c>
      <c r="L2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" s="7">
        <f>-IF(AND(Main[[#This Row],[مقدار (کیلوگرم)]]&lt;0,Main[[#This Row],[تاريخ میلادی]]&gt;44276),Main[[#This Row],[مقدار (کیلوگرم)]],0)</f>
        <v>4112</v>
      </c>
      <c r="N252" s="6">
        <f ca="1">Main[[#This Row],[بدهکار (کیلوگرم)]]-Main[[#This Row],[بدهی تسویه نشده (کیلوگرم)]]</f>
        <v>4112</v>
      </c>
      <c r="O252" s="6">
        <f ca="1">Main[[#This Row],[تفکیک]]</f>
        <v>0</v>
      </c>
      <c r="P252" s="6">
        <f ca="1">IF(Main[[#This Row],[تاخیر از سررسید]]&gt;0,Main[[#This Row],[بدهی تسویه نشده (کیلوگرم)]],0)</f>
        <v>0</v>
      </c>
      <c r="Q252" s="6">
        <f ca="1">IF(Main[[#This Row],[بدهی تسویه نشده (کیلوگرم)]]&gt;0,'گزارش فردی'!$B$7-Main[[#This Row],[تاريخ میلادی]],0)</f>
        <v>0</v>
      </c>
      <c r="R252" s="6">
        <f ca="1">IF(Main[[#This Row],[بدهی تسویه نشده (کیلوگرم)]]&gt;0,'گزارش فردی'!$B$7-Main[[#This Row],[تاريخ میلادی]]-'گزارش فردی'!$B$8,0)</f>
        <v>0</v>
      </c>
      <c r="S252" s="6">
        <f ca="1">Main[[#This Row],[روز از ارسال سفارش]]*Main[[#This Row],[بدهی تسویه نشده (کیلوگرم)]]</f>
        <v>0</v>
      </c>
      <c r="T252" s="6">
        <f ca="1">Main[[#This Row],[بدهی سررسید شده (کیلوگرم)]]*Main[[#This Row],[روز از ارسال سفارش]]</f>
        <v>0</v>
      </c>
      <c r="U252" s="6">
        <f>-SUBTOTAL(9,INDEX(Main[مقدار (کیلوگرم)],1):Main[[#This Row],[مقدار (کیلوگرم)]])</f>
        <v>39718</v>
      </c>
      <c r="V2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" s="6">
        <f>Main[[#This Row],[تعداد کل روزهای بدهکار (روز)]]*Main[[#This Row],[مانده در خط کل (کیلوگرم)]]</f>
        <v>0</v>
      </c>
      <c r="X252" s="6">
        <f ca="1">-SUBTOTAL(9,INDEX(Main[مقدار تسویه شده (کیلوگرم)],1):Main[[#This Row],[مقدار تسویه شده (کیلوگرم)]])</f>
        <v>39718</v>
      </c>
      <c r="Y252" s="6">
        <f ca="1">IF(Main[[#This Row],[مانده در خط تسویه شده (کیلوگرم)]]&lt;&gt;0,Main[[#This Row],[تعداد کل روزهای بدهکار (روز)]],0)</f>
        <v>0</v>
      </c>
      <c r="Z252" s="6">
        <f ca="1">Main[[#This Row],[تعداد روزهای بدهکار تسویه شده (روز)]]*Main[[#This Row],[مانده در خط تسویه شده (کیلوگرم)]]</f>
        <v>0</v>
      </c>
      <c r="AA252" s="6">
        <f ca="1">SUBTOTAL(9,INDEX(Main[بدهی تسویه نشده (کیلوگرم)],1):Main[[#This Row],[بدهی تسویه نشده (کیلوگرم)]])</f>
        <v>0</v>
      </c>
      <c r="AB252" s="6">
        <f ca="1">IF(Main[[#This Row],[مانده در خط تسویه نشده (کیلوگرم)]]&lt;&gt;0,Main[[#This Row],[تعداد کل روزهای بدهکار (روز)]],0)</f>
        <v>0</v>
      </c>
      <c r="AC252" s="6">
        <f ca="1">Main[[#This Row],[تعداد روزهای بدهکار  تسویه نشده (روز)]]*Main[[#This Row],[مانده در خط تسویه نشده (کیلوگرم)]]</f>
        <v>0</v>
      </c>
      <c r="AD252" s="6">
        <f ca="1">SUBTOTAL(9,INDEX(Main[بدهی سررسید شده (کیلوگرم)],1):Main[[#This Row],[بدهی سررسید شده (کیلوگرم)]])</f>
        <v>0</v>
      </c>
      <c r="AE252" s="6">
        <f ca="1">IF(Main[[#This Row],[مانده در خط سررسید شده (کیلوگرم)]]&lt;&gt;0,Main[[#This Row],[تعداد کل روزهای بدهکار (روز)]],0)</f>
        <v>0</v>
      </c>
      <c r="AF252" s="6">
        <f ca="1">Main[[#This Row],[تعداد روزهای بدهکار سررسید شده (روز)]]*Main[[#This Row],[مانده در خط سررسید شده (کیلوگرم)]]</f>
        <v>0</v>
      </c>
    </row>
    <row r="253" spans="1:32" hidden="1" x14ac:dyDescent="0.35">
      <c r="A253" s="5">
        <f>ROW()-ROW(INDEX(Main[ردیف],1))+1</f>
        <v>251</v>
      </c>
      <c r="B253" s="31">
        <f>SUBTOTAL(2,INDEX(Main[ردیف],1):Main[[#This Row],[ردیف]])</f>
        <v>22</v>
      </c>
      <c r="C253" s="32" t="s">
        <v>529</v>
      </c>
      <c r="D253" s="32" t="str">
        <f>_xlfn.CONCAT("14",Main[[#This Row],[تاريخ]])</f>
        <v>1400/02/05</v>
      </c>
      <c r="E253" s="33">
        <v>44311</v>
      </c>
      <c r="F253" s="32">
        <v>30066</v>
      </c>
      <c r="G253" s="5" t="str">
        <f>INDEX(customer[عنوان],MATCH(Main[[#This Row],[کد ردیابی]],customer[کد],0))</f>
        <v xml:space="preserve">شیر آلات بهداشتی قهرمان </v>
      </c>
      <c r="H253">
        <v>4041</v>
      </c>
      <c r="I253" s="6">
        <f ca="1">-Main[[#This Row],[بدهی تسویه شده (کیلوگرم)]]+Main[[#This Row],[بستانکار (کیلوگرم)]]</f>
        <v>4041</v>
      </c>
      <c r="J253" s="6">
        <f>IF(Main[[#This Row],[مقدار (کیلوگرم)]]&gt;0,Main[[#This Row],[مقدار (کیلوگرم)]],0)</f>
        <v>4041</v>
      </c>
      <c r="K253" s="6">
        <f>-IF(Main[[#This Row],[مقدار (کیلوگرم)]]&lt;0,Main[[#This Row],[مقدار (کیلوگرم)]],0)</f>
        <v>0</v>
      </c>
      <c r="L2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" s="7">
        <f>-IF(AND(Main[[#This Row],[مقدار (کیلوگرم)]]&lt;0,Main[[#This Row],[تاريخ میلادی]]&gt;44276),Main[[#This Row],[مقدار (کیلوگرم)]],0)</f>
        <v>0</v>
      </c>
      <c r="N253" s="6">
        <f ca="1">Main[[#This Row],[بدهکار (کیلوگرم)]]-Main[[#This Row],[بدهی تسویه نشده (کیلوگرم)]]</f>
        <v>0</v>
      </c>
      <c r="O253" s="6">
        <f ca="1">Main[[#This Row],[تفکیک]]</f>
        <v>0</v>
      </c>
      <c r="P253" s="6">
        <f ca="1">IF(Main[[#This Row],[تاخیر از سررسید]]&gt;0,Main[[#This Row],[بدهی تسویه نشده (کیلوگرم)]],0)</f>
        <v>0</v>
      </c>
      <c r="Q253" s="6">
        <f ca="1">IF(Main[[#This Row],[بدهی تسویه نشده (کیلوگرم)]]&gt;0,'گزارش فردی'!$B$7-Main[[#This Row],[تاريخ میلادی]],0)</f>
        <v>0</v>
      </c>
      <c r="R253" s="6">
        <f ca="1">IF(Main[[#This Row],[بدهی تسویه نشده (کیلوگرم)]]&gt;0,'گزارش فردی'!$B$7-Main[[#This Row],[تاريخ میلادی]]-'گزارش فردی'!$B$8,0)</f>
        <v>0</v>
      </c>
      <c r="S253" s="6">
        <f ca="1">Main[[#This Row],[روز از ارسال سفارش]]*Main[[#This Row],[بدهی تسویه نشده (کیلوگرم)]]</f>
        <v>0</v>
      </c>
      <c r="T253" s="6">
        <f ca="1">Main[[#This Row],[بدهی سررسید شده (کیلوگرم)]]*Main[[#This Row],[روز از ارسال سفارش]]</f>
        <v>0</v>
      </c>
      <c r="U253" s="6">
        <f>-SUBTOTAL(9,INDEX(Main[مقدار (کیلوگرم)],1):Main[[#This Row],[مقدار (کیلوگرم)]])</f>
        <v>39718</v>
      </c>
      <c r="V2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3" s="6">
        <f>Main[[#This Row],[تعداد کل روزهای بدهکار (روز)]]*Main[[#This Row],[مانده در خط کل (کیلوگرم)]]</f>
        <v>0</v>
      </c>
      <c r="X253" s="6">
        <f ca="1">-SUBTOTAL(9,INDEX(Main[مقدار تسویه شده (کیلوگرم)],1):Main[[#This Row],[مقدار تسویه شده (کیلوگرم)]])</f>
        <v>39718</v>
      </c>
      <c r="Y253" s="6">
        <f ca="1">IF(Main[[#This Row],[مانده در خط تسویه شده (کیلوگرم)]]&lt;&gt;0,Main[[#This Row],[تعداد کل روزهای بدهکار (روز)]],0)</f>
        <v>0</v>
      </c>
      <c r="Z253" s="6">
        <f ca="1">Main[[#This Row],[تعداد روزهای بدهکار تسویه شده (روز)]]*Main[[#This Row],[مانده در خط تسویه شده (کیلوگرم)]]</f>
        <v>0</v>
      </c>
      <c r="AA253" s="6">
        <f ca="1">SUBTOTAL(9,INDEX(Main[بدهی تسویه نشده (کیلوگرم)],1):Main[[#This Row],[بدهی تسویه نشده (کیلوگرم)]])</f>
        <v>0</v>
      </c>
      <c r="AB253" s="6">
        <f ca="1">IF(Main[[#This Row],[مانده در خط تسویه نشده (کیلوگرم)]]&lt;&gt;0,Main[[#This Row],[تعداد کل روزهای بدهکار (روز)]],0)</f>
        <v>0</v>
      </c>
      <c r="AC253" s="6">
        <f ca="1">Main[[#This Row],[تعداد روزهای بدهکار  تسویه نشده (روز)]]*Main[[#This Row],[مانده در خط تسویه نشده (کیلوگرم)]]</f>
        <v>0</v>
      </c>
      <c r="AD253" s="6">
        <f ca="1">SUBTOTAL(9,INDEX(Main[بدهی سررسید شده (کیلوگرم)],1):Main[[#This Row],[بدهی سررسید شده (کیلوگرم)]])</f>
        <v>0</v>
      </c>
      <c r="AE253" s="6">
        <f ca="1">IF(Main[[#This Row],[مانده در خط سررسید شده (کیلوگرم)]]&lt;&gt;0,Main[[#This Row],[تعداد کل روزهای بدهکار (روز)]],0)</f>
        <v>0</v>
      </c>
      <c r="AF253" s="6">
        <f ca="1">Main[[#This Row],[تعداد روزهای بدهکار سررسید شده (روز)]]*Main[[#This Row],[مانده در خط سررسید شده (کیلوگرم)]]</f>
        <v>0</v>
      </c>
    </row>
    <row r="254" spans="1:32" hidden="1" x14ac:dyDescent="0.35">
      <c r="A254" s="5">
        <f>ROW()-ROW(INDEX(Main[ردیف],1))+1</f>
        <v>252</v>
      </c>
      <c r="B254" s="31">
        <f>SUBTOTAL(2,INDEX(Main[ردیف],1):Main[[#This Row],[ردیف]])</f>
        <v>22</v>
      </c>
      <c r="C254" s="32" t="s">
        <v>529</v>
      </c>
      <c r="D254" s="32" t="str">
        <f>_xlfn.CONCAT("14",Main[[#This Row],[تاريخ]])</f>
        <v>1400/02/05</v>
      </c>
      <c r="E254" s="33">
        <v>44311</v>
      </c>
      <c r="F254" s="32">
        <v>30081</v>
      </c>
      <c r="G254" s="5" t="str">
        <f>INDEX(customer[عنوان],MATCH(Main[[#This Row],[کد ردیابی]],customer[کد],0))</f>
        <v xml:space="preserve">شیرآلات بهداشتی راسان </v>
      </c>
      <c r="H254">
        <v>-5592</v>
      </c>
      <c r="I254" s="6">
        <f ca="1">-Main[[#This Row],[بدهی تسویه شده (کیلوگرم)]]+Main[[#This Row],[بستانکار (کیلوگرم)]]</f>
        <v>-5592</v>
      </c>
      <c r="J254" s="6">
        <f>IF(Main[[#This Row],[مقدار (کیلوگرم)]]&gt;0,Main[[#This Row],[مقدار (کیلوگرم)]],0)</f>
        <v>0</v>
      </c>
      <c r="K254" s="6">
        <f>-IF(Main[[#This Row],[مقدار (کیلوگرم)]]&lt;0,Main[[#This Row],[مقدار (کیلوگرم)]],0)</f>
        <v>5592</v>
      </c>
      <c r="L2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" s="7">
        <f>-IF(AND(Main[[#This Row],[مقدار (کیلوگرم)]]&lt;0,Main[[#This Row],[تاريخ میلادی]]&gt;44276),Main[[#This Row],[مقدار (کیلوگرم)]],0)</f>
        <v>5592</v>
      </c>
      <c r="N254" s="6">
        <f ca="1">Main[[#This Row],[بدهکار (کیلوگرم)]]-Main[[#This Row],[بدهی تسویه نشده (کیلوگرم)]]</f>
        <v>5592</v>
      </c>
      <c r="O254" s="6">
        <f ca="1">Main[[#This Row],[تفکیک]]</f>
        <v>0</v>
      </c>
      <c r="P254" s="6">
        <f ca="1">IF(Main[[#This Row],[تاخیر از سررسید]]&gt;0,Main[[#This Row],[بدهی تسویه نشده (کیلوگرم)]],0)</f>
        <v>0</v>
      </c>
      <c r="Q254" s="6">
        <f ca="1">IF(Main[[#This Row],[بدهی تسویه نشده (کیلوگرم)]]&gt;0,'گزارش فردی'!$B$7-Main[[#This Row],[تاريخ میلادی]],0)</f>
        <v>0</v>
      </c>
      <c r="R254" s="6">
        <f ca="1">IF(Main[[#This Row],[بدهی تسویه نشده (کیلوگرم)]]&gt;0,'گزارش فردی'!$B$7-Main[[#This Row],[تاريخ میلادی]]-'گزارش فردی'!$B$8,0)</f>
        <v>0</v>
      </c>
      <c r="S254" s="6">
        <f ca="1">Main[[#This Row],[روز از ارسال سفارش]]*Main[[#This Row],[بدهی تسویه نشده (کیلوگرم)]]</f>
        <v>0</v>
      </c>
      <c r="T254" s="6">
        <f ca="1">Main[[#This Row],[بدهی سررسید شده (کیلوگرم)]]*Main[[#This Row],[روز از ارسال سفارش]]</f>
        <v>0</v>
      </c>
      <c r="U254" s="6">
        <f>-SUBTOTAL(9,INDEX(Main[مقدار (کیلوگرم)],1):Main[[#This Row],[مقدار (کیلوگرم)]])</f>
        <v>39718</v>
      </c>
      <c r="V2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4" s="6">
        <f>Main[[#This Row],[تعداد کل روزهای بدهکار (روز)]]*Main[[#This Row],[مانده در خط کل (کیلوگرم)]]</f>
        <v>0</v>
      </c>
      <c r="X254" s="6">
        <f ca="1">-SUBTOTAL(9,INDEX(Main[مقدار تسویه شده (کیلوگرم)],1):Main[[#This Row],[مقدار تسویه شده (کیلوگرم)]])</f>
        <v>39718</v>
      </c>
      <c r="Y254" s="6">
        <f ca="1">IF(Main[[#This Row],[مانده در خط تسویه شده (کیلوگرم)]]&lt;&gt;0,Main[[#This Row],[تعداد کل روزهای بدهکار (روز)]],0)</f>
        <v>0</v>
      </c>
      <c r="Z254" s="6">
        <f ca="1">Main[[#This Row],[تعداد روزهای بدهکار تسویه شده (روز)]]*Main[[#This Row],[مانده در خط تسویه شده (کیلوگرم)]]</f>
        <v>0</v>
      </c>
      <c r="AA254" s="6">
        <f ca="1">SUBTOTAL(9,INDEX(Main[بدهی تسویه نشده (کیلوگرم)],1):Main[[#This Row],[بدهی تسویه نشده (کیلوگرم)]])</f>
        <v>0</v>
      </c>
      <c r="AB254" s="6">
        <f ca="1">IF(Main[[#This Row],[مانده در خط تسویه نشده (کیلوگرم)]]&lt;&gt;0,Main[[#This Row],[تعداد کل روزهای بدهکار (روز)]],0)</f>
        <v>0</v>
      </c>
      <c r="AC254" s="6">
        <f ca="1">Main[[#This Row],[تعداد روزهای بدهکار  تسویه نشده (روز)]]*Main[[#This Row],[مانده در خط تسویه نشده (کیلوگرم)]]</f>
        <v>0</v>
      </c>
      <c r="AD254" s="6">
        <f ca="1">SUBTOTAL(9,INDEX(Main[بدهی سررسید شده (کیلوگرم)],1):Main[[#This Row],[بدهی سررسید شده (کیلوگرم)]])</f>
        <v>0</v>
      </c>
      <c r="AE254" s="6">
        <f ca="1">IF(Main[[#This Row],[مانده در خط سررسید شده (کیلوگرم)]]&lt;&gt;0,Main[[#This Row],[تعداد کل روزهای بدهکار (روز)]],0)</f>
        <v>0</v>
      </c>
      <c r="AF254" s="6">
        <f ca="1">Main[[#This Row],[تعداد روزهای بدهکار سررسید شده (روز)]]*Main[[#This Row],[مانده در خط سررسید شده (کیلوگرم)]]</f>
        <v>0</v>
      </c>
    </row>
    <row r="255" spans="1:32" hidden="1" x14ac:dyDescent="0.35">
      <c r="A255" s="5">
        <f>ROW()-ROW(INDEX(Main[ردیف],1))+1</f>
        <v>253</v>
      </c>
      <c r="B255" s="31">
        <f>SUBTOTAL(2,INDEX(Main[ردیف],1):Main[[#This Row],[ردیف]])</f>
        <v>22</v>
      </c>
      <c r="C255" s="32" t="s">
        <v>529</v>
      </c>
      <c r="D255" s="32" t="str">
        <f>_xlfn.CONCAT("14",Main[[#This Row],[تاريخ]])</f>
        <v>1400/02/05</v>
      </c>
      <c r="E255" s="33">
        <v>44311</v>
      </c>
      <c r="F255" s="32">
        <v>30099</v>
      </c>
      <c r="G255" s="5" t="str">
        <f>INDEX(customer[عنوان],MATCH(Main[[#This Row],[کد ردیابی]],customer[کد],0))</f>
        <v>ایران شرق نیشابور</v>
      </c>
      <c r="H255">
        <v>5074</v>
      </c>
      <c r="I255" s="6">
        <f ca="1">-Main[[#This Row],[بدهی تسویه شده (کیلوگرم)]]+Main[[#This Row],[بستانکار (کیلوگرم)]]</f>
        <v>5074</v>
      </c>
      <c r="J255" s="6">
        <f>IF(Main[[#This Row],[مقدار (کیلوگرم)]]&gt;0,Main[[#This Row],[مقدار (کیلوگرم)]],0)</f>
        <v>5074</v>
      </c>
      <c r="K255" s="6">
        <f>-IF(Main[[#This Row],[مقدار (کیلوگرم)]]&lt;0,Main[[#This Row],[مقدار (کیلوگرم)]],0)</f>
        <v>0</v>
      </c>
      <c r="L2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" s="7">
        <f>-IF(AND(Main[[#This Row],[مقدار (کیلوگرم)]]&lt;0,Main[[#This Row],[تاريخ میلادی]]&gt;44276),Main[[#This Row],[مقدار (کیلوگرم)]],0)</f>
        <v>0</v>
      </c>
      <c r="N255" s="6">
        <f ca="1">Main[[#This Row],[بدهکار (کیلوگرم)]]-Main[[#This Row],[بدهی تسویه نشده (کیلوگرم)]]</f>
        <v>0</v>
      </c>
      <c r="O255" s="6">
        <f ca="1">Main[[#This Row],[تفکیک]]</f>
        <v>0</v>
      </c>
      <c r="P255" s="6">
        <f ca="1">IF(Main[[#This Row],[تاخیر از سررسید]]&gt;0,Main[[#This Row],[بدهی تسویه نشده (کیلوگرم)]],0)</f>
        <v>0</v>
      </c>
      <c r="Q255" s="6">
        <f ca="1">IF(Main[[#This Row],[بدهی تسویه نشده (کیلوگرم)]]&gt;0,'گزارش فردی'!$B$7-Main[[#This Row],[تاريخ میلادی]],0)</f>
        <v>0</v>
      </c>
      <c r="R255" s="6">
        <f ca="1">IF(Main[[#This Row],[بدهی تسویه نشده (کیلوگرم)]]&gt;0,'گزارش فردی'!$B$7-Main[[#This Row],[تاريخ میلادی]]-'گزارش فردی'!$B$8,0)</f>
        <v>0</v>
      </c>
      <c r="S255" s="6">
        <f ca="1">Main[[#This Row],[روز از ارسال سفارش]]*Main[[#This Row],[بدهی تسویه نشده (کیلوگرم)]]</f>
        <v>0</v>
      </c>
      <c r="T255" s="6">
        <f ca="1">Main[[#This Row],[بدهی سررسید شده (کیلوگرم)]]*Main[[#This Row],[روز از ارسال سفارش]]</f>
        <v>0</v>
      </c>
      <c r="U255" s="6">
        <f>-SUBTOTAL(9,INDEX(Main[مقدار (کیلوگرم)],1):Main[[#This Row],[مقدار (کیلوگرم)]])</f>
        <v>39718</v>
      </c>
      <c r="V2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" s="6">
        <f>Main[[#This Row],[تعداد کل روزهای بدهکار (روز)]]*Main[[#This Row],[مانده در خط کل (کیلوگرم)]]</f>
        <v>0</v>
      </c>
      <c r="X255" s="6">
        <f ca="1">-SUBTOTAL(9,INDEX(Main[مقدار تسویه شده (کیلوگرم)],1):Main[[#This Row],[مقدار تسویه شده (کیلوگرم)]])</f>
        <v>39718</v>
      </c>
      <c r="Y255" s="6">
        <f ca="1">IF(Main[[#This Row],[مانده در خط تسویه شده (کیلوگرم)]]&lt;&gt;0,Main[[#This Row],[تعداد کل روزهای بدهکار (روز)]],0)</f>
        <v>0</v>
      </c>
      <c r="Z255" s="6">
        <f ca="1">Main[[#This Row],[تعداد روزهای بدهکار تسویه شده (روز)]]*Main[[#This Row],[مانده در خط تسویه شده (کیلوگرم)]]</f>
        <v>0</v>
      </c>
      <c r="AA255" s="6">
        <f ca="1">SUBTOTAL(9,INDEX(Main[بدهی تسویه نشده (کیلوگرم)],1):Main[[#This Row],[بدهی تسویه نشده (کیلوگرم)]])</f>
        <v>0</v>
      </c>
      <c r="AB255" s="6">
        <f ca="1">IF(Main[[#This Row],[مانده در خط تسویه نشده (کیلوگرم)]]&lt;&gt;0,Main[[#This Row],[تعداد کل روزهای بدهکار (روز)]],0)</f>
        <v>0</v>
      </c>
      <c r="AC255" s="6">
        <f ca="1">Main[[#This Row],[تعداد روزهای بدهکار  تسویه نشده (روز)]]*Main[[#This Row],[مانده در خط تسویه نشده (کیلوگرم)]]</f>
        <v>0</v>
      </c>
      <c r="AD255" s="6">
        <f ca="1">SUBTOTAL(9,INDEX(Main[بدهی سررسید شده (کیلوگرم)],1):Main[[#This Row],[بدهی سررسید شده (کیلوگرم)]])</f>
        <v>0</v>
      </c>
      <c r="AE255" s="6">
        <f ca="1">IF(Main[[#This Row],[مانده در خط سررسید شده (کیلوگرم)]]&lt;&gt;0,Main[[#This Row],[تعداد کل روزهای بدهکار (روز)]],0)</f>
        <v>0</v>
      </c>
      <c r="AF255" s="6">
        <f ca="1">Main[[#This Row],[تعداد روزهای بدهکار سررسید شده (روز)]]*Main[[#This Row],[مانده در خط سررسید شده (کیلوگرم)]]</f>
        <v>0</v>
      </c>
    </row>
    <row r="256" spans="1:32" x14ac:dyDescent="0.35">
      <c r="A256" s="5">
        <f>ROW()-ROW(INDEX(Main[ردیف],1))+1</f>
        <v>254</v>
      </c>
      <c r="B256" s="31">
        <f>SUBTOTAL(2,INDEX(Main[ردیف],1):Main[[#This Row],[ردیف]])</f>
        <v>23</v>
      </c>
      <c r="C256" s="32" t="s">
        <v>529</v>
      </c>
      <c r="D256" s="32" t="str">
        <f>_xlfn.CONCAT("14",Main[[#This Row],[تاريخ]])</f>
        <v>1400/02/05</v>
      </c>
      <c r="E256" s="33">
        <v>44311</v>
      </c>
      <c r="F256" s="32">
        <v>10003</v>
      </c>
      <c r="G256" s="5" t="str">
        <f>INDEX(customer[عنوان],MATCH(Main[[#This Row],[کد ردیابی]],customer[کد],0))</f>
        <v>اصغر نورعلی</v>
      </c>
      <c r="H256">
        <v>-4590</v>
      </c>
      <c r="I256" s="6">
        <f ca="1">-Main[[#This Row],[بدهی تسویه شده (کیلوگرم)]]+Main[[#This Row],[بستانکار (کیلوگرم)]]</f>
        <v>-4590</v>
      </c>
      <c r="J256" s="6">
        <f>IF(Main[[#This Row],[مقدار (کیلوگرم)]]&gt;0,Main[[#This Row],[مقدار (کیلوگرم)]],0)</f>
        <v>0</v>
      </c>
      <c r="K256" s="6">
        <f>-IF(Main[[#This Row],[مقدار (کیلوگرم)]]&lt;0,Main[[#This Row],[مقدار (کیلوگرم)]],0)</f>
        <v>4590</v>
      </c>
      <c r="L2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" s="7">
        <f>-IF(AND(Main[[#This Row],[مقدار (کیلوگرم)]]&lt;0,Main[[#This Row],[تاريخ میلادی]]&gt;44276),Main[[#This Row],[مقدار (کیلوگرم)]],0)</f>
        <v>4590</v>
      </c>
      <c r="N256" s="6">
        <f ca="1">Main[[#This Row],[بدهکار (کیلوگرم)]]-Main[[#This Row],[بدهی تسویه نشده (کیلوگرم)]]</f>
        <v>4590</v>
      </c>
      <c r="O256" s="6">
        <f ca="1">Main[[#This Row],[تفکیک]]</f>
        <v>0</v>
      </c>
      <c r="P256" s="6">
        <f ca="1">IF(Main[[#This Row],[تاخیر از سررسید]]&gt;0,Main[[#This Row],[بدهی تسویه نشده (کیلوگرم)]],0)</f>
        <v>0</v>
      </c>
      <c r="Q256" s="6">
        <f ca="1">IF(Main[[#This Row],[بدهی تسویه نشده (کیلوگرم)]]&gt;0,'گزارش فردی'!$B$7-Main[[#This Row],[تاريخ میلادی]],0)</f>
        <v>0</v>
      </c>
      <c r="R256" s="6">
        <f ca="1">IF(Main[[#This Row],[بدهی تسویه نشده (کیلوگرم)]]&gt;0,'گزارش فردی'!$B$7-Main[[#This Row],[تاريخ میلادی]]-'گزارش فردی'!$B$8,0)</f>
        <v>0</v>
      </c>
      <c r="S256" s="6">
        <f ca="1">Main[[#This Row],[روز از ارسال سفارش]]*Main[[#This Row],[بدهی تسویه نشده (کیلوگرم)]]</f>
        <v>0</v>
      </c>
      <c r="T256" s="6">
        <f ca="1">Main[[#This Row],[بدهی سررسید شده (کیلوگرم)]]*Main[[#This Row],[روز از ارسال سفارش]]</f>
        <v>0</v>
      </c>
      <c r="U256" s="6">
        <f>-SUBTOTAL(9,INDEX(Main[مقدار (کیلوگرم)],1):Main[[#This Row],[مقدار (کیلوگرم)]])</f>
        <v>44308</v>
      </c>
      <c r="V2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" s="6">
        <f>Main[[#This Row],[تعداد کل روزهای بدهکار (روز)]]*Main[[#This Row],[مانده در خط کل (کیلوگرم)]]</f>
        <v>0</v>
      </c>
      <c r="X256" s="6">
        <f ca="1">-SUBTOTAL(9,INDEX(Main[مقدار تسویه شده (کیلوگرم)],1):Main[[#This Row],[مقدار تسویه شده (کیلوگرم)]])</f>
        <v>44308</v>
      </c>
      <c r="Y256" s="6">
        <f ca="1">IF(Main[[#This Row],[مانده در خط تسویه شده (کیلوگرم)]]&lt;&gt;0,Main[[#This Row],[تعداد کل روزهای بدهکار (روز)]],0)</f>
        <v>0</v>
      </c>
      <c r="Z256" s="6">
        <f ca="1">Main[[#This Row],[تعداد روزهای بدهکار تسویه شده (روز)]]*Main[[#This Row],[مانده در خط تسویه شده (کیلوگرم)]]</f>
        <v>0</v>
      </c>
      <c r="AA256" s="6">
        <f ca="1">SUBTOTAL(9,INDEX(Main[بدهی تسویه نشده (کیلوگرم)],1):Main[[#This Row],[بدهی تسویه نشده (کیلوگرم)]])</f>
        <v>0</v>
      </c>
      <c r="AB256" s="6">
        <f ca="1">IF(Main[[#This Row],[مانده در خط تسویه نشده (کیلوگرم)]]&lt;&gt;0,Main[[#This Row],[تعداد کل روزهای بدهکار (روز)]],0)</f>
        <v>0</v>
      </c>
      <c r="AC256" s="6">
        <f ca="1">Main[[#This Row],[تعداد روزهای بدهکار  تسویه نشده (روز)]]*Main[[#This Row],[مانده در خط تسویه نشده (کیلوگرم)]]</f>
        <v>0</v>
      </c>
      <c r="AD256" s="6">
        <f ca="1">SUBTOTAL(9,INDEX(Main[بدهی سررسید شده (کیلوگرم)],1):Main[[#This Row],[بدهی سررسید شده (کیلوگرم)]])</f>
        <v>0</v>
      </c>
      <c r="AE256" s="6">
        <f ca="1">IF(Main[[#This Row],[مانده در خط سررسید شده (کیلوگرم)]]&lt;&gt;0,Main[[#This Row],[تعداد کل روزهای بدهکار (روز)]],0)</f>
        <v>0</v>
      </c>
      <c r="AF256" s="6">
        <f ca="1">Main[[#This Row],[تعداد روزهای بدهکار سررسید شده (روز)]]*Main[[#This Row],[مانده در خط سررسید شده (کیلوگرم)]]</f>
        <v>0</v>
      </c>
    </row>
    <row r="257" spans="1:32" hidden="1" x14ac:dyDescent="0.35">
      <c r="A257" s="5">
        <f>ROW()-ROW(INDEX(Main[ردیف],1))+1</f>
        <v>255</v>
      </c>
      <c r="B257" s="31">
        <f>SUBTOTAL(2,INDEX(Main[ردیف],1):Main[[#This Row],[ردیف]])</f>
        <v>23</v>
      </c>
      <c r="C257" s="32" t="s">
        <v>529</v>
      </c>
      <c r="D257" s="32" t="str">
        <f>_xlfn.CONCAT("14",Main[[#This Row],[تاريخ]])</f>
        <v>1400/02/05</v>
      </c>
      <c r="E257" s="33">
        <v>44311</v>
      </c>
      <c r="F257" s="32">
        <v>30022</v>
      </c>
      <c r="G257" s="5" t="str">
        <f>INDEX(customer[عنوان],MATCH(Main[[#This Row],[کد ردیابی]],customer[کد],0))</f>
        <v xml:space="preserve">کلار پویا </v>
      </c>
      <c r="H257">
        <v>4845</v>
      </c>
      <c r="I257" s="6">
        <f ca="1">-Main[[#This Row],[بدهی تسویه شده (کیلوگرم)]]+Main[[#This Row],[بستانکار (کیلوگرم)]]</f>
        <v>4845</v>
      </c>
      <c r="J257" s="6">
        <f>IF(Main[[#This Row],[مقدار (کیلوگرم)]]&gt;0,Main[[#This Row],[مقدار (کیلوگرم)]],0)</f>
        <v>4845</v>
      </c>
      <c r="K257" s="6">
        <f>-IF(Main[[#This Row],[مقدار (کیلوگرم)]]&lt;0,Main[[#This Row],[مقدار (کیلوگرم)]],0)</f>
        <v>0</v>
      </c>
      <c r="L2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" s="7">
        <f>-IF(AND(Main[[#This Row],[مقدار (کیلوگرم)]]&lt;0,Main[[#This Row],[تاريخ میلادی]]&gt;44276),Main[[#This Row],[مقدار (کیلوگرم)]],0)</f>
        <v>0</v>
      </c>
      <c r="N257" s="6">
        <f ca="1">Main[[#This Row],[بدهکار (کیلوگرم)]]-Main[[#This Row],[بدهی تسویه نشده (کیلوگرم)]]</f>
        <v>0</v>
      </c>
      <c r="O257" s="6">
        <f ca="1">Main[[#This Row],[تفکیک]]</f>
        <v>0</v>
      </c>
      <c r="P257" s="6">
        <f ca="1">IF(Main[[#This Row],[تاخیر از سررسید]]&gt;0,Main[[#This Row],[بدهی تسویه نشده (کیلوگرم)]],0)</f>
        <v>0</v>
      </c>
      <c r="Q257" s="6">
        <f ca="1">IF(Main[[#This Row],[بدهی تسویه نشده (کیلوگرم)]]&gt;0,'گزارش فردی'!$B$7-Main[[#This Row],[تاريخ میلادی]],0)</f>
        <v>0</v>
      </c>
      <c r="R257" s="6">
        <f ca="1">IF(Main[[#This Row],[بدهی تسویه نشده (کیلوگرم)]]&gt;0,'گزارش فردی'!$B$7-Main[[#This Row],[تاريخ میلادی]]-'گزارش فردی'!$B$8,0)</f>
        <v>0</v>
      </c>
      <c r="S257" s="6">
        <f ca="1">Main[[#This Row],[روز از ارسال سفارش]]*Main[[#This Row],[بدهی تسویه نشده (کیلوگرم)]]</f>
        <v>0</v>
      </c>
      <c r="T257" s="6">
        <f ca="1">Main[[#This Row],[بدهی سررسید شده (کیلوگرم)]]*Main[[#This Row],[روز از ارسال سفارش]]</f>
        <v>0</v>
      </c>
      <c r="U257" s="6">
        <f>-SUBTOTAL(9,INDEX(Main[مقدار (کیلوگرم)],1):Main[[#This Row],[مقدار (کیلوگرم)]])</f>
        <v>44308</v>
      </c>
      <c r="V2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" s="6">
        <f>Main[[#This Row],[تعداد کل روزهای بدهکار (روز)]]*Main[[#This Row],[مانده در خط کل (کیلوگرم)]]</f>
        <v>0</v>
      </c>
      <c r="X257" s="6">
        <f ca="1">-SUBTOTAL(9,INDEX(Main[مقدار تسویه شده (کیلوگرم)],1):Main[[#This Row],[مقدار تسویه شده (کیلوگرم)]])</f>
        <v>44308</v>
      </c>
      <c r="Y257" s="6">
        <f ca="1">IF(Main[[#This Row],[مانده در خط تسویه شده (کیلوگرم)]]&lt;&gt;0,Main[[#This Row],[تعداد کل روزهای بدهکار (روز)]],0)</f>
        <v>0</v>
      </c>
      <c r="Z257" s="6">
        <f ca="1">Main[[#This Row],[تعداد روزهای بدهکار تسویه شده (روز)]]*Main[[#This Row],[مانده در خط تسویه شده (کیلوگرم)]]</f>
        <v>0</v>
      </c>
      <c r="AA257" s="6">
        <f ca="1">SUBTOTAL(9,INDEX(Main[بدهی تسویه نشده (کیلوگرم)],1):Main[[#This Row],[بدهی تسویه نشده (کیلوگرم)]])</f>
        <v>0</v>
      </c>
      <c r="AB257" s="6">
        <f ca="1">IF(Main[[#This Row],[مانده در خط تسویه نشده (کیلوگرم)]]&lt;&gt;0,Main[[#This Row],[تعداد کل روزهای بدهکار (روز)]],0)</f>
        <v>0</v>
      </c>
      <c r="AC257" s="6">
        <f ca="1">Main[[#This Row],[تعداد روزهای بدهکار  تسویه نشده (روز)]]*Main[[#This Row],[مانده در خط تسویه نشده (کیلوگرم)]]</f>
        <v>0</v>
      </c>
      <c r="AD257" s="6">
        <f ca="1">SUBTOTAL(9,INDEX(Main[بدهی سررسید شده (کیلوگرم)],1):Main[[#This Row],[بدهی سررسید شده (کیلوگرم)]])</f>
        <v>0</v>
      </c>
      <c r="AE257" s="6">
        <f ca="1">IF(Main[[#This Row],[مانده در خط سررسید شده (کیلوگرم)]]&lt;&gt;0,Main[[#This Row],[تعداد کل روزهای بدهکار (روز)]],0)</f>
        <v>0</v>
      </c>
      <c r="AF257" s="6">
        <f ca="1">Main[[#This Row],[تعداد روزهای بدهکار سررسید شده (روز)]]*Main[[#This Row],[مانده در خط سررسید شده (کیلوگرم)]]</f>
        <v>0</v>
      </c>
    </row>
    <row r="258" spans="1:32" hidden="1" x14ac:dyDescent="0.35">
      <c r="A258" s="5">
        <f>ROW()-ROW(INDEX(Main[ردیف],1))+1</f>
        <v>256</v>
      </c>
      <c r="B258" s="31">
        <f>SUBTOTAL(2,INDEX(Main[ردیف],1):Main[[#This Row],[ردیف]])</f>
        <v>23</v>
      </c>
      <c r="C258" s="32" t="s">
        <v>529</v>
      </c>
      <c r="D258" s="32" t="str">
        <f>_xlfn.CONCAT("14",Main[[#This Row],[تاريخ]])</f>
        <v>1400/02/05</v>
      </c>
      <c r="E258" s="33">
        <v>44311</v>
      </c>
      <c r="F258" s="32">
        <v>10027</v>
      </c>
      <c r="G258" s="5" t="str">
        <f>INDEX(customer[عنوان],MATCH(Main[[#This Row],[کد ردیابی]],customer[کد],0))</f>
        <v xml:space="preserve">مصطفی نورعلی </v>
      </c>
      <c r="H258">
        <v>-2698</v>
      </c>
      <c r="I258" s="6">
        <f ca="1">-Main[[#This Row],[بدهی تسویه شده (کیلوگرم)]]+Main[[#This Row],[بستانکار (کیلوگرم)]]</f>
        <v>-2698</v>
      </c>
      <c r="J258" s="6">
        <f>IF(Main[[#This Row],[مقدار (کیلوگرم)]]&gt;0,Main[[#This Row],[مقدار (کیلوگرم)]],0)</f>
        <v>0</v>
      </c>
      <c r="K258" s="6">
        <f>-IF(Main[[#This Row],[مقدار (کیلوگرم)]]&lt;0,Main[[#This Row],[مقدار (کیلوگرم)]],0)</f>
        <v>2698</v>
      </c>
      <c r="L2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" s="7">
        <f>-IF(AND(Main[[#This Row],[مقدار (کیلوگرم)]]&lt;0,Main[[#This Row],[تاريخ میلادی]]&gt;44276),Main[[#This Row],[مقدار (کیلوگرم)]],0)</f>
        <v>2698</v>
      </c>
      <c r="N258" s="6">
        <f ca="1">Main[[#This Row],[بدهکار (کیلوگرم)]]-Main[[#This Row],[بدهی تسویه نشده (کیلوگرم)]]</f>
        <v>2698</v>
      </c>
      <c r="O258" s="6">
        <f ca="1">Main[[#This Row],[تفکیک]]</f>
        <v>0</v>
      </c>
      <c r="P258" s="6">
        <f ca="1">IF(Main[[#This Row],[تاخیر از سررسید]]&gt;0,Main[[#This Row],[بدهی تسویه نشده (کیلوگرم)]],0)</f>
        <v>0</v>
      </c>
      <c r="Q258" s="6">
        <f ca="1">IF(Main[[#This Row],[بدهی تسویه نشده (کیلوگرم)]]&gt;0,'گزارش فردی'!$B$7-Main[[#This Row],[تاريخ میلادی]],0)</f>
        <v>0</v>
      </c>
      <c r="R258" s="6">
        <f ca="1">IF(Main[[#This Row],[بدهی تسویه نشده (کیلوگرم)]]&gt;0,'گزارش فردی'!$B$7-Main[[#This Row],[تاريخ میلادی]]-'گزارش فردی'!$B$8,0)</f>
        <v>0</v>
      </c>
      <c r="S258" s="6">
        <f ca="1">Main[[#This Row],[روز از ارسال سفارش]]*Main[[#This Row],[بدهی تسویه نشده (کیلوگرم)]]</f>
        <v>0</v>
      </c>
      <c r="T258" s="6">
        <f ca="1">Main[[#This Row],[بدهی سررسید شده (کیلوگرم)]]*Main[[#This Row],[روز از ارسال سفارش]]</f>
        <v>0</v>
      </c>
      <c r="U258" s="6">
        <f>-SUBTOTAL(9,INDEX(Main[مقدار (کیلوگرم)],1):Main[[#This Row],[مقدار (کیلوگرم)]])</f>
        <v>44308</v>
      </c>
      <c r="V2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" s="6">
        <f>Main[[#This Row],[تعداد کل روزهای بدهکار (روز)]]*Main[[#This Row],[مانده در خط کل (کیلوگرم)]]</f>
        <v>0</v>
      </c>
      <c r="X258" s="6">
        <f ca="1">-SUBTOTAL(9,INDEX(Main[مقدار تسویه شده (کیلوگرم)],1):Main[[#This Row],[مقدار تسویه شده (کیلوگرم)]])</f>
        <v>44308</v>
      </c>
      <c r="Y258" s="6">
        <f ca="1">IF(Main[[#This Row],[مانده در خط تسویه شده (کیلوگرم)]]&lt;&gt;0,Main[[#This Row],[تعداد کل روزهای بدهکار (روز)]],0)</f>
        <v>0</v>
      </c>
      <c r="Z258" s="6">
        <f ca="1">Main[[#This Row],[تعداد روزهای بدهکار تسویه شده (روز)]]*Main[[#This Row],[مانده در خط تسویه شده (کیلوگرم)]]</f>
        <v>0</v>
      </c>
      <c r="AA258" s="6">
        <f ca="1">SUBTOTAL(9,INDEX(Main[بدهی تسویه نشده (کیلوگرم)],1):Main[[#This Row],[بدهی تسویه نشده (کیلوگرم)]])</f>
        <v>0</v>
      </c>
      <c r="AB258" s="6">
        <f ca="1">IF(Main[[#This Row],[مانده در خط تسویه نشده (کیلوگرم)]]&lt;&gt;0,Main[[#This Row],[تعداد کل روزهای بدهکار (روز)]],0)</f>
        <v>0</v>
      </c>
      <c r="AC258" s="6">
        <f ca="1">Main[[#This Row],[تعداد روزهای بدهکار  تسویه نشده (روز)]]*Main[[#This Row],[مانده در خط تسویه نشده (کیلوگرم)]]</f>
        <v>0</v>
      </c>
      <c r="AD258" s="6">
        <f ca="1">SUBTOTAL(9,INDEX(Main[بدهی سررسید شده (کیلوگرم)],1):Main[[#This Row],[بدهی سررسید شده (کیلوگرم)]])</f>
        <v>0</v>
      </c>
      <c r="AE258" s="6">
        <f ca="1">IF(Main[[#This Row],[مانده در خط سررسید شده (کیلوگرم)]]&lt;&gt;0,Main[[#This Row],[تعداد کل روزهای بدهکار (روز)]],0)</f>
        <v>0</v>
      </c>
      <c r="AF258" s="6">
        <f ca="1">Main[[#This Row],[تعداد روزهای بدهکار سررسید شده (روز)]]*Main[[#This Row],[مانده در خط سررسید شده (کیلوگرم)]]</f>
        <v>0</v>
      </c>
    </row>
    <row r="259" spans="1:32" hidden="1" x14ac:dyDescent="0.35">
      <c r="A259" s="5">
        <f>ROW()-ROW(INDEX(Main[ردیف],1))+1</f>
        <v>257</v>
      </c>
      <c r="B259" s="31">
        <f>SUBTOTAL(2,INDEX(Main[ردیف],1):Main[[#This Row],[ردیف]])</f>
        <v>23</v>
      </c>
      <c r="C259" s="32" t="s">
        <v>529</v>
      </c>
      <c r="D259" s="32" t="str">
        <f>_xlfn.CONCAT("14",Main[[#This Row],[تاريخ]])</f>
        <v>1400/02/05</v>
      </c>
      <c r="E259" s="33">
        <v>44311</v>
      </c>
      <c r="F259" s="32">
        <v>30066</v>
      </c>
      <c r="G259" s="5" t="str">
        <f>INDEX(customer[عنوان],MATCH(Main[[#This Row],[کد ردیابی]],customer[کد],0))</f>
        <v xml:space="preserve">شیر آلات بهداشتی قهرمان </v>
      </c>
      <c r="H259">
        <v>4370</v>
      </c>
      <c r="I259" s="6">
        <f ca="1">-Main[[#This Row],[بدهی تسویه شده (کیلوگرم)]]+Main[[#This Row],[بستانکار (کیلوگرم)]]</f>
        <v>4370</v>
      </c>
      <c r="J259" s="6">
        <f>IF(Main[[#This Row],[مقدار (کیلوگرم)]]&gt;0,Main[[#This Row],[مقدار (کیلوگرم)]],0)</f>
        <v>4370</v>
      </c>
      <c r="K259" s="6">
        <f>-IF(Main[[#This Row],[مقدار (کیلوگرم)]]&lt;0,Main[[#This Row],[مقدار (کیلوگرم)]],0)</f>
        <v>0</v>
      </c>
      <c r="L2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" s="7">
        <f>-IF(AND(Main[[#This Row],[مقدار (کیلوگرم)]]&lt;0,Main[[#This Row],[تاريخ میلادی]]&gt;44276),Main[[#This Row],[مقدار (کیلوگرم)]],0)</f>
        <v>0</v>
      </c>
      <c r="N259" s="6">
        <f ca="1">Main[[#This Row],[بدهکار (کیلوگرم)]]-Main[[#This Row],[بدهی تسویه نشده (کیلوگرم)]]</f>
        <v>0</v>
      </c>
      <c r="O259" s="6">
        <f ca="1">Main[[#This Row],[تفکیک]]</f>
        <v>0</v>
      </c>
      <c r="P259" s="6">
        <f ca="1">IF(Main[[#This Row],[تاخیر از سررسید]]&gt;0,Main[[#This Row],[بدهی تسویه نشده (کیلوگرم)]],0)</f>
        <v>0</v>
      </c>
      <c r="Q259" s="6">
        <f ca="1">IF(Main[[#This Row],[بدهی تسویه نشده (کیلوگرم)]]&gt;0,'گزارش فردی'!$B$7-Main[[#This Row],[تاريخ میلادی]],0)</f>
        <v>0</v>
      </c>
      <c r="R259" s="6">
        <f ca="1">IF(Main[[#This Row],[بدهی تسویه نشده (کیلوگرم)]]&gt;0,'گزارش فردی'!$B$7-Main[[#This Row],[تاريخ میلادی]]-'گزارش فردی'!$B$8,0)</f>
        <v>0</v>
      </c>
      <c r="S259" s="6">
        <f ca="1">Main[[#This Row],[روز از ارسال سفارش]]*Main[[#This Row],[بدهی تسویه نشده (کیلوگرم)]]</f>
        <v>0</v>
      </c>
      <c r="T259" s="6">
        <f ca="1">Main[[#This Row],[بدهی سررسید شده (کیلوگرم)]]*Main[[#This Row],[روز از ارسال سفارش]]</f>
        <v>0</v>
      </c>
      <c r="U259" s="6">
        <f>-SUBTOTAL(9,INDEX(Main[مقدار (کیلوگرم)],1):Main[[#This Row],[مقدار (کیلوگرم)]])</f>
        <v>44308</v>
      </c>
      <c r="V2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9" s="6">
        <f>Main[[#This Row],[تعداد کل روزهای بدهکار (روز)]]*Main[[#This Row],[مانده در خط کل (کیلوگرم)]]</f>
        <v>0</v>
      </c>
      <c r="X259" s="6">
        <f ca="1">-SUBTOTAL(9,INDEX(Main[مقدار تسویه شده (کیلوگرم)],1):Main[[#This Row],[مقدار تسویه شده (کیلوگرم)]])</f>
        <v>44308</v>
      </c>
      <c r="Y259" s="6">
        <f ca="1">IF(Main[[#This Row],[مانده در خط تسویه شده (کیلوگرم)]]&lt;&gt;0,Main[[#This Row],[تعداد کل روزهای بدهکار (روز)]],0)</f>
        <v>0</v>
      </c>
      <c r="Z259" s="6">
        <f ca="1">Main[[#This Row],[تعداد روزهای بدهکار تسویه شده (روز)]]*Main[[#This Row],[مانده در خط تسویه شده (کیلوگرم)]]</f>
        <v>0</v>
      </c>
      <c r="AA259" s="6">
        <f ca="1">SUBTOTAL(9,INDEX(Main[بدهی تسویه نشده (کیلوگرم)],1):Main[[#This Row],[بدهی تسویه نشده (کیلوگرم)]])</f>
        <v>0</v>
      </c>
      <c r="AB259" s="6">
        <f ca="1">IF(Main[[#This Row],[مانده در خط تسویه نشده (کیلوگرم)]]&lt;&gt;0,Main[[#This Row],[تعداد کل روزهای بدهکار (روز)]],0)</f>
        <v>0</v>
      </c>
      <c r="AC259" s="6">
        <f ca="1">Main[[#This Row],[تعداد روزهای بدهکار  تسویه نشده (روز)]]*Main[[#This Row],[مانده در خط تسویه نشده (کیلوگرم)]]</f>
        <v>0</v>
      </c>
      <c r="AD259" s="6">
        <f ca="1">SUBTOTAL(9,INDEX(Main[بدهی سررسید شده (کیلوگرم)],1):Main[[#This Row],[بدهی سررسید شده (کیلوگرم)]])</f>
        <v>0</v>
      </c>
      <c r="AE259" s="6">
        <f ca="1">IF(Main[[#This Row],[مانده در خط سررسید شده (کیلوگرم)]]&lt;&gt;0,Main[[#This Row],[تعداد کل روزهای بدهکار (روز)]],0)</f>
        <v>0</v>
      </c>
      <c r="AF259" s="6">
        <f ca="1">Main[[#This Row],[تعداد روزهای بدهکار سررسید شده (روز)]]*Main[[#This Row],[مانده در خط سررسید شده (کیلوگرم)]]</f>
        <v>0</v>
      </c>
    </row>
    <row r="260" spans="1:32" hidden="1" x14ac:dyDescent="0.35">
      <c r="A260" s="5">
        <f>ROW()-ROW(INDEX(Main[ردیف],1))+1</f>
        <v>258</v>
      </c>
      <c r="B260" s="31">
        <f>SUBTOTAL(2,INDEX(Main[ردیف],1):Main[[#This Row],[ردیف]])</f>
        <v>23</v>
      </c>
      <c r="C260" s="32" t="s">
        <v>529</v>
      </c>
      <c r="D260" s="32" t="str">
        <f>_xlfn.CONCAT("14",Main[[#This Row],[تاريخ]])</f>
        <v>1400/02/05</v>
      </c>
      <c r="E260" s="33">
        <v>44311</v>
      </c>
      <c r="F260" s="32">
        <v>30004</v>
      </c>
      <c r="G260" s="5" t="str">
        <f>INDEX(customer[عنوان],MATCH(Main[[#This Row],[کد ردیابی]],customer[کد],0))</f>
        <v>تولیدی صنعتی صفاشیر پارس</v>
      </c>
      <c r="H260">
        <v>-4748</v>
      </c>
      <c r="I260" s="6">
        <f ca="1">-Main[[#This Row],[بدهی تسویه شده (کیلوگرم)]]+Main[[#This Row],[بستانکار (کیلوگرم)]]</f>
        <v>-4748</v>
      </c>
      <c r="J260" s="6">
        <f>IF(Main[[#This Row],[مقدار (کیلوگرم)]]&gt;0,Main[[#This Row],[مقدار (کیلوگرم)]],0)</f>
        <v>0</v>
      </c>
      <c r="K260" s="6">
        <f>-IF(Main[[#This Row],[مقدار (کیلوگرم)]]&lt;0,Main[[#This Row],[مقدار (کیلوگرم)]],0)</f>
        <v>4748</v>
      </c>
      <c r="L2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" s="7">
        <f>-IF(AND(Main[[#This Row],[مقدار (کیلوگرم)]]&lt;0,Main[[#This Row],[تاريخ میلادی]]&gt;44276),Main[[#This Row],[مقدار (کیلوگرم)]],0)</f>
        <v>4748</v>
      </c>
      <c r="N260" s="6">
        <f ca="1">Main[[#This Row],[بدهکار (کیلوگرم)]]-Main[[#This Row],[بدهی تسویه نشده (کیلوگرم)]]</f>
        <v>4748</v>
      </c>
      <c r="O260" s="6">
        <f ca="1">Main[[#This Row],[تفکیک]]</f>
        <v>0</v>
      </c>
      <c r="P260" s="6">
        <f ca="1">IF(Main[[#This Row],[تاخیر از سررسید]]&gt;0,Main[[#This Row],[بدهی تسویه نشده (کیلوگرم)]],0)</f>
        <v>0</v>
      </c>
      <c r="Q260" s="6">
        <f ca="1">IF(Main[[#This Row],[بدهی تسویه نشده (کیلوگرم)]]&gt;0,'گزارش فردی'!$B$7-Main[[#This Row],[تاريخ میلادی]],0)</f>
        <v>0</v>
      </c>
      <c r="R260" s="6">
        <f ca="1">IF(Main[[#This Row],[بدهی تسویه نشده (کیلوگرم)]]&gt;0,'گزارش فردی'!$B$7-Main[[#This Row],[تاريخ میلادی]]-'گزارش فردی'!$B$8,0)</f>
        <v>0</v>
      </c>
      <c r="S260" s="6">
        <f ca="1">Main[[#This Row],[روز از ارسال سفارش]]*Main[[#This Row],[بدهی تسویه نشده (کیلوگرم)]]</f>
        <v>0</v>
      </c>
      <c r="T260" s="6">
        <f ca="1">Main[[#This Row],[بدهی سررسید شده (کیلوگرم)]]*Main[[#This Row],[روز از ارسال سفارش]]</f>
        <v>0</v>
      </c>
      <c r="U260" s="6">
        <f>-SUBTOTAL(9,INDEX(Main[مقدار (کیلوگرم)],1):Main[[#This Row],[مقدار (کیلوگرم)]])</f>
        <v>44308</v>
      </c>
      <c r="V2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" s="6">
        <f>Main[[#This Row],[تعداد کل روزهای بدهکار (روز)]]*Main[[#This Row],[مانده در خط کل (کیلوگرم)]]</f>
        <v>0</v>
      </c>
      <c r="X260" s="6">
        <f ca="1">-SUBTOTAL(9,INDEX(Main[مقدار تسویه شده (کیلوگرم)],1):Main[[#This Row],[مقدار تسویه شده (کیلوگرم)]])</f>
        <v>44308</v>
      </c>
      <c r="Y260" s="6">
        <f ca="1">IF(Main[[#This Row],[مانده در خط تسویه شده (کیلوگرم)]]&lt;&gt;0,Main[[#This Row],[تعداد کل روزهای بدهکار (روز)]],0)</f>
        <v>0</v>
      </c>
      <c r="Z260" s="6">
        <f ca="1">Main[[#This Row],[تعداد روزهای بدهکار تسویه شده (روز)]]*Main[[#This Row],[مانده در خط تسویه شده (کیلوگرم)]]</f>
        <v>0</v>
      </c>
      <c r="AA260" s="6">
        <f ca="1">SUBTOTAL(9,INDEX(Main[بدهی تسویه نشده (کیلوگرم)],1):Main[[#This Row],[بدهی تسویه نشده (کیلوگرم)]])</f>
        <v>0</v>
      </c>
      <c r="AB260" s="6">
        <f ca="1">IF(Main[[#This Row],[مانده در خط تسویه نشده (کیلوگرم)]]&lt;&gt;0,Main[[#This Row],[تعداد کل روزهای بدهکار (روز)]],0)</f>
        <v>0</v>
      </c>
      <c r="AC260" s="6">
        <f ca="1">Main[[#This Row],[تعداد روزهای بدهکار  تسویه نشده (روز)]]*Main[[#This Row],[مانده در خط تسویه نشده (کیلوگرم)]]</f>
        <v>0</v>
      </c>
      <c r="AD260" s="6">
        <f ca="1">SUBTOTAL(9,INDEX(Main[بدهی سررسید شده (کیلوگرم)],1):Main[[#This Row],[بدهی سررسید شده (کیلوگرم)]])</f>
        <v>0</v>
      </c>
      <c r="AE260" s="6">
        <f ca="1">IF(Main[[#This Row],[مانده در خط سررسید شده (کیلوگرم)]]&lt;&gt;0,Main[[#This Row],[تعداد کل روزهای بدهکار (روز)]],0)</f>
        <v>0</v>
      </c>
      <c r="AF260" s="6">
        <f ca="1">Main[[#This Row],[تعداد روزهای بدهکار سررسید شده (روز)]]*Main[[#This Row],[مانده در خط سررسید شده (کیلوگرم)]]</f>
        <v>0</v>
      </c>
    </row>
    <row r="261" spans="1:32" x14ac:dyDescent="0.35">
      <c r="A261" s="5">
        <f>ROW()-ROW(INDEX(Main[ردیف],1))+1</f>
        <v>259</v>
      </c>
      <c r="B261" s="31">
        <f>SUBTOTAL(2,INDEX(Main[ردیف],1):Main[[#This Row],[ردیف]])</f>
        <v>24</v>
      </c>
      <c r="C261" s="32" t="s">
        <v>529</v>
      </c>
      <c r="D261" s="32" t="str">
        <f>_xlfn.CONCAT("14",Main[[#This Row],[تاريخ]])</f>
        <v>1400/02/05</v>
      </c>
      <c r="E261" s="33">
        <v>44311</v>
      </c>
      <c r="F261" s="32">
        <v>10003</v>
      </c>
      <c r="G261" s="5" t="str">
        <f>INDEX(customer[عنوان],MATCH(Main[[#This Row],[کد ردیابی]],customer[کد],0))</f>
        <v>اصغر نورعلی</v>
      </c>
      <c r="H261">
        <v>2675</v>
      </c>
      <c r="I261" s="6">
        <f ca="1">-Main[[#This Row],[بدهی تسویه شده (کیلوگرم)]]+Main[[#This Row],[بستانکار (کیلوگرم)]]</f>
        <v>2675</v>
      </c>
      <c r="J261" s="6">
        <f>IF(Main[[#This Row],[مقدار (کیلوگرم)]]&gt;0,Main[[#This Row],[مقدار (کیلوگرم)]],0)</f>
        <v>2675</v>
      </c>
      <c r="K261" s="6">
        <f>-IF(Main[[#This Row],[مقدار (کیلوگرم)]]&lt;0,Main[[#This Row],[مقدار (کیلوگرم)]],0)</f>
        <v>0</v>
      </c>
      <c r="L2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" s="7">
        <f>-IF(AND(Main[[#This Row],[مقدار (کیلوگرم)]]&lt;0,Main[[#This Row],[تاريخ میلادی]]&gt;44276),Main[[#This Row],[مقدار (کیلوگرم)]],0)</f>
        <v>0</v>
      </c>
      <c r="N261" s="6">
        <f ca="1">Main[[#This Row],[بدهکار (کیلوگرم)]]-Main[[#This Row],[بدهی تسویه نشده (کیلوگرم)]]</f>
        <v>0</v>
      </c>
      <c r="O261" s="6">
        <f ca="1">Main[[#This Row],[تفکیک]]</f>
        <v>0</v>
      </c>
      <c r="P261" s="6">
        <f ca="1">IF(Main[[#This Row],[تاخیر از سررسید]]&gt;0,Main[[#This Row],[بدهی تسویه نشده (کیلوگرم)]],0)</f>
        <v>0</v>
      </c>
      <c r="Q261" s="6">
        <f ca="1">IF(Main[[#This Row],[بدهی تسویه نشده (کیلوگرم)]]&gt;0,'گزارش فردی'!$B$7-Main[[#This Row],[تاريخ میلادی]],0)</f>
        <v>0</v>
      </c>
      <c r="R261" s="6">
        <f ca="1">IF(Main[[#This Row],[بدهی تسویه نشده (کیلوگرم)]]&gt;0,'گزارش فردی'!$B$7-Main[[#This Row],[تاريخ میلادی]]-'گزارش فردی'!$B$8,0)</f>
        <v>0</v>
      </c>
      <c r="S261" s="6">
        <f ca="1">Main[[#This Row],[روز از ارسال سفارش]]*Main[[#This Row],[بدهی تسویه نشده (کیلوگرم)]]</f>
        <v>0</v>
      </c>
      <c r="T261" s="6">
        <f ca="1">Main[[#This Row],[بدهی سررسید شده (کیلوگرم)]]*Main[[#This Row],[روز از ارسال سفارش]]</f>
        <v>0</v>
      </c>
      <c r="U261" s="6">
        <f>-SUBTOTAL(9,INDEX(Main[مقدار (کیلوگرم)],1):Main[[#This Row],[مقدار (کیلوگرم)]])</f>
        <v>41633</v>
      </c>
      <c r="V2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" s="6">
        <f>Main[[#This Row],[تعداد کل روزهای بدهکار (روز)]]*Main[[#This Row],[مانده در خط کل (کیلوگرم)]]</f>
        <v>41633</v>
      </c>
      <c r="X261" s="6">
        <f ca="1">-SUBTOTAL(9,INDEX(Main[مقدار تسویه شده (کیلوگرم)],1):Main[[#This Row],[مقدار تسویه شده (کیلوگرم)]])</f>
        <v>41633</v>
      </c>
      <c r="Y261" s="6">
        <f ca="1">IF(Main[[#This Row],[مانده در خط تسویه شده (کیلوگرم)]]&lt;&gt;0,Main[[#This Row],[تعداد کل روزهای بدهکار (روز)]],0)</f>
        <v>1</v>
      </c>
      <c r="Z261" s="6">
        <f ca="1">Main[[#This Row],[تعداد روزهای بدهکار تسویه شده (روز)]]*Main[[#This Row],[مانده در خط تسویه شده (کیلوگرم)]]</f>
        <v>41633</v>
      </c>
      <c r="AA261" s="6">
        <f ca="1">SUBTOTAL(9,INDEX(Main[بدهی تسویه نشده (کیلوگرم)],1):Main[[#This Row],[بدهی تسویه نشده (کیلوگرم)]])</f>
        <v>0</v>
      </c>
      <c r="AB261" s="6">
        <f ca="1">IF(Main[[#This Row],[مانده در خط تسویه نشده (کیلوگرم)]]&lt;&gt;0,Main[[#This Row],[تعداد کل روزهای بدهکار (روز)]],0)</f>
        <v>0</v>
      </c>
      <c r="AC261" s="6">
        <f ca="1">Main[[#This Row],[تعداد روزهای بدهکار  تسویه نشده (روز)]]*Main[[#This Row],[مانده در خط تسویه نشده (کیلوگرم)]]</f>
        <v>0</v>
      </c>
      <c r="AD261" s="6">
        <f ca="1">SUBTOTAL(9,INDEX(Main[بدهی سررسید شده (کیلوگرم)],1):Main[[#This Row],[بدهی سررسید شده (کیلوگرم)]])</f>
        <v>0</v>
      </c>
      <c r="AE261" s="6">
        <f ca="1">IF(Main[[#This Row],[مانده در خط سررسید شده (کیلوگرم)]]&lt;&gt;0,Main[[#This Row],[تعداد کل روزهای بدهکار (روز)]],0)</f>
        <v>0</v>
      </c>
      <c r="AF261" s="6">
        <f ca="1">Main[[#This Row],[تعداد روزهای بدهکار سررسید شده (روز)]]*Main[[#This Row],[مانده در خط سررسید شده (کیلوگرم)]]</f>
        <v>0</v>
      </c>
    </row>
    <row r="262" spans="1:32" hidden="1" x14ac:dyDescent="0.35">
      <c r="A262" s="5">
        <f>ROW()-ROW(INDEX(Main[ردیف],1))+1</f>
        <v>260</v>
      </c>
      <c r="B262" s="31">
        <f>SUBTOTAL(2,INDEX(Main[ردیف],1):Main[[#This Row],[ردیف]])</f>
        <v>24</v>
      </c>
      <c r="C262" s="32" t="s">
        <v>531</v>
      </c>
      <c r="D262" s="32" t="str">
        <f>_xlfn.CONCAT("14",Main[[#This Row],[تاريخ]])</f>
        <v>1400/02/06</v>
      </c>
      <c r="E262" s="33">
        <v>44312</v>
      </c>
      <c r="F262" s="32">
        <v>30081</v>
      </c>
      <c r="G262" s="5" t="str">
        <f>INDEX(customer[عنوان],MATCH(Main[[#This Row],[کد ردیابی]],customer[کد],0))</f>
        <v xml:space="preserve">شیرآلات بهداشتی راسان </v>
      </c>
      <c r="H262">
        <v>-3962</v>
      </c>
      <c r="I262" s="6">
        <f ca="1">-Main[[#This Row],[بدهی تسویه شده (کیلوگرم)]]+Main[[#This Row],[بستانکار (کیلوگرم)]]</f>
        <v>-3962</v>
      </c>
      <c r="J262" s="6">
        <f>IF(Main[[#This Row],[مقدار (کیلوگرم)]]&gt;0,Main[[#This Row],[مقدار (کیلوگرم)]],0)</f>
        <v>0</v>
      </c>
      <c r="K262" s="6">
        <f>-IF(Main[[#This Row],[مقدار (کیلوگرم)]]&lt;0,Main[[#This Row],[مقدار (کیلوگرم)]],0)</f>
        <v>3962</v>
      </c>
      <c r="L2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" s="7">
        <f>-IF(AND(Main[[#This Row],[مقدار (کیلوگرم)]]&lt;0,Main[[#This Row],[تاريخ میلادی]]&gt;44276),Main[[#This Row],[مقدار (کیلوگرم)]],0)</f>
        <v>3962</v>
      </c>
      <c r="N262" s="6">
        <f ca="1">Main[[#This Row],[بدهکار (کیلوگرم)]]-Main[[#This Row],[بدهی تسویه نشده (کیلوگرم)]]</f>
        <v>3962</v>
      </c>
      <c r="O262" s="6">
        <f ca="1">Main[[#This Row],[تفکیک]]</f>
        <v>0</v>
      </c>
      <c r="P262" s="6">
        <f ca="1">IF(Main[[#This Row],[تاخیر از سررسید]]&gt;0,Main[[#This Row],[بدهی تسویه نشده (کیلوگرم)]],0)</f>
        <v>0</v>
      </c>
      <c r="Q262" s="6">
        <f ca="1">IF(Main[[#This Row],[بدهی تسویه نشده (کیلوگرم)]]&gt;0,'گزارش فردی'!$B$7-Main[[#This Row],[تاريخ میلادی]],0)</f>
        <v>0</v>
      </c>
      <c r="R262" s="6">
        <f ca="1">IF(Main[[#This Row],[بدهی تسویه نشده (کیلوگرم)]]&gt;0,'گزارش فردی'!$B$7-Main[[#This Row],[تاريخ میلادی]]-'گزارش فردی'!$B$8,0)</f>
        <v>0</v>
      </c>
      <c r="S262" s="6">
        <f ca="1">Main[[#This Row],[روز از ارسال سفارش]]*Main[[#This Row],[بدهی تسویه نشده (کیلوگرم)]]</f>
        <v>0</v>
      </c>
      <c r="T262" s="6">
        <f ca="1">Main[[#This Row],[بدهی سررسید شده (کیلوگرم)]]*Main[[#This Row],[روز از ارسال سفارش]]</f>
        <v>0</v>
      </c>
      <c r="U262" s="6">
        <f>-SUBTOTAL(9,INDEX(Main[مقدار (کیلوگرم)],1):Main[[#This Row],[مقدار (کیلوگرم)]])</f>
        <v>41633</v>
      </c>
      <c r="V2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" s="6">
        <f>Main[[#This Row],[تعداد کل روزهای بدهکار (روز)]]*Main[[#This Row],[مانده در خط کل (کیلوگرم)]]</f>
        <v>0</v>
      </c>
      <c r="X262" s="6">
        <f ca="1">-SUBTOTAL(9,INDEX(Main[مقدار تسویه شده (کیلوگرم)],1):Main[[#This Row],[مقدار تسویه شده (کیلوگرم)]])</f>
        <v>41633</v>
      </c>
      <c r="Y262" s="6">
        <f ca="1">IF(Main[[#This Row],[مانده در خط تسویه شده (کیلوگرم)]]&lt;&gt;0,Main[[#This Row],[تعداد کل روزهای بدهکار (روز)]],0)</f>
        <v>0</v>
      </c>
      <c r="Z262" s="6">
        <f ca="1">Main[[#This Row],[تعداد روزهای بدهکار تسویه شده (روز)]]*Main[[#This Row],[مانده در خط تسویه شده (کیلوگرم)]]</f>
        <v>0</v>
      </c>
      <c r="AA262" s="6">
        <f ca="1">SUBTOTAL(9,INDEX(Main[بدهی تسویه نشده (کیلوگرم)],1):Main[[#This Row],[بدهی تسویه نشده (کیلوگرم)]])</f>
        <v>0</v>
      </c>
      <c r="AB262" s="6">
        <f ca="1">IF(Main[[#This Row],[مانده در خط تسویه نشده (کیلوگرم)]]&lt;&gt;0,Main[[#This Row],[تعداد کل روزهای بدهکار (روز)]],0)</f>
        <v>0</v>
      </c>
      <c r="AC262" s="6">
        <f ca="1">Main[[#This Row],[تعداد روزهای بدهکار  تسویه نشده (روز)]]*Main[[#This Row],[مانده در خط تسویه نشده (کیلوگرم)]]</f>
        <v>0</v>
      </c>
      <c r="AD262" s="6">
        <f ca="1">SUBTOTAL(9,INDEX(Main[بدهی سررسید شده (کیلوگرم)],1):Main[[#This Row],[بدهی سررسید شده (کیلوگرم)]])</f>
        <v>0</v>
      </c>
      <c r="AE262" s="6">
        <f ca="1">IF(Main[[#This Row],[مانده در خط سررسید شده (کیلوگرم)]]&lt;&gt;0,Main[[#This Row],[تعداد کل روزهای بدهکار (روز)]],0)</f>
        <v>0</v>
      </c>
      <c r="AF262" s="6">
        <f ca="1">Main[[#This Row],[تعداد روزهای بدهکار سررسید شده (روز)]]*Main[[#This Row],[مانده در خط سررسید شده (کیلوگرم)]]</f>
        <v>0</v>
      </c>
    </row>
    <row r="263" spans="1:32" hidden="1" x14ac:dyDescent="0.35">
      <c r="A263" s="5">
        <f>ROW()-ROW(INDEX(Main[ردیف],1))+1</f>
        <v>261</v>
      </c>
      <c r="B263" s="31">
        <f>SUBTOTAL(2,INDEX(Main[ردیف],1):Main[[#This Row],[ردیف]])</f>
        <v>24</v>
      </c>
      <c r="C263" s="32" t="s">
        <v>531</v>
      </c>
      <c r="D263" s="32" t="str">
        <f>_xlfn.CONCAT("14",Main[[#This Row],[تاريخ]])</f>
        <v>1400/02/06</v>
      </c>
      <c r="E263" s="33">
        <v>44312</v>
      </c>
      <c r="F263" s="32">
        <v>10079</v>
      </c>
      <c r="G263" s="5" t="str">
        <f>INDEX(customer[عنوان],MATCH(Main[[#This Row],[کد ردیابی]],customer[کد],0))</f>
        <v>حسینی حسن</v>
      </c>
      <c r="H263">
        <v>2722</v>
      </c>
      <c r="I263" s="6">
        <f ca="1">-Main[[#This Row],[بدهی تسویه شده (کیلوگرم)]]+Main[[#This Row],[بستانکار (کیلوگرم)]]</f>
        <v>2722</v>
      </c>
      <c r="J263" s="6">
        <f>IF(Main[[#This Row],[مقدار (کیلوگرم)]]&gt;0,Main[[#This Row],[مقدار (کیلوگرم)]],0)</f>
        <v>2722</v>
      </c>
      <c r="K263" s="6">
        <f>-IF(Main[[#This Row],[مقدار (کیلوگرم)]]&lt;0,Main[[#This Row],[مقدار (کیلوگرم)]],0)</f>
        <v>0</v>
      </c>
      <c r="L2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" s="7">
        <f>-IF(AND(Main[[#This Row],[مقدار (کیلوگرم)]]&lt;0,Main[[#This Row],[تاريخ میلادی]]&gt;44276),Main[[#This Row],[مقدار (کیلوگرم)]],0)</f>
        <v>0</v>
      </c>
      <c r="N263" s="6">
        <f ca="1">Main[[#This Row],[بدهکار (کیلوگرم)]]-Main[[#This Row],[بدهی تسویه نشده (کیلوگرم)]]</f>
        <v>0</v>
      </c>
      <c r="O263" s="6">
        <f ca="1">Main[[#This Row],[تفکیک]]</f>
        <v>0</v>
      </c>
      <c r="P263" s="6">
        <f ca="1">IF(Main[[#This Row],[تاخیر از سررسید]]&gt;0,Main[[#This Row],[بدهی تسویه نشده (کیلوگرم)]],0)</f>
        <v>0</v>
      </c>
      <c r="Q263" s="6">
        <f ca="1">IF(Main[[#This Row],[بدهی تسویه نشده (کیلوگرم)]]&gt;0,'گزارش فردی'!$B$7-Main[[#This Row],[تاريخ میلادی]],0)</f>
        <v>0</v>
      </c>
      <c r="R263" s="6">
        <f ca="1">IF(Main[[#This Row],[بدهی تسویه نشده (کیلوگرم)]]&gt;0,'گزارش فردی'!$B$7-Main[[#This Row],[تاريخ میلادی]]-'گزارش فردی'!$B$8,0)</f>
        <v>0</v>
      </c>
      <c r="S263" s="6">
        <f ca="1">Main[[#This Row],[روز از ارسال سفارش]]*Main[[#This Row],[بدهی تسویه نشده (کیلوگرم)]]</f>
        <v>0</v>
      </c>
      <c r="T263" s="6">
        <f ca="1">Main[[#This Row],[بدهی سررسید شده (کیلوگرم)]]*Main[[#This Row],[روز از ارسال سفارش]]</f>
        <v>0</v>
      </c>
      <c r="U263" s="6">
        <f>-SUBTOTAL(9,INDEX(Main[مقدار (کیلوگرم)],1):Main[[#This Row],[مقدار (کیلوگرم)]])</f>
        <v>41633</v>
      </c>
      <c r="V2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3" s="6">
        <f>Main[[#This Row],[تعداد کل روزهای بدهکار (روز)]]*Main[[#This Row],[مانده در خط کل (کیلوگرم)]]</f>
        <v>0</v>
      </c>
      <c r="X263" s="6">
        <f ca="1">-SUBTOTAL(9,INDEX(Main[مقدار تسویه شده (کیلوگرم)],1):Main[[#This Row],[مقدار تسویه شده (کیلوگرم)]])</f>
        <v>41633</v>
      </c>
      <c r="Y263" s="6">
        <f ca="1">IF(Main[[#This Row],[مانده در خط تسویه شده (کیلوگرم)]]&lt;&gt;0,Main[[#This Row],[تعداد کل روزهای بدهکار (روز)]],0)</f>
        <v>0</v>
      </c>
      <c r="Z263" s="6">
        <f ca="1">Main[[#This Row],[تعداد روزهای بدهکار تسویه شده (روز)]]*Main[[#This Row],[مانده در خط تسویه شده (کیلوگرم)]]</f>
        <v>0</v>
      </c>
      <c r="AA263" s="6">
        <f ca="1">SUBTOTAL(9,INDEX(Main[بدهی تسویه نشده (کیلوگرم)],1):Main[[#This Row],[بدهی تسویه نشده (کیلوگرم)]])</f>
        <v>0</v>
      </c>
      <c r="AB263" s="6">
        <f ca="1">IF(Main[[#This Row],[مانده در خط تسویه نشده (کیلوگرم)]]&lt;&gt;0,Main[[#This Row],[تعداد کل روزهای بدهکار (روز)]],0)</f>
        <v>0</v>
      </c>
      <c r="AC263" s="6">
        <f ca="1">Main[[#This Row],[تعداد روزهای بدهکار  تسویه نشده (روز)]]*Main[[#This Row],[مانده در خط تسویه نشده (کیلوگرم)]]</f>
        <v>0</v>
      </c>
      <c r="AD263" s="6">
        <f ca="1">SUBTOTAL(9,INDEX(Main[بدهی سررسید شده (کیلوگرم)],1):Main[[#This Row],[بدهی سررسید شده (کیلوگرم)]])</f>
        <v>0</v>
      </c>
      <c r="AE263" s="6">
        <f ca="1">IF(Main[[#This Row],[مانده در خط سررسید شده (کیلوگرم)]]&lt;&gt;0,Main[[#This Row],[تعداد کل روزهای بدهکار (روز)]],0)</f>
        <v>0</v>
      </c>
      <c r="AF263" s="6">
        <f ca="1">Main[[#This Row],[تعداد روزهای بدهکار سررسید شده (روز)]]*Main[[#This Row],[مانده در خط سررسید شده (کیلوگرم)]]</f>
        <v>0</v>
      </c>
    </row>
    <row r="264" spans="1:32" x14ac:dyDescent="0.35">
      <c r="A264" s="5">
        <f>ROW()-ROW(INDEX(Main[ردیف],1))+1</f>
        <v>262</v>
      </c>
      <c r="B264" s="31">
        <f>SUBTOTAL(2,INDEX(Main[ردیف],1):Main[[#This Row],[ردیف]])</f>
        <v>25</v>
      </c>
      <c r="C264" s="32" t="s">
        <v>531</v>
      </c>
      <c r="D264" s="32" t="str">
        <f>_xlfn.CONCAT("14",Main[[#This Row],[تاريخ]])</f>
        <v>1400/02/06</v>
      </c>
      <c r="E264" s="33">
        <v>44312</v>
      </c>
      <c r="F264" s="32">
        <v>10003</v>
      </c>
      <c r="G264" s="5" t="str">
        <f>INDEX(customer[عنوان],MATCH(Main[[#This Row],[کد ردیابی]],customer[کد],0))</f>
        <v>اصغر نورعلی</v>
      </c>
      <c r="H264">
        <v>-2272</v>
      </c>
      <c r="I264" s="6">
        <f ca="1">-Main[[#This Row],[بدهی تسویه شده (کیلوگرم)]]+Main[[#This Row],[بستانکار (کیلوگرم)]]</f>
        <v>-2272</v>
      </c>
      <c r="J264" s="6">
        <f>IF(Main[[#This Row],[مقدار (کیلوگرم)]]&gt;0,Main[[#This Row],[مقدار (کیلوگرم)]],0)</f>
        <v>0</v>
      </c>
      <c r="K264" s="6">
        <f>-IF(Main[[#This Row],[مقدار (کیلوگرم)]]&lt;0,Main[[#This Row],[مقدار (کیلوگرم)]],0)</f>
        <v>2272</v>
      </c>
      <c r="L2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" s="7">
        <f>-IF(AND(Main[[#This Row],[مقدار (کیلوگرم)]]&lt;0,Main[[#This Row],[تاريخ میلادی]]&gt;44276),Main[[#This Row],[مقدار (کیلوگرم)]],0)</f>
        <v>2272</v>
      </c>
      <c r="N264" s="6">
        <f ca="1">Main[[#This Row],[بدهکار (کیلوگرم)]]-Main[[#This Row],[بدهی تسویه نشده (کیلوگرم)]]</f>
        <v>2272</v>
      </c>
      <c r="O264" s="6">
        <f ca="1">Main[[#This Row],[تفکیک]]</f>
        <v>0</v>
      </c>
      <c r="P264" s="6">
        <f ca="1">IF(Main[[#This Row],[تاخیر از سررسید]]&gt;0,Main[[#This Row],[بدهی تسویه نشده (کیلوگرم)]],0)</f>
        <v>0</v>
      </c>
      <c r="Q264" s="6">
        <f ca="1">IF(Main[[#This Row],[بدهی تسویه نشده (کیلوگرم)]]&gt;0,'گزارش فردی'!$B$7-Main[[#This Row],[تاريخ میلادی]],0)</f>
        <v>0</v>
      </c>
      <c r="R264" s="6">
        <f ca="1">IF(Main[[#This Row],[بدهی تسویه نشده (کیلوگرم)]]&gt;0,'گزارش فردی'!$B$7-Main[[#This Row],[تاريخ میلادی]]-'گزارش فردی'!$B$8,0)</f>
        <v>0</v>
      </c>
      <c r="S264" s="6">
        <f ca="1">Main[[#This Row],[روز از ارسال سفارش]]*Main[[#This Row],[بدهی تسویه نشده (کیلوگرم)]]</f>
        <v>0</v>
      </c>
      <c r="T264" s="6">
        <f ca="1">Main[[#This Row],[بدهی سررسید شده (کیلوگرم)]]*Main[[#This Row],[روز از ارسال سفارش]]</f>
        <v>0</v>
      </c>
      <c r="U264" s="6">
        <f>-SUBTOTAL(9,INDEX(Main[مقدار (کیلوگرم)],1):Main[[#This Row],[مقدار (کیلوگرم)]])</f>
        <v>43905</v>
      </c>
      <c r="V2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" s="6">
        <f>Main[[#This Row],[تعداد کل روزهای بدهکار (روز)]]*Main[[#This Row],[مانده در خط کل (کیلوگرم)]]</f>
        <v>43905</v>
      </c>
      <c r="X264" s="6">
        <f ca="1">-SUBTOTAL(9,INDEX(Main[مقدار تسویه شده (کیلوگرم)],1):Main[[#This Row],[مقدار تسویه شده (کیلوگرم)]])</f>
        <v>43905</v>
      </c>
      <c r="Y264" s="6">
        <f ca="1">IF(Main[[#This Row],[مانده در خط تسویه شده (کیلوگرم)]]&lt;&gt;0,Main[[#This Row],[تعداد کل روزهای بدهکار (روز)]],0)</f>
        <v>1</v>
      </c>
      <c r="Z264" s="6">
        <f ca="1">Main[[#This Row],[تعداد روزهای بدهکار تسویه شده (روز)]]*Main[[#This Row],[مانده در خط تسویه شده (کیلوگرم)]]</f>
        <v>43905</v>
      </c>
      <c r="AA264" s="6">
        <f ca="1">SUBTOTAL(9,INDEX(Main[بدهی تسویه نشده (کیلوگرم)],1):Main[[#This Row],[بدهی تسویه نشده (کیلوگرم)]])</f>
        <v>0</v>
      </c>
      <c r="AB264" s="6">
        <f ca="1">IF(Main[[#This Row],[مانده در خط تسویه نشده (کیلوگرم)]]&lt;&gt;0,Main[[#This Row],[تعداد کل روزهای بدهکار (روز)]],0)</f>
        <v>0</v>
      </c>
      <c r="AC264" s="6">
        <f ca="1">Main[[#This Row],[تعداد روزهای بدهکار  تسویه نشده (روز)]]*Main[[#This Row],[مانده در خط تسویه نشده (کیلوگرم)]]</f>
        <v>0</v>
      </c>
      <c r="AD264" s="6">
        <f ca="1">SUBTOTAL(9,INDEX(Main[بدهی سررسید شده (کیلوگرم)],1):Main[[#This Row],[بدهی سررسید شده (کیلوگرم)]])</f>
        <v>0</v>
      </c>
      <c r="AE264" s="6">
        <f ca="1">IF(Main[[#This Row],[مانده در خط سررسید شده (کیلوگرم)]]&lt;&gt;0,Main[[#This Row],[تعداد کل روزهای بدهکار (روز)]],0)</f>
        <v>0</v>
      </c>
      <c r="AF264" s="6">
        <f ca="1">Main[[#This Row],[تعداد روزهای بدهکار سررسید شده (روز)]]*Main[[#This Row],[مانده در خط سررسید شده (کیلوگرم)]]</f>
        <v>0</v>
      </c>
    </row>
    <row r="265" spans="1:32" hidden="1" x14ac:dyDescent="0.35">
      <c r="A265" s="5">
        <f>ROW()-ROW(INDEX(Main[ردیف],1))+1</f>
        <v>263</v>
      </c>
      <c r="B265" s="31">
        <f>SUBTOTAL(2,INDEX(Main[ردیف],1):Main[[#This Row],[ردیف]])</f>
        <v>25</v>
      </c>
      <c r="C265" s="32" t="s">
        <v>531</v>
      </c>
      <c r="D265" s="32" t="str">
        <f>_xlfn.CONCAT("14",Main[[#This Row],[تاريخ]])</f>
        <v>1400/02/06</v>
      </c>
      <c r="E265" s="33">
        <v>44312</v>
      </c>
      <c r="F265" s="32">
        <v>10048</v>
      </c>
      <c r="G265" s="5" t="str">
        <f>INDEX(customer[عنوان],MATCH(Main[[#This Row],[کد ردیابی]],customer[کد],0))</f>
        <v xml:space="preserve">حسام کریمان  </v>
      </c>
      <c r="H265">
        <v>825</v>
      </c>
      <c r="I265" s="6">
        <f ca="1">-Main[[#This Row],[بدهی تسویه شده (کیلوگرم)]]+Main[[#This Row],[بستانکار (کیلوگرم)]]</f>
        <v>825</v>
      </c>
      <c r="J265" s="6">
        <f>IF(Main[[#This Row],[مقدار (کیلوگرم)]]&gt;0,Main[[#This Row],[مقدار (کیلوگرم)]],0)</f>
        <v>825</v>
      </c>
      <c r="K265" s="6">
        <f>-IF(Main[[#This Row],[مقدار (کیلوگرم)]]&lt;0,Main[[#This Row],[مقدار (کیلوگرم)]],0)</f>
        <v>0</v>
      </c>
      <c r="L2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" s="7">
        <f>-IF(AND(Main[[#This Row],[مقدار (کیلوگرم)]]&lt;0,Main[[#This Row],[تاريخ میلادی]]&gt;44276),Main[[#This Row],[مقدار (کیلوگرم)]],0)</f>
        <v>0</v>
      </c>
      <c r="N265" s="6">
        <f ca="1">Main[[#This Row],[بدهکار (کیلوگرم)]]-Main[[#This Row],[بدهی تسویه نشده (کیلوگرم)]]</f>
        <v>0</v>
      </c>
      <c r="O265" s="6">
        <f ca="1">Main[[#This Row],[تفکیک]]</f>
        <v>0</v>
      </c>
      <c r="P265" s="6">
        <f ca="1">IF(Main[[#This Row],[تاخیر از سررسید]]&gt;0,Main[[#This Row],[بدهی تسویه نشده (کیلوگرم)]],0)</f>
        <v>0</v>
      </c>
      <c r="Q265" s="6">
        <f ca="1">IF(Main[[#This Row],[بدهی تسویه نشده (کیلوگرم)]]&gt;0,'گزارش فردی'!$B$7-Main[[#This Row],[تاريخ میلادی]],0)</f>
        <v>0</v>
      </c>
      <c r="R265" s="6">
        <f ca="1">IF(Main[[#This Row],[بدهی تسویه نشده (کیلوگرم)]]&gt;0,'گزارش فردی'!$B$7-Main[[#This Row],[تاريخ میلادی]]-'گزارش فردی'!$B$8,0)</f>
        <v>0</v>
      </c>
      <c r="S265" s="6">
        <f ca="1">Main[[#This Row],[روز از ارسال سفارش]]*Main[[#This Row],[بدهی تسویه نشده (کیلوگرم)]]</f>
        <v>0</v>
      </c>
      <c r="T265" s="6">
        <f ca="1">Main[[#This Row],[بدهی سررسید شده (کیلوگرم)]]*Main[[#This Row],[روز از ارسال سفارش]]</f>
        <v>0</v>
      </c>
      <c r="U265" s="6">
        <f>-SUBTOTAL(9,INDEX(Main[مقدار (کیلوگرم)],1):Main[[#This Row],[مقدار (کیلوگرم)]])</f>
        <v>43905</v>
      </c>
      <c r="V2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" s="6">
        <f>Main[[#This Row],[تعداد کل روزهای بدهکار (روز)]]*Main[[#This Row],[مانده در خط کل (کیلوگرم)]]</f>
        <v>43905</v>
      </c>
      <c r="X265" s="6">
        <f ca="1">-SUBTOTAL(9,INDEX(Main[مقدار تسویه شده (کیلوگرم)],1):Main[[#This Row],[مقدار تسویه شده (کیلوگرم)]])</f>
        <v>43905</v>
      </c>
      <c r="Y265" s="6">
        <f ca="1">IF(Main[[#This Row],[مانده در خط تسویه شده (کیلوگرم)]]&lt;&gt;0,Main[[#This Row],[تعداد کل روزهای بدهکار (روز)]],0)</f>
        <v>1</v>
      </c>
      <c r="Z265" s="6">
        <f ca="1">Main[[#This Row],[تعداد روزهای بدهکار تسویه شده (روز)]]*Main[[#This Row],[مانده در خط تسویه شده (کیلوگرم)]]</f>
        <v>43905</v>
      </c>
      <c r="AA265" s="6">
        <f ca="1">SUBTOTAL(9,INDEX(Main[بدهی تسویه نشده (کیلوگرم)],1):Main[[#This Row],[بدهی تسویه نشده (کیلوگرم)]])</f>
        <v>0</v>
      </c>
      <c r="AB265" s="6">
        <f ca="1">IF(Main[[#This Row],[مانده در خط تسویه نشده (کیلوگرم)]]&lt;&gt;0,Main[[#This Row],[تعداد کل روزهای بدهکار (روز)]],0)</f>
        <v>0</v>
      </c>
      <c r="AC265" s="6">
        <f ca="1">Main[[#This Row],[تعداد روزهای بدهکار  تسویه نشده (روز)]]*Main[[#This Row],[مانده در خط تسویه نشده (کیلوگرم)]]</f>
        <v>0</v>
      </c>
      <c r="AD265" s="6">
        <f ca="1">SUBTOTAL(9,INDEX(Main[بدهی سررسید شده (کیلوگرم)],1):Main[[#This Row],[بدهی سررسید شده (کیلوگرم)]])</f>
        <v>0</v>
      </c>
      <c r="AE265" s="6">
        <f ca="1">IF(Main[[#This Row],[مانده در خط سررسید شده (کیلوگرم)]]&lt;&gt;0,Main[[#This Row],[تعداد کل روزهای بدهکار (روز)]],0)</f>
        <v>0</v>
      </c>
      <c r="AF265" s="6">
        <f ca="1">Main[[#This Row],[تعداد روزهای بدهکار سررسید شده (روز)]]*Main[[#This Row],[مانده در خط سررسید شده (کیلوگرم)]]</f>
        <v>0</v>
      </c>
    </row>
    <row r="266" spans="1:32" hidden="1" x14ac:dyDescent="0.35">
      <c r="A266" s="5">
        <f>ROW()-ROW(INDEX(Main[ردیف],1))+1</f>
        <v>264</v>
      </c>
      <c r="B266" s="31">
        <f>SUBTOTAL(2,INDEX(Main[ردیف],1):Main[[#This Row],[ردیف]])</f>
        <v>25</v>
      </c>
      <c r="C266" s="32" t="s">
        <v>531</v>
      </c>
      <c r="D266" s="32" t="str">
        <f>_xlfn.CONCAT("14",Main[[#This Row],[تاريخ]])</f>
        <v>1400/02/06</v>
      </c>
      <c r="E266" s="33">
        <v>44312</v>
      </c>
      <c r="F266" s="32">
        <v>10048</v>
      </c>
      <c r="G266" s="5" t="str">
        <f>INDEX(customer[عنوان],MATCH(Main[[#This Row],[کد ردیابی]],customer[کد],0))</f>
        <v xml:space="preserve">حسام کریمان  </v>
      </c>
      <c r="H266">
        <v>-1482</v>
      </c>
      <c r="I266" s="6">
        <f ca="1">-Main[[#This Row],[بدهی تسویه شده (کیلوگرم)]]+Main[[#This Row],[بستانکار (کیلوگرم)]]</f>
        <v>-1482</v>
      </c>
      <c r="J266" s="6">
        <f>IF(Main[[#This Row],[مقدار (کیلوگرم)]]&gt;0,Main[[#This Row],[مقدار (کیلوگرم)]],0)</f>
        <v>0</v>
      </c>
      <c r="K266" s="6">
        <f>-IF(Main[[#This Row],[مقدار (کیلوگرم)]]&lt;0,Main[[#This Row],[مقدار (کیلوگرم)]],0)</f>
        <v>1482</v>
      </c>
      <c r="L2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6" s="7">
        <f>-IF(AND(Main[[#This Row],[مقدار (کیلوگرم)]]&lt;0,Main[[#This Row],[تاريخ میلادی]]&gt;44276),Main[[#This Row],[مقدار (کیلوگرم)]],0)</f>
        <v>1482</v>
      </c>
      <c r="N266" s="6">
        <f ca="1">Main[[#This Row],[بدهکار (کیلوگرم)]]-Main[[#This Row],[بدهی تسویه نشده (کیلوگرم)]]</f>
        <v>1482</v>
      </c>
      <c r="O266" s="6">
        <f ca="1">Main[[#This Row],[تفکیک]]</f>
        <v>0</v>
      </c>
      <c r="P266" s="6">
        <f ca="1">IF(Main[[#This Row],[تاخیر از سررسید]]&gt;0,Main[[#This Row],[بدهی تسویه نشده (کیلوگرم)]],0)</f>
        <v>0</v>
      </c>
      <c r="Q266" s="6">
        <f ca="1">IF(Main[[#This Row],[بدهی تسویه نشده (کیلوگرم)]]&gt;0,'گزارش فردی'!$B$7-Main[[#This Row],[تاريخ میلادی]],0)</f>
        <v>0</v>
      </c>
      <c r="R266" s="6">
        <f ca="1">IF(Main[[#This Row],[بدهی تسویه نشده (کیلوگرم)]]&gt;0,'گزارش فردی'!$B$7-Main[[#This Row],[تاريخ میلادی]]-'گزارش فردی'!$B$8,0)</f>
        <v>0</v>
      </c>
      <c r="S266" s="6">
        <f ca="1">Main[[#This Row],[روز از ارسال سفارش]]*Main[[#This Row],[بدهی تسویه نشده (کیلوگرم)]]</f>
        <v>0</v>
      </c>
      <c r="T266" s="6">
        <f ca="1">Main[[#This Row],[بدهی سررسید شده (کیلوگرم)]]*Main[[#This Row],[روز از ارسال سفارش]]</f>
        <v>0</v>
      </c>
      <c r="U266" s="6">
        <f>-SUBTOTAL(9,INDEX(Main[مقدار (کیلوگرم)],1):Main[[#This Row],[مقدار (کیلوگرم)]])</f>
        <v>43905</v>
      </c>
      <c r="V2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6" s="6">
        <f>Main[[#This Row],[تعداد کل روزهای بدهکار (روز)]]*Main[[#This Row],[مانده در خط کل (کیلوگرم)]]</f>
        <v>43905</v>
      </c>
      <c r="X266" s="6">
        <f ca="1">-SUBTOTAL(9,INDEX(Main[مقدار تسویه شده (کیلوگرم)],1):Main[[#This Row],[مقدار تسویه شده (کیلوگرم)]])</f>
        <v>43905</v>
      </c>
      <c r="Y266" s="6">
        <f ca="1">IF(Main[[#This Row],[مانده در خط تسویه شده (کیلوگرم)]]&lt;&gt;0,Main[[#This Row],[تعداد کل روزهای بدهکار (روز)]],0)</f>
        <v>1</v>
      </c>
      <c r="Z266" s="6">
        <f ca="1">Main[[#This Row],[تعداد روزهای بدهکار تسویه شده (روز)]]*Main[[#This Row],[مانده در خط تسویه شده (کیلوگرم)]]</f>
        <v>43905</v>
      </c>
      <c r="AA266" s="6">
        <f ca="1">SUBTOTAL(9,INDEX(Main[بدهی تسویه نشده (کیلوگرم)],1):Main[[#This Row],[بدهی تسویه نشده (کیلوگرم)]])</f>
        <v>0</v>
      </c>
      <c r="AB266" s="6">
        <f ca="1">IF(Main[[#This Row],[مانده در خط تسویه نشده (کیلوگرم)]]&lt;&gt;0,Main[[#This Row],[تعداد کل روزهای بدهکار (روز)]],0)</f>
        <v>0</v>
      </c>
      <c r="AC266" s="6">
        <f ca="1">Main[[#This Row],[تعداد روزهای بدهکار  تسویه نشده (روز)]]*Main[[#This Row],[مانده در خط تسویه نشده (کیلوگرم)]]</f>
        <v>0</v>
      </c>
      <c r="AD266" s="6">
        <f ca="1">SUBTOTAL(9,INDEX(Main[بدهی سررسید شده (کیلوگرم)],1):Main[[#This Row],[بدهی سررسید شده (کیلوگرم)]])</f>
        <v>0</v>
      </c>
      <c r="AE266" s="6">
        <f ca="1">IF(Main[[#This Row],[مانده در خط سررسید شده (کیلوگرم)]]&lt;&gt;0,Main[[#This Row],[تعداد کل روزهای بدهکار (روز)]],0)</f>
        <v>0</v>
      </c>
      <c r="AF266" s="6">
        <f ca="1">Main[[#This Row],[تعداد روزهای بدهکار سررسید شده (روز)]]*Main[[#This Row],[مانده در خط سررسید شده (کیلوگرم)]]</f>
        <v>0</v>
      </c>
    </row>
    <row r="267" spans="1:32" hidden="1" x14ac:dyDescent="0.35">
      <c r="A267" s="5">
        <f>ROW()-ROW(INDEX(Main[ردیف],1))+1</f>
        <v>265</v>
      </c>
      <c r="B267" s="31">
        <f>SUBTOTAL(2,INDEX(Main[ردیف],1):Main[[#This Row],[ردیف]])</f>
        <v>25</v>
      </c>
      <c r="C267" s="32" t="s">
        <v>531</v>
      </c>
      <c r="D267" s="32" t="str">
        <f>_xlfn.CONCAT("14",Main[[#This Row],[تاريخ]])</f>
        <v>1400/02/06</v>
      </c>
      <c r="E267" s="33">
        <v>44312</v>
      </c>
      <c r="F267" s="32">
        <v>10055</v>
      </c>
      <c r="G267" s="5" t="str">
        <f>INDEX(customer[عنوان],MATCH(Main[[#This Row],[کد ردیابی]],customer[کد],0))</f>
        <v xml:space="preserve">مریم فیض آبادی  </v>
      </c>
      <c r="H267">
        <v>-5068</v>
      </c>
      <c r="I267" s="6">
        <f ca="1">-Main[[#This Row],[بدهی تسویه شده (کیلوگرم)]]+Main[[#This Row],[بستانکار (کیلوگرم)]]</f>
        <v>-5068</v>
      </c>
      <c r="J267" s="6">
        <f>IF(Main[[#This Row],[مقدار (کیلوگرم)]]&gt;0,Main[[#This Row],[مقدار (کیلوگرم)]],0)</f>
        <v>0</v>
      </c>
      <c r="K267" s="6">
        <f>-IF(Main[[#This Row],[مقدار (کیلوگرم)]]&lt;0,Main[[#This Row],[مقدار (کیلوگرم)]],0)</f>
        <v>5068</v>
      </c>
      <c r="L2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7" s="7">
        <f>-IF(AND(Main[[#This Row],[مقدار (کیلوگرم)]]&lt;0,Main[[#This Row],[تاريخ میلادی]]&gt;44276),Main[[#This Row],[مقدار (کیلوگرم)]],0)</f>
        <v>5068</v>
      </c>
      <c r="N267" s="6">
        <f ca="1">Main[[#This Row],[بدهکار (کیلوگرم)]]-Main[[#This Row],[بدهی تسویه نشده (کیلوگرم)]]</f>
        <v>5068</v>
      </c>
      <c r="O267" s="6">
        <f ca="1">Main[[#This Row],[تفکیک]]</f>
        <v>0</v>
      </c>
      <c r="P267" s="6">
        <f ca="1">IF(Main[[#This Row],[تاخیر از سررسید]]&gt;0,Main[[#This Row],[بدهی تسویه نشده (کیلوگرم)]],0)</f>
        <v>0</v>
      </c>
      <c r="Q267" s="6">
        <f ca="1">IF(Main[[#This Row],[بدهی تسویه نشده (کیلوگرم)]]&gt;0,'گزارش فردی'!$B$7-Main[[#This Row],[تاريخ میلادی]],0)</f>
        <v>0</v>
      </c>
      <c r="R267" s="6">
        <f ca="1">IF(Main[[#This Row],[بدهی تسویه نشده (کیلوگرم)]]&gt;0,'گزارش فردی'!$B$7-Main[[#This Row],[تاريخ میلادی]]-'گزارش فردی'!$B$8,0)</f>
        <v>0</v>
      </c>
      <c r="S267" s="6">
        <f ca="1">Main[[#This Row],[روز از ارسال سفارش]]*Main[[#This Row],[بدهی تسویه نشده (کیلوگرم)]]</f>
        <v>0</v>
      </c>
      <c r="T267" s="6">
        <f ca="1">Main[[#This Row],[بدهی سررسید شده (کیلوگرم)]]*Main[[#This Row],[روز از ارسال سفارش]]</f>
        <v>0</v>
      </c>
      <c r="U267" s="6">
        <f>-SUBTOTAL(9,INDEX(Main[مقدار (کیلوگرم)],1):Main[[#This Row],[مقدار (کیلوگرم)]])</f>
        <v>43905</v>
      </c>
      <c r="V2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7" s="6">
        <f>Main[[#This Row],[تعداد کل روزهای بدهکار (روز)]]*Main[[#This Row],[مانده در خط کل (کیلوگرم)]]</f>
        <v>43905</v>
      </c>
      <c r="X267" s="6">
        <f ca="1">-SUBTOTAL(9,INDEX(Main[مقدار تسویه شده (کیلوگرم)],1):Main[[#This Row],[مقدار تسویه شده (کیلوگرم)]])</f>
        <v>43905</v>
      </c>
      <c r="Y267" s="6">
        <f ca="1">IF(Main[[#This Row],[مانده در خط تسویه شده (کیلوگرم)]]&lt;&gt;0,Main[[#This Row],[تعداد کل روزهای بدهکار (روز)]],0)</f>
        <v>1</v>
      </c>
      <c r="Z267" s="6">
        <f ca="1">Main[[#This Row],[تعداد روزهای بدهکار تسویه شده (روز)]]*Main[[#This Row],[مانده در خط تسویه شده (کیلوگرم)]]</f>
        <v>43905</v>
      </c>
      <c r="AA267" s="6">
        <f ca="1">SUBTOTAL(9,INDEX(Main[بدهی تسویه نشده (کیلوگرم)],1):Main[[#This Row],[بدهی تسویه نشده (کیلوگرم)]])</f>
        <v>0</v>
      </c>
      <c r="AB267" s="6">
        <f ca="1">IF(Main[[#This Row],[مانده در خط تسویه نشده (کیلوگرم)]]&lt;&gt;0,Main[[#This Row],[تعداد کل روزهای بدهکار (روز)]],0)</f>
        <v>0</v>
      </c>
      <c r="AC267" s="6">
        <f ca="1">Main[[#This Row],[تعداد روزهای بدهکار  تسویه نشده (روز)]]*Main[[#This Row],[مانده در خط تسویه نشده (کیلوگرم)]]</f>
        <v>0</v>
      </c>
      <c r="AD267" s="6">
        <f ca="1">SUBTOTAL(9,INDEX(Main[بدهی سررسید شده (کیلوگرم)],1):Main[[#This Row],[بدهی سررسید شده (کیلوگرم)]])</f>
        <v>0</v>
      </c>
      <c r="AE267" s="6">
        <f ca="1">IF(Main[[#This Row],[مانده در خط سررسید شده (کیلوگرم)]]&lt;&gt;0,Main[[#This Row],[تعداد کل روزهای بدهکار (روز)]],0)</f>
        <v>0</v>
      </c>
      <c r="AF267" s="6">
        <f ca="1">Main[[#This Row],[تعداد روزهای بدهکار سررسید شده (روز)]]*Main[[#This Row],[مانده در خط سررسید شده (کیلوگرم)]]</f>
        <v>0</v>
      </c>
    </row>
    <row r="268" spans="1:32" hidden="1" x14ac:dyDescent="0.35">
      <c r="A268" s="5">
        <f>ROW()-ROW(INDEX(Main[ردیف],1))+1</f>
        <v>266</v>
      </c>
      <c r="B268" s="31">
        <f>SUBTOTAL(2,INDEX(Main[ردیف],1):Main[[#This Row],[ردیف]])</f>
        <v>25</v>
      </c>
      <c r="C268" s="32" t="s">
        <v>532</v>
      </c>
      <c r="D268" s="32" t="str">
        <f>_xlfn.CONCAT("14",Main[[#This Row],[تاريخ]])</f>
        <v>1400/02/07</v>
      </c>
      <c r="E268" s="33">
        <v>44313</v>
      </c>
      <c r="F268" s="32">
        <v>50016</v>
      </c>
      <c r="G268" s="5" t="str">
        <f>INDEX(customer[عنوان],MATCH(Main[[#This Row],[کد ردیابی]],customer[کد],0))</f>
        <v xml:space="preserve">مهدی یوسفی  </v>
      </c>
      <c r="H268">
        <v>941</v>
      </c>
      <c r="I268" s="6">
        <f ca="1">-Main[[#This Row],[بدهی تسویه شده (کیلوگرم)]]+Main[[#This Row],[بستانکار (کیلوگرم)]]</f>
        <v>941</v>
      </c>
      <c r="J268" s="6">
        <f>IF(Main[[#This Row],[مقدار (کیلوگرم)]]&gt;0,Main[[#This Row],[مقدار (کیلوگرم)]],0)</f>
        <v>941</v>
      </c>
      <c r="K268" s="6">
        <f>-IF(Main[[#This Row],[مقدار (کیلوگرم)]]&lt;0,Main[[#This Row],[مقدار (کیلوگرم)]],0)</f>
        <v>0</v>
      </c>
      <c r="L2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8" s="7">
        <f>-IF(AND(Main[[#This Row],[مقدار (کیلوگرم)]]&lt;0,Main[[#This Row],[تاريخ میلادی]]&gt;44276),Main[[#This Row],[مقدار (کیلوگرم)]],0)</f>
        <v>0</v>
      </c>
      <c r="N268" s="6">
        <f ca="1">Main[[#This Row],[بدهکار (کیلوگرم)]]-Main[[#This Row],[بدهی تسویه نشده (کیلوگرم)]]</f>
        <v>0</v>
      </c>
      <c r="O268" s="6">
        <f ca="1">Main[[#This Row],[تفکیک]]</f>
        <v>0</v>
      </c>
      <c r="P268" s="6">
        <f ca="1">IF(Main[[#This Row],[تاخیر از سررسید]]&gt;0,Main[[#This Row],[بدهی تسویه نشده (کیلوگرم)]],0)</f>
        <v>0</v>
      </c>
      <c r="Q268" s="6">
        <f ca="1">IF(Main[[#This Row],[بدهی تسویه نشده (کیلوگرم)]]&gt;0,'گزارش فردی'!$B$7-Main[[#This Row],[تاريخ میلادی]],0)</f>
        <v>0</v>
      </c>
      <c r="R268" s="6">
        <f ca="1">IF(Main[[#This Row],[بدهی تسویه نشده (کیلوگرم)]]&gt;0,'گزارش فردی'!$B$7-Main[[#This Row],[تاريخ میلادی]]-'گزارش فردی'!$B$8,0)</f>
        <v>0</v>
      </c>
      <c r="S268" s="6">
        <f ca="1">Main[[#This Row],[روز از ارسال سفارش]]*Main[[#This Row],[بدهی تسویه نشده (کیلوگرم)]]</f>
        <v>0</v>
      </c>
      <c r="T268" s="6">
        <f ca="1">Main[[#This Row],[بدهی سررسید شده (کیلوگرم)]]*Main[[#This Row],[روز از ارسال سفارش]]</f>
        <v>0</v>
      </c>
      <c r="U268" s="6">
        <f>-SUBTOTAL(9,INDEX(Main[مقدار (کیلوگرم)],1):Main[[#This Row],[مقدار (کیلوگرم)]])</f>
        <v>43905</v>
      </c>
      <c r="V2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8" s="6">
        <f>Main[[#This Row],[تعداد کل روزهای بدهکار (روز)]]*Main[[#This Row],[مانده در خط کل (کیلوگرم)]]</f>
        <v>0</v>
      </c>
      <c r="X268" s="6">
        <f ca="1">-SUBTOTAL(9,INDEX(Main[مقدار تسویه شده (کیلوگرم)],1):Main[[#This Row],[مقدار تسویه شده (کیلوگرم)]])</f>
        <v>43905</v>
      </c>
      <c r="Y268" s="6">
        <f ca="1">IF(Main[[#This Row],[مانده در خط تسویه شده (کیلوگرم)]]&lt;&gt;0,Main[[#This Row],[تعداد کل روزهای بدهکار (روز)]],0)</f>
        <v>0</v>
      </c>
      <c r="Z268" s="6">
        <f ca="1">Main[[#This Row],[تعداد روزهای بدهکار تسویه شده (روز)]]*Main[[#This Row],[مانده در خط تسویه شده (کیلوگرم)]]</f>
        <v>0</v>
      </c>
      <c r="AA268" s="6">
        <f ca="1">SUBTOTAL(9,INDEX(Main[بدهی تسویه نشده (کیلوگرم)],1):Main[[#This Row],[بدهی تسویه نشده (کیلوگرم)]])</f>
        <v>0</v>
      </c>
      <c r="AB268" s="6">
        <f ca="1">IF(Main[[#This Row],[مانده در خط تسویه نشده (کیلوگرم)]]&lt;&gt;0,Main[[#This Row],[تعداد کل روزهای بدهکار (روز)]],0)</f>
        <v>0</v>
      </c>
      <c r="AC268" s="6">
        <f ca="1">Main[[#This Row],[تعداد روزهای بدهکار  تسویه نشده (روز)]]*Main[[#This Row],[مانده در خط تسویه نشده (کیلوگرم)]]</f>
        <v>0</v>
      </c>
      <c r="AD268" s="6">
        <f ca="1">SUBTOTAL(9,INDEX(Main[بدهی سررسید شده (کیلوگرم)],1):Main[[#This Row],[بدهی سررسید شده (کیلوگرم)]])</f>
        <v>0</v>
      </c>
      <c r="AE268" s="6">
        <f ca="1">IF(Main[[#This Row],[مانده در خط سررسید شده (کیلوگرم)]]&lt;&gt;0,Main[[#This Row],[تعداد کل روزهای بدهکار (روز)]],0)</f>
        <v>0</v>
      </c>
      <c r="AF268" s="6">
        <f ca="1">Main[[#This Row],[تعداد روزهای بدهکار سررسید شده (روز)]]*Main[[#This Row],[مانده در خط سررسید شده (کیلوگرم)]]</f>
        <v>0</v>
      </c>
    </row>
    <row r="269" spans="1:32" hidden="1" x14ac:dyDescent="0.35">
      <c r="A269" s="5">
        <f>ROW()-ROW(INDEX(Main[ردیف],1))+1</f>
        <v>267</v>
      </c>
      <c r="B269" s="31">
        <f>SUBTOTAL(2,INDEX(Main[ردیف],1):Main[[#This Row],[ردیف]])</f>
        <v>25</v>
      </c>
      <c r="C269" s="32" t="s">
        <v>532</v>
      </c>
      <c r="D269" s="32" t="str">
        <f>_xlfn.CONCAT("14",Main[[#This Row],[تاريخ]])</f>
        <v>1400/02/07</v>
      </c>
      <c r="E269" s="33">
        <v>44313</v>
      </c>
      <c r="F269" s="32">
        <v>30012</v>
      </c>
      <c r="G269" s="5" t="str">
        <f>INDEX(customer[عنوان],MATCH(Main[[#This Row],[کد ردیابی]],customer[کد],0))</f>
        <v xml:space="preserve">پارس قفل </v>
      </c>
      <c r="H269">
        <v>-1452</v>
      </c>
      <c r="I269" s="6">
        <f ca="1">-Main[[#This Row],[بدهی تسویه شده (کیلوگرم)]]+Main[[#This Row],[بستانکار (کیلوگرم)]]</f>
        <v>-1452</v>
      </c>
      <c r="J269" s="6">
        <f>IF(Main[[#This Row],[مقدار (کیلوگرم)]]&gt;0,Main[[#This Row],[مقدار (کیلوگرم)]],0)</f>
        <v>0</v>
      </c>
      <c r="K269" s="6">
        <f>-IF(Main[[#This Row],[مقدار (کیلوگرم)]]&lt;0,Main[[#This Row],[مقدار (کیلوگرم)]],0)</f>
        <v>1452</v>
      </c>
      <c r="L2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9" s="7">
        <f>-IF(AND(Main[[#This Row],[مقدار (کیلوگرم)]]&lt;0,Main[[#This Row],[تاريخ میلادی]]&gt;44276),Main[[#This Row],[مقدار (کیلوگرم)]],0)</f>
        <v>1452</v>
      </c>
      <c r="N269" s="6">
        <f ca="1">Main[[#This Row],[بدهکار (کیلوگرم)]]-Main[[#This Row],[بدهی تسویه نشده (کیلوگرم)]]</f>
        <v>1452</v>
      </c>
      <c r="O269" s="6">
        <f ca="1">Main[[#This Row],[تفکیک]]</f>
        <v>0</v>
      </c>
      <c r="P269" s="6">
        <f ca="1">IF(Main[[#This Row],[تاخیر از سررسید]]&gt;0,Main[[#This Row],[بدهی تسویه نشده (کیلوگرم)]],0)</f>
        <v>0</v>
      </c>
      <c r="Q269" s="6">
        <f ca="1">IF(Main[[#This Row],[بدهی تسویه نشده (کیلوگرم)]]&gt;0,'گزارش فردی'!$B$7-Main[[#This Row],[تاريخ میلادی]],0)</f>
        <v>0</v>
      </c>
      <c r="R269" s="6">
        <f ca="1">IF(Main[[#This Row],[بدهی تسویه نشده (کیلوگرم)]]&gt;0,'گزارش فردی'!$B$7-Main[[#This Row],[تاريخ میلادی]]-'گزارش فردی'!$B$8,0)</f>
        <v>0</v>
      </c>
      <c r="S269" s="6">
        <f ca="1">Main[[#This Row],[روز از ارسال سفارش]]*Main[[#This Row],[بدهی تسویه نشده (کیلوگرم)]]</f>
        <v>0</v>
      </c>
      <c r="T269" s="6">
        <f ca="1">Main[[#This Row],[بدهی سررسید شده (کیلوگرم)]]*Main[[#This Row],[روز از ارسال سفارش]]</f>
        <v>0</v>
      </c>
      <c r="U269" s="6">
        <f>-SUBTOTAL(9,INDEX(Main[مقدار (کیلوگرم)],1):Main[[#This Row],[مقدار (کیلوگرم)]])</f>
        <v>43905</v>
      </c>
      <c r="V2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9" s="6">
        <f>Main[[#This Row],[تعداد کل روزهای بدهکار (روز)]]*Main[[#This Row],[مانده در خط کل (کیلوگرم)]]</f>
        <v>0</v>
      </c>
      <c r="X269" s="6">
        <f ca="1">-SUBTOTAL(9,INDEX(Main[مقدار تسویه شده (کیلوگرم)],1):Main[[#This Row],[مقدار تسویه شده (کیلوگرم)]])</f>
        <v>43905</v>
      </c>
      <c r="Y269" s="6">
        <f ca="1">IF(Main[[#This Row],[مانده در خط تسویه شده (کیلوگرم)]]&lt;&gt;0,Main[[#This Row],[تعداد کل روزهای بدهکار (روز)]],0)</f>
        <v>0</v>
      </c>
      <c r="Z269" s="6">
        <f ca="1">Main[[#This Row],[تعداد روزهای بدهکار تسویه شده (روز)]]*Main[[#This Row],[مانده در خط تسویه شده (کیلوگرم)]]</f>
        <v>0</v>
      </c>
      <c r="AA269" s="6">
        <f ca="1">SUBTOTAL(9,INDEX(Main[بدهی تسویه نشده (کیلوگرم)],1):Main[[#This Row],[بدهی تسویه نشده (کیلوگرم)]])</f>
        <v>0</v>
      </c>
      <c r="AB269" s="6">
        <f ca="1">IF(Main[[#This Row],[مانده در خط تسویه نشده (کیلوگرم)]]&lt;&gt;0,Main[[#This Row],[تعداد کل روزهای بدهکار (روز)]],0)</f>
        <v>0</v>
      </c>
      <c r="AC269" s="6">
        <f ca="1">Main[[#This Row],[تعداد روزهای بدهکار  تسویه نشده (روز)]]*Main[[#This Row],[مانده در خط تسویه نشده (کیلوگرم)]]</f>
        <v>0</v>
      </c>
      <c r="AD269" s="6">
        <f ca="1">SUBTOTAL(9,INDEX(Main[بدهی سررسید شده (کیلوگرم)],1):Main[[#This Row],[بدهی سررسید شده (کیلوگرم)]])</f>
        <v>0</v>
      </c>
      <c r="AE269" s="6">
        <f ca="1">IF(Main[[#This Row],[مانده در خط سررسید شده (کیلوگرم)]]&lt;&gt;0,Main[[#This Row],[تعداد کل روزهای بدهکار (روز)]],0)</f>
        <v>0</v>
      </c>
      <c r="AF269" s="6">
        <f ca="1">Main[[#This Row],[تعداد روزهای بدهکار سررسید شده (روز)]]*Main[[#This Row],[مانده در خط سررسید شده (کیلوگرم)]]</f>
        <v>0</v>
      </c>
    </row>
    <row r="270" spans="1:32" hidden="1" x14ac:dyDescent="0.35">
      <c r="A270" s="5">
        <f>ROW()-ROW(INDEX(Main[ردیف],1))+1</f>
        <v>268</v>
      </c>
      <c r="B270" s="31">
        <f>SUBTOTAL(2,INDEX(Main[ردیف],1):Main[[#This Row],[ردیف]])</f>
        <v>25</v>
      </c>
      <c r="C270" s="32" t="s">
        <v>532</v>
      </c>
      <c r="D270" s="32" t="str">
        <f>_xlfn.CONCAT("14",Main[[#This Row],[تاريخ]])</f>
        <v>1400/02/07</v>
      </c>
      <c r="E270" s="33">
        <v>44313</v>
      </c>
      <c r="F270" s="32">
        <v>10048</v>
      </c>
      <c r="G270" s="5" t="str">
        <f>INDEX(customer[عنوان],MATCH(Main[[#This Row],[کد ردیابی]],customer[کد],0))</f>
        <v xml:space="preserve">حسام کریمان  </v>
      </c>
      <c r="H270">
        <v>558</v>
      </c>
      <c r="I270" s="6">
        <f ca="1">-Main[[#This Row],[بدهی تسویه شده (کیلوگرم)]]+Main[[#This Row],[بستانکار (کیلوگرم)]]</f>
        <v>558</v>
      </c>
      <c r="J270" s="6">
        <f>IF(Main[[#This Row],[مقدار (کیلوگرم)]]&gt;0,Main[[#This Row],[مقدار (کیلوگرم)]],0)</f>
        <v>558</v>
      </c>
      <c r="K270" s="6">
        <f>-IF(Main[[#This Row],[مقدار (کیلوگرم)]]&lt;0,Main[[#This Row],[مقدار (کیلوگرم)]],0)</f>
        <v>0</v>
      </c>
      <c r="L2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0" s="7">
        <f>-IF(AND(Main[[#This Row],[مقدار (کیلوگرم)]]&lt;0,Main[[#This Row],[تاريخ میلادی]]&gt;44276),Main[[#This Row],[مقدار (کیلوگرم)]],0)</f>
        <v>0</v>
      </c>
      <c r="N270" s="6">
        <f ca="1">Main[[#This Row],[بدهکار (کیلوگرم)]]-Main[[#This Row],[بدهی تسویه نشده (کیلوگرم)]]</f>
        <v>0</v>
      </c>
      <c r="O270" s="6">
        <f ca="1">Main[[#This Row],[تفکیک]]</f>
        <v>0</v>
      </c>
      <c r="P270" s="6">
        <f ca="1">IF(Main[[#This Row],[تاخیر از سررسید]]&gt;0,Main[[#This Row],[بدهی تسویه نشده (کیلوگرم)]],0)</f>
        <v>0</v>
      </c>
      <c r="Q270" s="6">
        <f ca="1">IF(Main[[#This Row],[بدهی تسویه نشده (کیلوگرم)]]&gt;0,'گزارش فردی'!$B$7-Main[[#This Row],[تاريخ میلادی]],0)</f>
        <v>0</v>
      </c>
      <c r="R270" s="6">
        <f ca="1">IF(Main[[#This Row],[بدهی تسویه نشده (کیلوگرم)]]&gt;0,'گزارش فردی'!$B$7-Main[[#This Row],[تاريخ میلادی]]-'گزارش فردی'!$B$8,0)</f>
        <v>0</v>
      </c>
      <c r="S270" s="6">
        <f ca="1">Main[[#This Row],[روز از ارسال سفارش]]*Main[[#This Row],[بدهی تسویه نشده (کیلوگرم)]]</f>
        <v>0</v>
      </c>
      <c r="T270" s="6">
        <f ca="1">Main[[#This Row],[بدهی سررسید شده (کیلوگرم)]]*Main[[#This Row],[روز از ارسال سفارش]]</f>
        <v>0</v>
      </c>
      <c r="U270" s="6">
        <f>-SUBTOTAL(9,INDEX(Main[مقدار (کیلوگرم)],1):Main[[#This Row],[مقدار (کیلوگرم)]])</f>
        <v>43905</v>
      </c>
      <c r="V2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0" s="6">
        <f>Main[[#This Row],[تعداد کل روزهای بدهکار (روز)]]*Main[[#This Row],[مانده در خط کل (کیلوگرم)]]</f>
        <v>0</v>
      </c>
      <c r="X270" s="6">
        <f ca="1">-SUBTOTAL(9,INDEX(Main[مقدار تسویه شده (کیلوگرم)],1):Main[[#This Row],[مقدار تسویه شده (کیلوگرم)]])</f>
        <v>43905</v>
      </c>
      <c r="Y270" s="6">
        <f ca="1">IF(Main[[#This Row],[مانده در خط تسویه شده (کیلوگرم)]]&lt;&gt;0,Main[[#This Row],[تعداد کل روزهای بدهکار (روز)]],0)</f>
        <v>0</v>
      </c>
      <c r="Z270" s="6">
        <f ca="1">Main[[#This Row],[تعداد روزهای بدهکار تسویه شده (روز)]]*Main[[#This Row],[مانده در خط تسویه شده (کیلوگرم)]]</f>
        <v>0</v>
      </c>
      <c r="AA270" s="6">
        <f ca="1">SUBTOTAL(9,INDEX(Main[بدهی تسویه نشده (کیلوگرم)],1):Main[[#This Row],[بدهی تسویه نشده (کیلوگرم)]])</f>
        <v>0</v>
      </c>
      <c r="AB270" s="6">
        <f ca="1">IF(Main[[#This Row],[مانده در خط تسویه نشده (کیلوگرم)]]&lt;&gt;0,Main[[#This Row],[تعداد کل روزهای بدهکار (روز)]],0)</f>
        <v>0</v>
      </c>
      <c r="AC270" s="6">
        <f ca="1">Main[[#This Row],[تعداد روزهای بدهکار  تسویه نشده (روز)]]*Main[[#This Row],[مانده در خط تسویه نشده (کیلوگرم)]]</f>
        <v>0</v>
      </c>
      <c r="AD270" s="6">
        <f ca="1">SUBTOTAL(9,INDEX(Main[بدهی سررسید شده (کیلوگرم)],1):Main[[#This Row],[بدهی سررسید شده (کیلوگرم)]])</f>
        <v>0</v>
      </c>
      <c r="AE270" s="6">
        <f ca="1">IF(Main[[#This Row],[مانده در خط سررسید شده (کیلوگرم)]]&lt;&gt;0,Main[[#This Row],[تعداد کل روزهای بدهکار (روز)]],0)</f>
        <v>0</v>
      </c>
      <c r="AF270" s="6">
        <f ca="1">Main[[#This Row],[تعداد روزهای بدهکار سررسید شده (روز)]]*Main[[#This Row],[مانده در خط سررسید شده (کیلوگرم)]]</f>
        <v>0</v>
      </c>
    </row>
    <row r="271" spans="1:32" hidden="1" x14ac:dyDescent="0.35">
      <c r="A271" s="5">
        <f>ROW()-ROW(INDEX(Main[ردیف],1))+1</f>
        <v>269</v>
      </c>
      <c r="B271" s="31">
        <f>SUBTOTAL(2,INDEX(Main[ردیف],1):Main[[#This Row],[ردیف]])</f>
        <v>25</v>
      </c>
      <c r="C271" s="32" t="s">
        <v>532</v>
      </c>
      <c r="D271" s="32" t="str">
        <f>_xlfn.CONCAT("14",Main[[#This Row],[تاريخ]])</f>
        <v>1400/02/07</v>
      </c>
      <c r="E271" s="33">
        <v>44313</v>
      </c>
      <c r="F271" s="32">
        <v>30081</v>
      </c>
      <c r="G271" s="5" t="str">
        <f>INDEX(customer[عنوان],MATCH(Main[[#This Row],[کد ردیابی]],customer[کد],0))</f>
        <v xml:space="preserve">شیرآلات بهداشتی راسان </v>
      </c>
      <c r="H271">
        <v>-3476</v>
      </c>
      <c r="I271" s="6">
        <f ca="1">-Main[[#This Row],[بدهی تسویه شده (کیلوگرم)]]+Main[[#This Row],[بستانکار (کیلوگرم)]]</f>
        <v>-3476</v>
      </c>
      <c r="J271" s="6">
        <f>IF(Main[[#This Row],[مقدار (کیلوگرم)]]&gt;0,Main[[#This Row],[مقدار (کیلوگرم)]],0)</f>
        <v>0</v>
      </c>
      <c r="K271" s="6">
        <f>-IF(Main[[#This Row],[مقدار (کیلوگرم)]]&lt;0,Main[[#This Row],[مقدار (کیلوگرم)]],0)</f>
        <v>3476</v>
      </c>
      <c r="L2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1" s="7">
        <f>-IF(AND(Main[[#This Row],[مقدار (کیلوگرم)]]&lt;0,Main[[#This Row],[تاريخ میلادی]]&gt;44276),Main[[#This Row],[مقدار (کیلوگرم)]],0)</f>
        <v>3476</v>
      </c>
      <c r="N271" s="6">
        <f ca="1">Main[[#This Row],[بدهکار (کیلوگرم)]]-Main[[#This Row],[بدهی تسویه نشده (کیلوگرم)]]</f>
        <v>3476</v>
      </c>
      <c r="O271" s="6">
        <f ca="1">Main[[#This Row],[تفکیک]]</f>
        <v>0</v>
      </c>
      <c r="P271" s="6">
        <f ca="1">IF(Main[[#This Row],[تاخیر از سررسید]]&gt;0,Main[[#This Row],[بدهی تسویه نشده (کیلوگرم)]],0)</f>
        <v>0</v>
      </c>
      <c r="Q271" s="6">
        <f ca="1">IF(Main[[#This Row],[بدهی تسویه نشده (کیلوگرم)]]&gt;0,'گزارش فردی'!$B$7-Main[[#This Row],[تاريخ میلادی]],0)</f>
        <v>0</v>
      </c>
      <c r="R271" s="6">
        <f ca="1">IF(Main[[#This Row],[بدهی تسویه نشده (کیلوگرم)]]&gt;0,'گزارش فردی'!$B$7-Main[[#This Row],[تاريخ میلادی]]-'گزارش فردی'!$B$8,0)</f>
        <v>0</v>
      </c>
      <c r="S271" s="6">
        <f ca="1">Main[[#This Row],[روز از ارسال سفارش]]*Main[[#This Row],[بدهی تسویه نشده (کیلوگرم)]]</f>
        <v>0</v>
      </c>
      <c r="T271" s="6">
        <f ca="1">Main[[#This Row],[بدهی سررسید شده (کیلوگرم)]]*Main[[#This Row],[روز از ارسال سفارش]]</f>
        <v>0</v>
      </c>
      <c r="U271" s="6">
        <f>-SUBTOTAL(9,INDEX(Main[مقدار (کیلوگرم)],1):Main[[#This Row],[مقدار (کیلوگرم)]])</f>
        <v>43905</v>
      </c>
      <c r="V2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1" s="6">
        <f>Main[[#This Row],[تعداد کل روزهای بدهکار (روز)]]*Main[[#This Row],[مانده در خط کل (کیلوگرم)]]</f>
        <v>0</v>
      </c>
      <c r="X271" s="6">
        <f ca="1">-SUBTOTAL(9,INDEX(Main[مقدار تسویه شده (کیلوگرم)],1):Main[[#This Row],[مقدار تسویه شده (کیلوگرم)]])</f>
        <v>43905</v>
      </c>
      <c r="Y271" s="6">
        <f ca="1">IF(Main[[#This Row],[مانده در خط تسویه شده (کیلوگرم)]]&lt;&gt;0,Main[[#This Row],[تعداد کل روزهای بدهکار (روز)]],0)</f>
        <v>0</v>
      </c>
      <c r="Z271" s="6">
        <f ca="1">Main[[#This Row],[تعداد روزهای بدهکار تسویه شده (روز)]]*Main[[#This Row],[مانده در خط تسویه شده (کیلوگرم)]]</f>
        <v>0</v>
      </c>
      <c r="AA271" s="6">
        <f ca="1">SUBTOTAL(9,INDEX(Main[بدهی تسویه نشده (کیلوگرم)],1):Main[[#This Row],[بدهی تسویه نشده (کیلوگرم)]])</f>
        <v>0</v>
      </c>
      <c r="AB271" s="6">
        <f ca="1">IF(Main[[#This Row],[مانده در خط تسویه نشده (کیلوگرم)]]&lt;&gt;0,Main[[#This Row],[تعداد کل روزهای بدهکار (روز)]],0)</f>
        <v>0</v>
      </c>
      <c r="AC271" s="6">
        <f ca="1">Main[[#This Row],[تعداد روزهای بدهکار  تسویه نشده (روز)]]*Main[[#This Row],[مانده در خط تسویه نشده (کیلوگرم)]]</f>
        <v>0</v>
      </c>
      <c r="AD271" s="6">
        <f ca="1">SUBTOTAL(9,INDEX(Main[بدهی سررسید شده (کیلوگرم)],1):Main[[#This Row],[بدهی سررسید شده (کیلوگرم)]])</f>
        <v>0</v>
      </c>
      <c r="AE271" s="6">
        <f ca="1">IF(Main[[#This Row],[مانده در خط سررسید شده (کیلوگرم)]]&lt;&gt;0,Main[[#This Row],[تعداد کل روزهای بدهکار (روز)]],0)</f>
        <v>0</v>
      </c>
      <c r="AF271" s="6">
        <f ca="1">Main[[#This Row],[تعداد روزهای بدهکار سررسید شده (روز)]]*Main[[#This Row],[مانده در خط سررسید شده (کیلوگرم)]]</f>
        <v>0</v>
      </c>
    </row>
    <row r="272" spans="1:32" hidden="1" x14ac:dyDescent="0.35">
      <c r="A272" s="5">
        <f>ROW()-ROW(INDEX(Main[ردیف],1))+1</f>
        <v>270</v>
      </c>
      <c r="B272" s="31">
        <f>SUBTOTAL(2,INDEX(Main[ردیف],1):Main[[#This Row],[ردیف]])</f>
        <v>25</v>
      </c>
      <c r="C272" s="32" t="s">
        <v>532</v>
      </c>
      <c r="D272" s="32" t="str">
        <f>_xlfn.CONCAT("14",Main[[#This Row],[تاريخ]])</f>
        <v>1400/02/07</v>
      </c>
      <c r="E272" s="33">
        <v>44313</v>
      </c>
      <c r="F272" s="32">
        <v>10018</v>
      </c>
      <c r="G272" s="5" t="str">
        <f>INDEX(customer[عنوان],MATCH(Main[[#This Row],[کد ردیابی]],customer[کد],0))</f>
        <v xml:space="preserve">کوهی </v>
      </c>
      <c r="H272">
        <v>78</v>
      </c>
      <c r="I272" s="6">
        <f ca="1">-Main[[#This Row],[بدهی تسویه شده (کیلوگرم)]]+Main[[#This Row],[بستانکار (کیلوگرم)]]</f>
        <v>78</v>
      </c>
      <c r="J272" s="6">
        <f>IF(Main[[#This Row],[مقدار (کیلوگرم)]]&gt;0,Main[[#This Row],[مقدار (کیلوگرم)]],0)</f>
        <v>78</v>
      </c>
      <c r="K272" s="6">
        <f>-IF(Main[[#This Row],[مقدار (کیلوگرم)]]&lt;0,Main[[#This Row],[مقدار (کیلوگرم)]],0)</f>
        <v>0</v>
      </c>
      <c r="L2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2" s="7">
        <f>-IF(AND(Main[[#This Row],[مقدار (کیلوگرم)]]&lt;0,Main[[#This Row],[تاريخ میلادی]]&gt;44276),Main[[#This Row],[مقدار (کیلوگرم)]],0)</f>
        <v>0</v>
      </c>
      <c r="N272" s="6">
        <f ca="1">Main[[#This Row],[بدهکار (کیلوگرم)]]-Main[[#This Row],[بدهی تسویه نشده (کیلوگرم)]]</f>
        <v>0</v>
      </c>
      <c r="O272" s="6">
        <f ca="1">Main[[#This Row],[تفکیک]]</f>
        <v>0</v>
      </c>
      <c r="P272" s="6">
        <f ca="1">IF(Main[[#This Row],[تاخیر از سررسید]]&gt;0,Main[[#This Row],[بدهی تسویه نشده (کیلوگرم)]],0)</f>
        <v>0</v>
      </c>
      <c r="Q272" s="6">
        <f ca="1">IF(Main[[#This Row],[بدهی تسویه نشده (کیلوگرم)]]&gt;0,'گزارش فردی'!$B$7-Main[[#This Row],[تاريخ میلادی]],0)</f>
        <v>0</v>
      </c>
      <c r="R272" s="6">
        <f ca="1">IF(Main[[#This Row],[بدهی تسویه نشده (کیلوگرم)]]&gt;0,'گزارش فردی'!$B$7-Main[[#This Row],[تاريخ میلادی]]-'گزارش فردی'!$B$8,0)</f>
        <v>0</v>
      </c>
      <c r="S272" s="6">
        <f ca="1">Main[[#This Row],[روز از ارسال سفارش]]*Main[[#This Row],[بدهی تسویه نشده (کیلوگرم)]]</f>
        <v>0</v>
      </c>
      <c r="T272" s="6">
        <f ca="1">Main[[#This Row],[بدهی سررسید شده (کیلوگرم)]]*Main[[#This Row],[روز از ارسال سفارش]]</f>
        <v>0</v>
      </c>
      <c r="U272" s="6">
        <f>-SUBTOTAL(9,INDEX(Main[مقدار (کیلوگرم)],1):Main[[#This Row],[مقدار (کیلوگرم)]])</f>
        <v>43905</v>
      </c>
      <c r="V2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2" s="6">
        <f>Main[[#This Row],[تعداد کل روزهای بدهکار (روز)]]*Main[[#This Row],[مانده در خط کل (کیلوگرم)]]</f>
        <v>0</v>
      </c>
      <c r="X272" s="6">
        <f ca="1">-SUBTOTAL(9,INDEX(Main[مقدار تسویه شده (کیلوگرم)],1):Main[[#This Row],[مقدار تسویه شده (کیلوگرم)]])</f>
        <v>43905</v>
      </c>
      <c r="Y272" s="6">
        <f ca="1">IF(Main[[#This Row],[مانده در خط تسویه شده (کیلوگرم)]]&lt;&gt;0,Main[[#This Row],[تعداد کل روزهای بدهکار (روز)]],0)</f>
        <v>0</v>
      </c>
      <c r="Z272" s="6">
        <f ca="1">Main[[#This Row],[تعداد روزهای بدهکار تسویه شده (روز)]]*Main[[#This Row],[مانده در خط تسویه شده (کیلوگرم)]]</f>
        <v>0</v>
      </c>
      <c r="AA272" s="6">
        <f ca="1">SUBTOTAL(9,INDEX(Main[بدهی تسویه نشده (کیلوگرم)],1):Main[[#This Row],[بدهی تسویه نشده (کیلوگرم)]])</f>
        <v>0</v>
      </c>
      <c r="AB272" s="6">
        <f ca="1">IF(Main[[#This Row],[مانده در خط تسویه نشده (کیلوگرم)]]&lt;&gt;0,Main[[#This Row],[تعداد کل روزهای بدهکار (روز)]],0)</f>
        <v>0</v>
      </c>
      <c r="AC272" s="6">
        <f ca="1">Main[[#This Row],[تعداد روزهای بدهکار  تسویه نشده (روز)]]*Main[[#This Row],[مانده در خط تسویه نشده (کیلوگرم)]]</f>
        <v>0</v>
      </c>
      <c r="AD272" s="6">
        <f ca="1">SUBTOTAL(9,INDEX(Main[بدهی سررسید شده (کیلوگرم)],1):Main[[#This Row],[بدهی سررسید شده (کیلوگرم)]])</f>
        <v>0</v>
      </c>
      <c r="AE272" s="6">
        <f ca="1">IF(Main[[#This Row],[مانده در خط سررسید شده (کیلوگرم)]]&lt;&gt;0,Main[[#This Row],[تعداد کل روزهای بدهکار (روز)]],0)</f>
        <v>0</v>
      </c>
      <c r="AF272" s="6">
        <f ca="1">Main[[#This Row],[تعداد روزهای بدهکار سررسید شده (روز)]]*Main[[#This Row],[مانده در خط سررسید شده (کیلوگرم)]]</f>
        <v>0</v>
      </c>
    </row>
    <row r="273" spans="1:32" hidden="1" x14ac:dyDescent="0.35">
      <c r="A273" s="5">
        <f>ROW()-ROW(INDEX(Main[ردیف],1))+1</f>
        <v>271</v>
      </c>
      <c r="B273" s="31">
        <f>SUBTOTAL(2,INDEX(Main[ردیف],1):Main[[#This Row],[ردیف]])</f>
        <v>25</v>
      </c>
      <c r="C273" s="32" t="s">
        <v>532</v>
      </c>
      <c r="D273" s="32" t="str">
        <f>_xlfn.CONCAT("14",Main[[#This Row],[تاريخ]])</f>
        <v>1400/02/07</v>
      </c>
      <c r="E273" s="33">
        <v>44313</v>
      </c>
      <c r="F273" s="32">
        <v>30127</v>
      </c>
      <c r="G273" s="5" t="str">
        <f>INDEX(customer[عنوان],MATCH(Main[[#This Row],[کد ردیابی]],customer[کد],0))</f>
        <v>شیر گاز آذران</v>
      </c>
      <c r="H273">
        <v>-16377</v>
      </c>
      <c r="I273" s="6">
        <f ca="1">-Main[[#This Row],[بدهی تسویه شده (کیلوگرم)]]+Main[[#This Row],[بستانکار (کیلوگرم)]]</f>
        <v>-16377</v>
      </c>
      <c r="J273" s="6">
        <f>IF(Main[[#This Row],[مقدار (کیلوگرم)]]&gt;0,Main[[#This Row],[مقدار (کیلوگرم)]],0)</f>
        <v>0</v>
      </c>
      <c r="K273" s="6">
        <f>-IF(Main[[#This Row],[مقدار (کیلوگرم)]]&lt;0,Main[[#This Row],[مقدار (کیلوگرم)]],0)</f>
        <v>16377</v>
      </c>
      <c r="L2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3" s="7">
        <f>-IF(AND(Main[[#This Row],[مقدار (کیلوگرم)]]&lt;0,Main[[#This Row],[تاريخ میلادی]]&gt;44276),Main[[#This Row],[مقدار (کیلوگرم)]],0)</f>
        <v>16377</v>
      </c>
      <c r="N273" s="6">
        <f ca="1">Main[[#This Row],[بدهکار (کیلوگرم)]]-Main[[#This Row],[بدهی تسویه نشده (کیلوگرم)]]</f>
        <v>16377</v>
      </c>
      <c r="O273" s="6">
        <f ca="1">Main[[#This Row],[تفکیک]]</f>
        <v>0</v>
      </c>
      <c r="P273" s="6">
        <f ca="1">IF(Main[[#This Row],[تاخیر از سررسید]]&gt;0,Main[[#This Row],[بدهی تسویه نشده (کیلوگرم)]],0)</f>
        <v>0</v>
      </c>
      <c r="Q273" s="6">
        <f ca="1">IF(Main[[#This Row],[بدهی تسویه نشده (کیلوگرم)]]&gt;0,'گزارش فردی'!$B$7-Main[[#This Row],[تاريخ میلادی]],0)</f>
        <v>0</v>
      </c>
      <c r="R273" s="6">
        <f ca="1">IF(Main[[#This Row],[بدهی تسویه نشده (کیلوگرم)]]&gt;0,'گزارش فردی'!$B$7-Main[[#This Row],[تاريخ میلادی]]-'گزارش فردی'!$B$8,0)</f>
        <v>0</v>
      </c>
      <c r="S273" s="6">
        <f ca="1">Main[[#This Row],[روز از ارسال سفارش]]*Main[[#This Row],[بدهی تسویه نشده (کیلوگرم)]]</f>
        <v>0</v>
      </c>
      <c r="T273" s="6">
        <f ca="1">Main[[#This Row],[بدهی سررسید شده (کیلوگرم)]]*Main[[#This Row],[روز از ارسال سفارش]]</f>
        <v>0</v>
      </c>
      <c r="U273" s="6">
        <f>-SUBTOTAL(9,INDEX(Main[مقدار (کیلوگرم)],1):Main[[#This Row],[مقدار (کیلوگرم)]])</f>
        <v>43905</v>
      </c>
      <c r="V2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3" s="6">
        <f>Main[[#This Row],[تعداد کل روزهای بدهکار (روز)]]*Main[[#This Row],[مانده در خط کل (کیلوگرم)]]</f>
        <v>0</v>
      </c>
      <c r="X273" s="6">
        <f ca="1">-SUBTOTAL(9,INDEX(Main[مقدار تسویه شده (کیلوگرم)],1):Main[[#This Row],[مقدار تسویه شده (کیلوگرم)]])</f>
        <v>43905</v>
      </c>
      <c r="Y273" s="6">
        <f ca="1">IF(Main[[#This Row],[مانده در خط تسویه شده (کیلوگرم)]]&lt;&gt;0,Main[[#This Row],[تعداد کل روزهای بدهکار (روز)]],0)</f>
        <v>0</v>
      </c>
      <c r="Z273" s="6">
        <f ca="1">Main[[#This Row],[تعداد روزهای بدهکار تسویه شده (روز)]]*Main[[#This Row],[مانده در خط تسویه شده (کیلوگرم)]]</f>
        <v>0</v>
      </c>
      <c r="AA273" s="6">
        <f ca="1">SUBTOTAL(9,INDEX(Main[بدهی تسویه نشده (کیلوگرم)],1):Main[[#This Row],[بدهی تسویه نشده (کیلوگرم)]])</f>
        <v>0</v>
      </c>
      <c r="AB273" s="6">
        <f ca="1">IF(Main[[#This Row],[مانده در خط تسویه نشده (کیلوگرم)]]&lt;&gt;0,Main[[#This Row],[تعداد کل روزهای بدهکار (روز)]],0)</f>
        <v>0</v>
      </c>
      <c r="AC273" s="6">
        <f ca="1">Main[[#This Row],[تعداد روزهای بدهکار  تسویه نشده (روز)]]*Main[[#This Row],[مانده در خط تسویه نشده (کیلوگرم)]]</f>
        <v>0</v>
      </c>
      <c r="AD273" s="6">
        <f ca="1">SUBTOTAL(9,INDEX(Main[بدهی سررسید شده (کیلوگرم)],1):Main[[#This Row],[بدهی سررسید شده (کیلوگرم)]])</f>
        <v>0</v>
      </c>
      <c r="AE273" s="6">
        <f ca="1">IF(Main[[#This Row],[مانده در خط سررسید شده (کیلوگرم)]]&lt;&gt;0,Main[[#This Row],[تعداد کل روزهای بدهکار (روز)]],0)</f>
        <v>0</v>
      </c>
      <c r="AF273" s="6">
        <f ca="1">Main[[#This Row],[تعداد روزهای بدهکار سررسید شده (روز)]]*Main[[#This Row],[مانده در خط سررسید شده (کیلوگرم)]]</f>
        <v>0</v>
      </c>
    </row>
    <row r="274" spans="1:32" x14ac:dyDescent="0.35">
      <c r="A274" s="5">
        <f>ROW()-ROW(INDEX(Main[ردیف],1))+1</f>
        <v>272</v>
      </c>
      <c r="B274" s="31">
        <f>SUBTOTAL(2,INDEX(Main[ردیف],1):Main[[#This Row],[ردیف]])</f>
        <v>26</v>
      </c>
      <c r="C274" s="32" t="s">
        <v>532</v>
      </c>
      <c r="D274" s="32" t="str">
        <f>_xlfn.CONCAT("14",Main[[#This Row],[تاريخ]])</f>
        <v>1400/02/07</v>
      </c>
      <c r="E274" s="33">
        <v>44313</v>
      </c>
      <c r="F274" s="32">
        <v>10003</v>
      </c>
      <c r="G274" s="5" t="str">
        <f>INDEX(customer[عنوان],MATCH(Main[[#This Row],[کد ردیابی]],customer[کد],0))</f>
        <v>اصغر نورعلی</v>
      </c>
      <c r="H274">
        <v>1931</v>
      </c>
      <c r="I274" s="6">
        <f ca="1">-Main[[#This Row],[بدهی تسویه شده (کیلوگرم)]]+Main[[#This Row],[بستانکار (کیلوگرم)]]</f>
        <v>1931</v>
      </c>
      <c r="J274" s="6">
        <f>IF(Main[[#This Row],[مقدار (کیلوگرم)]]&gt;0,Main[[#This Row],[مقدار (کیلوگرم)]],0)</f>
        <v>1931</v>
      </c>
      <c r="K274" s="6">
        <f>-IF(Main[[#This Row],[مقدار (کیلوگرم)]]&lt;0,Main[[#This Row],[مقدار (کیلوگرم)]],0)</f>
        <v>0</v>
      </c>
      <c r="L2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4" s="7">
        <f>-IF(AND(Main[[#This Row],[مقدار (کیلوگرم)]]&lt;0,Main[[#This Row],[تاريخ میلادی]]&gt;44276),Main[[#This Row],[مقدار (کیلوگرم)]],0)</f>
        <v>0</v>
      </c>
      <c r="N274" s="6">
        <f ca="1">Main[[#This Row],[بدهکار (کیلوگرم)]]-Main[[#This Row],[بدهی تسویه نشده (کیلوگرم)]]</f>
        <v>0</v>
      </c>
      <c r="O274" s="6">
        <f ca="1">Main[[#This Row],[تفکیک]]</f>
        <v>0</v>
      </c>
      <c r="P274" s="6">
        <f ca="1">IF(Main[[#This Row],[تاخیر از سررسید]]&gt;0,Main[[#This Row],[بدهی تسویه نشده (کیلوگرم)]],0)</f>
        <v>0</v>
      </c>
      <c r="Q274" s="6">
        <f ca="1">IF(Main[[#This Row],[بدهی تسویه نشده (کیلوگرم)]]&gt;0,'گزارش فردی'!$B$7-Main[[#This Row],[تاريخ میلادی]],0)</f>
        <v>0</v>
      </c>
      <c r="R274" s="6">
        <f ca="1">IF(Main[[#This Row],[بدهی تسویه نشده (کیلوگرم)]]&gt;0,'گزارش فردی'!$B$7-Main[[#This Row],[تاريخ میلادی]]-'گزارش فردی'!$B$8,0)</f>
        <v>0</v>
      </c>
      <c r="S274" s="6">
        <f ca="1">Main[[#This Row],[روز از ارسال سفارش]]*Main[[#This Row],[بدهی تسویه نشده (کیلوگرم)]]</f>
        <v>0</v>
      </c>
      <c r="T274" s="6">
        <f ca="1">Main[[#This Row],[بدهی سررسید شده (کیلوگرم)]]*Main[[#This Row],[روز از ارسال سفارش]]</f>
        <v>0</v>
      </c>
      <c r="U274" s="6">
        <f>-SUBTOTAL(9,INDEX(Main[مقدار (کیلوگرم)],1):Main[[#This Row],[مقدار (کیلوگرم)]])</f>
        <v>41974</v>
      </c>
      <c r="V2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4" s="6">
        <f>Main[[#This Row],[تعداد کل روزهای بدهکار (روز)]]*Main[[#This Row],[مانده در خط کل (کیلوگرم)]]</f>
        <v>0</v>
      </c>
      <c r="X274" s="6">
        <f ca="1">-SUBTOTAL(9,INDEX(Main[مقدار تسویه شده (کیلوگرم)],1):Main[[#This Row],[مقدار تسویه شده (کیلوگرم)]])</f>
        <v>41974</v>
      </c>
      <c r="Y274" s="6">
        <f ca="1">IF(Main[[#This Row],[مانده در خط تسویه شده (کیلوگرم)]]&lt;&gt;0,Main[[#This Row],[تعداد کل روزهای بدهکار (روز)]],0)</f>
        <v>0</v>
      </c>
      <c r="Z274" s="6">
        <f ca="1">Main[[#This Row],[تعداد روزهای بدهکار تسویه شده (روز)]]*Main[[#This Row],[مانده در خط تسویه شده (کیلوگرم)]]</f>
        <v>0</v>
      </c>
      <c r="AA274" s="6">
        <f ca="1">SUBTOTAL(9,INDEX(Main[بدهی تسویه نشده (کیلوگرم)],1):Main[[#This Row],[بدهی تسویه نشده (کیلوگرم)]])</f>
        <v>0</v>
      </c>
      <c r="AB274" s="6">
        <f ca="1">IF(Main[[#This Row],[مانده در خط تسویه نشده (کیلوگرم)]]&lt;&gt;0,Main[[#This Row],[تعداد کل روزهای بدهکار (روز)]],0)</f>
        <v>0</v>
      </c>
      <c r="AC274" s="6">
        <f ca="1">Main[[#This Row],[تعداد روزهای بدهکار  تسویه نشده (روز)]]*Main[[#This Row],[مانده در خط تسویه نشده (کیلوگرم)]]</f>
        <v>0</v>
      </c>
      <c r="AD274" s="6">
        <f ca="1">SUBTOTAL(9,INDEX(Main[بدهی سررسید شده (کیلوگرم)],1):Main[[#This Row],[بدهی سررسید شده (کیلوگرم)]])</f>
        <v>0</v>
      </c>
      <c r="AE274" s="6">
        <f ca="1">IF(Main[[#This Row],[مانده در خط سررسید شده (کیلوگرم)]]&lt;&gt;0,Main[[#This Row],[تعداد کل روزهای بدهکار (روز)]],0)</f>
        <v>0</v>
      </c>
      <c r="AF274" s="6">
        <f ca="1">Main[[#This Row],[تعداد روزهای بدهکار سررسید شده (روز)]]*Main[[#This Row],[مانده در خط سررسید شده (کیلوگرم)]]</f>
        <v>0</v>
      </c>
    </row>
    <row r="275" spans="1:32" x14ac:dyDescent="0.35">
      <c r="A275" s="5">
        <f>ROW()-ROW(INDEX(Main[ردیف],1))+1</f>
        <v>273</v>
      </c>
      <c r="B275" s="31">
        <f>SUBTOTAL(2,INDEX(Main[ردیف],1):Main[[#This Row],[ردیف]])</f>
        <v>27</v>
      </c>
      <c r="C275" s="32" t="s">
        <v>532</v>
      </c>
      <c r="D275" s="32" t="str">
        <f>_xlfn.CONCAT("14",Main[[#This Row],[تاريخ]])</f>
        <v>1400/02/07</v>
      </c>
      <c r="E275" s="33">
        <v>44313</v>
      </c>
      <c r="F275" s="32">
        <v>10003</v>
      </c>
      <c r="G275" s="5" t="str">
        <f>INDEX(customer[عنوان],MATCH(Main[[#This Row],[کد ردیابی]],customer[کد],0))</f>
        <v>اصغر نورعلی</v>
      </c>
      <c r="H275">
        <v>-2380</v>
      </c>
      <c r="I275" s="6">
        <f ca="1">-Main[[#This Row],[بدهی تسویه شده (کیلوگرم)]]+Main[[#This Row],[بستانکار (کیلوگرم)]]</f>
        <v>-2380</v>
      </c>
      <c r="J275" s="6">
        <f>IF(Main[[#This Row],[مقدار (کیلوگرم)]]&gt;0,Main[[#This Row],[مقدار (کیلوگرم)]],0)</f>
        <v>0</v>
      </c>
      <c r="K275" s="6">
        <f>-IF(Main[[#This Row],[مقدار (کیلوگرم)]]&lt;0,Main[[#This Row],[مقدار (کیلوگرم)]],0)</f>
        <v>2380</v>
      </c>
      <c r="L2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5" s="7">
        <f>-IF(AND(Main[[#This Row],[مقدار (کیلوگرم)]]&lt;0,Main[[#This Row],[تاريخ میلادی]]&gt;44276),Main[[#This Row],[مقدار (کیلوگرم)]],0)</f>
        <v>2380</v>
      </c>
      <c r="N275" s="6">
        <f ca="1">Main[[#This Row],[بدهکار (کیلوگرم)]]-Main[[#This Row],[بدهی تسویه نشده (کیلوگرم)]]</f>
        <v>2380</v>
      </c>
      <c r="O275" s="6">
        <f ca="1">Main[[#This Row],[تفکیک]]</f>
        <v>0</v>
      </c>
      <c r="P275" s="6">
        <f ca="1">IF(Main[[#This Row],[تاخیر از سررسید]]&gt;0,Main[[#This Row],[بدهی تسویه نشده (کیلوگرم)]],0)</f>
        <v>0</v>
      </c>
      <c r="Q275" s="6">
        <f ca="1">IF(Main[[#This Row],[بدهی تسویه نشده (کیلوگرم)]]&gt;0,'گزارش فردی'!$B$7-Main[[#This Row],[تاريخ میلادی]],0)</f>
        <v>0</v>
      </c>
      <c r="R275" s="6">
        <f ca="1">IF(Main[[#This Row],[بدهی تسویه نشده (کیلوگرم)]]&gt;0,'گزارش فردی'!$B$7-Main[[#This Row],[تاريخ میلادی]]-'گزارش فردی'!$B$8,0)</f>
        <v>0</v>
      </c>
      <c r="S275" s="6">
        <f ca="1">Main[[#This Row],[روز از ارسال سفارش]]*Main[[#This Row],[بدهی تسویه نشده (کیلوگرم)]]</f>
        <v>0</v>
      </c>
      <c r="T275" s="6">
        <f ca="1">Main[[#This Row],[بدهی سررسید شده (کیلوگرم)]]*Main[[#This Row],[روز از ارسال سفارش]]</f>
        <v>0</v>
      </c>
      <c r="U275" s="6">
        <f>-SUBTOTAL(9,INDEX(Main[مقدار (کیلوگرم)],1):Main[[#This Row],[مقدار (کیلوگرم)]])</f>
        <v>44354</v>
      </c>
      <c r="V2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5" s="6">
        <f>Main[[#This Row],[تعداد کل روزهای بدهکار (روز)]]*Main[[#This Row],[مانده در خط کل (کیلوگرم)]]</f>
        <v>44354</v>
      </c>
      <c r="X275" s="6">
        <f ca="1">-SUBTOTAL(9,INDEX(Main[مقدار تسویه شده (کیلوگرم)],1):Main[[#This Row],[مقدار تسویه شده (کیلوگرم)]])</f>
        <v>44354</v>
      </c>
      <c r="Y275" s="6">
        <f ca="1">IF(Main[[#This Row],[مانده در خط تسویه شده (کیلوگرم)]]&lt;&gt;0,Main[[#This Row],[تعداد کل روزهای بدهکار (روز)]],0)</f>
        <v>1</v>
      </c>
      <c r="Z275" s="6">
        <f ca="1">Main[[#This Row],[تعداد روزهای بدهکار تسویه شده (روز)]]*Main[[#This Row],[مانده در خط تسویه شده (کیلوگرم)]]</f>
        <v>44354</v>
      </c>
      <c r="AA275" s="6">
        <f ca="1">SUBTOTAL(9,INDEX(Main[بدهی تسویه نشده (کیلوگرم)],1):Main[[#This Row],[بدهی تسویه نشده (کیلوگرم)]])</f>
        <v>0</v>
      </c>
      <c r="AB275" s="6">
        <f ca="1">IF(Main[[#This Row],[مانده در خط تسویه نشده (کیلوگرم)]]&lt;&gt;0,Main[[#This Row],[تعداد کل روزهای بدهکار (روز)]],0)</f>
        <v>0</v>
      </c>
      <c r="AC275" s="6">
        <f ca="1">Main[[#This Row],[تعداد روزهای بدهکار  تسویه نشده (روز)]]*Main[[#This Row],[مانده در خط تسویه نشده (کیلوگرم)]]</f>
        <v>0</v>
      </c>
      <c r="AD275" s="6">
        <f ca="1">SUBTOTAL(9,INDEX(Main[بدهی سررسید شده (کیلوگرم)],1):Main[[#This Row],[بدهی سررسید شده (کیلوگرم)]])</f>
        <v>0</v>
      </c>
      <c r="AE275" s="6">
        <f ca="1">IF(Main[[#This Row],[مانده در خط سررسید شده (کیلوگرم)]]&lt;&gt;0,Main[[#This Row],[تعداد کل روزهای بدهکار (روز)]],0)</f>
        <v>0</v>
      </c>
      <c r="AF275" s="6">
        <f ca="1">Main[[#This Row],[تعداد روزهای بدهکار سررسید شده (روز)]]*Main[[#This Row],[مانده در خط سررسید شده (کیلوگرم)]]</f>
        <v>0</v>
      </c>
    </row>
    <row r="276" spans="1:32" hidden="1" x14ac:dyDescent="0.35">
      <c r="A276" s="5">
        <f>ROW()-ROW(INDEX(Main[ردیف],1))+1</f>
        <v>274</v>
      </c>
      <c r="B276" s="31">
        <f>SUBTOTAL(2,INDEX(Main[ردیف],1):Main[[#This Row],[ردیف]])</f>
        <v>27</v>
      </c>
      <c r="C276" s="32" t="s">
        <v>532</v>
      </c>
      <c r="D276" s="32" t="str">
        <f>_xlfn.CONCAT("14",Main[[#This Row],[تاريخ]])</f>
        <v>1400/02/07</v>
      </c>
      <c r="E276" s="33">
        <v>44313</v>
      </c>
      <c r="F276" s="32">
        <v>30009</v>
      </c>
      <c r="G276" s="5" t="str">
        <f>INDEX(customer[عنوان],MATCH(Main[[#This Row],[کد ردیابی]],customer[کد],0))</f>
        <v>شرکت ایمن تک پیشرو</v>
      </c>
      <c r="H276">
        <v>1277</v>
      </c>
      <c r="I276" s="6">
        <f ca="1">-Main[[#This Row],[بدهی تسویه شده (کیلوگرم)]]+Main[[#This Row],[بستانکار (کیلوگرم)]]</f>
        <v>1277</v>
      </c>
      <c r="J276" s="6">
        <f>IF(Main[[#This Row],[مقدار (کیلوگرم)]]&gt;0,Main[[#This Row],[مقدار (کیلوگرم)]],0)</f>
        <v>1277</v>
      </c>
      <c r="K276" s="6">
        <f>-IF(Main[[#This Row],[مقدار (کیلوگرم)]]&lt;0,Main[[#This Row],[مقدار (کیلوگرم)]],0)</f>
        <v>0</v>
      </c>
      <c r="L2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6" s="7">
        <f>-IF(AND(Main[[#This Row],[مقدار (کیلوگرم)]]&lt;0,Main[[#This Row],[تاريخ میلادی]]&gt;44276),Main[[#This Row],[مقدار (کیلوگرم)]],0)</f>
        <v>0</v>
      </c>
      <c r="N276" s="6">
        <f ca="1">Main[[#This Row],[بدهکار (کیلوگرم)]]-Main[[#This Row],[بدهی تسویه نشده (کیلوگرم)]]</f>
        <v>0</v>
      </c>
      <c r="O276" s="6">
        <f ca="1">Main[[#This Row],[تفکیک]]</f>
        <v>0</v>
      </c>
      <c r="P276" s="6">
        <f ca="1">IF(Main[[#This Row],[تاخیر از سررسید]]&gt;0,Main[[#This Row],[بدهی تسویه نشده (کیلوگرم)]],0)</f>
        <v>0</v>
      </c>
      <c r="Q276" s="6">
        <f ca="1">IF(Main[[#This Row],[بدهی تسویه نشده (کیلوگرم)]]&gt;0,'گزارش فردی'!$B$7-Main[[#This Row],[تاريخ میلادی]],0)</f>
        <v>0</v>
      </c>
      <c r="R276" s="6">
        <f ca="1">IF(Main[[#This Row],[بدهی تسویه نشده (کیلوگرم)]]&gt;0,'گزارش فردی'!$B$7-Main[[#This Row],[تاريخ میلادی]]-'گزارش فردی'!$B$8,0)</f>
        <v>0</v>
      </c>
      <c r="S276" s="6">
        <f ca="1">Main[[#This Row],[روز از ارسال سفارش]]*Main[[#This Row],[بدهی تسویه نشده (کیلوگرم)]]</f>
        <v>0</v>
      </c>
      <c r="T276" s="6">
        <f ca="1">Main[[#This Row],[بدهی سررسید شده (کیلوگرم)]]*Main[[#This Row],[روز از ارسال سفارش]]</f>
        <v>0</v>
      </c>
      <c r="U276" s="6">
        <f>-SUBTOTAL(9,INDEX(Main[مقدار (کیلوگرم)],1):Main[[#This Row],[مقدار (کیلوگرم)]])</f>
        <v>44354</v>
      </c>
      <c r="V2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6" s="6">
        <f>Main[[#This Row],[تعداد کل روزهای بدهکار (روز)]]*Main[[#This Row],[مانده در خط کل (کیلوگرم)]]</f>
        <v>44354</v>
      </c>
      <c r="X276" s="6">
        <f ca="1">-SUBTOTAL(9,INDEX(Main[مقدار تسویه شده (کیلوگرم)],1):Main[[#This Row],[مقدار تسویه شده (کیلوگرم)]])</f>
        <v>44354</v>
      </c>
      <c r="Y276" s="6">
        <f ca="1">IF(Main[[#This Row],[مانده در خط تسویه شده (کیلوگرم)]]&lt;&gt;0,Main[[#This Row],[تعداد کل روزهای بدهکار (روز)]],0)</f>
        <v>1</v>
      </c>
      <c r="Z276" s="6">
        <f ca="1">Main[[#This Row],[تعداد روزهای بدهکار تسویه شده (روز)]]*Main[[#This Row],[مانده در خط تسویه شده (کیلوگرم)]]</f>
        <v>44354</v>
      </c>
      <c r="AA276" s="6">
        <f ca="1">SUBTOTAL(9,INDEX(Main[بدهی تسویه نشده (کیلوگرم)],1):Main[[#This Row],[بدهی تسویه نشده (کیلوگرم)]])</f>
        <v>0</v>
      </c>
      <c r="AB276" s="6">
        <f ca="1">IF(Main[[#This Row],[مانده در خط تسویه نشده (کیلوگرم)]]&lt;&gt;0,Main[[#This Row],[تعداد کل روزهای بدهکار (روز)]],0)</f>
        <v>0</v>
      </c>
      <c r="AC276" s="6">
        <f ca="1">Main[[#This Row],[تعداد روزهای بدهکار  تسویه نشده (روز)]]*Main[[#This Row],[مانده در خط تسویه نشده (کیلوگرم)]]</f>
        <v>0</v>
      </c>
      <c r="AD276" s="6">
        <f ca="1">SUBTOTAL(9,INDEX(Main[بدهی سررسید شده (کیلوگرم)],1):Main[[#This Row],[بدهی سررسید شده (کیلوگرم)]])</f>
        <v>0</v>
      </c>
      <c r="AE276" s="6">
        <f ca="1">IF(Main[[#This Row],[مانده در خط سررسید شده (کیلوگرم)]]&lt;&gt;0,Main[[#This Row],[تعداد کل روزهای بدهکار (روز)]],0)</f>
        <v>0</v>
      </c>
      <c r="AF276" s="6">
        <f ca="1">Main[[#This Row],[تعداد روزهای بدهکار سررسید شده (روز)]]*Main[[#This Row],[مانده در خط سررسید شده (کیلوگرم)]]</f>
        <v>0</v>
      </c>
    </row>
    <row r="277" spans="1:32" hidden="1" x14ac:dyDescent="0.35">
      <c r="A277" s="5">
        <f>ROW()-ROW(INDEX(Main[ردیف],1))+1</f>
        <v>275</v>
      </c>
      <c r="B277" s="31">
        <f>SUBTOTAL(2,INDEX(Main[ردیف],1):Main[[#This Row],[ردیف]])</f>
        <v>27</v>
      </c>
      <c r="C277" s="32" t="s">
        <v>532</v>
      </c>
      <c r="D277" s="32" t="str">
        <f>_xlfn.CONCAT("14",Main[[#This Row],[تاريخ]])</f>
        <v>1400/02/07</v>
      </c>
      <c r="E277" s="33">
        <v>44313</v>
      </c>
      <c r="F277" s="32">
        <v>10018</v>
      </c>
      <c r="G277" s="5" t="str">
        <f>INDEX(customer[عنوان],MATCH(Main[[#This Row],[کد ردیابی]],customer[کد],0))</f>
        <v xml:space="preserve">کوهی </v>
      </c>
      <c r="H277">
        <v>-406</v>
      </c>
      <c r="I277" s="6">
        <f ca="1">-Main[[#This Row],[بدهی تسویه شده (کیلوگرم)]]+Main[[#This Row],[بستانکار (کیلوگرم)]]</f>
        <v>-406</v>
      </c>
      <c r="J277" s="6">
        <f>IF(Main[[#This Row],[مقدار (کیلوگرم)]]&gt;0,Main[[#This Row],[مقدار (کیلوگرم)]],0)</f>
        <v>0</v>
      </c>
      <c r="K277" s="6">
        <f>-IF(Main[[#This Row],[مقدار (کیلوگرم)]]&lt;0,Main[[#This Row],[مقدار (کیلوگرم)]],0)</f>
        <v>406</v>
      </c>
      <c r="L2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7" s="7">
        <f>-IF(AND(Main[[#This Row],[مقدار (کیلوگرم)]]&lt;0,Main[[#This Row],[تاريخ میلادی]]&gt;44276),Main[[#This Row],[مقدار (کیلوگرم)]],0)</f>
        <v>406</v>
      </c>
      <c r="N277" s="6">
        <f ca="1">Main[[#This Row],[بدهکار (کیلوگرم)]]-Main[[#This Row],[بدهی تسویه نشده (کیلوگرم)]]</f>
        <v>406</v>
      </c>
      <c r="O277" s="6">
        <f ca="1">Main[[#This Row],[تفکیک]]</f>
        <v>0</v>
      </c>
      <c r="P277" s="6">
        <f ca="1">IF(Main[[#This Row],[تاخیر از سررسید]]&gt;0,Main[[#This Row],[بدهی تسویه نشده (کیلوگرم)]],0)</f>
        <v>0</v>
      </c>
      <c r="Q277" s="6">
        <f ca="1">IF(Main[[#This Row],[بدهی تسویه نشده (کیلوگرم)]]&gt;0,'گزارش فردی'!$B$7-Main[[#This Row],[تاريخ میلادی]],0)</f>
        <v>0</v>
      </c>
      <c r="R277" s="6">
        <f ca="1">IF(Main[[#This Row],[بدهی تسویه نشده (کیلوگرم)]]&gt;0,'گزارش فردی'!$B$7-Main[[#This Row],[تاريخ میلادی]]-'گزارش فردی'!$B$8,0)</f>
        <v>0</v>
      </c>
      <c r="S277" s="6">
        <f ca="1">Main[[#This Row],[روز از ارسال سفارش]]*Main[[#This Row],[بدهی تسویه نشده (کیلوگرم)]]</f>
        <v>0</v>
      </c>
      <c r="T277" s="6">
        <f ca="1">Main[[#This Row],[بدهی سررسید شده (کیلوگرم)]]*Main[[#This Row],[روز از ارسال سفارش]]</f>
        <v>0</v>
      </c>
      <c r="U277" s="6">
        <f>-SUBTOTAL(9,INDEX(Main[مقدار (کیلوگرم)],1):Main[[#This Row],[مقدار (کیلوگرم)]])</f>
        <v>44354</v>
      </c>
      <c r="V2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7" s="6">
        <f>Main[[#This Row],[تعداد کل روزهای بدهکار (روز)]]*Main[[#This Row],[مانده در خط کل (کیلوگرم)]]</f>
        <v>44354</v>
      </c>
      <c r="X277" s="6">
        <f ca="1">-SUBTOTAL(9,INDEX(Main[مقدار تسویه شده (کیلوگرم)],1):Main[[#This Row],[مقدار تسویه شده (کیلوگرم)]])</f>
        <v>44354</v>
      </c>
      <c r="Y277" s="6">
        <f ca="1">IF(Main[[#This Row],[مانده در خط تسویه شده (کیلوگرم)]]&lt;&gt;0,Main[[#This Row],[تعداد کل روزهای بدهکار (روز)]],0)</f>
        <v>1</v>
      </c>
      <c r="Z277" s="6">
        <f ca="1">Main[[#This Row],[تعداد روزهای بدهکار تسویه شده (روز)]]*Main[[#This Row],[مانده در خط تسویه شده (کیلوگرم)]]</f>
        <v>44354</v>
      </c>
      <c r="AA277" s="6">
        <f ca="1">SUBTOTAL(9,INDEX(Main[بدهی تسویه نشده (کیلوگرم)],1):Main[[#This Row],[بدهی تسویه نشده (کیلوگرم)]])</f>
        <v>0</v>
      </c>
      <c r="AB277" s="6">
        <f ca="1">IF(Main[[#This Row],[مانده در خط تسویه نشده (کیلوگرم)]]&lt;&gt;0,Main[[#This Row],[تعداد کل روزهای بدهکار (روز)]],0)</f>
        <v>0</v>
      </c>
      <c r="AC277" s="6">
        <f ca="1">Main[[#This Row],[تعداد روزهای بدهکار  تسویه نشده (روز)]]*Main[[#This Row],[مانده در خط تسویه نشده (کیلوگرم)]]</f>
        <v>0</v>
      </c>
      <c r="AD277" s="6">
        <f ca="1">SUBTOTAL(9,INDEX(Main[بدهی سررسید شده (کیلوگرم)],1):Main[[#This Row],[بدهی سررسید شده (کیلوگرم)]])</f>
        <v>0</v>
      </c>
      <c r="AE277" s="6">
        <f ca="1">IF(Main[[#This Row],[مانده در خط سررسید شده (کیلوگرم)]]&lt;&gt;0,Main[[#This Row],[تعداد کل روزهای بدهکار (روز)]],0)</f>
        <v>0</v>
      </c>
      <c r="AF277" s="6">
        <f ca="1">Main[[#This Row],[تعداد روزهای بدهکار سررسید شده (روز)]]*Main[[#This Row],[مانده در خط سررسید شده (کیلوگرم)]]</f>
        <v>0</v>
      </c>
    </row>
    <row r="278" spans="1:32" hidden="1" x14ac:dyDescent="0.35">
      <c r="A278" s="5">
        <f>ROW()-ROW(INDEX(Main[ردیف],1))+1</f>
        <v>276</v>
      </c>
      <c r="B278" s="31">
        <f>SUBTOTAL(2,INDEX(Main[ردیف],1):Main[[#This Row],[ردیف]])</f>
        <v>27</v>
      </c>
      <c r="C278" s="32" t="s">
        <v>532</v>
      </c>
      <c r="D278" s="32" t="str">
        <f>_xlfn.CONCAT("14",Main[[#This Row],[تاريخ]])</f>
        <v>1400/02/07</v>
      </c>
      <c r="E278" s="33">
        <v>44313</v>
      </c>
      <c r="F278" s="32">
        <v>10119</v>
      </c>
      <c r="G278" s="5" t="str">
        <f>INDEX(customer[عنوان],MATCH(Main[[#This Row],[کد ردیابی]],customer[کد],0))</f>
        <v>سیف الله اکبری</v>
      </c>
      <c r="H278">
        <v>240</v>
      </c>
      <c r="I278" s="6">
        <f ca="1">-Main[[#This Row],[بدهی تسویه شده (کیلوگرم)]]+Main[[#This Row],[بستانکار (کیلوگرم)]]</f>
        <v>240</v>
      </c>
      <c r="J278" s="6">
        <f>IF(Main[[#This Row],[مقدار (کیلوگرم)]]&gt;0,Main[[#This Row],[مقدار (کیلوگرم)]],0)</f>
        <v>240</v>
      </c>
      <c r="K278" s="6">
        <f>-IF(Main[[#This Row],[مقدار (کیلوگرم)]]&lt;0,Main[[#This Row],[مقدار (کیلوگرم)]],0)</f>
        <v>0</v>
      </c>
      <c r="L2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8" s="7">
        <f>-IF(AND(Main[[#This Row],[مقدار (کیلوگرم)]]&lt;0,Main[[#This Row],[تاريخ میلادی]]&gt;44276),Main[[#This Row],[مقدار (کیلوگرم)]],0)</f>
        <v>0</v>
      </c>
      <c r="N278" s="6">
        <f ca="1">Main[[#This Row],[بدهکار (کیلوگرم)]]-Main[[#This Row],[بدهی تسویه نشده (کیلوگرم)]]</f>
        <v>0</v>
      </c>
      <c r="O278" s="6">
        <f ca="1">Main[[#This Row],[تفکیک]]</f>
        <v>0</v>
      </c>
      <c r="P278" s="6">
        <f ca="1">IF(Main[[#This Row],[تاخیر از سررسید]]&gt;0,Main[[#This Row],[بدهی تسویه نشده (کیلوگرم)]],0)</f>
        <v>0</v>
      </c>
      <c r="Q278" s="6">
        <f ca="1">IF(Main[[#This Row],[بدهی تسویه نشده (کیلوگرم)]]&gt;0,'گزارش فردی'!$B$7-Main[[#This Row],[تاريخ میلادی]],0)</f>
        <v>0</v>
      </c>
      <c r="R278" s="6">
        <f ca="1">IF(Main[[#This Row],[بدهی تسویه نشده (کیلوگرم)]]&gt;0,'گزارش فردی'!$B$7-Main[[#This Row],[تاريخ میلادی]]-'گزارش فردی'!$B$8,0)</f>
        <v>0</v>
      </c>
      <c r="S278" s="6">
        <f ca="1">Main[[#This Row],[روز از ارسال سفارش]]*Main[[#This Row],[بدهی تسویه نشده (کیلوگرم)]]</f>
        <v>0</v>
      </c>
      <c r="T278" s="6">
        <f ca="1">Main[[#This Row],[بدهی سررسید شده (کیلوگرم)]]*Main[[#This Row],[روز از ارسال سفارش]]</f>
        <v>0</v>
      </c>
      <c r="U278" s="6">
        <f>-SUBTOTAL(9,INDEX(Main[مقدار (کیلوگرم)],1):Main[[#This Row],[مقدار (کیلوگرم)]])</f>
        <v>44354</v>
      </c>
      <c r="V2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8" s="6">
        <f>Main[[#This Row],[تعداد کل روزهای بدهکار (روز)]]*Main[[#This Row],[مانده در خط کل (کیلوگرم)]]</f>
        <v>44354</v>
      </c>
      <c r="X278" s="6">
        <f ca="1">-SUBTOTAL(9,INDEX(Main[مقدار تسویه شده (کیلوگرم)],1):Main[[#This Row],[مقدار تسویه شده (کیلوگرم)]])</f>
        <v>44354</v>
      </c>
      <c r="Y278" s="6">
        <f ca="1">IF(Main[[#This Row],[مانده در خط تسویه شده (کیلوگرم)]]&lt;&gt;0,Main[[#This Row],[تعداد کل روزهای بدهکار (روز)]],0)</f>
        <v>1</v>
      </c>
      <c r="Z278" s="6">
        <f ca="1">Main[[#This Row],[تعداد روزهای بدهکار تسویه شده (روز)]]*Main[[#This Row],[مانده در خط تسویه شده (کیلوگرم)]]</f>
        <v>44354</v>
      </c>
      <c r="AA278" s="6">
        <f ca="1">SUBTOTAL(9,INDEX(Main[بدهی تسویه نشده (کیلوگرم)],1):Main[[#This Row],[بدهی تسویه نشده (کیلوگرم)]])</f>
        <v>0</v>
      </c>
      <c r="AB278" s="6">
        <f ca="1">IF(Main[[#This Row],[مانده در خط تسویه نشده (کیلوگرم)]]&lt;&gt;0,Main[[#This Row],[تعداد کل روزهای بدهکار (روز)]],0)</f>
        <v>0</v>
      </c>
      <c r="AC278" s="6">
        <f ca="1">Main[[#This Row],[تعداد روزهای بدهکار  تسویه نشده (روز)]]*Main[[#This Row],[مانده در خط تسویه نشده (کیلوگرم)]]</f>
        <v>0</v>
      </c>
      <c r="AD278" s="6">
        <f ca="1">SUBTOTAL(9,INDEX(Main[بدهی سررسید شده (کیلوگرم)],1):Main[[#This Row],[بدهی سررسید شده (کیلوگرم)]])</f>
        <v>0</v>
      </c>
      <c r="AE278" s="6">
        <f ca="1">IF(Main[[#This Row],[مانده در خط سررسید شده (کیلوگرم)]]&lt;&gt;0,Main[[#This Row],[تعداد کل روزهای بدهکار (روز)]],0)</f>
        <v>0</v>
      </c>
      <c r="AF278" s="6">
        <f ca="1">Main[[#This Row],[تعداد روزهای بدهکار سررسید شده (روز)]]*Main[[#This Row],[مانده در خط سررسید شده (کیلوگرم)]]</f>
        <v>0</v>
      </c>
    </row>
    <row r="279" spans="1:32" hidden="1" x14ac:dyDescent="0.35">
      <c r="A279" s="5">
        <f>ROW()-ROW(INDEX(Main[ردیف],1))+1</f>
        <v>277</v>
      </c>
      <c r="B279" s="31">
        <f>SUBTOTAL(2,INDEX(Main[ردیف],1):Main[[#This Row],[ردیف]])</f>
        <v>27</v>
      </c>
      <c r="C279" s="32" t="s">
        <v>532</v>
      </c>
      <c r="D279" s="32" t="str">
        <f>_xlfn.CONCAT("14",Main[[#This Row],[تاريخ]])</f>
        <v>1400/02/07</v>
      </c>
      <c r="E279" s="33">
        <v>44313</v>
      </c>
      <c r="F279" s="32">
        <v>30009</v>
      </c>
      <c r="G279" s="5" t="str">
        <f>INDEX(customer[عنوان],MATCH(Main[[#This Row],[کد ردیابی]],customer[کد],0))</f>
        <v>شرکت ایمن تک پیشرو</v>
      </c>
      <c r="H279">
        <v>-1044</v>
      </c>
      <c r="I279" s="6">
        <f ca="1">-Main[[#This Row],[بدهی تسویه شده (کیلوگرم)]]+Main[[#This Row],[بستانکار (کیلوگرم)]]</f>
        <v>-1044</v>
      </c>
      <c r="J279" s="6">
        <f>IF(Main[[#This Row],[مقدار (کیلوگرم)]]&gt;0,Main[[#This Row],[مقدار (کیلوگرم)]],0)</f>
        <v>0</v>
      </c>
      <c r="K279" s="6">
        <f>-IF(Main[[#This Row],[مقدار (کیلوگرم)]]&lt;0,Main[[#This Row],[مقدار (کیلوگرم)]],0)</f>
        <v>1044</v>
      </c>
      <c r="L2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9" s="7">
        <f>-IF(AND(Main[[#This Row],[مقدار (کیلوگرم)]]&lt;0,Main[[#This Row],[تاريخ میلادی]]&gt;44276),Main[[#This Row],[مقدار (کیلوگرم)]],0)</f>
        <v>1044</v>
      </c>
      <c r="N279" s="6">
        <f ca="1">Main[[#This Row],[بدهکار (کیلوگرم)]]-Main[[#This Row],[بدهی تسویه نشده (کیلوگرم)]]</f>
        <v>1044</v>
      </c>
      <c r="O279" s="6">
        <f ca="1">Main[[#This Row],[تفکیک]]</f>
        <v>0</v>
      </c>
      <c r="P279" s="6">
        <f ca="1">IF(Main[[#This Row],[تاخیر از سررسید]]&gt;0,Main[[#This Row],[بدهی تسویه نشده (کیلوگرم)]],0)</f>
        <v>0</v>
      </c>
      <c r="Q279" s="6">
        <f ca="1">IF(Main[[#This Row],[بدهی تسویه نشده (کیلوگرم)]]&gt;0,'گزارش فردی'!$B$7-Main[[#This Row],[تاريخ میلادی]],0)</f>
        <v>0</v>
      </c>
      <c r="R279" s="6">
        <f ca="1">IF(Main[[#This Row],[بدهی تسویه نشده (کیلوگرم)]]&gt;0,'گزارش فردی'!$B$7-Main[[#This Row],[تاريخ میلادی]]-'گزارش فردی'!$B$8,0)</f>
        <v>0</v>
      </c>
      <c r="S279" s="6">
        <f ca="1">Main[[#This Row],[روز از ارسال سفارش]]*Main[[#This Row],[بدهی تسویه نشده (کیلوگرم)]]</f>
        <v>0</v>
      </c>
      <c r="T279" s="6">
        <f ca="1">Main[[#This Row],[بدهی سررسید شده (کیلوگرم)]]*Main[[#This Row],[روز از ارسال سفارش]]</f>
        <v>0</v>
      </c>
      <c r="U279" s="6">
        <f>-SUBTOTAL(9,INDEX(Main[مقدار (کیلوگرم)],1):Main[[#This Row],[مقدار (کیلوگرم)]])</f>
        <v>44354</v>
      </c>
      <c r="V2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9" s="6">
        <f>Main[[#This Row],[تعداد کل روزهای بدهکار (روز)]]*Main[[#This Row],[مانده در خط کل (کیلوگرم)]]</f>
        <v>44354</v>
      </c>
      <c r="X279" s="6">
        <f ca="1">-SUBTOTAL(9,INDEX(Main[مقدار تسویه شده (کیلوگرم)],1):Main[[#This Row],[مقدار تسویه شده (کیلوگرم)]])</f>
        <v>44354</v>
      </c>
      <c r="Y279" s="6">
        <f ca="1">IF(Main[[#This Row],[مانده در خط تسویه شده (کیلوگرم)]]&lt;&gt;0,Main[[#This Row],[تعداد کل روزهای بدهکار (روز)]],0)</f>
        <v>1</v>
      </c>
      <c r="Z279" s="6">
        <f ca="1">Main[[#This Row],[تعداد روزهای بدهکار تسویه شده (روز)]]*Main[[#This Row],[مانده در خط تسویه شده (کیلوگرم)]]</f>
        <v>44354</v>
      </c>
      <c r="AA279" s="6">
        <f ca="1">SUBTOTAL(9,INDEX(Main[بدهی تسویه نشده (کیلوگرم)],1):Main[[#This Row],[بدهی تسویه نشده (کیلوگرم)]])</f>
        <v>0</v>
      </c>
      <c r="AB279" s="6">
        <f ca="1">IF(Main[[#This Row],[مانده در خط تسویه نشده (کیلوگرم)]]&lt;&gt;0,Main[[#This Row],[تعداد کل روزهای بدهکار (روز)]],0)</f>
        <v>0</v>
      </c>
      <c r="AC279" s="6">
        <f ca="1">Main[[#This Row],[تعداد روزهای بدهکار  تسویه نشده (روز)]]*Main[[#This Row],[مانده در خط تسویه نشده (کیلوگرم)]]</f>
        <v>0</v>
      </c>
      <c r="AD279" s="6">
        <f ca="1">SUBTOTAL(9,INDEX(Main[بدهی سررسید شده (کیلوگرم)],1):Main[[#This Row],[بدهی سررسید شده (کیلوگرم)]])</f>
        <v>0</v>
      </c>
      <c r="AE279" s="6">
        <f ca="1">IF(Main[[#This Row],[مانده در خط سررسید شده (کیلوگرم)]]&lt;&gt;0,Main[[#This Row],[تعداد کل روزهای بدهکار (روز)]],0)</f>
        <v>0</v>
      </c>
      <c r="AF279" s="6">
        <f ca="1">Main[[#This Row],[تعداد روزهای بدهکار سررسید شده (روز)]]*Main[[#This Row],[مانده در خط سررسید شده (کیلوگرم)]]</f>
        <v>0</v>
      </c>
    </row>
    <row r="280" spans="1:32" hidden="1" x14ac:dyDescent="0.35">
      <c r="A280" s="5">
        <f>ROW()-ROW(INDEX(Main[ردیف],1))+1</f>
        <v>278</v>
      </c>
      <c r="B280" s="31">
        <f>SUBTOTAL(2,INDEX(Main[ردیف],1):Main[[#This Row],[ردیف]])</f>
        <v>27</v>
      </c>
      <c r="C280" s="32" t="s">
        <v>532</v>
      </c>
      <c r="D280" s="32" t="str">
        <f>_xlfn.CONCAT("14",Main[[#This Row],[تاريخ]])</f>
        <v>1400/02/07</v>
      </c>
      <c r="E280" s="33">
        <v>44313</v>
      </c>
      <c r="F280" s="32">
        <v>10119</v>
      </c>
      <c r="G280" s="5" t="str">
        <f>INDEX(customer[عنوان],MATCH(Main[[#This Row],[کد ردیابی]],customer[کد],0))</f>
        <v>سیف الله اکبری</v>
      </c>
      <c r="H280">
        <v>178</v>
      </c>
      <c r="I280" s="6">
        <f ca="1">-Main[[#This Row],[بدهی تسویه شده (کیلوگرم)]]+Main[[#This Row],[بستانکار (کیلوگرم)]]</f>
        <v>178</v>
      </c>
      <c r="J280" s="6">
        <f>IF(Main[[#This Row],[مقدار (کیلوگرم)]]&gt;0,Main[[#This Row],[مقدار (کیلوگرم)]],0)</f>
        <v>178</v>
      </c>
      <c r="K280" s="6">
        <f>-IF(Main[[#This Row],[مقدار (کیلوگرم)]]&lt;0,Main[[#This Row],[مقدار (کیلوگرم)]],0)</f>
        <v>0</v>
      </c>
      <c r="L2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0" s="7">
        <f>-IF(AND(Main[[#This Row],[مقدار (کیلوگرم)]]&lt;0,Main[[#This Row],[تاريخ میلادی]]&gt;44276),Main[[#This Row],[مقدار (کیلوگرم)]],0)</f>
        <v>0</v>
      </c>
      <c r="N280" s="6">
        <f ca="1">Main[[#This Row],[بدهکار (کیلوگرم)]]-Main[[#This Row],[بدهی تسویه نشده (کیلوگرم)]]</f>
        <v>0</v>
      </c>
      <c r="O280" s="6">
        <f ca="1">Main[[#This Row],[تفکیک]]</f>
        <v>0</v>
      </c>
      <c r="P280" s="6">
        <f ca="1">IF(Main[[#This Row],[تاخیر از سررسید]]&gt;0,Main[[#This Row],[بدهی تسویه نشده (کیلوگرم)]],0)</f>
        <v>0</v>
      </c>
      <c r="Q280" s="6">
        <f ca="1">IF(Main[[#This Row],[بدهی تسویه نشده (کیلوگرم)]]&gt;0,'گزارش فردی'!$B$7-Main[[#This Row],[تاريخ میلادی]],0)</f>
        <v>0</v>
      </c>
      <c r="R280" s="6">
        <f ca="1">IF(Main[[#This Row],[بدهی تسویه نشده (کیلوگرم)]]&gt;0,'گزارش فردی'!$B$7-Main[[#This Row],[تاريخ میلادی]]-'گزارش فردی'!$B$8,0)</f>
        <v>0</v>
      </c>
      <c r="S280" s="6">
        <f ca="1">Main[[#This Row],[روز از ارسال سفارش]]*Main[[#This Row],[بدهی تسویه نشده (کیلوگرم)]]</f>
        <v>0</v>
      </c>
      <c r="T280" s="6">
        <f ca="1">Main[[#This Row],[بدهی سررسید شده (کیلوگرم)]]*Main[[#This Row],[روز از ارسال سفارش]]</f>
        <v>0</v>
      </c>
      <c r="U280" s="6">
        <f>-SUBTOTAL(9,INDEX(Main[مقدار (کیلوگرم)],1):Main[[#This Row],[مقدار (کیلوگرم)]])</f>
        <v>44354</v>
      </c>
      <c r="V2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80" s="6">
        <f>Main[[#This Row],[تعداد کل روزهای بدهکار (روز)]]*Main[[#This Row],[مانده در خط کل (کیلوگرم)]]</f>
        <v>44354</v>
      </c>
      <c r="X280" s="6">
        <f ca="1">-SUBTOTAL(9,INDEX(Main[مقدار تسویه شده (کیلوگرم)],1):Main[[#This Row],[مقدار تسویه شده (کیلوگرم)]])</f>
        <v>44354</v>
      </c>
      <c r="Y280" s="6">
        <f ca="1">IF(Main[[#This Row],[مانده در خط تسویه شده (کیلوگرم)]]&lt;&gt;0,Main[[#This Row],[تعداد کل روزهای بدهکار (روز)]],0)</f>
        <v>1</v>
      </c>
      <c r="Z280" s="6">
        <f ca="1">Main[[#This Row],[تعداد روزهای بدهکار تسویه شده (روز)]]*Main[[#This Row],[مانده در خط تسویه شده (کیلوگرم)]]</f>
        <v>44354</v>
      </c>
      <c r="AA280" s="6">
        <f ca="1">SUBTOTAL(9,INDEX(Main[بدهی تسویه نشده (کیلوگرم)],1):Main[[#This Row],[بدهی تسویه نشده (کیلوگرم)]])</f>
        <v>0</v>
      </c>
      <c r="AB280" s="6">
        <f ca="1">IF(Main[[#This Row],[مانده در خط تسویه نشده (کیلوگرم)]]&lt;&gt;0,Main[[#This Row],[تعداد کل روزهای بدهکار (روز)]],0)</f>
        <v>0</v>
      </c>
      <c r="AC280" s="6">
        <f ca="1">Main[[#This Row],[تعداد روزهای بدهکار  تسویه نشده (روز)]]*Main[[#This Row],[مانده در خط تسویه نشده (کیلوگرم)]]</f>
        <v>0</v>
      </c>
      <c r="AD280" s="6">
        <f ca="1">SUBTOTAL(9,INDEX(Main[بدهی سررسید شده (کیلوگرم)],1):Main[[#This Row],[بدهی سررسید شده (کیلوگرم)]])</f>
        <v>0</v>
      </c>
      <c r="AE280" s="6">
        <f ca="1">IF(Main[[#This Row],[مانده در خط سررسید شده (کیلوگرم)]]&lt;&gt;0,Main[[#This Row],[تعداد کل روزهای بدهکار (روز)]],0)</f>
        <v>0</v>
      </c>
      <c r="AF280" s="6">
        <f ca="1">Main[[#This Row],[تعداد روزهای بدهکار سررسید شده (روز)]]*Main[[#This Row],[مانده در خط سررسید شده (کیلوگرم)]]</f>
        <v>0</v>
      </c>
    </row>
    <row r="281" spans="1:32" hidden="1" x14ac:dyDescent="0.35">
      <c r="A281" s="5">
        <f>ROW()-ROW(INDEX(Main[ردیف],1))+1</f>
        <v>279</v>
      </c>
      <c r="B281" s="31">
        <f>SUBTOTAL(2,INDEX(Main[ردیف],1):Main[[#This Row],[ردیف]])</f>
        <v>27</v>
      </c>
      <c r="C281" s="32" t="s">
        <v>533</v>
      </c>
      <c r="D281" s="32" t="str">
        <f>_xlfn.CONCAT("14",Main[[#This Row],[تاريخ]])</f>
        <v>1400/02/08</v>
      </c>
      <c r="E281" s="33">
        <v>44314</v>
      </c>
      <c r="F281" s="32">
        <v>30004</v>
      </c>
      <c r="G281" s="5" t="str">
        <f>INDEX(customer[عنوان],MATCH(Main[[#This Row],[کد ردیابی]],customer[کد],0))</f>
        <v>تولیدی صنعتی صفاشیر پارس</v>
      </c>
      <c r="H281">
        <v>-5108</v>
      </c>
      <c r="I281" s="6">
        <f ca="1">-Main[[#This Row],[بدهی تسویه شده (کیلوگرم)]]+Main[[#This Row],[بستانکار (کیلوگرم)]]</f>
        <v>-5108</v>
      </c>
      <c r="J281" s="6">
        <f>IF(Main[[#This Row],[مقدار (کیلوگرم)]]&gt;0,Main[[#This Row],[مقدار (کیلوگرم)]],0)</f>
        <v>0</v>
      </c>
      <c r="K281" s="6">
        <f>-IF(Main[[#This Row],[مقدار (کیلوگرم)]]&lt;0,Main[[#This Row],[مقدار (کیلوگرم)]],0)</f>
        <v>5108</v>
      </c>
      <c r="L2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1" s="7">
        <f>-IF(AND(Main[[#This Row],[مقدار (کیلوگرم)]]&lt;0,Main[[#This Row],[تاريخ میلادی]]&gt;44276),Main[[#This Row],[مقدار (کیلوگرم)]],0)</f>
        <v>5108</v>
      </c>
      <c r="N281" s="6">
        <f ca="1">Main[[#This Row],[بدهکار (کیلوگرم)]]-Main[[#This Row],[بدهی تسویه نشده (کیلوگرم)]]</f>
        <v>5108</v>
      </c>
      <c r="O281" s="6">
        <f ca="1">Main[[#This Row],[تفکیک]]</f>
        <v>0</v>
      </c>
      <c r="P281" s="6">
        <f ca="1">IF(Main[[#This Row],[تاخیر از سررسید]]&gt;0,Main[[#This Row],[بدهی تسویه نشده (کیلوگرم)]],0)</f>
        <v>0</v>
      </c>
      <c r="Q281" s="6">
        <f ca="1">IF(Main[[#This Row],[بدهی تسویه نشده (کیلوگرم)]]&gt;0,'گزارش فردی'!$B$7-Main[[#This Row],[تاريخ میلادی]],0)</f>
        <v>0</v>
      </c>
      <c r="R281" s="6">
        <f ca="1">IF(Main[[#This Row],[بدهی تسویه نشده (کیلوگرم)]]&gt;0,'گزارش فردی'!$B$7-Main[[#This Row],[تاريخ میلادی]]-'گزارش فردی'!$B$8,0)</f>
        <v>0</v>
      </c>
      <c r="S281" s="6">
        <f ca="1">Main[[#This Row],[روز از ارسال سفارش]]*Main[[#This Row],[بدهی تسویه نشده (کیلوگرم)]]</f>
        <v>0</v>
      </c>
      <c r="T281" s="6">
        <f ca="1">Main[[#This Row],[بدهی سررسید شده (کیلوگرم)]]*Main[[#This Row],[روز از ارسال سفارش]]</f>
        <v>0</v>
      </c>
      <c r="U281" s="6">
        <f>-SUBTOTAL(9,INDEX(Main[مقدار (کیلوگرم)],1):Main[[#This Row],[مقدار (کیلوگرم)]])</f>
        <v>44354</v>
      </c>
      <c r="V2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1" s="6">
        <f>Main[[#This Row],[تعداد کل روزهای بدهکار (روز)]]*Main[[#This Row],[مانده در خط کل (کیلوگرم)]]</f>
        <v>0</v>
      </c>
      <c r="X281" s="6">
        <f ca="1">-SUBTOTAL(9,INDEX(Main[مقدار تسویه شده (کیلوگرم)],1):Main[[#This Row],[مقدار تسویه شده (کیلوگرم)]])</f>
        <v>44354</v>
      </c>
      <c r="Y281" s="6">
        <f ca="1">IF(Main[[#This Row],[مانده در خط تسویه شده (کیلوگرم)]]&lt;&gt;0,Main[[#This Row],[تعداد کل روزهای بدهکار (روز)]],0)</f>
        <v>0</v>
      </c>
      <c r="Z281" s="6">
        <f ca="1">Main[[#This Row],[تعداد روزهای بدهکار تسویه شده (روز)]]*Main[[#This Row],[مانده در خط تسویه شده (کیلوگرم)]]</f>
        <v>0</v>
      </c>
      <c r="AA281" s="6">
        <f ca="1">SUBTOTAL(9,INDEX(Main[بدهی تسویه نشده (کیلوگرم)],1):Main[[#This Row],[بدهی تسویه نشده (کیلوگرم)]])</f>
        <v>0</v>
      </c>
      <c r="AB281" s="6">
        <f ca="1">IF(Main[[#This Row],[مانده در خط تسویه نشده (کیلوگرم)]]&lt;&gt;0,Main[[#This Row],[تعداد کل روزهای بدهکار (روز)]],0)</f>
        <v>0</v>
      </c>
      <c r="AC281" s="6">
        <f ca="1">Main[[#This Row],[تعداد روزهای بدهکار  تسویه نشده (روز)]]*Main[[#This Row],[مانده در خط تسویه نشده (کیلوگرم)]]</f>
        <v>0</v>
      </c>
      <c r="AD281" s="6">
        <f ca="1">SUBTOTAL(9,INDEX(Main[بدهی سررسید شده (کیلوگرم)],1):Main[[#This Row],[بدهی سررسید شده (کیلوگرم)]])</f>
        <v>0</v>
      </c>
      <c r="AE281" s="6">
        <f ca="1">IF(Main[[#This Row],[مانده در خط سررسید شده (کیلوگرم)]]&lt;&gt;0,Main[[#This Row],[تعداد کل روزهای بدهکار (روز)]],0)</f>
        <v>0</v>
      </c>
      <c r="AF281" s="6">
        <f ca="1">Main[[#This Row],[تعداد روزهای بدهکار سررسید شده (روز)]]*Main[[#This Row],[مانده در خط سررسید شده (کیلوگرم)]]</f>
        <v>0</v>
      </c>
    </row>
    <row r="282" spans="1:32" hidden="1" x14ac:dyDescent="0.35">
      <c r="A282" s="5">
        <f>ROW()-ROW(INDEX(Main[ردیف],1))+1</f>
        <v>280</v>
      </c>
      <c r="B282" s="31">
        <f>SUBTOTAL(2,INDEX(Main[ردیف],1):Main[[#This Row],[ردیف]])</f>
        <v>27</v>
      </c>
      <c r="C282" s="32" t="s">
        <v>533</v>
      </c>
      <c r="D282" s="32" t="str">
        <f>_xlfn.CONCAT("14",Main[[#This Row],[تاريخ]])</f>
        <v>1400/02/08</v>
      </c>
      <c r="E282" s="33">
        <v>44314</v>
      </c>
      <c r="F282" s="32">
        <v>30009</v>
      </c>
      <c r="G282" s="5" t="str">
        <f>INDEX(customer[عنوان],MATCH(Main[[#This Row],[کد ردیابی]],customer[کد],0))</f>
        <v>شرکت ایمن تک پیشرو</v>
      </c>
      <c r="H282">
        <v>1949</v>
      </c>
      <c r="I282" s="6">
        <f ca="1">-Main[[#This Row],[بدهی تسویه شده (کیلوگرم)]]+Main[[#This Row],[بستانکار (کیلوگرم)]]</f>
        <v>1949</v>
      </c>
      <c r="J282" s="6">
        <f>IF(Main[[#This Row],[مقدار (کیلوگرم)]]&gt;0,Main[[#This Row],[مقدار (کیلوگرم)]],0)</f>
        <v>1949</v>
      </c>
      <c r="K282" s="6">
        <f>-IF(Main[[#This Row],[مقدار (کیلوگرم)]]&lt;0,Main[[#This Row],[مقدار (کیلوگرم)]],0)</f>
        <v>0</v>
      </c>
      <c r="L2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2" s="7">
        <f>-IF(AND(Main[[#This Row],[مقدار (کیلوگرم)]]&lt;0,Main[[#This Row],[تاريخ میلادی]]&gt;44276),Main[[#This Row],[مقدار (کیلوگرم)]],0)</f>
        <v>0</v>
      </c>
      <c r="N282" s="6">
        <f ca="1">Main[[#This Row],[بدهکار (کیلوگرم)]]-Main[[#This Row],[بدهی تسویه نشده (کیلوگرم)]]</f>
        <v>0</v>
      </c>
      <c r="O282" s="6">
        <f ca="1">Main[[#This Row],[تفکیک]]</f>
        <v>0</v>
      </c>
      <c r="P282" s="6">
        <f ca="1">IF(Main[[#This Row],[تاخیر از سررسید]]&gt;0,Main[[#This Row],[بدهی تسویه نشده (کیلوگرم)]],0)</f>
        <v>0</v>
      </c>
      <c r="Q282" s="6">
        <f ca="1">IF(Main[[#This Row],[بدهی تسویه نشده (کیلوگرم)]]&gt;0,'گزارش فردی'!$B$7-Main[[#This Row],[تاريخ میلادی]],0)</f>
        <v>0</v>
      </c>
      <c r="R282" s="6">
        <f ca="1">IF(Main[[#This Row],[بدهی تسویه نشده (کیلوگرم)]]&gt;0,'گزارش فردی'!$B$7-Main[[#This Row],[تاريخ میلادی]]-'گزارش فردی'!$B$8,0)</f>
        <v>0</v>
      </c>
      <c r="S282" s="6">
        <f ca="1">Main[[#This Row],[روز از ارسال سفارش]]*Main[[#This Row],[بدهی تسویه نشده (کیلوگرم)]]</f>
        <v>0</v>
      </c>
      <c r="T282" s="6">
        <f ca="1">Main[[#This Row],[بدهی سررسید شده (کیلوگرم)]]*Main[[#This Row],[روز از ارسال سفارش]]</f>
        <v>0</v>
      </c>
      <c r="U282" s="6">
        <f>-SUBTOTAL(9,INDEX(Main[مقدار (کیلوگرم)],1):Main[[#This Row],[مقدار (کیلوگرم)]])</f>
        <v>44354</v>
      </c>
      <c r="V2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2" s="6">
        <f>Main[[#This Row],[تعداد کل روزهای بدهکار (روز)]]*Main[[#This Row],[مانده در خط کل (کیلوگرم)]]</f>
        <v>0</v>
      </c>
      <c r="X282" s="6">
        <f ca="1">-SUBTOTAL(9,INDEX(Main[مقدار تسویه شده (کیلوگرم)],1):Main[[#This Row],[مقدار تسویه شده (کیلوگرم)]])</f>
        <v>44354</v>
      </c>
      <c r="Y282" s="6">
        <f ca="1">IF(Main[[#This Row],[مانده در خط تسویه شده (کیلوگرم)]]&lt;&gt;0,Main[[#This Row],[تعداد کل روزهای بدهکار (روز)]],0)</f>
        <v>0</v>
      </c>
      <c r="Z282" s="6">
        <f ca="1">Main[[#This Row],[تعداد روزهای بدهکار تسویه شده (روز)]]*Main[[#This Row],[مانده در خط تسویه شده (کیلوگرم)]]</f>
        <v>0</v>
      </c>
      <c r="AA282" s="6">
        <f ca="1">SUBTOTAL(9,INDEX(Main[بدهی تسویه نشده (کیلوگرم)],1):Main[[#This Row],[بدهی تسویه نشده (کیلوگرم)]])</f>
        <v>0</v>
      </c>
      <c r="AB282" s="6">
        <f ca="1">IF(Main[[#This Row],[مانده در خط تسویه نشده (کیلوگرم)]]&lt;&gt;0,Main[[#This Row],[تعداد کل روزهای بدهکار (روز)]],0)</f>
        <v>0</v>
      </c>
      <c r="AC282" s="6">
        <f ca="1">Main[[#This Row],[تعداد روزهای بدهکار  تسویه نشده (روز)]]*Main[[#This Row],[مانده در خط تسویه نشده (کیلوگرم)]]</f>
        <v>0</v>
      </c>
      <c r="AD282" s="6">
        <f ca="1">SUBTOTAL(9,INDEX(Main[بدهی سررسید شده (کیلوگرم)],1):Main[[#This Row],[بدهی سررسید شده (کیلوگرم)]])</f>
        <v>0</v>
      </c>
      <c r="AE282" s="6">
        <f ca="1">IF(Main[[#This Row],[مانده در خط سررسید شده (کیلوگرم)]]&lt;&gt;0,Main[[#This Row],[تعداد کل روزهای بدهکار (روز)]],0)</f>
        <v>0</v>
      </c>
      <c r="AF282" s="6">
        <f ca="1">Main[[#This Row],[تعداد روزهای بدهکار سررسید شده (روز)]]*Main[[#This Row],[مانده در خط سررسید شده (کیلوگرم)]]</f>
        <v>0</v>
      </c>
    </row>
    <row r="283" spans="1:32" hidden="1" x14ac:dyDescent="0.35">
      <c r="A283" s="5">
        <f>ROW()-ROW(INDEX(Main[ردیف],1))+1</f>
        <v>281</v>
      </c>
      <c r="B283" s="31">
        <f>SUBTOTAL(2,INDEX(Main[ردیف],1):Main[[#This Row],[ردیف]])</f>
        <v>27</v>
      </c>
      <c r="C283" s="32" t="s">
        <v>533</v>
      </c>
      <c r="D283" s="32" t="str">
        <f>_xlfn.CONCAT("14",Main[[#This Row],[تاريخ]])</f>
        <v>1400/02/08</v>
      </c>
      <c r="E283" s="33">
        <v>44314</v>
      </c>
      <c r="F283" s="32">
        <v>30003</v>
      </c>
      <c r="G283" s="5" t="str">
        <f>INDEX(customer[عنوان],MATCH(Main[[#This Row],[کد ردیابی]],customer[کد],0))</f>
        <v xml:space="preserve">شهاب گاز سوز </v>
      </c>
      <c r="H283">
        <v>-1528</v>
      </c>
      <c r="I283" s="6">
        <f ca="1">-Main[[#This Row],[بدهی تسویه شده (کیلوگرم)]]+Main[[#This Row],[بستانکار (کیلوگرم)]]</f>
        <v>-1528</v>
      </c>
      <c r="J283" s="6">
        <f>IF(Main[[#This Row],[مقدار (کیلوگرم)]]&gt;0,Main[[#This Row],[مقدار (کیلوگرم)]],0)</f>
        <v>0</v>
      </c>
      <c r="K283" s="6">
        <f>-IF(Main[[#This Row],[مقدار (کیلوگرم)]]&lt;0,Main[[#This Row],[مقدار (کیلوگرم)]],0)</f>
        <v>1528</v>
      </c>
      <c r="L2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3" s="7">
        <f>-IF(AND(Main[[#This Row],[مقدار (کیلوگرم)]]&lt;0,Main[[#This Row],[تاريخ میلادی]]&gt;44276),Main[[#This Row],[مقدار (کیلوگرم)]],0)</f>
        <v>1528</v>
      </c>
      <c r="N283" s="6">
        <f ca="1">Main[[#This Row],[بدهکار (کیلوگرم)]]-Main[[#This Row],[بدهی تسویه نشده (کیلوگرم)]]</f>
        <v>1528</v>
      </c>
      <c r="O283" s="6">
        <f ca="1">Main[[#This Row],[تفکیک]]</f>
        <v>0</v>
      </c>
      <c r="P283" s="6">
        <f ca="1">IF(Main[[#This Row],[تاخیر از سررسید]]&gt;0,Main[[#This Row],[بدهی تسویه نشده (کیلوگرم)]],0)</f>
        <v>0</v>
      </c>
      <c r="Q283" s="6">
        <f ca="1">IF(Main[[#This Row],[بدهی تسویه نشده (کیلوگرم)]]&gt;0,'گزارش فردی'!$B$7-Main[[#This Row],[تاريخ میلادی]],0)</f>
        <v>0</v>
      </c>
      <c r="R283" s="6">
        <f ca="1">IF(Main[[#This Row],[بدهی تسویه نشده (کیلوگرم)]]&gt;0,'گزارش فردی'!$B$7-Main[[#This Row],[تاريخ میلادی]]-'گزارش فردی'!$B$8,0)</f>
        <v>0</v>
      </c>
      <c r="S283" s="6">
        <f ca="1">Main[[#This Row],[روز از ارسال سفارش]]*Main[[#This Row],[بدهی تسویه نشده (کیلوگرم)]]</f>
        <v>0</v>
      </c>
      <c r="T283" s="6">
        <f ca="1">Main[[#This Row],[بدهی سررسید شده (کیلوگرم)]]*Main[[#This Row],[روز از ارسال سفارش]]</f>
        <v>0</v>
      </c>
      <c r="U283" s="6">
        <f>-SUBTOTAL(9,INDEX(Main[مقدار (کیلوگرم)],1):Main[[#This Row],[مقدار (کیلوگرم)]])</f>
        <v>44354</v>
      </c>
      <c r="V2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3" s="6">
        <f>Main[[#This Row],[تعداد کل روزهای بدهکار (روز)]]*Main[[#This Row],[مانده در خط کل (کیلوگرم)]]</f>
        <v>0</v>
      </c>
      <c r="X283" s="6">
        <f ca="1">-SUBTOTAL(9,INDEX(Main[مقدار تسویه شده (کیلوگرم)],1):Main[[#This Row],[مقدار تسویه شده (کیلوگرم)]])</f>
        <v>44354</v>
      </c>
      <c r="Y283" s="6">
        <f ca="1">IF(Main[[#This Row],[مانده در خط تسویه شده (کیلوگرم)]]&lt;&gt;0,Main[[#This Row],[تعداد کل روزهای بدهکار (روز)]],0)</f>
        <v>0</v>
      </c>
      <c r="Z283" s="6">
        <f ca="1">Main[[#This Row],[تعداد روزهای بدهکار تسویه شده (روز)]]*Main[[#This Row],[مانده در خط تسویه شده (کیلوگرم)]]</f>
        <v>0</v>
      </c>
      <c r="AA283" s="6">
        <f ca="1">SUBTOTAL(9,INDEX(Main[بدهی تسویه نشده (کیلوگرم)],1):Main[[#This Row],[بدهی تسویه نشده (کیلوگرم)]])</f>
        <v>0</v>
      </c>
      <c r="AB283" s="6">
        <f ca="1">IF(Main[[#This Row],[مانده در خط تسویه نشده (کیلوگرم)]]&lt;&gt;0,Main[[#This Row],[تعداد کل روزهای بدهکار (روز)]],0)</f>
        <v>0</v>
      </c>
      <c r="AC283" s="6">
        <f ca="1">Main[[#This Row],[تعداد روزهای بدهکار  تسویه نشده (روز)]]*Main[[#This Row],[مانده در خط تسویه نشده (کیلوگرم)]]</f>
        <v>0</v>
      </c>
      <c r="AD283" s="6">
        <f ca="1">SUBTOTAL(9,INDEX(Main[بدهی سررسید شده (کیلوگرم)],1):Main[[#This Row],[بدهی سررسید شده (کیلوگرم)]])</f>
        <v>0</v>
      </c>
      <c r="AE283" s="6">
        <f ca="1">IF(Main[[#This Row],[مانده در خط سررسید شده (کیلوگرم)]]&lt;&gt;0,Main[[#This Row],[تعداد کل روزهای بدهکار (روز)]],0)</f>
        <v>0</v>
      </c>
      <c r="AF283" s="6">
        <f ca="1">Main[[#This Row],[تعداد روزهای بدهکار سررسید شده (روز)]]*Main[[#This Row],[مانده در خط سررسید شده (کیلوگرم)]]</f>
        <v>0</v>
      </c>
    </row>
    <row r="284" spans="1:32" hidden="1" x14ac:dyDescent="0.35">
      <c r="A284" s="5">
        <f>ROW()-ROW(INDEX(Main[ردیف],1))+1</f>
        <v>282</v>
      </c>
      <c r="B284" s="31">
        <f>SUBTOTAL(2,INDEX(Main[ردیف],1):Main[[#This Row],[ردیف]])</f>
        <v>27</v>
      </c>
      <c r="C284" s="32" t="s">
        <v>533</v>
      </c>
      <c r="D284" s="32" t="str">
        <f>_xlfn.CONCAT("14",Main[[#This Row],[تاريخ]])</f>
        <v>1400/02/08</v>
      </c>
      <c r="E284" s="33">
        <v>44314</v>
      </c>
      <c r="F284" s="32">
        <v>30003</v>
      </c>
      <c r="G284" s="5" t="str">
        <f>INDEX(customer[عنوان],MATCH(Main[[#This Row],[کد ردیابی]],customer[کد],0))</f>
        <v xml:space="preserve">شهاب گاز سوز </v>
      </c>
      <c r="H284">
        <v>1528</v>
      </c>
      <c r="I284" s="6">
        <f ca="1">-Main[[#This Row],[بدهی تسویه شده (کیلوگرم)]]+Main[[#This Row],[بستانکار (کیلوگرم)]]</f>
        <v>1528</v>
      </c>
      <c r="J284" s="6">
        <f>IF(Main[[#This Row],[مقدار (کیلوگرم)]]&gt;0,Main[[#This Row],[مقدار (کیلوگرم)]],0)</f>
        <v>1528</v>
      </c>
      <c r="K284" s="6">
        <f>-IF(Main[[#This Row],[مقدار (کیلوگرم)]]&lt;0,Main[[#This Row],[مقدار (کیلوگرم)]],0)</f>
        <v>0</v>
      </c>
      <c r="L2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4" s="7">
        <f>-IF(AND(Main[[#This Row],[مقدار (کیلوگرم)]]&lt;0,Main[[#This Row],[تاريخ میلادی]]&gt;44276),Main[[#This Row],[مقدار (کیلوگرم)]],0)</f>
        <v>0</v>
      </c>
      <c r="N284" s="6">
        <f ca="1">Main[[#This Row],[بدهکار (کیلوگرم)]]-Main[[#This Row],[بدهی تسویه نشده (کیلوگرم)]]</f>
        <v>0</v>
      </c>
      <c r="O284" s="6">
        <f ca="1">Main[[#This Row],[تفکیک]]</f>
        <v>0</v>
      </c>
      <c r="P284" s="6">
        <f ca="1">IF(Main[[#This Row],[تاخیر از سررسید]]&gt;0,Main[[#This Row],[بدهی تسویه نشده (کیلوگرم)]],0)</f>
        <v>0</v>
      </c>
      <c r="Q284" s="6">
        <f ca="1">IF(Main[[#This Row],[بدهی تسویه نشده (کیلوگرم)]]&gt;0,'گزارش فردی'!$B$7-Main[[#This Row],[تاريخ میلادی]],0)</f>
        <v>0</v>
      </c>
      <c r="R284" s="6">
        <f ca="1">IF(Main[[#This Row],[بدهی تسویه نشده (کیلوگرم)]]&gt;0,'گزارش فردی'!$B$7-Main[[#This Row],[تاريخ میلادی]]-'گزارش فردی'!$B$8,0)</f>
        <v>0</v>
      </c>
      <c r="S284" s="6">
        <f ca="1">Main[[#This Row],[روز از ارسال سفارش]]*Main[[#This Row],[بدهی تسویه نشده (کیلوگرم)]]</f>
        <v>0</v>
      </c>
      <c r="T284" s="6">
        <f ca="1">Main[[#This Row],[بدهی سررسید شده (کیلوگرم)]]*Main[[#This Row],[روز از ارسال سفارش]]</f>
        <v>0</v>
      </c>
      <c r="U284" s="6">
        <f>-SUBTOTAL(9,INDEX(Main[مقدار (کیلوگرم)],1):Main[[#This Row],[مقدار (کیلوگرم)]])</f>
        <v>44354</v>
      </c>
      <c r="V2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4" s="6">
        <f>Main[[#This Row],[تعداد کل روزهای بدهکار (روز)]]*Main[[#This Row],[مانده در خط کل (کیلوگرم)]]</f>
        <v>0</v>
      </c>
      <c r="X284" s="6">
        <f ca="1">-SUBTOTAL(9,INDEX(Main[مقدار تسویه شده (کیلوگرم)],1):Main[[#This Row],[مقدار تسویه شده (کیلوگرم)]])</f>
        <v>44354</v>
      </c>
      <c r="Y284" s="6">
        <f ca="1">IF(Main[[#This Row],[مانده در خط تسویه شده (کیلوگرم)]]&lt;&gt;0,Main[[#This Row],[تعداد کل روزهای بدهکار (روز)]],0)</f>
        <v>0</v>
      </c>
      <c r="Z284" s="6">
        <f ca="1">Main[[#This Row],[تعداد روزهای بدهکار تسویه شده (روز)]]*Main[[#This Row],[مانده در خط تسویه شده (کیلوگرم)]]</f>
        <v>0</v>
      </c>
      <c r="AA284" s="6">
        <f ca="1">SUBTOTAL(9,INDEX(Main[بدهی تسویه نشده (کیلوگرم)],1):Main[[#This Row],[بدهی تسویه نشده (کیلوگرم)]])</f>
        <v>0</v>
      </c>
      <c r="AB284" s="6">
        <f ca="1">IF(Main[[#This Row],[مانده در خط تسویه نشده (کیلوگرم)]]&lt;&gt;0,Main[[#This Row],[تعداد کل روزهای بدهکار (روز)]],0)</f>
        <v>0</v>
      </c>
      <c r="AC284" s="6">
        <f ca="1">Main[[#This Row],[تعداد روزهای بدهکار  تسویه نشده (روز)]]*Main[[#This Row],[مانده در خط تسویه نشده (کیلوگرم)]]</f>
        <v>0</v>
      </c>
      <c r="AD284" s="6">
        <f ca="1">SUBTOTAL(9,INDEX(Main[بدهی سررسید شده (کیلوگرم)],1):Main[[#This Row],[بدهی سررسید شده (کیلوگرم)]])</f>
        <v>0</v>
      </c>
      <c r="AE284" s="6">
        <f ca="1">IF(Main[[#This Row],[مانده در خط سررسید شده (کیلوگرم)]]&lt;&gt;0,Main[[#This Row],[تعداد کل روزهای بدهکار (روز)]],0)</f>
        <v>0</v>
      </c>
      <c r="AF284" s="6">
        <f ca="1">Main[[#This Row],[تعداد روزهای بدهکار سررسید شده (روز)]]*Main[[#This Row],[مانده در خط سررسید شده (کیلوگرم)]]</f>
        <v>0</v>
      </c>
    </row>
    <row r="285" spans="1:32" hidden="1" x14ac:dyDescent="0.35">
      <c r="A285" s="5">
        <f>ROW()-ROW(INDEX(Main[ردیف],1))+1</f>
        <v>283</v>
      </c>
      <c r="B285" s="31">
        <f>SUBTOTAL(2,INDEX(Main[ردیف],1):Main[[#This Row],[ردیف]])</f>
        <v>27</v>
      </c>
      <c r="C285" s="32" t="s">
        <v>533</v>
      </c>
      <c r="D285" s="32" t="str">
        <f>_xlfn.CONCAT("14",Main[[#This Row],[تاريخ]])</f>
        <v>1400/02/08</v>
      </c>
      <c r="E285" s="33">
        <v>44314</v>
      </c>
      <c r="F285" s="32">
        <v>30009</v>
      </c>
      <c r="G285" s="5" t="str">
        <f>INDEX(customer[عنوان],MATCH(Main[[#This Row],[کد ردیابی]],customer[کد],0))</f>
        <v>شرکت ایمن تک پیشرو</v>
      </c>
      <c r="H285">
        <v>-2008</v>
      </c>
      <c r="I285" s="6">
        <f ca="1">-Main[[#This Row],[بدهی تسویه شده (کیلوگرم)]]+Main[[#This Row],[بستانکار (کیلوگرم)]]</f>
        <v>-2008</v>
      </c>
      <c r="J285" s="6">
        <f>IF(Main[[#This Row],[مقدار (کیلوگرم)]]&gt;0,Main[[#This Row],[مقدار (کیلوگرم)]],0)</f>
        <v>0</v>
      </c>
      <c r="K285" s="6">
        <f>-IF(Main[[#This Row],[مقدار (کیلوگرم)]]&lt;0,Main[[#This Row],[مقدار (کیلوگرم)]],0)</f>
        <v>2008</v>
      </c>
      <c r="L2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5" s="7">
        <f>-IF(AND(Main[[#This Row],[مقدار (کیلوگرم)]]&lt;0,Main[[#This Row],[تاريخ میلادی]]&gt;44276),Main[[#This Row],[مقدار (کیلوگرم)]],0)</f>
        <v>2008</v>
      </c>
      <c r="N285" s="6">
        <f ca="1">Main[[#This Row],[بدهکار (کیلوگرم)]]-Main[[#This Row],[بدهی تسویه نشده (کیلوگرم)]]</f>
        <v>2008</v>
      </c>
      <c r="O285" s="6">
        <f ca="1">Main[[#This Row],[تفکیک]]</f>
        <v>0</v>
      </c>
      <c r="P285" s="6">
        <f ca="1">IF(Main[[#This Row],[تاخیر از سررسید]]&gt;0,Main[[#This Row],[بدهی تسویه نشده (کیلوگرم)]],0)</f>
        <v>0</v>
      </c>
      <c r="Q285" s="6">
        <f ca="1">IF(Main[[#This Row],[بدهی تسویه نشده (کیلوگرم)]]&gt;0,'گزارش فردی'!$B$7-Main[[#This Row],[تاريخ میلادی]],0)</f>
        <v>0</v>
      </c>
      <c r="R285" s="6">
        <f ca="1">IF(Main[[#This Row],[بدهی تسویه نشده (کیلوگرم)]]&gt;0,'گزارش فردی'!$B$7-Main[[#This Row],[تاريخ میلادی]]-'گزارش فردی'!$B$8,0)</f>
        <v>0</v>
      </c>
      <c r="S285" s="6">
        <f ca="1">Main[[#This Row],[روز از ارسال سفارش]]*Main[[#This Row],[بدهی تسویه نشده (کیلوگرم)]]</f>
        <v>0</v>
      </c>
      <c r="T285" s="6">
        <f ca="1">Main[[#This Row],[بدهی سررسید شده (کیلوگرم)]]*Main[[#This Row],[روز از ارسال سفارش]]</f>
        <v>0</v>
      </c>
      <c r="U285" s="6">
        <f>-SUBTOTAL(9,INDEX(Main[مقدار (کیلوگرم)],1):Main[[#This Row],[مقدار (کیلوگرم)]])</f>
        <v>44354</v>
      </c>
      <c r="V2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5" s="6">
        <f>Main[[#This Row],[تعداد کل روزهای بدهکار (روز)]]*Main[[#This Row],[مانده در خط کل (کیلوگرم)]]</f>
        <v>0</v>
      </c>
      <c r="X285" s="6">
        <f ca="1">-SUBTOTAL(9,INDEX(Main[مقدار تسویه شده (کیلوگرم)],1):Main[[#This Row],[مقدار تسویه شده (کیلوگرم)]])</f>
        <v>44354</v>
      </c>
      <c r="Y285" s="6">
        <f ca="1">IF(Main[[#This Row],[مانده در خط تسویه شده (کیلوگرم)]]&lt;&gt;0,Main[[#This Row],[تعداد کل روزهای بدهکار (روز)]],0)</f>
        <v>0</v>
      </c>
      <c r="Z285" s="6">
        <f ca="1">Main[[#This Row],[تعداد روزهای بدهکار تسویه شده (روز)]]*Main[[#This Row],[مانده در خط تسویه شده (کیلوگرم)]]</f>
        <v>0</v>
      </c>
      <c r="AA285" s="6">
        <f ca="1">SUBTOTAL(9,INDEX(Main[بدهی تسویه نشده (کیلوگرم)],1):Main[[#This Row],[بدهی تسویه نشده (کیلوگرم)]])</f>
        <v>0</v>
      </c>
      <c r="AB285" s="6">
        <f ca="1">IF(Main[[#This Row],[مانده در خط تسویه نشده (کیلوگرم)]]&lt;&gt;0,Main[[#This Row],[تعداد کل روزهای بدهکار (روز)]],0)</f>
        <v>0</v>
      </c>
      <c r="AC285" s="6">
        <f ca="1">Main[[#This Row],[تعداد روزهای بدهکار  تسویه نشده (روز)]]*Main[[#This Row],[مانده در خط تسویه نشده (کیلوگرم)]]</f>
        <v>0</v>
      </c>
      <c r="AD285" s="6">
        <f ca="1">SUBTOTAL(9,INDEX(Main[بدهی سررسید شده (کیلوگرم)],1):Main[[#This Row],[بدهی سررسید شده (کیلوگرم)]])</f>
        <v>0</v>
      </c>
      <c r="AE285" s="6">
        <f ca="1">IF(Main[[#This Row],[مانده در خط سررسید شده (کیلوگرم)]]&lt;&gt;0,Main[[#This Row],[تعداد کل روزهای بدهکار (روز)]],0)</f>
        <v>0</v>
      </c>
      <c r="AF285" s="6">
        <f ca="1">Main[[#This Row],[تعداد روزهای بدهکار سررسید شده (روز)]]*Main[[#This Row],[مانده در خط سررسید شده (کیلوگرم)]]</f>
        <v>0</v>
      </c>
    </row>
    <row r="286" spans="1:32" hidden="1" x14ac:dyDescent="0.35">
      <c r="A286" s="5">
        <f>ROW()-ROW(INDEX(Main[ردیف],1))+1</f>
        <v>284</v>
      </c>
      <c r="B286" s="31">
        <f>SUBTOTAL(2,INDEX(Main[ردیف],1):Main[[#This Row],[ردیف]])</f>
        <v>27</v>
      </c>
      <c r="C286" s="32" t="s">
        <v>533</v>
      </c>
      <c r="D286" s="32" t="str">
        <f>_xlfn.CONCAT("14",Main[[#This Row],[تاريخ]])</f>
        <v>1400/02/08</v>
      </c>
      <c r="E286" s="33">
        <v>44314</v>
      </c>
      <c r="F286" s="32">
        <v>10009</v>
      </c>
      <c r="G286" s="5" t="str">
        <f>INDEX(customer[عنوان],MATCH(Main[[#This Row],[کد ردیابی]],customer[کد],0))</f>
        <v>محمد نمازی</v>
      </c>
      <c r="H286">
        <v>10000</v>
      </c>
      <c r="I286" s="6">
        <f ca="1">-Main[[#This Row],[بدهی تسویه شده (کیلوگرم)]]+Main[[#This Row],[بستانکار (کیلوگرم)]]</f>
        <v>10000</v>
      </c>
      <c r="J286" s="6">
        <f>IF(Main[[#This Row],[مقدار (کیلوگرم)]]&gt;0,Main[[#This Row],[مقدار (کیلوگرم)]],0)</f>
        <v>10000</v>
      </c>
      <c r="K286" s="6">
        <f>-IF(Main[[#This Row],[مقدار (کیلوگرم)]]&lt;0,Main[[#This Row],[مقدار (کیلوگرم)]],0)</f>
        <v>0</v>
      </c>
      <c r="L2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6" s="7">
        <f>-IF(AND(Main[[#This Row],[مقدار (کیلوگرم)]]&lt;0,Main[[#This Row],[تاريخ میلادی]]&gt;44276),Main[[#This Row],[مقدار (کیلوگرم)]],0)</f>
        <v>0</v>
      </c>
      <c r="N286" s="6">
        <f ca="1">Main[[#This Row],[بدهکار (کیلوگرم)]]-Main[[#This Row],[بدهی تسویه نشده (کیلوگرم)]]</f>
        <v>0</v>
      </c>
      <c r="O286" s="6">
        <f ca="1">Main[[#This Row],[تفکیک]]</f>
        <v>0</v>
      </c>
      <c r="P286" s="6">
        <f ca="1">IF(Main[[#This Row],[تاخیر از سررسید]]&gt;0,Main[[#This Row],[بدهی تسویه نشده (کیلوگرم)]],0)</f>
        <v>0</v>
      </c>
      <c r="Q286" s="6">
        <f ca="1">IF(Main[[#This Row],[بدهی تسویه نشده (کیلوگرم)]]&gt;0,'گزارش فردی'!$B$7-Main[[#This Row],[تاريخ میلادی]],0)</f>
        <v>0</v>
      </c>
      <c r="R286" s="6">
        <f ca="1">IF(Main[[#This Row],[بدهی تسویه نشده (کیلوگرم)]]&gt;0,'گزارش فردی'!$B$7-Main[[#This Row],[تاريخ میلادی]]-'گزارش فردی'!$B$8,0)</f>
        <v>0</v>
      </c>
      <c r="S286" s="6">
        <f ca="1">Main[[#This Row],[روز از ارسال سفارش]]*Main[[#This Row],[بدهی تسویه نشده (کیلوگرم)]]</f>
        <v>0</v>
      </c>
      <c r="T286" s="6">
        <f ca="1">Main[[#This Row],[بدهی سررسید شده (کیلوگرم)]]*Main[[#This Row],[روز از ارسال سفارش]]</f>
        <v>0</v>
      </c>
      <c r="U286" s="6">
        <f>-SUBTOTAL(9,INDEX(Main[مقدار (کیلوگرم)],1):Main[[#This Row],[مقدار (کیلوگرم)]])</f>
        <v>44354</v>
      </c>
      <c r="V2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6" s="6">
        <f>Main[[#This Row],[تعداد کل روزهای بدهکار (روز)]]*Main[[#This Row],[مانده در خط کل (کیلوگرم)]]</f>
        <v>0</v>
      </c>
      <c r="X286" s="6">
        <f ca="1">-SUBTOTAL(9,INDEX(Main[مقدار تسویه شده (کیلوگرم)],1):Main[[#This Row],[مقدار تسویه شده (کیلوگرم)]])</f>
        <v>44354</v>
      </c>
      <c r="Y286" s="6">
        <f ca="1">IF(Main[[#This Row],[مانده در خط تسویه شده (کیلوگرم)]]&lt;&gt;0,Main[[#This Row],[تعداد کل روزهای بدهکار (روز)]],0)</f>
        <v>0</v>
      </c>
      <c r="Z286" s="6">
        <f ca="1">Main[[#This Row],[تعداد روزهای بدهکار تسویه شده (روز)]]*Main[[#This Row],[مانده در خط تسویه شده (کیلوگرم)]]</f>
        <v>0</v>
      </c>
      <c r="AA286" s="6">
        <f ca="1">SUBTOTAL(9,INDEX(Main[بدهی تسویه نشده (کیلوگرم)],1):Main[[#This Row],[بدهی تسویه نشده (کیلوگرم)]])</f>
        <v>0</v>
      </c>
      <c r="AB286" s="6">
        <f ca="1">IF(Main[[#This Row],[مانده در خط تسویه نشده (کیلوگرم)]]&lt;&gt;0,Main[[#This Row],[تعداد کل روزهای بدهکار (روز)]],0)</f>
        <v>0</v>
      </c>
      <c r="AC286" s="6">
        <f ca="1">Main[[#This Row],[تعداد روزهای بدهکار  تسویه نشده (روز)]]*Main[[#This Row],[مانده در خط تسویه نشده (کیلوگرم)]]</f>
        <v>0</v>
      </c>
      <c r="AD286" s="6">
        <f ca="1">SUBTOTAL(9,INDEX(Main[بدهی سررسید شده (کیلوگرم)],1):Main[[#This Row],[بدهی سررسید شده (کیلوگرم)]])</f>
        <v>0</v>
      </c>
      <c r="AE286" s="6">
        <f ca="1">IF(Main[[#This Row],[مانده در خط سررسید شده (کیلوگرم)]]&lt;&gt;0,Main[[#This Row],[تعداد کل روزهای بدهکار (روز)]],0)</f>
        <v>0</v>
      </c>
      <c r="AF286" s="6">
        <f ca="1">Main[[#This Row],[تعداد روزهای بدهکار سررسید شده (روز)]]*Main[[#This Row],[مانده در خط سررسید شده (کیلوگرم)]]</f>
        <v>0</v>
      </c>
    </row>
    <row r="287" spans="1:32" hidden="1" x14ac:dyDescent="0.35">
      <c r="A287" s="5">
        <f>ROW()-ROW(INDEX(Main[ردیف],1))+1</f>
        <v>285</v>
      </c>
      <c r="B287" s="31">
        <f>SUBTOTAL(2,INDEX(Main[ردیف],1):Main[[#This Row],[ردیف]])</f>
        <v>27</v>
      </c>
      <c r="C287" s="32" t="s">
        <v>533</v>
      </c>
      <c r="D287" s="32" t="str">
        <f>_xlfn.CONCAT("14",Main[[#This Row],[تاريخ]])</f>
        <v>1400/02/08</v>
      </c>
      <c r="E287" s="33">
        <v>44314</v>
      </c>
      <c r="F287" s="32">
        <v>30066</v>
      </c>
      <c r="G287" s="5" t="str">
        <f>INDEX(customer[عنوان],MATCH(Main[[#This Row],[کد ردیابی]],customer[کد],0))</f>
        <v xml:space="preserve">شیر آلات بهداشتی قهرمان </v>
      </c>
      <c r="H287">
        <v>-4514</v>
      </c>
      <c r="I287" s="6">
        <f ca="1">-Main[[#This Row],[بدهی تسویه شده (کیلوگرم)]]+Main[[#This Row],[بستانکار (کیلوگرم)]]</f>
        <v>-4514</v>
      </c>
      <c r="J287" s="6">
        <f>IF(Main[[#This Row],[مقدار (کیلوگرم)]]&gt;0,Main[[#This Row],[مقدار (کیلوگرم)]],0)</f>
        <v>0</v>
      </c>
      <c r="K287" s="6">
        <f>-IF(Main[[#This Row],[مقدار (کیلوگرم)]]&lt;0,Main[[#This Row],[مقدار (کیلوگرم)]],0)</f>
        <v>4514</v>
      </c>
      <c r="L2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7" s="7">
        <f>-IF(AND(Main[[#This Row],[مقدار (کیلوگرم)]]&lt;0,Main[[#This Row],[تاريخ میلادی]]&gt;44276),Main[[#This Row],[مقدار (کیلوگرم)]],0)</f>
        <v>4514</v>
      </c>
      <c r="N287" s="6">
        <f ca="1">Main[[#This Row],[بدهکار (کیلوگرم)]]-Main[[#This Row],[بدهی تسویه نشده (کیلوگرم)]]</f>
        <v>4514</v>
      </c>
      <c r="O287" s="6">
        <f ca="1">Main[[#This Row],[تفکیک]]</f>
        <v>0</v>
      </c>
      <c r="P287" s="6">
        <f ca="1">IF(Main[[#This Row],[تاخیر از سررسید]]&gt;0,Main[[#This Row],[بدهی تسویه نشده (کیلوگرم)]],0)</f>
        <v>0</v>
      </c>
      <c r="Q287" s="6">
        <f ca="1">IF(Main[[#This Row],[بدهی تسویه نشده (کیلوگرم)]]&gt;0,'گزارش فردی'!$B$7-Main[[#This Row],[تاريخ میلادی]],0)</f>
        <v>0</v>
      </c>
      <c r="R287" s="6">
        <f ca="1">IF(Main[[#This Row],[بدهی تسویه نشده (کیلوگرم)]]&gt;0,'گزارش فردی'!$B$7-Main[[#This Row],[تاريخ میلادی]]-'گزارش فردی'!$B$8,0)</f>
        <v>0</v>
      </c>
      <c r="S287" s="6">
        <f ca="1">Main[[#This Row],[روز از ارسال سفارش]]*Main[[#This Row],[بدهی تسویه نشده (کیلوگرم)]]</f>
        <v>0</v>
      </c>
      <c r="T287" s="6">
        <f ca="1">Main[[#This Row],[بدهی سررسید شده (کیلوگرم)]]*Main[[#This Row],[روز از ارسال سفارش]]</f>
        <v>0</v>
      </c>
      <c r="U287" s="6">
        <f>-SUBTOTAL(9,INDEX(Main[مقدار (کیلوگرم)],1):Main[[#This Row],[مقدار (کیلوگرم)]])</f>
        <v>44354</v>
      </c>
      <c r="V2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7" s="6">
        <f>Main[[#This Row],[تعداد کل روزهای بدهکار (روز)]]*Main[[#This Row],[مانده در خط کل (کیلوگرم)]]</f>
        <v>0</v>
      </c>
      <c r="X287" s="6">
        <f ca="1">-SUBTOTAL(9,INDEX(Main[مقدار تسویه شده (کیلوگرم)],1):Main[[#This Row],[مقدار تسویه شده (کیلوگرم)]])</f>
        <v>44354</v>
      </c>
      <c r="Y287" s="6">
        <f ca="1">IF(Main[[#This Row],[مانده در خط تسویه شده (کیلوگرم)]]&lt;&gt;0,Main[[#This Row],[تعداد کل روزهای بدهکار (روز)]],0)</f>
        <v>0</v>
      </c>
      <c r="Z287" s="6">
        <f ca="1">Main[[#This Row],[تعداد روزهای بدهکار تسویه شده (روز)]]*Main[[#This Row],[مانده در خط تسویه شده (کیلوگرم)]]</f>
        <v>0</v>
      </c>
      <c r="AA287" s="6">
        <f ca="1">SUBTOTAL(9,INDEX(Main[بدهی تسویه نشده (کیلوگرم)],1):Main[[#This Row],[بدهی تسویه نشده (کیلوگرم)]])</f>
        <v>0</v>
      </c>
      <c r="AB287" s="6">
        <f ca="1">IF(Main[[#This Row],[مانده در خط تسویه نشده (کیلوگرم)]]&lt;&gt;0,Main[[#This Row],[تعداد کل روزهای بدهکار (روز)]],0)</f>
        <v>0</v>
      </c>
      <c r="AC287" s="6">
        <f ca="1">Main[[#This Row],[تعداد روزهای بدهکار  تسویه نشده (روز)]]*Main[[#This Row],[مانده در خط تسویه نشده (کیلوگرم)]]</f>
        <v>0</v>
      </c>
      <c r="AD287" s="6">
        <f ca="1">SUBTOTAL(9,INDEX(Main[بدهی سررسید شده (کیلوگرم)],1):Main[[#This Row],[بدهی سررسید شده (کیلوگرم)]])</f>
        <v>0</v>
      </c>
      <c r="AE287" s="6">
        <f ca="1">IF(Main[[#This Row],[مانده در خط سررسید شده (کیلوگرم)]]&lt;&gt;0,Main[[#This Row],[تعداد کل روزهای بدهکار (روز)]],0)</f>
        <v>0</v>
      </c>
      <c r="AF287" s="6">
        <f ca="1">Main[[#This Row],[تعداد روزهای بدهکار سررسید شده (روز)]]*Main[[#This Row],[مانده در خط سررسید شده (کیلوگرم)]]</f>
        <v>0</v>
      </c>
    </row>
    <row r="288" spans="1:32" hidden="1" x14ac:dyDescent="0.35">
      <c r="A288" s="5">
        <f>ROW()-ROW(INDEX(Main[ردیف],1))+1</f>
        <v>286</v>
      </c>
      <c r="B288" s="31">
        <f>SUBTOTAL(2,INDEX(Main[ردیف],1):Main[[#This Row],[ردیف]])</f>
        <v>27</v>
      </c>
      <c r="C288" s="32" t="s">
        <v>533</v>
      </c>
      <c r="D288" s="32" t="str">
        <f>_xlfn.CONCAT("14",Main[[#This Row],[تاريخ]])</f>
        <v>1400/02/08</v>
      </c>
      <c r="E288" s="33">
        <v>44314</v>
      </c>
      <c r="F288" s="32">
        <v>30133</v>
      </c>
      <c r="G288" s="5" t="str">
        <f>INDEX(customer[عنوان],MATCH(Main[[#This Row],[کد ردیابی]],customer[کد],0))</f>
        <v>شرکت آتا بای تبریز</v>
      </c>
      <c r="H288">
        <v>5035</v>
      </c>
      <c r="I288" s="6">
        <f ca="1">-Main[[#This Row],[بدهی تسویه شده (کیلوگرم)]]+Main[[#This Row],[بستانکار (کیلوگرم)]]</f>
        <v>5035</v>
      </c>
      <c r="J288" s="6">
        <f>IF(Main[[#This Row],[مقدار (کیلوگرم)]]&gt;0,Main[[#This Row],[مقدار (کیلوگرم)]],0)</f>
        <v>5035</v>
      </c>
      <c r="K288" s="6">
        <f>-IF(Main[[#This Row],[مقدار (کیلوگرم)]]&lt;0,Main[[#This Row],[مقدار (کیلوگرم)]],0)</f>
        <v>0</v>
      </c>
      <c r="L2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8" s="7">
        <f>-IF(AND(Main[[#This Row],[مقدار (کیلوگرم)]]&lt;0,Main[[#This Row],[تاريخ میلادی]]&gt;44276),Main[[#This Row],[مقدار (کیلوگرم)]],0)</f>
        <v>0</v>
      </c>
      <c r="N288" s="6">
        <f ca="1">Main[[#This Row],[بدهکار (کیلوگرم)]]-Main[[#This Row],[بدهی تسویه نشده (کیلوگرم)]]</f>
        <v>0</v>
      </c>
      <c r="O288" s="6">
        <f ca="1">Main[[#This Row],[تفکیک]]</f>
        <v>0</v>
      </c>
      <c r="P288" s="6">
        <f ca="1">IF(Main[[#This Row],[تاخیر از سررسید]]&gt;0,Main[[#This Row],[بدهی تسویه نشده (کیلوگرم)]],0)</f>
        <v>0</v>
      </c>
      <c r="Q288" s="6">
        <f ca="1">IF(Main[[#This Row],[بدهی تسویه نشده (کیلوگرم)]]&gt;0,'گزارش فردی'!$B$7-Main[[#This Row],[تاريخ میلادی]],0)</f>
        <v>0</v>
      </c>
      <c r="R288" s="6">
        <f ca="1">IF(Main[[#This Row],[بدهی تسویه نشده (کیلوگرم)]]&gt;0,'گزارش فردی'!$B$7-Main[[#This Row],[تاريخ میلادی]]-'گزارش فردی'!$B$8,0)</f>
        <v>0</v>
      </c>
      <c r="S288" s="6">
        <f ca="1">Main[[#This Row],[روز از ارسال سفارش]]*Main[[#This Row],[بدهی تسویه نشده (کیلوگرم)]]</f>
        <v>0</v>
      </c>
      <c r="T288" s="6">
        <f ca="1">Main[[#This Row],[بدهی سررسید شده (کیلوگرم)]]*Main[[#This Row],[روز از ارسال سفارش]]</f>
        <v>0</v>
      </c>
      <c r="U288" s="6">
        <f>-SUBTOTAL(9,INDEX(Main[مقدار (کیلوگرم)],1):Main[[#This Row],[مقدار (کیلوگرم)]])</f>
        <v>44354</v>
      </c>
      <c r="V2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8" s="6">
        <f>Main[[#This Row],[تعداد کل روزهای بدهکار (روز)]]*Main[[#This Row],[مانده در خط کل (کیلوگرم)]]</f>
        <v>0</v>
      </c>
      <c r="X288" s="6">
        <f ca="1">-SUBTOTAL(9,INDEX(Main[مقدار تسویه شده (کیلوگرم)],1):Main[[#This Row],[مقدار تسویه شده (کیلوگرم)]])</f>
        <v>44354</v>
      </c>
      <c r="Y288" s="6">
        <f ca="1">IF(Main[[#This Row],[مانده در خط تسویه شده (کیلوگرم)]]&lt;&gt;0,Main[[#This Row],[تعداد کل روزهای بدهکار (روز)]],0)</f>
        <v>0</v>
      </c>
      <c r="Z288" s="6">
        <f ca="1">Main[[#This Row],[تعداد روزهای بدهکار تسویه شده (روز)]]*Main[[#This Row],[مانده در خط تسویه شده (کیلوگرم)]]</f>
        <v>0</v>
      </c>
      <c r="AA288" s="6">
        <f ca="1">SUBTOTAL(9,INDEX(Main[بدهی تسویه نشده (کیلوگرم)],1):Main[[#This Row],[بدهی تسویه نشده (کیلوگرم)]])</f>
        <v>0</v>
      </c>
      <c r="AB288" s="6">
        <f ca="1">IF(Main[[#This Row],[مانده در خط تسویه نشده (کیلوگرم)]]&lt;&gt;0,Main[[#This Row],[تعداد کل روزهای بدهکار (روز)]],0)</f>
        <v>0</v>
      </c>
      <c r="AC288" s="6">
        <f ca="1">Main[[#This Row],[تعداد روزهای بدهکار  تسویه نشده (روز)]]*Main[[#This Row],[مانده در خط تسویه نشده (کیلوگرم)]]</f>
        <v>0</v>
      </c>
      <c r="AD288" s="6">
        <f ca="1">SUBTOTAL(9,INDEX(Main[بدهی سررسید شده (کیلوگرم)],1):Main[[#This Row],[بدهی سررسید شده (کیلوگرم)]])</f>
        <v>0</v>
      </c>
      <c r="AE288" s="6">
        <f ca="1">IF(Main[[#This Row],[مانده در خط سررسید شده (کیلوگرم)]]&lt;&gt;0,Main[[#This Row],[تعداد کل روزهای بدهکار (روز)]],0)</f>
        <v>0</v>
      </c>
      <c r="AF288" s="6">
        <f ca="1">Main[[#This Row],[تعداد روزهای بدهکار سررسید شده (روز)]]*Main[[#This Row],[مانده در خط سررسید شده (کیلوگرم)]]</f>
        <v>0</v>
      </c>
    </row>
    <row r="289" spans="1:32" hidden="1" x14ac:dyDescent="0.35">
      <c r="A289" s="5">
        <f>ROW()-ROW(INDEX(Main[ردیف],1))+1</f>
        <v>287</v>
      </c>
      <c r="B289" s="31">
        <f>SUBTOTAL(2,INDEX(Main[ردیف],1):Main[[#This Row],[ردیف]])</f>
        <v>27</v>
      </c>
      <c r="C289" s="32" t="s">
        <v>533</v>
      </c>
      <c r="D289" s="32" t="str">
        <f>_xlfn.CONCAT("14",Main[[#This Row],[تاريخ]])</f>
        <v>1400/02/08</v>
      </c>
      <c r="E289" s="33">
        <v>44314</v>
      </c>
      <c r="F289" s="32">
        <v>50011</v>
      </c>
      <c r="G289" s="5" t="str">
        <f>INDEX(customer[عنوان],MATCH(Main[[#This Row],[کد ردیابی]],customer[کد],0))</f>
        <v xml:space="preserve">جعفر هوشمند </v>
      </c>
      <c r="H289">
        <v>-1042</v>
      </c>
      <c r="I289" s="6">
        <f ca="1">-Main[[#This Row],[بدهی تسویه شده (کیلوگرم)]]+Main[[#This Row],[بستانکار (کیلوگرم)]]</f>
        <v>-1042</v>
      </c>
      <c r="J289" s="6">
        <f>IF(Main[[#This Row],[مقدار (کیلوگرم)]]&gt;0,Main[[#This Row],[مقدار (کیلوگرم)]],0)</f>
        <v>0</v>
      </c>
      <c r="K289" s="6">
        <f>-IF(Main[[#This Row],[مقدار (کیلوگرم)]]&lt;0,Main[[#This Row],[مقدار (کیلوگرم)]],0)</f>
        <v>1042</v>
      </c>
      <c r="L2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9" s="7">
        <f>-IF(AND(Main[[#This Row],[مقدار (کیلوگرم)]]&lt;0,Main[[#This Row],[تاريخ میلادی]]&gt;44276),Main[[#This Row],[مقدار (کیلوگرم)]],0)</f>
        <v>1042</v>
      </c>
      <c r="N289" s="6">
        <f ca="1">Main[[#This Row],[بدهکار (کیلوگرم)]]-Main[[#This Row],[بدهی تسویه نشده (کیلوگرم)]]</f>
        <v>1042</v>
      </c>
      <c r="O289" s="6">
        <f ca="1">Main[[#This Row],[تفکیک]]</f>
        <v>0</v>
      </c>
      <c r="P289" s="6">
        <f ca="1">IF(Main[[#This Row],[تاخیر از سررسید]]&gt;0,Main[[#This Row],[بدهی تسویه نشده (کیلوگرم)]],0)</f>
        <v>0</v>
      </c>
      <c r="Q289" s="6">
        <f ca="1">IF(Main[[#This Row],[بدهی تسویه نشده (کیلوگرم)]]&gt;0,'گزارش فردی'!$B$7-Main[[#This Row],[تاريخ میلادی]],0)</f>
        <v>0</v>
      </c>
      <c r="R289" s="6">
        <f ca="1">IF(Main[[#This Row],[بدهی تسویه نشده (کیلوگرم)]]&gt;0,'گزارش فردی'!$B$7-Main[[#This Row],[تاريخ میلادی]]-'گزارش فردی'!$B$8,0)</f>
        <v>0</v>
      </c>
      <c r="S289" s="6">
        <f ca="1">Main[[#This Row],[روز از ارسال سفارش]]*Main[[#This Row],[بدهی تسویه نشده (کیلوگرم)]]</f>
        <v>0</v>
      </c>
      <c r="T289" s="6">
        <f ca="1">Main[[#This Row],[بدهی سررسید شده (کیلوگرم)]]*Main[[#This Row],[روز از ارسال سفارش]]</f>
        <v>0</v>
      </c>
      <c r="U289" s="6">
        <f>-SUBTOTAL(9,INDEX(Main[مقدار (کیلوگرم)],1):Main[[#This Row],[مقدار (کیلوگرم)]])</f>
        <v>44354</v>
      </c>
      <c r="V2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9" s="6">
        <f>Main[[#This Row],[تعداد کل روزهای بدهکار (روز)]]*Main[[#This Row],[مانده در خط کل (کیلوگرم)]]</f>
        <v>0</v>
      </c>
      <c r="X289" s="6">
        <f ca="1">-SUBTOTAL(9,INDEX(Main[مقدار تسویه شده (کیلوگرم)],1):Main[[#This Row],[مقدار تسویه شده (کیلوگرم)]])</f>
        <v>44354</v>
      </c>
      <c r="Y289" s="6">
        <f ca="1">IF(Main[[#This Row],[مانده در خط تسویه شده (کیلوگرم)]]&lt;&gt;0,Main[[#This Row],[تعداد کل روزهای بدهکار (روز)]],0)</f>
        <v>0</v>
      </c>
      <c r="Z289" s="6">
        <f ca="1">Main[[#This Row],[تعداد روزهای بدهکار تسویه شده (روز)]]*Main[[#This Row],[مانده در خط تسویه شده (کیلوگرم)]]</f>
        <v>0</v>
      </c>
      <c r="AA289" s="6">
        <f ca="1">SUBTOTAL(9,INDEX(Main[بدهی تسویه نشده (کیلوگرم)],1):Main[[#This Row],[بدهی تسویه نشده (کیلوگرم)]])</f>
        <v>0</v>
      </c>
      <c r="AB289" s="6">
        <f ca="1">IF(Main[[#This Row],[مانده در خط تسویه نشده (کیلوگرم)]]&lt;&gt;0,Main[[#This Row],[تعداد کل روزهای بدهکار (روز)]],0)</f>
        <v>0</v>
      </c>
      <c r="AC289" s="6">
        <f ca="1">Main[[#This Row],[تعداد روزهای بدهکار  تسویه نشده (روز)]]*Main[[#This Row],[مانده در خط تسویه نشده (کیلوگرم)]]</f>
        <v>0</v>
      </c>
      <c r="AD289" s="6">
        <f ca="1">SUBTOTAL(9,INDEX(Main[بدهی سررسید شده (کیلوگرم)],1):Main[[#This Row],[بدهی سررسید شده (کیلوگرم)]])</f>
        <v>0</v>
      </c>
      <c r="AE289" s="6">
        <f ca="1">IF(Main[[#This Row],[مانده در خط سررسید شده (کیلوگرم)]]&lt;&gt;0,Main[[#This Row],[تعداد کل روزهای بدهکار (روز)]],0)</f>
        <v>0</v>
      </c>
      <c r="AF289" s="6">
        <f ca="1">Main[[#This Row],[تعداد روزهای بدهکار سررسید شده (روز)]]*Main[[#This Row],[مانده در خط سررسید شده (کیلوگرم)]]</f>
        <v>0</v>
      </c>
    </row>
    <row r="290" spans="1:32" hidden="1" x14ac:dyDescent="0.35">
      <c r="A290" s="5">
        <f>ROW()-ROW(INDEX(Main[ردیف],1))+1</f>
        <v>288</v>
      </c>
      <c r="B290" s="31">
        <f>SUBTOTAL(2,INDEX(Main[ردیف],1):Main[[#This Row],[ردیف]])</f>
        <v>27</v>
      </c>
      <c r="C290" s="32" t="s">
        <v>533</v>
      </c>
      <c r="D290" s="32" t="str">
        <f>_xlfn.CONCAT("14",Main[[#This Row],[تاريخ]])</f>
        <v>1400/02/08</v>
      </c>
      <c r="E290" s="33">
        <v>44314</v>
      </c>
      <c r="F290" s="32">
        <v>10069</v>
      </c>
      <c r="G290" s="5" t="str">
        <f>INDEX(customer[عنوان],MATCH(Main[[#This Row],[کد ردیابی]],customer[کد],0))</f>
        <v xml:space="preserve">جواد عرب </v>
      </c>
      <c r="H290">
        <v>840</v>
      </c>
      <c r="I290" s="6">
        <f ca="1">-Main[[#This Row],[بدهی تسویه شده (کیلوگرم)]]+Main[[#This Row],[بستانکار (کیلوگرم)]]</f>
        <v>840</v>
      </c>
      <c r="J290" s="6">
        <f>IF(Main[[#This Row],[مقدار (کیلوگرم)]]&gt;0,Main[[#This Row],[مقدار (کیلوگرم)]],0)</f>
        <v>840</v>
      </c>
      <c r="K290" s="6">
        <f>-IF(Main[[#This Row],[مقدار (کیلوگرم)]]&lt;0,Main[[#This Row],[مقدار (کیلوگرم)]],0)</f>
        <v>0</v>
      </c>
      <c r="L2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0" s="7">
        <f>-IF(AND(Main[[#This Row],[مقدار (کیلوگرم)]]&lt;0,Main[[#This Row],[تاريخ میلادی]]&gt;44276),Main[[#This Row],[مقدار (کیلوگرم)]],0)</f>
        <v>0</v>
      </c>
      <c r="N290" s="6">
        <f ca="1">Main[[#This Row],[بدهکار (کیلوگرم)]]-Main[[#This Row],[بدهی تسویه نشده (کیلوگرم)]]</f>
        <v>0</v>
      </c>
      <c r="O290" s="6">
        <f ca="1">Main[[#This Row],[تفکیک]]</f>
        <v>0</v>
      </c>
      <c r="P290" s="6">
        <f ca="1">IF(Main[[#This Row],[تاخیر از سررسید]]&gt;0,Main[[#This Row],[بدهی تسویه نشده (کیلوگرم)]],0)</f>
        <v>0</v>
      </c>
      <c r="Q290" s="6">
        <f ca="1">IF(Main[[#This Row],[بدهی تسویه نشده (کیلوگرم)]]&gt;0,'گزارش فردی'!$B$7-Main[[#This Row],[تاريخ میلادی]],0)</f>
        <v>0</v>
      </c>
      <c r="R290" s="6">
        <f ca="1">IF(Main[[#This Row],[بدهی تسویه نشده (کیلوگرم)]]&gt;0,'گزارش فردی'!$B$7-Main[[#This Row],[تاريخ میلادی]]-'گزارش فردی'!$B$8,0)</f>
        <v>0</v>
      </c>
      <c r="S290" s="6">
        <f ca="1">Main[[#This Row],[روز از ارسال سفارش]]*Main[[#This Row],[بدهی تسویه نشده (کیلوگرم)]]</f>
        <v>0</v>
      </c>
      <c r="T290" s="6">
        <f ca="1">Main[[#This Row],[بدهی سررسید شده (کیلوگرم)]]*Main[[#This Row],[روز از ارسال سفارش]]</f>
        <v>0</v>
      </c>
      <c r="U290" s="6">
        <f>-SUBTOTAL(9,INDEX(Main[مقدار (کیلوگرم)],1):Main[[#This Row],[مقدار (کیلوگرم)]])</f>
        <v>44354</v>
      </c>
      <c r="V2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0" s="6">
        <f>Main[[#This Row],[تعداد کل روزهای بدهکار (روز)]]*Main[[#This Row],[مانده در خط کل (کیلوگرم)]]</f>
        <v>0</v>
      </c>
      <c r="X290" s="6">
        <f ca="1">-SUBTOTAL(9,INDEX(Main[مقدار تسویه شده (کیلوگرم)],1):Main[[#This Row],[مقدار تسویه شده (کیلوگرم)]])</f>
        <v>44354</v>
      </c>
      <c r="Y290" s="6">
        <f ca="1">IF(Main[[#This Row],[مانده در خط تسویه شده (کیلوگرم)]]&lt;&gt;0,Main[[#This Row],[تعداد کل روزهای بدهکار (روز)]],0)</f>
        <v>0</v>
      </c>
      <c r="Z290" s="6">
        <f ca="1">Main[[#This Row],[تعداد روزهای بدهکار تسویه شده (روز)]]*Main[[#This Row],[مانده در خط تسویه شده (کیلوگرم)]]</f>
        <v>0</v>
      </c>
      <c r="AA290" s="6">
        <f ca="1">SUBTOTAL(9,INDEX(Main[بدهی تسویه نشده (کیلوگرم)],1):Main[[#This Row],[بدهی تسویه نشده (کیلوگرم)]])</f>
        <v>0</v>
      </c>
      <c r="AB290" s="6">
        <f ca="1">IF(Main[[#This Row],[مانده در خط تسویه نشده (کیلوگرم)]]&lt;&gt;0,Main[[#This Row],[تعداد کل روزهای بدهکار (روز)]],0)</f>
        <v>0</v>
      </c>
      <c r="AC290" s="6">
        <f ca="1">Main[[#This Row],[تعداد روزهای بدهکار  تسویه نشده (روز)]]*Main[[#This Row],[مانده در خط تسویه نشده (کیلوگرم)]]</f>
        <v>0</v>
      </c>
      <c r="AD290" s="6">
        <f ca="1">SUBTOTAL(9,INDEX(Main[بدهی سررسید شده (کیلوگرم)],1):Main[[#This Row],[بدهی سررسید شده (کیلوگرم)]])</f>
        <v>0</v>
      </c>
      <c r="AE290" s="6">
        <f ca="1">IF(Main[[#This Row],[مانده در خط سررسید شده (کیلوگرم)]]&lt;&gt;0,Main[[#This Row],[تعداد کل روزهای بدهکار (روز)]],0)</f>
        <v>0</v>
      </c>
      <c r="AF290" s="6">
        <f ca="1">Main[[#This Row],[تعداد روزهای بدهکار سررسید شده (روز)]]*Main[[#This Row],[مانده در خط سررسید شده (کیلوگرم)]]</f>
        <v>0</v>
      </c>
    </row>
    <row r="291" spans="1:32" hidden="1" x14ac:dyDescent="0.35">
      <c r="A291" s="5">
        <f>ROW()-ROW(INDEX(Main[ردیف],1))+1</f>
        <v>289</v>
      </c>
      <c r="B291" s="31">
        <f>SUBTOTAL(2,INDEX(Main[ردیف],1):Main[[#This Row],[ردیف]])</f>
        <v>27</v>
      </c>
      <c r="C291" s="32" t="s">
        <v>533</v>
      </c>
      <c r="D291" s="32" t="str">
        <f>_xlfn.CONCAT("14",Main[[#This Row],[تاريخ]])</f>
        <v>1400/02/08</v>
      </c>
      <c r="E291" s="33">
        <v>44314</v>
      </c>
      <c r="F291" s="32">
        <v>10026</v>
      </c>
      <c r="G291" s="5" t="str">
        <f>INDEX(customer[عنوان],MATCH(Main[[#This Row],[کد ردیابی]],customer[کد],0))</f>
        <v xml:space="preserve">محسن فیاض بخش </v>
      </c>
      <c r="H291">
        <v>-1814</v>
      </c>
      <c r="I291" s="6">
        <f ca="1">-Main[[#This Row],[بدهی تسویه شده (کیلوگرم)]]+Main[[#This Row],[بستانکار (کیلوگرم)]]</f>
        <v>-1814</v>
      </c>
      <c r="J291" s="6">
        <f>IF(Main[[#This Row],[مقدار (کیلوگرم)]]&gt;0,Main[[#This Row],[مقدار (کیلوگرم)]],0)</f>
        <v>0</v>
      </c>
      <c r="K291" s="6">
        <f>-IF(Main[[#This Row],[مقدار (کیلوگرم)]]&lt;0,Main[[#This Row],[مقدار (کیلوگرم)]],0)</f>
        <v>1814</v>
      </c>
      <c r="L2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1" s="7">
        <f>-IF(AND(Main[[#This Row],[مقدار (کیلوگرم)]]&lt;0,Main[[#This Row],[تاريخ میلادی]]&gt;44276),Main[[#This Row],[مقدار (کیلوگرم)]],0)</f>
        <v>1814</v>
      </c>
      <c r="N291" s="6">
        <f ca="1">Main[[#This Row],[بدهکار (کیلوگرم)]]-Main[[#This Row],[بدهی تسویه نشده (کیلوگرم)]]</f>
        <v>1814</v>
      </c>
      <c r="O291" s="6">
        <f ca="1">Main[[#This Row],[تفکیک]]</f>
        <v>0</v>
      </c>
      <c r="P291" s="6">
        <f ca="1">IF(Main[[#This Row],[تاخیر از سررسید]]&gt;0,Main[[#This Row],[بدهی تسویه نشده (کیلوگرم)]],0)</f>
        <v>0</v>
      </c>
      <c r="Q291" s="6">
        <f ca="1">IF(Main[[#This Row],[بدهی تسویه نشده (کیلوگرم)]]&gt;0,'گزارش فردی'!$B$7-Main[[#This Row],[تاريخ میلادی]],0)</f>
        <v>0</v>
      </c>
      <c r="R291" s="6">
        <f ca="1">IF(Main[[#This Row],[بدهی تسویه نشده (کیلوگرم)]]&gt;0,'گزارش فردی'!$B$7-Main[[#This Row],[تاريخ میلادی]]-'گزارش فردی'!$B$8,0)</f>
        <v>0</v>
      </c>
      <c r="S291" s="6">
        <f ca="1">Main[[#This Row],[روز از ارسال سفارش]]*Main[[#This Row],[بدهی تسویه نشده (کیلوگرم)]]</f>
        <v>0</v>
      </c>
      <c r="T291" s="6">
        <f ca="1">Main[[#This Row],[بدهی سررسید شده (کیلوگرم)]]*Main[[#This Row],[روز از ارسال سفارش]]</f>
        <v>0</v>
      </c>
      <c r="U291" s="6">
        <f>-SUBTOTAL(9,INDEX(Main[مقدار (کیلوگرم)],1):Main[[#This Row],[مقدار (کیلوگرم)]])</f>
        <v>44354</v>
      </c>
      <c r="V2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1" s="6">
        <f>Main[[#This Row],[تعداد کل روزهای بدهکار (روز)]]*Main[[#This Row],[مانده در خط کل (کیلوگرم)]]</f>
        <v>0</v>
      </c>
      <c r="X291" s="6">
        <f ca="1">-SUBTOTAL(9,INDEX(Main[مقدار تسویه شده (کیلوگرم)],1):Main[[#This Row],[مقدار تسویه شده (کیلوگرم)]])</f>
        <v>44354</v>
      </c>
      <c r="Y291" s="6">
        <f ca="1">IF(Main[[#This Row],[مانده در خط تسویه شده (کیلوگرم)]]&lt;&gt;0,Main[[#This Row],[تعداد کل روزهای بدهکار (روز)]],0)</f>
        <v>0</v>
      </c>
      <c r="Z291" s="6">
        <f ca="1">Main[[#This Row],[تعداد روزهای بدهکار تسویه شده (روز)]]*Main[[#This Row],[مانده در خط تسویه شده (کیلوگرم)]]</f>
        <v>0</v>
      </c>
      <c r="AA291" s="6">
        <f ca="1">SUBTOTAL(9,INDEX(Main[بدهی تسویه نشده (کیلوگرم)],1):Main[[#This Row],[بدهی تسویه نشده (کیلوگرم)]])</f>
        <v>0</v>
      </c>
      <c r="AB291" s="6">
        <f ca="1">IF(Main[[#This Row],[مانده در خط تسویه نشده (کیلوگرم)]]&lt;&gt;0,Main[[#This Row],[تعداد کل روزهای بدهکار (روز)]],0)</f>
        <v>0</v>
      </c>
      <c r="AC291" s="6">
        <f ca="1">Main[[#This Row],[تعداد روزهای بدهکار  تسویه نشده (روز)]]*Main[[#This Row],[مانده در خط تسویه نشده (کیلوگرم)]]</f>
        <v>0</v>
      </c>
      <c r="AD291" s="6">
        <f ca="1">SUBTOTAL(9,INDEX(Main[بدهی سررسید شده (کیلوگرم)],1):Main[[#This Row],[بدهی سررسید شده (کیلوگرم)]])</f>
        <v>0</v>
      </c>
      <c r="AE291" s="6">
        <f ca="1">IF(Main[[#This Row],[مانده در خط سررسید شده (کیلوگرم)]]&lt;&gt;0,Main[[#This Row],[تعداد کل روزهای بدهکار (روز)]],0)</f>
        <v>0</v>
      </c>
      <c r="AF291" s="6">
        <f ca="1">Main[[#This Row],[تعداد روزهای بدهکار سررسید شده (روز)]]*Main[[#This Row],[مانده در خط سررسید شده (کیلوگرم)]]</f>
        <v>0</v>
      </c>
    </row>
    <row r="292" spans="1:32" hidden="1" x14ac:dyDescent="0.35">
      <c r="A292" s="5">
        <f>ROW()-ROW(INDEX(Main[ردیف],1))+1</f>
        <v>290</v>
      </c>
      <c r="B292" s="31">
        <f>SUBTOTAL(2,INDEX(Main[ردیف],1):Main[[#This Row],[ردیف]])</f>
        <v>27</v>
      </c>
      <c r="C292" s="32" t="s">
        <v>533</v>
      </c>
      <c r="D292" s="32" t="str">
        <f>_xlfn.CONCAT("14",Main[[#This Row],[تاريخ]])</f>
        <v>1400/02/08</v>
      </c>
      <c r="E292" s="33">
        <v>44314</v>
      </c>
      <c r="F292" s="32">
        <v>30066</v>
      </c>
      <c r="G292" s="5" t="str">
        <f>INDEX(customer[عنوان],MATCH(Main[[#This Row],[کد ردیابی]],customer[کد],0))</f>
        <v xml:space="preserve">شیر آلات بهداشتی قهرمان </v>
      </c>
      <c r="H292">
        <v>3974</v>
      </c>
      <c r="I292" s="6">
        <f ca="1">-Main[[#This Row],[بدهی تسویه شده (کیلوگرم)]]+Main[[#This Row],[بستانکار (کیلوگرم)]]</f>
        <v>3974</v>
      </c>
      <c r="J292" s="6">
        <f>IF(Main[[#This Row],[مقدار (کیلوگرم)]]&gt;0,Main[[#This Row],[مقدار (کیلوگرم)]],0)</f>
        <v>3974</v>
      </c>
      <c r="K292" s="6">
        <f>-IF(Main[[#This Row],[مقدار (کیلوگرم)]]&lt;0,Main[[#This Row],[مقدار (کیلوگرم)]],0)</f>
        <v>0</v>
      </c>
      <c r="L2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2" s="7">
        <f>-IF(AND(Main[[#This Row],[مقدار (کیلوگرم)]]&lt;0,Main[[#This Row],[تاريخ میلادی]]&gt;44276),Main[[#This Row],[مقدار (کیلوگرم)]],0)</f>
        <v>0</v>
      </c>
      <c r="N292" s="6">
        <f ca="1">Main[[#This Row],[بدهکار (کیلوگرم)]]-Main[[#This Row],[بدهی تسویه نشده (کیلوگرم)]]</f>
        <v>0</v>
      </c>
      <c r="O292" s="6">
        <f ca="1">Main[[#This Row],[تفکیک]]</f>
        <v>0</v>
      </c>
      <c r="P292" s="6">
        <f ca="1">IF(Main[[#This Row],[تاخیر از سررسید]]&gt;0,Main[[#This Row],[بدهی تسویه نشده (کیلوگرم)]],0)</f>
        <v>0</v>
      </c>
      <c r="Q292" s="6">
        <f ca="1">IF(Main[[#This Row],[بدهی تسویه نشده (کیلوگرم)]]&gt;0,'گزارش فردی'!$B$7-Main[[#This Row],[تاريخ میلادی]],0)</f>
        <v>0</v>
      </c>
      <c r="R292" s="6">
        <f ca="1">IF(Main[[#This Row],[بدهی تسویه نشده (کیلوگرم)]]&gt;0,'گزارش فردی'!$B$7-Main[[#This Row],[تاريخ میلادی]]-'گزارش فردی'!$B$8,0)</f>
        <v>0</v>
      </c>
      <c r="S292" s="6">
        <f ca="1">Main[[#This Row],[روز از ارسال سفارش]]*Main[[#This Row],[بدهی تسویه نشده (کیلوگرم)]]</f>
        <v>0</v>
      </c>
      <c r="T292" s="6">
        <f ca="1">Main[[#This Row],[بدهی سررسید شده (کیلوگرم)]]*Main[[#This Row],[روز از ارسال سفارش]]</f>
        <v>0</v>
      </c>
      <c r="U292" s="6">
        <f>-SUBTOTAL(9,INDEX(Main[مقدار (کیلوگرم)],1):Main[[#This Row],[مقدار (کیلوگرم)]])</f>
        <v>44354</v>
      </c>
      <c r="V2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2" s="6">
        <f>Main[[#This Row],[تعداد کل روزهای بدهکار (روز)]]*Main[[#This Row],[مانده در خط کل (کیلوگرم)]]</f>
        <v>0</v>
      </c>
      <c r="X292" s="6">
        <f ca="1">-SUBTOTAL(9,INDEX(Main[مقدار تسویه شده (کیلوگرم)],1):Main[[#This Row],[مقدار تسویه شده (کیلوگرم)]])</f>
        <v>44354</v>
      </c>
      <c r="Y292" s="6">
        <f ca="1">IF(Main[[#This Row],[مانده در خط تسویه شده (کیلوگرم)]]&lt;&gt;0,Main[[#This Row],[تعداد کل روزهای بدهکار (روز)]],0)</f>
        <v>0</v>
      </c>
      <c r="Z292" s="6">
        <f ca="1">Main[[#This Row],[تعداد روزهای بدهکار تسویه شده (روز)]]*Main[[#This Row],[مانده در خط تسویه شده (کیلوگرم)]]</f>
        <v>0</v>
      </c>
      <c r="AA292" s="6">
        <f ca="1">SUBTOTAL(9,INDEX(Main[بدهی تسویه نشده (کیلوگرم)],1):Main[[#This Row],[بدهی تسویه نشده (کیلوگرم)]])</f>
        <v>0</v>
      </c>
      <c r="AB292" s="6">
        <f ca="1">IF(Main[[#This Row],[مانده در خط تسویه نشده (کیلوگرم)]]&lt;&gt;0,Main[[#This Row],[تعداد کل روزهای بدهکار (روز)]],0)</f>
        <v>0</v>
      </c>
      <c r="AC292" s="6">
        <f ca="1">Main[[#This Row],[تعداد روزهای بدهکار  تسویه نشده (روز)]]*Main[[#This Row],[مانده در خط تسویه نشده (کیلوگرم)]]</f>
        <v>0</v>
      </c>
      <c r="AD292" s="6">
        <f ca="1">SUBTOTAL(9,INDEX(Main[بدهی سررسید شده (کیلوگرم)],1):Main[[#This Row],[بدهی سررسید شده (کیلوگرم)]])</f>
        <v>0</v>
      </c>
      <c r="AE292" s="6">
        <f ca="1">IF(Main[[#This Row],[مانده در خط سررسید شده (کیلوگرم)]]&lt;&gt;0,Main[[#This Row],[تعداد کل روزهای بدهکار (روز)]],0)</f>
        <v>0</v>
      </c>
      <c r="AF292" s="6">
        <f ca="1">Main[[#This Row],[تعداد روزهای بدهکار سررسید شده (روز)]]*Main[[#This Row],[مانده در خط سررسید شده (کیلوگرم)]]</f>
        <v>0</v>
      </c>
    </row>
    <row r="293" spans="1:32" x14ac:dyDescent="0.35">
      <c r="A293" s="5">
        <f>ROW()-ROW(INDEX(Main[ردیف],1))+1</f>
        <v>291</v>
      </c>
      <c r="B293" s="31">
        <f>SUBTOTAL(2,INDEX(Main[ردیف],1):Main[[#This Row],[ردیف]])</f>
        <v>28</v>
      </c>
      <c r="C293" s="32" t="s">
        <v>533</v>
      </c>
      <c r="D293" s="32" t="str">
        <f>_xlfn.CONCAT("14",Main[[#This Row],[تاريخ]])</f>
        <v>1400/02/08</v>
      </c>
      <c r="E293" s="33">
        <v>44314</v>
      </c>
      <c r="F293" s="32">
        <v>10003</v>
      </c>
      <c r="G293" s="5" t="str">
        <f>INDEX(customer[عنوان],MATCH(Main[[#This Row],[کد ردیابی]],customer[کد],0))</f>
        <v>اصغر نورعلی</v>
      </c>
      <c r="H293">
        <v>-796</v>
      </c>
      <c r="I293" s="6">
        <f ca="1">-Main[[#This Row],[بدهی تسویه شده (کیلوگرم)]]+Main[[#This Row],[بستانکار (کیلوگرم)]]</f>
        <v>-796</v>
      </c>
      <c r="J293" s="6">
        <f>IF(Main[[#This Row],[مقدار (کیلوگرم)]]&gt;0,Main[[#This Row],[مقدار (کیلوگرم)]],0)</f>
        <v>0</v>
      </c>
      <c r="K293" s="6">
        <f>-IF(Main[[#This Row],[مقدار (کیلوگرم)]]&lt;0,Main[[#This Row],[مقدار (کیلوگرم)]],0)</f>
        <v>796</v>
      </c>
      <c r="L2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3" s="7">
        <f>-IF(AND(Main[[#This Row],[مقدار (کیلوگرم)]]&lt;0,Main[[#This Row],[تاريخ میلادی]]&gt;44276),Main[[#This Row],[مقدار (کیلوگرم)]],0)</f>
        <v>796</v>
      </c>
      <c r="N293" s="6">
        <f ca="1">Main[[#This Row],[بدهکار (کیلوگرم)]]-Main[[#This Row],[بدهی تسویه نشده (کیلوگرم)]]</f>
        <v>796</v>
      </c>
      <c r="O293" s="6">
        <f ca="1">Main[[#This Row],[تفکیک]]</f>
        <v>0</v>
      </c>
      <c r="P293" s="6">
        <f ca="1">IF(Main[[#This Row],[تاخیر از سررسید]]&gt;0,Main[[#This Row],[بدهی تسویه نشده (کیلوگرم)]],0)</f>
        <v>0</v>
      </c>
      <c r="Q293" s="6">
        <f ca="1">IF(Main[[#This Row],[بدهی تسویه نشده (کیلوگرم)]]&gt;0,'گزارش فردی'!$B$7-Main[[#This Row],[تاريخ میلادی]],0)</f>
        <v>0</v>
      </c>
      <c r="R293" s="6">
        <f ca="1">IF(Main[[#This Row],[بدهی تسویه نشده (کیلوگرم)]]&gt;0,'گزارش فردی'!$B$7-Main[[#This Row],[تاريخ میلادی]]-'گزارش فردی'!$B$8,0)</f>
        <v>0</v>
      </c>
      <c r="S293" s="6">
        <f ca="1">Main[[#This Row],[روز از ارسال سفارش]]*Main[[#This Row],[بدهی تسویه نشده (کیلوگرم)]]</f>
        <v>0</v>
      </c>
      <c r="T293" s="6">
        <f ca="1">Main[[#This Row],[بدهی سررسید شده (کیلوگرم)]]*Main[[#This Row],[روز از ارسال سفارش]]</f>
        <v>0</v>
      </c>
      <c r="U293" s="6">
        <f>-SUBTOTAL(9,INDEX(Main[مقدار (کیلوگرم)],1):Main[[#This Row],[مقدار (کیلوگرم)]])</f>
        <v>45150</v>
      </c>
      <c r="V2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3" s="6">
        <f>Main[[#This Row],[تعداد کل روزهای بدهکار (روز)]]*Main[[#This Row],[مانده در خط کل (کیلوگرم)]]</f>
        <v>0</v>
      </c>
      <c r="X293" s="6">
        <f ca="1">-SUBTOTAL(9,INDEX(Main[مقدار تسویه شده (کیلوگرم)],1):Main[[#This Row],[مقدار تسویه شده (کیلوگرم)]])</f>
        <v>45150</v>
      </c>
      <c r="Y293" s="6">
        <f ca="1">IF(Main[[#This Row],[مانده در خط تسویه شده (کیلوگرم)]]&lt;&gt;0,Main[[#This Row],[تعداد کل روزهای بدهکار (روز)]],0)</f>
        <v>0</v>
      </c>
      <c r="Z293" s="6">
        <f ca="1">Main[[#This Row],[تعداد روزهای بدهکار تسویه شده (روز)]]*Main[[#This Row],[مانده در خط تسویه شده (کیلوگرم)]]</f>
        <v>0</v>
      </c>
      <c r="AA293" s="6">
        <f ca="1">SUBTOTAL(9,INDEX(Main[بدهی تسویه نشده (کیلوگرم)],1):Main[[#This Row],[بدهی تسویه نشده (کیلوگرم)]])</f>
        <v>0</v>
      </c>
      <c r="AB293" s="6">
        <f ca="1">IF(Main[[#This Row],[مانده در خط تسویه نشده (کیلوگرم)]]&lt;&gt;0,Main[[#This Row],[تعداد کل روزهای بدهکار (روز)]],0)</f>
        <v>0</v>
      </c>
      <c r="AC293" s="6">
        <f ca="1">Main[[#This Row],[تعداد روزهای بدهکار  تسویه نشده (روز)]]*Main[[#This Row],[مانده در خط تسویه نشده (کیلوگرم)]]</f>
        <v>0</v>
      </c>
      <c r="AD293" s="6">
        <f ca="1">SUBTOTAL(9,INDEX(Main[بدهی سررسید شده (کیلوگرم)],1):Main[[#This Row],[بدهی سررسید شده (کیلوگرم)]])</f>
        <v>0</v>
      </c>
      <c r="AE293" s="6">
        <f ca="1">IF(Main[[#This Row],[مانده در خط سررسید شده (کیلوگرم)]]&lt;&gt;0,Main[[#This Row],[تعداد کل روزهای بدهکار (روز)]],0)</f>
        <v>0</v>
      </c>
      <c r="AF293" s="6">
        <f ca="1">Main[[#This Row],[تعداد روزهای بدهکار سررسید شده (روز)]]*Main[[#This Row],[مانده در خط سررسید شده (کیلوگرم)]]</f>
        <v>0</v>
      </c>
    </row>
    <row r="294" spans="1:32" x14ac:dyDescent="0.35">
      <c r="A294" s="5">
        <f>ROW()-ROW(INDEX(Main[ردیف],1))+1</f>
        <v>292</v>
      </c>
      <c r="B294" s="31">
        <f>SUBTOTAL(2,INDEX(Main[ردیف],1):Main[[#This Row],[ردیف]])</f>
        <v>29</v>
      </c>
      <c r="C294" s="32" t="s">
        <v>533</v>
      </c>
      <c r="D294" s="32" t="str">
        <f>_xlfn.CONCAT("14",Main[[#This Row],[تاريخ]])</f>
        <v>1400/02/08</v>
      </c>
      <c r="E294" s="33">
        <v>44314</v>
      </c>
      <c r="F294" s="32">
        <v>10003</v>
      </c>
      <c r="G294" s="5" t="str">
        <f>INDEX(customer[عنوان],MATCH(Main[[#This Row],[کد ردیابی]],customer[کد],0))</f>
        <v>اصغر نورعلی</v>
      </c>
      <c r="H294">
        <v>2446</v>
      </c>
      <c r="I294" s="6">
        <f ca="1">-Main[[#This Row],[بدهی تسویه شده (کیلوگرم)]]+Main[[#This Row],[بستانکار (کیلوگرم)]]</f>
        <v>2446</v>
      </c>
      <c r="J294" s="6">
        <f>IF(Main[[#This Row],[مقدار (کیلوگرم)]]&gt;0,Main[[#This Row],[مقدار (کیلوگرم)]],0)</f>
        <v>2446</v>
      </c>
      <c r="K294" s="6">
        <f>-IF(Main[[#This Row],[مقدار (کیلوگرم)]]&lt;0,Main[[#This Row],[مقدار (کیلوگرم)]],0)</f>
        <v>0</v>
      </c>
      <c r="L2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4" s="7">
        <f>-IF(AND(Main[[#This Row],[مقدار (کیلوگرم)]]&lt;0,Main[[#This Row],[تاريخ میلادی]]&gt;44276),Main[[#This Row],[مقدار (کیلوگرم)]],0)</f>
        <v>0</v>
      </c>
      <c r="N294" s="6">
        <f ca="1">Main[[#This Row],[بدهکار (کیلوگرم)]]-Main[[#This Row],[بدهی تسویه نشده (کیلوگرم)]]</f>
        <v>0</v>
      </c>
      <c r="O294" s="6">
        <f ca="1">Main[[#This Row],[تفکیک]]</f>
        <v>0</v>
      </c>
      <c r="P294" s="6">
        <f ca="1">IF(Main[[#This Row],[تاخیر از سررسید]]&gt;0,Main[[#This Row],[بدهی تسویه نشده (کیلوگرم)]],0)</f>
        <v>0</v>
      </c>
      <c r="Q294" s="6">
        <f ca="1">IF(Main[[#This Row],[بدهی تسویه نشده (کیلوگرم)]]&gt;0,'گزارش فردی'!$B$7-Main[[#This Row],[تاريخ میلادی]],0)</f>
        <v>0</v>
      </c>
      <c r="R294" s="6">
        <f ca="1">IF(Main[[#This Row],[بدهی تسویه نشده (کیلوگرم)]]&gt;0,'گزارش فردی'!$B$7-Main[[#This Row],[تاريخ میلادی]]-'گزارش فردی'!$B$8,0)</f>
        <v>0</v>
      </c>
      <c r="S294" s="6">
        <f ca="1">Main[[#This Row],[روز از ارسال سفارش]]*Main[[#This Row],[بدهی تسویه نشده (کیلوگرم)]]</f>
        <v>0</v>
      </c>
      <c r="T294" s="6">
        <f ca="1">Main[[#This Row],[بدهی سررسید شده (کیلوگرم)]]*Main[[#This Row],[روز از ارسال سفارش]]</f>
        <v>0</v>
      </c>
      <c r="U294" s="6">
        <f>-SUBTOTAL(9,INDEX(Main[مقدار (کیلوگرم)],1):Main[[#This Row],[مقدار (کیلوگرم)]])</f>
        <v>42704</v>
      </c>
      <c r="V2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4" s="6">
        <f>Main[[#This Row],[تعداد کل روزهای بدهکار (روز)]]*Main[[#This Row],[مانده در خط کل (کیلوگرم)]]</f>
        <v>42704</v>
      </c>
      <c r="X294" s="6">
        <f ca="1">-SUBTOTAL(9,INDEX(Main[مقدار تسویه شده (کیلوگرم)],1):Main[[#This Row],[مقدار تسویه شده (کیلوگرم)]])</f>
        <v>42704</v>
      </c>
      <c r="Y294" s="6">
        <f ca="1">IF(Main[[#This Row],[مانده در خط تسویه شده (کیلوگرم)]]&lt;&gt;0,Main[[#This Row],[تعداد کل روزهای بدهکار (روز)]],0)</f>
        <v>1</v>
      </c>
      <c r="Z294" s="6">
        <f ca="1">Main[[#This Row],[تعداد روزهای بدهکار تسویه شده (روز)]]*Main[[#This Row],[مانده در خط تسویه شده (کیلوگرم)]]</f>
        <v>42704</v>
      </c>
      <c r="AA294" s="6">
        <f ca="1">SUBTOTAL(9,INDEX(Main[بدهی تسویه نشده (کیلوگرم)],1):Main[[#This Row],[بدهی تسویه نشده (کیلوگرم)]])</f>
        <v>0</v>
      </c>
      <c r="AB294" s="6">
        <f ca="1">IF(Main[[#This Row],[مانده در خط تسویه نشده (کیلوگرم)]]&lt;&gt;0,Main[[#This Row],[تعداد کل روزهای بدهکار (روز)]],0)</f>
        <v>0</v>
      </c>
      <c r="AC294" s="6">
        <f ca="1">Main[[#This Row],[تعداد روزهای بدهکار  تسویه نشده (روز)]]*Main[[#This Row],[مانده در خط تسویه نشده (کیلوگرم)]]</f>
        <v>0</v>
      </c>
      <c r="AD294" s="6">
        <f ca="1">SUBTOTAL(9,INDEX(Main[بدهی سررسید شده (کیلوگرم)],1):Main[[#This Row],[بدهی سررسید شده (کیلوگرم)]])</f>
        <v>0</v>
      </c>
      <c r="AE294" s="6">
        <f ca="1">IF(Main[[#This Row],[مانده در خط سررسید شده (کیلوگرم)]]&lt;&gt;0,Main[[#This Row],[تعداد کل روزهای بدهکار (روز)]],0)</f>
        <v>0</v>
      </c>
      <c r="AF294" s="6">
        <f ca="1">Main[[#This Row],[تعداد روزهای بدهکار سررسید شده (روز)]]*Main[[#This Row],[مانده در خط سررسید شده (کیلوگرم)]]</f>
        <v>0</v>
      </c>
    </row>
    <row r="295" spans="1:32" hidden="1" x14ac:dyDescent="0.35">
      <c r="A295" s="5">
        <f>ROW()-ROW(INDEX(Main[ردیف],1))+1</f>
        <v>293</v>
      </c>
      <c r="B295" s="31">
        <f>SUBTOTAL(2,INDEX(Main[ردیف],1):Main[[#This Row],[ردیف]])</f>
        <v>29</v>
      </c>
      <c r="C295" s="32" t="s">
        <v>533</v>
      </c>
      <c r="D295" s="32" t="str">
        <f>_xlfn.CONCAT("14",Main[[#This Row],[تاريخ]])</f>
        <v>1400/02/08</v>
      </c>
      <c r="E295" s="33">
        <v>44314</v>
      </c>
      <c r="F295" s="32">
        <v>10027</v>
      </c>
      <c r="G295" s="5" t="str">
        <f>INDEX(customer[عنوان],MATCH(Main[[#This Row],[کد ردیابی]],customer[کد],0))</f>
        <v xml:space="preserve">مصطفی نورعلی </v>
      </c>
      <c r="H295">
        <v>-1834</v>
      </c>
      <c r="I295" s="6">
        <f ca="1">-Main[[#This Row],[بدهی تسویه شده (کیلوگرم)]]+Main[[#This Row],[بستانکار (کیلوگرم)]]</f>
        <v>-1834</v>
      </c>
      <c r="J295" s="6">
        <f>IF(Main[[#This Row],[مقدار (کیلوگرم)]]&gt;0,Main[[#This Row],[مقدار (کیلوگرم)]],0)</f>
        <v>0</v>
      </c>
      <c r="K295" s="6">
        <f>-IF(Main[[#This Row],[مقدار (کیلوگرم)]]&lt;0,Main[[#This Row],[مقدار (کیلوگرم)]],0)</f>
        <v>1834</v>
      </c>
      <c r="L2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5" s="7">
        <f>-IF(AND(Main[[#This Row],[مقدار (کیلوگرم)]]&lt;0,Main[[#This Row],[تاريخ میلادی]]&gt;44276),Main[[#This Row],[مقدار (کیلوگرم)]],0)</f>
        <v>1834</v>
      </c>
      <c r="N295" s="6">
        <f ca="1">Main[[#This Row],[بدهکار (کیلوگرم)]]-Main[[#This Row],[بدهی تسویه نشده (کیلوگرم)]]</f>
        <v>1834</v>
      </c>
      <c r="O295" s="6">
        <f ca="1">Main[[#This Row],[تفکیک]]</f>
        <v>0</v>
      </c>
      <c r="P295" s="6">
        <f ca="1">IF(Main[[#This Row],[تاخیر از سررسید]]&gt;0,Main[[#This Row],[بدهی تسویه نشده (کیلوگرم)]],0)</f>
        <v>0</v>
      </c>
      <c r="Q295" s="6">
        <f ca="1">IF(Main[[#This Row],[بدهی تسویه نشده (کیلوگرم)]]&gt;0,'گزارش فردی'!$B$7-Main[[#This Row],[تاريخ میلادی]],0)</f>
        <v>0</v>
      </c>
      <c r="R295" s="6">
        <f ca="1">IF(Main[[#This Row],[بدهی تسویه نشده (کیلوگرم)]]&gt;0,'گزارش فردی'!$B$7-Main[[#This Row],[تاريخ میلادی]]-'گزارش فردی'!$B$8,0)</f>
        <v>0</v>
      </c>
      <c r="S295" s="6">
        <f ca="1">Main[[#This Row],[روز از ارسال سفارش]]*Main[[#This Row],[بدهی تسویه نشده (کیلوگرم)]]</f>
        <v>0</v>
      </c>
      <c r="T295" s="6">
        <f ca="1">Main[[#This Row],[بدهی سررسید شده (کیلوگرم)]]*Main[[#This Row],[روز از ارسال سفارش]]</f>
        <v>0</v>
      </c>
      <c r="U295" s="6">
        <f>-SUBTOTAL(9,INDEX(Main[مقدار (کیلوگرم)],1):Main[[#This Row],[مقدار (کیلوگرم)]])</f>
        <v>42704</v>
      </c>
      <c r="V2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5" s="6">
        <f>Main[[#This Row],[تعداد کل روزهای بدهکار (روز)]]*Main[[#This Row],[مانده در خط کل (کیلوگرم)]]</f>
        <v>42704</v>
      </c>
      <c r="X295" s="6">
        <f ca="1">-SUBTOTAL(9,INDEX(Main[مقدار تسویه شده (کیلوگرم)],1):Main[[#This Row],[مقدار تسویه شده (کیلوگرم)]])</f>
        <v>42704</v>
      </c>
      <c r="Y295" s="6">
        <f ca="1">IF(Main[[#This Row],[مانده در خط تسویه شده (کیلوگرم)]]&lt;&gt;0,Main[[#This Row],[تعداد کل روزهای بدهکار (روز)]],0)</f>
        <v>1</v>
      </c>
      <c r="Z295" s="6">
        <f ca="1">Main[[#This Row],[تعداد روزهای بدهکار تسویه شده (روز)]]*Main[[#This Row],[مانده در خط تسویه شده (کیلوگرم)]]</f>
        <v>42704</v>
      </c>
      <c r="AA295" s="6">
        <f ca="1">SUBTOTAL(9,INDEX(Main[بدهی تسویه نشده (کیلوگرم)],1):Main[[#This Row],[بدهی تسویه نشده (کیلوگرم)]])</f>
        <v>0</v>
      </c>
      <c r="AB295" s="6">
        <f ca="1">IF(Main[[#This Row],[مانده در خط تسویه نشده (کیلوگرم)]]&lt;&gt;0,Main[[#This Row],[تعداد کل روزهای بدهکار (روز)]],0)</f>
        <v>0</v>
      </c>
      <c r="AC295" s="6">
        <f ca="1">Main[[#This Row],[تعداد روزهای بدهکار  تسویه نشده (روز)]]*Main[[#This Row],[مانده در خط تسویه نشده (کیلوگرم)]]</f>
        <v>0</v>
      </c>
      <c r="AD295" s="6">
        <f ca="1">SUBTOTAL(9,INDEX(Main[بدهی سررسید شده (کیلوگرم)],1):Main[[#This Row],[بدهی سررسید شده (کیلوگرم)]])</f>
        <v>0</v>
      </c>
      <c r="AE295" s="6">
        <f ca="1">IF(Main[[#This Row],[مانده در خط سررسید شده (کیلوگرم)]]&lt;&gt;0,Main[[#This Row],[تعداد کل روزهای بدهکار (روز)]],0)</f>
        <v>0</v>
      </c>
      <c r="AF295" s="6">
        <f ca="1">Main[[#This Row],[تعداد روزهای بدهکار سررسید شده (روز)]]*Main[[#This Row],[مانده در خط سررسید شده (کیلوگرم)]]</f>
        <v>0</v>
      </c>
    </row>
    <row r="296" spans="1:32" hidden="1" x14ac:dyDescent="0.35">
      <c r="A296" s="5">
        <f>ROW()-ROW(INDEX(Main[ردیف],1))+1</f>
        <v>294</v>
      </c>
      <c r="B296" s="31">
        <f>SUBTOTAL(2,INDEX(Main[ردیف],1):Main[[#This Row],[ردیف]])</f>
        <v>29</v>
      </c>
      <c r="C296" s="32" t="s">
        <v>533</v>
      </c>
      <c r="D296" s="32" t="str">
        <f>_xlfn.CONCAT("14",Main[[#This Row],[تاريخ]])</f>
        <v>1400/02/08</v>
      </c>
      <c r="E296" s="33">
        <v>44314</v>
      </c>
      <c r="F296" s="32">
        <v>10069</v>
      </c>
      <c r="G296" s="5" t="str">
        <f>INDEX(customer[عنوان],MATCH(Main[[#This Row],[کد ردیابی]],customer[کد],0))</f>
        <v xml:space="preserve">جواد عرب </v>
      </c>
      <c r="H296">
        <v>107</v>
      </c>
      <c r="I296" s="6">
        <f ca="1">-Main[[#This Row],[بدهی تسویه شده (کیلوگرم)]]+Main[[#This Row],[بستانکار (کیلوگرم)]]</f>
        <v>107</v>
      </c>
      <c r="J296" s="6">
        <f>IF(Main[[#This Row],[مقدار (کیلوگرم)]]&gt;0,Main[[#This Row],[مقدار (کیلوگرم)]],0)</f>
        <v>107</v>
      </c>
      <c r="K296" s="6">
        <f>-IF(Main[[#This Row],[مقدار (کیلوگرم)]]&lt;0,Main[[#This Row],[مقدار (کیلوگرم)]],0)</f>
        <v>0</v>
      </c>
      <c r="L2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6" s="7">
        <f>-IF(AND(Main[[#This Row],[مقدار (کیلوگرم)]]&lt;0,Main[[#This Row],[تاريخ میلادی]]&gt;44276),Main[[#This Row],[مقدار (کیلوگرم)]],0)</f>
        <v>0</v>
      </c>
      <c r="N296" s="6">
        <f ca="1">Main[[#This Row],[بدهکار (کیلوگرم)]]-Main[[#This Row],[بدهی تسویه نشده (کیلوگرم)]]</f>
        <v>0</v>
      </c>
      <c r="O296" s="6">
        <f ca="1">Main[[#This Row],[تفکیک]]</f>
        <v>0</v>
      </c>
      <c r="P296" s="6">
        <f ca="1">IF(Main[[#This Row],[تاخیر از سررسید]]&gt;0,Main[[#This Row],[بدهی تسویه نشده (کیلوگرم)]],0)</f>
        <v>0</v>
      </c>
      <c r="Q296" s="6">
        <f ca="1">IF(Main[[#This Row],[بدهی تسویه نشده (کیلوگرم)]]&gt;0,'گزارش فردی'!$B$7-Main[[#This Row],[تاريخ میلادی]],0)</f>
        <v>0</v>
      </c>
      <c r="R296" s="6">
        <f ca="1">IF(Main[[#This Row],[بدهی تسویه نشده (کیلوگرم)]]&gt;0,'گزارش فردی'!$B$7-Main[[#This Row],[تاريخ میلادی]]-'گزارش فردی'!$B$8,0)</f>
        <v>0</v>
      </c>
      <c r="S296" s="6">
        <f ca="1">Main[[#This Row],[روز از ارسال سفارش]]*Main[[#This Row],[بدهی تسویه نشده (کیلوگرم)]]</f>
        <v>0</v>
      </c>
      <c r="T296" s="6">
        <f ca="1">Main[[#This Row],[بدهی سررسید شده (کیلوگرم)]]*Main[[#This Row],[روز از ارسال سفارش]]</f>
        <v>0</v>
      </c>
      <c r="U296" s="6">
        <f>-SUBTOTAL(9,INDEX(Main[مقدار (کیلوگرم)],1):Main[[#This Row],[مقدار (کیلوگرم)]])</f>
        <v>42704</v>
      </c>
      <c r="V2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6" s="6">
        <f>Main[[#This Row],[تعداد کل روزهای بدهکار (روز)]]*Main[[#This Row],[مانده در خط کل (کیلوگرم)]]</f>
        <v>42704</v>
      </c>
      <c r="X296" s="6">
        <f ca="1">-SUBTOTAL(9,INDEX(Main[مقدار تسویه شده (کیلوگرم)],1):Main[[#This Row],[مقدار تسویه شده (کیلوگرم)]])</f>
        <v>42704</v>
      </c>
      <c r="Y296" s="6">
        <f ca="1">IF(Main[[#This Row],[مانده در خط تسویه شده (کیلوگرم)]]&lt;&gt;0,Main[[#This Row],[تعداد کل روزهای بدهکار (روز)]],0)</f>
        <v>1</v>
      </c>
      <c r="Z296" s="6">
        <f ca="1">Main[[#This Row],[تعداد روزهای بدهکار تسویه شده (روز)]]*Main[[#This Row],[مانده در خط تسویه شده (کیلوگرم)]]</f>
        <v>42704</v>
      </c>
      <c r="AA296" s="6">
        <f ca="1">SUBTOTAL(9,INDEX(Main[بدهی تسویه نشده (کیلوگرم)],1):Main[[#This Row],[بدهی تسویه نشده (کیلوگرم)]])</f>
        <v>0</v>
      </c>
      <c r="AB296" s="6">
        <f ca="1">IF(Main[[#This Row],[مانده در خط تسویه نشده (کیلوگرم)]]&lt;&gt;0,Main[[#This Row],[تعداد کل روزهای بدهکار (روز)]],0)</f>
        <v>0</v>
      </c>
      <c r="AC296" s="6">
        <f ca="1">Main[[#This Row],[تعداد روزهای بدهکار  تسویه نشده (روز)]]*Main[[#This Row],[مانده در خط تسویه نشده (کیلوگرم)]]</f>
        <v>0</v>
      </c>
      <c r="AD296" s="6">
        <f ca="1">SUBTOTAL(9,INDEX(Main[بدهی سررسید شده (کیلوگرم)],1):Main[[#This Row],[بدهی سررسید شده (کیلوگرم)]])</f>
        <v>0</v>
      </c>
      <c r="AE296" s="6">
        <f ca="1">IF(Main[[#This Row],[مانده در خط سررسید شده (کیلوگرم)]]&lt;&gt;0,Main[[#This Row],[تعداد کل روزهای بدهکار (روز)]],0)</f>
        <v>0</v>
      </c>
      <c r="AF296" s="6">
        <f ca="1">Main[[#This Row],[تعداد روزهای بدهکار سررسید شده (روز)]]*Main[[#This Row],[مانده در خط سررسید شده (کیلوگرم)]]</f>
        <v>0</v>
      </c>
    </row>
    <row r="297" spans="1:32" hidden="1" x14ac:dyDescent="0.35">
      <c r="A297" s="5">
        <f>ROW()-ROW(INDEX(Main[ردیف],1))+1</f>
        <v>295</v>
      </c>
      <c r="B297" s="31">
        <f>SUBTOTAL(2,INDEX(Main[ردیف],1):Main[[#This Row],[ردیف]])</f>
        <v>29</v>
      </c>
      <c r="C297" s="32" t="s">
        <v>533</v>
      </c>
      <c r="D297" s="32" t="str">
        <f>_xlfn.CONCAT("14",Main[[#This Row],[تاريخ]])</f>
        <v>1400/02/08</v>
      </c>
      <c r="E297" s="33">
        <v>44314</v>
      </c>
      <c r="F297" s="32">
        <v>10104</v>
      </c>
      <c r="G297" s="5" t="str">
        <f>INDEX(customer[عنوان],MATCH(Main[[#This Row],[کد ردیابی]],customer[کد],0))</f>
        <v>بهزادی فر اصغر</v>
      </c>
      <c r="H297">
        <v>-560</v>
      </c>
      <c r="I297" s="6">
        <f ca="1">-Main[[#This Row],[بدهی تسویه شده (کیلوگرم)]]+Main[[#This Row],[بستانکار (کیلوگرم)]]</f>
        <v>-560</v>
      </c>
      <c r="J297" s="6">
        <f>IF(Main[[#This Row],[مقدار (کیلوگرم)]]&gt;0,Main[[#This Row],[مقدار (کیلوگرم)]],0)</f>
        <v>0</v>
      </c>
      <c r="K297" s="6">
        <f>-IF(Main[[#This Row],[مقدار (کیلوگرم)]]&lt;0,Main[[#This Row],[مقدار (کیلوگرم)]],0)</f>
        <v>560</v>
      </c>
      <c r="L2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7" s="7">
        <f>-IF(AND(Main[[#This Row],[مقدار (کیلوگرم)]]&lt;0,Main[[#This Row],[تاريخ میلادی]]&gt;44276),Main[[#This Row],[مقدار (کیلوگرم)]],0)</f>
        <v>560</v>
      </c>
      <c r="N297" s="6">
        <f ca="1">Main[[#This Row],[بدهکار (کیلوگرم)]]-Main[[#This Row],[بدهی تسویه نشده (کیلوگرم)]]</f>
        <v>560</v>
      </c>
      <c r="O297" s="6">
        <f ca="1">Main[[#This Row],[تفکیک]]</f>
        <v>0</v>
      </c>
      <c r="P297" s="6">
        <f ca="1">IF(Main[[#This Row],[تاخیر از سررسید]]&gt;0,Main[[#This Row],[بدهی تسویه نشده (کیلوگرم)]],0)</f>
        <v>0</v>
      </c>
      <c r="Q297" s="6">
        <f ca="1">IF(Main[[#This Row],[بدهی تسویه نشده (کیلوگرم)]]&gt;0,'گزارش فردی'!$B$7-Main[[#This Row],[تاريخ میلادی]],0)</f>
        <v>0</v>
      </c>
      <c r="R297" s="6">
        <f ca="1">IF(Main[[#This Row],[بدهی تسویه نشده (کیلوگرم)]]&gt;0,'گزارش فردی'!$B$7-Main[[#This Row],[تاريخ میلادی]]-'گزارش فردی'!$B$8,0)</f>
        <v>0</v>
      </c>
      <c r="S297" s="6">
        <f ca="1">Main[[#This Row],[روز از ارسال سفارش]]*Main[[#This Row],[بدهی تسویه نشده (کیلوگرم)]]</f>
        <v>0</v>
      </c>
      <c r="T297" s="6">
        <f ca="1">Main[[#This Row],[بدهی سررسید شده (کیلوگرم)]]*Main[[#This Row],[روز از ارسال سفارش]]</f>
        <v>0</v>
      </c>
      <c r="U297" s="6">
        <f>-SUBTOTAL(9,INDEX(Main[مقدار (کیلوگرم)],1):Main[[#This Row],[مقدار (کیلوگرم)]])</f>
        <v>42704</v>
      </c>
      <c r="V2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7" s="6">
        <f>Main[[#This Row],[تعداد کل روزهای بدهکار (روز)]]*Main[[#This Row],[مانده در خط کل (کیلوگرم)]]</f>
        <v>42704</v>
      </c>
      <c r="X297" s="6">
        <f ca="1">-SUBTOTAL(9,INDEX(Main[مقدار تسویه شده (کیلوگرم)],1):Main[[#This Row],[مقدار تسویه شده (کیلوگرم)]])</f>
        <v>42704</v>
      </c>
      <c r="Y297" s="6">
        <f ca="1">IF(Main[[#This Row],[مانده در خط تسویه شده (کیلوگرم)]]&lt;&gt;0,Main[[#This Row],[تعداد کل روزهای بدهکار (روز)]],0)</f>
        <v>1</v>
      </c>
      <c r="Z297" s="6">
        <f ca="1">Main[[#This Row],[تعداد روزهای بدهکار تسویه شده (روز)]]*Main[[#This Row],[مانده در خط تسویه شده (کیلوگرم)]]</f>
        <v>42704</v>
      </c>
      <c r="AA297" s="6">
        <f ca="1">SUBTOTAL(9,INDEX(Main[بدهی تسویه نشده (کیلوگرم)],1):Main[[#This Row],[بدهی تسویه نشده (کیلوگرم)]])</f>
        <v>0</v>
      </c>
      <c r="AB297" s="6">
        <f ca="1">IF(Main[[#This Row],[مانده در خط تسویه نشده (کیلوگرم)]]&lt;&gt;0,Main[[#This Row],[تعداد کل روزهای بدهکار (روز)]],0)</f>
        <v>0</v>
      </c>
      <c r="AC297" s="6">
        <f ca="1">Main[[#This Row],[تعداد روزهای بدهکار  تسویه نشده (روز)]]*Main[[#This Row],[مانده در خط تسویه نشده (کیلوگرم)]]</f>
        <v>0</v>
      </c>
      <c r="AD297" s="6">
        <f ca="1">SUBTOTAL(9,INDEX(Main[بدهی سررسید شده (کیلوگرم)],1):Main[[#This Row],[بدهی سررسید شده (کیلوگرم)]])</f>
        <v>0</v>
      </c>
      <c r="AE297" s="6">
        <f ca="1">IF(Main[[#This Row],[مانده در خط سررسید شده (کیلوگرم)]]&lt;&gt;0,Main[[#This Row],[تعداد کل روزهای بدهکار (روز)]],0)</f>
        <v>0</v>
      </c>
      <c r="AF297" s="6">
        <f ca="1">Main[[#This Row],[تعداد روزهای بدهکار سررسید شده (روز)]]*Main[[#This Row],[مانده در خط سررسید شده (کیلوگرم)]]</f>
        <v>0</v>
      </c>
    </row>
    <row r="298" spans="1:32" hidden="1" x14ac:dyDescent="0.35">
      <c r="A298" s="5">
        <f>ROW()-ROW(INDEX(Main[ردیف],1))+1</f>
        <v>296</v>
      </c>
      <c r="B298" s="31">
        <f>SUBTOTAL(2,INDEX(Main[ردیف],1):Main[[#This Row],[ردیف]])</f>
        <v>29</v>
      </c>
      <c r="C298" s="32" t="s">
        <v>533</v>
      </c>
      <c r="D298" s="32" t="str">
        <f>_xlfn.CONCAT("14",Main[[#This Row],[تاريخ]])</f>
        <v>1400/02/08</v>
      </c>
      <c r="E298" s="33">
        <v>44314</v>
      </c>
      <c r="F298" s="32">
        <v>10069</v>
      </c>
      <c r="G298" s="5" t="str">
        <f>INDEX(customer[عنوان],MATCH(Main[[#This Row],[کد ردیابی]],customer[کد],0))</f>
        <v xml:space="preserve">جواد عرب </v>
      </c>
      <c r="H298">
        <v>1280</v>
      </c>
      <c r="I298" s="6">
        <f ca="1">-Main[[#This Row],[بدهی تسویه شده (کیلوگرم)]]+Main[[#This Row],[بستانکار (کیلوگرم)]]</f>
        <v>1280</v>
      </c>
      <c r="J298" s="6">
        <f>IF(Main[[#This Row],[مقدار (کیلوگرم)]]&gt;0,Main[[#This Row],[مقدار (کیلوگرم)]],0)</f>
        <v>1280</v>
      </c>
      <c r="K298" s="6">
        <f>-IF(Main[[#This Row],[مقدار (کیلوگرم)]]&lt;0,Main[[#This Row],[مقدار (کیلوگرم)]],0)</f>
        <v>0</v>
      </c>
      <c r="L2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8" s="7">
        <f>-IF(AND(Main[[#This Row],[مقدار (کیلوگرم)]]&lt;0,Main[[#This Row],[تاريخ میلادی]]&gt;44276),Main[[#This Row],[مقدار (کیلوگرم)]],0)</f>
        <v>0</v>
      </c>
      <c r="N298" s="6">
        <f ca="1">Main[[#This Row],[بدهکار (کیلوگرم)]]-Main[[#This Row],[بدهی تسویه نشده (کیلوگرم)]]</f>
        <v>0</v>
      </c>
      <c r="O298" s="6">
        <f ca="1">Main[[#This Row],[تفکیک]]</f>
        <v>0</v>
      </c>
      <c r="P298" s="6">
        <f ca="1">IF(Main[[#This Row],[تاخیر از سررسید]]&gt;0,Main[[#This Row],[بدهی تسویه نشده (کیلوگرم)]],0)</f>
        <v>0</v>
      </c>
      <c r="Q298" s="6">
        <f ca="1">IF(Main[[#This Row],[بدهی تسویه نشده (کیلوگرم)]]&gt;0,'گزارش فردی'!$B$7-Main[[#This Row],[تاريخ میلادی]],0)</f>
        <v>0</v>
      </c>
      <c r="R298" s="6">
        <f ca="1">IF(Main[[#This Row],[بدهی تسویه نشده (کیلوگرم)]]&gt;0,'گزارش فردی'!$B$7-Main[[#This Row],[تاريخ میلادی]]-'گزارش فردی'!$B$8,0)</f>
        <v>0</v>
      </c>
      <c r="S298" s="6">
        <f ca="1">Main[[#This Row],[روز از ارسال سفارش]]*Main[[#This Row],[بدهی تسویه نشده (کیلوگرم)]]</f>
        <v>0</v>
      </c>
      <c r="T298" s="6">
        <f ca="1">Main[[#This Row],[بدهی سررسید شده (کیلوگرم)]]*Main[[#This Row],[روز از ارسال سفارش]]</f>
        <v>0</v>
      </c>
      <c r="U298" s="6">
        <f>-SUBTOTAL(9,INDEX(Main[مقدار (کیلوگرم)],1):Main[[#This Row],[مقدار (کیلوگرم)]])</f>
        <v>42704</v>
      </c>
      <c r="V2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8" s="6">
        <f>Main[[#This Row],[تعداد کل روزهای بدهکار (روز)]]*Main[[#This Row],[مانده در خط کل (کیلوگرم)]]</f>
        <v>42704</v>
      </c>
      <c r="X298" s="6">
        <f ca="1">-SUBTOTAL(9,INDEX(Main[مقدار تسویه شده (کیلوگرم)],1):Main[[#This Row],[مقدار تسویه شده (کیلوگرم)]])</f>
        <v>42704</v>
      </c>
      <c r="Y298" s="6">
        <f ca="1">IF(Main[[#This Row],[مانده در خط تسویه شده (کیلوگرم)]]&lt;&gt;0,Main[[#This Row],[تعداد کل روزهای بدهکار (روز)]],0)</f>
        <v>1</v>
      </c>
      <c r="Z298" s="6">
        <f ca="1">Main[[#This Row],[تعداد روزهای بدهکار تسویه شده (روز)]]*Main[[#This Row],[مانده در خط تسویه شده (کیلوگرم)]]</f>
        <v>42704</v>
      </c>
      <c r="AA298" s="6">
        <f ca="1">SUBTOTAL(9,INDEX(Main[بدهی تسویه نشده (کیلوگرم)],1):Main[[#This Row],[بدهی تسویه نشده (کیلوگرم)]])</f>
        <v>0</v>
      </c>
      <c r="AB298" s="6">
        <f ca="1">IF(Main[[#This Row],[مانده در خط تسویه نشده (کیلوگرم)]]&lt;&gt;0,Main[[#This Row],[تعداد کل روزهای بدهکار (روز)]],0)</f>
        <v>0</v>
      </c>
      <c r="AC298" s="6">
        <f ca="1">Main[[#This Row],[تعداد روزهای بدهکار  تسویه نشده (روز)]]*Main[[#This Row],[مانده در خط تسویه نشده (کیلوگرم)]]</f>
        <v>0</v>
      </c>
      <c r="AD298" s="6">
        <f ca="1">SUBTOTAL(9,INDEX(Main[بدهی سررسید شده (کیلوگرم)],1):Main[[#This Row],[بدهی سررسید شده (کیلوگرم)]])</f>
        <v>0</v>
      </c>
      <c r="AE298" s="6">
        <f ca="1">IF(Main[[#This Row],[مانده در خط سررسید شده (کیلوگرم)]]&lt;&gt;0,Main[[#This Row],[تعداد کل روزهای بدهکار (روز)]],0)</f>
        <v>0</v>
      </c>
      <c r="AF298" s="6">
        <f ca="1">Main[[#This Row],[تعداد روزهای بدهکار سررسید شده (روز)]]*Main[[#This Row],[مانده در خط سررسید شده (کیلوگرم)]]</f>
        <v>0</v>
      </c>
    </row>
    <row r="299" spans="1:32" hidden="1" x14ac:dyDescent="0.35">
      <c r="A299" s="5">
        <f>ROW()-ROW(INDEX(Main[ردیف],1))+1</f>
        <v>297</v>
      </c>
      <c r="B299" s="31">
        <f>SUBTOTAL(2,INDEX(Main[ردیف],1):Main[[#This Row],[ردیف]])</f>
        <v>29</v>
      </c>
      <c r="C299" s="32" t="s">
        <v>533</v>
      </c>
      <c r="D299" s="32" t="str">
        <f>_xlfn.CONCAT("14",Main[[#This Row],[تاريخ]])</f>
        <v>1400/02/08</v>
      </c>
      <c r="E299" s="33">
        <v>44314</v>
      </c>
      <c r="F299" s="32">
        <v>10069</v>
      </c>
      <c r="G299" s="5" t="str">
        <f>INDEX(customer[عنوان],MATCH(Main[[#This Row],[کد ردیابی]],customer[کد],0))</f>
        <v xml:space="preserve">جواد عرب </v>
      </c>
      <c r="H299">
        <v>-2100</v>
      </c>
      <c r="I299" s="6">
        <f ca="1">-Main[[#This Row],[بدهی تسویه شده (کیلوگرم)]]+Main[[#This Row],[بستانکار (کیلوگرم)]]</f>
        <v>-2100</v>
      </c>
      <c r="J299" s="6">
        <f>IF(Main[[#This Row],[مقدار (کیلوگرم)]]&gt;0,Main[[#This Row],[مقدار (کیلوگرم)]],0)</f>
        <v>0</v>
      </c>
      <c r="K299" s="6">
        <f>-IF(Main[[#This Row],[مقدار (کیلوگرم)]]&lt;0,Main[[#This Row],[مقدار (کیلوگرم)]],0)</f>
        <v>2100</v>
      </c>
      <c r="L2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9" s="7">
        <f>-IF(AND(Main[[#This Row],[مقدار (کیلوگرم)]]&lt;0,Main[[#This Row],[تاريخ میلادی]]&gt;44276),Main[[#This Row],[مقدار (کیلوگرم)]],0)</f>
        <v>2100</v>
      </c>
      <c r="N299" s="6">
        <f ca="1">Main[[#This Row],[بدهکار (کیلوگرم)]]-Main[[#This Row],[بدهی تسویه نشده (کیلوگرم)]]</f>
        <v>2100</v>
      </c>
      <c r="O299" s="6">
        <f ca="1">Main[[#This Row],[تفکیک]]</f>
        <v>0</v>
      </c>
      <c r="P299" s="6">
        <f ca="1">IF(Main[[#This Row],[تاخیر از سررسید]]&gt;0,Main[[#This Row],[بدهی تسویه نشده (کیلوگرم)]],0)</f>
        <v>0</v>
      </c>
      <c r="Q299" s="6">
        <f ca="1">IF(Main[[#This Row],[بدهی تسویه نشده (کیلوگرم)]]&gt;0,'گزارش فردی'!$B$7-Main[[#This Row],[تاريخ میلادی]],0)</f>
        <v>0</v>
      </c>
      <c r="R299" s="6">
        <f ca="1">IF(Main[[#This Row],[بدهی تسویه نشده (کیلوگرم)]]&gt;0,'گزارش فردی'!$B$7-Main[[#This Row],[تاريخ میلادی]]-'گزارش فردی'!$B$8,0)</f>
        <v>0</v>
      </c>
      <c r="S299" s="6">
        <f ca="1">Main[[#This Row],[روز از ارسال سفارش]]*Main[[#This Row],[بدهی تسویه نشده (کیلوگرم)]]</f>
        <v>0</v>
      </c>
      <c r="T299" s="6">
        <f ca="1">Main[[#This Row],[بدهی سررسید شده (کیلوگرم)]]*Main[[#This Row],[روز از ارسال سفارش]]</f>
        <v>0</v>
      </c>
      <c r="U299" s="6">
        <f>-SUBTOTAL(9,INDEX(Main[مقدار (کیلوگرم)],1):Main[[#This Row],[مقدار (کیلوگرم)]])</f>
        <v>42704</v>
      </c>
      <c r="V2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9" s="6">
        <f>Main[[#This Row],[تعداد کل روزهای بدهکار (روز)]]*Main[[#This Row],[مانده در خط کل (کیلوگرم)]]</f>
        <v>42704</v>
      </c>
      <c r="X299" s="6">
        <f ca="1">-SUBTOTAL(9,INDEX(Main[مقدار تسویه شده (کیلوگرم)],1):Main[[#This Row],[مقدار تسویه شده (کیلوگرم)]])</f>
        <v>42704</v>
      </c>
      <c r="Y299" s="6">
        <f ca="1">IF(Main[[#This Row],[مانده در خط تسویه شده (کیلوگرم)]]&lt;&gt;0,Main[[#This Row],[تعداد کل روزهای بدهکار (روز)]],0)</f>
        <v>1</v>
      </c>
      <c r="Z299" s="6">
        <f ca="1">Main[[#This Row],[تعداد روزهای بدهکار تسویه شده (روز)]]*Main[[#This Row],[مانده در خط تسویه شده (کیلوگرم)]]</f>
        <v>42704</v>
      </c>
      <c r="AA299" s="6">
        <f ca="1">SUBTOTAL(9,INDEX(Main[بدهی تسویه نشده (کیلوگرم)],1):Main[[#This Row],[بدهی تسویه نشده (کیلوگرم)]])</f>
        <v>0</v>
      </c>
      <c r="AB299" s="6">
        <f ca="1">IF(Main[[#This Row],[مانده در خط تسویه نشده (کیلوگرم)]]&lt;&gt;0,Main[[#This Row],[تعداد کل روزهای بدهکار (روز)]],0)</f>
        <v>0</v>
      </c>
      <c r="AC299" s="6">
        <f ca="1">Main[[#This Row],[تعداد روزهای بدهکار  تسویه نشده (روز)]]*Main[[#This Row],[مانده در خط تسویه نشده (کیلوگرم)]]</f>
        <v>0</v>
      </c>
      <c r="AD299" s="6">
        <f ca="1">SUBTOTAL(9,INDEX(Main[بدهی سررسید شده (کیلوگرم)],1):Main[[#This Row],[بدهی سررسید شده (کیلوگرم)]])</f>
        <v>0</v>
      </c>
      <c r="AE299" s="6">
        <f ca="1">IF(Main[[#This Row],[مانده در خط سررسید شده (کیلوگرم)]]&lt;&gt;0,Main[[#This Row],[تعداد کل روزهای بدهکار (روز)]],0)</f>
        <v>0</v>
      </c>
      <c r="AF299" s="6">
        <f ca="1">Main[[#This Row],[تعداد روزهای بدهکار سررسید شده (روز)]]*Main[[#This Row],[مانده در خط سررسید شده (کیلوگرم)]]</f>
        <v>0</v>
      </c>
    </row>
    <row r="300" spans="1:32" hidden="1" x14ac:dyDescent="0.35">
      <c r="A300" s="5">
        <f>ROW()-ROW(INDEX(Main[ردیف],1))+1</f>
        <v>298</v>
      </c>
      <c r="B300" s="31">
        <f>SUBTOTAL(2,INDEX(Main[ردیف],1):Main[[#This Row],[ردیف]])</f>
        <v>29</v>
      </c>
      <c r="C300" s="32" t="s">
        <v>533</v>
      </c>
      <c r="D300" s="32" t="str">
        <f>_xlfn.CONCAT("14",Main[[#This Row],[تاريخ]])</f>
        <v>1400/02/08</v>
      </c>
      <c r="E300" s="33">
        <v>44314</v>
      </c>
      <c r="F300" s="32">
        <v>30004</v>
      </c>
      <c r="G300" s="5" t="str">
        <f>INDEX(customer[عنوان],MATCH(Main[[#This Row],[کد ردیابی]],customer[کد],0))</f>
        <v>تولیدی صنعتی صفاشیر پارس</v>
      </c>
      <c r="H300">
        <v>2723</v>
      </c>
      <c r="I300" s="6">
        <f ca="1">-Main[[#This Row],[بدهی تسویه شده (کیلوگرم)]]+Main[[#This Row],[بستانکار (کیلوگرم)]]</f>
        <v>2723</v>
      </c>
      <c r="J300" s="6">
        <f>IF(Main[[#This Row],[مقدار (کیلوگرم)]]&gt;0,Main[[#This Row],[مقدار (کیلوگرم)]],0)</f>
        <v>2723</v>
      </c>
      <c r="K300" s="6">
        <f>-IF(Main[[#This Row],[مقدار (کیلوگرم)]]&lt;0,Main[[#This Row],[مقدار (کیلوگرم)]],0)</f>
        <v>0</v>
      </c>
      <c r="L3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0" s="7">
        <f>-IF(AND(Main[[#This Row],[مقدار (کیلوگرم)]]&lt;0,Main[[#This Row],[تاريخ میلادی]]&gt;44276),Main[[#This Row],[مقدار (کیلوگرم)]],0)</f>
        <v>0</v>
      </c>
      <c r="N300" s="6">
        <f ca="1">Main[[#This Row],[بدهکار (کیلوگرم)]]-Main[[#This Row],[بدهی تسویه نشده (کیلوگرم)]]</f>
        <v>0</v>
      </c>
      <c r="O300" s="6">
        <f ca="1">Main[[#This Row],[تفکیک]]</f>
        <v>0</v>
      </c>
      <c r="P300" s="6">
        <f ca="1">IF(Main[[#This Row],[تاخیر از سررسید]]&gt;0,Main[[#This Row],[بدهی تسویه نشده (کیلوگرم)]],0)</f>
        <v>0</v>
      </c>
      <c r="Q300" s="6">
        <f ca="1">IF(Main[[#This Row],[بدهی تسویه نشده (کیلوگرم)]]&gt;0,'گزارش فردی'!$B$7-Main[[#This Row],[تاريخ میلادی]],0)</f>
        <v>0</v>
      </c>
      <c r="R300" s="6">
        <f ca="1">IF(Main[[#This Row],[بدهی تسویه نشده (کیلوگرم)]]&gt;0,'گزارش فردی'!$B$7-Main[[#This Row],[تاريخ میلادی]]-'گزارش فردی'!$B$8,0)</f>
        <v>0</v>
      </c>
      <c r="S300" s="6">
        <f ca="1">Main[[#This Row],[روز از ارسال سفارش]]*Main[[#This Row],[بدهی تسویه نشده (کیلوگرم)]]</f>
        <v>0</v>
      </c>
      <c r="T300" s="6">
        <f ca="1">Main[[#This Row],[بدهی سررسید شده (کیلوگرم)]]*Main[[#This Row],[روز از ارسال سفارش]]</f>
        <v>0</v>
      </c>
      <c r="U300" s="6">
        <f>-SUBTOTAL(9,INDEX(Main[مقدار (کیلوگرم)],1):Main[[#This Row],[مقدار (کیلوگرم)]])</f>
        <v>42704</v>
      </c>
      <c r="V3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0" s="6">
        <f>Main[[#This Row],[تعداد کل روزهای بدهکار (روز)]]*Main[[#This Row],[مانده در خط کل (کیلوگرم)]]</f>
        <v>42704</v>
      </c>
      <c r="X300" s="6">
        <f ca="1">-SUBTOTAL(9,INDEX(Main[مقدار تسویه شده (کیلوگرم)],1):Main[[#This Row],[مقدار تسویه شده (کیلوگرم)]])</f>
        <v>42704</v>
      </c>
      <c r="Y300" s="6">
        <f ca="1">IF(Main[[#This Row],[مانده در خط تسویه شده (کیلوگرم)]]&lt;&gt;0,Main[[#This Row],[تعداد کل روزهای بدهکار (روز)]],0)</f>
        <v>1</v>
      </c>
      <c r="Z300" s="6">
        <f ca="1">Main[[#This Row],[تعداد روزهای بدهکار تسویه شده (روز)]]*Main[[#This Row],[مانده در خط تسویه شده (کیلوگرم)]]</f>
        <v>42704</v>
      </c>
      <c r="AA300" s="6">
        <f ca="1">SUBTOTAL(9,INDEX(Main[بدهی تسویه نشده (کیلوگرم)],1):Main[[#This Row],[بدهی تسویه نشده (کیلوگرم)]])</f>
        <v>0</v>
      </c>
      <c r="AB300" s="6">
        <f ca="1">IF(Main[[#This Row],[مانده در خط تسویه نشده (کیلوگرم)]]&lt;&gt;0,Main[[#This Row],[تعداد کل روزهای بدهکار (روز)]],0)</f>
        <v>0</v>
      </c>
      <c r="AC300" s="6">
        <f ca="1">Main[[#This Row],[تعداد روزهای بدهکار  تسویه نشده (روز)]]*Main[[#This Row],[مانده در خط تسویه نشده (کیلوگرم)]]</f>
        <v>0</v>
      </c>
      <c r="AD300" s="6">
        <f ca="1">SUBTOTAL(9,INDEX(Main[بدهی سررسید شده (کیلوگرم)],1):Main[[#This Row],[بدهی سررسید شده (کیلوگرم)]])</f>
        <v>0</v>
      </c>
      <c r="AE300" s="6">
        <f ca="1">IF(Main[[#This Row],[مانده در خط سررسید شده (کیلوگرم)]]&lt;&gt;0,Main[[#This Row],[تعداد کل روزهای بدهکار (روز)]],0)</f>
        <v>0</v>
      </c>
      <c r="AF300" s="6">
        <f ca="1">Main[[#This Row],[تعداد روزهای بدهکار سررسید شده (روز)]]*Main[[#This Row],[مانده در خط سررسید شده (کیلوگرم)]]</f>
        <v>0</v>
      </c>
    </row>
    <row r="301" spans="1:32" hidden="1" x14ac:dyDescent="0.35">
      <c r="A301" s="5">
        <f>ROW()-ROW(INDEX(Main[ردیف],1))+1</f>
        <v>299</v>
      </c>
      <c r="B301" s="31">
        <f>SUBTOTAL(2,INDEX(Main[ردیف],1):Main[[#This Row],[ردیف]])</f>
        <v>29</v>
      </c>
      <c r="C301" s="32" t="s">
        <v>533</v>
      </c>
      <c r="D301" s="32" t="str">
        <f>_xlfn.CONCAT("14",Main[[#This Row],[تاريخ]])</f>
        <v>1400/02/08</v>
      </c>
      <c r="E301" s="33">
        <v>44314</v>
      </c>
      <c r="F301" s="32">
        <v>50011</v>
      </c>
      <c r="G301" s="5" t="str">
        <f>INDEX(customer[عنوان],MATCH(Main[[#This Row],[کد ردیابی]],customer[کد],0))</f>
        <v xml:space="preserve">جعفر هوشمند </v>
      </c>
      <c r="H301">
        <v>1025</v>
      </c>
      <c r="I301" s="6">
        <f ca="1">-Main[[#This Row],[بدهی تسویه شده (کیلوگرم)]]+Main[[#This Row],[بستانکار (کیلوگرم)]]</f>
        <v>1025</v>
      </c>
      <c r="J301" s="6">
        <f>IF(Main[[#This Row],[مقدار (کیلوگرم)]]&gt;0,Main[[#This Row],[مقدار (کیلوگرم)]],0)</f>
        <v>1025</v>
      </c>
      <c r="K301" s="6">
        <f>-IF(Main[[#This Row],[مقدار (کیلوگرم)]]&lt;0,Main[[#This Row],[مقدار (کیلوگرم)]],0)</f>
        <v>0</v>
      </c>
      <c r="L3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1" s="7">
        <f>-IF(AND(Main[[#This Row],[مقدار (کیلوگرم)]]&lt;0,Main[[#This Row],[تاريخ میلادی]]&gt;44276),Main[[#This Row],[مقدار (کیلوگرم)]],0)</f>
        <v>0</v>
      </c>
      <c r="N301" s="6">
        <f ca="1">Main[[#This Row],[بدهکار (کیلوگرم)]]-Main[[#This Row],[بدهی تسویه نشده (کیلوگرم)]]</f>
        <v>0</v>
      </c>
      <c r="O301" s="6">
        <f ca="1">Main[[#This Row],[تفکیک]]</f>
        <v>0</v>
      </c>
      <c r="P301" s="6">
        <f ca="1">IF(Main[[#This Row],[تاخیر از سررسید]]&gt;0,Main[[#This Row],[بدهی تسویه نشده (کیلوگرم)]],0)</f>
        <v>0</v>
      </c>
      <c r="Q301" s="6">
        <f ca="1">IF(Main[[#This Row],[بدهی تسویه نشده (کیلوگرم)]]&gt;0,'گزارش فردی'!$B$7-Main[[#This Row],[تاريخ میلادی]],0)</f>
        <v>0</v>
      </c>
      <c r="R301" s="6">
        <f ca="1">IF(Main[[#This Row],[بدهی تسویه نشده (کیلوگرم)]]&gt;0,'گزارش فردی'!$B$7-Main[[#This Row],[تاريخ میلادی]]-'گزارش فردی'!$B$8,0)</f>
        <v>0</v>
      </c>
      <c r="S301" s="6">
        <f ca="1">Main[[#This Row],[روز از ارسال سفارش]]*Main[[#This Row],[بدهی تسویه نشده (کیلوگرم)]]</f>
        <v>0</v>
      </c>
      <c r="T301" s="6">
        <f ca="1">Main[[#This Row],[بدهی سررسید شده (کیلوگرم)]]*Main[[#This Row],[روز از ارسال سفارش]]</f>
        <v>0</v>
      </c>
      <c r="U301" s="6">
        <f>-SUBTOTAL(9,INDEX(Main[مقدار (کیلوگرم)],1):Main[[#This Row],[مقدار (کیلوگرم)]])</f>
        <v>42704</v>
      </c>
      <c r="V3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1" s="6">
        <f>Main[[#This Row],[تعداد کل روزهای بدهکار (روز)]]*Main[[#This Row],[مانده در خط کل (کیلوگرم)]]</f>
        <v>42704</v>
      </c>
      <c r="X301" s="6">
        <f ca="1">-SUBTOTAL(9,INDEX(Main[مقدار تسویه شده (کیلوگرم)],1):Main[[#This Row],[مقدار تسویه شده (کیلوگرم)]])</f>
        <v>42704</v>
      </c>
      <c r="Y301" s="6">
        <f ca="1">IF(Main[[#This Row],[مانده در خط تسویه شده (کیلوگرم)]]&lt;&gt;0,Main[[#This Row],[تعداد کل روزهای بدهکار (روز)]],0)</f>
        <v>1</v>
      </c>
      <c r="Z301" s="6">
        <f ca="1">Main[[#This Row],[تعداد روزهای بدهکار تسویه شده (روز)]]*Main[[#This Row],[مانده در خط تسویه شده (کیلوگرم)]]</f>
        <v>42704</v>
      </c>
      <c r="AA301" s="6">
        <f ca="1">SUBTOTAL(9,INDEX(Main[بدهی تسویه نشده (کیلوگرم)],1):Main[[#This Row],[بدهی تسویه نشده (کیلوگرم)]])</f>
        <v>0</v>
      </c>
      <c r="AB301" s="6">
        <f ca="1">IF(Main[[#This Row],[مانده در خط تسویه نشده (کیلوگرم)]]&lt;&gt;0,Main[[#This Row],[تعداد کل روزهای بدهکار (روز)]],0)</f>
        <v>0</v>
      </c>
      <c r="AC301" s="6">
        <f ca="1">Main[[#This Row],[تعداد روزهای بدهکار  تسویه نشده (روز)]]*Main[[#This Row],[مانده در خط تسویه نشده (کیلوگرم)]]</f>
        <v>0</v>
      </c>
      <c r="AD301" s="6">
        <f ca="1">SUBTOTAL(9,INDEX(Main[بدهی سررسید شده (کیلوگرم)],1):Main[[#This Row],[بدهی سررسید شده (کیلوگرم)]])</f>
        <v>0</v>
      </c>
      <c r="AE301" s="6">
        <f ca="1">IF(Main[[#This Row],[مانده در خط سررسید شده (کیلوگرم)]]&lt;&gt;0,Main[[#This Row],[تعداد کل روزهای بدهکار (روز)]],0)</f>
        <v>0</v>
      </c>
      <c r="AF301" s="6">
        <f ca="1">Main[[#This Row],[تعداد روزهای بدهکار سررسید شده (روز)]]*Main[[#This Row],[مانده در خط سررسید شده (کیلوگرم)]]</f>
        <v>0</v>
      </c>
    </row>
    <row r="302" spans="1:32" hidden="1" x14ac:dyDescent="0.35">
      <c r="A302" s="5">
        <f>ROW()-ROW(INDEX(Main[ردیف],1))+1</f>
        <v>300</v>
      </c>
      <c r="B302" s="31">
        <f>SUBTOTAL(2,INDEX(Main[ردیف],1):Main[[#This Row],[ردیف]])</f>
        <v>29</v>
      </c>
      <c r="C302" s="32" t="s">
        <v>533</v>
      </c>
      <c r="D302" s="32" t="str">
        <f>_xlfn.CONCAT("14",Main[[#This Row],[تاريخ]])</f>
        <v>1400/02/08</v>
      </c>
      <c r="E302" s="33">
        <v>44314</v>
      </c>
      <c r="F302" s="32">
        <v>30012</v>
      </c>
      <c r="G302" s="5" t="str">
        <f>INDEX(customer[عنوان],MATCH(Main[[#This Row],[کد ردیابی]],customer[کد],0))</f>
        <v xml:space="preserve">پارس قفل </v>
      </c>
      <c r="H302">
        <v>1060</v>
      </c>
      <c r="I302" s="6">
        <f ca="1">-Main[[#This Row],[بدهی تسویه شده (کیلوگرم)]]+Main[[#This Row],[بستانکار (کیلوگرم)]]</f>
        <v>1060</v>
      </c>
      <c r="J302" s="6">
        <f>IF(Main[[#This Row],[مقدار (کیلوگرم)]]&gt;0,Main[[#This Row],[مقدار (کیلوگرم)]],0)</f>
        <v>1060</v>
      </c>
      <c r="K302" s="6">
        <f>-IF(Main[[#This Row],[مقدار (کیلوگرم)]]&lt;0,Main[[#This Row],[مقدار (کیلوگرم)]],0)</f>
        <v>0</v>
      </c>
      <c r="L3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2" s="7">
        <f>-IF(AND(Main[[#This Row],[مقدار (کیلوگرم)]]&lt;0,Main[[#This Row],[تاريخ میلادی]]&gt;44276),Main[[#This Row],[مقدار (کیلوگرم)]],0)</f>
        <v>0</v>
      </c>
      <c r="N302" s="6">
        <f ca="1">Main[[#This Row],[بدهکار (کیلوگرم)]]-Main[[#This Row],[بدهی تسویه نشده (کیلوگرم)]]</f>
        <v>0</v>
      </c>
      <c r="O302" s="6">
        <f ca="1">Main[[#This Row],[تفکیک]]</f>
        <v>0</v>
      </c>
      <c r="P302" s="6">
        <f ca="1">IF(Main[[#This Row],[تاخیر از سررسید]]&gt;0,Main[[#This Row],[بدهی تسویه نشده (کیلوگرم)]],0)</f>
        <v>0</v>
      </c>
      <c r="Q302" s="6">
        <f ca="1">IF(Main[[#This Row],[بدهی تسویه نشده (کیلوگرم)]]&gt;0,'گزارش فردی'!$B$7-Main[[#This Row],[تاريخ میلادی]],0)</f>
        <v>0</v>
      </c>
      <c r="R302" s="6">
        <f ca="1">IF(Main[[#This Row],[بدهی تسویه نشده (کیلوگرم)]]&gt;0,'گزارش فردی'!$B$7-Main[[#This Row],[تاريخ میلادی]]-'گزارش فردی'!$B$8,0)</f>
        <v>0</v>
      </c>
      <c r="S302" s="6">
        <f ca="1">Main[[#This Row],[روز از ارسال سفارش]]*Main[[#This Row],[بدهی تسویه نشده (کیلوگرم)]]</f>
        <v>0</v>
      </c>
      <c r="T302" s="6">
        <f ca="1">Main[[#This Row],[بدهی سررسید شده (کیلوگرم)]]*Main[[#This Row],[روز از ارسال سفارش]]</f>
        <v>0</v>
      </c>
      <c r="U302" s="6">
        <f>-SUBTOTAL(9,INDEX(Main[مقدار (کیلوگرم)],1):Main[[#This Row],[مقدار (کیلوگرم)]])</f>
        <v>42704</v>
      </c>
      <c r="V3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2" s="6">
        <f>Main[[#This Row],[تعداد کل روزهای بدهکار (روز)]]*Main[[#This Row],[مانده در خط کل (کیلوگرم)]]</f>
        <v>42704</v>
      </c>
      <c r="X302" s="6">
        <f ca="1">-SUBTOTAL(9,INDEX(Main[مقدار تسویه شده (کیلوگرم)],1):Main[[#This Row],[مقدار تسویه شده (کیلوگرم)]])</f>
        <v>42704</v>
      </c>
      <c r="Y302" s="6">
        <f ca="1">IF(Main[[#This Row],[مانده در خط تسویه شده (کیلوگرم)]]&lt;&gt;0,Main[[#This Row],[تعداد کل روزهای بدهکار (روز)]],0)</f>
        <v>1</v>
      </c>
      <c r="Z302" s="6">
        <f ca="1">Main[[#This Row],[تعداد روزهای بدهکار تسویه شده (روز)]]*Main[[#This Row],[مانده در خط تسویه شده (کیلوگرم)]]</f>
        <v>42704</v>
      </c>
      <c r="AA302" s="6">
        <f ca="1">SUBTOTAL(9,INDEX(Main[بدهی تسویه نشده (کیلوگرم)],1):Main[[#This Row],[بدهی تسویه نشده (کیلوگرم)]])</f>
        <v>0</v>
      </c>
      <c r="AB302" s="6">
        <f ca="1">IF(Main[[#This Row],[مانده در خط تسویه نشده (کیلوگرم)]]&lt;&gt;0,Main[[#This Row],[تعداد کل روزهای بدهکار (روز)]],0)</f>
        <v>0</v>
      </c>
      <c r="AC302" s="6">
        <f ca="1">Main[[#This Row],[تعداد روزهای بدهکار  تسویه نشده (روز)]]*Main[[#This Row],[مانده در خط تسویه نشده (کیلوگرم)]]</f>
        <v>0</v>
      </c>
      <c r="AD302" s="6">
        <f ca="1">SUBTOTAL(9,INDEX(Main[بدهی سررسید شده (کیلوگرم)],1):Main[[#This Row],[بدهی سررسید شده (کیلوگرم)]])</f>
        <v>0</v>
      </c>
      <c r="AE302" s="6">
        <f ca="1">IF(Main[[#This Row],[مانده در خط سررسید شده (کیلوگرم)]]&lt;&gt;0,Main[[#This Row],[تعداد کل روزهای بدهکار (روز)]],0)</f>
        <v>0</v>
      </c>
      <c r="AF302" s="6">
        <f ca="1">Main[[#This Row],[تعداد روزهای بدهکار سررسید شده (روز)]]*Main[[#This Row],[مانده در خط سررسید شده (کیلوگرم)]]</f>
        <v>0</v>
      </c>
    </row>
    <row r="303" spans="1:32" hidden="1" x14ac:dyDescent="0.35">
      <c r="A303" s="5">
        <f>ROW()-ROW(INDEX(Main[ردیف],1))+1</f>
        <v>301</v>
      </c>
      <c r="B303" s="31">
        <f>SUBTOTAL(2,INDEX(Main[ردیف],1):Main[[#This Row],[ردیف]])</f>
        <v>29</v>
      </c>
      <c r="C303" s="32" t="s">
        <v>533</v>
      </c>
      <c r="D303" s="32" t="str">
        <f>_xlfn.CONCAT("14",Main[[#This Row],[تاريخ]])</f>
        <v>1400/02/08</v>
      </c>
      <c r="E303" s="33">
        <v>44314</v>
      </c>
      <c r="F303" s="32">
        <v>30012</v>
      </c>
      <c r="G303" s="5" t="str">
        <f>INDEX(customer[عنوان],MATCH(Main[[#This Row],[کد ردیابی]],customer[کد],0))</f>
        <v xml:space="preserve">پارس قفل </v>
      </c>
      <c r="H303">
        <v>928</v>
      </c>
      <c r="I303" s="6">
        <f ca="1">-Main[[#This Row],[بدهی تسویه شده (کیلوگرم)]]+Main[[#This Row],[بستانکار (کیلوگرم)]]</f>
        <v>928</v>
      </c>
      <c r="J303" s="6">
        <f>IF(Main[[#This Row],[مقدار (کیلوگرم)]]&gt;0,Main[[#This Row],[مقدار (کیلوگرم)]],0)</f>
        <v>928</v>
      </c>
      <c r="K303" s="6">
        <f>-IF(Main[[#This Row],[مقدار (کیلوگرم)]]&lt;0,Main[[#This Row],[مقدار (کیلوگرم)]],0)</f>
        <v>0</v>
      </c>
      <c r="L3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3" s="7">
        <f>-IF(AND(Main[[#This Row],[مقدار (کیلوگرم)]]&lt;0,Main[[#This Row],[تاريخ میلادی]]&gt;44276),Main[[#This Row],[مقدار (کیلوگرم)]],0)</f>
        <v>0</v>
      </c>
      <c r="N303" s="6">
        <f ca="1">Main[[#This Row],[بدهکار (کیلوگرم)]]-Main[[#This Row],[بدهی تسویه نشده (کیلوگرم)]]</f>
        <v>0</v>
      </c>
      <c r="O303" s="6">
        <f ca="1">Main[[#This Row],[تفکیک]]</f>
        <v>0</v>
      </c>
      <c r="P303" s="6">
        <f ca="1">IF(Main[[#This Row],[تاخیر از سررسید]]&gt;0,Main[[#This Row],[بدهی تسویه نشده (کیلوگرم)]],0)</f>
        <v>0</v>
      </c>
      <c r="Q303" s="6">
        <f ca="1">IF(Main[[#This Row],[بدهی تسویه نشده (کیلوگرم)]]&gt;0,'گزارش فردی'!$B$7-Main[[#This Row],[تاريخ میلادی]],0)</f>
        <v>0</v>
      </c>
      <c r="R303" s="6">
        <f ca="1">IF(Main[[#This Row],[بدهی تسویه نشده (کیلوگرم)]]&gt;0,'گزارش فردی'!$B$7-Main[[#This Row],[تاريخ میلادی]]-'گزارش فردی'!$B$8,0)</f>
        <v>0</v>
      </c>
      <c r="S303" s="6">
        <f ca="1">Main[[#This Row],[روز از ارسال سفارش]]*Main[[#This Row],[بدهی تسویه نشده (کیلوگرم)]]</f>
        <v>0</v>
      </c>
      <c r="T303" s="6">
        <f ca="1">Main[[#This Row],[بدهی سررسید شده (کیلوگرم)]]*Main[[#This Row],[روز از ارسال سفارش]]</f>
        <v>0</v>
      </c>
      <c r="U303" s="6">
        <f>-SUBTOTAL(9,INDEX(Main[مقدار (کیلوگرم)],1):Main[[#This Row],[مقدار (کیلوگرم)]])</f>
        <v>42704</v>
      </c>
      <c r="V3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3" s="6">
        <f>Main[[#This Row],[تعداد کل روزهای بدهکار (روز)]]*Main[[#This Row],[مانده در خط کل (کیلوگرم)]]</f>
        <v>42704</v>
      </c>
      <c r="X303" s="6">
        <f ca="1">-SUBTOTAL(9,INDEX(Main[مقدار تسویه شده (کیلوگرم)],1):Main[[#This Row],[مقدار تسویه شده (کیلوگرم)]])</f>
        <v>42704</v>
      </c>
      <c r="Y303" s="6">
        <f ca="1">IF(Main[[#This Row],[مانده در خط تسویه شده (کیلوگرم)]]&lt;&gt;0,Main[[#This Row],[تعداد کل روزهای بدهکار (روز)]],0)</f>
        <v>1</v>
      </c>
      <c r="Z303" s="6">
        <f ca="1">Main[[#This Row],[تعداد روزهای بدهکار تسویه شده (روز)]]*Main[[#This Row],[مانده در خط تسویه شده (کیلوگرم)]]</f>
        <v>42704</v>
      </c>
      <c r="AA303" s="6">
        <f ca="1">SUBTOTAL(9,INDEX(Main[بدهی تسویه نشده (کیلوگرم)],1):Main[[#This Row],[بدهی تسویه نشده (کیلوگرم)]])</f>
        <v>0</v>
      </c>
      <c r="AB303" s="6">
        <f ca="1">IF(Main[[#This Row],[مانده در خط تسویه نشده (کیلوگرم)]]&lt;&gt;0,Main[[#This Row],[تعداد کل روزهای بدهکار (روز)]],0)</f>
        <v>0</v>
      </c>
      <c r="AC303" s="6">
        <f ca="1">Main[[#This Row],[تعداد روزهای بدهکار  تسویه نشده (روز)]]*Main[[#This Row],[مانده در خط تسویه نشده (کیلوگرم)]]</f>
        <v>0</v>
      </c>
      <c r="AD303" s="6">
        <f ca="1">SUBTOTAL(9,INDEX(Main[بدهی سررسید شده (کیلوگرم)],1):Main[[#This Row],[بدهی سررسید شده (کیلوگرم)]])</f>
        <v>0</v>
      </c>
      <c r="AE303" s="6">
        <f ca="1">IF(Main[[#This Row],[مانده در خط سررسید شده (کیلوگرم)]]&lt;&gt;0,Main[[#This Row],[تعداد کل روزهای بدهکار (روز)]],0)</f>
        <v>0</v>
      </c>
      <c r="AF303" s="6">
        <f ca="1">Main[[#This Row],[تعداد روزهای بدهکار سررسید شده (روز)]]*Main[[#This Row],[مانده در خط سررسید شده (کیلوگرم)]]</f>
        <v>0</v>
      </c>
    </row>
    <row r="304" spans="1:32" hidden="1" x14ac:dyDescent="0.35">
      <c r="A304" s="5">
        <f>ROW()-ROW(INDEX(Main[ردیف],1))+1</f>
        <v>302</v>
      </c>
      <c r="B304" s="31">
        <f>SUBTOTAL(2,INDEX(Main[ردیف],1):Main[[#This Row],[ردیف]])</f>
        <v>29</v>
      </c>
      <c r="C304" s="32" t="s">
        <v>535</v>
      </c>
      <c r="D304" s="32" t="str">
        <f>_xlfn.CONCAT("14",Main[[#This Row],[تاريخ]])</f>
        <v>1400/02/09</v>
      </c>
      <c r="E304" s="33">
        <v>44315</v>
      </c>
      <c r="F304" s="32">
        <v>30127</v>
      </c>
      <c r="G304" s="5" t="str">
        <f>INDEX(customer[عنوان],MATCH(Main[[#This Row],[کد ردیابی]],customer[کد],0))</f>
        <v>شیر گاز آذران</v>
      </c>
      <c r="H304">
        <v>-16567</v>
      </c>
      <c r="I304" s="6">
        <f ca="1">-Main[[#This Row],[بدهی تسویه شده (کیلوگرم)]]+Main[[#This Row],[بستانکار (کیلوگرم)]]</f>
        <v>-16567</v>
      </c>
      <c r="J304" s="6">
        <f>IF(Main[[#This Row],[مقدار (کیلوگرم)]]&gt;0,Main[[#This Row],[مقدار (کیلوگرم)]],0)</f>
        <v>0</v>
      </c>
      <c r="K304" s="6">
        <f>-IF(Main[[#This Row],[مقدار (کیلوگرم)]]&lt;0,Main[[#This Row],[مقدار (کیلوگرم)]],0)</f>
        <v>16567</v>
      </c>
      <c r="L3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4" s="7">
        <f>-IF(AND(Main[[#This Row],[مقدار (کیلوگرم)]]&lt;0,Main[[#This Row],[تاريخ میلادی]]&gt;44276),Main[[#This Row],[مقدار (کیلوگرم)]],0)</f>
        <v>16567</v>
      </c>
      <c r="N304" s="6">
        <f ca="1">Main[[#This Row],[بدهکار (کیلوگرم)]]-Main[[#This Row],[بدهی تسویه نشده (کیلوگرم)]]</f>
        <v>16567</v>
      </c>
      <c r="O304" s="6">
        <f ca="1">Main[[#This Row],[تفکیک]]</f>
        <v>0</v>
      </c>
      <c r="P304" s="6">
        <f ca="1">IF(Main[[#This Row],[تاخیر از سررسید]]&gt;0,Main[[#This Row],[بدهی تسویه نشده (کیلوگرم)]],0)</f>
        <v>0</v>
      </c>
      <c r="Q304" s="6">
        <f ca="1">IF(Main[[#This Row],[بدهی تسویه نشده (کیلوگرم)]]&gt;0,'گزارش فردی'!$B$7-Main[[#This Row],[تاريخ میلادی]],0)</f>
        <v>0</v>
      </c>
      <c r="R304" s="6">
        <f ca="1">IF(Main[[#This Row],[بدهی تسویه نشده (کیلوگرم)]]&gt;0,'گزارش فردی'!$B$7-Main[[#This Row],[تاريخ میلادی]]-'گزارش فردی'!$B$8,0)</f>
        <v>0</v>
      </c>
      <c r="S304" s="6">
        <f ca="1">Main[[#This Row],[روز از ارسال سفارش]]*Main[[#This Row],[بدهی تسویه نشده (کیلوگرم)]]</f>
        <v>0</v>
      </c>
      <c r="T304" s="6">
        <f ca="1">Main[[#This Row],[بدهی سررسید شده (کیلوگرم)]]*Main[[#This Row],[روز از ارسال سفارش]]</f>
        <v>0</v>
      </c>
      <c r="U304" s="6">
        <f>-SUBTOTAL(9,INDEX(Main[مقدار (کیلوگرم)],1):Main[[#This Row],[مقدار (کیلوگرم)]])</f>
        <v>42704</v>
      </c>
      <c r="V3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4" s="6">
        <f>Main[[#This Row],[تعداد کل روزهای بدهکار (روز)]]*Main[[#This Row],[مانده در خط کل (کیلوگرم)]]</f>
        <v>0</v>
      </c>
      <c r="X304" s="6">
        <f ca="1">-SUBTOTAL(9,INDEX(Main[مقدار تسویه شده (کیلوگرم)],1):Main[[#This Row],[مقدار تسویه شده (کیلوگرم)]])</f>
        <v>42704</v>
      </c>
      <c r="Y304" s="6">
        <f ca="1">IF(Main[[#This Row],[مانده در خط تسویه شده (کیلوگرم)]]&lt;&gt;0,Main[[#This Row],[تعداد کل روزهای بدهکار (روز)]],0)</f>
        <v>0</v>
      </c>
      <c r="Z304" s="6">
        <f ca="1">Main[[#This Row],[تعداد روزهای بدهکار تسویه شده (روز)]]*Main[[#This Row],[مانده در خط تسویه شده (کیلوگرم)]]</f>
        <v>0</v>
      </c>
      <c r="AA304" s="6">
        <f ca="1">SUBTOTAL(9,INDEX(Main[بدهی تسویه نشده (کیلوگرم)],1):Main[[#This Row],[بدهی تسویه نشده (کیلوگرم)]])</f>
        <v>0</v>
      </c>
      <c r="AB304" s="6">
        <f ca="1">IF(Main[[#This Row],[مانده در خط تسویه نشده (کیلوگرم)]]&lt;&gt;0,Main[[#This Row],[تعداد کل روزهای بدهکار (روز)]],0)</f>
        <v>0</v>
      </c>
      <c r="AC304" s="6">
        <f ca="1">Main[[#This Row],[تعداد روزهای بدهکار  تسویه نشده (روز)]]*Main[[#This Row],[مانده در خط تسویه نشده (کیلوگرم)]]</f>
        <v>0</v>
      </c>
      <c r="AD304" s="6">
        <f ca="1">SUBTOTAL(9,INDEX(Main[بدهی سررسید شده (کیلوگرم)],1):Main[[#This Row],[بدهی سررسید شده (کیلوگرم)]])</f>
        <v>0</v>
      </c>
      <c r="AE304" s="6">
        <f ca="1">IF(Main[[#This Row],[مانده در خط سررسید شده (کیلوگرم)]]&lt;&gt;0,Main[[#This Row],[تعداد کل روزهای بدهکار (روز)]],0)</f>
        <v>0</v>
      </c>
      <c r="AF304" s="6">
        <f ca="1">Main[[#This Row],[تعداد روزهای بدهکار سررسید شده (روز)]]*Main[[#This Row],[مانده در خط سررسید شده (کیلوگرم)]]</f>
        <v>0</v>
      </c>
    </row>
    <row r="305" spans="1:32" hidden="1" x14ac:dyDescent="0.35">
      <c r="A305" s="5">
        <f>ROW()-ROW(INDEX(Main[ردیف],1))+1</f>
        <v>303</v>
      </c>
      <c r="B305" s="31">
        <f>SUBTOTAL(2,INDEX(Main[ردیف],1):Main[[#This Row],[ردیف]])</f>
        <v>29</v>
      </c>
      <c r="C305" s="32" t="s">
        <v>535</v>
      </c>
      <c r="D305" s="32" t="str">
        <f>_xlfn.CONCAT("14",Main[[#This Row],[تاريخ]])</f>
        <v>1400/02/09</v>
      </c>
      <c r="E305" s="33">
        <v>44315</v>
      </c>
      <c r="F305" s="32">
        <v>30017</v>
      </c>
      <c r="G305" s="5" t="str">
        <f>INDEX(customer[عنوان],MATCH(Main[[#This Row],[کد ردیابی]],customer[کد],0))</f>
        <v xml:space="preserve">البرز یدک </v>
      </c>
      <c r="H305">
        <v>874</v>
      </c>
      <c r="I305" s="6">
        <f ca="1">-Main[[#This Row],[بدهی تسویه شده (کیلوگرم)]]+Main[[#This Row],[بستانکار (کیلوگرم)]]</f>
        <v>874</v>
      </c>
      <c r="J305" s="6">
        <f>IF(Main[[#This Row],[مقدار (کیلوگرم)]]&gt;0,Main[[#This Row],[مقدار (کیلوگرم)]],0)</f>
        <v>874</v>
      </c>
      <c r="K305" s="6">
        <f>-IF(Main[[#This Row],[مقدار (کیلوگرم)]]&lt;0,Main[[#This Row],[مقدار (کیلوگرم)]],0)</f>
        <v>0</v>
      </c>
      <c r="L3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5" s="7">
        <f>-IF(AND(Main[[#This Row],[مقدار (کیلوگرم)]]&lt;0,Main[[#This Row],[تاريخ میلادی]]&gt;44276),Main[[#This Row],[مقدار (کیلوگرم)]],0)</f>
        <v>0</v>
      </c>
      <c r="N305" s="6">
        <f ca="1">Main[[#This Row],[بدهکار (کیلوگرم)]]-Main[[#This Row],[بدهی تسویه نشده (کیلوگرم)]]</f>
        <v>0</v>
      </c>
      <c r="O305" s="6">
        <f ca="1">Main[[#This Row],[تفکیک]]</f>
        <v>0</v>
      </c>
      <c r="P305" s="6">
        <f ca="1">IF(Main[[#This Row],[تاخیر از سررسید]]&gt;0,Main[[#This Row],[بدهی تسویه نشده (کیلوگرم)]],0)</f>
        <v>0</v>
      </c>
      <c r="Q305" s="6">
        <f ca="1">IF(Main[[#This Row],[بدهی تسویه نشده (کیلوگرم)]]&gt;0,'گزارش فردی'!$B$7-Main[[#This Row],[تاريخ میلادی]],0)</f>
        <v>0</v>
      </c>
      <c r="R305" s="6">
        <f ca="1">IF(Main[[#This Row],[بدهی تسویه نشده (کیلوگرم)]]&gt;0,'گزارش فردی'!$B$7-Main[[#This Row],[تاريخ میلادی]]-'گزارش فردی'!$B$8,0)</f>
        <v>0</v>
      </c>
      <c r="S305" s="6">
        <f ca="1">Main[[#This Row],[روز از ارسال سفارش]]*Main[[#This Row],[بدهی تسویه نشده (کیلوگرم)]]</f>
        <v>0</v>
      </c>
      <c r="T305" s="6">
        <f ca="1">Main[[#This Row],[بدهی سررسید شده (کیلوگرم)]]*Main[[#This Row],[روز از ارسال سفارش]]</f>
        <v>0</v>
      </c>
      <c r="U305" s="6">
        <f>-SUBTOTAL(9,INDEX(Main[مقدار (کیلوگرم)],1):Main[[#This Row],[مقدار (کیلوگرم)]])</f>
        <v>42704</v>
      </c>
      <c r="V3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5" s="6">
        <f>Main[[#This Row],[تعداد کل روزهای بدهکار (روز)]]*Main[[#This Row],[مانده در خط کل (کیلوگرم)]]</f>
        <v>0</v>
      </c>
      <c r="X305" s="6">
        <f ca="1">-SUBTOTAL(9,INDEX(Main[مقدار تسویه شده (کیلوگرم)],1):Main[[#This Row],[مقدار تسویه شده (کیلوگرم)]])</f>
        <v>42704</v>
      </c>
      <c r="Y305" s="6">
        <f ca="1">IF(Main[[#This Row],[مانده در خط تسویه شده (کیلوگرم)]]&lt;&gt;0,Main[[#This Row],[تعداد کل روزهای بدهکار (روز)]],0)</f>
        <v>0</v>
      </c>
      <c r="Z305" s="6">
        <f ca="1">Main[[#This Row],[تعداد روزهای بدهکار تسویه شده (روز)]]*Main[[#This Row],[مانده در خط تسویه شده (کیلوگرم)]]</f>
        <v>0</v>
      </c>
      <c r="AA305" s="6">
        <f ca="1">SUBTOTAL(9,INDEX(Main[بدهی تسویه نشده (کیلوگرم)],1):Main[[#This Row],[بدهی تسویه نشده (کیلوگرم)]])</f>
        <v>0</v>
      </c>
      <c r="AB305" s="6">
        <f ca="1">IF(Main[[#This Row],[مانده در خط تسویه نشده (کیلوگرم)]]&lt;&gt;0,Main[[#This Row],[تعداد کل روزهای بدهکار (روز)]],0)</f>
        <v>0</v>
      </c>
      <c r="AC305" s="6">
        <f ca="1">Main[[#This Row],[تعداد روزهای بدهکار  تسویه نشده (روز)]]*Main[[#This Row],[مانده در خط تسویه نشده (کیلوگرم)]]</f>
        <v>0</v>
      </c>
      <c r="AD305" s="6">
        <f ca="1">SUBTOTAL(9,INDEX(Main[بدهی سررسید شده (کیلوگرم)],1):Main[[#This Row],[بدهی سررسید شده (کیلوگرم)]])</f>
        <v>0</v>
      </c>
      <c r="AE305" s="6">
        <f ca="1">IF(Main[[#This Row],[مانده در خط سررسید شده (کیلوگرم)]]&lt;&gt;0,Main[[#This Row],[تعداد کل روزهای بدهکار (روز)]],0)</f>
        <v>0</v>
      </c>
      <c r="AF305" s="6">
        <f ca="1">Main[[#This Row],[تعداد روزهای بدهکار سررسید شده (روز)]]*Main[[#This Row],[مانده در خط سررسید شده (کیلوگرم)]]</f>
        <v>0</v>
      </c>
    </row>
    <row r="306" spans="1:32" hidden="1" x14ac:dyDescent="0.35">
      <c r="A306" s="5">
        <f>ROW()-ROW(INDEX(Main[ردیف],1))+1</f>
        <v>304</v>
      </c>
      <c r="B306" s="31">
        <f>SUBTOTAL(2,INDEX(Main[ردیف],1):Main[[#This Row],[ردیف]])</f>
        <v>29</v>
      </c>
      <c r="C306" s="32" t="s">
        <v>535</v>
      </c>
      <c r="D306" s="32" t="str">
        <f>_xlfn.CONCAT("14",Main[[#This Row],[تاريخ]])</f>
        <v>1400/02/09</v>
      </c>
      <c r="E306" s="33">
        <v>44315</v>
      </c>
      <c r="F306" s="32">
        <v>30009</v>
      </c>
      <c r="G306" s="5" t="str">
        <f>INDEX(customer[عنوان],MATCH(Main[[#This Row],[کد ردیابی]],customer[کد],0))</f>
        <v>شرکت ایمن تک پیشرو</v>
      </c>
      <c r="H306">
        <v>-2016</v>
      </c>
      <c r="I306" s="6">
        <f ca="1">-Main[[#This Row],[بدهی تسویه شده (کیلوگرم)]]+Main[[#This Row],[بستانکار (کیلوگرم)]]</f>
        <v>-2016</v>
      </c>
      <c r="J306" s="6">
        <f>IF(Main[[#This Row],[مقدار (کیلوگرم)]]&gt;0,Main[[#This Row],[مقدار (کیلوگرم)]],0)</f>
        <v>0</v>
      </c>
      <c r="K306" s="6">
        <f>-IF(Main[[#This Row],[مقدار (کیلوگرم)]]&lt;0,Main[[#This Row],[مقدار (کیلوگرم)]],0)</f>
        <v>2016</v>
      </c>
      <c r="L3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6" s="7">
        <f>-IF(AND(Main[[#This Row],[مقدار (کیلوگرم)]]&lt;0,Main[[#This Row],[تاريخ میلادی]]&gt;44276),Main[[#This Row],[مقدار (کیلوگرم)]],0)</f>
        <v>2016</v>
      </c>
      <c r="N306" s="6">
        <f ca="1">Main[[#This Row],[بدهکار (کیلوگرم)]]-Main[[#This Row],[بدهی تسویه نشده (کیلوگرم)]]</f>
        <v>2016</v>
      </c>
      <c r="O306" s="6">
        <f ca="1">Main[[#This Row],[تفکیک]]</f>
        <v>0</v>
      </c>
      <c r="P306" s="6">
        <f ca="1">IF(Main[[#This Row],[تاخیر از سررسید]]&gt;0,Main[[#This Row],[بدهی تسویه نشده (کیلوگرم)]],0)</f>
        <v>0</v>
      </c>
      <c r="Q306" s="6">
        <f ca="1">IF(Main[[#This Row],[بدهی تسویه نشده (کیلوگرم)]]&gt;0,'گزارش فردی'!$B$7-Main[[#This Row],[تاريخ میلادی]],0)</f>
        <v>0</v>
      </c>
      <c r="R306" s="6">
        <f ca="1">IF(Main[[#This Row],[بدهی تسویه نشده (کیلوگرم)]]&gt;0,'گزارش فردی'!$B$7-Main[[#This Row],[تاريخ میلادی]]-'گزارش فردی'!$B$8,0)</f>
        <v>0</v>
      </c>
      <c r="S306" s="6">
        <f ca="1">Main[[#This Row],[روز از ارسال سفارش]]*Main[[#This Row],[بدهی تسویه نشده (کیلوگرم)]]</f>
        <v>0</v>
      </c>
      <c r="T306" s="6">
        <f ca="1">Main[[#This Row],[بدهی سررسید شده (کیلوگرم)]]*Main[[#This Row],[روز از ارسال سفارش]]</f>
        <v>0</v>
      </c>
      <c r="U306" s="6">
        <f>-SUBTOTAL(9,INDEX(Main[مقدار (کیلوگرم)],1):Main[[#This Row],[مقدار (کیلوگرم)]])</f>
        <v>42704</v>
      </c>
      <c r="V3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6" s="6">
        <f>Main[[#This Row],[تعداد کل روزهای بدهکار (روز)]]*Main[[#This Row],[مانده در خط کل (کیلوگرم)]]</f>
        <v>0</v>
      </c>
      <c r="X306" s="6">
        <f ca="1">-SUBTOTAL(9,INDEX(Main[مقدار تسویه شده (کیلوگرم)],1):Main[[#This Row],[مقدار تسویه شده (کیلوگرم)]])</f>
        <v>42704</v>
      </c>
      <c r="Y306" s="6">
        <f ca="1">IF(Main[[#This Row],[مانده در خط تسویه شده (کیلوگرم)]]&lt;&gt;0,Main[[#This Row],[تعداد کل روزهای بدهکار (روز)]],0)</f>
        <v>0</v>
      </c>
      <c r="Z306" s="6">
        <f ca="1">Main[[#This Row],[تعداد روزهای بدهکار تسویه شده (روز)]]*Main[[#This Row],[مانده در خط تسویه شده (کیلوگرم)]]</f>
        <v>0</v>
      </c>
      <c r="AA306" s="6">
        <f ca="1">SUBTOTAL(9,INDEX(Main[بدهی تسویه نشده (کیلوگرم)],1):Main[[#This Row],[بدهی تسویه نشده (کیلوگرم)]])</f>
        <v>0</v>
      </c>
      <c r="AB306" s="6">
        <f ca="1">IF(Main[[#This Row],[مانده در خط تسویه نشده (کیلوگرم)]]&lt;&gt;0,Main[[#This Row],[تعداد کل روزهای بدهکار (روز)]],0)</f>
        <v>0</v>
      </c>
      <c r="AC306" s="6">
        <f ca="1">Main[[#This Row],[تعداد روزهای بدهکار  تسویه نشده (روز)]]*Main[[#This Row],[مانده در خط تسویه نشده (کیلوگرم)]]</f>
        <v>0</v>
      </c>
      <c r="AD306" s="6">
        <f ca="1">SUBTOTAL(9,INDEX(Main[بدهی سررسید شده (کیلوگرم)],1):Main[[#This Row],[بدهی سررسید شده (کیلوگرم)]])</f>
        <v>0</v>
      </c>
      <c r="AE306" s="6">
        <f ca="1">IF(Main[[#This Row],[مانده در خط سررسید شده (کیلوگرم)]]&lt;&gt;0,Main[[#This Row],[تعداد کل روزهای بدهکار (روز)]],0)</f>
        <v>0</v>
      </c>
      <c r="AF306" s="6">
        <f ca="1">Main[[#This Row],[تعداد روزهای بدهکار سررسید شده (روز)]]*Main[[#This Row],[مانده در خط سررسید شده (کیلوگرم)]]</f>
        <v>0</v>
      </c>
    </row>
    <row r="307" spans="1:32" hidden="1" x14ac:dyDescent="0.35">
      <c r="A307" s="5">
        <f>ROW()-ROW(INDEX(Main[ردیف],1))+1</f>
        <v>305</v>
      </c>
      <c r="B307" s="31">
        <f>SUBTOTAL(2,INDEX(Main[ردیف],1):Main[[#This Row],[ردیف]])</f>
        <v>29</v>
      </c>
      <c r="C307" s="32" t="s">
        <v>535</v>
      </c>
      <c r="D307" s="32" t="str">
        <f>_xlfn.CONCAT("14",Main[[#This Row],[تاريخ]])</f>
        <v>1400/02/09</v>
      </c>
      <c r="E307" s="33">
        <v>44315</v>
      </c>
      <c r="F307" s="32">
        <v>30009</v>
      </c>
      <c r="G307" s="5" t="str">
        <f>INDEX(customer[عنوان],MATCH(Main[[#This Row],[کد ردیابی]],customer[کد],0))</f>
        <v>شرکت ایمن تک پیشرو</v>
      </c>
      <c r="H307">
        <v>1934</v>
      </c>
      <c r="I307" s="6">
        <f ca="1">-Main[[#This Row],[بدهی تسویه شده (کیلوگرم)]]+Main[[#This Row],[بستانکار (کیلوگرم)]]</f>
        <v>1934</v>
      </c>
      <c r="J307" s="6">
        <f>IF(Main[[#This Row],[مقدار (کیلوگرم)]]&gt;0,Main[[#This Row],[مقدار (کیلوگرم)]],0)</f>
        <v>1934</v>
      </c>
      <c r="K307" s="6">
        <f>-IF(Main[[#This Row],[مقدار (کیلوگرم)]]&lt;0,Main[[#This Row],[مقدار (کیلوگرم)]],0)</f>
        <v>0</v>
      </c>
      <c r="L3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7" s="7">
        <f>-IF(AND(Main[[#This Row],[مقدار (کیلوگرم)]]&lt;0,Main[[#This Row],[تاريخ میلادی]]&gt;44276),Main[[#This Row],[مقدار (کیلوگرم)]],0)</f>
        <v>0</v>
      </c>
      <c r="N307" s="6">
        <f ca="1">Main[[#This Row],[بدهکار (کیلوگرم)]]-Main[[#This Row],[بدهی تسویه نشده (کیلوگرم)]]</f>
        <v>0</v>
      </c>
      <c r="O307" s="6">
        <f ca="1">Main[[#This Row],[تفکیک]]</f>
        <v>0</v>
      </c>
      <c r="P307" s="6">
        <f ca="1">IF(Main[[#This Row],[تاخیر از سررسید]]&gt;0,Main[[#This Row],[بدهی تسویه نشده (کیلوگرم)]],0)</f>
        <v>0</v>
      </c>
      <c r="Q307" s="6">
        <f ca="1">IF(Main[[#This Row],[بدهی تسویه نشده (کیلوگرم)]]&gt;0,'گزارش فردی'!$B$7-Main[[#This Row],[تاريخ میلادی]],0)</f>
        <v>0</v>
      </c>
      <c r="R307" s="6">
        <f ca="1">IF(Main[[#This Row],[بدهی تسویه نشده (کیلوگرم)]]&gt;0,'گزارش فردی'!$B$7-Main[[#This Row],[تاريخ میلادی]]-'گزارش فردی'!$B$8,0)</f>
        <v>0</v>
      </c>
      <c r="S307" s="6">
        <f ca="1">Main[[#This Row],[روز از ارسال سفارش]]*Main[[#This Row],[بدهی تسویه نشده (کیلوگرم)]]</f>
        <v>0</v>
      </c>
      <c r="T307" s="6">
        <f ca="1">Main[[#This Row],[بدهی سررسید شده (کیلوگرم)]]*Main[[#This Row],[روز از ارسال سفارش]]</f>
        <v>0</v>
      </c>
      <c r="U307" s="6">
        <f>-SUBTOTAL(9,INDEX(Main[مقدار (کیلوگرم)],1):Main[[#This Row],[مقدار (کیلوگرم)]])</f>
        <v>42704</v>
      </c>
      <c r="V3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7" s="6">
        <f>Main[[#This Row],[تعداد کل روزهای بدهکار (روز)]]*Main[[#This Row],[مانده در خط کل (کیلوگرم)]]</f>
        <v>0</v>
      </c>
      <c r="X307" s="6">
        <f ca="1">-SUBTOTAL(9,INDEX(Main[مقدار تسویه شده (کیلوگرم)],1):Main[[#This Row],[مقدار تسویه شده (کیلوگرم)]])</f>
        <v>42704</v>
      </c>
      <c r="Y307" s="6">
        <f ca="1">IF(Main[[#This Row],[مانده در خط تسویه شده (کیلوگرم)]]&lt;&gt;0,Main[[#This Row],[تعداد کل روزهای بدهکار (روز)]],0)</f>
        <v>0</v>
      </c>
      <c r="Z307" s="6">
        <f ca="1">Main[[#This Row],[تعداد روزهای بدهکار تسویه شده (روز)]]*Main[[#This Row],[مانده در خط تسویه شده (کیلوگرم)]]</f>
        <v>0</v>
      </c>
      <c r="AA307" s="6">
        <f ca="1">SUBTOTAL(9,INDEX(Main[بدهی تسویه نشده (کیلوگرم)],1):Main[[#This Row],[بدهی تسویه نشده (کیلوگرم)]])</f>
        <v>0</v>
      </c>
      <c r="AB307" s="6">
        <f ca="1">IF(Main[[#This Row],[مانده در خط تسویه نشده (کیلوگرم)]]&lt;&gt;0,Main[[#This Row],[تعداد کل روزهای بدهکار (روز)]],0)</f>
        <v>0</v>
      </c>
      <c r="AC307" s="6">
        <f ca="1">Main[[#This Row],[تعداد روزهای بدهکار  تسویه نشده (روز)]]*Main[[#This Row],[مانده در خط تسویه نشده (کیلوگرم)]]</f>
        <v>0</v>
      </c>
      <c r="AD307" s="6">
        <f ca="1">SUBTOTAL(9,INDEX(Main[بدهی سررسید شده (کیلوگرم)],1):Main[[#This Row],[بدهی سررسید شده (کیلوگرم)]])</f>
        <v>0</v>
      </c>
      <c r="AE307" s="6">
        <f ca="1">IF(Main[[#This Row],[مانده در خط سررسید شده (کیلوگرم)]]&lt;&gt;0,Main[[#This Row],[تعداد کل روزهای بدهکار (روز)]],0)</f>
        <v>0</v>
      </c>
      <c r="AF307" s="6">
        <f ca="1">Main[[#This Row],[تعداد روزهای بدهکار سررسید شده (روز)]]*Main[[#This Row],[مانده در خط سررسید شده (کیلوگرم)]]</f>
        <v>0</v>
      </c>
    </row>
    <row r="308" spans="1:32" x14ac:dyDescent="0.35">
      <c r="A308" s="5">
        <f>ROW()-ROW(INDEX(Main[ردیف],1))+1</f>
        <v>306</v>
      </c>
      <c r="B308" s="31">
        <f>SUBTOTAL(2,INDEX(Main[ردیف],1):Main[[#This Row],[ردیف]])</f>
        <v>30</v>
      </c>
      <c r="C308" s="32" t="s">
        <v>535</v>
      </c>
      <c r="D308" s="32" t="str">
        <f>_xlfn.CONCAT("14",Main[[#This Row],[تاريخ]])</f>
        <v>1400/02/09</v>
      </c>
      <c r="E308" s="33">
        <v>44315</v>
      </c>
      <c r="F308" s="32">
        <v>10003</v>
      </c>
      <c r="G308" s="5" t="str">
        <f>INDEX(customer[عنوان],MATCH(Main[[#This Row],[کد ردیابی]],customer[کد],0))</f>
        <v>اصغر نورعلی</v>
      </c>
      <c r="H308">
        <v>-2066</v>
      </c>
      <c r="I308" s="6">
        <f ca="1">-Main[[#This Row],[بدهی تسویه شده (کیلوگرم)]]+Main[[#This Row],[بستانکار (کیلوگرم)]]</f>
        <v>-2066</v>
      </c>
      <c r="J308" s="6">
        <f>IF(Main[[#This Row],[مقدار (کیلوگرم)]]&gt;0,Main[[#This Row],[مقدار (کیلوگرم)]],0)</f>
        <v>0</v>
      </c>
      <c r="K308" s="6">
        <f>-IF(Main[[#This Row],[مقدار (کیلوگرم)]]&lt;0,Main[[#This Row],[مقدار (کیلوگرم)]],0)</f>
        <v>2066</v>
      </c>
      <c r="L3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8" s="7">
        <f>-IF(AND(Main[[#This Row],[مقدار (کیلوگرم)]]&lt;0,Main[[#This Row],[تاريخ میلادی]]&gt;44276),Main[[#This Row],[مقدار (کیلوگرم)]],0)</f>
        <v>2066</v>
      </c>
      <c r="N308" s="6">
        <f ca="1">Main[[#This Row],[بدهکار (کیلوگرم)]]-Main[[#This Row],[بدهی تسویه نشده (کیلوگرم)]]</f>
        <v>2066</v>
      </c>
      <c r="O308" s="6">
        <f ca="1">Main[[#This Row],[تفکیک]]</f>
        <v>0</v>
      </c>
      <c r="P308" s="6">
        <f ca="1">IF(Main[[#This Row],[تاخیر از سررسید]]&gt;0,Main[[#This Row],[بدهی تسویه نشده (کیلوگرم)]],0)</f>
        <v>0</v>
      </c>
      <c r="Q308" s="6">
        <f ca="1">IF(Main[[#This Row],[بدهی تسویه نشده (کیلوگرم)]]&gt;0,'گزارش فردی'!$B$7-Main[[#This Row],[تاريخ میلادی]],0)</f>
        <v>0</v>
      </c>
      <c r="R308" s="6">
        <f ca="1">IF(Main[[#This Row],[بدهی تسویه نشده (کیلوگرم)]]&gt;0,'گزارش فردی'!$B$7-Main[[#This Row],[تاريخ میلادی]]-'گزارش فردی'!$B$8,0)</f>
        <v>0</v>
      </c>
      <c r="S308" s="6">
        <f ca="1">Main[[#This Row],[روز از ارسال سفارش]]*Main[[#This Row],[بدهی تسویه نشده (کیلوگرم)]]</f>
        <v>0</v>
      </c>
      <c r="T308" s="6">
        <f ca="1">Main[[#This Row],[بدهی سررسید شده (کیلوگرم)]]*Main[[#This Row],[روز از ارسال سفارش]]</f>
        <v>0</v>
      </c>
      <c r="U308" s="6">
        <f>-SUBTOTAL(9,INDEX(Main[مقدار (کیلوگرم)],1):Main[[#This Row],[مقدار (کیلوگرم)]])</f>
        <v>44770</v>
      </c>
      <c r="V3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8" s="6">
        <f>Main[[#This Row],[تعداد کل روزهای بدهکار (روز)]]*Main[[#This Row],[مانده در خط کل (کیلوگرم)]]</f>
        <v>0</v>
      </c>
      <c r="X308" s="6">
        <f ca="1">-SUBTOTAL(9,INDEX(Main[مقدار تسویه شده (کیلوگرم)],1):Main[[#This Row],[مقدار تسویه شده (کیلوگرم)]])</f>
        <v>44770</v>
      </c>
      <c r="Y308" s="6">
        <f ca="1">IF(Main[[#This Row],[مانده در خط تسویه شده (کیلوگرم)]]&lt;&gt;0,Main[[#This Row],[تعداد کل روزهای بدهکار (روز)]],0)</f>
        <v>0</v>
      </c>
      <c r="Z308" s="6">
        <f ca="1">Main[[#This Row],[تعداد روزهای بدهکار تسویه شده (روز)]]*Main[[#This Row],[مانده در خط تسویه شده (کیلوگرم)]]</f>
        <v>0</v>
      </c>
      <c r="AA308" s="6">
        <f ca="1">SUBTOTAL(9,INDEX(Main[بدهی تسویه نشده (کیلوگرم)],1):Main[[#This Row],[بدهی تسویه نشده (کیلوگرم)]])</f>
        <v>0</v>
      </c>
      <c r="AB308" s="6">
        <f ca="1">IF(Main[[#This Row],[مانده در خط تسویه نشده (کیلوگرم)]]&lt;&gt;0,Main[[#This Row],[تعداد کل روزهای بدهکار (روز)]],0)</f>
        <v>0</v>
      </c>
      <c r="AC308" s="6">
        <f ca="1">Main[[#This Row],[تعداد روزهای بدهکار  تسویه نشده (روز)]]*Main[[#This Row],[مانده در خط تسویه نشده (کیلوگرم)]]</f>
        <v>0</v>
      </c>
      <c r="AD308" s="6">
        <f ca="1">SUBTOTAL(9,INDEX(Main[بدهی سررسید شده (کیلوگرم)],1):Main[[#This Row],[بدهی سررسید شده (کیلوگرم)]])</f>
        <v>0</v>
      </c>
      <c r="AE308" s="6">
        <f ca="1">IF(Main[[#This Row],[مانده در خط سررسید شده (کیلوگرم)]]&lt;&gt;0,Main[[#This Row],[تعداد کل روزهای بدهکار (روز)]],0)</f>
        <v>0</v>
      </c>
      <c r="AF308" s="6">
        <f ca="1">Main[[#This Row],[تعداد روزهای بدهکار سررسید شده (روز)]]*Main[[#This Row],[مانده در خط سررسید شده (کیلوگرم)]]</f>
        <v>0</v>
      </c>
    </row>
    <row r="309" spans="1:32" x14ac:dyDescent="0.35">
      <c r="A309" s="5">
        <f>ROW()-ROW(INDEX(Main[ردیف],1))+1</f>
        <v>307</v>
      </c>
      <c r="B309" s="31">
        <f>SUBTOTAL(2,INDEX(Main[ردیف],1):Main[[#This Row],[ردیف]])</f>
        <v>31</v>
      </c>
      <c r="C309" s="32" t="s">
        <v>535</v>
      </c>
      <c r="D309" s="32" t="str">
        <f>_xlfn.CONCAT("14",Main[[#This Row],[تاريخ]])</f>
        <v>1400/02/09</v>
      </c>
      <c r="E309" s="33">
        <v>44315</v>
      </c>
      <c r="F309" s="32">
        <v>10003</v>
      </c>
      <c r="G309" s="5" t="str">
        <f>INDEX(customer[عنوان],MATCH(Main[[#This Row],[کد ردیابی]],customer[کد],0))</f>
        <v>اصغر نورعلی</v>
      </c>
      <c r="H309">
        <v>1672</v>
      </c>
      <c r="I309" s="6">
        <f ca="1">-Main[[#This Row],[بدهی تسویه شده (کیلوگرم)]]+Main[[#This Row],[بستانکار (کیلوگرم)]]</f>
        <v>1672</v>
      </c>
      <c r="J309" s="6">
        <f>IF(Main[[#This Row],[مقدار (کیلوگرم)]]&gt;0,Main[[#This Row],[مقدار (کیلوگرم)]],0)</f>
        <v>1672</v>
      </c>
      <c r="K309" s="6">
        <f>-IF(Main[[#This Row],[مقدار (کیلوگرم)]]&lt;0,Main[[#This Row],[مقدار (کیلوگرم)]],0)</f>
        <v>0</v>
      </c>
      <c r="L3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9" s="7">
        <f>-IF(AND(Main[[#This Row],[مقدار (کیلوگرم)]]&lt;0,Main[[#This Row],[تاريخ میلادی]]&gt;44276),Main[[#This Row],[مقدار (کیلوگرم)]],0)</f>
        <v>0</v>
      </c>
      <c r="N309" s="6">
        <f ca="1">Main[[#This Row],[بدهکار (کیلوگرم)]]-Main[[#This Row],[بدهی تسویه نشده (کیلوگرم)]]</f>
        <v>0</v>
      </c>
      <c r="O309" s="6">
        <f ca="1">Main[[#This Row],[تفکیک]]</f>
        <v>0</v>
      </c>
      <c r="P309" s="6">
        <f ca="1">IF(Main[[#This Row],[تاخیر از سررسید]]&gt;0,Main[[#This Row],[بدهی تسویه نشده (کیلوگرم)]],0)</f>
        <v>0</v>
      </c>
      <c r="Q309" s="6">
        <f ca="1">IF(Main[[#This Row],[بدهی تسویه نشده (کیلوگرم)]]&gt;0,'گزارش فردی'!$B$7-Main[[#This Row],[تاريخ میلادی]],0)</f>
        <v>0</v>
      </c>
      <c r="R309" s="6">
        <f ca="1">IF(Main[[#This Row],[بدهی تسویه نشده (کیلوگرم)]]&gt;0,'گزارش فردی'!$B$7-Main[[#This Row],[تاريخ میلادی]]-'گزارش فردی'!$B$8,0)</f>
        <v>0</v>
      </c>
      <c r="S309" s="6">
        <f ca="1">Main[[#This Row],[روز از ارسال سفارش]]*Main[[#This Row],[بدهی تسویه نشده (کیلوگرم)]]</f>
        <v>0</v>
      </c>
      <c r="T309" s="6">
        <f ca="1">Main[[#This Row],[بدهی سررسید شده (کیلوگرم)]]*Main[[#This Row],[روز از ارسال سفارش]]</f>
        <v>0</v>
      </c>
      <c r="U309" s="6">
        <f>-SUBTOTAL(9,INDEX(Main[مقدار (کیلوگرم)],1):Main[[#This Row],[مقدار (کیلوگرم)]])</f>
        <v>43098</v>
      </c>
      <c r="V3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09" s="6">
        <f>Main[[#This Row],[تعداد کل روزهای بدهکار (روز)]]*Main[[#This Row],[مانده در خط کل (کیلوگرم)]]</f>
        <v>86196</v>
      </c>
      <c r="X309" s="6">
        <f ca="1">-SUBTOTAL(9,INDEX(Main[مقدار تسویه شده (کیلوگرم)],1):Main[[#This Row],[مقدار تسویه شده (کیلوگرم)]])</f>
        <v>43098</v>
      </c>
      <c r="Y309" s="6">
        <f ca="1">IF(Main[[#This Row],[مانده در خط تسویه شده (کیلوگرم)]]&lt;&gt;0,Main[[#This Row],[تعداد کل روزهای بدهکار (روز)]],0)</f>
        <v>2</v>
      </c>
      <c r="Z309" s="6">
        <f ca="1">Main[[#This Row],[تعداد روزهای بدهکار تسویه شده (روز)]]*Main[[#This Row],[مانده در خط تسویه شده (کیلوگرم)]]</f>
        <v>86196</v>
      </c>
      <c r="AA309" s="6">
        <f ca="1">SUBTOTAL(9,INDEX(Main[بدهی تسویه نشده (کیلوگرم)],1):Main[[#This Row],[بدهی تسویه نشده (کیلوگرم)]])</f>
        <v>0</v>
      </c>
      <c r="AB309" s="6">
        <f ca="1">IF(Main[[#This Row],[مانده در خط تسویه نشده (کیلوگرم)]]&lt;&gt;0,Main[[#This Row],[تعداد کل روزهای بدهکار (روز)]],0)</f>
        <v>0</v>
      </c>
      <c r="AC309" s="6">
        <f ca="1">Main[[#This Row],[تعداد روزهای بدهکار  تسویه نشده (روز)]]*Main[[#This Row],[مانده در خط تسویه نشده (کیلوگرم)]]</f>
        <v>0</v>
      </c>
      <c r="AD309" s="6">
        <f ca="1">SUBTOTAL(9,INDEX(Main[بدهی سررسید شده (کیلوگرم)],1):Main[[#This Row],[بدهی سررسید شده (کیلوگرم)]])</f>
        <v>0</v>
      </c>
      <c r="AE309" s="6">
        <f ca="1">IF(Main[[#This Row],[مانده در خط سررسید شده (کیلوگرم)]]&lt;&gt;0,Main[[#This Row],[تعداد کل روزهای بدهکار (روز)]],0)</f>
        <v>0</v>
      </c>
      <c r="AF309" s="6">
        <f ca="1">Main[[#This Row],[تعداد روزهای بدهکار سررسید شده (روز)]]*Main[[#This Row],[مانده در خط سررسید شده (کیلوگرم)]]</f>
        <v>0</v>
      </c>
    </row>
    <row r="310" spans="1:32" hidden="1" x14ac:dyDescent="0.35">
      <c r="A310" s="5">
        <f>ROW()-ROW(INDEX(Main[ردیف],1))+1</f>
        <v>308</v>
      </c>
      <c r="B310" s="31">
        <f>SUBTOTAL(2,INDEX(Main[ردیف],1):Main[[#This Row],[ردیف]])</f>
        <v>31</v>
      </c>
      <c r="C310" s="32" t="s">
        <v>535</v>
      </c>
      <c r="D310" s="32" t="str">
        <f>_xlfn.CONCAT("14",Main[[#This Row],[تاريخ]])</f>
        <v>1400/02/09</v>
      </c>
      <c r="E310" s="33">
        <v>44315</v>
      </c>
      <c r="F310" s="32">
        <v>30017</v>
      </c>
      <c r="G310" s="5" t="str">
        <f>INDEX(customer[عنوان],MATCH(Main[[#This Row],[کد ردیابی]],customer[کد],0))</f>
        <v xml:space="preserve">البرز یدک </v>
      </c>
      <c r="H310">
        <v>2010</v>
      </c>
      <c r="I310" s="6">
        <f ca="1">-Main[[#This Row],[بدهی تسویه شده (کیلوگرم)]]+Main[[#This Row],[بستانکار (کیلوگرم)]]</f>
        <v>2010</v>
      </c>
      <c r="J310" s="6">
        <f>IF(Main[[#This Row],[مقدار (کیلوگرم)]]&gt;0,Main[[#This Row],[مقدار (کیلوگرم)]],0)</f>
        <v>2010</v>
      </c>
      <c r="K310" s="6">
        <f>-IF(Main[[#This Row],[مقدار (کیلوگرم)]]&lt;0,Main[[#This Row],[مقدار (کیلوگرم)]],0)</f>
        <v>0</v>
      </c>
      <c r="L3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0" s="7">
        <f>-IF(AND(Main[[#This Row],[مقدار (کیلوگرم)]]&lt;0,Main[[#This Row],[تاريخ میلادی]]&gt;44276),Main[[#This Row],[مقدار (کیلوگرم)]],0)</f>
        <v>0</v>
      </c>
      <c r="N310" s="6">
        <f ca="1">Main[[#This Row],[بدهکار (کیلوگرم)]]-Main[[#This Row],[بدهی تسویه نشده (کیلوگرم)]]</f>
        <v>0</v>
      </c>
      <c r="O310" s="6">
        <f ca="1">Main[[#This Row],[تفکیک]]</f>
        <v>0</v>
      </c>
      <c r="P310" s="6">
        <f ca="1">IF(Main[[#This Row],[تاخیر از سررسید]]&gt;0,Main[[#This Row],[بدهی تسویه نشده (کیلوگرم)]],0)</f>
        <v>0</v>
      </c>
      <c r="Q310" s="6">
        <f ca="1">IF(Main[[#This Row],[بدهی تسویه نشده (کیلوگرم)]]&gt;0,'گزارش فردی'!$B$7-Main[[#This Row],[تاريخ میلادی]],0)</f>
        <v>0</v>
      </c>
      <c r="R310" s="6">
        <f ca="1">IF(Main[[#This Row],[بدهی تسویه نشده (کیلوگرم)]]&gt;0,'گزارش فردی'!$B$7-Main[[#This Row],[تاريخ میلادی]]-'گزارش فردی'!$B$8,0)</f>
        <v>0</v>
      </c>
      <c r="S310" s="6">
        <f ca="1">Main[[#This Row],[روز از ارسال سفارش]]*Main[[#This Row],[بدهی تسویه نشده (کیلوگرم)]]</f>
        <v>0</v>
      </c>
      <c r="T310" s="6">
        <f ca="1">Main[[#This Row],[بدهی سررسید شده (کیلوگرم)]]*Main[[#This Row],[روز از ارسال سفارش]]</f>
        <v>0</v>
      </c>
      <c r="U310" s="6">
        <f>-SUBTOTAL(9,INDEX(Main[مقدار (کیلوگرم)],1):Main[[#This Row],[مقدار (کیلوگرم)]])</f>
        <v>43098</v>
      </c>
      <c r="V3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10" s="6">
        <f>Main[[#This Row],[تعداد کل روزهای بدهکار (روز)]]*Main[[#This Row],[مانده در خط کل (کیلوگرم)]]</f>
        <v>86196</v>
      </c>
      <c r="X310" s="6">
        <f ca="1">-SUBTOTAL(9,INDEX(Main[مقدار تسویه شده (کیلوگرم)],1):Main[[#This Row],[مقدار تسویه شده (کیلوگرم)]])</f>
        <v>43098</v>
      </c>
      <c r="Y310" s="6">
        <f ca="1">IF(Main[[#This Row],[مانده در خط تسویه شده (کیلوگرم)]]&lt;&gt;0,Main[[#This Row],[تعداد کل روزهای بدهکار (روز)]],0)</f>
        <v>2</v>
      </c>
      <c r="Z310" s="6">
        <f ca="1">Main[[#This Row],[تعداد روزهای بدهکار تسویه شده (روز)]]*Main[[#This Row],[مانده در خط تسویه شده (کیلوگرم)]]</f>
        <v>86196</v>
      </c>
      <c r="AA310" s="6">
        <f ca="1">SUBTOTAL(9,INDEX(Main[بدهی تسویه نشده (کیلوگرم)],1):Main[[#This Row],[بدهی تسویه نشده (کیلوگرم)]])</f>
        <v>0</v>
      </c>
      <c r="AB310" s="6">
        <f ca="1">IF(Main[[#This Row],[مانده در خط تسویه نشده (کیلوگرم)]]&lt;&gt;0,Main[[#This Row],[تعداد کل روزهای بدهکار (روز)]],0)</f>
        <v>0</v>
      </c>
      <c r="AC310" s="6">
        <f ca="1">Main[[#This Row],[تعداد روزهای بدهکار  تسویه نشده (روز)]]*Main[[#This Row],[مانده در خط تسویه نشده (کیلوگرم)]]</f>
        <v>0</v>
      </c>
      <c r="AD310" s="6">
        <f ca="1">SUBTOTAL(9,INDEX(Main[بدهی سررسید شده (کیلوگرم)],1):Main[[#This Row],[بدهی سررسید شده (کیلوگرم)]])</f>
        <v>0</v>
      </c>
      <c r="AE310" s="6">
        <f ca="1">IF(Main[[#This Row],[مانده در خط سررسید شده (کیلوگرم)]]&lt;&gt;0,Main[[#This Row],[تعداد کل روزهای بدهکار (روز)]],0)</f>
        <v>0</v>
      </c>
      <c r="AF310" s="6">
        <f ca="1">Main[[#This Row],[تعداد روزهای بدهکار سررسید شده (روز)]]*Main[[#This Row],[مانده در خط سررسید شده (کیلوگرم)]]</f>
        <v>0</v>
      </c>
    </row>
    <row r="311" spans="1:32" hidden="1" x14ac:dyDescent="0.35">
      <c r="A311" s="5">
        <f>ROW()-ROW(INDEX(Main[ردیف],1))+1</f>
        <v>309</v>
      </c>
      <c r="B311" s="31">
        <f>SUBTOTAL(2,INDEX(Main[ردیف],1):Main[[#This Row],[ردیف]])</f>
        <v>31</v>
      </c>
      <c r="C311" s="32" t="s">
        <v>536</v>
      </c>
      <c r="D311" s="32" t="str">
        <f>_xlfn.CONCAT("14",Main[[#This Row],[تاريخ]])</f>
        <v>1400/02/11</v>
      </c>
      <c r="E311" s="33">
        <v>44317</v>
      </c>
      <c r="F311" s="32">
        <v>30058</v>
      </c>
      <c r="G311" s="5" t="str">
        <f>INDEX(customer[عنوان],MATCH(Main[[#This Row],[کد ردیابی]],customer[کد],0))</f>
        <v xml:space="preserve">پارس شیر </v>
      </c>
      <c r="H311">
        <v>-9807</v>
      </c>
      <c r="I311" s="6">
        <f ca="1">-Main[[#This Row],[بدهی تسویه شده (کیلوگرم)]]+Main[[#This Row],[بستانکار (کیلوگرم)]]</f>
        <v>-9807</v>
      </c>
      <c r="J311" s="6">
        <f>IF(Main[[#This Row],[مقدار (کیلوگرم)]]&gt;0,Main[[#This Row],[مقدار (کیلوگرم)]],0)</f>
        <v>0</v>
      </c>
      <c r="K311" s="6">
        <f>-IF(Main[[#This Row],[مقدار (کیلوگرم)]]&lt;0,Main[[#This Row],[مقدار (کیلوگرم)]],0)</f>
        <v>9807</v>
      </c>
      <c r="L3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1" s="7">
        <f>-IF(AND(Main[[#This Row],[مقدار (کیلوگرم)]]&lt;0,Main[[#This Row],[تاريخ میلادی]]&gt;44276),Main[[#This Row],[مقدار (کیلوگرم)]],0)</f>
        <v>9807</v>
      </c>
      <c r="N311" s="6">
        <f ca="1">Main[[#This Row],[بدهکار (کیلوگرم)]]-Main[[#This Row],[بدهی تسویه نشده (کیلوگرم)]]</f>
        <v>9807</v>
      </c>
      <c r="O311" s="6">
        <f ca="1">Main[[#This Row],[تفکیک]]</f>
        <v>0</v>
      </c>
      <c r="P311" s="6">
        <f ca="1">IF(Main[[#This Row],[تاخیر از سررسید]]&gt;0,Main[[#This Row],[بدهی تسویه نشده (کیلوگرم)]],0)</f>
        <v>0</v>
      </c>
      <c r="Q311" s="6">
        <f ca="1">IF(Main[[#This Row],[بدهی تسویه نشده (کیلوگرم)]]&gt;0,'گزارش فردی'!$B$7-Main[[#This Row],[تاريخ میلادی]],0)</f>
        <v>0</v>
      </c>
      <c r="R311" s="6">
        <f ca="1">IF(Main[[#This Row],[بدهی تسویه نشده (کیلوگرم)]]&gt;0,'گزارش فردی'!$B$7-Main[[#This Row],[تاريخ میلادی]]-'گزارش فردی'!$B$8,0)</f>
        <v>0</v>
      </c>
      <c r="S311" s="6">
        <f ca="1">Main[[#This Row],[روز از ارسال سفارش]]*Main[[#This Row],[بدهی تسویه نشده (کیلوگرم)]]</f>
        <v>0</v>
      </c>
      <c r="T311" s="6">
        <f ca="1">Main[[#This Row],[بدهی سررسید شده (کیلوگرم)]]*Main[[#This Row],[روز از ارسال سفارش]]</f>
        <v>0</v>
      </c>
      <c r="U311" s="6">
        <f>-SUBTOTAL(9,INDEX(Main[مقدار (کیلوگرم)],1):Main[[#This Row],[مقدار (کیلوگرم)]])</f>
        <v>43098</v>
      </c>
      <c r="V3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1" s="6">
        <f>Main[[#This Row],[تعداد کل روزهای بدهکار (روز)]]*Main[[#This Row],[مانده در خط کل (کیلوگرم)]]</f>
        <v>0</v>
      </c>
      <c r="X311" s="6">
        <f ca="1">-SUBTOTAL(9,INDEX(Main[مقدار تسویه شده (کیلوگرم)],1):Main[[#This Row],[مقدار تسویه شده (کیلوگرم)]])</f>
        <v>43098</v>
      </c>
      <c r="Y311" s="6">
        <f ca="1">IF(Main[[#This Row],[مانده در خط تسویه شده (کیلوگرم)]]&lt;&gt;0,Main[[#This Row],[تعداد کل روزهای بدهکار (روز)]],0)</f>
        <v>0</v>
      </c>
      <c r="Z311" s="6">
        <f ca="1">Main[[#This Row],[تعداد روزهای بدهکار تسویه شده (روز)]]*Main[[#This Row],[مانده در خط تسویه شده (کیلوگرم)]]</f>
        <v>0</v>
      </c>
      <c r="AA311" s="6">
        <f ca="1">SUBTOTAL(9,INDEX(Main[بدهی تسویه نشده (کیلوگرم)],1):Main[[#This Row],[بدهی تسویه نشده (کیلوگرم)]])</f>
        <v>0</v>
      </c>
      <c r="AB311" s="6">
        <f ca="1">IF(Main[[#This Row],[مانده در خط تسویه نشده (کیلوگرم)]]&lt;&gt;0,Main[[#This Row],[تعداد کل روزهای بدهکار (روز)]],0)</f>
        <v>0</v>
      </c>
      <c r="AC311" s="6">
        <f ca="1">Main[[#This Row],[تعداد روزهای بدهکار  تسویه نشده (روز)]]*Main[[#This Row],[مانده در خط تسویه نشده (کیلوگرم)]]</f>
        <v>0</v>
      </c>
      <c r="AD311" s="6">
        <f ca="1">SUBTOTAL(9,INDEX(Main[بدهی سررسید شده (کیلوگرم)],1):Main[[#This Row],[بدهی سررسید شده (کیلوگرم)]])</f>
        <v>0</v>
      </c>
      <c r="AE311" s="6">
        <f ca="1">IF(Main[[#This Row],[مانده در خط سررسید شده (کیلوگرم)]]&lt;&gt;0,Main[[#This Row],[تعداد کل روزهای بدهکار (روز)]],0)</f>
        <v>0</v>
      </c>
      <c r="AF311" s="6">
        <f ca="1">Main[[#This Row],[تعداد روزهای بدهکار سررسید شده (روز)]]*Main[[#This Row],[مانده در خط سررسید شده (کیلوگرم)]]</f>
        <v>0</v>
      </c>
    </row>
    <row r="312" spans="1:32" hidden="1" x14ac:dyDescent="0.35">
      <c r="A312" s="5">
        <f>ROW()-ROW(INDEX(Main[ردیف],1))+1</f>
        <v>310</v>
      </c>
      <c r="B312" s="31">
        <f>SUBTOTAL(2,INDEX(Main[ردیف],1):Main[[#This Row],[ردیف]])</f>
        <v>31</v>
      </c>
      <c r="C312" s="32" t="s">
        <v>536</v>
      </c>
      <c r="D312" s="32" t="str">
        <f>_xlfn.CONCAT("14",Main[[#This Row],[تاريخ]])</f>
        <v>1400/02/11</v>
      </c>
      <c r="E312" s="33">
        <v>44317</v>
      </c>
      <c r="F312" s="32">
        <v>10026</v>
      </c>
      <c r="G312" s="5" t="str">
        <f>INDEX(customer[عنوان],MATCH(Main[[#This Row],[کد ردیابی]],customer[کد],0))</f>
        <v xml:space="preserve">محسن فیاض بخش </v>
      </c>
      <c r="H312">
        <v>3226</v>
      </c>
      <c r="I312" s="6">
        <f ca="1">-Main[[#This Row],[بدهی تسویه شده (کیلوگرم)]]+Main[[#This Row],[بستانکار (کیلوگرم)]]</f>
        <v>3226</v>
      </c>
      <c r="J312" s="6">
        <f>IF(Main[[#This Row],[مقدار (کیلوگرم)]]&gt;0,Main[[#This Row],[مقدار (کیلوگرم)]],0)</f>
        <v>3226</v>
      </c>
      <c r="K312" s="6">
        <f>-IF(Main[[#This Row],[مقدار (کیلوگرم)]]&lt;0,Main[[#This Row],[مقدار (کیلوگرم)]],0)</f>
        <v>0</v>
      </c>
      <c r="L3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2" s="7">
        <f>-IF(AND(Main[[#This Row],[مقدار (کیلوگرم)]]&lt;0,Main[[#This Row],[تاريخ میلادی]]&gt;44276),Main[[#This Row],[مقدار (کیلوگرم)]],0)</f>
        <v>0</v>
      </c>
      <c r="N312" s="6">
        <f ca="1">Main[[#This Row],[بدهکار (کیلوگرم)]]-Main[[#This Row],[بدهی تسویه نشده (کیلوگرم)]]</f>
        <v>0</v>
      </c>
      <c r="O312" s="6">
        <f ca="1">Main[[#This Row],[تفکیک]]</f>
        <v>0</v>
      </c>
      <c r="P312" s="6">
        <f ca="1">IF(Main[[#This Row],[تاخیر از سررسید]]&gt;0,Main[[#This Row],[بدهی تسویه نشده (کیلوگرم)]],0)</f>
        <v>0</v>
      </c>
      <c r="Q312" s="6">
        <f ca="1">IF(Main[[#This Row],[بدهی تسویه نشده (کیلوگرم)]]&gt;0,'گزارش فردی'!$B$7-Main[[#This Row],[تاريخ میلادی]],0)</f>
        <v>0</v>
      </c>
      <c r="R312" s="6">
        <f ca="1">IF(Main[[#This Row],[بدهی تسویه نشده (کیلوگرم)]]&gt;0,'گزارش فردی'!$B$7-Main[[#This Row],[تاريخ میلادی]]-'گزارش فردی'!$B$8,0)</f>
        <v>0</v>
      </c>
      <c r="S312" s="6">
        <f ca="1">Main[[#This Row],[روز از ارسال سفارش]]*Main[[#This Row],[بدهی تسویه نشده (کیلوگرم)]]</f>
        <v>0</v>
      </c>
      <c r="T312" s="6">
        <f ca="1">Main[[#This Row],[بدهی سررسید شده (کیلوگرم)]]*Main[[#This Row],[روز از ارسال سفارش]]</f>
        <v>0</v>
      </c>
      <c r="U312" s="6">
        <f>-SUBTOTAL(9,INDEX(Main[مقدار (کیلوگرم)],1):Main[[#This Row],[مقدار (کیلوگرم)]])</f>
        <v>43098</v>
      </c>
      <c r="V3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2" s="6">
        <f>Main[[#This Row],[تعداد کل روزهای بدهکار (روز)]]*Main[[#This Row],[مانده در خط کل (کیلوگرم)]]</f>
        <v>0</v>
      </c>
      <c r="X312" s="6">
        <f ca="1">-SUBTOTAL(9,INDEX(Main[مقدار تسویه شده (کیلوگرم)],1):Main[[#This Row],[مقدار تسویه شده (کیلوگرم)]])</f>
        <v>43098</v>
      </c>
      <c r="Y312" s="6">
        <f ca="1">IF(Main[[#This Row],[مانده در خط تسویه شده (کیلوگرم)]]&lt;&gt;0,Main[[#This Row],[تعداد کل روزهای بدهکار (روز)]],0)</f>
        <v>0</v>
      </c>
      <c r="Z312" s="6">
        <f ca="1">Main[[#This Row],[تعداد روزهای بدهکار تسویه شده (روز)]]*Main[[#This Row],[مانده در خط تسویه شده (کیلوگرم)]]</f>
        <v>0</v>
      </c>
      <c r="AA312" s="6">
        <f ca="1">SUBTOTAL(9,INDEX(Main[بدهی تسویه نشده (کیلوگرم)],1):Main[[#This Row],[بدهی تسویه نشده (کیلوگرم)]])</f>
        <v>0</v>
      </c>
      <c r="AB312" s="6">
        <f ca="1">IF(Main[[#This Row],[مانده در خط تسویه نشده (کیلوگرم)]]&lt;&gt;0,Main[[#This Row],[تعداد کل روزهای بدهکار (روز)]],0)</f>
        <v>0</v>
      </c>
      <c r="AC312" s="6">
        <f ca="1">Main[[#This Row],[تعداد روزهای بدهکار  تسویه نشده (روز)]]*Main[[#This Row],[مانده در خط تسویه نشده (کیلوگرم)]]</f>
        <v>0</v>
      </c>
      <c r="AD312" s="6">
        <f ca="1">SUBTOTAL(9,INDEX(Main[بدهی سررسید شده (کیلوگرم)],1):Main[[#This Row],[بدهی سررسید شده (کیلوگرم)]])</f>
        <v>0</v>
      </c>
      <c r="AE312" s="6">
        <f ca="1">IF(Main[[#This Row],[مانده در خط سررسید شده (کیلوگرم)]]&lt;&gt;0,Main[[#This Row],[تعداد کل روزهای بدهکار (روز)]],0)</f>
        <v>0</v>
      </c>
      <c r="AF312" s="6">
        <f ca="1">Main[[#This Row],[تعداد روزهای بدهکار سررسید شده (روز)]]*Main[[#This Row],[مانده در خط سررسید شده (کیلوگرم)]]</f>
        <v>0</v>
      </c>
    </row>
    <row r="313" spans="1:32" hidden="1" x14ac:dyDescent="0.35">
      <c r="A313" s="5">
        <f>ROW()-ROW(INDEX(Main[ردیف],1))+1</f>
        <v>311</v>
      </c>
      <c r="B313" s="31">
        <f>SUBTOTAL(2,INDEX(Main[ردیف],1):Main[[#This Row],[ردیف]])</f>
        <v>31</v>
      </c>
      <c r="C313" s="32" t="s">
        <v>536</v>
      </c>
      <c r="D313" s="32" t="str">
        <f>_xlfn.CONCAT("14",Main[[#This Row],[تاريخ]])</f>
        <v>1400/02/11</v>
      </c>
      <c r="E313" s="33">
        <v>44317</v>
      </c>
      <c r="F313" s="32">
        <v>30146</v>
      </c>
      <c r="G313" s="5" t="str">
        <f>INDEX(customer[عنوان],MATCH(Main[[#This Row],[کد ردیابی]],customer[کد],0))</f>
        <v>شرکت آذرپاد</v>
      </c>
      <c r="H313">
        <v>-5138</v>
      </c>
      <c r="I313" s="6">
        <f ca="1">-Main[[#This Row],[بدهی تسویه شده (کیلوگرم)]]+Main[[#This Row],[بستانکار (کیلوگرم)]]</f>
        <v>-5138</v>
      </c>
      <c r="J313" s="6">
        <f>IF(Main[[#This Row],[مقدار (کیلوگرم)]]&gt;0,Main[[#This Row],[مقدار (کیلوگرم)]],0)</f>
        <v>0</v>
      </c>
      <c r="K313" s="6">
        <f>-IF(Main[[#This Row],[مقدار (کیلوگرم)]]&lt;0,Main[[#This Row],[مقدار (کیلوگرم)]],0)</f>
        <v>5138</v>
      </c>
      <c r="L3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3" s="7">
        <f>-IF(AND(Main[[#This Row],[مقدار (کیلوگرم)]]&lt;0,Main[[#This Row],[تاريخ میلادی]]&gt;44276),Main[[#This Row],[مقدار (کیلوگرم)]],0)</f>
        <v>5138</v>
      </c>
      <c r="N313" s="6">
        <f ca="1">Main[[#This Row],[بدهکار (کیلوگرم)]]-Main[[#This Row],[بدهی تسویه نشده (کیلوگرم)]]</f>
        <v>5138</v>
      </c>
      <c r="O313" s="6">
        <f ca="1">Main[[#This Row],[تفکیک]]</f>
        <v>0</v>
      </c>
      <c r="P313" s="6">
        <f ca="1">IF(Main[[#This Row],[تاخیر از سررسید]]&gt;0,Main[[#This Row],[بدهی تسویه نشده (کیلوگرم)]],0)</f>
        <v>0</v>
      </c>
      <c r="Q313" s="6">
        <f ca="1">IF(Main[[#This Row],[بدهی تسویه نشده (کیلوگرم)]]&gt;0,'گزارش فردی'!$B$7-Main[[#This Row],[تاريخ میلادی]],0)</f>
        <v>0</v>
      </c>
      <c r="R313" s="6">
        <f ca="1">IF(Main[[#This Row],[بدهی تسویه نشده (کیلوگرم)]]&gt;0,'گزارش فردی'!$B$7-Main[[#This Row],[تاريخ میلادی]]-'گزارش فردی'!$B$8,0)</f>
        <v>0</v>
      </c>
      <c r="S313" s="6">
        <f ca="1">Main[[#This Row],[روز از ارسال سفارش]]*Main[[#This Row],[بدهی تسویه نشده (کیلوگرم)]]</f>
        <v>0</v>
      </c>
      <c r="T313" s="6">
        <f ca="1">Main[[#This Row],[بدهی سررسید شده (کیلوگرم)]]*Main[[#This Row],[روز از ارسال سفارش]]</f>
        <v>0</v>
      </c>
      <c r="U313" s="6">
        <f>-SUBTOTAL(9,INDEX(Main[مقدار (کیلوگرم)],1):Main[[#This Row],[مقدار (کیلوگرم)]])</f>
        <v>43098</v>
      </c>
      <c r="V3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3" s="6">
        <f>Main[[#This Row],[تعداد کل روزهای بدهکار (روز)]]*Main[[#This Row],[مانده در خط کل (کیلوگرم)]]</f>
        <v>0</v>
      </c>
      <c r="X313" s="6">
        <f ca="1">-SUBTOTAL(9,INDEX(Main[مقدار تسویه شده (کیلوگرم)],1):Main[[#This Row],[مقدار تسویه شده (کیلوگرم)]])</f>
        <v>43098</v>
      </c>
      <c r="Y313" s="6">
        <f ca="1">IF(Main[[#This Row],[مانده در خط تسویه شده (کیلوگرم)]]&lt;&gt;0,Main[[#This Row],[تعداد کل روزهای بدهکار (روز)]],0)</f>
        <v>0</v>
      </c>
      <c r="Z313" s="6">
        <f ca="1">Main[[#This Row],[تعداد روزهای بدهکار تسویه شده (روز)]]*Main[[#This Row],[مانده در خط تسویه شده (کیلوگرم)]]</f>
        <v>0</v>
      </c>
      <c r="AA313" s="6">
        <f ca="1">SUBTOTAL(9,INDEX(Main[بدهی تسویه نشده (کیلوگرم)],1):Main[[#This Row],[بدهی تسویه نشده (کیلوگرم)]])</f>
        <v>0</v>
      </c>
      <c r="AB313" s="6">
        <f ca="1">IF(Main[[#This Row],[مانده در خط تسویه نشده (کیلوگرم)]]&lt;&gt;0,Main[[#This Row],[تعداد کل روزهای بدهکار (روز)]],0)</f>
        <v>0</v>
      </c>
      <c r="AC313" s="6">
        <f ca="1">Main[[#This Row],[تعداد روزهای بدهکار  تسویه نشده (روز)]]*Main[[#This Row],[مانده در خط تسویه نشده (کیلوگرم)]]</f>
        <v>0</v>
      </c>
      <c r="AD313" s="6">
        <f ca="1">SUBTOTAL(9,INDEX(Main[بدهی سررسید شده (کیلوگرم)],1):Main[[#This Row],[بدهی سررسید شده (کیلوگرم)]])</f>
        <v>0</v>
      </c>
      <c r="AE313" s="6">
        <f ca="1">IF(Main[[#This Row],[مانده در خط سررسید شده (کیلوگرم)]]&lt;&gt;0,Main[[#This Row],[تعداد کل روزهای بدهکار (روز)]],0)</f>
        <v>0</v>
      </c>
      <c r="AF313" s="6">
        <f ca="1">Main[[#This Row],[تعداد روزهای بدهکار سررسید شده (روز)]]*Main[[#This Row],[مانده در خط سررسید شده (کیلوگرم)]]</f>
        <v>0</v>
      </c>
    </row>
    <row r="314" spans="1:32" hidden="1" x14ac:dyDescent="0.35">
      <c r="A314" s="5">
        <f>ROW()-ROW(INDEX(Main[ردیف],1))+1</f>
        <v>312</v>
      </c>
      <c r="B314" s="31">
        <f>SUBTOTAL(2,INDEX(Main[ردیف],1):Main[[#This Row],[ردیف]])</f>
        <v>31</v>
      </c>
      <c r="C314" s="32" t="s">
        <v>536</v>
      </c>
      <c r="D314" s="32" t="str">
        <f>_xlfn.CONCAT("14",Main[[#This Row],[تاريخ]])</f>
        <v>1400/02/11</v>
      </c>
      <c r="E314" s="33">
        <v>44317</v>
      </c>
      <c r="F314" s="32">
        <v>30066</v>
      </c>
      <c r="G314" s="5" t="str">
        <f>INDEX(customer[عنوان],MATCH(Main[[#This Row],[کد ردیابی]],customer[کد],0))</f>
        <v xml:space="preserve">شیر آلات بهداشتی قهرمان </v>
      </c>
      <c r="H314">
        <v>3033</v>
      </c>
      <c r="I314" s="6">
        <f ca="1">-Main[[#This Row],[بدهی تسویه شده (کیلوگرم)]]+Main[[#This Row],[بستانکار (کیلوگرم)]]</f>
        <v>3033</v>
      </c>
      <c r="J314" s="6">
        <f>IF(Main[[#This Row],[مقدار (کیلوگرم)]]&gt;0,Main[[#This Row],[مقدار (کیلوگرم)]],0)</f>
        <v>3033</v>
      </c>
      <c r="K314" s="6">
        <f>-IF(Main[[#This Row],[مقدار (کیلوگرم)]]&lt;0,Main[[#This Row],[مقدار (کیلوگرم)]],0)</f>
        <v>0</v>
      </c>
      <c r="L3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4" s="7">
        <f>-IF(AND(Main[[#This Row],[مقدار (کیلوگرم)]]&lt;0,Main[[#This Row],[تاريخ میلادی]]&gt;44276),Main[[#This Row],[مقدار (کیلوگرم)]],0)</f>
        <v>0</v>
      </c>
      <c r="N314" s="6">
        <f ca="1">Main[[#This Row],[بدهکار (کیلوگرم)]]-Main[[#This Row],[بدهی تسویه نشده (کیلوگرم)]]</f>
        <v>0</v>
      </c>
      <c r="O314" s="6">
        <f ca="1">Main[[#This Row],[تفکیک]]</f>
        <v>0</v>
      </c>
      <c r="P314" s="6">
        <f ca="1">IF(Main[[#This Row],[تاخیر از سررسید]]&gt;0,Main[[#This Row],[بدهی تسویه نشده (کیلوگرم)]],0)</f>
        <v>0</v>
      </c>
      <c r="Q314" s="6">
        <f ca="1">IF(Main[[#This Row],[بدهی تسویه نشده (کیلوگرم)]]&gt;0,'گزارش فردی'!$B$7-Main[[#This Row],[تاريخ میلادی]],0)</f>
        <v>0</v>
      </c>
      <c r="R314" s="6">
        <f ca="1">IF(Main[[#This Row],[بدهی تسویه نشده (کیلوگرم)]]&gt;0,'گزارش فردی'!$B$7-Main[[#This Row],[تاريخ میلادی]]-'گزارش فردی'!$B$8,0)</f>
        <v>0</v>
      </c>
      <c r="S314" s="6">
        <f ca="1">Main[[#This Row],[روز از ارسال سفارش]]*Main[[#This Row],[بدهی تسویه نشده (کیلوگرم)]]</f>
        <v>0</v>
      </c>
      <c r="T314" s="6">
        <f ca="1">Main[[#This Row],[بدهی سررسید شده (کیلوگرم)]]*Main[[#This Row],[روز از ارسال سفارش]]</f>
        <v>0</v>
      </c>
      <c r="U314" s="6">
        <f>-SUBTOTAL(9,INDEX(Main[مقدار (کیلوگرم)],1):Main[[#This Row],[مقدار (کیلوگرم)]])</f>
        <v>43098</v>
      </c>
      <c r="V3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4" s="6">
        <f>Main[[#This Row],[تعداد کل روزهای بدهکار (روز)]]*Main[[#This Row],[مانده در خط کل (کیلوگرم)]]</f>
        <v>0</v>
      </c>
      <c r="X314" s="6">
        <f ca="1">-SUBTOTAL(9,INDEX(Main[مقدار تسویه شده (کیلوگرم)],1):Main[[#This Row],[مقدار تسویه شده (کیلوگرم)]])</f>
        <v>43098</v>
      </c>
      <c r="Y314" s="6">
        <f ca="1">IF(Main[[#This Row],[مانده در خط تسویه شده (کیلوگرم)]]&lt;&gt;0,Main[[#This Row],[تعداد کل روزهای بدهکار (روز)]],0)</f>
        <v>0</v>
      </c>
      <c r="Z314" s="6">
        <f ca="1">Main[[#This Row],[تعداد روزهای بدهکار تسویه شده (روز)]]*Main[[#This Row],[مانده در خط تسویه شده (کیلوگرم)]]</f>
        <v>0</v>
      </c>
      <c r="AA314" s="6">
        <f ca="1">SUBTOTAL(9,INDEX(Main[بدهی تسویه نشده (کیلوگرم)],1):Main[[#This Row],[بدهی تسویه نشده (کیلوگرم)]])</f>
        <v>0</v>
      </c>
      <c r="AB314" s="6">
        <f ca="1">IF(Main[[#This Row],[مانده در خط تسویه نشده (کیلوگرم)]]&lt;&gt;0,Main[[#This Row],[تعداد کل روزهای بدهکار (روز)]],0)</f>
        <v>0</v>
      </c>
      <c r="AC314" s="6">
        <f ca="1">Main[[#This Row],[تعداد روزهای بدهکار  تسویه نشده (روز)]]*Main[[#This Row],[مانده در خط تسویه نشده (کیلوگرم)]]</f>
        <v>0</v>
      </c>
      <c r="AD314" s="6">
        <f ca="1">SUBTOTAL(9,INDEX(Main[بدهی سررسید شده (کیلوگرم)],1):Main[[#This Row],[بدهی سررسید شده (کیلوگرم)]])</f>
        <v>0</v>
      </c>
      <c r="AE314" s="6">
        <f ca="1">IF(Main[[#This Row],[مانده در خط سررسید شده (کیلوگرم)]]&lt;&gt;0,Main[[#This Row],[تعداد کل روزهای بدهکار (روز)]],0)</f>
        <v>0</v>
      </c>
      <c r="AF314" s="6">
        <f ca="1">Main[[#This Row],[تعداد روزهای بدهکار سررسید شده (روز)]]*Main[[#This Row],[مانده در خط سررسید شده (کیلوگرم)]]</f>
        <v>0</v>
      </c>
    </row>
    <row r="315" spans="1:32" hidden="1" x14ac:dyDescent="0.35">
      <c r="A315" s="5">
        <f>ROW()-ROW(INDEX(Main[ردیف],1))+1</f>
        <v>313</v>
      </c>
      <c r="B315" s="31">
        <f>SUBTOTAL(2,INDEX(Main[ردیف],1):Main[[#This Row],[ردیف]])</f>
        <v>31</v>
      </c>
      <c r="C315" s="32" t="s">
        <v>536</v>
      </c>
      <c r="D315" s="32" t="str">
        <f>_xlfn.CONCAT("14",Main[[#This Row],[تاريخ]])</f>
        <v>1400/02/11</v>
      </c>
      <c r="E315" s="33">
        <v>44317</v>
      </c>
      <c r="F315" s="32">
        <v>30066</v>
      </c>
      <c r="G315" s="5" t="str">
        <f>INDEX(customer[عنوان],MATCH(Main[[#This Row],[کد ردیابی]],customer[کد],0))</f>
        <v xml:space="preserve">شیر آلات بهداشتی قهرمان </v>
      </c>
      <c r="H315">
        <v>-2290</v>
      </c>
      <c r="I315" s="6">
        <f ca="1">-Main[[#This Row],[بدهی تسویه شده (کیلوگرم)]]+Main[[#This Row],[بستانکار (کیلوگرم)]]</f>
        <v>-2290</v>
      </c>
      <c r="J315" s="6">
        <f>IF(Main[[#This Row],[مقدار (کیلوگرم)]]&gt;0,Main[[#This Row],[مقدار (کیلوگرم)]],0)</f>
        <v>0</v>
      </c>
      <c r="K315" s="6">
        <f>-IF(Main[[#This Row],[مقدار (کیلوگرم)]]&lt;0,Main[[#This Row],[مقدار (کیلوگرم)]],0)</f>
        <v>2290</v>
      </c>
      <c r="L3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5" s="7">
        <f>-IF(AND(Main[[#This Row],[مقدار (کیلوگرم)]]&lt;0,Main[[#This Row],[تاريخ میلادی]]&gt;44276),Main[[#This Row],[مقدار (کیلوگرم)]],0)</f>
        <v>2290</v>
      </c>
      <c r="N315" s="6">
        <f ca="1">Main[[#This Row],[بدهکار (کیلوگرم)]]-Main[[#This Row],[بدهی تسویه نشده (کیلوگرم)]]</f>
        <v>2290</v>
      </c>
      <c r="O315" s="6">
        <f ca="1">Main[[#This Row],[تفکیک]]</f>
        <v>0</v>
      </c>
      <c r="P315" s="6">
        <f ca="1">IF(Main[[#This Row],[تاخیر از سررسید]]&gt;0,Main[[#This Row],[بدهی تسویه نشده (کیلوگرم)]],0)</f>
        <v>0</v>
      </c>
      <c r="Q315" s="6">
        <f ca="1">IF(Main[[#This Row],[بدهی تسویه نشده (کیلوگرم)]]&gt;0,'گزارش فردی'!$B$7-Main[[#This Row],[تاريخ میلادی]],0)</f>
        <v>0</v>
      </c>
      <c r="R315" s="6">
        <f ca="1">IF(Main[[#This Row],[بدهی تسویه نشده (کیلوگرم)]]&gt;0,'گزارش فردی'!$B$7-Main[[#This Row],[تاريخ میلادی]]-'گزارش فردی'!$B$8,0)</f>
        <v>0</v>
      </c>
      <c r="S315" s="6">
        <f ca="1">Main[[#This Row],[روز از ارسال سفارش]]*Main[[#This Row],[بدهی تسویه نشده (کیلوگرم)]]</f>
        <v>0</v>
      </c>
      <c r="T315" s="6">
        <f ca="1">Main[[#This Row],[بدهی سررسید شده (کیلوگرم)]]*Main[[#This Row],[روز از ارسال سفارش]]</f>
        <v>0</v>
      </c>
      <c r="U315" s="6">
        <f>-SUBTOTAL(9,INDEX(Main[مقدار (کیلوگرم)],1):Main[[#This Row],[مقدار (کیلوگرم)]])</f>
        <v>43098</v>
      </c>
      <c r="V3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5" s="6">
        <f>Main[[#This Row],[تعداد کل روزهای بدهکار (روز)]]*Main[[#This Row],[مانده در خط کل (کیلوگرم)]]</f>
        <v>0</v>
      </c>
      <c r="X315" s="6">
        <f ca="1">-SUBTOTAL(9,INDEX(Main[مقدار تسویه شده (کیلوگرم)],1):Main[[#This Row],[مقدار تسویه شده (کیلوگرم)]])</f>
        <v>43098</v>
      </c>
      <c r="Y315" s="6">
        <f ca="1">IF(Main[[#This Row],[مانده در خط تسویه شده (کیلوگرم)]]&lt;&gt;0,Main[[#This Row],[تعداد کل روزهای بدهکار (روز)]],0)</f>
        <v>0</v>
      </c>
      <c r="Z315" s="6">
        <f ca="1">Main[[#This Row],[تعداد روزهای بدهکار تسویه شده (روز)]]*Main[[#This Row],[مانده در خط تسویه شده (کیلوگرم)]]</f>
        <v>0</v>
      </c>
      <c r="AA315" s="6">
        <f ca="1">SUBTOTAL(9,INDEX(Main[بدهی تسویه نشده (کیلوگرم)],1):Main[[#This Row],[بدهی تسویه نشده (کیلوگرم)]])</f>
        <v>0</v>
      </c>
      <c r="AB315" s="6">
        <f ca="1">IF(Main[[#This Row],[مانده در خط تسویه نشده (کیلوگرم)]]&lt;&gt;0,Main[[#This Row],[تعداد کل روزهای بدهکار (روز)]],0)</f>
        <v>0</v>
      </c>
      <c r="AC315" s="6">
        <f ca="1">Main[[#This Row],[تعداد روزهای بدهکار  تسویه نشده (روز)]]*Main[[#This Row],[مانده در خط تسویه نشده (کیلوگرم)]]</f>
        <v>0</v>
      </c>
      <c r="AD315" s="6">
        <f ca="1">SUBTOTAL(9,INDEX(Main[بدهی سررسید شده (کیلوگرم)],1):Main[[#This Row],[بدهی سررسید شده (کیلوگرم)]])</f>
        <v>0</v>
      </c>
      <c r="AE315" s="6">
        <f ca="1">IF(Main[[#This Row],[مانده در خط سررسید شده (کیلوگرم)]]&lt;&gt;0,Main[[#This Row],[تعداد کل روزهای بدهکار (روز)]],0)</f>
        <v>0</v>
      </c>
      <c r="AF315" s="6">
        <f ca="1">Main[[#This Row],[تعداد روزهای بدهکار سررسید شده (روز)]]*Main[[#This Row],[مانده در خط سررسید شده (کیلوگرم)]]</f>
        <v>0</v>
      </c>
    </row>
    <row r="316" spans="1:32" hidden="1" x14ac:dyDescent="0.35">
      <c r="A316" s="5">
        <f>ROW()-ROW(INDEX(Main[ردیف],1))+1</f>
        <v>314</v>
      </c>
      <c r="B316" s="31">
        <f>SUBTOTAL(2,INDEX(Main[ردیف],1):Main[[#This Row],[ردیف]])</f>
        <v>31</v>
      </c>
      <c r="C316" s="32" t="s">
        <v>536</v>
      </c>
      <c r="D316" s="32" t="str">
        <f>_xlfn.CONCAT("14",Main[[#This Row],[تاريخ]])</f>
        <v>1400/02/11</v>
      </c>
      <c r="E316" s="33">
        <v>44317</v>
      </c>
      <c r="F316" s="32">
        <v>30146</v>
      </c>
      <c r="G316" s="5" t="str">
        <f>INDEX(customer[عنوان],MATCH(Main[[#This Row],[کد ردیابی]],customer[کد],0))</f>
        <v>شرکت آذرپاد</v>
      </c>
      <c r="H316">
        <v>593</v>
      </c>
      <c r="I316" s="6">
        <f ca="1">-Main[[#This Row],[بدهی تسویه شده (کیلوگرم)]]+Main[[#This Row],[بستانکار (کیلوگرم)]]</f>
        <v>593</v>
      </c>
      <c r="J316" s="6">
        <f>IF(Main[[#This Row],[مقدار (کیلوگرم)]]&gt;0,Main[[#This Row],[مقدار (کیلوگرم)]],0)</f>
        <v>593</v>
      </c>
      <c r="K316" s="6">
        <f>-IF(Main[[#This Row],[مقدار (کیلوگرم)]]&lt;0,Main[[#This Row],[مقدار (کیلوگرم)]],0)</f>
        <v>0</v>
      </c>
      <c r="L3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6" s="7">
        <f>-IF(AND(Main[[#This Row],[مقدار (کیلوگرم)]]&lt;0,Main[[#This Row],[تاريخ میلادی]]&gt;44276),Main[[#This Row],[مقدار (کیلوگرم)]],0)</f>
        <v>0</v>
      </c>
      <c r="N316" s="6">
        <f ca="1">Main[[#This Row],[بدهکار (کیلوگرم)]]-Main[[#This Row],[بدهی تسویه نشده (کیلوگرم)]]</f>
        <v>0</v>
      </c>
      <c r="O316" s="6">
        <f ca="1">Main[[#This Row],[تفکیک]]</f>
        <v>0</v>
      </c>
      <c r="P316" s="6">
        <f ca="1">IF(Main[[#This Row],[تاخیر از سررسید]]&gt;0,Main[[#This Row],[بدهی تسویه نشده (کیلوگرم)]],0)</f>
        <v>0</v>
      </c>
      <c r="Q316" s="6">
        <f ca="1">IF(Main[[#This Row],[بدهی تسویه نشده (کیلوگرم)]]&gt;0,'گزارش فردی'!$B$7-Main[[#This Row],[تاريخ میلادی]],0)</f>
        <v>0</v>
      </c>
      <c r="R316" s="6">
        <f ca="1">IF(Main[[#This Row],[بدهی تسویه نشده (کیلوگرم)]]&gt;0,'گزارش فردی'!$B$7-Main[[#This Row],[تاريخ میلادی]]-'گزارش فردی'!$B$8,0)</f>
        <v>0</v>
      </c>
      <c r="S316" s="6">
        <f ca="1">Main[[#This Row],[روز از ارسال سفارش]]*Main[[#This Row],[بدهی تسویه نشده (کیلوگرم)]]</f>
        <v>0</v>
      </c>
      <c r="T316" s="6">
        <f ca="1">Main[[#This Row],[بدهی سررسید شده (کیلوگرم)]]*Main[[#This Row],[روز از ارسال سفارش]]</f>
        <v>0</v>
      </c>
      <c r="U316" s="6">
        <f>-SUBTOTAL(9,INDEX(Main[مقدار (کیلوگرم)],1):Main[[#This Row],[مقدار (کیلوگرم)]])</f>
        <v>43098</v>
      </c>
      <c r="V3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6" s="6">
        <f>Main[[#This Row],[تعداد کل روزهای بدهکار (روز)]]*Main[[#This Row],[مانده در خط کل (کیلوگرم)]]</f>
        <v>0</v>
      </c>
      <c r="X316" s="6">
        <f ca="1">-SUBTOTAL(9,INDEX(Main[مقدار تسویه شده (کیلوگرم)],1):Main[[#This Row],[مقدار تسویه شده (کیلوگرم)]])</f>
        <v>43098</v>
      </c>
      <c r="Y316" s="6">
        <f ca="1">IF(Main[[#This Row],[مانده در خط تسویه شده (کیلوگرم)]]&lt;&gt;0,Main[[#This Row],[تعداد کل روزهای بدهکار (روز)]],0)</f>
        <v>0</v>
      </c>
      <c r="Z316" s="6">
        <f ca="1">Main[[#This Row],[تعداد روزهای بدهکار تسویه شده (روز)]]*Main[[#This Row],[مانده در خط تسویه شده (کیلوگرم)]]</f>
        <v>0</v>
      </c>
      <c r="AA316" s="6">
        <f ca="1">SUBTOTAL(9,INDEX(Main[بدهی تسویه نشده (کیلوگرم)],1):Main[[#This Row],[بدهی تسویه نشده (کیلوگرم)]])</f>
        <v>0</v>
      </c>
      <c r="AB316" s="6">
        <f ca="1">IF(Main[[#This Row],[مانده در خط تسویه نشده (کیلوگرم)]]&lt;&gt;0,Main[[#This Row],[تعداد کل روزهای بدهکار (روز)]],0)</f>
        <v>0</v>
      </c>
      <c r="AC316" s="6">
        <f ca="1">Main[[#This Row],[تعداد روزهای بدهکار  تسویه نشده (روز)]]*Main[[#This Row],[مانده در خط تسویه نشده (کیلوگرم)]]</f>
        <v>0</v>
      </c>
      <c r="AD316" s="6">
        <f ca="1">SUBTOTAL(9,INDEX(Main[بدهی سررسید شده (کیلوگرم)],1):Main[[#This Row],[بدهی سررسید شده (کیلوگرم)]])</f>
        <v>0</v>
      </c>
      <c r="AE316" s="6">
        <f ca="1">IF(Main[[#This Row],[مانده در خط سررسید شده (کیلوگرم)]]&lt;&gt;0,Main[[#This Row],[تعداد کل روزهای بدهکار (روز)]],0)</f>
        <v>0</v>
      </c>
      <c r="AF316" s="6">
        <f ca="1">Main[[#This Row],[تعداد روزهای بدهکار سررسید شده (روز)]]*Main[[#This Row],[مانده در خط سررسید شده (کیلوگرم)]]</f>
        <v>0</v>
      </c>
    </row>
    <row r="317" spans="1:32" x14ac:dyDescent="0.35">
      <c r="A317" s="5">
        <f>ROW()-ROW(INDEX(Main[ردیف],1))+1</f>
        <v>315</v>
      </c>
      <c r="B317" s="31">
        <f>SUBTOTAL(2,INDEX(Main[ردیف],1):Main[[#This Row],[ردیف]])</f>
        <v>32</v>
      </c>
      <c r="C317" s="32" t="s">
        <v>536</v>
      </c>
      <c r="D317" s="32" t="str">
        <f>_xlfn.CONCAT("14",Main[[#This Row],[تاريخ]])</f>
        <v>1400/02/11</v>
      </c>
      <c r="E317" s="33">
        <v>44317</v>
      </c>
      <c r="F317" s="32">
        <v>10003</v>
      </c>
      <c r="G317" s="5" t="str">
        <f>INDEX(customer[عنوان],MATCH(Main[[#This Row],[کد ردیابی]],customer[کد],0))</f>
        <v>اصغر نورعلی</v>
      </c>
      <c r="H317">
        <v>-4514</v>
      </c>
      <c r="I317" s="6">
        <f ca="1">-Main[[#This Row],[بدهی تسویه شده (کیلوگرم)]]+Main[[#This Row],[بستانکار (کیلوگرم)]]</f>
        <v>-4514</v>
      </c>
      <c r="J317" s="6">
        <f>IF(Main[[#This Row],[مقدار (کیلوگرم)]]&gt;0,Main[[#This Row],[مقدار (کیلوگرم)]],0)</f>
        <v>0</v>
      </c>
      <c r="K317" s="6">
        <f>-IF(Main[[#This Row],[مقدار (کیلوگرم)]]&lt;0,Main[[#This Row],[مقدار (کیلوگرم)]],0)</f>
        <v>4514</v>
      </c>
      <c r="L3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7" s="7">
        <f>-IF(AND(Main[[#This Row],[مقدار (کیلوگرم)]]&lt;0,Main[[#This Row],[تاريخ میلادی]]&gt;44276),Main[[#This Row],[مقدار (کیلوگرم)]],0)</f>
        <v>4514</v>
      </c>
      <c r="N317" s="6">
        <f ca="1">Main[[#This Row],[بدهکار (کیلوگرم)]]-Main[[#This Row],[بدهی تسویه نشده (کیلوگرم)]]</f>
        <v>4514</v>
      </c>
      <c r="O317" s="6">
        <f ca="1">Main[[#This Row],[تفکیک]]</f>
        <v>0</v>
      </c>
      <c r="P317" s="6">
        <f ca="1">IF(Main[[#This Row],[تاخیر از سررسید]]&gt;0,Main[[#This Row],[بدهی تسویه نشده (کیلوگرم)]],0)</f>
        <v>0</v>
      </c>
      <c r="Q317" s="6">
        <f ca="1">IF(Main[[#This Row],[بدهی تسویه نشده (کیلوگرم)]]&gt;0,'گزارش فردی'!$B$7-Main[[#This Row],[تاريخ میلادی]],0)</f>
        <v>0</v>
      </c>
      <c r="R317" s="6">
        <f ca="1">IF(Main[[#This Row],[بدهی تسویه نشده (کیلوگرم)]]&gt;0,'گزارش فردی'!$B$7-Main[[#This Row],[تاريخ میلادی]]-'گزارش فردی'!$B$8,0)</f>
        <v>0</v>
      </c>
      <c r="S317" s="6">
        <f ca="1">Main[[#This Row],[روز از ارسال سفارش]]*Main[[#This Row],[بدهی تسویه نشده (کیلوگرم)]]</f>
        <v>0</v>
      </c>
      <c r="T317" s="6">
        <f ca="1">Main[[#This Row],[بدهی سررسید شده (کیلوگرم)]]*Main[[#This Row],[روز از ارسال سفارش]]</f>
        <v>0</v>
      </c>
      <c r="U317" s="6">
        <f>-SUBTOTAL(9,INDEX(Main[مقدار (کیلوگرم)],1):Main[[#This Row],[مقدار (کیلوگرم)]])</f>
        <v>47612</v>
      </c>
      <c r="V3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7" s="6">
        <f>Main[[#This Row],[تعداد کل روزهای بدهکار (روز)]]*Main[[#This Row],[مانده در خط کل (کیلوگرم)]]</f>
        <v>0</v>
      </c>
      <c r="X317" s="6">
        <f ca="1">-SUBTOTAL(9,INDEX(Main[مقدار تسویه شده (کیلوگرم)],1):Main[[#This Row],[مقدار تسویه شده (کیلوگرم)]])</f>
        <v>47612</v>
      </c>
      <c r="Y317" s="6">
        <f ca="1">IF(Main[[#This Row],[مانده در خط تسویه شده (کیلوگرم)]]&lt;&gt;0,Main[[#This Row],[تعداد کل روزهای بدهکار (روز)]],0)</f>
        <v>0</v>
      </c>
      <c r="Z317" s="6">
        <f ca="1">Main[[#This Row],[تعداد روزهای بدهکار تسویه شده (روز)]]*Main[[#This Row],[مانده در خط تسویه شده (کیلوگرم)]]</f>
        <v>0</v>
      </c>
      <c r="AA317" s="6">
        <f ca="1">SUBTOTAL(9,INDEX(Main[بدهی تسویه نشده (کیلوگرم)],1):Main[[#This Row],[بدهی تسویه نشده (کیلوگرم)]])</f>
        <v>0</v>
      </c>
      <c r="AB317" s="6">
        <f ca="1">IF(Main[[#This Row],[مانده در خط تسویه نشده (کیلوگرم)]]&lt;&gt;0,Main[[#This Row],[تعداد کل روزهای بدهکار (روز)]],0)</f>
        <v>0</v>
      </c>
      <c r="AC317" s="6">
        <f ca="1">Main[[#This Row],[تعداد روزهای بدهکار  تسویه نشده (روز)]]*Main[[#This Row],[مانده در خط تسویه نشده (کیلوگرم)]]</f>
        <v>0</v>
      </c>
      <c r="AD317" s="6">
        <f ca="1">SUBTOTAL(9,INDEX(Main[بدهی سررسید شده (کیلوگرم)],1):Main[[#This Row],[بدهی سررسید شده (کیلوگرم)]])</f>
        <v>0</v>
      </c>
      <c r="AE317" s="6">
        <f ca="1">IF(Main[[#This Row],[مانده در خط سررسید شده (کیلوگرم)]]&lt;&gt;0,Main[[#This Row],[تعداد کل روزهای بدهکار (روز)]],0)</f>
        <v>0</v>
      </c>
      <c r="AF317" s="6">
        <f ca="1">Main[[#This Row],[تعداد روزهای بدهکار سررسید شده (روز)]]*Main[[#This Row],[مانده در خط سررسید شده (کیلوگرم)]]</f>
        <v>0</v>
      </c>
    </row>
    <row r="318" spans="1:32" hidden="1" x14ac:dyDescent="0.35">
      <c r="A318" s="5">
        <f>ROW()-ROW(INDEX(Main[ردیف],1))+1</f>
        <v>316</v>
      </c>
      <c r="B318" s="31">
        <f>SUBTOTAL(2,INDEX(Main[ردیف],1):Main[[#This Row],[ردیف]])</f>
        <v>32</v>
      </c>
      <c r="C318" s="32" t="s">
        <v>536</v>
      </c>
      <c r="D318" s="32" t="str">
        <f>_xlfn.CONCAT("14",Main[[#This Row],[تاريخ]])</f>
        <v>1400/02/11</v>
      </c>
      <c r="E318" s="33">
        <v>44317</v>
      </c>
      <c r="F318" s="32">
        <v>10026</v>
      </c>
      <c r="G318" s="5" t="str">
        <f>INDEX(customer[عنوان],MATCH(Main[[#This Row],[کد ردیابی]],customer[کد],0))</f>
        <v xml:space="preserve">محسن فیاض بخش </v>
      </c>
      <c r="H318">
        <v>958</v>
      </c>
      <c r="I318" s="6">
        <f ca="1">-Main[[#This Row],[بدهی تسویه شده (کیلوگرم)]]+Main[[#This Row],[بستانکار (کیلوگرم)]]</f>
        <v>958</v>
      </c>
      <c r="J318" s="6">
        <f>IF(Main[[#This Row],[مقدار (کیلوگرم)]]&gt;0,Main[[#This Row],[مقدار (کیلوگرم)]],0)</f>
        <v>958</v>
      </c>
      <c r="K318" s="6">
        <f>-IF(Main[[#This Row],[مقدار (کیلوگرم)]]&lt;0,Main[[#This Row],[مقدار (کیلوگرم)]],0)</f>
        <v>0</v>
      </c>
      <c r="L3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8" s="7">
        <f>-IF(AND(Main[[#This Row],[مقدار (کیلوگرم)]]&lt;0,Main[[#This Row],[تاريخ میلادی]]&gt;44276),Main[[#This Row],[مقدار (کیلوگرم)]],0)</f>
        <v>0</v>
      </c>
      <c r="N318" s="6">
        <f ca="1">Main[[#This Row],[بدهکار (کیلوگرم)]]-Main[[#This Row],[بدهی تسویه نشده (کیلوگرم)]]</f>
        <v>0</v>
      </c>
      <c r="O318" s="6">
        <f ca="1">Main[[#This Row],[تفکیک]]</f>
        <v>0</v>
      </c>
      <c r="P318" s="6">
        <f ca="1">IF(Main[[#This Row],[تاخیر از سررسید]]&gt;0,Main[[#This Row],[بدهی تسویه نشده (کیلوگرم)]],0)</f>
        <v>0</v>
      </c>
      <c r="Q318" s="6">
        <f ca="1">IF(Main[[#This Row],[بدهی تسویه نشده (کیلوگرم)]]&gt;0,'گزارش فردی'!$B$7-Main[[#This Row],[تاريخ میلادی]],0)</f>
        <v>0</v>
      </c>
      <c r="R318" s="6">
        <f ca="1">IF(Main[[#This Row],[بدهی تسویه نشده (کیلوگرم)]]&gt;0,'گزارش فردی'!$B$7-Main[[#This Row],[تاريخ میلادی]]-'گزارش فردی'!$B$8,0)</f>
        <v>0</v>
      </c>
      <c r="S318" s="6">
        <f ca="1">Main[[#This Row],[روز از ارسال سفارش]]*Main[[#This Row],[بدهی تسویه نشده (کیلوگرم)]]</f>
        <v>0</v>
      </c>
      <c r="T318" s="6">
        <f ca="1">Main[[#This Row],[بدهی سررسید شده (کیلوگرم)]]*Main[[#This Row],[روز از ارسال سفارش]]</f>
        <v>0</v>
      </c>
      <c r="U318" s="6">
        <f>-SUBTOTAL(9,INDEX(Main[مقدار (کیلوگرم)],1):Main[[#This Row],[مقدار (کیلوگرم)]])</f>
        <v>47612</v>
      </c>
      <c r="V3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8" s="6">
        <f>Main[[#This Row],[تعداد کل روزهای بدهکار (روز)]]*Main[[#This Row],[مانده در خط کل (کیلوگرم)]]</f>
        <v>0</v>
      </c>
      <c r="X318" s="6">
        <f ca="1">-SUBTOTAL(9,INDEX(Main[مقدار تسویه شده (کیلوگرم)],1):Main[[#This Row],[مقدار تسویه شده (کیلوگرم)]])</f>
        <v>47612</v>
      </c>
      <c r="Y318" s="6">
        <f ca="1">IF(Main[[#This Row],[مانده در خط تسویه شده (کیلوگرم)]]&lt;&gt;0,Main[[#This Row],[تعداد کل روزهای بدهکار (روز)]],0)</f>
        <v>0</v>
      </c>
      <c r="Z318" s="6">
        <f ca="1">Main[[#This Row],[تعداد روزهای بدهکار تسویه شده (روز)]]*Main[[#This Row],[مانده در خط تسویه شده (کیلوگرم)]]</f>
        <v>0</v>
      </c>
      <c r="AA318" s="6">
        <f ca="1">SUBTOTAL(9,INDEX(Main[بدهی تسویه نشده (کیلوگرم)],1):Main[[#This Row],[بدهی تسویه نشده (کیلوگرم)]])</f>
        <v>0</v>
      </c>
      <c r="AB318" s="6">
        <f ca="1">IF(Main[[#This Row],[مانده در خط تسویه نشده (کیلوگرم)]]&lt;&gt;0,Main[[#This Row],[تعداد کل روزهای بدهکار (روز)]],0)</f>
        <v>0</v>
      </c>
      <c r="AC318" s="6">
        <f ca="1">Main[[#This Row],[تعداد روزهای بدهکار  تسویه نشده (روز)]]*Main[[#This Row],[مانده در خط تسویه نشده (کیلوگرم)]]</f>
        <v>0</v>
      </c>
      <c r="AD318" s="6">
        <f ca="1">SUBTOTAL(9,INDEX(Main[بدهی سررسید شده (کیلوگرم)],1):Main[[#This Row],[بدهی سررسید شده (کیلوگرم)]])</f>
        <v>0</v>
      </c>
      <c r="AE318" s="6">
        <f ca="1">IF(Main[[#This Row],[مانده در خط سررسید شده (کیلوگرم)]]&lt;&gt;0,Main[[#This Row],[تعداد کل روزهای بدهکار (روز)]],0)</f>
        <v>0</v>
      </c>
      <c r="AF318" s="6">
        <f ca="1">Main[[#This Row],[تعداد روزهای بدهکار سررسید شده (روز)]]*Main[[#This Row],[مانده در خط سررسید شده (کیلوگرم)]]</f>
        <v>0</v>
      </c>
    </row>
    <row r="319" spans="1:32" hidden="1" x14ac:dyDescent="0.35">
      <c r="A319" s="5">
        <f>ROW()-ROW(INDEX(Main[ردیف],1))+1</f>
        <v>317</v>
      </c>
      <c r="B319" s="31">
        <f>SUBTOTAL(2,INDEX(Main[ردیف],1):Main[[#This Row],[ردیف]])</f>
        <v>32</v>
      </c>
      <c r="C319" s="32" t="s">
        <v>536</v>
      </c>
      <c r="D319" s="32" t="str">
        <f>_xlfn.CONCAT("14",Main[[#This Row],[تاريخ]])</f>
        <v>1400/02/11</v>
      </c>
      <c r="E319" s="33">
        <v>44317</v>
      </c>
      <c r="F319" s="32">
        <v>10009</v>
      </c>
      <c r="G319" s="5" t="str">
        <f>INDEX(customer[عنوان],MATCH(Main[[#This Row],[کد ردیابی]],customer[کد],0))</f>
        <v>محمد نمازی</v>
      </c>
      <c r="H319">
        <v>-2120</v>
      </c>
      <c r="I319" s="6">
        <f ca="1">-Main[[#This Row],[بدهی تسویه شده (کیلوگرم)]]+Main[[#This Row],[بستانکار (کیلوگرم)]]</f>
        <v>-2120</v>
      </c>
      <c r="J319" s="6">
        <f>IF(Main[[#This Row],[مقدار (کیلوگرم)]]&gt;0,Main[[#This Row],[مقدار (کیلوگرم)]],0)</f>
        <v>0</v>
      </c>
      <c r="K319" s="6">
        <f>-IF(Main[[#This Row],[مقدار (کیلوگرم)]]&lt;0,Main[[#This Row],[مقدار (کیلوگرم)]],0)</f>
        <v>2120</v>
      </c>
      <c r="L3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9" s="7">
        <f>-IF(AND(Main[[#This Row],[مقدار (کیلوگرم)]]&lt;0,Main[[#This Row],[تاريخ میلادی]]&gt;44276),Main[[#This Row],[مقدار (کیلوگرم)]],0)</f>
        <v>2120</v>
      </c>
      <c r="N319" s="6">
        <f ca="1">Main[[#This Row],[بدهکار (کیلوگرم)]]-Main[[#This Row],[بدهی تسویه نشده (کیلوگرم)]]</f>
        <v>2120</v>
      </c>
      <c r="O319" s="6">
        <f ca="1">Main[[#This Row],[تفکیک]]</f>
        <v>0</v>
      </c>
      <c r="P319" s="6">
        <f ca="1">IF(Main[[#This Row],[تاخیر از سررسید]]&gt;0,Main[[#This Row],[بدهی تسویه نشده (کیلوگرم)]],0)</f>
        <v>0</v>
      </c>
      <c r="Q319" s="6">
        <f ca="1">IF(Main[[#This Row],[بدهی تسویه نشده (کیلوگرم)]]&gt;0,'گزارش فردی'!$B$7-Main[[#This Row],[تاريخ میلادی]],0)</f>
        <v>0</v>
      </c>
      <c r="R319" s="6">
        <f ca="1">IF(Main[[#This Row],[بدهی تسویه نشده (کیلوگرم)]]&gt;0,'گزارش فردی'!$B$7-Main[[#This Row],[تاريخ میلادی]]-'گزارش فردی'!$B$8,0)</f>
        <v>0</v>
      </c>
      <c r="S319" s="6">
        <f ca="1">Main[[#This Row],[روز از ارسال سفارش]]*Main[[#This Row],[بدهی تسویه نشده (کیلوگرم)]]</f>
        <v>0</v>
      </c>
      <c r="T319" s="6">
        <f ca="1">Main[[#This Row],[بدهی سررسید شده (کیلوگرم)]]*Main[[#This Row],[روز از ارسال سفارش]]</f>
        <v>0</v>
      </c>
      <c r="U319" s="6">
        <f>-SUBTOTAL(9,INDEX(Main[مقدار (کیلوگرم)],1):Main[[#This Row],[مقدار (کیلوگرم)]])</f>
        <v>47612</v>
      </c>
      <c r="V3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9" s="6">
        <f>Main[[#This Row],[تعداد کل روزهای بدهکار (روز)]]*Main[[#This Row],[مانده در خط کل (کیلوگرم)]]</f>
        <v>0</v>
      </c>
      <c r="X319" s="6">
        <f ca="1">-SUBTOTAL(9,INDEX(Main[مقدار تسویه شده (کیلوگرم)],1):Main[[#This Row],[مقدار تسویه شده (کیلوگرم)]])</f>
        <v>47612</v>
      </c>
      <c r="Y319" s="6">
        <f ca="1">IF(Main[[#This Row],[مانده در خط تسویه شده (کیلوگرم)]]&lt;&gt;0,Main[[#This Row],[تعداد کل روزهای بدهکار (روز)]],0)</f>
        <v>0</v>
      </c>
      <c r="Z319" s="6">
        <f ca="1">Main[[#This Row],[تعداد روزهای بدهکار تسویه شده (روز)]]*Main[[#This Row],[مانده در خط تسویه شده (کیلوگرم)]]</f>
        <v>0</v>
      </c>
      <c r="AA319" s="6">
        <f ca="1">SUBTOTAL(9,INDEX(Main[بدهی تسویه نشده (کیلوگرم)],1):Main[[#This Row],[بدهی تسویه نشده (کیلوگرم)]])</f>
        <v>0</v>
      </c>
      <c r="AB319" s="6">
        <f ca="1">IF(Main[[#This Row],[مانده در خط تسویه نشده (کیلوگرم)]]&lt;&gt;0,Main[[#This Row],[تعداد کل روزهای بدهکار (روز)]],0)</f>
        <v>0</v>
      </c>
      <c r="AC319" s="6">
        <f ca="1">Main[[#This Row],[تعداد روزهای بدهکار  تسویه نشده (روز)]]*Main[[#This Row],[مانده در خط تسویه نشده (کیلوگرم)]]</f>
        <v>0</v>
      </c>
      <c r="AD319" s="6">
        <f ca="1">SUBTOTAL(9,INDEX(Main[بدهی سررسید شده (کیلوگرم)],1):Main[[#This Row],[بدهی سررسید شده (کیلوگرم)]])</f>
        <v>0</v>
      </c>
      <c r="AE319" s="6">
        <f ca="1">IF(Main[[#This Row],[مانده در خط سررسید شده (کیلوگرم)]]&lt;&gt;0,Main[[#This Row],[تعداد کل روزهای بدهکار (روز)]],0)</f>
        <v>0</v>
      </c>
      <c r="AF319" s="6">
        <f ca="1">Main[[#This Row],[تعداد روزهای بدهکار سررسید شده (روز)]]*Main[[#This Row],[مانده در خط سررسید شده (کیلوگرم)]]</f>
        <v>0</v>
      </c>
    </row>
    <row r="320" spans="1:32" hidden="1" x14ac:dyDescent="0.35">
      <c r="A320" s="5">
        <f>ROW()-ROW(INDEX(Main[ردیف],1))+1</f>
        <v>318</v>
      </c>
      <c r="B320" s="31">
        <f>SUBTOTAL(2,INDEX(Main[ردیف],1):Main[[#This Row],[ردیف]])</f>
        <v>32</v>
      </c>
      <c r="C320" s="32" t="s">
        <v>536</v>
      </c>
      <c r="D320" s="32" t="str">
        <f>_xlfn.CONCAT("14",Main[[#This Row],[تاريخ]])</f>
        <v>1400/02/11</v>
      </c>
      <c r="E320" s="33">
        <v>44317</v>
      </c>
      <c r="F320" s="32">
        <v>30017</v>
      </c>
      <c r="G320" s="5" t="str">
        <f>INDEX(customer[عنوان],MATCH(Main[[#This Row],[کد ردیابی]],customer[کد],0))</f>
        <v xml:space="preserve">البرز یدک </v>
      </c>
      <c r="H320">
        <v>117</v>
      </c>
      <c r="I320" s="6">
        <f ca="1">-Main[[#This Row],[بدهی تسویه شده (کیلوگرم)]]+Main[[#This Row],[بستانکار (کیلوگرم)]]</f>
        <v>117</v>
      </c>
      <c r="J320" s="6">
        <f>IF(Main[[#This Row],[مقدار (کیلوگرم)]]&gt;0,Main[[#This Row],[مقدار (کیلوگرم)]],0)</f>
        <v>117</v>
      </c>
      <c r="K320" s="6">
        <f>-IF(Main[[#This Row],[مقدار (کیلوگرم)]]&lt;0,Main[[#This Row],[مقدار (کیلوگرم)]],0)</f>
        <v>0</v>
      </c>
      <c r="L3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0" s="7">
        <f>-IF(AND(Main[[#This Row],[مقدار (کیلوگرم)]]&lt;0,Main[[#This Row],[تاريخ میلادی]]&gt;44276),Main[[#This Row],[مقدار (کیلوگرم)]],0)</f>
        <v>0</v>
      </c>
      <c r="N320" s="6">
        <f ca="1">Main[[#This Row],[بدهکار (کیلوگرم)]]-Main[[#This Row],[بدهی تسویه نشده (کیلوگرم)]]</f>
        <v>0</v>
      </c>
      <c r="O320" s="6">
        <f ca="1">Main[[#This Row],[تفکیک]]</f>
        <v>0</v>
      </c>
      <c r="P320" s="6">
        <f ca="1">IF(Main[[#This Row],[تاخیر از سررسید]]&gt;0,Main[[#This Row],[بدهی تسویه نشده (کیلوگرم)]],0)</f>
        <v>0</v>
      </c>
      <c r="Q320" s="6">
        <f ca="1">IF(Main[[#This Row],[بدهی تسویه نشده (کیلوگرم)]]&gt;0,'گزارش فردی'!$B$7-Main[[#This Row],[تاريخ میلادی]],0)</f>
        <v>0</v>
      </c>
      <c r="R320" s="6">
        <f ca="1">IF(Main[[#This Row],[بدهی تسویه نشده (کیلوگرم)]]&gt;0,'گزارش فردی'!$B$7-Main[[#This Row],[تاريخ میلادی]]-'گزارش فردی'!$B$8,0)</f>
        <v>0</v>
      </c>
      <c r="S320" s="6">
        <f ca="1">Main[[#This Row],[روز از ارسال سفارش]]*Main[[#This Row],[بدهی تسویه نشده (کیلوگرم)]]</f>
        <v>0</v>
      </c>
      <c r="T320" s="6">
        <f ca="1">Main[[#This Row],[بدهی سررسید شده (کیلوگرم)]]*Main[[#This Row],[روز از ارسال سفارش]]</f>
        <v>0</v>
      </c>
      <c r="U320" s="6">
        <f>-SUBTOTAL(9,INDEX(Main[مقدار (کیلوگرم)],1):Main[[#This Row],[مقدار (کیلوگرم)]])</f>
        <v>47612</v>
      </c>
      <c r="V3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0" s="6">
        <f>Main[[#This Row],[تعداد کل روزهای بدهکار (روز)]]*Main[[#This Row],[مانده در خط کل (کیلوگرم)]]</f>
        <v>0</v>
      </c>
      <c r="X320" s="6">
        <f ca="1">-SUBTOTAL(9,INDEX(Main[مقدار تسویه شده (کیلوگرم)],1):Main[[#This Row],[مقدار تسویه شده (کیلوگرم)]])</f>
        <v>47612</v>
      </c>
      <c r="Y320" s="6">
        <f ca="1">IF(Main[[#This Row],[مانده در خط تسویه شده (کیلوگرم)]]&lt;&gt;0,Main[[#This Row],[تعداد کل روزهای بدهکار (روز)]],0)</f>
        <v>0</v>
      </c>
      <c r="Z320" s="6">
        <f ca="1">Main[[#This Row],[تعداد روزهای بدهکار تسویه شده (روز)]]*Main[[#This Row],[مانده در خط تسویه شده (کیلوگرم)]]</f>
        <v>0</v>
      </c>
      <c r="AA320" s="6">
        <f ca="1">SUBTOTAL(9,INDEX(Main[بدهی تسویه نشده (کیلوگرم)],1):Main[[#This Row],[بدهی تسویه نشده (کیلوگرم)]])</f>
        <v>0</v>
      </c>
      <c r="AB320" s="6">
        <f ca="1">IF(Main[[#This Row],[مانده در خط تسویه نشده (کیلوگرم)]]&lt;&gt;0,Main[[#This Row],[تعداد کل روزهای بدهکار (روز)]],0)</f>
        <v>0</v>
      </c>
      <c r="AC320" s="6">
        <f ca="1">Main[[#This Row],[تعداد روزهای بدهکار  تسویه نشده (روز)]]*Main[[#This Row],[مانده در خط تسویه نشده (کیلوگرم)]]</f>
        <v>0</v>
      </c>
      <c r="AD320" s="6">
        <f ca="1">SUBTOTAL(9,INDEX(Main[بدهی سررسید شده (کیلوگرم)],1):Main[[#This Row],[بدهی سررسید شده (کیلوگرم)]])</f>
        <v>0</v>
      </c>
      <c r="AE320" s="6">
        <f ca="1">IF(Main[[#This Row],[مانده در خط سررسید شده (کیلوگرم)]]&lt;&gt;0,Main[[#This Row],[تعداد کل روزهای بدهکار (روز)]],0)</f>
        <v>0</v>
      </c>
      <c r="AF320" s="6">
        <f ca="1">Main[[#This Row],[تعداد روزهای بدهکار سررسید شده (روز)]]*Main[[#This Row],[مانده در خط سررسید شده (کیلوگرم)]]</f>
        <v>0</v>
      </c>
    </row>
    <row r="321" spans="1:32" hidden="1" x14ac:dyDescent="0.35">
      <c r="A321" s="5">
        <f>ROW()-ROW(INDEX(Main[ردیف],1))+1</f>
        <v>319</v>
      </c>
      <c r="B321" s="31">
        <f>SUBTOTAL(2,INDEX(Main[ردیف],1):Main[[#This Row],[ردیف]])</f>
        <v>32</v>
      </c>
      <c r="C321" s="32" t="s">
        <v>536</v>
      </c>
      <c r="D321" s="32" t="str">
        <f>_xlfn.CONCAT("14",Main[[#This Row],[تاريخ]])</f>
        <v>1400/02/11</v>
      </c>
      <c r="E321" s="33">
        <v>44317</v>
      </c>
      <c r="F321" s="32">
        <v>10026</v>
      </c>
      <c r="G321" s="5" t="str">
        <f>INDEX(customer[عنوان],MATCH(Main[[#This Row],[کد ردیابی]],customer[کد],0))</f>
        <v xml:space="preserve">محسن فیاض بخش </v>
      </c>
      <c r="H321">
        <v>-3684</v>
      </c>
      <c r="I321" s="6">
        <f ca="1">-Main[[#This Row],[بدهی تسویه شده (کیلوگرم)]]+Main[[#This Row],[بستانکار (کیلوگرم)]]</f>
        <v>-3684</v>
      </c>
      <c r="J321" s="6">
        <f>IF(Main[[#This Row],[مقدار (کیلوگرم)]]&gt;0,Main[[#This Row],[مقدار (کیلوگرم)]],0)</f>
        <v>0</v>
      </c>
      <c r="K321" s="6">
        <f>-IF(Main[[#This Row],[مقدار (کیلوگرم)]]&lt;0,Main[[#This Row],[مقدار (کیلوگرم)]],0)</f>
        <v>3684</v>
      </c>
      <c r="L3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1" s="7">
        <f>-IF(AND(Main[[#This Row],[مقدار (کیلوگرم)]]&lt;0,Main[[#This Row],[تاريخ میلادی]]&gt;44276),Main[[#This Row],[مقدار (کیلوگرم)]],0)</f>
        <v>3684</v>
      </c>
      <c r="N321" s="6">
        <f ca="1">Main[[#This Row],[بدهکار (کیلوگرم)]]-Main[[#This Row],[بدهی تسویه نشده (کیلوگرم)]]</f>
        <v>3684</v>
      </c>
      <c r="O321" s="6">
        <f ca="1">Main[[#This Row],[تفکیک]]</f>
        <v>0</v>
      </c>
      <c r="P321" s="6">
        <f ca="1">IF(Main[[#This Row],[تاخیر از سررسید]]&gt;0,Main[[#This Row],[بدهی تسویه نشده (کیلوگرم)]],0)</f>
        <v>0</v>
      </c>
      <c r="Q321" s="6">
        <f ca="1">IF(Main[[#This Row],[بدهی تسویه نشده (کیلوگرم)]]&gt;0,'گزارش فردی'!$B$7-Main[[#This Row],[تاريخ میلادی]],0)</f>
        <v>0</v>
      </c>
      <c r="R321" s="6">
        <f ca="1">IF(Main[[#This Row],[بدهی تسویه نشده (کیلوگرم)]]&gt;0,'گزارش فردی'!$B$7-Main[[#This Row],[تاريخ میلادی]]-'گزارش فردی'!$B$8,0)</f>
        <v>0</v>
      </c>
      <c r="S321" s="6">
        <f ca="1">Main[[#This Row],[روز از ارسال سفارش]]*Main[[#This Row],[بدهی تسویه نشده (کیلوگرم)]]</f>
        <v>0</v>
      </c>
      <c r="T321" s="6">
        <f ca="1">Main[[#This Row],[بدهی سررسید شده (کیلوگرم)]]*Main[[#This Row],[روز از ارسال سفارش]]</f>
        <v>0</v>
      </c>
      <c r="U321" s="6">
        <f>-SUBTOTAL(9,INDEX(Main[مقدار (کیلوگرم)],1):Main[[#This Row],[مقدار (کیلوگرم)]])</f>
        <v>47612</v>
      </c>
      <c r="V3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1" s="6">
        <f>Main[[#This Row],[تعداد کل روزهای بدهکار (روز)]]*Main[[#This Row],[مانده در خط کل (کیلوگرم)]]</f>
        <v>0</v>
      </c>
      <c r="X321" s="6">
        <f ca="1">-SUBTOTAL(9,INDEX(Main[مقدار تسویه شده (کیلوگرم)],1):Main[[#This Row],[مقدار تسویه شده (کیلوگرم)]])</f>
        <v>47612</v>
      </c>
      <c r="Y321" s="6">
        <f ca="1">IF(Main[[#This Row],[مانده در خط تسویه شده (کیلوگرم)]]&lt;&gt;0,Main[[#This Row],[تعداد کل روزهای بدهکار (روز)]],0)</f>
        <v>0</v>
      </c>
      <c r="Z321" s="6">
        <f ca="1">Main[[#This Row],[تعداد روزهای بدهکار تسویه شده (روز)]]*Main[[#This Row],[مانده در خط تسویه شده (کیلوگرم)]]</f>
        <v>0</v>
      </c>
      <c r="AA321" s="6">
        <f ca="1">SUBTOTAL(9,INDEX(Main[بدهی تسویه نشده (کیلوگرم)],1):Main[[#This Row],[بدهی تسویه نشده (کیلوگرم)]])</f>
        <v>0</v>
      </c>
      <c r="AB321" s="6">
        <f ca="1">IF(Main[[#This Row],[مانده در خط تسویه نشده (کیلوگرم)]]&lt;&gt;0,Main[[#This Row],[تعداد کل روزهای بدهکار (روز)]],0)</f>
        <v>0</v>
      </c>
      <c r="AC321" s="6">
        <f ca="1">Main[[#This Row],[تعداد روزهای بدهکار  تسویه نشده (روز)]]*Main[[#This Row],[مانده در خط تسویه نشده (کیلوگرم)]]</f>
        <v>0</v>
      </c>
      <c r="AD321" s="6">
        <f ca="1">SUBTOTAL(9,INDEX(Main[بدهی سررسید شده (کیلوگرم)],1):Main[[#This Row],[بدهی سررسید شده (کیلوگرم)]])</f>
        <v>0</v>
      </c>
      <c r="AE321" s="6">
        <f ca="1">IF(Main[[#This Row],[مانده در خط سررسید شده (کیلوگرم)]]&lt;&gt;0,Main[[#This Row],[تعداد کل روزهای بدهکار (روز)]],0)</f>
        <v>0</v>
      </c>
      <c r="AF321" s="6">
        <f ca="1">Main[[#This Row],[تعداد روزهای بدهکار سررسید شده (روز)]]*Main[[#This Row],[مانده در خط سررسید شده (کیلوگرم)]]</f>
        <v>0</v>
      </c>
    </row>
    <row r="322" spans="1:32" hidden="1" x14ac:dyDescent="0.35">
      <c r="A322" s="5">
        <f>ROW()-ROW(INDEX(Main[ردیف],1))+1</f>
        <v>320</v>
      </c>
      <c r="B322" s="31">
        <f>SUBTOTAL(2,INDEX(Main[ردیف],1):Main[[#This Row],[ردیف]])</f>
        <v>32</v>
      </c>
      <c r="C322" s="32" t="s">
        <v>536</v>
      </c>
      <c r="D322" s="32" t="str">
        <f>_xlfn.CONCAT("14",Main[[#This Row],[تاريخ]])</f>
        <v>1400/02/11</v>
      </c>
      <c r="E322" s="33">
        <v>44317</v>
      </c>
      <c r="F322" s="32">
        <v>10026</v>
      </c>
      <c r="G322" s="5" t="str">
        <f>INDEX(customer[عنوان],MATCH(Main[[#This Row],[کد ردیابی]],customer[کد],0))</f>
        <v xml:space="preserve">محسن فیاض بخش </v>
      </c>
      <c r="H322">
        <v>1812</v>
      </c>
      <c r="I322" s="6">
        <f ca="1">-Main[[#This Row],[بدهی تسویه شده (کیلوگرم)]]+Main[[#This Row],[بستانکار (کیلوگرم)]]</f>
        <v>1812</v>
      </c>
      <c r="J322" s="6">
        <f>IF(Main[[#This Row],[مقدار (کیلوگرم)]]&gt;0,Main[[#This Row],[مقدار (کیلوگرم)]],0)</f>
        <v>1812</v>
      </c>
      <c r="K322" s="6">
        <f>-IF(Main[[#This Row],[مقدار (کیلوگرم)]]&lt;0,Main[[#This Row],[مقدار (کیلوگرم)]],0)</f>
        <v>0</v>
      </c>
      <c r="L3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2" s="7">
        <f>-IF(AND(Main[[#This Row],[مقدار (کیلوگرم)]]&lt;0,Main[[#This Row],[تاريخ میلادی]]&gt;44276),Main[[#This Row],[مقدار (کیلوگرم)]],0)</f>
        <v>0</v>
      </c>
      <c r="N322" s="6">
        <f ca="1">Main[[#This Row],[بدهکار (کیلوگرم)]]-Main[[#This Row],[بدهی تسویه نشده (کیلوگرم)]]</f>
        <v>0</v>
      </c>
      <c r="O322" s="6">
        <f ca="1">Main[[#This Row],[تفکیک]]</f>
        <v>0</v>
      </c>
      <c r="P322" s="6">
        <f ca="1">IF(Main[[#This Row],[تاخیر از سررسید]]&gt;0,Main[[#This Row],[بدهی تسویه نشده (کیلوگرم)]],0)</f>
        <v>0</v>
      </c>
      <c r="Q322" s="6">
        <f ca="1">IF(Main[[#This Row],[بدهی تسویه نشده (کیلوگرم)]]&gt;0,'گزارش فردی'!$B$7-Main[[#This Row],[تاريخ میلادی]],0)</f>
        <v>0</v>
      </c>
      <c r="R322" s="6">
        <f ca="1">IF(Main[[#This Row],[بدهی تسویه نشده (کیلوگرم)]]&gt;0,'گزارش فردی'!$B$7-Main[[#This Row],[تاريخ میلادی]]-'گزارش فردی'!$B$8,0)</f>
        <v>0</v>
      </c>
      <c r="S322" s="6">
        <f ca="1">Main[[#This Row],[روز از ارسال سفارش]]*Main[[#This Row],[بدهی تسویه نشده (کیلوگرم)]]</f>
        <v>0</v>
      </c>
      <c r="T322" s="6">
        <f ca="1">Main[[#This Row],[بدهی سررسید شده (کیلوگرم)]]*Main[[#This Row],[روز از ارسال سفارش]]</f>
        <v>0</v>
      </c>
      <c r="U322" s="6">
        <f>-SUBTOTAL(9,INDEX(Main[مقدار (کیلوگرم)],1):Main[[#This Row],[مقدار (کیلوگرم)]])</f>
        <v>47612</v>
      </c>
      <c r="V3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2" s="6">
        <f>Main[[#This Row],[تعداد کل روزهای بدهکار (روز)]]*Main[[#This Row],[مانده در خط کل (کیلوگرم)]]</f>
        <v>0</v>
      </c>
      <c r="X322" s="6">
        <f ca="1">-SUBTOTAL(9,INDEX(Main[مقدار تسویه شده (کیلوگرم)],1):Main[[#This Row],[مقدار تسویه شده (کیلوگرم)]])</f>
        <v>47612</v>
      </c>
      <c r="Y322" s="6">
        <f ca="1">IF(Main[[#This Row],[مانده در خط تسویه شده (کیلوگرم)]]&lt;&gt;0,Main[[#This Row],[تعداد کل روزهای بدهکار (روز)]],0)</f>
        <v>0</v>
      </c>
      <c r="Z322" s="6">
        <f ca="1">Main[[#This Row],[تعداد روزهای بدهکار تسویه شده (روز)]]*Main[[#This Row],[مانده در خط تسویه شده (کیلوگرم)]]</f>
        <v>0</v>
      </c>
      <c r="AA322" s="6">
        <f ca="1">SUBTOTAL(9,INDEX(Main[بدهی تسویه نشده (کیلوگرم)],1):Main[[#This Row],[بدهی تسویه نشده (کیلوگرم)]])</f>
        <v>0</v>
      </c>
      <c r="AB322" s="6">
        <f ca="1">IF(Main[[#This Row],[مانده در خط تسویه نشده (کیلوگرم)]]&lt;&gt;0,Main[[#This Row],[تعداد کل روزهای بدهکار (روز)]],0)</f>
        <v>0</v>
      </c>
      <c r="AC322" s="6">
        <f ca="1">Main[[#This Row],[تعداد روزهای بدهکار  تسویه نشده (روز)]]*Main[[#This Row],[مانده در خط تسویه نشده (کیلوگرم)]]</f>
        <v>0</v>
      </c>
      <c r="AD322" s="6">
        <f ca="1">SUBTOTAL(9,INDEX(Main[بدهی سررسید شده (کیلوگرم)],1):Main[[#This Row],[بدهی سررسید شده (کیلوگرم)]])</f>
        <v>0</v>
      </c>
      <c r="AE322" s="6">
        <f ca="1">IF(Main[[#This Row],[مانده در خط سررسید شده (کیلوگرم)]]&lt;&gt;0,Main[[#This Row],[تعداد کل روزهای بدهکار (روز)]],0)</f>
        <v>0</v>
      </c>
      <c r="AF322" s="6">
        <f ca="1">Main[[#This Row],[تعداد روزهای بدهکار سررسید شده (روز)]]*Main[[#This Row],[مانده در خط سررسید شده (کیلوگرم)]]</f>
        <v>0</v>
      </c>
    </row>
    <row r="323" spans="1:32" hidden="1" x14ac:dyDescent="0.35">
      <c r="A323" s="5">
        <f>ROW()-ROW(INDEX(Main[ردیف],1))+1</f>
        <v>321</v>
      </c>
      <c r="B323" s="31">
        <f>SUBTOTAL(2,INDEX(Main[ردیف],1):Main[[#This Row],[ردیف]])</f>
        <v>32</v>
      </c>
      <c r="C323" s="32" t="s">
        <v>536</v>
      </c>
      <c r="D323" s="32" t="str">
        <f>_xlfn.CONCAT("14",Main[[#This Row],[تاريخ]])</f>
        <v>1400/02/11</v>
      </c>
      <c r="E323" s="33">
        <v>44317</v>
      </c>
      <c r="F323" s="32">
        <v>10026</v>
      </c>
      <c r="G323" s="5" t="str">
        <f>INDEX(customer[عنوان],MATCH(Main[[#This Row],[کد ردیابی]],customer[کد],0))</f>
        <v xml:space="preserve">محسن فیاض بخش </v>
      </c>
      <c r="H323">
        <v>2954</v>
      </c>
      <c r="I323" s="6">
        <f ca="1">-Main[[#This Row],[بدهی تسویه شده (کیلوگرم)]]+Main[[#This Row],[بستانکار (کیلوگرم)]]</f>
        <v>2954</v>
      </c>
      <c r="J323" s="6">
        <f>IF(Main[[#This Row],[مقدار (کیلوگرم)]]&gt;0,Main[[#This Row],[مقدار (کیلوگرم)]],0)</f>
        <v>2954</v>
      </c>
      <c r="K323" s="6">
        <f>-IF(Main[[#This Row],[مقدار (کیلوگرم)]]&lt;0,Main[[#This Row],[مقدار (کیلوگرم)]],0)</f>
        <v>0</v>
      </c>
      <c r="L3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3" s="7">
        <f>-IF(AND(Main[[#This Row],[مقدار (کیلوگرم)]]&lt;0,Main[[#This Row],[تاريخ میلادی]]&gt;44276),Main[[#This Row],[مقدار (کیلوگرم)]],0)</f>
        <v>0</v>
      </c>
      <c r="N323" s="6">
        <f ca="1">Main[[#This Row],[بدهکار (کیلوگرم)]]-Main[[#This Row],[بدهی تسویه نشده (کیلوگرم)]]</f>
        <v>0</v>
      </c>
      <c r="O323" s="6">
        <f ca="1">Main[[#This Row],[تفکیک]]</f>
        <v>0</v>
      </c>
      <c r="P323" s="6">
        <f ca="1">IF(Main[[#This Row],[تاخیر از سررسید]]&gt;0,Main[[#This Row],[بدهی تسویه نشده (کیلوگرم)]],0)</f>
        <v>0</v>
      </c>
      <c r="Q323" s="6">
        <f ca="1">IF(Main[[#This Row],[بدهی تسویه نشده (کیلوگرم)]]&gt;0,'گزارش فردی'!$B$7-Main[[#This Row],[تاريخ میلادی]],0)</f>
        <v>0</v>
      </c>
      <c r="R323" s="6">
        <f ca="1">IF(Main[[#This Row],[بدهی تسویه نشده (کیلوگرم)]]&gt;0,'گزارش فردی'!$B$7-Main[[#This Row],[تاريخ میلادی]]-'گزارش فردی'!$B$8,0)</f>
        <v>0</v>
      </c>
      <c r="S323" s="6">
        <f ca="1">Main[[#This Row],[روز از ارسال سفارش]]*Main[[#This Row],[بدهی تسویه نشده (کیلوگرم)]]</f>
        <v>0</v>
      </c>
      <c r="T323" s="6">
        <f ca="1">Main[[#This Row],[بدهی سررسید شده (کیلوگرم)]]*Main[[#This Row],[روز از ارسال سفارش]]</f>
        <v>0</v>
      </c>
      <c r="U323" s="6">
        <f>-SUBTOTAL(9,INDEX(Main[مقدار (کیلوگرم)],1):Main[[#This Row],[مقدار (کیلوگرم)]])</f>
        <v>47612</v>
      </c>
      <c r="V3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3" s="6">
        <f>Main[[#This Row],[تعداد کل روزهای بدهکار (روز)]]*Main[[#This Row],[مانده در خط کل (کیلوگرم)]]</f>
        <v>0</v>
      </c>
      <c r="X323" s="6">
        <f ca="1">-SUBTOTAL(9,INDEX(Main[مقدار تسویه شده (کیلوگرم)],1):Main[[#This Row],[مقدار تسویه شده (کیلوگرم)]])</f>
        <v>47612</v>
      </c>
      <c r="Y323" s="6">
        <f ca="1">IF(Main[[#This Row],[مانده در خط تسویه شده (کیلوگرم)]]&lt;&gt;0,Main[[#This Row],[تعداد کل روزهای بدهکار (روز)]],0)</f>
        <v>0</v>
      </c>
      <c r="Z323" s="6">
        <f ca="1">Main[[#This Row],[تعداد روزهای بدهکار تسویه شده (روز)]]*Main[[#This Row],[مانده در خط تسویه شده (کیلوگرم)]]</f>
        <v>0</v>
      </c>
      <c r="AA323" s="6">
        <f ca="1">SUBTOTAL(9,INDEX(Main[بدهی تسویه نشده (کیلوگرم)],1):Main[[#This Row],[بدهی تسویه نشده (کیلوگرم)]])</f>
        <v>0</v>
      </c>
      <c r="AB323" s="6">
        <f ca="1">IF(Main[[#This Row],[مانده در خط تسویه نشده (کیلوگرم)]]&lt;&gt;0,Main[[#This Row],[تعداد کل روزهای بدهکار (روز)]],0)</f>
        <v>0</v>
      </c>
      <c r="AC323" s="6">
        <f ca="1">Main[[#This Row],[تعداد روزهای بدهکار  تسویه نشده (روز)]]*Main[[#This Row],[مانده در خط تسویه نشده (کیلوگرم)]]</f>
        <v>0</v>
      </c>
      <c r="AD323" s="6">
        <f ca="1">SUBTOTAL(9,INDEX(Main[بدهی سررسید شده (کیلوگرم)],1):Main[[#This Row],[بدهی سررسید شده (کیلوگرم)]])</f>
        <v>0</v>
      </c>
      <c r="AE323" s="6">
        <f ca="1">IF(Main[[#This Row],[مانده در خط سررسید شده (کیلوگرم)]]&lt;&gt;0,Main[[#This Row],[تعداد کل روزهای بدهکار (روز)]],0)</f>
        <v>0</v>
      </c>
      <c r="AF323" s="6">
        <f ca="1">Main[[#This Row],[تعداد روزهای بدهکار سررسید شده (روز)]]*Main[[#This Row],[مانده در خط سررسید شده (کیلوگرم)]]</f>
        <v>0</v>
      </c>
    </row>
    <row r="324" spans="1:32" hidden="1" x14ac:dyDescent="0.35">
      <c r="A324" s="5">
        <f>ROW()-ROW(INDEX(Main[ردیف],1))+1</f>
        <v>322</v>
      </c>
      <c r="B324" s="31">
        <f>SUBTOTAL(2,INDEX(Main[ردیف],1):Main[[#This Row],[ردیف]])</f>
        <v>32</v>
      </c>
      <c r="C324" s="32" t="s">
        <v>536</v>
      </c>
      <c r="D324" s="32" t="str">
        <f>_xlfn.CONCAT("14",Main[[#This Row],[تاريخ]])</f>
        <v>1400/02/11</v>
      </c>
      <c r="E324" s="33">
        <v>44317</v>
      </c>
      <c r="F324" s="32">
        <v>10009</v>
      </c>
      <c r="G324" s="5" t="str">
        <f>INDEX(customer[عنوان],MATCH(Main[[#This Row],[کد ردیابی]],customer[کد],0))</f>
        <v>محمد نمازی</v>
      </c>
      <c r="H324">
        <v>1572</v>
      </c>
      <c r="I324" s="6">
        <f ca="1">-Main[[#This Row],[بدهی تسویه شده (کیلوگرم)]]+Main[[#This Row],[بستانکار (کیلوگرم)]]</f>
        <v>1572</v>
      </c>
      <c r="J324" s="6">
        <f>IF(Main[[#This Row],[مقدار (کیلوگرم)]]&gt;0,Main[[#This Row],[مقدار (کیلوگرم)]],0)</f>
        <v>1572</v>
      </c>
      <c r="K324" s="6">
        <f>-IF(Main[[#This Row],[مقدار (کیلوگرم)]]&lt;0,Main[[#This Row],[مقدار (کیلوگرم)]],0)</f>
        <v>0</v>
      </c>
      <c r="L3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4" s="7">
        <f>-IF(AND(Main[[#This Row],[مقدار (کیلوگرم)]]&lt;0,Main[[#This Row],[تاريخ میلادی]]&gt;44276),Main[[#This Row],[مقدار (کیلوگرم)]],0)</f>
        <v>0</v>
      </c>
      <c r="N324" s="6">
        <f ca="1">Main[[#This Row],[بدهکار (کیلوگرم)]]-Main[[#This Row],[بدهی تسویه نشده (کیلوگرم)]]</f>
        <v>0</v>
      </c>
      <c r="O324" s="6">
        <f ca="1">Main[[#This Row],[تفکیک]]</f>
        <v>0</v>
      </c>
      <c r="P324" s="6">
        <f ca="1">IF(Main[[#This Row],[تاخیر از سررسید]]&gt;0,Main[[#This Row],[بدهی تسویه نشده (کیلوگرم)]],0)</f>
        <v>0</v>
      </c>
      <c r="Q324" s="6">
        <f ca="1">IF(Main[[#This Row],[بدهی تسویه نشده (کیلوگرم)]]&gt;0,'گزارش فردی'!$B$7-Main[[#This Row],[تاريخ میلادی]],0)</f>
        <v>0</v>
      </c>
      <c r="R324" s="6">
        <f ca="1">IF(Main[[#This Row],[بدهی تسویه نشده (کیلوگرم)]]&gt;0,'گزارش فردی'!$B$7-Main[[#This Row],[تاريخ میلادی]]-'گزارش فردی'!$B$8,0)</f>
        <v>0</v>
      </c>
      <c r="S324" s="6">
        <f ca="1">Main[[#This Row],[روز از ارسال سفارش]]*Main[[#This Row],[بدهی تسویه نشده (کیلوگرم)]]</f>
        <v>0</v>
      </c>
      <c r="T324" s="6">
        <f ca="1">Main[[#This Row],[بدهی سررسید شده (کیلوگرم)]]*Main[[#This Row],[روز از ارسال سفارش]]</f>
        <v>0</v>
      </c>
      <c r="U324" s="6">
        <f>-SUBTOTAL(9,INDEX(Main[مقدار (کیلوگرم)],1):Main[[#This Row],[مقدار (کیلوگرم)]])</f>
        <v>47612</v>
      </c>
      <c r="V3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4" s="6">
        <f>Main[[#This Row],[تعداد کل روزهای بدهکار (روز)]]*Main[[#This Row],[مانده در خط کل (کیلوگرم)]]</f>
        <v>0</v>
      </c>
      <c r="X324" s="6">
        <f ca="1">-SUBTOTAL(9,INDEX(Main[مقدار تسویه شده (کیلوگرم)],1):Main[[#This Row],[مقدار تسویه شده (کیلوگرم)]])</f>
        <v>47612</v>
      </c>
      <c r="Y324" s="6">
        <f ca="1">IF(Main[[#This Row],[مانده در خط تسویه شده (کیلوگرم)]]&lt;&gt;0,Main[[#This Row],[تعداد کل روزهای بدهکار (روز)]],0)</f>
        <v>0</v>
      </c>
      <c r="Z324" s="6">
        <f ca="1">Main[[#This Row],[تعداد روزهای بدهکار تسویه شده (روز)]]*Main[[#This Row],[مانده در خط تسویه شده (کیلوگرم)]]</f>
        <v>0</v>
      </c>
      <c r="AA324" s="6">
        <f ca="1">SUBTOTAL(9,INDEX(Main[بدهی تسویه نشده (کیلوگرم)],1):Main[[#This Row],[بدهی تسویه نشده (کیلوگرم)]])</f>
        <v>0</v>
      </c>
      <c r="AB324" s="6">
        <f ca="1">IF(Main[[#This Row],[مانده در خط تسویه نشده (کیلوگرم)]]&lt;&gt;0,Main[[#This Row],[تعداد کل روزهای بدهکار (روز)]],0)</f>
        <v>0</v>
      </c>
      <c r="AC324" s="6">
        <f ca="1">Main[[#This Row],[تعداد روزهای بدهکار  تسویه نشده (روز)]]*Main[[#This Row],[مانده در خط تسویه نشده (کیلوگرم)]]</f>
        <v>0</v>
      </c>
      <c r="AD324" s="6">
        <f ca="1">SUBTOTAL(9,INDEX(Main[بدهی سررسید شده (کیلوگرم)],1):Main[[#This Row],[بدهی سررسید شده (کیلوگرم)]])</f>
        <v>0</v>
      </c>
      <c r="AE324" s="6">
        <f ca="1">IF(Main[[#This Row],[مانده در خط سررسید شده (کیلوگرم)]]&lt;&gt;0,Main[[#This Row],[تعداد کل روزهای بدهکار (روز)]],0)</f>
        <v>0</v>
      </c>
      <c r="AF324" s="6">
        <f ca="1">Main[[#This Row],[تعداد روزهای بدهکار سررسید شده (روز)]]*Main[[#This Row],[مانده در خط سررسید شده (کیلوگرم)]]</f>
        <v>0</v>
      </c>
    </row>
    <row r="325" spans="1:32" hidden="1" x14ac:dyDescent="0.35">
      <c r="A325" s="5">
        <f>ROW()-ROW(INDEX(Main[ردیف],1))+1</f>
        <v>323</v>
      </c>
      <c r="B325" s="31">
        <f>SUBTOTAL(2,INDEX(Main[ردیف],1):Main[[#This Row],[ردیف]])</f>
        <v>32</v>
      </c>
      <c r="C325" s="32" t="s">
        <v>536</v>
      </c>
      <c r="D325" s="32" t="str">
        <f>_xlfn.CONCAT("14",Main[[#This Row],[تاريخ]])</f>
        <v>1400/02/11</v>
      </c>
      <c r="E325" s="33">
        <v>44317</v>
      </c>
      <c r="F325" s="32">
        <v>10104</v>
      </c>
      <c r="G325" s="5" t="str">
        <f>INDEX(customer[عنوان],MATCH(Main[[#This Row],[کد ردیابی]],customer[کد],0))</f>
        <v>بهزادی فر اصغر</v>
      </c>
      <c r="H325">
        <v>20</v>
      </c>
      <c r="I325" s="6">
        <f ca="1">-Main[[#This Row],[بدهی تسویه شده (کیلوگرم)]]+Main[[#This Row],[بستانکار (کیلوگرم)]]</f>
        <v>20</v>
      </c>
      <c r="J325" s="6">
        <f>IF(Main[[#This Row],[مقدار (کیلوگرم)]]&gt;0,Main[[#This Row],[مقدار (کیلوگرم)]],0)</f>
        <v>20</v>
      </c>
      <c r="K325" s="6">
        <f>-IF(Main[[#This Row],[مقدار (کیلوگرم)]]&lt;0,Main[[#This Row],[مقدار (کیلوگرم)]],0)</f>
        <v>0</v>
      </c>
      <c r="L3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5" s="7">
        <f>-IF(AND(Main[[#This Row],[مقدار (کیلوگرم)]]&lt;0,Main[[#This Row],[تاريخ میلادی]]&gt;44276),Main[[#This Row],[مقدار (کیلوگرم)]],0)</f>
        <v>0</v>
      </c>
      <c r="N325" s="6">
        <f ca="1">Main[[#This Row],[بدهکار (کیلوگرم)]]-Main[[#This Row],[بدهی تسویه نشده (کیلوگرم)]]</f>
        <v>0</v>
      </c>
      <c r="O325" s="6">
        <f ca="1">Main[[#This Row],[تفکیک]]</f>
        <v>0</v>
      </c>
      <c r="P325" s="6">
        <f ca="1">IF(Main[[#This Row],[تاخیر از سررسید]]&gt;0,Main[[#This Row],[بدهی تسویه نشده (کیلوگرم)]],0)</f>
        <v>0</v>
      </c>
      <c r="Q325" s="6">
        <f ca="1">IF(Main[[#This Row],[بدهی تسویه نشده (کیلوگرم)]]&gt;0,'گزارش فردی'!$B$7-Main[[#This Row],[تاريخ میلادی]],0)</f>
        <v>0</v>
      </c>
      <c r="R325" s="6">
        <f ca="1">IF(Main[[#This Row],[بدهی تسویه نشده (کیلوگرم)]]&gt;0,'گزارش فردی'!$B$7-Main[[#This Row],[تاريخ میلادی]]-'گزارش فردی'!$B$8,0)</f>
        <v>0</v>
      </c>
      <c r="S325" s="6">
        <f ca="1">Main[[#This Row],[روز از ارسال سفارش]]*Main[[#This Row],[بدهی تسویه نشده (کیلوگرم)]]</f>
        <v>0</v>
      </c>
      <c r="T325" s="6">
        <f ca="1">Main[[#This Row],[بدهی سررسید شده (کیلوگرم)]]*Main[[#This Row],[روز از ارسال سفارش]]</f>
        <v>0</v>
      </c>
      <c r="U325" s="6">
        <f>-SUBTOTAL(9,INDEX(Main[مقدار (کیلوگرم)],1):Main[[#This Row],[مقدار (کیلوگرم)]])</f>
        <v>47612</v>
      </c>
      <c r="V3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5" s="6">
        <f>Main[[#This Row],[تعداد کل روزهای بدهکار (روز)]]*Main[[#This Row],[مانده در خط کل (کیلوگرم)]]</f>
        <v>0</v>
      </c>
      <c r="X325" s="6">
        <f ca="1">-SUBTOTAL(9,INDEX(Main[مقدار تسویه شده (کیلوگرم)],1):Main[[#This Row],[مقدار تسویه شده (کیلوگرم)]])</f>
        <v>47612</v>
      </c>
      <c r="Y325" s="6">
        <f ca="1">IF(Main[[#This Row],[مانده در خط تسویه شده (کیلوگرم)]]&lt;&gt;0,Main[[#This Row],[تعداد کل روزهای بدهکار (روز)]],0)</f>
        <v>0</v>
      </c>
      <c r="Z325" s="6">
        <f ca="1">Main[[#This Row],[تعداد روزهای بدهکار تسویه شده (روز)]]*Main[[#This Row],[مانده در خط تسویه شده (کیلوگرم)]]</f>
        <v>0</v>
      </c>
      <c r="AA325" s="6">
        <f ca="1">SUBTOTAL(9,INDEX(Main[بدهی تسویه نشده (کیلوگرم)],1):Main[[#This Row],[بدهی تسویه نشده (کیلوگرم)]])</f>
        <v>0</v>
      </c>
      <c r="AB325" s="6">
        <f ca="1">IF(Main[[#This Row],[مانده در خط تسویه نشده (کیلوگرم)]]&lt;&gt;0,Main[[#This Row],[تعداد کل روزهای بدهکار (روز)]],0)</f>
        <v>0</v>
      </c>
      <c r="AC325" s="6">
        <f ca="1">Main[[#This Row],[تعداد روزهای بدهکار  تسویه نشده (روز)]]*Main[[#This Row],[مانده در خط تسویه نشده (کیلوگرم)]]</f>
        <v>0</v>
      </c>
      <c r="AD325" s="6">
        <f ca="1">SUBTOTAL(9,INDEX(Main[بدهی سررسید شده (کیلوگرم)],1):Main[[#This Row],[بدهی سررسید شده (کیلوگرم)]])</f>
        <v>0</v>
      </c>
      <c r="AE325" s="6">
        <f ca="1">IF(Main[[#This Row],[مانده در خط سررسید شده (کیلوگرم)]]&lt;&gt;0,Main[[#This Row],[تعداد کل روزهای بدهکار (روز)]],0)</f>
        <v>0</v>
      </c>
      <c r="AF325" s="6">
        <f ca="1">Main[[#This Row],[تعداد روزهای بدهکار سررسید شده (روز)]]*Main[[#This Row],[مانده در خط سررسید شده (کیلوگرم)]]</f>
        <v>0</v>
      </c>
    </row>
    <row r="326" spans="1:32" hidden="1" x14ac:dyDescent="0.35">
      <c r="A326" s="5">
        <f>ROW()-ROW(INDEX(Main[ردیف],1))+1</f>
        <v>324</v>
      </c>
      <c r="B326" s="31">
        <f>SUBTOTAL(2,INDEX(Main[ردیف],1):Main[[#This Row],[ردیف]])</f>
        <v>32</v>
      </c>
      <c r="C326" s="32" t="s">
        <v>536</v>
      </c>
      <c r="D326" s="32" t="str">
        <f>_xlfn.CONCAT("14",Main[[#This Row],[تاريخ]])</f>
        <v>1400/02/11</v>
      </c>
      <c r="E326" s="33">
        <v>44317</v>
      </c>
      <c r="F326" s="32">
        <v>30081</v>
      </c>
      <c r="G326" s="5" t="str">
        <f>INDEX(customer[عنوان],MATCH(Main[[#This Row],[کد ردیابی]],customer[کد],0))</f>
        <v xml:space="preserve">شیرآلات بهداشتی راسان </v>
      </c>
      <c r="H326">
        <v>4960</v>
      </c>
      <c r="I326" s="6">
        <f ca="1">-Main[[#This Row],[بدهی تسویه شده (کیلوگرم)]]+Main[[#This Row],[بستانکار (کیلوگرم)]]</f>
        <v>4960</v>
      </c>
      <c r="J326" s="6">
        <f>IF(Main[[#This Row],[مقدار (کیلوگرم)]]&gt;0,Main[[#This Row],[مقدار (کیلوگرم)]],0)</f>
        <v>4960</v>
      </c>
      <c r="K326" s="6">
        <f>-IF(Main[[#This Row],[مقدار (کیلوگرم)]]&lt;0,Main[[#This Row],[مقدار (کیلوگرم)]],0)</f>
        <v>0</v>
      </c>
      <c r="L3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6" s="7">
        <f>-IF(AND(Main[[#This Row],[مقدار (کیلوگرم)]]&lt;0,Main[[#This Row],[تاريخ میلادی]]&gt;44276),Main[[#This Row],[مقدار (کیلوگرم)]],0)</f>
        <v>0</v>
      </c>
      <c r="N326" s="6">
        <f ca="1">Main[[#This Row],[بدهکار (کیلوگرم)]]-Main[[#This Row],[بدهی تسویه نشده (کیلوگرم)]]</f>
        <v>0</v>
      </c>
      <c r="O326" s="6">
        <f ca="1">Main[[#This Row],[تفکیک]]</f>
        <v>0</v>
      </c>
      <c r="P326" s="6">
        <f ca="1">IF(Main[[#This Row],[تاخیر از سررسید]]&gt;0,Main[[#This Row],[بدهی تسویه نشده (کیلوگرم)]],0)</f>
        <v>0</v>
      </c>
      <c r="Q326" s="6">
        <f ca="1">IF(Main[[#This Row],[بدهی تسویه نشده (کیلوگرم)]]&gt;0,'گزارش فردی'!$B$7-Main[[#This Row],[تاريخ میلادی]],0)</f>
        <v>0</v>
      </c>
      <c r="R326" s="6">
        <f ca="1">IF(Main[[#This Row],[بدهی تسویه نشده (کیلوگرم)]]&gt;0,'گزارش فردی'!$B$7-Main[[#This Row],[تاريخ میلادی]]-'گزارش فردی'!$B$8,0)</f>
        <v>0</v>
      </c>
      <c r="S326" s="6">
        <f ca="1">Main[[#This Row],[روز از ارسال سفارش]]*Main[[#This Row],[بدهی تسویه نشده (کیلوگرم)]]</f>
        <v>0</v>
      </c>
      <c r="T326" s="6">
        <f ca="1">Main[[#This Row],[بدهی سررسید شده (کیلوگرم)]]*Main[[#This Row],[روز از ارسال سفارش]]</f>
        <v>0</v>
      </c>
      <c r="U326" s="6">
        <f>-SUBTOTAL(9,INDEX(Main[مقدار (کیلوگرم)],1):Main[[#This Row],[مقدار (کیلوگرم)]])</f>
        <v>47612</v>
      </c>
      <c r="V3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6" s="6">
        <f>Main[[#This Row],[تعداد کل روزهای بدهکار (روز)]]*Main[[#This Row],[مانده در خط کل (کیلوگرم)]]</f>
        <v>0</v>
      </c>
      <c r="X326" s="6">
        <f ca="1">-SUBTOTAL(9,INDEX(Main[مقدار تسویه شده (کیلوگرم)],1):Main[[#This Row],[مقدار تسویه شده (کیلوگرم)]])</f>
        <v>47612</v>
      </c>
      <c r="Y326" s="6">
        <f ca="1">IF(Main[[#This Row],[مانده در خط تسویه شده (کیلوگرم)]]&lt;&gt;0,Main[[#This Row],[تعداد کل روزهای بدهکار (روز)]],0)</f>
        <v>0</v>
      </c>
      <c r="Z326" s="6">
        <f ca="1">Main[[#This Row],[تعداد روزهای بدهکار تسویه شده (روز)]]*Main[[#This Row],[مانده در خط تسویه شده (کیلوگرم)]]</f>
        <v>0</v>
      </c>
      <c r="AA326" s="6">
        <f ca="1">SUBTOTAL(9,INDEX(Main[بدهی تسویه نشده (کیلوگرم)],1):Main[[#This Row],[بدهی تسویه نشده (کیلوگرم)]])</f>
        <v>0</v>
      </c>
      <c r="AB326" s="6">
        <f ca="1">IF(Main[[#This Row],[مانده در خط تسویه نشده (کیلوگرم)]]&lt;&gt;0,Main[[#This Row],[تعداد کل روزهای بدهکار (روز)]],0)</f>
        <v>0</v>
      </c>
      <c r="AC326" s="6">
        <f ca="1">Main[[#This Row],[تعداد روزهای بدهکار  تسویه نشده (روز)]]*Main[[#This Row],[مانده در خط تسویه نشده (کیلوگرم)]]</f>
        <v>0</v>
      </c>
      <c r="AD326" s="6">
        <f ca="1">SUBTOTAL(9,INDEX(Main[بدهی سررسید شده (کیلوگرم)],1):Main[[#This Row],[بدهی سررسید شده (کیلوگرم)]])</f>
        <v>0</v>
      </c>
      <c r="AE326" s="6">
        <f ca="1">IF(Main[[#This Row],[مانده در خط سررسید شده (کیلوگرم)]]&lt;&gt;0,Main[[#This Row],[تعداد کل روزهای بدهکار (روز)]],0)</f>
        <v>0</v>
      </c>
      <c r="AF326" s="6">
        <f ca="1">Main[[#This Row],[تعداد روزهای بدهکار سررسید شده (روز)]]*Main[[#This Row],[مانده در خط سررسید شده (کیلوگرم)]]</f>
        <v>0</v>
      </c>
    </row>
    <row r="327" spans="1:32" x14ac:dyDescent="0.35">
      <c r="A327" s="5">
        <f>ROW()-ROW(INDEX(Main[ردیف],1))+1</f>
        <v>325</v>
      </c>
      <c r="B327" s="31">
        <f>SUBTOTAL(2,INDEX(Main[ردیف],1):Main[[#This Row],[ردیف]])</f>
        <v>33</v>
      </c>
      <c r="C327" s="32" t="s">
        <v>536</v>
      </c>
      <c r="D327" s="32" t="str">
        <f>_xlfn.CONCAT("14",Main[[#This Row],[تاريخ]])</f>
        <v>1400/02/11</v>
      </c>
      <c r="E327" s="33">
        <v>44317</v>
      </c>
      <c r="F327" s="32">
        <v>10003</v>
      </c>
      <c r="G327" s="5" t="str">
        <f>INDEX(customer[عنوان],MATCH(Main[[#This Row],[کد ردیابی]],customer[کد],0))</f>
        <v>اصغر نورعلی</v>
      </c>
      <c r="H327">
        <v>2758</v>
      </c>
      <c r="I327" s="6">
        <f ca="1">-Main[[#This Row],[بدهی تسویه شده (کیلوگرم)]]+Main[[#This Row],[بستانکار (کیلوگرم)]]</f>
        <v>2758</v>
      </c>
      <c r="J327" s="6">
        <f>IF(Main[[#This Row],[مقدار (کیلوگرم)]]&gt;0,Main[[#This Row],[مقدار (کیلوگرم)]],0)</f>
        <v>2758</v>
      </c>
      <c r="K327" s="6">
        <f>-IF(Main[[#This Row],[مقدار (کیلوگرم)]]&lt;0,Main[[#This Row],[مقدار (کیلوگرم)]],0)</f>
        <v>0</v>
      </c>
      <c r="L3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7" s="7">
        <f>-IF(AND(Main[[#This Row],[مقدار (کیلوگرم)]]&lt;0,Main[[#This Row],[تاريخ میلادی]]&gt;44276),Main[[#This Row],[مقدار (کیلوگرم)]],0)</f>
        <v>0</v>
      </c>
      <c r="N327" s="6">
        <f ca="1">Main[[#This Row],[بدهکار (کیلوگرم)]]-Main[[#This Row],[بدهی تسویه نشده (کیلوگرم)]]</f>
        <v>0</v>
      </c>
      <c r="O327" s="6">
        <f ca="1">Main[[#This Row],[تفکیک]]</f>
        <v>0</v>
      </c>
      <c r="P327" s="6">
        <f ca="1">IF(Main[[#This Row],[تاخیر از سررسید]]&gt;0,Main[[#This Row],[بدهی تسویه نشده (کیلوگرم)]],0)</f>
        <v>0</v>
      </c>
      <c r="Q327" s="6">
        <f ca="1">IF(Main[[#This Row],[بدهی تسویه نشده (کیلوگرم)]]&gt;0,'گزارش فردی'!$B$7-Main[[#This Row],[تاريخ میلادی]],0)</f>
        <v>0</v>
      </c>
      <c r="R327" s="6">
        <f ca="1">IF(Main[[#This Row],[بدهی تسویه نشده (کیلوگرم)]]&gt;0,'گزارش فردی'!$B$7-Main[[#This Row],[تاريخ میلادی]]-'گزارش فردی'!$B$8,0)</f>
        <v>0</v>
      </c>
      <c r="S327" s="6">
        <f ca="1">Main[[#This Row],[روز از ارسال سفارش]]*Main[[#This Row],[بدهی تسویه نشده (کیلوگرم)]]</f>
        <v>0</v>
      </c>
      <c r="T327" s="6">
        <f ca="1">Main[[#This Row],[بدهی سررسید شده (کیلوگرم)]]*Main[[#This Row],[روز از ارسال سفارش]]</f>
        <v>0</v>
      </c>
      <c r="U327" s="6">
        <f>-SUBTOTAL(9,INDEX(Main[مقدار (کیلوگرم)],1):Main[[#This Row],[مقدار (کیلوگرم)]])</f>
        <v>44854</v>
      </c>
      <c r="V3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27" s="6">
        <f>Main[[#This Row],[تعداد کل روزهای بدهکار (روز)]]*Main[[#This Row],[مانده در خط کل (کیلوگرم)]]</f>
        <v>44854</v>
      </c>
      <c r="X327" s="6">
        <f ca="1">-SUBTOTAL(9,INDEX(Main[مقدار تسویه شده (کیلوگرم)],1):Main[[#This Row],[مقدار تسویه شده (کیلوگرم)]])</f>
        <v>44854</v>
      </c>
      <c r="Y327" s="6">
        <f ca="1">IF(Main[[#This Row],[مانده در خط تسویه شده (کیلوگرم)]]&lt;&gt;0,Main[[#This Row],[تعداد کل روزهای بدهکار (روز)]],0)</f>
        <v>1</v>
      </c>
      <c r="Z327" s="6">
        <f ca="1">Main[[#This Row],[تعداد روزهای بدهکار تسویه شده (روز)]]*Main[[#This Row],[مانده در خط تسویه شده (کیلوگرم)]]</f>
        <v>44854</v>
      </c>
      <c r="AA327" s="6">
        <f ca="1">SUBTOTAL(9,INDEX(Main[بدهی تسویه نشده (کیلوگرم)],1):Main[[#This Row],[بدهی تسویه نشده (کیلوگرم)]])</f>
        <v>0</v>
      </c>
      <c r="AB327" s="6">
        <f ca="1">IF(Main[[#This Row],[مانده در خط تسویه نشده (کیلوگرم)]]&lt;&gt;0,Main[[#This Row],[تعداد کل روزهای بدهکار (روز)]],0)</f>
        <v>0</v>
      </c>
      <c r="AC327" s="6">
        <f ca="1">Main[[#This Row],[تعداد روزهای بدهکار  تسویه نشده (روز)]]*Main[[#This Row],[مانده در خط تسویه نشده (کیلوگرم)]]</f>
        <v>0</v>
      </c>
      <c r="AD327" s="6">
        <f ca="1">SUBTOTAL(9,INDEX(Main[بدهی سررسید شده (کیلوگرم)],1):Main[[#This Row],[بدهی سررسید شده (کیلوگرم)]])</f>
        <v>0</v>
      </c>
      <c r="AE327" s="6">
        <f ca="1">IF(Main[[#This Row],[مانده در خط سررسید شده (کیلوگرم)]]&lt;&gt;0,Main[[#This Row],[تعداد کل روزهای بدهکار (روز)]],0)</f>
        <v>0</v>
      </c>
      <c r="AF327" s="6">
        <f ca="1">Main[[#This Row],[تعداد روزهای بدهکار سررسید شده (روز)]]*Main[[#This Row],[مانده در خط سررسید شده (کیلوگرم)]]</f>
        <v>0</v>
      </c>
    </row>
    <row r="328" spans="1:32" hidden="1" x14ac:dyDescent="0.35">
      <c r="A328" s="5">
        <f>ROW()-ROW(INDEX(Main[ردیف],1))+1</f>
        <v>326</v>
      </c>
      <c r="B328" s="31">
        <f>SUBTOTAL(2,INDEX(Main[ردیف],1):Main[[#This Row],[ردیف]])</f>
        <v>33</v>
      </c>
      <c r="C328" s="32" t="s">
        <v>536</v>
      </c>
      <c r="D328" s="32" t="str">
        <f>_xlfn.CONCAT("14",Main[[#This Row],[تاريخ]])</f>
        <v>1400/02/11</v>
      </c>
      <c r="E328" s="33">
        <v>44317</v>
      </c>
      <c r="F328" s="32">
        <v>30146</v>
      </c>
      <c r="G328" s="5" t="str">
        <f>INDEX(customer[عنوان],MATCH(Main[[#This Row],[کد ردیابی]],customer[کد],0))</f>
        <v>شرکت آذرپاد</v>
      </c>
      <c r="H328">
        <v>1019</v>
      </c>
      <c r="I328" s="6">
        <f ca="1">-Main[[#This Row],[بدهی تسویه شده (کیلوگرم)]]+Main[[#This Row],[بستانکار (کیلوگرم)]]</f>
        <v>1019</v>
      </c>
      <c r="J328" s="6">
        <f>IF(Main[[#This Row],[مقدار (کیلوگرم)]]&gt;0,Main[[#This Row],[مقدار (کیلوگرم)]],0)</f>
        <v>1019</v>
      </c>
      <c r="K328" s="6">
        <f>-IF(Main[[#This Row],[مقدار (کیلوگرم)]]&lt;0,Main[[#This Row],[مقدار (کیلوگرم)]],0)</f>
        <v>0</v>
      </c>
      <c r="L3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8" s="7">
        <f>-IF(AND(Main[[#This Row],[مقدار (کیلوگرم)]]&lt;0,Main[[#This Row],[تاريخ میلادی]]&gt;44276),Main[[#This Row],[مقدار (کیلوگرم)]],0)</f>
        <v>0</v>
      </c>
      <c r="N328" s="6">
        <f ca="1">Main[[#This Row],[بدهکار (کیلوگرم)]]-Main[[#This Row],[بدهی تسویه نشده (کیلوگرم)]]</f>
        <v>0</v>
      </c>
      <c r="O328" s="6">
        <f ca="1">Main[[#This Row],[تفکیک]]</f>
        <v>0</v>
      </c>
      <c r="P328" s="6">
        <f ca="1">IF(Main[[#This Row],[تاخیر از سررسید]]&gt;0,Main[[#This Row],[بدهی تسویه نشده (کیلوگرم)]],0)</f>
        <v>0</v>
      </c>
      <c r="Q328" s="6">
        <f ca="1">IF(Main[[#This Row],[بدهی تسویه نشده (کیلوگرم)]]&gt;0,'گزارش فردی'!$B$7-Main[[#This Row],[تاريخ میلادی]],0)</f>
        <v>0</v>
      </c>
      <c r="R328" s="6">
        <f ca="1">IF(Main[[#This Row],[بدهی تسویه نشده (کیلوگرم)]]&gt;0,'گزارش فردی'!$B$7-Main[[#This Row],[تاريخ میلادی]]-'گزارش فردی'!$B$8,0)</f>
        <v>0</v>
      </c>
      <c r="S328" s="6">
        <f ca="1">Main[[#This Row],[روز از ارسال سفارش]]*Main[[#This Row],[بدهی تسویه نشده (کیلوگرم)]]</f>
        <v>0</v>
      </c>
      <c r="T328" s="6">
        <f ca="1">Main[[#This Row],[بدهی سررسید شده (کیلوگرم)]]*Main[[#This Row],[روز از ارسال سفارش]]</f>
        <v>0</v>
      </c>
      <c r="U328" s="6">
        <f>-SUBTOTAL(9,INDEX(Main[مقدار (کیلوگرم)],1):Main[[#This Row],[مقدار (کیلوگرم)]])</f>
        <v>44854</v>
      </c>
      <c r="V3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28" s="6">
        <f>Main[[#This Row],[تعداد کل روزهای بدهکار (روز)]]*Main[[#This Row],[مانده در خط کل (کیلوگرم)]]</f>
        <v>44854</v>
      </c>
      <c r="X328" s="6">
        <f ca="1">-SUBTOTAL(9,INDEX(Main[مقدار تسویه شده (کیلوگرم)],1):Main[[#This Row],[مقدار تسویه شده (کیلوگرم)]])</f>
        <v>44854</v>
      </c>
      <c r="Y328" s="6">
        <f ca="1">IF(Main[[#This Row],[مانده در خط تسویه شده (کیلوگرم)]]&lt;&gt;0,Main[[#This Row],[تعداد کل روزهای بدهکار (روز)]],0)</f>
        <v>1</v>
      </c>
      <c r="Z328" s="6">
        <f ca="1">Main[[#This Row],[تعداد روزهای بدهکار تسویه شده (روز)]]*Main[[#This Row],[مانده در خط تسویه شده (کیلوگرم)]]</f>
        <v>44854</v>
      </c>
      <c r="AA328" s="6">
        <f ca="1">SUBTOTAL(9,INDEX(Main[بدهی تسویه نشده (کیلوگرم)],1):Main[[#This Row],[بدهی تسویه نشده (کیلوگرم)]])</f>
        <v>0</v>
      </c>
      <c r="AB328" s="6">
        <f ca="1">IF(Main[[#This Row],[مانده در خط تسویه نشده (کیلوگرم)]]&lt;&gt;0,Main[[#This Row],[تعداد کل روزهای بدهکار (روز)]],0)</f>
        <v>0</v>
      </c>
      <c r="AC328" s="6">
        <f ca="1">Main[[#This Row],[تعداد روزهای بدهکار  تسویه نشده (روز)]]*Main[[#This Row],[مانده در خط تسویه نشده (کیلوگرم)]]</f>
        <v>0</v>
      </c>
      <c r="AD328" s="6">
        <f ca="1">SUBTOTAL(9,INDEX(Main[بدهی سررسید شده (کیلوگرم)],1):Main[[#This Row],[بدهی سررسید شده (کیلوگرم)]])</f>
        <v>0</v>
      </c>
      <c r="AE328" s="6">
        <f ca="1">IF(Main[[#This Row],[مانده در خط سررسید شده (کیلوگرم)]]&lt;&gt;0,Main[[#This Row],[تعداد کل روزهای بدهکار (روز)]],0)</f>
        <v>0</v>
      </c>
      <c r="AF328" s="6">
        <f ca="1">Main[[#This Row],[تعداد روزهای بدهکار سررسید شده (روز)]]*Main[[#This Row],[مانده در خط سررسید شده (کیلوگرم)]]</f>
        <v>0</v>
      </c>
    </row>
    <row r="329" spans="1:32" hidden="1" x14ac:dyDescent="0.35">
      <c r="A329" s="5">
        <f>ROW()-ROW(INDEX(Main[ردیف],1))+1</f>
        <v>327</v>
      </c>
      <c r="B329" s="31">
        <f>SUBTOTAL(2,INDEX(Main[ردیف],1):Main[[#This Row],[ردیف]])</f>
        <v>33</v>
      </c>
      <c r="C329" s="32" t="s">
        <v>536</v>
      </c>
      <c r="D329" s="32" t="str">
        <f>_xlfn.CONCAT("14",Main[[#This Row],[تاريخ]])</f>
        <v>1400/02/11</v>
      </c>
      <c r="E329" s="33">
        <v>44317</v>
      </c>
      <c r="F329" s="32">
        <v>30146</v>
      </c>
      <c r="G329" s="5" t="str">
        <f>INDEX(customer[عنوان],MATCH(Main[[#This Row],[کد ردیابی]],customer[کد],0))</f>
        <v>شرکت آذرپاد</v>
      </c>
      <c r="H329">
        <v>154</v>
      </c>
      <c r="I329" s="6">
        <f ca="1">-Main[[#This Row],[بدهی تسویه شده (کیلوگرم)]]+Main[[#This Row],[بستانکار (کیلوگرم)]]</f>
        <v>154</v>
      </c>
      <c r="J329" s="6">
        <f>IF(Main[[#This Row],[مقدار (کیلوگرم)]]&gt;0,Main[[#This Row],[مقدار (کیلوگرم)]],0)</f>
        <v>154</v>
      </c>
      <c r="K329" s="6">
        <f>-IF(Main[[#This Row],[مقدار (کیلوگرم)]]&lt;0,Main[[#This Row],[مقدار (کیلوگرم)]],0)</f>
        <v>0</v>
      </c>
      <c r="L3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9" s="7">
        <f>-IF(AND(Main[[#This Row],[مقدار (کیلوگرم)]]&lt;0,Main[[#This Row],[تاريخ میلادی]]&gt;44276),Main[[#This Row],[مقدار (کیلوگرم)]],0)</f>
        <v>0</v>
      </c>
      <c r="N329" s="6">
        <f ca="1">Main[[#This Row],[بدهکار (کیلوگرم)]]-Main[[#This Row],[بدهی تسویه نشده (کیلوگرم)]]</f>
        <v>0</v>
      </c>
      <c r="O329" s="6">
        <f ca="1">Main[[#This Row],[تفکیک]]</f>
        <v>0</v>
      </c>
      <c r="P329" s="6">
        <f ca="1">IF(Main[[#This Row],[تاخیر از سررسید]]&gt;0,Main[[#This Row],[بدهی تسویه نشده (کیلوگرم)]],0)</f>
        <v>0</v>
      </c>
      <c r="Q329" s="6">
        <f ca="1">IF(Main[[#This Row],[بدهی تسویه نشده (کیلوگرم)]]&gt;0,'گزارش فردی'!$B$7-Main[[#This Row],[تاريخ میلادی]],0)</f>
        <v>0</v>
      </c>
      <c r="R329" s="6">
        <f ca="1">IF(Main[[#This Row],[بدهی تسویه نشده (کیلوگرم)]]&gt;0,'گزارش فردی'!$B$7-Main[[#This Row],[تاريخ میلادی]]-'گزارش فردی'!$B$8,0)</f>
        <v>0</v>
      </c>
      <c r="S329" s="6">
        <f ca="1">Main[[#This Row],[روز از ارسال سفارش]]*Main[[#This Row],[بدهی تسویه نشده (کیلوگرم)]]</f>
        <v>0</v>
      </c>
      <c r="T329" s="6">
        <f ca="1">Main[[#This Row],[بدهی سررسید شده (کیلوگرم)]]*Main[[#This Row],[روز از ارسال سفارش]]</f>
        <v>0</v>
      </c>
      <c r="U329" s="6">
        <f>-SUBTOTAL(9,INDEX(Main[مقدار (کیلوگرم)],1):Main[[#This Row],[مقدار (کیلوگرم)]])</f>
        <v>44854</v>
      </c>
      <c r="V3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29" s="6">
        <f>Main[[#This Row],[تعداد کل روزهای بدهکار (روز)]]*Main[[#This Row],[مانده در خط کل (کیلوگرم)]]</f>
        <v>44854</v>
      </c>
      <c r="X329" s="6">
        <f ca="1">-SUBTOTAL(9,INDEX(Main[مقدار تسویه شده (کیلوگرم)],1):Main[[#This Row],[مقدار تسویه شده (کیلوگرم)]])</f>
        <v>44854</v>
      </c>
      <c r="Y329" s="6">
        <f ca="1">IF(Main[[#This Row],[مانده در خط تسویه شده (کیلوگرم)]]&lt;&gt;0,Main[[#This Row],[تعداد کل روزهای بدهکار (روز)]],0)</f>
        <v>1</v>
      </c>
      <c r="Z329" s="6">
        <f ca="1">Main[[#This Row],[تعداد روزهای بدهکار تسویه شده (روز)]]*Main[[#This Row],[مانده در خط تسویه شده (کیلوگرم)]]</f>
        <v>44854</v>
      </c>
      <c r="AA329" s="6">
        <f ca="1">SUBTOTAL(9,INDEX(Main[بدهی تسویه نشده (کیلوگرم)],1):Main[[#This Row],[بدهی تسویه نشده (کیلوگرم)]])</f>
        <v>0</v>
      </c>
      <c r="AB329" s="6">
        <f ca="1">IF(Main[[#This Row],[مانده در خط تسویه نشده (کیلوگرم)]]&lt;&gt;0,Main[[#This Row],[تعداد کل روزهای بدهکار (روز)]],0)</f>
        <v>0</v>
      </c>
      <c r="AC329" s="6">
        <f ca="1">Main[[#This Row],[تعداد روزهای بدهکار  تسویه نشده (روز)]]*Main[[#This Row],[مانده در خط تسویه نشده (کیلوگرم)]]</f>
        <v>0</v>
      </c>
      <c r="AD329" s="6">
        <f ca="1">SUBTOTAL(9,INDEX(Main[بدهی سررسید شده (کیلوگرم)],1):Main[[#This Row],[بدهی سررسید شده (کیلوگرم)]])</f>
        <v>0</v>
      </c>
      <c r="AE329" s="6">
        <f ca="1">IF(Main[[#This Row],[مانده در خط سررسید شده (کیلوگرم)]]&lt;&gt;0,Main[[#This Row],[تعداد کل روزهای بدهکار (روز)]],0)</f>
        <v>0</v>
      </c>
      <c r="AF329" s="6">
        <f ca="1">Main[[#This Row],[تعداد روزهای بدهکار سررسید شده (روز)]]*Main[[#This Row],[مانده در خط سررسید شده (کیلوگرم)]]</f>
        <v>0</v>
      </c>
    </row>
    <row r="330" spans="1:32" hidden="1" x14ac:dyDescent="0.35">
      <c r="A330" s="5">
        <f>ROW()-ROW(INDEX(Main[ردیف],1))+1</f>
        <v>328</v>
      </c>
      <c r="B330" s="31">
        <f>SUBTOTAL(2,INDEX(Main[ردیف],1):Main[[#This Row],[ردیف]])</f>
        <v>33</v>
      </c>
      <c r="C330" s="32" t="s">
        <v>536</v>
      </c>
      <c r="D330" s="32" t="str">
        <f>_xlfn.CONCAT("14",Main[[#This Row],[تاريخ]])</f>
        <v>1400/02/11</v>
      </c>
      <c r="E330" s="33">
        <v>44317</v>
      </c>
      <c r="F330" s="32">
        <v>10104</v>
      </c>
      <c r="G330" s="5" t="str">
        <f>INDEX(customer[عنوان],MATCH(Main[[#This Row],[کد ردیابی]],customer[کد],0))</f>
        <v>بهزادی فر اصغر</v>
      </c>
      <c r="H330">
        <v>465</v>
      </c>
      <c r="I330" s="6">
        <f ca="1">-Main[[#This Row],[بدهی تسویه شده (کیلوگرم)]]+Main[[#This Row],[بستانکار (کیلوگرم)]]</f>
        <v>465</v>
      </c>
      <c r="J330" s="6">
        <f>IF(Main[[#This Row],[مقدار (کیلوگرم)]]&gt;0,Main[[#This Row],[مقدار (کیلوگرم)]],0)</f>
        <v>465</v>
      </c>
      <c r="K330" s="6">
        <f>-IF(Main[[#This Row],[مقدار (کیلوگرم)]]&lt;0,Main[[#This Row],[مقدار (کیلوگرم)]],0)</f>
        <v>0</v>
      </c>
      <c r="L3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0" s="7">
        <f>-IF(AND(Main[[#This Row],[مقدار (کیلوگرم)]]&lt;0,Main[[#This Row],[تاريخ میلادی]]&gt;44276),Main[[#This Row],[مقدار (کیلوگرم)]],0)</f>
        <v>0</v>
      </c>
      <c r="N330" s="6">
        <f ca="1">Main[[#This Row],[بدهکار (کیلوگرم)]]-Main[[#This Row],[بدهی تسویه نشده (کیلوگرم)]]</f>
        <v>0</v>
      </c>
      <c r="O330" s="6">
        <f ca="1">Main[[#This Row],[تفکیک]]</f>
        <v>0</v>
      </c>
      <c r="P330" s="6">
        <f ca="1">IF(Main[[#This Row],[تاخیر از سررسید]]&gt;0,Main[[#This Row],[بدهی تسویه نشده (کیلوگرم)]],0)</f>
        <v>0</v>
      </c>
      <c r="Q330" s="6">
        <f ca="1">IF(Main[[#This Row],[بدهی تسویه نشده (کیلوگرم)]]&gt;0,'گزارش فردی'!$B$7-Main[[#This Row],[تاريخ میلادی]],0)</f>
        <v>0</v>
      </c>
      <c r="R330" s="6">
        <f ca="1">IF(Main[[#This Row],[بدهی تسویه نشده (کیلوگرم)]]&gt;0,'گزارش فردی'!$B$7-Main[[#This Row],[تاريخ میلادی]]-'گزارش فردی'!$B$8,0)</f>
        <v>0</v>
      </c>
      <c r="S330" s="6">
        <f ca="1">Main[[#This Row],[روز از ارسال سفارش]]*Main[[#This Row],[بدهی تسویه نشده (کیلوگرم)]]</f>
        <v>0</v>
      </c>
      <c r="T330" s="6">
        <f ca="1">Main[[#This Row],[بدهی سررسید شده (کیلوگرم)]]*Main[[#This Row],[روز از ارسال سفارش]]</f>
        <v>0</v>
      </c>
      <c r="U330" s="6">
        <f>-SUBTOTAL(9,INDEX(Main[مقدار (کیلوگرم)],1):Main[[#This Row],[مقدار (کیلوگرم)]])</f>
        <v>44854</v>
      </c>
      <c r="V3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30" s="6">
        <f>Main[[#This Row],[تعداد کل روزهای بدهکار (روز)]]*Main[[#This Row],[مانده در خط کل (کیلوگرم)]]</f>
        <v>44854</v>
      </c>
      <c r="X330" s="6">
        <f ca="1">-SUBTOTAL(9,INDEX(Main[مقدار تسویه شده (کیلوگرم)],1):Main[[#This Row],[مقدار تسویه شده (کیلوگرم)]])</f>
        <v>44854</v>
      </c>
      <c r="Y330" s="6">
        <f ca="1">IF(Main[[#This Row],[مانده در خط تسویه شده (کیلوگرم)]]&lt;&gt;0,Main[[#This Row],[تعداد کل روزهای بدهکار (روز)]],0)</f>
        <v>1</v>
      </c>
      <c r="Z330" s="6">
        <f ca="1">Main[[#This Row],[تعداد روزهای بدهکار تسویه شده (روز)]]*Main[[#This Row],[مانده در خط تسویه شده (کیلوگرم)]]</f>
        <v>44854</v>
      </c>
      <c r="AA330" s="6">
        <f ca="1">SUBTOTAL(9,INDEX(Main[بدهی تسویه نشده (کیلوگرم)],1):Main[[#This Row],[بدهی تسویه نشده (کیلوگرم)]])</f>
        <v>0</v>
      </c>
      <c r="AB330" s="6">
        <f ca="1">IF(Main[[#This Row],[مانده در خط تسویه نشده (کیلوگرم)]]&lt;&gt;0,Main[[#This Row],[تعداد کل روزهای بدهکار (روز)]],0)</f>
        <v>0</v>
      </c>
      <c r="AC330" s="6">
        <f ca="1">Main[[#This Row],[تعداد روزهای بدهکار  تسویه نشده (روز)]]*Main[[#This Row],[مانده در خط تسویه نشده (کیلوگرم)]]</f>
        <v>0</v>
      </c>
      <c r="AD330" s="6">
        <f ca="1">SUBTOTAL(9,INDEX(Main[بدهی سررسید شده (کیلوگرم)],1):Main[[#This Row],[بدهی سررسید شده (کیلوگرم)]])</f>
        <v>0</v>
      </c>
      <c r="AE330" s="6">
        <f ca="1">IF(Main[[#This Row],[مانده در خط سررسید شده (کیلوگرم)]]&lt;&gt;0,Main[[#This Row],[تعداد کل روزهای بدهکار (روز)]],0)</f>
        <v>0</v>
      </c>
      <c r="AF330" s="6">
        <f ca="1">Main[[#This Row],[تعداد روزهای بدهکار سررسید شده (روز)]]*Main[[#This Row],[مانده در خط سررسید شده (کیلوگرم)]]</f>
        <v>0</v>
      </c>
    </row>
    <row r="331" spans="1:32" hidden="1" x14ac:dyDescent="0.35">
      <c r="A331" s="5">
        <f>ROW()-ROW(INDEX(Main[ردیف],1))+1</f>
        <v>329</v>
      </c>
      <c r="B331" s="31">
        <f>SUBTOTAL(2,INDEX(Main[ردیف],1):Main[[#This Row],[ردیف]])</f>
        <v>33</v>
      </c>
      <c r="C331" s="32" t="s">
        <v>536</v>
      </c>
      <c r="D331" s="32" t="str">
        <f>_xlfn.CONCAT("14",Main[[#This Row],[تاريخ]])</f>
        <v>1400/02/11</v>
      </c>
      <c r="E331" s="33">
        <v>44317</v>
      </c>
      <c r="F331" s="32">
        <v>30066</v>
      </c>
      <c r="G331" s="5" t="str">
        <f>INDEX(customer[عنوان],MATCH(Main[[#This Row],[کد ردیابی]],customer[کد],0))</f>
        <v xml:space="preserve">شیر آلات بهداشتی قهرمان </v>
      </c>
      <c r="H331">
        <v>4208</v>
      </c>
      <c r="I331" s="6">
        <f ca="1">-Main[[#This Row],[بدهی تسویه شده (کیلوگرم)]]+Main[[#This Row],[بستانکار (کیلوگرم)]]</f>
        <v>4208</v>
      </c>
      <c r="J331" s="6">
        <f>IF(Main[[#This Row],[مقدار (کیلوگرم)]]&gt;0,Main[[#This Row],[مقدار (کیلوگرم)]],0)</f>
        <v>4208</v>
      </c>
      <c r="K331" s="6">
        <f>-IF(Main[[#This Row],[مقدار (کیلوگرم)]]&lt;0,Main[[#This Row],[مقدار (کیلوگرم)]],0)</f>
        <v>0</v>
      </c>
      <c r="L3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1" s="7">
        <f>-IF(AND(Main[[#This Row],[مقدار (کیلوگرم)]]&lt;0,Main[[#This Row],[تاريخ میلادی]]&gt;44276),Main[[#This Row],[مقدار (کیلوگرم)]],0)</f>
        <v>0</v>
      </c>
      <c r="N331" s="6">
        <f ca="1">Main[[#This Row],[بدهکار (کیلوگرم)]]-Main[[#This Row],[بدهی تسویه نشده (کیلوگرم)]]</f>
        <v>0</v>
      </c>
      <c r="O331" s="6">
        <f ca="1">Main[[#This Row],[تفکیک]]</f>
        <v>0</v>
      </c>
      <c r="P331" s="6">
        <f ca="1">IF(Main[[#This Row],[تاخیر از سررسید]]&gt;0,Main[[#This Row],[بدهی تسویه نشده (کیلوگرم)]],0)</f>
        <v>0</v>
      </c>
      <c r="Q331" s="6">
        <f ca="1">IF(Main[[#This Row],[بدهی تسویه نشده (کیلوگرم)]]&gt;0,'گزارش فردی'!$B$7-Main[[#This Row],[تاريخ میلادی]],0)</f>
        <v>0</v>
      </c>
      <c r="R331" s="6">
        <f ca="1">IF(Main[[#This Row],[بدهی تسویه نشده (کیلوگرم)]]&gt;0,'گزارش فردی'!$B$7-Main[[#This Row],[تاريخ میلادی]]-'گزارش فردی'!$B$8,0)</f>
        <v>0</v>
      </c>
      <c r="S331" s="6">
        <f ca="1">Main[[#This Row],[روز از ارسال سفارش]]*Main[[#This Row],[بدهی تسویه نشده (کیلوگرم)]]</f>
        <v>0</v>
      </c>
      <c r="T331" s="6">
        <f ca="1">Main[[#This Row],[بدهی سررسید شده (کیلوگرم)]]*Main[[#This Row],[روز از ارسال سفارش]]</f>
        <v>0</v>
      </c>
      <c r="U331" s="6">
        <f>-SUBTOTAL(9,INDEX(Main[مقدار (کیلوگرم)],1):Main[[#This Row],[مقدار (کیلوگرم)]])</f>
        <v>44854</v>
      </c>
      <c r="V3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31" s="6">
        <f>Main[[#This Row],[تعداد کل روزهای بدهکار (روز)]]*Main[[#This Row],[مانده در خط کل (کیلوگرم)]]</f>
        <v>44854</v>
      </c>
      <c r="X331" s="6">
        <f ca="1">-SUBTOTAL(9,INDEX(Main[مقدار تسویه شده (کیلوگرم)],1):Main[[#This Row],[مقدار تسویه شده (کیلوگرم)]])</f>
        <v>44854</v>
      </c>
      <c r="Y331" s="6">
        <f ca="1">IF(Main[[#This Row],[مانده در خط تسویه شده (کیلوگرم)]]&lt;&gt;0,Main[[#This Row],[تعداد کل روزهای بدهکار (روز)]],0)</f>
        <v>1</v>
      </c>
      <c r="Z331" s="6">
        <f ca="1">Main[[#This Row],[تعداد روزهای بدهکار تسویه شده (روز)]]*Main[[#This Row],[مانده در خط تسویه شده (کیلوگرم)]]</f>
        <v>44854</v>
      </c>
      <c r="AA331" s="6">
        <f ca="1">SUBTOTAL(9,INDEX(Main[بدهی تسویه نشده (کیلوگرم)],1):Main[[#This Row],[بدهی تسویه نشده (کیلوگرم)]])</f>
        <v>0</v>
      </c>
      <c r="AB331" s="6">
        <f ca="1">IF(Main[[#This Row],[مانده در خط تسویه نشده (کیلوگرم)]]&lt;&gt;0,Main[[#This Row],[تعداد کل روزهای بدهکار (روز)]],0)</f>
        <v>0</v>
      </c>
      <c r="AC331" s="6">
        <f ca="1">Main[[#This Row],[تعداد روزهای بدهکار  تسویه نشده (روز)]]*Main[[#This Row],[مانده در خط تسویه نشده (کیلوگرم)]]</f>
        <v>0</v>
      </c>
      <c r="AD331" s="6">
        <f ca="1">SUBTOTAL(9,INDEX(Main[بدهی سررسید شده (کیلوگرم)],1):Main[[#This Row],[بدهی سررسید شده (کیلوگرم)]])</f>
        <v>0</v>
      </c>
      <c r="AE331" s="6">
        <f ca="1">IF(Main[[#This Row],[مانده در خط سررسید شده (کیلوگرم)]]&lt;&gt;0,Main[[#This Row],[تعداد کل روزهای بدهکار (روز)]],0)</f>
        <v>0</v>
      </c>
      <c r="AF331" s="6">
        <f ca="1">Main[[#This Row],[تعداد روزهای بدهکار سررسید شده (روز)]]*Main[[#This Row],[مانده در خط سررسید شده (کیلوگرم)]]</f>
        <v>0</v>
      </c>
    </row>
    <row r="332" spans="1:32" hidden="1" x14ac:dyDescent="0.35">
      <c r="A332" s="5">
        <f>ROW()-ROW(INDEX(Main[ردیف],1))+1</f>
        <v>330</v>
      </c>
      <c r="B332" s="31">
        <f>SUBTOTAL(2,INDEX(Main[ردیف],1):Main[[#This Row],[ردیف]])</f>
        <v>33</v>
      </c>
      <c r="C332" s="32" t="s">
        <v>538</v>
      </c>
      <c r="D332" s="32" t="str">
        <f>_xlfn.CONCAT("14",Main[[#This Row],[تاريخ]])</f>
        <v>1400/02/12</v>
      </c>
      <c r="E332" s="33">
        <v>44318</v>
      </c>
      <c r="F332" s="32">
        <v>30137</v>
      </c>
      <c r="G332" s="5" t="str">
        <f>INDEX(customer[عنوان],MATCH(Main[[#This Row],[کد ردیابی]],customer[کد],0))</f>
        <v>شرکت آفتابگردان</v>
      </c>
      <c r="H332">
        <v>-1016</v>
      </c>
      <c r="I332" s="6">
        <f ca="1">-Main[[#This Row],[بدهی تسویه شده (کیلوگرم)]]+Main[[#This Row],[بستانکار (کیلوگرم)]]</f>
        <v>-1016</v>
      </c>
      <c r="J332" s="6">
        <f>IF(Main[[#This Row],[مقدار (کیلوگرم)]]&gt;0,Main[[#This Row],[مقدار (کیلوگرم)]],0)</f>
        <v>0</v>
      </c>
      <c r="K332" s="6">
        <f>-IF(Main[[#This Row],[مقدار (کیلوگرم)]]&lt;0,Main[[#This Row],[مقدار (کیلوگرم)]],0)</f>
        <v>1016</v>
      </c>
      <c r="L3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2" s="7">
        <f>-IF(AND(Main[[#This Row],[مقدار (کیلوگرم)]]&lt;0,Main[[#This Row],[تاريخ میلادی]]&gt;44276),Main[[#This Row],[مقدار (کیلوگرم)]],0)</f>
        <v>1016</v>
      </c>
      <c r="N332" s="6">
        <f ca="1">Main[[#This Row],[بدهکار (کیلوگرم)]]-Main[[#This Row],[بدهی تسویه نشده (کیلوگرم)]]</f>
        <v>1016</v>
      </c>
      <c r="O332" s="6">
        <f ca="1">Main[[#This Row],[تفکیک]]</f>
        <v>0</v>
      </c>
      <c r="P332" s="6">
        <f ca="1">IF(Main[[#This Row],[تاخیر از سررسید]]&gt;0,Main[[#This Row],[بدهی تسویه نشده (کیلوگرم)]],0)</f>
        <v>0</v>
      </c>
      <c r="Q332" s="6">
        <f ca="1">IF(Main[[#This Row],[بدهی تسویه نشده (کیلوگرم)]]&gt;0,'گزارش فردی'!$B$7-Main[[#This Row],[تاريخ میلادی]],0)</f>
        <v>0</v>
      </c>
      <c r="R332" s="6">
        <f ca="1">IF(Main[[#This Row],[بدهی تسویه نشده (کیلوگرم)]]&gt;0,'گزارش فردی'!$B$7-Main[[#This Row],[تاريخ میلادی]]-'گزارش فردی'!$B$8,0)</f>
        <v>0</v>
      </c>
      <c r="S332" s="6">
        <f ca="1">Main[[#This Row],[روز از ارسال سفارش]]*Main[[#This Row],[بدهی تسویه نشده (کیلوگرم)]]</f>
        <v>0</v>
      </c>
      <c r="T332" s="6">
        <f ca="1">Main[[#This Row],[بدهی سررسید شده (کیلوگرم)]]*Main[[#This Row],[روز از ارسال سفارش]]</f>
        <v>0</v>
      </c>
      <c r="U332" s="6">
        <f>-SUBTOTAL(9,INDEX(Main[مقدار (کیلوگرم)],1):Main[[#This Row],[مقدار (کیلوگرم)]])</f>
        <v>44854</v>
      </c>
      <c r="V3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2" s="6">
        <f>Main[[#This Row],[تعداد کل روزهای بدهکار (روز)]]*Main[[#This Row],[مانده در خط کل (کیلوگرم)]]</f>
        <v>0</v>
      </c>
      <c r="X332" s="6">
        <f ca="1">-SUBTOTAL(9,INDEX(Main[مقدار تسویه شده (کیلوگرم)],1):Main[[#This Row],[مقدار تسویه شده (کیلوگرم)]])</f>
        <v>44854</v>
      </c>
      <c r="Y332" s="6">
        <f ca="1">IF(Main[[#This Row],[مانده در خط تسویه شده (کیلوگرم)]]&lt;&gt;0,Main[[#This Row],[تعداد کل روزهای بدهکار (روز)]],0)</f>
        <v>0</v>
      </c>
      <c r="Z332" s="6">
        <f ca="1">Main[[#This Row],[تعداد روزهای بدهکار تسویه شده (روز)]]*Main[[#This Row],[مانده در خط تسویه شده (کیلوگرم)]]</f>
        <v>0</v>
      </c>
      <c r="AA332" s="6">
        <f ca="1">SUBTOTAL(9,INDEX(Main[بدهی تسویه نشده (کیلوگرم)],1):Main[[#This Row],[بدهی تسویه نشده (کیلوگرم)]])</f>
        <v>0</v>
      </c>
      <c r="AB332" s="6">
        <f ca="1">IF(Main[[#This Row],[مانده در خط تسویه نشده (کیلوگرم)]]&lt;&gt;0,Main[[#This Row],[تعداد کل روزهای بدهکار (روز)]],0)</f>
        <v>0</v>
      </c>
      <c r="AC332" s="6">
        <f ca="1">Main[[#This Row],[تعداد روزهای بدهکار  تسویه نشده (روز)]]*Main[[#This Row],[مانده در خط تسویه نشده (کیلوگرم)]]</f>
        <v>0</v>
      </c>
      <c r="AD332" s="6">
        <f ca="1">SUBTOTAL(9,INDEX(Main[بدهی سررسید شده (کیلوگرم)],1):Main[[#This Row],[بدهی سررسید شده (کیلوگرم)]])</f>
        <v>0</v>
      </c>
      <c r="AE332" s="6">
        <f ca="1">IF(Main[[#This Row],[مانده در خط سررسید شده (کیلوگرم)]]&lt;&gt;0,Main[[#This Row],[تعداد کل روزهای بدهکار (روز)]],0)</f>
        <v>0</v>
      </c>
      <c r="AF332" s="6">
        <f ca="1">Main[[#This Row],[تعداد روزهای بدهکار سررسید شده (روز)]]*Main[[#This Row],[مانده در خط سررسید شده (کیلوگرم)]]</f>
        <v>0</v>
      </c>
    </row>
    <row r="333" spans="1:32" hidden="1" x14ac:dyDescent="0.35">
      <c r="A333" s="5">
        <f>ROW()-ROW(INDEX(Main[ردیف],1))+1</f>
        <v>331</v>
      </c>
      <c r="B333" s="31">
        <f>SUBTOTAL(2,INDEX(Main[ردیف],1):Main[[#This Row],[ردیف]])</f>
        <v>33</v>
      </c>
      <c r="C333" s="32" t="s">
        <v>538</v>
      </c>
      <c r="D333" s="32" t="str">
        <f>_xlfn.CONCAT("14",Main[[#This Row],[تاريخ]])</f>
        <v>1400/02/12</v>
      </c>
      <c r="E333" s="33">
        <v>44318</v>
      </c>
      <c r="F333" s="32">
        <v>30004</v>
      </c>
      <c r="G333" s="5" t="str">
        <f>INDEX(customer[عنوان],MATCH(Main[[#This Row],[کد ردیابی]],customer[کد],0))</f>
        <v>تولیدی صنعتی صفاشیر پارس</v>
      </c>
      <c r="H333">
        <v>3757</v>
      </c>
      <c r="I333" s="6">
        <f ca="1">-Main[[#This Row],[بدهی تسویه شده (کیلوگرم)]]+Main[[#This Row],[بستانکار (کیلوگرم)]]</f>
        <v>3757</v>
      </c>
      <c r="J333" s="6">
        <f>IF(Main[[#This Row],[مقدار (کیلوگرم)]]&gt;0,Main[[#This Row],[مقدار (کیلوگرم)]],0)</f>
        <v>3757</v>
      </c>
      <c r="K333" s="6">
        <f>-IF(Main[[#This Row],[مقدار (کیلوگرم)]]&lt;0,Main[[#This Row],[مقدار (کیلوگرم)]],0)</f>
        <v>0</v>
      </c>
      <c r="L3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3" s="7">
        <f>-IF(AND(Main[[#This Row],[مقدار (کیلوگرم)]]&lt;0,Main[[#This Row],[تاريخ میلادی]]&gt;44276),Main[[#This Row],[مقدار (کیلوگرم)]],0)</f>
        <v>0</v>
      </c>
      <c r="N333" s="6">
        <f ca="1">Main[[#This Row],[بدهکار (کیلوگرم)]]-Main[[#This Row],[بدهی تسویه نشده (کیلوگرم)]]</f>
        <v>0</v>
      </c>
      <c r="O333" s="6">
        <f ca="1">Main[[#This Row],[تفکیک]]</f>
        <v>0</v>
      </c>
      <c r="P333" s="6">
        <f ca="1">IF(Main[[#This Row],[تاخیر از سررسید]]&gt;0,Main[[#This Row],[بدهی تسویه نشده (کیلوگرم)]],0)</f>
        <v>0</v>
      </c>
      <c r="Q333" s="6">
        <f ca="1">IF(Main[[#This Row],[بدهی تسویه نشده (کیلوگرم)]]&gt;0,'گزارش فردی'!$B$7-Main[[#This Row],[تاريخ میلادی]],0)</f>
        <v>0</v>
      </c>
      <c r="R333" s="6">
        <f ca="1">IF(Main[[#This Row],[بدهی تسویه نشده (کیلوگرم)]]&gt;0,'گزارش فردی'!$B$7-Main[[#This Row],[تاريخ میلادی]]-'گزارش فردی'!$B$8,0)</f>
        <v>0</v>
      </c>
      <c r="S333" s="6">
        <f ca="1">Main[[#This Row],[روز از ارسال سفارش]]*Main[[#This Row],[بدهی تسویه نشده (کیلوگرم)]]</f>
        <v>0</v>
      </c>
      <c r="T333" s="6">
        <f ca="1">Main[[#This Row],[بدهی سررسید شده (کیلوگرم)]]*Main[[#This Row],[روز از ارسال سفارش]]</f>
        <v>0</v>
      </c>
      <c r="U333" s="6">
        <f>-SUBTOTAL(9,INDEX(Main[مقدار (کیلوگرم)],1):Main[[#This Row],[مقدار (کیلوگرم)]])</f>
        <v>44854</v>
      </c>
      <c r="V3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3" s="6">
        <f>Main[[#This Row],[تعداد کل روزهای بدهکار (روز)]]*Main[[#This Row],[مانده در خط کل (کیلوگرم)]]</f>
        <v>0</v>
      </c>
      <c r="X333" s="6">
        <f ca="1">-SUBTOTAL(9,INDEX(Main[مقدار تسویه شده (کیلوگرم)],1):Main[[#This Row],[مقدار تسویه شده (کیلوگرم)]])</f>
        <v>44854</v>
      </c>
      <c r="Y333" s="6">
        <f ca="1">IF(Main[[#This Row],[مانده در خط تسویه شده (کیلوگرم)]]&lt;&gt;0,Main[[#This Row],[تعداد کل روزهای بدهکار (روز)]],0)</f>
        <v>0</v>
      </c>
      <c r="Z333" s="6">
        <f ca="1">Main[[#This Row],[تعداد روزهای بدهکار تسویه شده (روز)]]*Main[[#This Row],[مانده در خط تسویه شده (کیلوگرم)]]</f>
        <v>0</v>
      </c>
      <c r="AA333" s="6">
        <f ca="1">SUBTOTAL(9,INDEX(Main[بدهی تسویه نشده (کیلوگرم)],1):Main[[#This Row],[بدهی تسویه نشده (کیلوگرم)]])</f>
        <v>0</v>
      </c>
      <c r="AB333" s="6">
        <f ca="1">IF(Main[[#This Row],[مانده در خط تسویه نشده (کیلوگرم)]]&lt;&gt;0,Main[[#This Row],[تعداد کل روزهای بدهکار (روز)]],0)</f>
        <v>0</v>
      </c>
      <c r="AC333" s="6">
        <f ca="1">Main[[#This Row],[تعداد روزهای بدهکار  تسویه نشده (روز)]]*Main[[#This Row],[مانده در خط تسویه نشده (کیلوگرم)]]</f>
        <v>0</v>
      </c>
      <c r="AD333" s="6">
        <f ca="1">SUBTOTAL(9,INDEX(Main[بدهی سررسید شده (کیلوگرم)],1):Main[[#This Row],[بدهی سررسید شده (کیلوگرم)]])</f>
        <v>0</v>
      </c>
      <c r="AE333" s="6">
        <f ca="1">IF(Main[[#This Row],[مانده در خط سررسید شده (کیلوگرم)]]&lt;&gt;0,Main[[#This Row],[تعداد کل روزهای بدهکار (روز)]],0)</f>
        <v>0</v>
      </c>
      <c r="AF333" s="6">
        <f ca="1">Main[[#This Row],[تعداد روزهای بدهکار سررسید شده (روز)]]*Main[[#This Row],[مانده در خط سررسید شده (کیلوگرم)]]</f>
        <v>0</v>
      </c>
    </row>
    <row r="334" spans="1:32" hidden="1" x14ac:dyDescent="0.35">
      <c r="A334" s="5">
        <f>ROW()-ROW(INDEX(Main[ردیف],1))+1</f>
        <v>332</v>
      </c>
      <c r="B334" s="31">
        <f>SUBTOTAL(2,INDEX(Main[ردیف],1):Main[[#This Row],[ردیف]])</f>
        <v>33</v>
      </c>
      <c r="C334" s="32" t="s">
        <v>538</v>
      </c>
      <c r="D334" s="32" t="str">
        <f>_xlfn.CONCAT("14",Main[[#This Row],[تاريخ]])</f>
        <v>1400/02/12</v>
      </c>
      <c r="E334" s="33">
        <v>44318</v>
      </c>
      <c r="F334" s="32">
        <v>30018</v>
      </c>
      <c r="G334" s="5" t="str">
        <f>INDEX(customer[عنوان],MATCH(Main[[#This Row],[کد ردیابی]],customer[کد],0))</f>
        <v xml:space="preserve">تولیدی شیر سازی غریب پویا </v>
      </c>
      <c r="H334">
        <v>-1998</v>
      </c>
      <c r="I334" s="6">
        <f ca="1">-Main[[#This Row],[بدهی تسویه شده (کیلوگرم)]]+Main[[#This Row],[بستانکار (کیلوگرم)]]</f>
        <v>-1998</v>
      </c>
      <c r="J334" s="6">
        <f>IF(Main[[#This Row],[مقدار (کیلوگرم)]]&gt;0,Main[[#This Row],[مقدار (کیلوگرم)]],0)</f>
        <v>0</v>
      </c>
      <c r="K334" s="6">
        <f>-IF(Main[[#This Row],[مقدار (کیلوگرم)]]&lt;0,Main[[#This Row],[مقدار (کیلوگرم)]],0)</f>
        <v>1998</v>
      </c>
      <c r="L3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4" s="7">
        <f>-IF(AND(Main[[#This Row],[مقدار (کیلوگرم)]]&lt;0,Main[[#This Row],[تاريخ میلادی]]&gt;44276),Main[[#This Row],[مقدار (کیلوگرم)]],0)</f>
        <v>1998</v>
      </c>
      <c r="N334" s="6">
        <f ca="1">Main[[#This Row],[بدهکار (کیلوگرم)]]-Main[[#This Row],[بدهی تسویه نشده (کیلوگرم)]]</f>
        <v>1998</v>
      </c>
      <c r="O334" s="6">
        <f ca="1">Main[[#This Row],[تفکیک]]</f>
        <v>0</v>
      </c>
      <c r="P334" s="6">
        <f ca="1">IF(Main[[#This Row],[تاخیر از سررسید]]&gt;0,Main[[#This Row],[بدهی تسویه نشده (کیلوگرم)]],0)</f>
        <v>0</v>
      </c>
      <c r="Q334" s="6">
        <f ca="1">IF(Main[[#This Row],[بدهی تسویه نشده (کیلوگرم)]]&gt;0,'گزارش فردی'!$B$7-Main[[#This Row],[تاريخ میلادی]],0)</f>
        <v>0</v>
      </c>
      <c r="R334" s="6">
        <f ca="1">IF(Main[[#This Row],[بدهی تسویه نشده (کیلوگرم)]]&gt;0,'گزارش فردی'!$B$7-Main[[#This Row],[تاريخ میلادی]]-'گزارش فردی'!$B$8,0)</f>
        <v>0</v>
      </c>
      <c r="S334" s="6">
        <f ca="1">Main[[#This Row],[روز از ارسال سفارش]]*Main[[#This Row],[بدهی تسویه نشده (کیلوگرم)]]</f>
        <v>0</v>
      </c>
      <c r="T334" s="6">
        <f ca="1">Main[[#This Row],[بدهی سررسید شده (کیلوگرم)]]*Main[[#This Row],[روز از ارسال سفارش]]</f>
        <v>0</v>
      </c>
      <c r="U334" s="6">
        <f>-SUBTOTAL(9,INDEX(Main[مقدار (کیلوگرم)],1):Main[[#This Row],[مقدار (کیلوگرم)]])</f>
        <v>44854</v>
      </c>
      <c r="V3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4" s="6">
        <f>Main[[#This Row],[تعداد کل روزهای بدهکار (روز)]]*Main[[#This Row],[مانده در خط کل (کیلوگرم)]]</f>
        <v>0</v>
      </c>
      <c r="X334" s="6">
        <f ca="1">-SUBTOTAL(9,INDEX(Main[مقدار تسویه شده (کیلوگرم)],1):Main[[#This Row],[مقدار تسویه شده (کیلوگرم)]])</f>
        <v>44854</v>
      </c>
      <c r="Y334" s="6">
        <f ca="1">IF(Main[[#This Row],[مانده در خط تسویه شده (کیلوگرم)]]&lt;&gt;0,Main[[#This Row],[تعداد کل روزهای بدهکار (روز)]],0)</f>
        <v>0</v>
      </c>
      <c r="Z334" s="6">
        <f ca="1">Main[[#This Row],[تعداد روزهای بدهکار تسویه شده (روز)]]*Main[[#This Row],[مانده در خط تسویه شده (کیلوگرم)]]</f>
        <v>0</v>
      </c>
      <c r="AA334" s="6">
        <f ca="1">SUBTOTAL(9,INDEX(Main[بدهی تسویه نشده (کیلوگرم)],1):Main[[#This Row],[بدهی تسویه نشده (کیلوگرم)]])</f>
        <v>0</v>
      </c>
      <c r="AB334" s="6">
        <f ca="1">IF(Main[[#This Row],[مانده در خط تسویه نشده (کیلوگرم)]]&lt;&gt;0,Main[[#This Row],[تعداد کل روزهای بدهکار (روز)]],0)</f>
        <v>0</v>
      </c>
      <c r="AC334" s="6">
        <f ca="1">Main[[#This Row],[تعداد روزهای بدهکار  تسویه نشده (روز)]]*Main[[#This Row],[مانده در خط تسویه نشده (کیلوگرم)]]</f>
        <v>0</v>
      </c>
      <c r="AD334" s="6">
        <f ca="1">SUBTOTAL(9,INDEX(Main[بدهی سررسید شده (کیلوگرم)],1):Main[[#This Row],[بدهی سررسید شده (کیلوگرم)]])</f>
        <v>0</v>
      </c>
      <c r="AE334" s="6">
        <f ca="1">IF(Main[[#This Row],[مانده در خط سررسید شده (کیلوگرم)]]&lt;&gt;0,Main[[#This Row],[تعداد کل روزهای بدهکار (روز)]],0)</f>
        <v>0</v>
      </c>
      <c r="AF334" s="6">
        <f ca="1">Main[[#This Row],[تعداد روزهای بدهکار سررسید شده (روز)]]*Main[[#This Row],[مانده در خط سررسید شده (کیلوگرم)]]</f>
        <v>0</v>
      </c>
    </row>
    <row r="335" spans="1:32" hidden="1" x14ac:dyDescent="0.35">
      <c r="A335" s="5">
        <f>ROW()-ROW(INDEX(Main[ردیف],1))+1</f>
        <v>333</v>
      </c>
      <c r="B335" s="31">
        <f>SUBTOTAL(2,INDEX(Main[ردیف],1):Main[[#This Row],[ردیف]])</f>
        <v>33</v>
      </c>
      <c r="C335" s="32" t="s">
        <v>538</v>
      </c>
      <c r="D335" s="32" t="str">
        <f>_xlfn.CONCAT("14",Main[[#This Row],[تاريخ]])</f>
        <v>1400/02/12</v>
      </c>
      <c r="E335" s="33">
        <v>44318</v>
      </c>
      <c r="F335" s="32">
        <v>10026</v>
      </c>
      <c r="G335" s="5" t="str">
        <f>INDEX(customer[عنوان],MATCH(Main[[#This Row],[کد ردیابی]],customer[کد],0))</f>
        <v xml:space="preserve">محسن فیاض بخش </v>
      </c>
      <c r="H335">
        <v>4066</v>
      </c>
      <c r="I335" s="6">
        <f ca="1">-Main[[#This Row],[بدهی تسویه شده (کیلوگرم)]]+Main[[#This Row],[بستانکار (کیلوگرم)]]</f>
        <v>4066</v>
      </c>
      <c r="J335" s="6">
        <f>IF(Main[[#This Row],[مقدار (کیلوگرم)]]&gt;0,Main[[#This Row],[مقدار (کیلوگرم)]],0)</f>
        <v>4066</v>
      </c>
      <c r="K335" s="6">
        <f>-IF(Main[[#This Row],[مقدار (کیلوگرم)]]&lt;0,Main[[#This Row],[مقدار (کیلوگرم)]],0)</f>
        <v>0</v>
      </c>
      <c r="L3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5" s="7">
        <f>-IF(AND(Main[[#This Row],[مقدار (کیلوگرم)]]&lt;0,Main[[#This Row],[تاريخ میلادی]]&gt;44276),Main[[#This Row],[مقدار (کیلوگرم)]],0)</f>
        <v>0</v>
      </c>
      <c r="N335" s="6">
        <f ca="1">Main[[#This Row],[بدهکار (کیلوگرم)]]-Main[[#This Row],[بدهی تسویه نشده (کیلوگرم)]]</f>
        <v>0</v>
      </c>
      <c r="O335" s="6">
        <f ca="1">Main[[#This Row],[تفکیک]]</f>
        <v>0</v>
      </c>
      <c r="P335" s="6">
        <f ca="1">IF(Main[[#This Row],[تاخیر از سررسید]]&gt;0,Main[[#This Row],[بدهی تسویه نشده (کیلوگرم)]],0)</f>
        <v>0</v>
      </c>
      <c r="Q335" s="6">
        <f ca="1">IF(Main[[#This Row],[بدهی تسویه نشده (کیلوگرم)]]&gt;0,'گزارش فردی'!$B$7-Main[[#This Row],[تاريخ میلادی]],0)</f>
        <v>0</v>
      </c>
      <c r="R335" s="6">
        <f ca="1">IF(Main[[#This Row],[بدهی تسویه نشده (کیلوگرم)]]&gt;0,'گزارش فردی'!$B$7-Main[[#This Row],[تاريخ میلادی]]-'گزارش فردی'!$B$8,0)</f>
        <v>0</v>
      </c>
      <c r="S335" s="6">
        <f ca="1">Main[[#This Row],[روز از ارسال سفارش]]*Main[[#This Row],[بدهی تسویه نشده (کیلوگرم)]]</f>
        <v>0</v>
      </c>
      <c r="T335" s="6">
        <f ca="1">Main[[#This Row],[بدهی سررسید شده (کیلوگرم)]]*Main[[#This Row],[روز از ارسال سفارش]]</f>
        <v>0</v>
      </c>
      <c r="U335" s="6">
        <f>-SUBTOTAL(9,INDEX(Main[مقدار (کیلوگرم)],1):Main[[#This Row],[مقدار (کیلوگرم)]])</f>
        <v>44854</v>
      </c>
      <c r="V3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5" s="6">
        <f>Main[[#This Row],[تعداد کل روزهای بدهکار (روز)]]*Main[[#This Row],[مانده در خط کل (کیلوگرم)]]</f>
        <v>0</v>
      </c>
      <c r="X335" s="6">
        <f ca="1">-SUBTOTAL(9,INDEX(Main[مقدار تسویه شده (کیلوگرم)],1):Main[[#This Row],[مقدار تسویه شده (کیلوگرم)]])</f>
        <v>44854</v>
      </c>
      <c r="Y335" s="6">
        <f ca="1">IF(Main[[#This Row],[مانده در خط تسویه شده (کیلوگرم)]]&lt;&gt;0,Main[[#This Row],[تعداد کل روزهای بدهکار (روز)]],0)</f>
        <v>0</v>
      </c>
      <c r="Z335" s="6">
        <f ca="1">Main[[#This Row],[تعداد روزهای بدهکار تسویه شده (روز)]]*Main[[#This Row],[مانده در خط تسویه شده (کیلوگرم)]]</f>
        <v>0</v>
      </c>
      <c r="AA335" s="6">
        <f ca="1">SUBTOTAL(9,INDEX(Main[بدهی تسویه نشده (کیلوگرم)],1):Main[[#This Row],[بدهی تسویه نشده (کیلوگرم)]])</f>
        <v>0</v>
      </c>
      <c r="AB335" s="6">
        <f ca="1">IF(Main[[#This Row],[مانده در خط تسویه نشده (کیلوگرم)]]&lt;&gt;0,Main[[#This Row],[تعداد کل روزهای بدهکار (روز)]],0)</f>
        <v>0</v>
      </c>
      <c r="AC335" s="6">
        <f ca="1">Main[[#This Row],[تعداد روزهای بدهکار  تسویه نشده (روز)]]*Main[[#This Row],[مانده در خط تسویه نشده (کیلوگرم)]]</f>
        <v>0</v>
      </c>
      <c r="AD335" s="6">
        <f ca="1">SUBTOTAL(9,INDEX(Main[بدهی سررسید شده (کیلوگرم)],1):Main[[#This Row],[بدهی سررسید شده (کیلوگرم)]])</f>
        <v>0</v>
      </c>
      <c r="AE335" s="6">
        <f ca="1">IF(Main[[#This Row],[مانده در خط سررسید شده (کیلوگرم)]]&lt;&gt;0,Main[[#This Row],[تعداد کل روزهای بدهکار (روز)]],0)</f>
        <v>0</v>
      </c>
      <c r="AF335" s="6">
        <f ca="1">Main[[#This Row],[تعداد روزهای بدهکار سررسید شده (روز)]]*Main[[#This Row],[مانده در خط سررسید شده (کیلوگرم)]]</f>
        <v>0</v>
      </c>
    </row>
    <row r="336" spans="1:32" hidden="1" x14ac:dyDescent="0.35">
      <c r="A336" s="5">
        <f>ROW()-ROW(INDEX(Main[ردیف],1))+1</f>
        <v>334</v>
      </c>
      <c r="B336" s="31">
        <f>SUBTOTAL(2,INDEX(Main[ردیف],1):Main[[#This Row],[ردیف]])</f>
        <v>33</v>
      </c>
      <c r="C336" s="32" t="s">
        <v>538</v>
      </c>
      <c r="D336" s="32" t="str">
        <f>_xlfn.CONCAT("14",Main[[#This Row],[تاريخ]])</f>
        <v>1400/02/12</v>
      </c>
      <c r="E336" s="33">
        <v>44318</v>
      </c>
      <c r="F336" s="32">
        <v>30174</v>
      </c>
      <c r="G336" s="5" t="str">
        <f>INDEX(customer[عنوان],MATCH(Main[[#This Row],[کد ردیابی]],customer[کد],0))</f>
        <v>شیرآلات مهرآرا</v>
      </c>
      <c r="H336">
        <v>-98</v>
      </c>
      <c r="I336" s="6">
        <f ca="1">-Main[[#This Row],[بدهی تسویه شده (کیلوگرم)]]+Main[[#This Row],[بستانکار (کیلوگرم)]]</f>
        <v>-98</v>
      </c>
      <c r="J336" s="6">
        <f>IF(Main[[#This Row],[مقدار (کیلوگرم)]]&gt;0,Main[[#This Row],[مقدار (کیلوگرم)]],0)</f>
        <v>0</v>
      </c>
      <c r="K336" s="6">
        <f>-IF(Main[[#This Row],[مقدار (کیلوگرم)]]&lt;0,Main[[#This Row],[مقدار (کیلوگرم)]],0)</f>
        <v>98</v>
      </c>
      <c r="L3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6" s="7">
        <f>-IF(AND(Main[[#This Row],[مقدار (کیلوگرم)]]&lt;0,Main[[#This Row],[تاريخ میلادی]]&gt;44276),Main[[#This Row],[مقدار (کیلوگرم)]],0)</f>
        <v>98</v>
      </c>
      <c r="N336" s="6">
        <f ca="1">Main[[#This Row],[بدهکار (کیلوگرم)]]-Main[[#This Row],[بدهی تسویه نشده (کیلوگرم)]]</f>
        <v>98</v>
      </c>
      <c r="O336" s="6">
        <f ca="1">Main[[#This Row],[تفکیک]]</f>
        <v>0</v>
      </c>
      <c r="P336" s="6">
        <f ca="1">IF(Main[[#This Row],[تاخیر از سررسید]]&gt;0,Main[[#This Row],[بدهی تسویه نشده (کیلوگرم)]],0)</f>
        <v>0</v>
      </c>
      <c r="Q336" s="6">
        <f ca="1">IF(Main[[#This Row],[بدهی تسویه نشده (کیلوگرم)]]&gt;0,'گزارش فردی'!$B$7-Main[[#This Row],[تاريخ میلادی]],0)</f>
        <v>0</v>
      </c>
      <c r="R336" s="6">
        <f ca="1">IF(Main[[#This Row],[بدهی تسویه نشده (کیلوگرم)]]&gt;0,'گزارش فردی'!$B$7-Main[[#This Row],[تاريخ میلادی]]-'گزارش فردی'!$B$8,0)</f>
        <v>0</v>
      </c>
      <c r="S336" s="6">
        <f ca="1">Main[[#This Row],[روز از ارسال سفارش]]*Main[[#This Row],[بدهی تسویه نشده (کیلوگرم)]]</f>
        <v>0</v>
      </c>
      <c r="T336" s="6">
        <f ca="1">Main[[#This Row],[بدهی سررسید شده (کیلوگرم)]]*Main[[#This Row],[روز از ارسال سفارش]]</f>
        <v>0</v>
      </c>
      <c r="U336" s="6">
        <f>-SUBTOTAL(9,INDEX(Main[مقدار (کیلوگرم)],1):Main[[#This Row],[مقدار (کیلوگرم)]])</f>
        <v>44854</v>
      </c>
      <c r="V3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6" s="6">
        <f>Main[[#This Row],[تعداد کل روزهای بدهکار (روز)]]*Main[[#This Row],[مانده در خط کل (کیلوگرم)]]</f>
        <v>0</v>
      </c>
      <c r="X336" s="6">
        <f ca="1">-SUBTOTAL(9,INDEX(Main[مقدار تسویه شده (کیلوگرم)],1):Main[[#This Row],[مقدار تسویه شده (کیلوگرم)]])</f>
        <v>44854</v>
      </c>
      <c r="Y336" s="6">
        <f ca="1">IF(Main[[#This Row],[مانده در خط تسویه شده (کیلوگرم)]]&lt;&gt;0,Main[[#This Row],[تعداد کل روزهای بدهکار (روز)]],0)</f>
        <v>0</v>
      </c>
      <c r="Z336" s="6">
        <f ca="1">Main[[#This Row],[تعداد روزهای بدهکار تسویه شده (روز)]]*Main[[#This Row],[مانده در خط تسویه شده (کیلوگرم)]]</f>
        <v>0</v>
      </c>
      <c r="AA336" s="6">
        <f ca="1">SUBTOTAL(9,INDEX(Main[بدهی تسویه نشده (کیلوگرم)],1):Main[[#This Row],[بدهی تسویه نشده (کیلوگرم)]])</f>
        <v>0</v>
      </c>
      <c r="AB336" s="6">
        <f ca="1">IF(Main[[#This Row],[مانده در خط تسویه نشده (کیلوگرم)]]&lt;&gt;0,Main[[#This Row],[تعداد کل روزهای بدهکار (روز)]],0)</f>
        <v>0</v>
      </c>
      <c r="AC336" s="6">
        <f ca="1">Main[[#This Row],[تعداد روزهای بدهکار  تسویه نشده (روز)]]*Main[[#This Row],[مانده در خط تسویه نشده (کیلوگرم)]]</f>
        <v>0</v>
      </c>
      <c r="AD336" s="6">
        <f ca="1">SUBTOTAL(9,INDEX(Main[بدهی سررسید شده (کیلوگرم)],1):Main[[#This Row],[بدهی سررسید شده (کیلوگرم)]])</f>
        <v>0</v>
      </c>
      <c r="AE336" s="6">
        <f ca="1">IF(Main[[#This Row],[مانده در خط سررسید شده (کیلوگرم)]]&lt;&gt;0,Main[[#This Row],[تعداد کل روزهای بدهکار (روز)]],0)</f>
        <v>0</v>
      </c>
      <c r="AF336" s="6">
        <f ca="1">Main[[#This Row],[تعداد روزهای بدهکار سررسید شده (روز)]]*Main[[#This Row],[مانده در خط سررسید شده (کیلوگرم)]]</f>
        <v>0</v>
      </c>
    </row>
    <row r="337" spans="1:32" hidden="1" x14ac:dyDescent="0.35">
      <c r="A337" s="5">
        <f>ROW()-ROW(INDEX(Main[ردیف],1))+1</f>
        <v>335</v>
      </c>
      <c r="B337" s="31">
        <f>SUBTOTAL(2,INDEX(Main[ردیف],1):Main[[#This Row],[ردیف]])</f>
        <v>33</v>
      </c>
      <c r="C337" s="32" t="s">
        <v>538</v>
      </c>
      <c r="D337" s="32" t="str">
        <f>_xlfn.CONCAT("14",Main[[#This Row],[تاريخ]])</f>
        <v>1400/02/12</v>
      </c>
      <c r="E337" s="33">
        <v>44318</v>
      </c>
      <c r="F337" s="32">
        <v>10070</v>
      </c>
      <c r="G337" s="5" t="str">
        <f>INDEX(customer[عنوان],MATCH(Main[[#This Row],[کد ردیابی]],customer[کد],0))</f>
        <v xml:space="preserve">حمیدرضا شفیعی </v>
      </c>
      <c r="H337">
        <v>2000</v>
      </c>
      <c r="I337" s="6">
        <f ca="1">-Main[[#This Row],[بدهی تسویه شده (کیلوگرم)]]+Main[[#This Row],[بستانکار (کیلوگرم)]]</f>
        <v>2000</v>
      </c>
      <c r="J337" s="6">
        <f>IF(Main[[#This Row],[مقدار (کیلوگرم)]]&gt;0,Main[[#This Row],[مقدار (کیلوگرم)]],0)</f>
        <v>2000</v>
      </c>
      <c r="K337" s="6">
        <f>-IF(Main[[#This Row],[مقدار (کیلوگرم)]]&lt;0,Main[[#This Row],[مقدار (کیلوگرم)]],0)</f>
        <v>0</v>
      </c>
      <c r="L3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7" s="7">
        <f>-IF(AND(Main[[#This Row],[مقدار (کیلوگرم)]]&lt;0,Main[[#This Row],[تاريخ میلادی]]&gt;44276),Main[[#This Row],[مقدار (کیلوگرم)]],0)</f>
        <v>0</v>
      </c>
      <c r="N337" s="6">
        <f ca="1">Main[[#This Row],[بدهکار (کیلوگرم)]]-Main[[#This Row],[بدهی تسویه نشده (کیلوگرم)]]</f>
        <v>0</v>
      </c>
      <c r="O337" s="6">
        <f ca="1">Main[[#This Row],[تفکیک]]</f>
        <v>0</v>
      </c>
      <c r="P337" s="6">
        <f ca="1">IF(Main[[#This Row],[تاخیر از سررسید]]&gt;0,Main[[#This Row],[بدهی تسویه نشده (کیلوگرم)]],0)</f>
        <v>0</v>
      </c>
      <c r="Q337" s="6">
        <f ca="1">IF(Main[[#This Row],[بدهی تسویه نشده (کیلوگرم)]]&gt;0,'گزارش فردی'!$B$7-Main[[#This Row],[تاريخ میلادی]],0)</f>
        <v>0</v>
      </c>
      <c r="R337" s="6">
        <f ca="1">IF(Main[[#This Row],[بدهی تسویه نشده (کیلوگرم)]]&gt;0,'گزارش فردی'!$B$7-Main[[#This Row],[تاريخ میلادی]]-'گزارش فردی'!$B$8,0)</f>
        <v>0</v>
      </c>
      <c r="S337" s="6">
        <f ca="1">Main[[#This Row],[روز از ارسال سفارش]]*Main[[#This Row],[بدهی تسویه نشده (کیلوگرم)]]</f>
        <v>0</v>
      </c>
      <c r="T337" s="6">
        <f ca="1">Main[[#This Row],[بدهی سررسید شده (کیلوگرم)]]*Main[[#This Row],[روز از ارسال سفارش]]</f>
        <v>0</v>
      </c>
      <c r="U337" s="6">
        <f>-SUBTOTAL(9,INDEX(Main[مقدار (کیلوگرم)],1):Main[[#This Row],[مقدار (کیلوگرم)]])</f>
        <v>44854</v>
      </c>
      <c r="V3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7" s="6">
        <f>Main[[#This Row],[تعداد کل روزهای بدهکار (روز)]]*Main[[#This Row],[مانده در خط کل (کیلوگرم)]]</f>
        <v>0</v>
      </c>
      <c r="X337" s="6">
        <f ca="1">-SUBTOTAL(9,INDEX(Main[مقدار تسویه شده (کیلوگرم)],1):Main[[#This Row],[مقدار تسویه شده (کیلوگرم)]])</f>
        <v>44854</v>
      </c>
      <c r="Y337" s="6">
        <f ca="1">IF(Main[[#This Row],[مانده در خط تسویه شده (کیلوگرم)]]&lt;&gt;0,Main[[#This Row],[تعداد کل روزهای بدهکار (روز)]],0)</f>
        <v>0</v>
      </c>
      <c r="Z337" s="6">
        <f ca="1">Main[[#This Row],[تعداد روزهای بدهکار تسویه شده (روز)]]*Main[[#This Row],[مانده در خط تسویه شده (کیلوگرم)]]</f>
        <v>0</v>
      </c>
      <c r="AA337" s="6">
        <f ca="1">SUBTOTAL(9,INDEX(Main[بدهی تسویه نشده (کیلوگرم)],1):Main[[#This Row],[بدهی تسویه نشده (کیلوگرم)]])</f>
        <v>0</v>
      </c>
      <c r="AB337" s="6">
        <f ca="1">IF(Main[[#This Row],[مانده در خط تسویه نشده (کیلوگرم)]]&lt;&gt;0,Main[[#This Row],[تعداد کل روزهای بدهکار (روز)]],0)</f>
        <v>0</v>
      </c>
      <c r="AC337" s="6">
        <f ca="1">Main[[#This Row],[تعداد روزهای بدهکار  تسویه نشده (روز)]]*Main[[#This Row],[مانده در خط تسویه نشده (کیلوگرم)]]</f>
        <v>0</v>
      </c>
      <c r="AD337" s="6">
        <f ca="1">SUBTOTAL(9,INDEX(Main[بدهی سررسید شده (کیلوگرم)],1):Main[[#This Row],[بدهی سررسید شده (کیلوگرم)]])</f>
        <v>0</v>
      </c>
      <c r="AE337" s="6">
        <f ca="1">IF(Main[[#This Row],[مانده در خط سررسید شده (کیلوگرم)]]&lt;&gt;0,Main[[#This Row],[تعداد کل روزهای بدهکار (روز)]],0)</f>
        <v>0</v>
      </c>
      <c r="AF337" s="6">
        <f ca="1">Main[[#This Row],[تعداد روزهای بدهکار سررسید شده (روز)]]*Main[[#This Row],[مانده در خط سررسید شده (کیلوگرم)]]</f>
        <v>0</v>
      </c>
    </row>
    <row r="338" spans="1:32" hidden="1" x14ac:dyDescent="0.35">
      <c r="A338" s="5">
        <f>ROW()-ROW(INDEX(Main[ردیف],1))+1</f>
        <v>336</v>
      </c>
      <c r="B338" s="31">
        <f>SUBTOTAL(2,INDEX(Main[ردیف],1):Main[[#This Row],[ردیف]])</f>
        <v>33</v>
      </c>
      <c r="C338" s="32" t="s">
        <v>538</v>
      </c>
      <c r="D338" s="32" t="str">
        <f>_xlfn.CONCAT("14",Main[[#This Row],[تاريخ]])</f>
        <v>1400/02/12</v>
      </c>
      <c r="E338" s="33">
        <v>44318</v>
      </c>
      <c r="F338" s="32">
        <v>30174</v>
      </c>
      <c r="G338" s="5" t="str">
        <f>INDEX(customer[عنوان],MATCH(Main[[#This Row],[کد ردیابی]],customer[کد],0))</f>
        <v>شیرآلات مهرآرا</v>
      </c>
      <c r="H338">
        <v>-144</v>
      </c>
      <c r="I338" s="6">
        <f ca="1">-Main[[#This Row],[بدهی تسویه شده (کیلوگرم)]]+Main[[#This Row],[بستانکار (کیلوگرم)]]</f>
        <v>-144</v>
      </c>
      <c r="J338" s="6">
        <f>IF(Main[[#This Row],[مقدار (کیلوگرم)]]&gt;0,Main[[#This Row],[مقدار (کیلوگرم)]],0)</f>
        <v>0</v>
      </c>
      <c r="K338" s="6">
        <f>-IF(Main[[#This Row],[مقدار (کیلوگرم)]]&lt;0,Main[[#This Row],[مقدار (کیلوگرم)]],0)</f>
        <v>144</v>
      </c>
      <c r="L3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8" s="7">
        <f>-IF(AND(Main[[#This Row],[مقدار (کیلوگرم)]]&lt;0,Main[[#This Row],[تاريخ میلادی]]&gt;44276),Main[[#This Row],[مقدار (کیلوگرم)]],0)</f>
        <v>144</v>
      </c>
      <c r="N338" s="6">
        <f ca="1">Main[[#This Row],[بدهکار (کیلوگرم)]]-Main[[#This Row],[بدهی تسویه نشده (کیلوگرم)]]</f>
        <v>144</v>
      </c>
      <c r="O338" s="6">
        <f ca="1">Main[[#This Row],[تفکیک]]</f>
        <v>0</v>
      </c>
      <c r="P338" s="6">
        <f ca="1">IF(Main[[#This Row],[تاخیر از سررسید]]&gt;0,Main[[#This Row],[بدهی تسویه نشده (کیلوگرم)]],0)</f>
        <v>0</v>
      </c>
      <c r="Q338" s="6">
        <f ca="1">IF(Main[[#This Row],[بدهی تسویه نشده (کیلوگرم)]]&gt;0,'گزارش فردی'!$B$7-Main[[#This Row],[تاريخ میلادی]],0)</f>
        <v>0</v>
      </c>
      <c r="R338" s="6">
        <f ca="1">IF(Main[[#This Row],[بدهی تسویه نشده (کیلوگرم)]]&gt;0,'گزارش فردی'!$B$7-Main[[#This Row],[تاريخ میلادی]]-'گزارش فردی'!$B$8,0)</f>
        <v>0</v>
      </c>
      <c r="S338" s="6">
        <f ca="1">Main[[#This Row],[روز از ارسال سفارش]]*Main[[#This Row],[بدهی تسویه نشده (کیلوگرم)]]</f>
        <v>0</v>
      </c>
      <c r="T338" s="6">
        <f ca="1">Main[[#This Row],[بدهی سررسید شده (کیلوگرم)]]*Main[[#This Row],[روز از ارسال سفارش]]</f>
        <v>0</v>
      </c>
      <c r="U338" s="6">
        <f>-SUBTOTAL(9,INDEX(Main[مقدار (کیلوگرم)],1):Main[[#This Row],[مقدار (کیلوگرم)]])</f>
        <v>44854</v>
      </c>
      <c r="V3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8" s="6">
        <f>Main[[#This Row],[تعداد کل روزهای بدهکار (روز)]]*Main[[#This Row],[مانده در خط کل (کیلوگرم)]]</f>
        <v>0</v>
      </c>
      <c r="X338" s="6">
        <f ca="1">-SUBTOTAL(9,INDEX(Main[مقدار تسویه شده (کیلوگرم)],1):Main[[#This Row],[مقدار تسویه شده (کیلوگرم)]])</f>
        <v>44854</v>
      </c>
      <c r="Y338" s="6">
        <f ca="1">IF(Main[[#This Row],[مانده در خط تسویه شده (کیلوگرم)]]&lt;&gt;0,Main[[#This Row],[تعداد کل روزهای بدهکار (روز)]],0)</f>
        <v>0</v>
      </c>
      <c r="Z338" s="6">
        <f ca="1">Main[[#This Row],[تعداد روزهای بدهکار تسویه شده (روز)]]*Main[[#This Row],[مانده در خط تسویه شده (کیلوگرم)]]</f>
        <v>0</v>
      </c>
      <c r="AA338" s="6">
        <f ca="1">SUBTOTAL(9,INDEX(Main[بدهی تسویه نشده (کیلوگرم)],1):Main[[#This Row],[بدهی تسویه نشده (کیلوگرم)]])</f>
        <v>0</v>
      </c>
      <c r="AB338" s="6">
        <f ca="1">IF(Main[[#This Row],[مانده در خط تسویه نشده (کیلوگرم)]]&lt;&gt;0,Main[[#This Row],[تعداد کل روزهای بدهکار (روز)]],0)</f>
        <v>0</v>
      </c>
      <c r="AC338" s="6">
        <f ca="1">Main[[#This Row],[تعداد روزهای بدهکار  تسویه نشده (روز)]]*Main[[#This Row],[مانده در خط تسویه نشده (کیلوگرم)]]</f>
        <v>0</v>
      </c>
      <c r="AD338" s="6">
        <f ca="1">SUBTOTAL(9,INDEX(Main[بدهی سررسید شده (کیلوگرم)],1):Main[[#This Row],[بدهی سررسید شده (کیلوگرم)]])</f>
        <v>0</v>
      </c>
      <c r="AE338" s="6">
        <f ca="1">IF(Main[[#This Row],[مانده در خط سررسید شده (کیلوگرم)]]&lt;&gt;0,Main[[#This Row],[تعداد کل روزهای بدهکار (روز)]],0)</f>
        <v>0</v>
      </c>
      <c r="AF338" s="6">
        <f ca="1">Main[[#This Row],[تعداد روزهای بدهکار سررسید شده (روز)]]*Main[[#This Row],[مانده در خط سررسید شده (کیلوگرم)]]</f>
        <v>0</v>
      </c>
    </row>
    <row r="339" spans="1:32" hidden="1" x14ac:dyDescent="0.35">
      <c r="A339" s="5">
        <f>ROW()-ROW(INDEX(Main[ردیف],1))+1</f>
        <v>337</v>
      </c>
      <c r="B339" s="31">
        <f>SUBTOTAL(2,INDEX(Main[ردیف],1):Main[[#This Row],[ردیف]])</f>
        <v>33</v>
      </c>
      <c r="C339" s="32" t="s">
        <v>538</v>
      </c>
      <c r="D339" s="32" t="str">
        <f>_xlfn.CONCAT("14",Main[[#This Row],[تاريخ]])</f>
        <v>1400/02/12</v>
      </c>
      <c r="E339" s="33">
        <v>44318</v>
      </c>
      <c r="F339" s="32">
        <v>30018</v>
      </c>
      <c r="G339" s="5" t="str">
        <f>INDEX(customer[عنوان],MATCH(Main[[#This Row],[کد ردیابی]],customer[کد],0))</f>
        <v xml:space="preserve">تولیدی شیر سازی غریب پویا </v>
      </c>
      <c r="H339">
        <v>2038</v>
      </c>
      <c r="I339" s="6">
        <f ca="1">-Main[[#This Row],[بدهی تسویه شده (کیلوگرم)]]+Main[[#This Row],[بستانکار (کیلوگرم)]]</f>
        <v>2038</v>
      </c>
      <c r="J339" s="6">
        <f>IF(Main[[#This Row],[مقدار (کیلوگرم)]]&gt;0,Main[[#This Row],[مقدار (کیلوگرم)]],0)</f>
        <v>2038</v>
      </c>
      <c r="K339" s="6">
        <f>-IF(Main[[#This Row],[مقدار (کیلوگرم)]]&lt;0,Main[[#This Row],[مقدار (کیلوگرم)]],0)</f>
        <v>0</v>
      </c>
      <c r="L3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9" s="7">
        <f>-IF(AND(Main[[#This Row],[مقدار (کیلوگرم)]]&lt;0,Main[[#This Row],[تاريخ میلادی]]&gt;44276),Main[[#This Row],[مقدار (کیلوگرم)]],0)</f>
        <v>0</v>
      </c>
      <c r="N339" s="6">
        <f ca="1">Main[[#This Row],[بدهکار (کیلوگرم)]]-Main[[#This Row],[بدهی تسویه نشده (کیلوگرم)]]</f>
        <v>0</v>
      </c>
      <c r="O339" s="6">
        <f ca="1">Main[[#This Row],[تفکیک]]</f>
        <v>0</v>
      </c>
      <c r="P339" s="6">
        <f ca="1">IF(Main[[#This Row],[تاخیر از سررسید]]&gt;0,Main[[#This Row],[بدهی تسویه نشده (کیلوگرم)]],0)</f>
        <v>0</v>
      </c>
      <c r="Q339" s="6">
        <f ca="1">IF(Main[[#This Row],[بدهی تسویه نشده (کیلوگرم)]]&gt;0,'گزارش فردی'!$B$7-Main[[#This Row],[تاريخ میلادی]],0)</f>
        <v>0</v>
      </c>
      <c r="R339" s="6">
        <f ca="1">IF(Main[[#This Row],[بدهی تسویه نشده (کیلوگرم)]]&gt;0,'گزارش فردی'!$B$7-Main[[#This Row],[تاريخ میلادی]]-'گزارش فردی'!$B$8,0)</f>
        <v>0</v>
      </c>
      <c r="S339" s="6">
        <f ca="1">Main[[#This Row],[روز از ارسال سفارش]]*Main[[#This Row],[بدهی تسویه نشده (کیلوگرم)]]</f>
        <v>0</v>
      </c>
      <c r="T339" s="6">
        <f ca="1">Main[[#This Row],[بدهی سررسید شده (کیلوگرم)]]*Main[[#This Row],[روز از ارسال سفارش]]</f>
        <v>0</v>
      </c>
      <c r="U339" s="6">
        <f>-SUBTOTAL(9,INDEX(Main[مقدار (کیلوگرم)],1):Main[[#This Row],[مقدار (کیلوگرم)]])</f>
        <v>44854</v>
      </c>
      <c r="V3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9" s="6">
        <f>Main[[#This Row],[تعداد کل روزهای بدهکار (روز)]]*Main[[#This Row],[مانده در خط کل (کیلوگرم)]]</f>
        <v>0</v>
      </c>
      <c r="X339" s="6">
        <f ca="1">-SUBTOTAL(9,INDEX(Main[مقدار تسویه شده (کیلوگرم)],1):Main[[#This Row],[مقدار تسویه شده (کیلوگرم)]])</f>
        <v>44854</v>
      </c>
      <c r="Y339" s="6">
        <f ca="1">IF(Main[[#This Row],[مانده در خط تسویه شده (کیلوگرم)]]&lt;&gt;0,Main[[#This Row],[تعداد کل روزهای بدهکار (روز)]],0)</f>
        <v>0</v>
      </c>
      <c r="Z339" s="6">
        <f ca="1">Main[[#This Row],[تعداد روزهای بدهکار تسویه شده (روز)]]*Main[[#This Row],[مانده در خط تسویه شده (کیلوگرم)]]</f>
        <v>0</v>
      </c>
      <c r="AA339" s="6">
        <f ca="1">SUBTOTAL(9,INDEX(Main[بدهی تسویه نشده (کیلوگرم)],1):Main[[#This Row],[بدهی تسویه نشده (کیلوگرم)]])</f>
        <v>0</v>
      </c>
      <c r="AB339" s="6">
        <f ca="1">IF(Main[[#This Row],[مانده در خط تسویه نشده (کیلوگرم)]]&lt;&gt;0,Main[[#This Row],[تعداد کل روزهای بدهکار (روز)]],0)</f>
        <v>0</v>
      </c>
      <c r="AC339" s="6">
        <f ca="1">Main[[#This Row],[تعداد روزهای بدهکار  تسویه نشده (روز)]]*Main[[#This Row],[مانده در خط تسویه نشده (کیلوگرم)]]</f>
        <v>0</v>
      </c>
      <c r="AD339" s="6">
        <f ca="1">SUBTOTAL(9,INDEX(Main[بدهی سررسید شده (کیلوگرم)],1):Main[[#This Row],[بدهی سررسید شده (کیلوگرم)]])</f>
        <v>0</v>
      </c>
      <c r="AE339" s="6">
        <f ca="1">IF(Main[[#This Row],[مانده در خط سررسید شده (کیلوگرم)]]&lt;&gt;0,Main[[#This Row],[تعداد کل روزهای بدهکار (روز)]],0)</f>
        <v>0</v>
      </c>
      <c r="AF339" s="6">
        <f ca="1">Main[[#This Row],[تعداد روزهای بدهکار سررسید شده (روز)]]*Main[[#This Row],[مانده در خط سررسید شده (کیلوگرم)]]</f>
        <v>0</v>
      </c>
    </row>
    <row r="340" spans="1:32" hidden="1" x14ac:dyDescent="0.35">
      <c r="A340" s="5">
        <f>ROW()-ROW(INDEX(Main[ردیف],1))+1</f>
        <v>338</v>
      </c>
      <c r="B340" s="31">
        <f>SUBTOTAL(2,INDEX(Main[ردیف],1):Main[[#This Row],[ردیف]])</f>
        <v>33</v>
      </c>
      <c r="C340" s="32" t="s">
        <v>538</v>
      </c>
      <c r="D340" s="32" t="str">
        <f>_xlfn.CONCAT("14",Main[[#This Row],[تاريخ]])</f>
        <v>1400/02/12</v>
      </c>
      <c r="E340" s="33">
        <v>44318</v>
      </c>
      <c r="F340" s="32">
        <v>10070</v>
      </c>
      <c r="G340" s="5" t="str">
        <f>INDEX(customer[عنوان],MATCH(Main[[#This Row],[کد ردیابی]],customer[کد],0))</f>
        <v xml:space="preserve">حمیدرضا شفیعی </v>
      </c>
      <c r="H340">
        <v>-1994</v>
      </c>
      <c r="I340" s="6">
        <f ca="1">-Main[[#This Row],[بدهی تسویه شده (کیلوگرم)]]+Main[[#This Row],[بستانکار (کیلوگرم)]]</f>
        <v>-1994</v>
      </c>
      <c r="J340" s="6">
        <f>IF(Main[[#This Row],[مقدار (کیلوگرم)]]&gt;0,Main[[#This Row],[مقدار (کیلوگرم)]],0)</f>
        <v>0</v>
      </c>
      <c r="K340" s="6">
        <f>-IF(Main[[#This Row],[مقدار (کیلوگرم)]]&lt;0,Main[[#This Row],[مقدار (کیلوگرم)]],0)</f>
        <v>1994</v>
      </c>
      <c r="L3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0" s="7">
        <f>-IF(AND(Main[[#This Row],[مقدار (کیلوگرم)]]&lt;0,Main[[#This Row],[تاريخ میلادی]]&gt;44276),Main[[#This Row],[مقدار (کیلوگرم)]],0)</f>
        <v>1994</v>
      </c>
      <c r="N340" s="6">
        <f ca="1">Main[[#This Row],[بدهکار (کیلوگرم)]]-Main[[#This Row],[بدهی تسویه نشده (کیلوگرم)]]</f>
        <v>1994</v>
      </c>
      <c r="O340" s="6">
        <f ca="1">Main[[#This Row],[تفکیک]]</f>
        <v>0</v>
      </c>
      <c r="P340" s="6">
        <f ca="1">IF(Main[[#This Row],[تاخیر از سررسید]]&gt;0,Main[[#This Row],[بدهی تسویه نشده (کیلوگرم)]],0)</f>
        <v>0</v>
      </c>
      <c r="Q340" s="6">
        <f ca="1">IF(Main[[#This Row],[بدهی تسویه نشده (کیلوگرم)]]&gt;0,'گزارش فردی'!$B$7-Main[[#This Row],[تاريخ میلادی]],0)</f>
        <v>0</v>
      </c>
      <c r="R340" s="6">
        <f ca="1">IF(Main[[#This Row],[بدهی تسویه نشده (کیلوگرم)]]&gt;0,'گزارش فردی'!$B$7-Main[[#This Row],[تاريخ میلادی]]-'گزارش فردی'!$B$8,0)</f>
        <v>0</v>
      </c>
      <c r="S340" s="6">
        <f ca="1">Main[[#This Row],[روز از ارسال سفارش]]*Main[[#This Row],[بدهی تسویه نشده (کیلوگرم)]]</f>
        <v>0</v>
      </c>
      <c r="T340" s="6">
        <f ca="1">Main[[#This Row],[بدهی سررسید شده (کیلوگرم)]]*Main[[#This Row],[روز از ارسال سفارش]]</f>
        <v>0</v>
      </c>
      <c r="U340" s="6">
        <f>-SUBTOTAL(9,INDEX(Main[مقدار (کیلوگرم)],1):Main[[#This Row],[مقدار (کیلوگرم)]])</f>
        <v>44854</v>
      </c>
      <c r="V3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0" s="6">
        <f>Main[[#This Row],[تعداد کل روزهای بدهکار (روز)]]*Main[[#This Row],[مانده در خط کل (کیلوگرم)]]</f>
        <v>0</v>
      </c>
      <c r="X340" s="6">
        <f ca="1">-SUBTOTAL(9,INDEX(Main[مقدار تسویه شده (کیلوگرم)],1):Main[[#This Row],[مقدار تسویه شده (کیلوگرم)]])</f>
        <v>44854</v>
      </c>
      <c r="Y340" s="6">
        <f ca="1">IF(Main[[#This Row],[مانده در خط تسویه شده (کیلوگرم)]]&lt;&gt;0,Main[[#This Row],[تعداد کل روزهای بدهکار (روز)]],0)</f>
        <v>0</v>
      </c>
      <c r="Z340" s="6">
        <f ca="1">Main[[#This Row],[تعداد روزهای بدهکار تسویه شده (روز)]]*Main[[#This Row],[مانده در خط تسویه شده (کیلوگرم)]]</f>
        <v>0</v>
      </c>
      <c r="AA340" s="6">
        <f ca="1">SUBTOTAL(9,INDEX(Main[بدهی تسویه نشده (کیلوگرم)],1):Main[[#This Row],[بدهی تسویه نشده (کیلوگرم)]])</f>
        <v>0</v>
      </c>
      <c r="AB340" s="6">
        <f ca="1">IF(Main[[#This Row],[مانده در خط تسویه نشده (کیلوگرم)]]&lt;&gt;0,Main[[#This Row],[تعداد کل روزهای بدهکار (روز)]],0)</f>
        <v>0</v>
      </c>
      <c r="AC340" s="6">
        <f ca="1">Main[[#This Row],[تعداد روزهای بدهکار  تسویه نشده (روز)]]*Main[[#This Row],[مانده در خط تسویه نشده (کیلوگرم)]]</f>
        <v>0</v>
      </c>
      <c r="AD340" s="6">
        <f ca="1">SUBTOTAL(9,INDEX(Main[بدهی سررسید شده (کیلوگرم)],1):Main[[#This Row],[بدهی سررسید شده (کیلوگرم)]])</f>
        <v>0</v>
      </c>
      <c r="AE340" s="6">
        <f ca="1">IF(Main[[#This Row],[مانده در خط سررسید شده (کیلوگرم)]]&lt;&gt;0,Main[[#This Row],[تعداد کل روزهای بدهکار (روز)]],0)</f>
        <v>0</v>
      </c>
      <c r="AF340" s="6">
        <f ca="1">Main[[#This Row],[تعداد روزهای بدهکار سررسید شده (روز)]]*Main[[#This Row],[مانده در خط سررسید شده (کیلوگرم)]]</f>
        <v>0</v>
      </c>
    </row>
    <row r="341" spans="1:32" hidden="1" x14ac:dyDescent="0.35">
      <c r="A341" s="5">
        <f>ROW()-ROW(INDEX(Main[ردیف],1))+1</f>
        <v>339</v>
      </c>
      <c r="B341" s="31">
        <f>SUBTOTAL(2,INDEX(Main[ردیف],1):Main[[#This Row],[ردیف]])</f>
        <v>33</v>
      </c>
      <c r="C341" s="32" t="s">
        <v>538</v>
      </c>
      <c r="D341" s="32" t="str">
        <f>_xlfn.CONCAT("14",Main[[#This Row],[تاريخ]])</f>
        <v>1400/02/12</v>
      </c>
      <c r="E341" s="33">
        <v>44318</v>
      </c>
      <c r="F341" s="32">
        <v>30186</v>
      </c>
      <c r="G341" s="5" t="str">
        <f>INDEX(customer[عنوان],MATCH(Main[[#This Row],[کد ردیابی]],customer[کد],0))</f>
        <v>سارا گاز</v>
      </c>
      <c r="H341">
        <v>2268</v>
      </c>
      <c r="I341" s="6">
        <f ca="1">-Main[[#This Row],[بدهی تسویه شده (کیلوگرم)]]+Main[[#This Row],[بستانکار (کیلوگرم)]]</f>
        <v>2268</v>
      </c>
      <c r="J341" s="6">
        <f>IF(Main[[#This Row],[مقدار (کیلوگرم)]]&gt;0,Main[[#This Row],[مقدار (کیلوگرم)]],0)</f>
        <v>2268</v>
      </c>
      <c r="K341" s="6">
        <f>-IF(Main[[#This Row],[مقدار (کیلوگرم)]]&lt;0,Main[[#This Row],[مقدار (کیلوگرم)]],0)</f>
        <v>0</v>
      </c>
      <c r="L3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1" s="7">
        <f>-IF(AND(Main[[#This Row],[مقدار (کیلوگرم)]]&lt;0,Main[[#This Row],[تاريخ میلادی]]&gt;44276),Main[[#This Row],[مقدار (کیلوگرم)]],0)</f>
        <v>0</v>
      </c>
      <c r="N341" s="6">
        <f ca="1">Main[[#This Row],[بدهکار (کیلوگرم)]]-Main[[#This Row],[بدهی تسویه نشده (کیلوگرم)]]</f>
        <v>0</v>
      </c>
      <c r="O341" s="6">
        <f ca="1">Main[[#This Row],[تفکیک]]</f>
        <v>0</v>
      </c>
      <c r="P341" s="6">
        <f ca="1">IF(Main[[#This Row],[تاخیر از سررسید]]&gt;0,Main[[#This Row],[بدهی تسویه نشده (کیلوگرم)]],0)</f>
        <v>0</v>
      </c>
      <c r="Q341" s="6">
        <f ca="1">IF(Main[[#This Row],[بدهی تسویه نشده (کیلوگرم)]]&gt;0,'گزارش فردی'!$B$7-Main[[#This Row],[تاريخ میلادی]],0)</f>
        <v>0</v>
      </c>
      <c r="R341" s="6">
        <f ca="1">IF(Main[[#This Row],[بدهی تسویه نشده (کیلوگرم)]]&gt;0,'گزارش فردی'!$B$7-Main[[#This Row],[تاريخ میلادی]]-'گزارش فردی'!$B$8,0)</f>
        <v>0</v>
      </c>
      <c r="S341" s="6">
        <f ca="1">Main[[#This Row],[روز از ارسال سفارش]]*Main[[#This Row],[بدهی تسویه نشده (کیلوگرم)]]</f>
        <v>0</v>
      </c>
      <c r="T341" s="6">
        <f ca="1">Main[[#This Row],[بدهی سررسید شده (کیلوگرم)]]*Main[[#This Row],[روز از ارسال سفارش]]</f>
        <v>0</v>
      </c>
      <c r="U341" s="6">
        <f>-SUBTOTAL(9,INDEX(Main[مقدار (کیلوگرم)],1):Main[[#This Row],[مقدار (کیلوگرم)]])</f>
        <v>44854</v>
      </c>
      <c r="V3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1" s="6">
        <f>Main[[#This Row],[تعداد کل روزهای بدهکار (روز)]]*Main[[#This Row],[مانده در خط کل (کیلوگرم)]]</f>
        <v>0</v>
      </c>
      <c r="X341" s="6">
        <f ca="1">-SUBTOTAL(9,INDEX(Main[مقدار تسویه شده (کیلوگرم)],1):Main[[#This Row],[مقدار تسویه شده (کیلوگرم)]])</f>
        <v>44854</v>
      </c>
      <c r="Y341" s="6">
        <f ca="1">IF(Main[[#This Row],[مانده در خط تسویه شده (کیلوگرم)]]&lt;&gt;0,Main[[#This Row],[تعداد کل روزهای بدهکار (روز)]],0)</f>
        <v>0</v>
      </c>
      <c r="Z341" s="6">
        <f ca="1">Main[[#This Row],[تعداد روزهای بدهکار تسویه شده (روز)]]*Main[[#This Row],[مانده در خط تسویه شده (کیلوگرم)]]</f>
        <v>0</v>
      </c>
      <c r="AA341" s="6">
        <f ca="1">SUBTOTAL(9,INDEX(Main[بدهی تسویه نشده (کیلوگرم)],1):Main[[#This Row],[بدهی تسویه نشده (کیلوگرم)]])</f>
        <v>0</v>
      </c>
      <c r="AB341" s="6">
        <f ca="1">IF(Main[[#This Row],[مانده در خط تسویه نشده (کیلوگرم)]]&lt;&gt;0,Main[[#This Row],[تعداد کل روزهای بدهکار (روز)]],0)</f>
        <v>0</v>
      </c>
      <c r="AC341" s="6">
        <f ca="1">Main[[#This Row],[تعداد روزهای بدهکار  تسویه نشده (روز)]]*Main[[#This Row],[مانده در خط تسویه نشده (کیلوگرم)]]</f>
        <v>0</v>
      </c>
      <c r="AD341" s="6">
        <f ca="1">SUBTOTAL(9,INDEX(Main[بدهی سررسید شده (کیلوگرم)],1):Main[[#This Row],[بدهی سررسید شده (کیلوگرم)]])</f>
        <v>0</v>
      </c>
      <c r="AE341" s="6">
        <f ca="1">IF(Main[[#This Row],[مانده در خط سررسید شده (کیلوگرم)]]&lt;&gt;0,Main[[#This Row],[تعداد کل روزهای بدهکار (روز)]],0)</f>
        <v>0</v>
      </c>
      <c r="AF341" s="6">
        <f ca="1">Main[[#This Row],[تعداد روزهای بدهکار سررسید شده (روز)]]*Main[[#This Row],[مانده در خط سررسید شده (کیلوگرم)]]</f>
        <v>0</v>
      </c>
    </row>
    <row r="342" spans="1:32" hidden="1" x14ac:dyDescent="0.35">
      <c r="A342" s="5">
        <f>ROW()-ROW(INDEX(Main[ردیف],1))+1</f>
        <v>340</v>
      </c>
      <c r="B342" s="31">
        <f>SUBTOTAL(2,INDEX(Main[ردیف],1):Main[[#This Row],[ردیف]])</f>
        <v>33</v>
      </c>
      <c r="C342" s="32" t="s">
        <v>538</v>
      </c>
      <c r="D342" s="32" t="str">
        <f>_xlfn.CONCAT("14",Main[[#This Row],[تاريخ]])</f>
        <v>1400/02/12</v>
      </c>
      <c r="E342" s="33">
        <v>44318</v>
      </c>
      <c r="F342" s="32">
        <v>10026</v>
      </c>
      <c r="G342" s="5" t="str">
        <f>INDEX(customer[عنوان],MATCH(Main[[#This Row],[کد ردیابی]],customer[کد],0))</f>
        <v xml:space="preserve">محسن فیاض بخش </v>
      </c>
      <c r="H342">
        <v>-1942</v>
      </c>
      <c r="I342" s="6">
        <f ca="1">-Main[[#This Row],[بدهی تسویه شده (کیلوگرم)]]+Main[[#This Row],[بستانکار (کیلوگرم)]]</f>
        <v>-1942</v>
      </c>
      <c r="J342" s="6">
        <f>IF(Main[[#This Row],[مقدار (کیلوگرم)]]&gt;0,Main[[#This Row],[مقدار (کیلوگرم)]],0)</f>
        <v>0</v>
      </c>
      <c r="K342" s="6">
        <f>-IF(Main[[#This Row],[مقدار (کیلوگرم)]]&lt;0,Main[[#This Row],[مقدار (کیلوگرم)]],0)</f>
        <v>1942</v>
      </c>
      <c r="L3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2" s="7">
        <f>-IF(AND(Main[[#This Row],[مقدار (کیلوگرم)]]&lt;0,Main[[#This Row],[تاريخ میلادی]]&gt;44276),Main[[#This Row],[مقدار (کیلوگرم)]],0)</f>
        <v>1942</v>
      </c>
      <c r="N342" s="6">
        <f ca="1">Main[[#This Row],[بدهکار (کیلوگرم)]]-Main[[#This Row],[بدهی تسویه نشده (کیلوگرم)]]</f>
        <v>1942</v>
      </c>
      <c r="O342" s="6">
        <f ca="1">Main[[#This Row],[تفکیک]]</f>
        <v>0</v>
      </c>
      <c r="P342" s="6">
        <f ca="1">IF(Main[[#This Row],[تاخیر از سررسید]]&gt;0,Main[[#This Row],[بدهی تسویه نشده (کیلوگرم)]],0)</f>
        <v>0</v>
      </c>
      <c r="Q342" s="6">
        <f ca="1">IF(Main[[#This Row],[بدهی تسویه نشده (کیلوگرم)]]&gt;0,'گزارش فردی'!$B$7-Main[[#This Row],[تاريخ میلادی]],0)</f>
        <v>0</v>
      </c>
      <c r="R342" s="6">
        <f ca="1">IF(Main[[#This Row],[بدهی تسویه نشده (کیلوگرم)]]&gt;0,'گزارش فردی'!$B$7-Main[[#This Row],[تاريخ میلادی]]-'گزارش فردی'!$B$8,0)</f>
        <v>0</v>
      </c>
      <c r="S342" s="6">
        <f ca="1">Main[[#This Row],[روز از ارسال سفارش]]*Main[[#This Row],[بدهی تسویه نشده (کیلوگرم)]]</f>
        <v>0</v>
      </c>
      <c r="T342" s="6">
        <f ca="1">Main[[#This Row],[بدهی سررسید شده (کیلوگرم)]]*Main[[#This Row],[روز از ارسال سفارش]]</f>
        <v>0</v>
      </c>
      <c r="U342" s="6">
        <f>-SUBTOTAL(9,INDEX(Main[مقدار (کیلوگرم)],1):Main[[#This Row],[مقدار (کیلوگرم)]])</f>
        <v>44854</v>
      </c>
      <c r="V3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2" s="6">
        <f>Main[[#This Row],[تعداد کل روزهای بدهکار (روز)]]*Main[[#This Row],[مانده در خط کل (کیلوگرم)]]</f>
        <v>0</v>
      </c>
      <c r="X342" s="6">
        <f ca="1">-SUBTOTAL(9,INDEX(Main[مقدار تسویه شده (کیلوگرم)],1):Main[[#This Row],[مقدار تسویه شده (کیلوگرم)]])</f>
        <v>44854</v>
      </c>
      <c r="Y342" s="6">
        <f ca="1">IF(Main[[#This Row],[مانده در خط تسویه شده (کیلوگرم)]]&lt;&gt;0,Main[[#This Row],[تعداد کل روزهای بدهکار (روز)]],0)</f>
        <v>0</v>
      </c>
      <c r="Z342" s="6">
        <f ca="1">Main[[#This Row],[تعداد روزهای بدهکار تسویه شده (روز)]]*Main[[#This Row],[مانده در خط تسویه شده (کیلوگرم)]]</f>
        <v>0</v>
      </c>
      <c r="AA342" s="6">
        <f ca="1">SUBTOTAL(9,INDEX(Main[بدهی تسویه نشده (کیلوگرم)],1):Main[[#This Row],[بدهی تسویه نشده (کیلوگرم)]])</f>
        <v>0</v>
      </c>
      <c r="AB342" s="6">
        <f ca="1">IF(Main[[#This Row],[مانده در خط تسویه نشده (کیلوگرم)]]&lt;&gt;0,Main[[#This Row],[تعداد کل روزهای بدهکار (روز)]],0)</f>
        <v>0</v>
      </c>
      <c r="AC342" s="6">
        <f ca="1">Main[[#This Row],[تعداد روزهای بدهکار  تسویه نشده (روز)]]*Main[[#This Row],[مانده در خط تسویه نشده (کیلوگرم)]]</f>
        <v>0</v>
      </c>
      <c r="AD342" s="6">
        <f ca="1">SUBTOTAL(9,INDEX(Main[بدهی سررسید شده (کیلوگرم)],1):Main[[#This Row],[بدهی سررسید شده (کیلوگرم)]])</f>
        <v>0</v>
      </c>
      <c r="AE342" s="6">
        <f ca="1">IF(Main[[#This Row],[مانده در خط سررسید شده (کیلوگرم)]]&lt;&gt;0,Main[[#This Row],[تعداد کل روزهای بدهکار (روز)]],0)</f>
        <v>0</v>
      </c>
      <c r="AF342" s="6">
        <f ca="1">Main[[#This Row],[تعداد روزهای بدهکار سررسید شده (روز)]]*Main[[#This Row],[مانده در خط سررسید شده (کیلوگرم)]]</f>
        <v>0</v>
      </c>
    </row>
    <row r="343" spans="1:32" hidden="1" x14ac:dyDescent="0.35">
      <c r="A343" s="5">
        <f>ROW()-ROW(INDEX(Main[ردیف],1))+1</f>
        <v>341</v>
      </c>
      <c r="B343" s="31">
        <f>SUBTOTAL(2,INDEX(Main[ردیف],1):Main[[#This Row],[ردیف]])</f>
        <v>33</v>
      </c>
      <c r="C343" s="32" t="s">
        <v>538</v>
      </c>
      <c r="D343" s="32" t="str">
        <f>_xlfn.CONCAT("14",Main[[#This Row],[تاريخ]])</f>
        <v>1400/02/12</v>
      </c>
      <c r="E343" s="33">
        <v>44318</v>
      </c>
      <c r="F343" s="32">
        <v>30127</v>
      </c>
      <c r="G343" s="5" t="str">
        <f>INDEX(customer[عنوان],MATCH(Main[[#This Row],[کد ردیابی]],customer[کد],0))</f>
        <v>شیر گاز آذران</v>
      </c>
      <c r="H343">
        <v>15317</v>
      </c>
      <c r="I343" s="6">
        <f ca="1">-Main[[#This Row],[بدهی تسویه شده (کیلوگرم)]]+Main[[#This Row],[بستانکار (کیلوگرم)]]</f>
        <v>15317</v>
      </c>
      <c r="J343" s="6">
        <f>IF(Main[[#This Row],[مقدار (کیلوگرم)]]&gt;0,Main[[#This Row],[مقدار (کیلوگرم)]],0)</f>
        <v>15317</v>
      </c>
      <c r="K343" s="6">
        <f>-IF(Main[[#This Row],[مقدار (کیلوگرم)]]&lt;0,Main[[#This Row],[مقدار (کیلوگرم)]],0)</f>
        <v>0</v>
      </c>
      <c r="L3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3" s="7">
        <f>-IF(AND(Main[[#This Row],[مقدار (کیلوگرم)]]&lt;0,Main[[#This Row],[تاريخ میلادی]]&gt;44276),Main[[#This Row],[مقدار (کیلوگرم)]],0)</f>
        <v>0</v>
      </c>
      <c r="N343" s="6">
        <f ca="1">Main[[#This Row],[بدهکار (کیلوگرم)]]-Main[[#This Row],[بدهی تسویه نشده (کیلوگرم)]]</f>
        <v>0</v>
      </c>
      <c r="O343" s="6">
        <f ca="1">Main[[#This Row],[تفکیک]]</f>
        <v>0</v>
      </c>
      <c r="P343" s="6">
        <f ca="1">IF(Main[[#This Row],[تاخیر از سررسید]]&gt;0,Main[[#This Row],[بدهی تسویه نشده (کیلوگرم)]],0)</f>
        <v>0</v>
      </c>
      <c r="Q343" s="6">
        <f ca="1">IF(Main[[#This Row],[بدهی تسویه نشده (کیلوگرم)]]&gt;0,'گزارش فردی'!$B$7-Main[[#This Row],[تاريخ میلادی]],0)</f>
        <v>0</v>
      </c>
      <c r="R343" s="6">
        <f ca="1">IF(Main[[#This Row],[بدهی تسویه نشده (کیلوگرم)]]&gt;0,'گزارش فردی'!$B$7-Main[[#This Row],[تاريخ میلادی]]-'گزارش فردی'!$B$8,0)</f>
        <v>0</v>
      </c>
      <c r="S343" s="6">
        <f ca="1">Main[[#This Row],[روز از ارسال سفارش]]*Main[[#This Row],[بدهی تسویه نشده (کیلوگرم)]]</f>
        <v>0</v>
      </c>
      <c r="T343" s="6">
        <f ca="1">Main[[#This Row],[بدهی سررسید شده (کیلوگرم)]]*Main[[#This Row],[روز از ارسال سفارش]]</f>
        <v>0</v>
      </c>
      <c r="U343" s="6">
        <f>-SUBTOTAL(9,INDEX(Main[مقدار (کیلوگرم)],1):Main[[#This Row],[مقدار (کیلوگرم)]])</f>
        <v>44854</v>
      </c>
      <c r="V3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3" s="6">
        <f>Main[[#This Row],[تعداد کل روزهای بدهکار (روز)]]*Main[[#This Row],[مانده در خط کل (کیلوگرم)]]</f>
        <v>0</v>
      </c>
      <c r="X343" s="6">
        <f ca="1">-SUBTOTAL(9,INDEX(Main[مقدار تسویه شده (کیلوگرم)],1):Main[[#This Row],[مقدار تسویه شده (کیلوگرم)]])</f>
        <v>44854</v>
      </c>
      <c r="Y343" s="6">
        <f ca="1">IF(Main[[#This Row],[مانده در خط تسویه شده (کیلوگرم)]]&lt;&gt;0,Main[[#This Row],[تعداد کل روزهای بدهکار (روز)]],0)</f>
        <v>0</v>
      </c>
      <c r="Z343" s="6">
        <f ca="1">Main[[#This Row],[تعداد روزهای بدهکار تسویه شده (روز)]]*Main[[#This Row],[مانده در خط تسویه شده (کیلوگرم)]]</f>
        <v>0</v>
      </c>
      <c r="AA343" s="6">
        <f ca="1">SUBTOTAL(9,INDEX(Main[بدهی تسویه نشده (کیلوگرم)],1):Main[[#This Row],[بدهی تسویه نشده (کیلوگرم)]])</f>
        <v>0</v>
      </c>
      <c r="AB343" s="6">
        <f ca="1">IF(Main[[#This Row],[مانده در خط تسویه نشده (کیلوگرم)]]&lt;&gt;0,Main[[#This Row],[تعداد کل روزهای بدهکار (روز)]],0)</f>
        <v>0</v>
      </c>
      <c r="AC343" s="6">
        <f ca="1">Main[[#This Row],[تعداد روزهای بدهکار  تسویه نشده (روز)]]*Main[[#This Row],[مانده در خط تسویه نشده (کیلوگرم)]]</f>
        <v>0</v>
      </c>
      <c r="AD343" s="6">
        <f ca="1">SUBTOTAL(9,INDEX(Main[بدهی سررسید شده (کیلوگرم)],1):Main[[#This Row],[بدهی سررسید شده (کیلوگرم)]])</f>
        <v>0</v>
      </c>
      <c r="AE343" s="6">
        <f ca="1">IF(Main[[#This Row],[مانده در خط سررسید شده (کیلوگرم)]]&lt;&gt;0,Main[[#This Row],[تعداد کل روزهای بدهکار (روز)]],0)</f>
        <v>0</v>
      </c>
      <c r="AF343" s="6">
        <f ca="1">Main[[#This Row],[تعداد روزهای بدهکار سررسید شده (روز)]]*Main[[#This Row],[مانده در خط سررسید شده (کیلوگرم)]]</f>
        <v>0</v>
      </c>
    </row>
    <row r="344" spans="1:32" hidden="1" x14ac:dyDescent="0.35">
      <c r="A344" s="5">
        <f>ROW()-ROW(INDEX(Main[ردیف],1))+1</f>
        <v>342</v>
      </c>
      <c r="B344" s="31">
        <f>SUBTOTAL(2,INDEX(Main[ردیف],1):Main[[#This Row],[ردیف]])</f>
        <v>33</v>
      </c>
      <c r="C344" s="32" t="s">
        <v>538</v>
      </c>
      <c r="D344" s="32" t="str">
        <f>_xlfn.CONCAT("14",Main[[#This Row],[تاريخ]])</f>
        <v>1400/02/12</v>
      </c>
      <c r="E344" s="33">
        <v>44318</v>
      </c>
      <c r="F344" s="32">
        <v>30009</v>
      </c>
      <c r="G344" s="5" t="str">
        <f>INDEX(customer[عنوان],MATCH(Main[[#This Row],[کد ردیابی]],customer[کد],0))</f>
        <v>شرکت ایمن تک پیشرو</v>
      </c>
      <c r="H344">
        <v>-120</v>
      </c>
      <c r="I344" s="6">
        <f ca="1">-Main[[#This Row],[بدهی تسویه شده (کیلوگرم)]]+Main[[#This Row],[بستانکار (کیلوگرم)]]</f>
        <v>-120</v>
      </c>
      <c r="J344" s="6">
        <f>IF(Main[[#This Row],[مقدار (کیلوگرم)]]&gt;0,Main[[#This Row],[مقدار (کیلوگرم)]],0)</f>
        <v>0</v>
      </c>
      <c r="K344" s="6">
        <f>-IF(Main[[#This Row],[مقدار (کیلوگرم)]]&lt;0,Main[[#This Row],[مقدار (کیلوگرم)]],0)</f>
        <v>120</v>
      </c>
      <c r="L3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4" s="7">
        <f>-IF(AND(Main[[#This Row],[مقدار (کیلوگرم)]]&lt;0,Main[[#This Row],[تاريخ میلادی]]&gt;44276),Main[[#This Row],[مقدار (کیلوگرم)]],0)</f>
        <v>120</v>
      </c>
      <c r="N344" s="6">
        <f ca="1">Main[[#This Row],[بدهکار (کیلوگرم)]]-Main[[#This Row],[بدهی تسویه نشده (کیلوگرم)]]</f>
        <v>120</v>
      </c>
      <c r="O344" s="6">
        <f ca="1">Main[[#This Row],[تفکیک]]</f>
        <v>0</v>
      </c>
      <c r="P344" s="6">
        <f ca="1">IF(Main[[#This Row],[تاخیر از سررسید]]&gt;0,Main[[#This Row],[بدهی تسویه نشده (کیلوگرم)]],0)</f>
        <v>0</v>
      </c>
      <c r="Q344" s="6">
        <f ca="1">IF(Main[[#This Row],[بدهی تسویه نشده (کیلوگرم)]]&gt;0,'گزارش فردی'!$B$7-Main[[#This Row],[تاريخ میلادی]],0)</f>
        <v>0</v>
      </c>
      <c r="R344" s="6">
        <f ca="1">IF(Main[[#This Row],[بدهی تسویه نشده (کیلوگرم)]]&gt;0,'گزارش فردی'!$B$7-Main[[#This Row],[تاريخ میلادی]]-'گزارش فردی'!$B$8,0)</f>
        <v>0</v>
      </c>
      <c r="S344" s="6">
        <f ca="1">Main[[#This Row],[روز از ارسال سفارش]]*Main[[#This Row],[بدهی تسویه نشده (کیلوگرم)]]</f>
        <v>0</v>
      </c>
      <c r="T344" s="6">
        <f ca="1">Main[[#This Row],[بدهی سررسید شده (کیلوگرم)]]*Main[[#This Row],[روز از ارسال سفارش]]</f>
        <v>0</v>
      </c>
      <c r="U344" s="6">
        <f>-SUBTOTAL(9,INDEX(Main[مقدار (کیلوگرم)],1):Main[[#This Row],[مقدار (کیلوگرم)]])</f>
        <v>44854</v>
      </c>
      <c r="V3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4" s="6">
        <f>Main[[#This Row],[تعداد کل روزهای بدهکار (روز)]]*Main[[#This Row],[مانده در خط کل (کیلوگرم)]]</f>
        <v>0</v>
      </c>
      <c r="X344" s="6">
        <f ca="1">-SUBTOTAL(9,INDEX(Main[مقدار تسویه شده (کیلوگرم)],1):Main[[#This Row],[مقدار تسویه شده (کیلوگرم)]])</f>
        <v>44854</v>
      </c>
      <c r="Y344" s="6">
        <f ca="1">IF(Main[[#This Row],[مانده در خط تسویه شده (کیلوگرم)]]&lt;&gt;0,Main[[#This Row],[تعداد کل روزهای بدهکار (روز)]],0)</f>
        <v>0</v>
      </c>
      <c r="Z344" s="6">
        <f ca="1">Main[[#This Row],[تعداد روزهای بدهکار تسویه شده (روز)]]*Main[[#This Row],[مانده در خط تسویه شده (کیلوگرم)]]</f>
        <v>0</v>
      </c>
      <c r="AA344" s="6">
        <f ca="1">SUBTOTAL(9,INDEX(Main[بدهی تسویه نشده (کیلوگرم)],1):Main[[#This Row],[بدهی تسویه نشده (کیلوگرم)]])</f>
        <v>0</v>
      </c>
      <c r="AB344" s="6">
        <f ca="1">IF(Main[[#This Row],[مانده در خط تسویه نشده (کیلوگرم)]]&lt;&gt;0,Main[[#This Row],[تعداد کل روزهای بدهکار (روز)]],0)</f>
        <v>0</v>
      </c>
      <c r="AC344" s="6">
        <f ca="1">Main[[#This Row],[تعداد روزهای بدهکار  تسویه نشده (روز)]]*Main[[#This Row],[مانده در خط تسویه نشده (کیلوگرم)]]</f>
        <v>0</v>
      </c>
      <c r="AD344" s="6">
        <f ca="1">SUBTOTAL(9,INDEX(Main[بدهی سررسید شده (کیلوگرم)],1):Main[[#This Row],[بدهی سررسید شده (کیلوگرم)]])</f>
        <v>0</v>
      </c>
      <c r="AE344" s="6">
        <f ca="1">IF(Main[[#This Row],[مانده در خط سررسید شده (کیلوگرم)]]&lt;&gt;0,Main[[#This Row],[تعداد کل روزهای بدهکار (روز)]],0)</f>
        <v>0</v>
      </c>
      <c r="AF344" s="6">
        <f ca="1">Main[[#This Row],[تعداد روزهای بدهکار سررسید شده (روز)]]*Main[[#This Row],[مانده در خط سررسید شده (کیلوگرم)]]</f>
        <v>0</v>
      </c>
    </row>
    <row r="345" spans="1:32" hidden="1" x14ac:dyDescent="0.35">
      <c r="A345" s="5">
        <f>ROW()-ROW(INDEX(Main[ردیف],1))+1</f>
        <v>343</v>
      </c>
      <c r="B345" s="31">
        <f>SUBTOTAL(2,INDEX(Main[ردیف],1):Main[[#This Row],[ردیف]])</f>
        <v>33</v>
      </c>
      <c r="C345" s="32" t="s">
        <v>538</v>
      </c>
      <c r="D345" s="32" t="str">
        <f>_xlfn.CONCAT("14",Main[[#This Row],[تاريخ]])</f>
        <v>1400/02/12</v>
      </c>
      <c r="E345" s="33">
        <v>44318</v>
      </c>
      <c r="F345" s="32">
        <v>30009</v>
      </c>
      <c r="G345" s="5" t="str">
        <f>INDEX(customer[عنوان],MATCH(Main[[#This Row],[کد ردیابی]],customer[کد],0))</f>
        <v>شرکت ایمن تک پیشرو</v>
      </c>
      <c r="H345">
        <v>1074</v>
      </c>
      <c r="I345" s="6">
        <f ca="1">-Main[[#This Row],[بدهی تسویه شده (کیلوگرم)]]+Main[[#This Row],[بستانکار (کیلوگرم)]]</f>
        <v>1074</v>
      </c>
      <c r="J345" s="6">
        <f>IF(Main[[#This Row],[مقدار (کیلوگرم)]]&gt;0,Main[[#This Row],[مقدار (کیلوگرم)]],0)</f>
        <v>1074</v>
      </c>
      <c r="K345" s="6">
        <f>-IF(Main[[#This Row],[مقدار (کیلوگرم)]]&lt;0,Main[[#This Row],[مقدار (کیلوگرم)]],0)</f>
        <v>0</v>
      </c>
      <c r="L3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5" s="7">
        <f>-IF(AND(Main[[#This Row],[مقدار (کیلوگرم)]]&lt;0,Main[[#This Row],[تاريخ میلادی]]&gt;44276),Main[[#This Row],[مقدار (کیلوگرم)]],0)</f>
        <v>0</v>
      </c>
      <c r="N345" s="6">
        <f ca="1">Main[[#This Row],[بدهکار (کیلوگرم)]]-Main[[#This Row],[بدهی تسویه نشده (کیلوگرم)]]</f>
        <v>0</v>
      </c>
      <c r="O345" s="6">
        <f ca="1">Main[[#This Row],[تفکیک]]</f>
        <v>0</v>
      </c>
      <c r="P345" s="6">
        <f ca="1">IF(Main[[#This Row],[تاخیر از سررسید]]&gt;0,Main[[#This Row],[بدهی تسویه نشده (کیلوگرم)]],0)</f>
        <v>0</v>
      </c>
      <c r="Q345" s="6">
        <f ca="1">IF(Main[[#This Row],[بدهی تسویه نشده (کیلوگرم)]]&gt;0,'گزارش فردی'!$B$7-Main[[#This Row],[تاريخ میلادی]],0)</f>
        <v>0</v>
      </c>
      <c r="R345" s="6">
        <f ca="1">IF(Main[[#This Row],[بدهی تسویه نشده (کیلوگرم)]]&gt;0,'گزارش فردی'!$B$7-Main[[#This Row],[تاريخ میلادی]]-'گزارش فردی'!$B$8,0)</f>
        <v>0</v>
      </c>
      <c r="S345" s="6">
        <f ca="1">Main[[#This Row],[روز از ارسال سفارش]]*Main[[#This Row],[بدهی تسویه نشده (کیلوگرم)]]</f>
        <v>0</v>
      </c>
      <c r="T345" s="6">
        <f ca="1">Main[[#This Row],[بدهی سررسید شده (کیلوگرم)]]*Main[[#This Row],[روز از ارسال سفارش]]</f>
        <v>0</v>
      </c>
      <c r="U345" s="6">
        <f>-SUBTOTAL(9,INDEX(Main[مقدار (کیلوگرم)],1):Main[[#This Row],[مقدار (کیلوگرم)]])</f>
        <v>44854</v>
      </c>
      <c r="V3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5" s="6">
        <f>Main[[#This Row],[تعداد کل روزهای بدهکار (روز)]]*Main[[#This Row],[مانده در خط کل (کیلوگرم)]]</f>
        <v>0</v>
      </c>
      <c r="X345" s="6">
        <f ca="1">-SUBTOTAL(9,INDEX(Main[مقدار تسویه شده (کیلوگرم)],1):Main[[#This Row],[مقدار تسویه شده (کیلوگرم)]])</f>
        <v>44854</v>
      </c>
      <c r="Y345" s="6">
        <f ca="1">IF(Main[[#This Row],[مانده در خط تسویه شده (کیلوگرم)]]&lt;&gt;0,Main[[#This Row],[تعداد کل روزهای بدهکار (روز)]],0)</f>
        <v>0</v>
      </c>
      <c r="Z345" s="6">
        <f ca="1">Main[[#This Row],[تعداد روزهای بدهکار تسویه شده (روز)]]*Main[[#This Row],[مانده در خط تسویه شده (کیلوگرم)]]</f>
        <v>0</v>
      </c>
      <c r="AA345" s="6">
        <f ca="1">SUBTOTAL(9,INDEX(Main[بدهی تسویه نشده (کیلوگرم)],1):Main[[#This Row],[بدهی تسویه نشده (کیلوگرم)]])</f>
        <v>0</v>
      </c>
      <c r="AB345" s="6">
        <f ca="1">IF(Main[[#This Row],[مانده در خط تسویه نشده (کیلوگرم)]]&lt;&gt;0,Main[[#This Row],[تعداد کل روزهای بدهکار (روز)]],0)</f>
        <v>0</v>
      </c>
      <c r="AC345" s="6">
        <f ca="1">Main[[#This Row],[تعداد روزهای بدهکار  تسویه نشده (روز)]]*Main[[#This Row],[مانده در خط تسویه نشده (کیلوگرم)]]</f>
        <v>0</v>
      </c>
      <c r="AD345" s="6">
        <f ca="1">SUBTOTAL(9,INDEX(Main[بدهی سررسید شده (کیلوگرم)],1):Main[[#This Row],[بدهی سررسید شده (کیلوگرم)]])</f>
        <v>0</v>
      </c>
      <c r="AE345" s="6">
        <f ca="1">IF(Main[[#This Row],[مانده در خط سررسید شده (کیلوگرم)]]&lt;&gt;0,Main[[#This Row],[تعداد کل روزهای بدهکار (روز)]],0)</f>
        <v>0</v>
      </c>
      <c r="AF345" s="6">
        <f ca="1">Main[[#This Row],[تعداد روزهای بدهکار سررسید شده (روز)]]*Main[[#This Row],[مانده در خط سررسید شده (کیلوگرم)]]</f>
        <v>0</v>
      </c>
    </row>
    <row r="346" spans="1:32" hidden="1" x14ac:dyDescent="0.35">
      <c r="A346" s="5">
        <f>ROW()-ROW(INDEX(Main[ردیف],1))+1</f>
        <v>344</v>
      </c>
      <c r="B346" s="31">
        <f>SUBTOTAL(2,INDEX(Main[ردیف],1):Main[[#This Row],[ردیف]])</f>
        <v>33</v>
      </c>
      <c r="C346" s="32" t="s">
        <v>538</v>
      </c>
      <c r="D346" s="32" t="str">
        <f>_xlfn.CONCAT("14",Main[[#This Row],[تاريخ]])</f>
        <v>1400/02/12</v>
      </c>
      <c r="E346" s="33">
        <v>44318</v>
      </c>
      <c r="F346" s="32">
        <v>30004</v>
      </c>
      <c r="G346" s="5" t="str">
        <f>INDEX(customer[عنوان],MATCH(Main[[#This Row],[کد ردیابی]],customer[کد],0))</f>
        <v>تولیدی صنعتی صفاشیر پارس</v>
      </c>
      <c r="H346">
        <v>-3646</v>
      </c>
      <c r="I346" s="6">
        <f ca="1">-Main[[#This Row],[بدهی تسویه شده (کیلوگرم)]]+Main[[#This Row],[بستانکار (کیلوگرم)]]</f>
        <v>-3646</v>
      </c>
      <c r="J346" s="6">
        <f>IF(Main[[#This Row],[مقدار (کیلوگرم)]]&gt;0,Main[[#This Row],[مقدار (کیلوگرم)]],0)</f>
        <v>0</v>
      </c>
      <c r="K346" s="6">
        <f>-IF(Main[[#This Row],[مقدار (کیلوگرم)]]&lt;0,Main[[#This Row],[مقدار (کیلوگرم)]],0)</f>
        <v>3646</v>
      </c>
      <c r="L3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6" s="7">
        <f>-IF(AND(Main[[#This Row],[مقدار (کیلوگرم)]]&lt;0,Main[[#This Row],[تاريخ میلادی]]&gt;44276),Main[[#This Row],[مقدار (کیلوگرم)]],0)</f>
        <v>3646</v>
      </c>
      <c r="N346" s="6">
        <f ca="1">Main[[#This Row],[بدهکار (کیلوگرم)]]-Main[[#This Row],[بدهی تسویه نشده (کیلوگرم)]]</f>
        <v>3646</v>
      </c>
      <c r="O346" s="6">
        <f ca="1">Main[[#This Row],[تفکیک]]</f>
        <v>0</v>
      </c>
      <c r="P346" s="6">
        <f ca="1">IF(Main[[#This Row],[تاخیر از سررسید]]&gt;0,Main[[#This Row],[بدهی تسویه نشده (کیلوگرم)]],0)</f>
        <v>0</v>
      </c>
      <c r="Q346" s="6">
        <f ca="1">IF(Main[[#This Row],[بدهی تسویه نشده (کیلوگرم)]]&gt;0,'گزارش فردی'!$B$7-Main[[#This Row],[تاريخ میلادی]],0)</f>
        <v>0</v>
      </c>
      <c r="R346" s="6">
        <f ca="1">IF(Main[[#This Row],[بدهی تسویه نشده (کیلوگرم)]]&gt;0,'گزارش فردی'!$B$7-Main[[#This Row],[تاريخ میلادی]]-'گزارش فردی'!$B$8,0)</f>
        <v>0</v>
      </c>
      <c r="S346" s="6">
        <f ca="1">Main[[#This Row],[روز از ارسال سفارش]]*Main[[#This Row],[بدهی تسویه نشده (کیلوگرم)]]</f>
        <v>0</v>
      </c>
      <c r="T346" s="6">
        <f ca="1">Main[[#This Row],[بدهی سررسید شده (کیلوگرم)]]*Main[[#This Row],[روز از ارسال سفارش]]</f>
        <v>0</v>
      </c>
      <c r="U346" s="6">
        <f>-SUBTOTAL(9,INDEX(Main[مقدار (کیلوگرم)],1):Main[[#This Row],[مقدار (کیلوگرم)]])</f>
        <v>44854</v>
      </c>
      <c r="V3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6" s="6">
        <f>Main[[#This Row],[تعداد کل روزهای بدهکار (روز)]]*Main[[#This Row],[مانده در خط کل (کیلوگرم)]]</f>
        <v>0</v>
      </c>
      <c r="X346" s="6">
        <f ca="1">-SUBTOTAL(9,INDEX(Main[مقدار تسویه شده (کیلوگرم)],1):Main[[#This Row],[مقدار تسویه شده (کیلوگرم)]])</f>
        <v>44854</v>
      </c>
      <c r="Y346" s="6">
        <f ca="1">IF(Main[[#This Row],[مانده در خط تسویه شده (کیلوگرم)]]&lt;&gt;0,Main[[#This Row],[تعداد کل روزهای بدهکار (روز)]],0)</f>
        <v>0</v>
      </c>
      <c r="Z346" s="6">
        <f ca="1">Main[[#This Row],[تعداد روزهای بدهکار تسویه شده (روز)]]*Main[[#This Row],[مانده در خط تسویه شده (کیلوگرم)]]</f>
        <v>0</v>
      </c>
      <c r="AA346" s="6">
        <f ca="1">SUBTOTAL(9,INDEX(Main[بدهی تسویه نشده (کیلوگرم)],1):Main[[#This Row],[بدهی تسویه نشده (کیلوگرم)]])</f>
        <v>0</v>
      </c>
      <c r="AB346" s="6">
        <f ca="1">IF(Main[[#This Row],[مانده در خط تسویه نشده (کیلوگرم)]]&lt;&gt;0,Main[[#This Row],[تعداد کل روزهای بدهکار (روز)]],0)</f>
        <v>0</v>
      </c>
      <c r="AC346" s="6">
        <f ca="1">Main[[#This Row],[تعداد روزهای بدهکار  تسویه نشده (روز)]]*Main[[#This Row],[مانده در خط تسویه نشده (کیلوگرم)]]</f>
        <v>0</v>
      </c>
      <c r="AD346" s="6">
        <f ca="1">SUBTOTAL(9,INDEX(Main[بدهی سررسید شده (کیلوگرم)],1):Main[[#This Row],[بدهی سررسید شده (کیلوگرم)]])</f>
        <v>0</v>
      </c>
      <c r="AE346" s="6">
        <f ca="1">IF(Main[[#This Row],[مانده در خط سررسید شده (کیلوگرم)]]&lt;&gt;0,Main[[#This Row],[تعداد کل روزهای بدهکار (روز)]],0)</f>
        <v>0</v>
      </c>
      <c r="AF346" s="6">
        <f ca="1">Main[[#This Row],[تعداد روزهای بدهکار سررسید شده (روز)]]*Main[[#This Row],[مانده در خط سررسید شده (کیلوگرم)]]</f>
        <v>0</v>
      </c>
    </row>
    <row r="347" spans="1:32" x14ac:dyDescent="0.35">
      <c r="A347" s="5">
        <f>ROW()-ROW(INDEX(Main[ردیف],1))+1</f>
        <v>345</v>
      </c>
      <c r="B347" s="31">
        <f>SUBTOTAL(2,INDEX(Main[ردیف],1):Main[[#This Row],[ردیف]])</f>
        <v>34</v>
      </c>
      <c r="C347" s="32" t="s">
        <v>538</v>
      </c>
      <c r="D347" s="32" t="str">
        <f>_xlfn.CONCAT("14",Main[[#This Row],[تاريخ]])</f>
        <v>1400/02/12</v>
      </c>
      <c r="E347" s="33">
        <v>44318</v>
      </c>
      <c r="F347" s="32">
        <v>10003</v>
      </c>
      <c r="G347" s="5" t="str">
        <f>INDEX(customer[عنوان],MATCH(Main[[#This Row],[کد ردیابی]],customer[کد],0))</f>
        <v>اصغر نورعلی</v>
      </c>
      <c r="H347">
        <v>1676</v>
      </c>
      <c r="I347" s="6">
        <f ca="1">-Main[[#This Row],[بدهی تسویه شده (کیلوگرم)]]+Main[[#This Row],[بستانکار (کیلوگرم)]]</f>
        <v>1676</v>
      </c>
      <c r="J347" s="6">
        <f>IF(Main[[#This Row],[مقدار (کیلوگرم)]]&gt;0,Main[[#This Row],[مقدار (کیلوگرم)]],0)</f>
        <v>1676</v>
      </c>
      <c r="K347" s="6">
        <f>-IF(Main[[#This Row],[مقدار (کیلوگرم)]]&lt;0,Main[[#This Row],[مقدار (کیلوگرم)]],0)</f>
        <v>0</v>
      </c>
      <c r="L3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7" s="7">
        <f>-IF(AND(Main[[#This Row],[مقدار (کیلوگرم)]]&lt;0,Main[[#This Row],[تاريخ میلادی]]&gt;44276),Main[[#This Row],[مقدار (کیلوگرم)]],0)</f>
        <v>0</v>
      </c>
      <c r="N347" s="6">
        <f ca="1">Main[[#This Row],[بدهکار (کیلوگرم)]]-Main[[#This Row],[بدهی تسویه نشده (کیلوگرم)]]</f>
        <v>0</v>
      </c>
      <c r="O347" s="6">
        <f ca="1">Main[[#This Row],[تفکیک]]</f>
        <v>0</v>
      </c>
      <c r="P347" s="6">
        <f ca="1">IF(Main[[#This Row],[تاخیر از سررسید]]&gt;0,Main[[#This Row],[بدهی تسویه نشده (کیلوگرم)]],0)</f>
        <v>0</v>
      </c>
      <c r="Q347" s="6">
        <f ca="1">IF(Main[[#This Row],[بدهی تسویه نشده (کیلوگرم)]]&gt;0,'گزارش فردی'!$B$7-Main[[#This Row],[تاريخ میلادی]],0)</f>
        <v>0</v>
      </c>
      <c r="R347" s="6">
        <f ca="1">IF(Main[[#This Row],[بدهی تسویه نشده (کیلوگرم)]]&gt;0,'گزارش فردی'!$B$7-Main[[#This Row],[تاريخ میلادی]]-'گزارش فردی'!$B$8,0)</f>
        <v>0</v>
      </c>
      <c r="S347" s="6">
        <f ca="1">Main[[#This Row],[روز از ارسال سفارش]]*Main[[#This Row],[بدهی تسویه نشده (کیلوگرم)]]</f>
        <v>0</v>
      </c>
      <c r="T347" s="6">
        <f ca="1">Main[[#This Row],[بدهی سررسید شده (کیلوگرم)]]*Main[[#This Row],[روز از ارسال سفارش]]</f>
        <v>0</v>
      </c>
      <c r="U347" s="6">
        <f>-SUBTOTAL(9,INDEX(Main[مقدار (کیلوگرم)],1):Main[[#This Row],[مقدار (کیلوگرم)]])</f>
        <v>43178</v>
      </c>
      <c r="V3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47" s="6">
        <f>Main[[#This Row],[تعداد کل روزهای بدهکار (روز)]]*Main[[#This Row],[مانده در خط کل (کیلوگرم)]]</f>
        <v>43178</v>
      </c>
      <c r="X347" s="6">
        <f ca="1">-SUBTOTAL(9,INDEX(Main[مقدار تسویه شده (کیلوگرم)],1):Main[[#This Row],[مقدار تسویه شده (کیلوگرم)]])</f>
        <v>43178</v>
      </c>
      <c r="Y347" s="6">
        <f ca="1">IF(Main[[#This Row],[مانده در خط تسویه شده (کیلوگرم)]]&lt;&gt;0,Main[[#This Row],[تعداد کل روزهای بدهکار (روز)]],0)</f>
        <v>1</v>
      </c>
      <c r="Z347" s="6">
        <f ca="1">Main[[#This Row],[تعداد روزهای بدهکار تسویه شده (روز)]]*Main[[#This Row],[مانده در خط تسویه شده (کیلوگرم)]]</f>
        <v>43178</v>
      </c>
      <c r="AA347" s="6">
        <f ca="1">SUBTOTAL(9,INDEX(Main[بدهی تسویه نشده (کیلوگرم)],1):Main[[#This Row],[بدهی تسویه نشده (کیلوگرم)]])</f>
        <v>0</v>
      </c>
      <c r="AB347" s="6">
        <f ca="1">IF(Main[[#This Row],[مانده در خط تسویه نشده (کیلوگرم)]]&lt;&gt;0,Main[[#This Row],[تعداد کل روزهای بدهکار (روز)]],0)</f>
        <v>0</v>
      </c>
      <c r="AC347" s="6">
        <f ca="1">Main[[#This Row],[تعداد روزهای بدهکار  تسویه نشده (روز)]]*Main[[#This Row],[مانده در خط تسویه نشده (کیلوگرم)]]</f>
        <v>0</v>
      </c>
      <c r="AD347" s="6">
        <f ca="1">SUBTOTAL(9,INDEX(Main[بدهی سررسید شده (کیلوگرم)],1):Main[[#This Row],[بدهی سررسید شده (کیلوگرم)]])</f>
        <v>0</v>
      </c>
      <c r="AE347" s="6">
        <f ca="1">IF(Main[[#This Row],[مانده در خط سررسید شده (کیلوگرم)]]&lt;&gt;0,Main[[#This Row],[تعداد کل روزهای بدهکار (روز)]],0)</f>
        <v>0</v>
      </c>
      <c r="AF347" s="6">
        <f ca="1">Main[[#This Row],[تعداد روزهای بدهکار سررسید شده (روز)]]*Main[[#This Row],[مانده در خط سررسید شده (کیلوگرم)]]</f>
        <v>0</v>
      </c>
    </row>
    <row r="348" spans="1:32" hidden="1" x14ac:dyDescent="0.35">
      <c r="A348" s="5">
        <f>ROW()-ROW(INDEX(Main[ردیف],1))+1</f>
        <v>346</v>
      </c>
      <c r="B348" s="31">
        <f>SUBTOTAL(2,INDEX(Main[ردیف],1):Main[[#This Row],[ردیف]])</f>
        <v>34</v>
      </c>
      <c r="C348" s="32" t="s">
        <v>538</v>
      </c>
      <c r="D348" s="32" t="str">
        <f>_xlfn.CONCAT("14",Main[[#This Row],[تاريخ]])</f>
        <v>1400/02/12</v>
      </c>
      <c r="E348" s="33">
        <v>44318</v>
      </c>
      <c r="F348" s="32">
        <v>30017</v>
      </c>
      <c r="G348" s="5" t="str">
        <f>INDEX(customer[عنوان],MATCH(Main[[#This Row],[کد ردیابی]],customer[کد],0))</f>
        <v xml:space="preserve">البرز یدک </v>
      </c>
      <c r="H348">
        <v>2047</v>
      </c>
      <c r="I348" s="6">
        <f ca="1">-Main[[#This Row],[بدهی تسویه شده (کیلوگرم)]]+Main[[#This Row],[بستانکار (کیلوگرم)]]</f>
        <v>2047</v>
      </c>
      <c r="J348" s="6">
        <f>IF(Main[[#This Row],[مقدار (کیلوگرم)]]&gt;0,Main[[#This Row],[مقدار (کیلوگرم)]],0)</f>
        <v>2047</v>
      </c>
      <c r="K348" s="6">
        <f>-IF(Main[[#This Row],[مقدار (کیلوگرم)]]&lt;0,Main[[#This Row],[مقدار (کیلوگرم)]],0)</f>
        <v>0</v>
      </c>
      <c r="L3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8" s="7">
        <f>-IF(AND(Main[[#This Row],[مقدار (کیلوگرم)]]&lt;0,Main[[#This Row],[تاريخ میلادی]]&gt;44276),Main[[#This Row],[مقدار (کیلوگرم)]],0)</f>
        <v>0</v>
      </c>
      <c r="N348" s="6">
        <f ca="1">Main[[#This Row],[بدهکار (کیلوگرم)]]-Main[[#This Row],[بدهی تسویه نشده (کیلوگرم)]]</f>
        <v>0</v>
      </c>
      <c r="O348" s="6">
        <f ca="1">Main[[#This Row],[تفکیک]]</f>
        <v>0</v>
      </c>
      <c r="P348" s="6">
        <f ca="1">IF(Main[[#This Row],[تاخیر از سررسید]]&gt;0,Main[[#This Row],[بدهی تسویه نشده (کیلوگرم)]],0)</f>
        <v>0</v>
      </c>
      <c r="Q348" s="6">
        <f ca="1">IF(Main[[#This Row],[بدهی تسویه نشده (کیلوگرم)]]&gt;0,'گزارش فردی'!$B$7-Main[[#This Row],[تاريخ میلادی]],0)</f>
        <v>0</v>
      </c>
      <c r="R348" s="6">
        <f ca="1">IF(Main[[#This Row],[بدهی تسویه نشده (کیلوگرم)]]&gt;0,'گزارش فردی'!$B$7-Main[[#This Row],[تاريخ میلادی]]-'گزارش فردی'!$B$8,0)</f>
        <v>0</v>
      </c>
      <c r="S348" s="6">
        <f ca="1">Main[[#This Row],[روز از ارسال سفارش]]*Main[[#This Row],[بدهی تسویه نشده (کیلوگرم)]]</f>
        <v>0</v>
      </c>
      <c r="T348" s="6">
        <f ca="1">Main[[#This Row],[بدهی سررسید شده (کیلوگرم)]]*Main[[#This Row],[روز از ارسال سفارش]]</f>
        <v>0</v>
      </c>
      <c r="U348" s="6">
        <f>-SUBTOTAL(9,INDEX(Main[مقدار (کیلوگرم)],1):Main[[#This Row],[مقدار (کیلوگرم)]])</f>
        <v>43178</v>
      </c>
      <c r="V3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48" s="6">
        <f>Main[[#This Row],[تعداد کل روزهای بدهکار (روز)]]*Main[[#This Row],[مانده در خط کل (کیلوگرم)]]</f>
        <v>43178</v>
      </c>
      <c r="X348" s="6">
        <f ca="1">-SUBTOTAL(9,INDEX(Main[مقدار تسویه شده (کیلوگرم)],1):Main[[#This Row],[مقدار تسویه شده (کیلوگرم)]])</f>
        <v>43178</v>
      </c>
      <c r="Y348" s="6">
        <f ca="1">IF(Main[[#This Row],[مانده در خط تسویه شده (کیلوگرم)]]&lt;&gt;0,Main[[#This Row],[تعداد کل روزهای بدهکار (روز)]],0)</f>
        <v>1</v>
      </c>
      <c r="Z348" s="6">
        <f ca="1">Main[[#This Row],[تعداد روزهای بدهکار تسویه شده (روز)]]*Main[[#This Row],[مانده در خط تسویه شده (کیلوگرم)]]</f>
        <v>43178</v>
      </c>
      <c r="AA348" s="6">
        <f ca="1">SUBTOTAL(9,INDEX(Main[بدهی تسویه نشده (کیلوگرم)],1):Main[[#This Row],[بدهی تسویه نشده (کیلوگرم)]])</f>
        <v>0</v>
      </c>
      <c r="AB348" s="6">
        <f ca="1">IF(Main[[#This Row],[مانده در خط تسویه نشده (کیلوگرم)]]&lt;&gt;0,Main[[#This Row],[تعداد کل روزهای بدهکار (روز)]],0)</f>
        <v>0</v>
      </c>
      <c r="AC348" s="6">
        <f ca="1">Main[[#This Row],[تعداد روزهای بدهکار  تسویه نشده (روز)]]*Main[[#This Row],[مانده در خط تسویه نشده (کیلوگرم)]]</f>
        <v>0</v>
      </c>
      <c r="AD348" s="6">
        <f ca="1">SUBTOTAL(9,INDEX(Main[بدهی سررسید شده (کیلوگرم)],1):Main[[#This Row],[بدهی سررسید شده (کیلوگرم)]])</f>
        <v>0</v>
      </c>
      <c r="AE348" s="6">
        <f ca="1">IF(Main[[#This Row],[مانده در خط سررسید شده (کیلوگرم)]]&lt;&gt;0,Main[[#This Row],[تعداد کل روزهای بدهکار (روز)]],0)</f>
        <v>0</v>
      </c>
      <c r="AF348" s="6">
        <f ca="1">Main[[#This Row],[تعداد روزهای بدهکار سررسید شده (روز)]]*Main[[#This Row],[مانده در خط سررسید شده (کیلوگرم)]]</f>
        <v>0</v>
      </c>
    </row>
    <row r="349" spans="1:32" hidden="1" x14ac:dyDescent="0.35">
      <c r="A349" s="5">
        <f>ROW()-ROW(INDEX(Main[ردیف],1))+1</f>
        <v>347</v>
      </c>
      <c r="B349" s="31">
        <f>SUBTOTAL(2,INDEX(Main[ردیف],1):Main[[#This Row],[ردیف]])</f>
        <v>34</v>
      </c>
      <c r="C349" s="32" t="s">
        <v>538</v>
      </c>
      <c r="D349" s="32" t="str">
        <f>_xlfn.CONCAT("14",Main[[#This Row],[تاريخ]])</f>
        <v>1400/02/12</v>
      </c>
      <c r="E349" s="33">
        <v>44318</v>
      </c>
      <c r="F349" s="32">
        <v>30174</v>
      </c>
      <c r="G349" s="5" t="str">
        <f>INDEX(customer[عنوان],MATCH(Main[[#This Row],[کد ردیابی]],customer[کد],0))</f>
        <v>شیرآلات مهرآرا</v>
      </c>
      <c r="H349">
        <v>244</v>
      </c>
      <c r="I349" s="6">
        <f ca="1">-Main[[#This Row],[بدهی تسویه شده (کیلوگرم)]]+Main[[#This Row],[بستانکار (کیلوگرم)]]</f>
        <v>244</v>
      </c>
      <c r="J349" s="6">
        <f>IF(Main[[#This Row],[مقدار (کیلوگرم)]]&gt;0,Main[[#This Row],[مقدار (کیلوگرم)]],0)</f>
        <v>244</v>
      </c>
      <c r="K349" s="6">
        <f>-IF(Main[[#This Row],[مقدار (کیلوگرم)]]&lt;0,Main[[#This Row],[مقدار (کیلوگرم)]],0)</f>
        <v>0</v>
      </c>
      <c r="L3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9" s="7">
        <f>-IF(AND(Main[[#This Row],[مقدار (کیلوگرم)]]&lt;0,Main[[#This Row],[تاريخ میلادی]]&gt;44276),Main[[#This Row],[مقدار (کیلوگرم)]],0)</f>
        <v>0</v>
      </c>
      <c r="N349" s="6">
        <f ca="1">Main[[#This Row],[بدهکار (کیلوگرم)]]-Main[[#This Row],[بدهی تسویه نشده (کیلوگرم)]]</f>
        <v>0</v>
      </c>
      <c r="O349" s="6">
        <f ca="1">Main[[#This Row],[تفکیک]]</f>
        <v>0</v>
      </c>
      <c r="P349" s="6">
        <f ca="1">IF(Main[[#This Row],[تاخیر از سررسید]]&gt;0,Main[[#This Row],[بدهی تسویه نشده (کیلوگرم)]],0)</f>
        <v>0</v>
      </c>
      <c r="Q349" s="6">
        <f ca="1">IF(Main[[#This Row],[بدهی تسویه نشده (کیلوگرم)]]&gt;0,'گزارش فردی'!$B$7-Main[[#This Row],[تاريخ میلادی]],0)</f>
        <v>0</v>
      </c>
      <c r="R349" s="6">
        <f ca="1">IF(Main[[#This Row],[بدهی تسویه نشده (کیلوگرم)]]&gt;0,'گزارش فردی'!$B$7-Main[[#This Row],[تاريخ میلادی]]-'گزارش فردی'!$B$8,0)</f>
        <v>0</v>
      </c>
      <c r="S349" s="6">
        <f ca="1">Main[[#This Row],[روز از ارسال سفارش]]*Main[[#This Row],[بدهی تسویه نشده (کیلوگرم)]]</f>
        <v>0</v>
      </c>
      <c r="T349" s="6">
        <f ca="1">Main[[#This Row],[بدهی سررسید شده (کیلوگرم)]]*Main[[#This Row],[روز از ارسال سفارش]]</f>
        <v>0</v>
      </c>
      <c r="U349" s="6">
        <f>-SUBTOTAL(9,INDEX(Main[مقدار (کیلوگرم)],1):Main[[#This Row],[مقدار (کیلوگرم)]])</f>
        <v>43178</v>
      </c>
      <c r="V3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49" s="6">
        <f>Main[[#This Row],[تعداد کل روزهای بدهکار (روز)]]*Main[[#This Row],[مانده در خط کل (کیلوگرم)]]</f>
        <v>43178</v>
      </c>
      <c r="X349" s="6">
        <f ca="1">-SUBTOTAL(9,INDEX(Main[مقدار تسویه شده (کیلوگرم)],1):Main[[#This Row],[مقدار تسویه شده (کیلوگرم)]])</f>
        <v>43178</v>
      </c>
      <c r="Y349" s="6">
        <f ca="1">IF(Main[[#This Row],[مانده در خط تسویه شده (کیلوگرم)]]&lt;&gt;0,Main[[#This Row],[تعداد کل روزهای بدهکار (روز)]],0)</f>
        <v>1</v>
      </c>
      <c r="Z349" s="6">
        <f ca="1">Main[[#This Row],[تعداد روزهای بدهکار تسویه شده (روز)]]*Main[[#This Row],[مانده در خط تسویه شده (کیلوگرم)]]</f>
        <v>43178</v>
      </c>
      <c r="AA349" s="6">
        <f ca="1">SUBTOTAL(9,INDEX(Main[بدهی تسویه نشده (کیلوگرم)],1):Main[[#This Row],[بدهی تسویه نشده (کیلوگرم)]])</f>
        <v>0</v>
      </c>
      <c r="AB349" s="6">
        <f ca="1">IF(Main[[#This Row],[مانده در خط تسویه نشده (کیلوگرم)]]&lt;&gt;0,Main[[#This Row],[تعداد کل روزهای بدهکار (روز)]],0)</f>
        <v>0</v>
      </c>
      <c r="AC349" s="6">
        <f ca="1">Main[[#This Row],[تعداد روزهای بدهکار  تسویه نشده (روز)]]*Main[[#This Row],[مانده در خط تسویه نشده (کیلوگرم)]]</f>
        <v>0</v>
      </c>
      <c r="AD349" s="6">
        <f ca="1">SUBTOTAL(9,INDEX(Main[بدهی سررسید شده (کیلوگرم)],1):Main[[#This Row],[بدهی سررسید شده (کیلوگرم)]])</f>
        <v>0</v>
      </c>
      <c r="AE349" s="6">
        <f ca="1">IF(Main[[#This Row],[مانده در خط سررسید شده (کیلوگرم)]]&lt;&gt;0,Main[[#This Row],[تعداد کل روزهای بدهکار (روز)]],0)</f>
        <v>0</v>
      </c>
      <c r="AF349" s="6">
        <f ca="1">Main[[#This Row],[تعداد روزهای بدهکار سررسید شده (روز)]]*Main[[#This Row],[مانده در خط سررسید شده (کیلوگرم)]]</f>
        <v>0</v>
      </c>
    </row>
    <row r="350" spans="1:32" hidden="1" x14ac:dyDescent="0.35">
      <c r="A350" s="5">
        <f>ROW()-ROW(INDEX(Main[ردیف],1))+1</f>
        <v>348</v>
      </c>
      <c r="B350" s="31">
        <f>SUBTOTAL(2,INDEX(Main[ردیف],1):Main[[#This Row],[ردیف]])</f>
        <v>34</v>
      </c>
      <c r="C350" s="32" t="s">
        <v>540</v>
      </c>
      <c r="D350" s="32" t="str">
        <f>_xlfn.CONCAT("14",Main[[#This Row],[تاريخ]])</f>
        <v>1400/02/13</v>
      </c>
      <c r="E350" s="33">
        <v>44319</v>
      </c>
      <c r="F350" s="32">
        <v>30022</v>
      </c>
      <c r="G350" s="5" t="str">
        <f>INDEX(customer[عنوان],MATCH(Main[[#This Row],[کد ردیابی]],customer[کد],0))</f>
        <v xml:space="preserve">کلار پویا </v>
      </c>
      <c r="H350">
        <v>-5196</v>
      </c>
      <c r="I350" s="6">
        <f ca="1">-Main[[#This Row],[بدهی تسویه شده (کیلوگرم)]]+Main[[#This Row],[بستانکار (کیلوگرم)]]</f>
        <v>-5196</v>
      </c>
      <c r="J350" s="6">
        <f>IF(Main[[#This Row],[مقدار (کیلوگرم)]]&gt;0,Main[[#This Row],[مقدار (کیلوگرم)]],0)</f>
        <v>0</v>
      </c>
      <c r="K350" s="6">
        <f>-IF(Main[[#This Row],[مقدار (کیلوگرم)]]&lt;0,Main[[#This Row],[مقدار (کیلوگرم)]],0)</f>
        <v>5196</v>
      </c>
      <c r="L3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0" s="7">
        <f>-IF(AND(Main[[#This Row],[مقدار (کیلوگرم)]]&lt;0,Main[[#This Row],[تاريخ میلادی]]&gt;44276),Main[[#This Row],[مقدار (کیلوگرم)]],0)</f>
        <v>5196</v>
      </c>
      <c r="N350" s="6">
        <f ca="1">Main[[#This Row],[بدهکار (کیلوگرم)]]-Main[[#This Row],[بدهی تسویه نشده (کیلوگرم)]]</f>
        <v>5196</v>
      </c>
      <c r="O350" s="6">
        <f ca="1">Main[[#This Row],[تفکیک]]</f>
        <v>0</v>
      </c>
      <c r="P350" s="6">
        <f ca="1">IF(Main[[#This Row],[تاخیر از سررسید]]&gt;0,Main[[#This Row],[بدهی تسویه نشده (کیلوگرم)]],0)</f>
        <v>0</v>
      </c>
      <c r="Q350" s="6">
        <f ca="1">IF(Main[[#This Row],[بدهی تسویه نشده (کیلوگرم)]]&gt;0,'گزارش فردی'!$B$7-Main[[#This Row],[تاريخ میلادی]],0)</f>
        <v>0</v>
      </c>
      <c r="R350" s="6">
        <f ca="1">IF(Main[[#This Row],[بدهی تسویه نشده (کیلوگرم)]]&gt;0,'گزارش فردی'!$B$7-Main[[#This Row],[تاريخ میلادی]]-'گزارش فردی'!$B$8,0)</f>
        <v>0</v>
      </c>
      <c r="S350" s="6">
        <f ca="1">Main[[#This Row],[روز از ارسال سفارش]]*Main[[#This Row],[بدهی تسویه نشده (کیلوگرم)]]</f>
        <v>0</v>
      </c>
      <c r="T350" s="6">
        <f ca="1">Main[[#This Row],[بدهی سررسید شده (کیلوگرم)]]*Main[[#This Row],[روز از ارسال سفارش]]</f>
        <v>0</v>
      </c>
      <c r="U350" s="6">
        <f>-SUBTOTAL(9,INDEX(Main[مقدار (کیلوگرم)],1):Main[[#This Row],[مقدار (کیلوگرم)]])</f>
        <v>43178</v>
      </c>
      <c r="V3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0" s="6">
        <f>Main[[#This Row],[تعداد کل روزهای بدهکار (روز)]]*Main[[#This Row],[مانده در خط کل (کیلوگرم)]]</f>
        <v>0</v>
      </c>
      <c r="X350" s="6">
        <f ca="1">-SUBTOTAL(9,INDEX(Main[مقدار تسویه شده (کیلوگرم)],1):Main[[#This Row],[مقدار تسویه شده (کیلوگرم)]])</f>
        <v>43178</v>
      </c>
      <c r="Y350" s="6">
        <f ca="1">IF(Main[[#This Row],[مانده در خط تسویه شده (کیلوگرم)]]&lt;&gt;0,Main[[#This Row],[تعداد کل روزهای بدهکار (روز)]],0)</f>
        <v>0</v>
      </c>
      <c r="Z350" s="6">
        <f ca="1">Main[[#This Row],[تعداد روزهای بدهکار تسویه شده (روز)]]*Main[[#This Row],[مانده در خط تسویه شده (کیلوگرم)]]</f>
        <v>0</v>
      </c>
      <c r="AA350" s="6">
        <f ca="1">SUBTOTAL(9,INDEX(Main[بدهی تسویه نشده (کیلوگرم)],1):Main[[#This Row],[بدهی تسویه نشده (کیلوگرم)]])</f>
        <v>0</v>
      </c>
      <c r="AB350" s="6">
        <f ca="1">IF(Main[[#This Row],[مانده در خط تسویه نشده (کیلوگرم)]]&lt;&gt;0,Main[[#This Row],[تعداد کل روزهای بدهکار (روز)]],0)</f>
        <v>0</v>
      </c>
      <c r="AC350" s="6">
        <f ca="1">Main[[#This Row],[تعداد روزهای بدهکار  تسویه نشده (روز)]]*Main[[#This Row],[مانده در خط تسویه نشده (کیلوگرم)]]</f>
        <v>0</v>
      </c>
      <c r="AD350" s="6">
        <f ca="1">SUBTOTAL(9,INDEX(Main[بدهی سررسید شده (کیلوگرم)],1):Main[[#This Row],[بدهی سررسید شده (کیلوگرم)]])</f>
        <v>0</v>
      </c>
      <c r="AE350" s="6">
        <f ca="1">IF(Main[[#This Row],[مانده در خط سررسید شده (کیلوگرم)]]&lt;&gt;0,Main[[#This Row],[تعداد کل روزهای بدهکار (روز)]],0)</f>
        <v>0</v>
      </c>
      <c r="AF350" s="6">
        <f ca="1">Main[[#This Row],[تعداد روزهای بدهکار سررسید شده (روز)]]*Main[[#This Row],[مانده در خط سررسید شده (کیلوگرم)]]</f>
        <v>0</v>
      </c>
    </row>
    <row r="351" spans="1:32" hidden="1" x14ac:dyDescent="0.35">
      <c r="A351" s="5">
        <f>ROW()-ROW(INDEX(Main[ردیف],1))+1</f>
        <v>349</v>
      </c>
      <c r="B351" s="31">
        <f>SUBTOTAL(2,INDEX(Main[ردیف],1):Main[[#This Row],[ردیف]])</f>
        <v>34</v>
      </c>
      <c r="C351" s="32" t="s">
        <v>540</v>
      </c>
      <c r="D351" s="32" t="str">
        <f>_xlfn.CONCAT("14",Main[[#This Row],[تاريخ]])</f>
        <v>1400/02/13</v>
      </c>
      <c r="E351" s="33">
        <v>44319</v>
      </c>
      <c r="F351" s="32">
        <v>10027</v>
      </c>
      <c r="G351" s="5" t="str">
        <f>INDEX(customer[عنوان],MATCH(Main[[#This Row],[کد ردیابی]],customer[کد],0))</f>
        <v xml:space="preserve">مصطفی نورعلی </v>
      </c>
      <c r="H351">
        <v>2716</v>
      </c>
      <c r="I351" s="6">
        <f ca="1">-Main[[#This Row],[بدهی تسویه شده (کیلوگرم)]]+Main[[#This Row],[بستانکار (کیلوگرم)]]</f>
        <v>2716</v>
      </c>
      <c r="J351" s="6">
        <f>IF(Main[[#This Row],[مقدار (کیلوگرم)]]&gt;0,Main[[#This Row],[مقدار (کیلوگرم)]],0)</f>
        <v>2716</v>
      </c>
      <c r="K351" s="6">
        <f>-IF(Main[[#This Row],[مقدار (کیلوگرم)]]&lt;0,Main[[#This Row],[مقدار (کیلوگرم)]],0)</f>
        <v>0</v>
      </c>
      <c r="L3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1" s="7">
        <f>-IF(AND(Main[[#This Row],[مقدار (کیلوگرم)]]&lt;0,Main[[#This Row],[تاريخ میلادی]]&gt;44276),Main[[#This Row],[مقدار (کیلوگرم)]],0)</f>
        <v>0</v>
      </c>
      <c r="N351" s="6">
        <f ca="1">Main[[#This Row],[بدهکار (کیلوگرم)]]-Main[[#This Row],[بدهی تسویه نشده (کیلوگرم)]]</f>
        <v>0</v>
      </c>
      <c r="O351" s="6">
        <f ca="1">Main[[#This Row],[تفکیک]]</f>
        <v>0</v>
      </c>
      <c r="P351" s="6">
        <f ca="1">IF(Main[[#This Row],[تاخیر از سررسید]]&gt;0,Main[[#This Row],[بدهی تسویه نشده (کیلوگرم)]],0)</f>
        <v>0</v>
      </c>
      <c r="Q351" s="6">
        <f ca="1">IF(Main[[#This Row],[بدهی تسویه نشده (کیلوگرم)]]&gt;0,'گزارش فردی'!$B$7-Main[[#This Row],[تاريخ میلادی]],0)</f>
        <v>0</v>
      </c>
      <c r="R351" s="6">
        <f ca="1">IF(Main[[#This Row],[بدهی تسویه نشده (کیلوگرم)]]&gt;0,'گزارش فردی'!$B$7-Main[[#This Row],[تاريخ میلادی]]-'گزارش فردی'!$B$8,0)</f>
        <v>0</v>
      </c>
      <c r="S351" s="6">
        <f ca="1">Main[[#This Row],[روز از ارسال سفارش]]*Main[[#This Row],[بدهی تسویه نشده (کیلوگرم)]]</f>
        <v>0</v>
      </c>
      <c r="T351" s="6">
        <f ca="1">Main[[#This Row],[بدهی سررسید شده (کیلوگرم)]]*Main[[#This Row],[روز از ارسال سفارش]]</f>
        <v>0</v>
      </c>
      <c r="U351" s="6">
        <f>-SUBTOTAL(9,INDEX(Main[مقدار (کیلوگرم)],1):Main[[#This Row],[مقدار (کیلوگرم)]])</f>
        <v>43178</v>
      </c>
      <c r="V3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1" s="6">
        <f>Main[[#This Row],[تعداد کل روزهای بدهکار (روز)]]*Main[[#This Row],[مانده در خط کل (کیلوگرم)]]</f>
        <v>0</v>
      </c>
      <c r="X351" s="6">
        <f ca="1">-SUBTOTAL(9,INDEX(Main[مقدار تسویه شده (کیلوگرم)],1):Main[[#This Row],[مقدار تسویه شده (کیلوگرم)]])</f>
        <v>43178</v>
      </c>
      <c r="Y351" s="6">
        <f ca="1">IF(Main[[#This Row],[مانده در خط تسویه شده (کیلوگرم)]]&lt;&gt;0,Main[[#This Row],[تعداد کل روزهای بدهکار (روز)]],0)</f>
        <v>0</v>
      </c>
      <c r="Z351" s="6">
        <f ca="1">Main[[#This Row],[تعداد روزهای بدهکار تسویه شده (روز)]]*Main[[#This Row],[مانده در خط تسویه شده (کیلوگرم)]]</f>
        <v>0</v>
      </c>
      <c r="AA351" s="6">
        <f ca="1">SUBTOTAL(9,INDEX(Main[بدهی تسویه نشده (کیلوگرم)],1):Main[[#This Row],[بدهی تسویه نشده (کیلوگرم)]])</f>
        <v>0</v>
      </c>
      <c r="AB351" s="6">
        <f ca="1">IF(Main[[#This Row],[مانده در خط تسویه نشده (کیلوگرم)]]&lt;&gt;0,Main[[#This Row],[تعداد کل روزهای بدهکار (روز)]],0)</f>
        <v>0</v>
      </c>
      <c r="AC351" s="6">
        <f ca="1">Main[[#This Row],[تعداد روزهای بدهکار  تسویه نشده (روز)]]*Main[[#This Row],[مانده در خط تسویه نشده (کیلوگرم)]]</f>
        <v>0</v>
      </c>
      <c r="AD351" s="6">
        <f ca="1">SUBTOTAL(9,INDEX(Main[بدهی سررسید شده (کیلوگرم)],1):Main[[#This Row],[بدهی سررسید شده (کیلوگرم)]])</f>
        <v>0</v>
      </c>
      <c r="AE351" s="6">
        <f ca="1">IF(Main[[#This Row],[مانده در خط سررسید شده (کیلوگرم)]]&lt;&gt;0,Main[[#This Row],[تعداد کل روزهای بدهکار (روز)]],0)</f>
        <v>0</v>
      </c>
      <c r="AF351" s="6">
        <f ca="1">Main[[#This Row],[تعداد روزهای بدهکار سررسید شده (روز)]]*Main[[#This Row],[مانده در خط سررسید شده (کیلوگرم)]]</f>
        <v>0</v>
      </c>
    </row>
    <row r="352" spans="1:32" hidden="1" x14ac:dyDescent="0.35">
      <c r="A352" s="5">
        <f>ROW()-ROW(INDEX(Main[ردیف],1))+1</f>
        <v>350</v>
      </c>
      <c r="B352" s="31">
        <f>SUBTOTAL(2,INDEX(Main[ردیف],1):Main[[#This Row],[ردیف]])</f>
        <v>34</v>
      </c>
      <c r="C352" s="32" t="s">
        <v>540</v>
      </c>
      <c r="D352" s="32" t="str">
        <f>_xlfn.CONCAT("14",Main[[#This Row],[تاريخ]])</f>
        <v>1400/02/13</v>
      </c>
      <c r="E352" s="33">
        <v>44319</v>
      </c>
      <c r="F352" s="32">
        <v>30066</v>
      </c>
      <c r="G352" s="5" t="str">
        <f>INDEX(customer[عنوان],MATCH(Main[[#This Row],[کد ردیابی]],customer[کد],0))</f>
        <v xml:space="preserve">شیر آلات بهداشتی قهرمان </v>
      </c>
      <c r="H352">
        <v>-2026</v>
      </c>
      <c r="I352" s="6">
        <f ca="1">-Main[[#This Row],[بدهی تسویه شده (کیلوگرم)]]+Main[[#This Row],[بستانکار (کیلوگرم)]]</f>
        <v>-2026</v>
      </c>
      <c r="J352" s="6">
        <f>IF(Main[[#This Row],[مقدار (کیلوگرم)]]&gt;0,Main[[#This Row],[مقدار (کیلوگرم)]],0)</f>
        <v>0</v>
      </c>
      <c r="K352" s="6">
        <f>-IF(Main[[#This Row],[مقدار (کیلوگرم)]]&lt;0,Main[[#This Row],[مقدار (کیلوگرم)]],0)</f>
        <v>2026</v>
      </c>
      <c r="L3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2" s="7">
        <f>-IF(AND(Main[[#This Row],[مقدار (کیلوگرم)]]&lt;0,Main[[#This Row],[تاريخ میلادی]]&gt;44276),Main[[#This Row],[مقدار (کیلوگرم)]],0)</f>
        <v>2026</v>
      </c>
      <c r="N352" s="6">
        <f ca="1">Main[[#This Row],[بدهکار (کیلوگرم)]]-Main[[#This Row],[بدهی تسویه نشده (کیلوگرم)]]</f>
        <v>2026</v>
      </c>
      <c r="O352" s="6">
        <f ca="1">Main[[#This Row],[تفکیک]]</f>
        <v>0</v>
      </c>
      <c r="P352" s="6">
        <f ca="1">IF(Main[[#This Row],[تاخیر از سررسید]]&gt;0,Main[[#This Row],[بدهی تسویه نشده (کیلوگرم)]],0)</f>
        <v>0</v>
      </c>
      <c r="Q352" s="6">
        <f ca="1">IF(Main[[#This Row],[بدهی تسویه نشده (کیلوگرم)]]&gt;0,'گزارش فردی'!$B$7-Main[[#This Row],[تاريخ میلادی]],0)</f>
        <v>0</v>
      </c>
      <c r="R352" s="6">
        <f ca="1">IF(Main[[#This Row],[بدهی تسویه نشده (کیلوگرم)]]&gt;0,'گزارش فردی'!$B$7-Main[[#This Row],[تاريخ میلادی]]-'گزارش فردی'!$B$8,0)</f>
        <v>0</v>
      </c>
      <c r="S352" s="6">
        <f ca="1">Main[[#This Row],[روز از ارسال سفارش]]*Main[[#This Row],[بدهی تسویه نشده (کیلوگرم)]]</f>
        <v>0</v>
      </c>
      <c r="T352" s="6">
        <f ca="1">Main[[#This Row],[بدهی سررسید شده (کیلوگرم)]]*Main[[#This Row],[روز از ارسال سفارش]]</f>
        <v>0</v>
      </c>
      <c r="U352" s="6">
        <f>-SUBTOTAL(9,INDEX(Main[مقدار (کیلوگرم)],1):Main[[#This Row],[مقدار (کیلوگرم)]])</f>
        <v>43178</v>
      </c>
      <c r="V3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2" s="6">
        <f>Main[[#This Row],[تعداد کل روزهای بدهکار (روز)]]*Main[[#This Row],[مانده در خط کل (کیلوگرم)]]</f>
        <v>0</v>
      </c>
      <c r="X352" s="6">
        <f ca="1">-SUBTOTAL(9,INDEX(Main[مقدار تسویه شده (کیلوگرم)],1):Main[[#This Row],[مقدار تسویه شده (کیلوگرم)]])</f>
        <v>43178</v>
      </c>
      <c r="Y352" s="6">
        <f ca="1">IF(Main[[#This Row],[مانده در خط تسویه شده (کیلوگرم)]]&lt;&gt;0,Main[[#This Row],[تعداد کل روزهای بدهکار (روز)]],0)</f>
        <v>0</v>
      </c>
      <c r="Z352" s="6">
        <f ca="1">Main[[#This Row],[تعداد روزهای بدهکار تسویه شده (روز)]]*Main[[#This Row],[مانده در خط تسویه شده (کیلوگرم)]]</f>
        <v>0</v>
      </c>
      <c r="AA352" s="6">
        <f ca="1">SUBTOTAL(9,INDEX(Main[بدهی تسویه نشده (کیلوگرم)],1):Main[[#This Row],[بدهی تسویه نشده (کیلوگرم)]])</f>
        <v>0</v>
      </c>
      <c r="AB352" s="6">
        <f ca="1">IF(Main[[#This Row],[مانده در خط تسویه نشده (کیلوگرم)]]&lt;&gt;0,Main[[#This Row],[تعداد کل روزهای بدهکار (روز)]],0)</f>
        <v>0</v>
      </c>
      <c r="AC352" s="6">
        <f ca="1">Main[[#This Row],[تعداد روزهای بدهکار  تسویه نشده (روز)]]*Main[[#This Row],[مانده در خط تسویه نشده (کیلوگرم)]]</f>
        <v>0</v>
      </c>
      <c r="AD352" s="6">
        <f ca="1">SUBTOTAL(9,INDEX(Main[بدهی سررسید شده (کیلوگرم)],1):Main[[#This Row],[بدهی سررسید شده (کیلوگرم)]])</f>
        <v>0</v>
      </c>
      <c r="AE352" s="6">
        <f ca="1">IF(Main[[#This Row],[مانده در خط سررسید شده (کیلوگرم)]]&lt;&gt;0,Main[[#This Row],[تعداد کل روزهای بدهکار (روز)]],0)</f>
        <v>0</v>
      </c>
      <c r="AF352" s="6">
        <f ca="1">Main[[#This Row],[تعداد روزهای بدهکار سررسید شده (روز)]]*Main[[#This Row],[مانده در خط سررسید شده (کیلوگرم)]]</f>
        <v>0</v>
      </c>
    </row>
    <row r="353" spans="1:32" hidden="1" x14ac:dyDescent="0.35">
      <c r="A353" s="5">
        <f>ROW()-ROW(INDEX(Main[ردیف],1))+1</f>
        <v>351</v>
      </c>
      <c r="B353" s="31">
        <f>SUBTOTAL(2,INDEX(Main[ردیف],1):Main[[#This Row],[ردیف]])</f>
        <v>34</v>
      </c>
      <c r="C353" s="32" t="s">
        <v>540</v>
      </c>
      <c r="D353" s="32" t="str">
        <f>_xlfn.CONCAT("14",Main[[#This Row],[تاريخ]])</f>
        <v>1400/02/13</v>
      </c>
      <c r="E353" s="33">
        <v>44319</v>
      </c>
      <c r="F353" s="32">
        <v>30081</v>
      </c>
      <c r="G353" s="5" t="str">
        <f>INDEX(customer[عنوان],MATCH(Main[[#This Row],[کد ردیابی]],customer[کد],0))</f>
        <v xml:space="preserve">شیرآلات بهداشتی راسان </v>
      </c>
      <c r="H353">
        <v>1218</v>
      </c>
      <c r="I353" s="6">
        <f ca="1">-Main[[#This Row],[بدهی تسویه شده (کیلوگرم)]]+Main[[#This Row],[بستانکار (کیلوگرم)]]</f>
        <v>1218</v>
      </c>
      <c r="J353" s="6">
        <f>IF(Main[[#This Row],[مقدار (کیلوگرم)]]&gt;0,Main[[#This Row],[مقدار (کیلوگرم)]],0)</f>
        <v>1218</v>
      </c>
      <c r="K353" s="6">
        <f>-IF(Main[[#This Row],[مقدار (کیلوگرم)]]&lt;0,Main[[#This Row],[مقدار (کیلوگرم)]],0)</f>
        <v>0</v>
      </c>
      <c r="L3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3" s="7">
        <f>-IF(AND(Main[[#This Row],[مقدار (کیلوگرم)]]&lt;0,Main[[#This Row],[تاريخ میلادی]]&gt;44276),Main[[#This Row],[مقدار (کیلوگرم)]],0)</f>
        <v>0</v>
      </c>
      <c r="N353" s="6">
        <f ca="1">Main[[#This Row],[بدهکار (کیلوگرم)]]-Main[[#This Row],[بدهی تسویه نشده (کیلوگرم)]]</f>
        <v>0</v>
      </c>
      <c r="O353" s="6">
        <f ca="1">Main[[#This Row],[تفکیک]]</f>
        <v>0</v>
      </c>
      <c r="P353" s="6">
        <f ca="1">IF(Main[[#This Row],[تاخیر از سررسید]]&gt;0,Main[[#This Row],[بدهی تسویه نشده (کیلوگرم)]],0)</f>
        <v>0</v>
      </c>
      <c r="Q353" s="6">
        <f ca="1">IF(Main[[#This Row],[بدهی تسویه نشده (کیلوگرم)]]&gt;0,'گزارش فردی'!$B$7-Main[[#This Row],[تاريخ میلادی]],0)</f>
        <v>0</v>
      </c>
      <c r="R353" s="6">
        <f ca="1">IF(Main[[#This Row],[بدهی تسویه نشده (کیلوگرم)]]&gt;0,'گزارش فردی'!$B$7-Main[[#This Row],[تاريخ میلادی]]-'گزارش فردی'!$B$8,0)</f>
        <v>0</v>
      </c>
      <c r="S353" s="6">
        <f ca="1">Main[[#This Row],[روز از ارسال سفارش]]*Main[[#This Row],[بدهی تسویه نشده (کیلوگرم)]]</f>
        <v>0</v>
      </c>
      <c r="T353" s="6">
        <f ca="1">Main[[#This Row],[بدهی سررسید شده (کیلوگرم)]]*Main[[#This Row],[روز از ارسال سفارش]]</f>
        <v>0</v>
      </c>
      <c r="U353" s="6">
        <f>-SUBTOTAL(9,INDEX(Main[مقدار (کیلوگرم)],1):Main[[#This Row],[مقدار (کیلوگرم)]])</f>
        <v>43178</v>
      </c>
      <c r="V3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3" s="6">
        <f>Main[[#This Row],[تعداد کل روزهای بدهکار (روز)]]*Main[[#This Row],[مانده در خط کل (کیلوگرم)]]</f>
        <v>0</v>
      </c>
      <c r="X353" s="6">
        <f ca="1">-SUBTOTAL(9,INDEX(Main[مقدار تسویه شده (کیلوگرم)],1):Main[[#This Row],[مقدار تسویه شده (کیلوگرم)]])</f>
        <v>43178</v>
      </c>
      <c r="Y353" s="6">
        <f ca="1">IF(Main[[#This Row],[مانده در خط تسویه شده (کیلوگرم)]]&lt;&gt;0,Main[[#This Row],[تعداد کل روزهای بدهکار (روز)]],0)</f>
        <v>0</v>
      </c>
      <c r="Z353" s="6">
        <f ca="1">Main[[#This Row],[تعداد روزهای بدهکار تسویه شده (روز)]]*Main[[#This Row],[مانده در خط تسویه شده (کیلوگرم)]]</f>
        <v>0</v>
      </c>
      <c r="AA353" s="6">
        <f ca="1">SUBTOTAL(9,INDEX(Main[بدهی تسویه نشده (کیلوگرم)],1):Main[[#This Row],[بدهی تسویه نشده (کیلوگرم)]])</f>
        <v>0</v>
      </c>
      <c r="AB353" s="6">
        <f ca="1">IF(Main[[#This Row],[مانده در خط تسویه نشده (کیلوگرم)]]&lt;&gt;0,Main[[#This Row],[تعداد کل روزهای بدهکار (روز)]],0)</f>
        <v>0</v>
      </c>
      <c r="AC353" s="6">
        <f ca="1">Main[[#This Row],[تعداد روزهای بدهکار  تسویه نشده (روز)]]*Main[[#This Row],[مانده در خط تسویه نشده (کیلوگرم)]]</f>
        <v>0</v>
      </c>
      <c r="AD353" s="6">
        <f ca="1">SUBTOTAL(9,INDEX(Main[بدهی سررسید شده (کیلوگرم)],1):Main[[#This Row],[بدهی سررسید شده (کیلوگرم)]])</f>
        <v>0</v>
      </c>
      <c r="AE353" s="6">
        <f ca="1">IF(Main[[#This Row],[مانده در خط سررسید شده (کیلوگرم)]]&lt;&gt;0,Main[[#This Row],[تعداد کل روزهای بدهکار (روز)]],0)</f>
        <v>0</v>
      </c>
      <c r="AF353" s="6">
        <f ca="1">Main[[#This Row],[تعداد روزهای بدهکار سررسید شده (روز)]]*Main[[#This Row],[مانده در خط سررسید شده (کیلوگرم)]]</f>
        <v>0</v>
      </c>
    </row>
    <row r="354" spans="1:32" hidden="1" x14ac:dyDescent="0.35">
      <c r="A354" s="5">
        <f>ROW()-ROW(INDEX(Main[ردیف],1))+1</f>
        <v>352</v>
      </c>
      <c r="B354" s="31">
        <f>SUBTOTAL(2,INDEX(Main[ردیف],1):Main[[#This Row],[ردیف]])</f>
        <v>34</v>
      </c>
      <c r="C354" s="32" t="s">
        <v>540</v>
      </c>
      <c r="D354" s="32" t="str">
        <f>_xlfn.CONCAT("14",Main[[#This Row],[تاريخ]])</f>
        <v>1400/02/13</v>
      </c>
      <c r="E354" s="33">
        <v>44319</v>
      </c>
      <c r="F354" s="32">
        <v>10027</v>
      </c>
      <c r="G354" s="5" t="str">
        <f>INDEX(customer[عنوان],MATCH(Main[[#This Row],[کد ردیابی]],customer[کد],0))</f>
        <v xml:space="preserve">مصطفی نورعلی </v>
      </c>
      <c r="H354">
        <v>-2152</v>
      </c>
      <c r="I354" s="6">
        <f ca="1">-Main[[#This Row],[بدهی تسویه شده (کیلوگرم)]]+Main[[#This Row],[بستانکار (کیلوگرم)]]</f>
        <v>-2152</v>
      </c>
      <c r="J354" s="6">
        <f>IF(Main[[#This Row],[مقدار (کیلوگرم)]]&gt;0,Main[[#This Row],[مقدار (کیلوگرم)]],0)</f>
        <v>0</v>
      </c>
      <c r="K354" s="6">
        <f>-IF(Main[[#This Row],[مقدار (کیلوگرم)]]&lt;0,Main[[#This Row],[مقدار (کیلوگرم)]],0)</f>
        <v>2152</v>
      </c>
      <c r="L3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4" s="7">
        <f>-IF(AND(Main[[#This Row],[مقدار (کیلوگرم)]]&lt;0,Main[[#This Row],[تاريخ میلادی]]&gt;44276),Main[[#This Row],[مقدار (کیلوگرم)]],0)</f>
        <v>2152</v>
      </c>
      <c r="N354" s="6">
        <f ca="1">Main[[#This Row],[بدهکار (کیلوگرم)]]-Main[[#This Row],[بدهی تسویه نشده (کیلوگرم)]]</f>
        <v>2152</v>
      </c>
      <c r="O354" s="6">
        <f ca="1">Main[[#This Row],[تفکیک]]</f>
        <v>0</v>
      </c>
      <c r="P354" s="6">
        <f ca="1">IF(Main[[#This Row],[تاخیر از سررسید]]&gt;0,Main[[#This Row],[بدهی تسویه نشده (کیلوگرم)]],0)</f>
        <v>0</v>
      </c>
      <c r="Q354" s="6">
        <f ca="1">IF(Main[[#This Row],[بدهی تسویه نشده (کیلوگرم)]]&gt;0,'گزارش فردی'!$B$7-Main[[#This Row],[تاريخ میلادی]],0)</f>
        <v>0</v>
      </c>
      <c r="R354" s="6">
        <f ca="1">IF(Main[[#This Row],[بدهی تسویه نشده (کیلوگرم)]]&gt;0,'گزارش فردی'!$B$7-Main[[#This Row],[تاريخ میلادی]]-'گزارش فردی'!$B$8,0)</f>
        <v>0</v>
      </c>
      <c r="S354" s="6">
        <f ca="1">Main[[#This Row],[روز از ارسال سفارش]]*Main[[#This Row],[بدهی تسویه نشده (کیلوگرم)]]</f>
        <v>0</v>
      </c>
      <c r="T354" s="6">
        <f ca="1">Main[[#This Row],[بدهی سررسید شده (کیلوگرم)]]*Main[[#This Row],[روز از ارسال سفارش]]</f>
        <v>0</v>
      </c>
      <c r="U354" s="6">
        <f>-SUBTOTAL(9,INDEX(Main[مقدار (کیلوگرم)],1):Main[[#This Row],[مقدار (کیلوگرم)]])</f>
        <v>43178</v>
      </c>
      <c r="V3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4" s="6">
        <f>Main[[#This Row],[تعداد کل روزهای بدهکار (روز)]]*Main[[#This Row],[مانده در خط کل (کیلوگرم)]]</f>
        <v>0</v>
      </c>
      <c r="X354" s="6">
        <f ca="1">-SUBTOTAL(9,INDEX(Main[مقدار تسویه شده (کیلوگرم)],1):Main[[#This Row],[مقدار تسویه شده (کیلوگرم)]])</f>
        <v>43178</v>
      </c>
      <c r="Y354" s="6">
        <f ca="1">IF(Main[[#This Row],[مانده در خط تسویه شده (کیلوگرم)]]&lt;&gt;0,Main[[#This Row],[تعداد کل روزهای بدهکار (روز)]],0)</f>
        <v>0</v>
      </c>
      <c r="Z354" s="6">
        <f ca="1">Main[[#This Row],[تعداد روزهای بدهکار تسویه شده (روز)]]*Main[[#This Row],[مانده در خط تسویه شده (کیلوگرم)]]</f>
        <v>0</v>
      </c>
      <c r="AA354" s="6">
        <f ca="1">SUBTOTAL(9,INDEX(Main[بدهی تسویه نشده (کیلوگرم)],1):Main[[#This Row],[بدهی تسویه نشده (کیلوگرم)]])</f>
        <v>0</v>
      </c>
      <c r="AB354" s="6">
        <f ca="1">IF(Main[[#This Row],[مانده در خط تسویه نشده (کیلوگرم)]]&lt;&gt;0,Main[[#This Row],[تعداد کل روزهای بدهکار (روز)]],0)</f>
        <v>0</v>
      </c>
      <c r="AC354" s="6">
        <f ca="1">Main[[#This Row],[تعداد روزهای بدهکار  تسویه نشده (روز)]]*Main[[#This Row],[مانده در خط تسویه نشده (کیلوگرم)]]</f>
        <v>0</v>
      </c>
      <c r="AD354" s="6">
        <f ca="1">SUBTOTAL(9,INDEX(Main[بدهی سررسید شده (کیلوگرم)],1):Main[[#This Row],[بدهی سررسید شده (کیلوگرم)]])</f>
        <v>0</v>
      </c>
      <c r="AE354" s="6">
        <f ca="1">IF(Main[[#This Row],[مانده در خط سررسید شده (کیلوگرم)]]&lt;&gt;0,Main[[#This Row],[تعداد کل روزهای بدهکار (روز)]],0)</f>
        <v>0</v>
      </c>
      <c r="AF354" s="6">
        <f ca="1">Main[[#This Row],[تعداد روزهای بدهکار سررسید شده (روز)]]*Main[[#This Row],[مانده در خط سررسید شده (کیلوگرم)]]</f>
        <v>0</v>
      </c>
    </row>
    <row r="355" spans="1:32" hidden="1" x14ac:dyDescent="0.35">
      <c r="A355" s="5">
        <f>ROW()-ROW(INDEX(Main[ردیف],1))+1</f>
        <v>353</v>
      </c>
      <c r="B355" s="31">
        <f>SUBTOTAL(2,INDEX(Main[ردیف],1):Main[[#This Row],[ردیف]])</f>
        <v>34</v>
      </c>
      <c r="C355" s="32" t="s">
        <v>540</v>
      </c>
      <c r="D355" s="32" t="str">
        <f>_xlfn.CONCAT("14",Main[[#This Row],[تاريخ]])</f>
        <v>1400/02/13</v>
      </c>
      <c r="E355" s="33">
        <v>44319</v>
      </c>
      <c r="F355" s="32">
        <v>30081</v>
      </c>
      <c r="G355" s="5" t="str">
        <f>INDEX(customer[عنوان],MATCH(Main[[#This Row],[کد ردیابی]],customer[کد],0))</f>
        <v xml:space="preserve">شیرآلات بهداشتی راسان </v>
      </c>
      <c r="H355">
        <v>3034</v>
      </c>
      <c r="I355" s="6">
        <f ca="1">-Main[[#This Row],[بدهی تسویه شده (کیلوگرم)]]+Main[[#This Row],[بستانکار (کیلوگرم)]]</f>
        <v>3034</v>
      </c>
      <c r="J355" s="6">
        <f>IF(Main[[#This Row],[مقدار (کیلوگرم)]]&gt;0,Main[[#This Row],[مقدار (کیلوگرم)]],0)</f>
        <v>3034</v>
      </c>
      <c r="K355" s="6">
        <f>-IF(Main[[#This Row],[مقدار (کیلوگرم)]]&lt;0,Main[[#This Row],[مقدار (کیلوگرم)]],0)</f>
        <v>0</v>
      </c>
      <c r="L3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5" s="7">
        <f>-IF(AND(Main[[#This Row],[مقدار (کیلوگرم)]]&lt;0,Main[[#This Row],[تاريخ میلادی]]&gt;44276),Main[[#This Row],[مقدار (کیلوگرم)]],0)</f>
        <v>0</v>
      </c>
      <c r="N355" s="6">
        <f ca="1">Main[[#This Row],[بدهکار (کیلوگرم)]]-Main[[#This Row],[بدهی تسویه نشده (کیلوگرم)]]</f>
        <v>0</v>
      </c>
      <c r="O355" s="6">
        <f ca="1">Main[[#This Row],[تفکیک]]</f>
        <v>0</v>
      </c>
      <c r="P355" s="6">
        <f ca="1">IF(Main[[#This Row],[تاخیر از سررسید]]&gt;0,Main[[#This Row],[بدهی تسویه نشده (کیلوگرم)]],0)</f>
        <v>0</v>
      </c>
      <c r="Q355" s="6">
        <f ca="1">IF(Main[[#This Row],[بدهی تسویه نشده (کیلوگرم)]]&gt;0,'گزارش فردی'!$B$7-Main[[#This Row],[تاريخ میلادی]],0)</f>
        <v>0</v>
      </c>
      <c r="R355" s="6">
        <f ca="1">IF(Main[[#This Row],[بدهی تسویه نشده (کیلوگرم)]]&gt;0,'گزارش فردی'!$B$7-Main[[#This Row],[تاريخ میلادی]]-'گزارش فردی'!$B$8,0)</f>
        <v>0</v>
      </c>
      <c r="S355" s="6">
        <f ca="1">Main[[#This Row],[روز از ارسال سفارش]]*Main[[#This Row],[بدهی تسویه نشده (کیلوگرم)]]</f>
        <v>0</v>
      </c>
      <c r="T355" s="6">
        <f ca="1">Main[[#This Row],[بدهی سررسید شده (کیلوگرم)]]*Main[[#This Row],[روز از ارسال سفارش]]</f>
        <v>0</v>
      </c>
      <c r="U355" s="6">
        <f>-SUBTOTAL(9,INDEX(Main[مقدار (کیلوگرم)],1):Main[[#This Row],[مقدار (کیلوگرم)]])</f>
        <v>43178</v>
      </c>
      <c r="V3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5" s="6">
        <f>Main[[#This Row],[تعداد کل روزهای بدهکار (روز)]]*Main[[#This Row],[مانده در خط کل (کیلوگرم)]]</f>
        <v>0</v>
      </c>
      <c r="X355" s="6">
        <f ca="1">-SUBTOTAL(9,INDEX(Main[مقدار تسویه شده (کیلوگرم)],1):Main[[#This Row],[مقدار تسویه شده (کیلوگرم)]])</f>
        <v>43178</v>
      </c>
      <c r="Y355" s="6">
        <f ca="1">IF(Main[[#This Row],[مانده در خط تسویه شده (کیلوگرم)]]&lt;&gt;0,Main[[#This Row],[تعداد کل روزهای بدهکار (روز)]],0)</f>
        <v>0</v>
      </c>
      <c r="Z355" s="6">
        <f ca="1">Main[[#This Row],[تعداد روزهای بدهکار تسویه شده (روز)]]*Main[[#This Row],[مانده در خط تسویه شده (کیلوگرم)]]</f>
        <v>0</v>
      </c>
      <c r="AA355" s="6">
        <f ca="1">SUBTOTAL(9,INDEX(Main[بدهی تسویه نشده (کیلوگرم)],1):Main[[#This Row],[بدهی تسویه نشده (کیلوگرم)]])</f>
        <v>0</v>
      </c>
      <c r="AB355" s="6">
        <f ca="1">IF(Main[[#This Row],[مانده در خط تسویه نشده (کیلوگرم)]]&lt;&gt;0,Main[[#This Row],[تعداد کل روزهای بدهکار (روز)]],0)</f>
        <v>0</v>
      </c>
      <c r="AC355" s="6">
        <f ca="1">Main[[#This Row],[تعداد روزهای بدهکار  تسویه نشده (روز)]]*Main[[#This Row],[مانده در خط تسویه نشده (کیلوگرم)]]</f>
        <v>0</v>
      </c>
      <c r="AD355" s="6">
        <f ca="1">SUBTOTAL(9,INDEX(Main[بدهی سررسید شده (کیلوگرم)],1):Main[[#This Row],[بدهی سررسید شده (کیلوگرم)]])</f>
        <v>0</v>
      </c>
      <c r="AE355" s="6">
        <f ca="1">IF(Main[[#This Row],[مانده در خط سررسید شده (کیلوگرم)]]&lt;&gt;0,Main[[#This Row],[تعداد کل روزهای بدهکار (روز)]],0)</f>
        <v>0</v>
      </c>
      <c r="AF355" s="6">
        <f ca="1">Main[[#This Row],[تعداد روزهای بدهکار سررسید شده (روز)]]*Main[[#This Row],[مانده در خط سررسید شده (کیلوگرم)]]</f>
        <v>0</v>
      </c>
    </row>
    <row r="356" spans="1:32" hidden="1" x14ac:dyDescent="0.35">
      <c r="A356" s="5">
        <f>ROW()-ROW(INDEX(Main[ردیف],1))+1</f>
        <v>354</v>
      </c>
      <c r="B356" s="31">
        <f>SUBTOTAL(2,INDEX(Main[ردیف],1):Main[[#This Row],[ردیف]])</f>
        <v>34</v>
      </c>
      <c r="C356" s="32" t="s">
        <v>540</v>
      </c>
      <c r="D356" s="32" t="str">
        <f>_xlfn.CONCAT("14",Main[[#This Row],[تاريخ]])</f>
        <v>1400/02/13</v>
      </c>
      <c r="E356" s="33">
        <v>44319</v>
      </c>
      <c r="F356" s="32">
        <v>10055</v>
      </c>
      <c r="G356" s="5" t="str">
        <f>INDEX(customer[عنوان],MATCH(Main[[#This Row],[کد ردیابی]],customer[کد],0))</f>
        <v xml:space="preserve">مریم فیض آبادی  </v>
      </c>
      <c r="H356">
        <v>-4724</v>
      </c>
      <c r="I356" s="6">
        <f ca="1">-Main[[#This Row],[بدهی تسویه شده (کیلوگرم)]]+Main[[#This Row],[بستانکار (کیلوگرم)]]</f>
        <v>-4724</v>
      </c>
      <c r="J356" s="6">
        <f>IF(Main[[#This Row],[مقدار (کیلوگرم)]]&gt;0,Main[[#This Row],[مقدار (کیلوگرم)]],0)</f>
        <v>0</v>
      </c>
      <c r="K356" s="6">
        <f>-IF(Main[[#This Row],[مقدار (کیلوگرم)]]&lt;0,Main[[#This Row],[مقدار (کیلوگرم)]],0)</f>
        <v>4724</v>
      </c>
      <c r="L3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6" s="7">
        <f>-IF(AND(Main[[#This Row],[مقدار (کیلوگرم)]]&lt;0,Main[[#This Row],[تاريخ میلادی]]&gt;44276),Main[[#This Row],[مقدار (کیلوگرم)]],0)</f>
        <v>4724</v>
      </c>
      <c r="N356" s="6">
        <f ca="1">Main[[#This Row],[بدهکار (کیلوگرم)]]-Main[[#This Row],[بدهی تسویه نشده (کیلوگرم)]]</f>
        <v>4724</v>
      </c>
      <c r="O356" s="6">
        <f ca="1">Main[[#This Row],[تفکیک]]</f>
        <v>0</v>
      </c>
      <c r="P356" s="6">
        <f ca="1">IF(Main[[#This Row],[تاخیر از سررسید]]&gt;0,Main[[#This Row],[بدهی تسویه نشده (کیلوگرم)]],0)</f>
        <v>0</v>
      </c>
      <c r="Q356" s="6">
        <f ca="1">IF(Main[[#This Row],[بدهی تسویه نشده (کیلوگرم)]]&gt;0,'گزارش فردی'!$B$7-Main[[#This Row],[تاريخ میلادی]],0)</f>
        <v>0</v>
      </c>
      <c r="R356" s="6">
        <f ca="1">IF(Main[[#This Row],[بدهی تسویه نشده (کیلوگرم)]]&gt;0,'گزارش فردی'!$B$7-Main[[#This Row],[تاريخ میلادی]]-'گزارش فردی'!$B$8,0)</f>
        <v>0</v>
      </c>
      <c r="S356" s="6">
        <f ca="1">Main[[#This Row],[روز از ارسال سفارش]]*Main[[#This Row],[بدهی تسویه نشده (کیلوگرم)]]</f>
        <v>0</v>
      </c>
      <c r="T356" s="6">
        <f ca="1">Main[[#This Row],[بدهی سررسید شده (کیلوگرم)]]*Main[[#This Row],[روز از ارسال سفارش]]</f>
        <v>0</v>
      </c>
      <c r="U356" s="6">
        <f>-SUBTOTAL(9,INDEX(Main[مقدار (کیلوگرم)],1):Main[[#This Row],[مقدار (کیلوگرم)]])</f>
        <v>43178</v>
      </c>
      <c r="V3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6" s="6">
        <f>Main[[#This Row],[تعداد کل روزهای بدهکار (روز)]]*Main[[#This Row],[مانده در خط کل (کیلوگرم)]]</f>
        <v>0</v>
      </c>
      <c r="X356" s="6">
        <f ca="1">-SUBTOTAL(9,INDEX(Main[مقدار تسویه شده (کیلوگرم)],1):Main[[#This Row],[مقدار تسویه شده (کیلوگرم)]])</f>
        <v>43178</v>
      </c>
      <c r="Y356" s="6">
        <f ca="1">IF(Main[[#This Row],[مانده در خط تسویه شده (کیلوگرم)]]&lt;&gt;0,Main[[#This Row],[تعداد کل روزهای بدهکار (روز)]],0)</f>
        <v>0</v>
      </c>
      <c r="Z356" s="6">
        <f ca="1">Main[[#This Row],[تعداد روزهای بدهکار تسویه شده (روز)]]*Main[[#This Row],[مانده در خط تسویه شده (کیلوگرم)]]</f>
        <v>0</v>
      </c>
      <c r="AA356" s="6">
        <f ca="1">SUBTOTAL(9,INDEX(Main[بدهی تسویه نشده (کیلوگرم)],1):Main[[#This Row],[بدهی تسویه نشده (کیلوگرم)]])</f>
        <v>0</v>
      </c>
      <c r="AB356" s="6">
        <f ca="1">IF(Main[[#This Row],[مانده در خط تسویه نشده (کیلوگرم)]]&lt;&gt;0,Main[[#This Row],[تعداد کل روزهای بدهکار (روز)]],0)</f>
        <v>0</v>
      </c>
      <c r="AC356" s="6">
        <f ca="1">Main[[#This Row],[تعداد روزهای بدهکار  تسویه نشده (روز)]]*Main[[#This Row],[مانده در خط تسویه نشده (کیلوگرم)]]</f>
        <v>0</v>
      </c>
      <c r="AD356" s="6">
        <f ca="1">SUBTOTAL(9,INDEX(Main[بدهی سررسید شده (کیلوگرم)],1):Main[[#This Row],[بدهی سررسید شده (کیلوگرم)]])</f>
        <v>0</v>
      </c>
      <c r="AE356" s="6">
        <f ca="1">IF(Main[[#This Row],[مانده در خط سررسید شده (کیلوگرم)]]&lt;&gt;0,Main[[#This Row],[تعداد کل روزهای بدهکار (روز)]],0)</f>
        <v>0</v>
      </c>
      <c r="AF356" s="6">
        <f ca="1">Main[[#This Row],[تعداد روزهای بدهکار سررسید شده (روز)]]*Main[[#This Row],[مانده در خط سررسید شده (کیلوگرم)]]</f>
        <v>0</v>
      </c>
    </row>
    <row r="357" spans="1:32" hidden="1" x14ac:dyDescent="0.35">
      <c r="A357" s="5">
        <f>ROW()-ROW(INDEX(Main[ردیف],1))+1</f>
        <v>355</v>
      </c>
      <c r="B357" s="31">
        <f>SUBTOTAL(2,INDEX(Main[ردیف],1):Main[[#This Row],[ردیف]])</f>
        <v>34</v>
      </c>
      <c r="C357" s="32" t="s">
        <v>540</v>
      </c>
      <c r="D357" s="32" t="str">
        <f>_xlfn.CONCAT("14",Main[[#This Row],[تاريخ]])</f>
        <v>1400/02/13</v>
      </c>
      <c r="E357" s="33">
        <v>44319</v>
      </c>
      <c r="F357" s="32">
        <v>30186</v>
      </c>
      <c r="G357" s="5" t="str">
        <f>INDEX(customer[عنوان],MATCH(Main[[#This Row],[کد ردیابی]],customer[کد],0))</f>
        <v>سارا گاز</v>
      </c>
      <c r="H357">
        <v>1754</v>
      </c>
      <c r="I357" s="6">
        <f ca="1">-Main[[#This Row],[بدهی تسویه شده (کیلوگرم)]]+Main[[#This Row],[بستانکار (کیلوگرم)]]</f>
        <v>1754</v>
      </c>
      <c r="J357" s="6">
        <f>IF(Main[[#This Row],[مقدار (کیلوگرم)]]&gt;0,Main[[#This Row],[مقدار (کیلوگرم)]],0)</f>
        <v>1754</v>
      </c>
      <c r="K357" s="6">
        <f>-IF(Main[[#This Row],[مقدار (کیلوگرم)]]&lt;0,Main[[#This Row],[مقدار (کیلوگرم)]],0)</f>
        <v>0</v>
      </c>
      <c r="L3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7" s="7">
        <f>-IF(AND(Main[[#This Row],[مقدار (کیلوگرم)]]&lt;0,Main[[#This Row],[تاريخ میلادی]]&gt;44276),Main[[#This Row],[مقدار (کیلوگرم)]],0)</f>
        <v>0</v>
      </c>
      <c r="N357" s="6">
        <f ca="1">Main[[#This Row],[بدهکار (کیلوگرم)]]-Main[[#This Row],[بدهی تسویه نشده (کیلوگرم)]]</f>
        <v>0</v>
      </c>
      <c r="O357" s="6">
        <f ca="1">Main[[#This Row],[تفکیک]]</f>
        <v>0</v>
      </c>
      <c r="P357" s="6">
        <f ca="1">IF(Main[[#This Row],[تاخیر از سررسید]]&gt;0,Main[[#This Row],[بدهی تسویه نشده (کیلوگرم)]],0)</f>
        <v>0</v>
      </c>
      <c r="Q357" s="6">
        <f ca="1">IF(Main[[#This Row],[بدهی تسویه نشده (کیلوگرم)]]&gt;0,'گزارش فردی'!$B$7-Main[[#This Row],[تاريخ میلادی]],0)</f>
        <v>0</v>
      </c>
      <c r="R357" s="6">
        <f ca="1">IF(Main[[#This Row],[بدهی تسویه نشده (کیلوگرم)]]&gt;0,'گزارش فردی'!$B$7-Main[[#This Row],[تاريخ میلادی]]-'گزارش فردی'!$B$8,0)</f>
        <v>0</v>
      </c>
      <c r="S357" s="6">
        <f ca="1">Main[[#This Row],[روز از ارسال سفارش]]*Main[[#This Row],[بدهی تسویه نشده (کیلوگرم)]]</f>
        <v>0</v>
      </c>
      <c r="T357" s="6">
        <f ca="1">Main[[#This Row],[بدهی سررسید شده (کیلوگرم)]]*Main[[#This Row],[روز از ارسال سفارش]]</f>
        <v>0</v>
      </c>
      <c r="U357" s="6">
        <f>-SUBTOTAL(9,INDEX(Main[مقدار (کیلوگرم)],1):Main[[#This Row],[مقدار (کیلوگرم)]])</f>
        <v>43178</v>
      </c>
      <c r="V3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7" s="6">
        <f>Main[[#This Row],[تعداد کل روزهای بدهکار (روز)]]*Main[[#This Row],[مانده در خط کل (کیلوگرم)]]</f>
        <v>0</v>
      </c>
      <c r="X357" s="6">
        <f ca="1">-SUBTOTAL(9,INDEX(Main[مقدار تسویه شده (کیلوگرم)],1):Main[[#This Row],[مقدار تسویه شده (کیلوگرم)]])</f>
        <v>43178</v>
      </c>
      <c r="Y357" s="6">
        <f ca="1">IF(Main[[#This Row],[مانده در خط تسویه شده (کیلوگرم)]]&lt;&gt;0,Main[[#This Row],[تعداد کل روزهای بدهکار (روز)]],0)</f>
        <v>0</v>
      </c>
      <c r="Z357" s="6">
        <f ca="1">Main[[#This Row],[تعداد روزهای بدهکار تسویه شده (روز)]]*Main[[#This Row],[مانده در خط تسویه شده (کیلوگرم)]]</f>
        <v>0</v>
      </c>
      <c r="AA357" s="6">
        <f ca="1">SUBTOTAL(9,INDEX(Main[بدهی تسویه نشده (کیلوگرم)],1):Main[[#This Row],[بدهی تسویه نشده (کیلوگرم)]])</f>
        <v>0</v>
      </c>
      <c r="AB357" s="6">
        <f ca="1">IF(Main[[#This Row],[مانده در خط تسویه نشده (کیلوگرم)]]&lt;&gt;0,Main[[#This Row],[تعداد کل روزهای بدهکار (روز)]],0)</f>
        <v>0</v>
      </c>
      <c r="AC357" s="6">
        <f ca="1">Main[[#This Row],[تعداد روزهای بدهکار  تسویه نشده (روز)]]*Main[[#This Row],[مانده در خط تسویه نشده (کیلوگرم)]]</f>
        <v>0</v>
      </c>
      <c r="AD357" s="6">
        <f ca="1">SUBTOTAL(9,INDEX(Main[بدهی سررسید شده (کیلوگرم)],1):Main[[#This Row],[بدهی سررسید شده (کیلوگرم)]])</f>
        <v>0</v>
      </c>
      <c r="AE357" s="6">
        <f ca="1">IF(Main[[#This Row],[مانده در خط سررسید شده (کیلوگرم)]]&lt;&gt;0,Main[[#This Row],[تعداد کل روزهای بدهکار (روز)]],0)</f>
        <v>0</v>
      </c>
      <c r="AF357" s="6">
        <f ca="1">Main[[#This Row],[تعداد روزهای بدهکار سررسید شده (روز)]]*Main[[#This Row],[مانده در خط سررسید شده (کیلوگرم)]]</f>
        <v>0</v>
      </c>
    </row>
    <row r="358" spans="1:32" x14ac:dyDescent="0.35">
      <c r="A358" s="5">
        <f>ROW()-ROW(INDEX(Main[ردیف],1))+1</f>
        <v>356</v>
      </c>
      <c r="B358" s="31">
        <f>SUBTOTAL(2,INDEX(Main[ردیف],1):Main[[#This Row],[ردیف]])</f>
        <v>35</v>
      </c>
      <c r="C358" s="32" t="s">
        <v>540</v>
      </c>
      <c r="D358" s="32" t="str">
        <f>_xlfn.CONCAT("14",Main[[#This Row],[تاريخ]])</f>
        <v>1400/02/13</v>
      </c>
      <c r="E358" s="33">
        <v>44319</v>
      </c>
      <c r="F358" s="32">
        <v>10003</v>
      </c>
      <c r="G358" s="5" t="str">
        <f>INDEX(customer[عنوان],MATCH(Main[[#This Row],[کد ردیابی]],customer[کد],0))</f>
        <v>اصغر نورعلی</v>
      </c>
      <c r="H358">
        <v>2541</v>
      </c>
      <c r="I358" s="6">
        <f ca="1">-Main[[#This Row],[بدهی تسویه شده (کیلوگرم)]]+Main[[#This Row],[بستانکار (کیلوگرم)]]</f>
        <v>2541</v>
      </c>
      <c r="J358" s="6">
        <f>IF(Main[[#This Row],[مقدار (کیلوگرم)]]&gt;0,Main[[#This Row],[مقدار (کیلوگرم)]],0)</f>
        <v>2541</v>
      </c>
      <c r="K358" s="6">
        <f>-IF(Main[[#This Row],[مقدار (کیلوگرم)]]&lt;0,Main[[#This Row],[مقدار (کیلوگرم)]],0)</f>
        <v>0</v>
      </c>
      <c r="L3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8" s="7">
        <f>-IF(AND(Main[[#This Row],[مقدار (کیلوگرم)]]&lt;0,Main[[#This Row],[تاريخ میلادی]]&gt;44276),Main[[#This Row],[مقدار (کیلوگرم)]],0)</f>
        <v>0</v>
      </c>
      <c r="N358" s="6">
        <f ca="1">Main[[#This Row],[بدهکار (کیلوگرم)]]-Main[[#This Row],[بدهی تسویه نشده (کیلوگرم)]]</f>
        <v>0</v>
      </c>
      <c r="O358" s="6">
        <f ca="1">Main[[#This Row],[تفکیک]]</f>
        <v>0</v>
      </c>
      <c r="P358" s="6">
        <f ca="1">IF(Main[[#This Row],[تاخیر از سررسید]]&gt;0,Main[[#This Row],[بدهی تسویه نشده (کیلوگرم)]],0)</f>
        <v>0</v>
      </c>
      <c r="Q358" s="6">
        <f ca="1">IF(Main[[#This Row],[بدهی تسویه نشده (کیلوگرم)]]&gt;0,'گزارش فردی'!$B$7-Main[[#This Row],[تاريخ میلادی]],0)</f>
        <v>0</v>
      </c>
      <c r="R358" s="6">
        <f ca="1">IF(Main[[#This Row],[بدهی تسویه نشده (کیلوگرم)]]&gt;0,'گزارش فردی'!$B$7-Main[[#This Row],[تاريخ میلادی]]-'گزارش فردی'!$B$8,0)</f>
        <v>0</v>
      </c>
      <c r="S358" s="6">
        <f ca="1">Main[[#This Row],[روز از ارسال سفارش]]*Main[[#This Row],[بدهی تسویه نشده (کیلوگرم)]]</f>
        <v>0</v>
      </c>
      <c r="T358" s="6">
        <f ca="1">Main[[#This Row],[بدهی سررسید شده (کیلوگرم)]]*Main[[#This Row],[روز از ارسال سفارش]]</f>
        <v>0</v>
      </c>
      <c r="U358" s="6">
        <f>-SUBTOTAL(9,INDEX(Main[مقدار (کیلوگرم)],1):Main[[#This Row],[مقدار (کیلوگرم)]])</f>
        <v>40637</v>
      </c>
      <c r="V3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58" s="6">
        <f>Main[[#This Row],[تعداد کل روزهای بدهکار (روز)]]*Main[[#This Row],[مانده در خط کل (کیلوگرم)]]</f>
        <v>81274</v>
      </c>
      <c r="X358" s="6">
        <f ca="1">-SUBTOTAL(9,INDEX(Main[مقدار تسویه شده (کیلوگرم)],1):Main[[#This Row],[مقدار تسویه شده (کیلوگرم)]])</f>
        <v>40637</v>
      </c>
      <c r="Y358" s="6">
        <f ca="1">IF(Main[[#This Row],[مانده در خط تسویه شده (کیلوگرم)]]&lt;&gt;0,Main[[#This Row],[تعداد کل روزهای بدهکار (روز)]],0)</f>
        <v>2</v>
      </c>
      <c r="Z358" s="6">
        <f ca="1">Main[[#This Row],[تعداد روزهای بدهکار تسویه شده (روز)]]*Main[[#This Row],[مانده در خط تسویه شده (کیلوگرم)]]</f>
        <v>81274</v>
      </c>
      <c r="AA358" s="6">
        <f ca="1">SUBTOTAL(9,INDEX(Main[بدهی تسویه نشده (کیلوگرم)],1):Main[[#This Row],[بدهی تسویه نشده (کیلوگرم)]])</f>
        <v>0</v>
      </c>
      <c r="AB358" s="6">
        <f ca="1">IF(Main[[#This Row],[مانده در خط تسویه نشده (کیلوگرم)]]&lt;&gt;0,Main[[#This Row],[تعداد کل روزهای بدهکار (روز)]],0)</f>
        <v>0</v>
      </c>
      <c r="AC358" s="6">
        <f ca="1">Main[[#This Row],[تعداد روزهای بدهکار  تسویه نشده (روز)]]*Main[[#This Row],[مانده در خط تسویه نشده (کیلوگرم)]]</f>
        <v>0</v>
      </c>
      <c r="AD358" s="6">
        <f ca="1">SUBTOTAL(9,INDEX(Main[بدهی سررسید شده (کیلوگرم)],1):Main[[#This Row],[بدهی سررسید شده (کیلوگرم)]])</f>
        <v>0</v>
      </c>
      <c r="AE358" s="6">
        <f ca="1">IF(Main[[#This Row],[مانده در خط سررسید شده (کیلوگرم)]]&lt;&gt;0,Main[[#This Row],[تعداد کل روزهای بدهکار (روز)]],0)</f>
        <v>0</v>
      </c>
      <c r="AF358" s="6">
        <f ca="1">Main[[#This Row],[تعداد روزهای بدهکار سررسید شده (روز)]]*Main[[#This Row],[مانده در خط سررسید شده (کیلوگرم)]]</f>
        <v>0</v>
      </c>
    </row>
    <row r="359" spans="1:32" hidden="1" x14ac:dyDescent="0.35">
      <c r="A359" s="5">
        <f>ROW()-ROW(INDEX(Main[ردیف],1))+1</f>
        <v>357</v>
      </c>
      <c r="B359" s="31">
        <f>SUBTOTAL(2,INDEX(Main[ردیف],1):Main[[#This Row],[ردیف]])</f>
        <v>35</v>
      </c>
      <c r="C359" s="32" t="s">
        <v>540</v>
      </c>
      <c r="D359" s="32" t="str">
        <f>_xlfn.CONCAT("14",Main[[#This Row],[تاريخ]])</f>
        <v>1400/02/13</v>
      </c>
      <c r="E359" s="33">
        <v>44319</v>
      </c>
      <c r="F359" s="32">
        <v>30146</v>
      </c>
      <c r="G359" s="5" t="str">
        <f>INDEX(customer[عنوان],MATCH(Main[[#This Row],[کد ردیابی]],customer[کد],0))</f>
        <v>شرکت آذرپاد</v>
      </c>
      <c r="H359">
        <v>346</v>
      </c>
      <c r="I359" s="6">
        <f ca="1">-Main[[#This Row],[بدهی تسویه شده (کیلوگرم)]]+Main[[#This Row],[بستانکار (کیلوگرم)]]</f>
        <v>346</v>
      </c>
      <c r="J359" s="6">
        <f>IF(Main[[#This Row],[مقدار (کیلوگرم)]]&gt;0,Main[[#This Row],[مقدار (کیلوگرم)]],0)</f>
        <v>346</v>
      </c>
      <c r="K359" s="6">
        <f>-IF(Main[[#This Row],[مقدار (کیلوگرم)]]&lt;0,Main[[#This Row],[مقدار (کیلوگرم)]],0)</f>
        <v>0</v>
      </c>
      <c r="L3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9" s="7">
        <f>-IF(AND(Main[[#This Row],[مقدار (کیلوگرم)]]&lt;0,Main[[#This Row],[تاريخ میلادی]]&gt;44276),Main[[#This Row],[مقدار (کیلوگرم)]],0)</f>
        <v>0</v>
      </c>
      <c r="N359" s="6">
        <f ca="1">Main[[#This Row],[بدهکار (کیلوگرم)]]-Main[[#This Row],[بدهی تسویه نشده (کیلوگرم)]]</f>
        <v>0</v>
      </c>
      <c r="O359" s="6">
        <f ca="1">Main[[#This Row],[تفکیک]]</f>
        <v>0</v>
      </c>
      <c r="P359" s="6">
        <f ca="1">IF(Main[[#This Row],[تاخیر از سررسید]]&gt;0,Main[[#This Row],[بدهی تسویه نشده (کیلوگرم)]],0)</f>
        <v>0</v>
      </c>
      <c r="Q359" s="6">
        <f ca="1">IF(Main[[#This Row],[بدهی تسویه نشده (کیلوگرم)]]&gt;0,'گزارش فردی'!$B$7-Main[[#This Row],[تاريخ میلادی]],0)</f>
        <v>0</v>
      </c>
      <c r="R359" s="6">
        <f ca="1">IF(Main[[#This Row],[بدهی تسویه نشده (کیلوگرم)]]&gt;0,'گزارش فردی'!$B$7-Main[[#This Row],[تاريخ میلادی]]-'گزارش فردی'!$B$8,0)</f>
        <v>0</v>
      </c>
      <c r="S359" s="6">
        <f ca="1">Main[[#This Row],[روز از ارسال سفارش]]*Main[[#This Row],[بدهی تسویه نشده (کیلوگرم)]]</f>
        <v>0</v>
      </c>
      <c r="T359" s="6">
        <f ca="1">Main[[#This Row],[بدهی سررسید شده (کیلوگرم)]]*Main[[#This Row],[روز از ارسال سفارش]]</f>
        <v>0</v>
      </c>
      <c r="U359" s="6">
        <f>-SUBTOTAL(9,INDEX(Main[مقدار (کیلوگرم)],1):Main[[#This Row],[مقدار (کیلوگرم)]])</f>
        <v>40637</v>
      </c>
      <c r="V3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59" s="6">
        <f>Main[[#This Row],[تعداد کل روزهای بدهکار (روز)]]*Main[[#This Row],[مانده در خط کل (کیلوگرم)]]</f>
        <v>81274</v>
      </c>
      <c r="X359" s="6">
        <f ca="1">-SUBTOTAL(9,INDEX(Main[مقدار تسویه شده (کیلوگرم)],1):Main[[#This Row],[مقدار تسویه شده (کیلوگرم)]])</f>
        <v>40637</v>
      </c>
      <c r="Y359" s="6">
        <f ca="1">IF(Main[[#This Row],[مانده در خط تسویه شده (کیلوگرم)]]&lt;&gt;0,Main[[#This Row],[تعداد کل روزهای بدهکار (روز)]],0)</f>
        <v>2</v>
      </c>
      <c r="Z359" s="6">
        <f ca="1">Main[[#This Row],[تعداد روزهای بدهکار تسویه شده (روز)]]*Main[[#This Row],[مانده در خط تسویه شده (کیلوگرم)]]</f>
        <v>81274</v>
      </c>
      <c r="AA359" s="6">
        <f ca="1">SUBTOTAL(9,INDEX(Main[بدهی تسویه نشده (کیلوگرم)],1):Main[[#This Row],[بدهی تسویه نشده (کیلوگرم)]])</f>
        <v>0</v>
      </c>
      <c r="AB359" s="6">
        <f ca="1">IF(Main[[#This Row],[مانده در خط تسویه نشده (کیلوگرم)]]&lt;&gt;0,Main[[#This Row],[تعداد کل روزهای بدهکار (روز)]],0)</f>
        <v>0</v>
      </c>
      <c r="AC359" s="6">
        <f ca="1">Main[[#This Row],[تعداد روزهای بدهکار  تسویه نشده (روز)]]*Main[[#This Row],[مانده در خط تسویه نشده (کیلوگرم)]]</f>
        <v>0</v>
      </c>
      <c r="AD359" s="6">
        <f ca="1">SUBTOTAL(9,INDEX(Main[بدهی سررسید شده (کیلوگرم)],1):Main[[#This Row],[بدهی سررسید شده (کیلوگرم)]])</f>
        <v>0</v>
      </c>
      <c r="AE359" s="6">
        <f ca="1">IF(Main[[#This Row],[مانده در خط سررسید شده (کیلوگرم)]]&lt;&gt;0,Main[[#This Row],[تعداد کل روزهای بدهکار (روز)]],0)</f>
        <v>0</v>
      </c>
      <c r="AF359" s="6">
        <f ca="1">Main[[#This Row],[تعداد روزهای بدهکار سررسید شده (روز)]]*Main[[#This Row],[مانده در خط سررسید شده (کیلوگرم)]]</f>
        <v>0</v>
      </c>
    </row>
    <row r="360" spans="1:32" hidden="1" x14ac:dyDescent="0.35">
      <c r="A360" s="5">
        <f>ROW()-ROW(INDEX(Main[ردیف],1))+1</f>
        <v>358</v>
      </c>
      <c r="B360" s="31">
        <f>SUBTOTAL(2,INDEX(Main[ردیف],1):Main[[#This Row],[ردیف]])</f>
        <v>35</v>
      </c>
      <c r="C360" s="32" t="s">
        <v>541</v>
      </c>
      <c r="D360" s="32" t="str">
        <f>_xlfn.CONCAT("14",Main[[#This Row],[تاريخ]])</f>
        <v>1400/02/14</v>
      </c>
      <c r="E360" s="33">
        <v>44320</v>
      </c>
      <c r="F360" s="32">
        <v>30127</v>
      </c>
      <c r="G360" s="5" t="str">
        <f>INDEX(customer[عنوان],MATCH(Main[[#This Row],[کد ردیابی]],customer[کد],0))</f>
        <v>شیر گاز آذران</v>
      </c>
      <c r="H360">
        <v>-16031</v>
      </c>
      <c r="I360" s="6">
        <f ca="1">-Main[[#This Row],[بدهی تسویه شده (کیلوگرم)]]+Main[[#This Row],[بستانکار (کیلوگرم)]]</f>
        <v>-16031</v>
      </c>
      <c r="J360" s="6">
        <f>IF(Main[[#This Row],[مقدار (کیلوگرم)]]&gt;0,Main[[#This Row],[مقدار (کیلوگرم)]],0)</f>
        <v>0</v>
      </c>
      <c r="K360" s="6">
        <f>-IF(Main[[#This Row],[مقدار (کیلوگرم)]]&lt;0,Main[[#This Row],[مقدار (کیلوگرم)]],0)</f>
        <v>16031</v>
      </c>
      <c r="L3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0" s="7">
        <f>-IF(AND(Main[[#This Row],[مقدار (کیلوگرم)]]&lt;0,Main[[#This Row],[تاريخ میلادی]]&gt;44276),Main[[#This Row],[مقدار (کیلوگرم)]],0)</f>
        <v>16031</v>
      </c>
      <c r="N360" s="6">
        <f ca="1">Main[[#This Row],[بدهکار (کیلوگرم)]]-Main[[#This Row],[بدهی تسویه نشده (کیلوگرم)]]</f>
        <v>16031</v>
      </c>
      <c r="O360" s="6">
        <f ca="1">Main[[#This Row],[تفکیک]]</f>
        <v>0</v>
      </c>
      <c r="P360" s="6">
        <f ca="1">IF(Main[[#This Row],[تاخیر از سررسید]]&gt;0,Main[[#This Row],[بدهی تسویه نشده (کیلوگرم)]],0)</f>
        <v>0</v>
      </c>
      <c r="Q360" s="6">
        <f ca="1">IF(Main[[#This Row],[بدهی تسویه نشده (کیلوگرم)]]&gt;0,'گزارش فردی'!$B$7-Main[[#This Row],[تاريخ میلادی]],0)</f>
        <v>0</v>
      </c>
      <c r="R360" s="6">
        <f ca="1">IF(Main[[#This Row],[بدهی تسویه نشده (کیلوگرم)]]&gt;0,'گزارش فردی'!$B$7-Main[[#This Row],[تاريخ میلادی]]-'گزارش فردی'!$B$8,0)</f>
        <v>0</v>
      </c>
      <c r="S360" s="6">
        <f ca="1">Main[[#This Row],[روز از ارسال سفارش]]*Main[[#This Row],[بدهی تسویه نشده (کیلوگرم)]]</f>
        <v>0</v>
      </c>
      <c r="T360" s="6">
        <f ca="1">Main[[#This Row],[بدهی سررسید شده (کیلوگرم)]]*Main[[#This Row],[روز از ارسال سفارش]]</f>
        <v>0</v>
      </c>
      <c r="U360" s="6">
        <f>-SUBTOTAL(9,INDEX(Main[مقدار (کیلوگرم)],1):Main[[#This Row],[مقدار (کیلوگرم)]])</f>
        <v>40637</v>
      </c>
      <c r="V3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60" s="6">
        <f>Main[[#This Row],[تعداد کل روزهای بدهکار (روز)]]*Main[[#This Row],[مانده در خط کل (کیلوگرم)]]</f>
        <v>40637</v>
      </c>
      <c r="X360" s="6">
        <f ca="1">-SUBTOTAL(9,INDEX(Main[مقدار تسویه شده (کیلوگرم)],1):Main[[#This Row],[مقدار تسویه شده (کیلوگرم)]])</f>
        <v>40637</v>
      </c>
      <c r="Y360" s="6">
        <f ca="1">IF(Main[[#This Row],[مانده در خط تسویه شده (کیلوگرم)]]&lt;&gt;0,Main[[#This Row],[تعداد کل روزهای بدهکار (روز)]],0)</f>
        <v>1</v>
      </c>
      <c r="Z360" s="6">
        <f ca="1">Main[[#This Row],[تعداد روزهای بدهکار تسویه شده (روز)]]*Main[[#This Row],[مانده در خط تسویه شده (کیلوگرم)]]</f>
        <v>40637</v>
      </c>
      <c r="AA360" s="6">
        <f ca="1">SUBTOTAL(9,INDEX(Main[بدهی تسویه نشده (کیلوگرم)],1):Main[[#This Row],[بدهی تسویه نشده (کیلوگرم)]])</f>
        <v>0</v>
      </c>
      <c r="AB360" s="6">
        <f ca="1">IF(Main[[#This Row],[مانده در خط تسویه نشده (کیلوگرم)]]&lt;&gt;0,Main[[#This Row],[تعداد کل روزهای بدهکار (روز)]],0)</f>
        <v>0</v>
      </c>
      <c r="AC360" s="6">
        <f ca="1">Main[[#This Row],[تعداد روزهای بدهکار  تسویه نشده (روز)]]*Main[[#This Row],[مانده در خط تسویه نشده (کیلوگرم)]]</f>
        <v>0</v>
      </c>
      <c r="AD360" s="6">
        <f ca="1">SUBTOTAL(9,INDEX(Main[بدهی سررسید شده (کیلوگرم)],1):Main[[#This Row],[بدهی سررسید شده (کیلوگرم)]])</f>
        <v>0</v>
      </c>
      <c r="AE360" s="6">
        <f ca="1">IF(Main[[#This Row],[مانده در خط سررسید شده (کیلوگرم)]]&lt;&gt;0,Main[[#This Row],[تعداد کل روزهای بدهکار (روز)]],0)</f>
        <v>0</v>
      </c>
      <c r="AF360" s="6">
        <f ca="1">Main[[#This Row],[تعداد روزهای بدهکار سررسید شده (روز)]]*Main[[#This Row],[مانده در خط سررسید شده (کیلوگرم)]]</f>
        <v>0</v>
      </c>
    </row>
    <row r="361" spans="1:32" hidden="1" x14ac:dyDescent="0.35">
      <c r="A361" s="5">
        <f>ROW()-ROW(INDEX(Main[ردیف],1))+1</f>
        <v>359</v>
      </c>
      <c r="B361" s="31">
        <f>SUBTOTAL(2,INDEX(Main[ردیف],1):Main[[#This Row],[ردیف]])</f>
        <v>35</v>
      </c>
      <c r="C361" s="32" t="s">
        <v>541</v>
      </c>
      <c r="D361" s="32" t="str">
        <f>_xlfn.CONCAT("14",Main[[#This Row],[تاريخ]])</f>
        <v>1400/02/14</v>
      </c>
      <c r="E361" s="33">
        <v>44320</v>
      </c>
      <c r="F361" s="32">
        <v>30127</v>
      </c>
      <c r="G361" s="5" t="str">
        <f>INDEX(customer[عنوان],MATCH(Main[[#This Row],[کد ردیابی]],customer[کد],0))</f>
        <v>شیر گاز آذران</v>
      </c>
      <c r="H361">
        <v>14978</v>
      </c>
      <c r="I361" s="6">
        <f ca="1">-Main[[#This Row],[بدهی تسویه شده (کیلوگرم)]]+Main[[#This Row],[بستانکار (کیلوگرم)]]</f>
        <v>14978</v>
      </c>
      <c r="J361" s="6">
        <f>IF(Main[[#This Row],[مقدار (کیلوگرم)]]&gt;0,Main[[#This Row],[مقدار (کیلوگرم)]],0)</f>
        <v>14978</v>
      </c>
      <c r="K361" s="6">
        <f>-IF(Main[[#This Row],[مقدار (کیلوگرم)]]&lt;0,Main[[#This Row],[مقدار (کیلوگرم)]],0)</f>
        <v>0</v>
      </c>
      <c r="L3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1" s="7">
        <f>-IF(AND(Main[[#This Row],[مقدار (کیلوگرم)]]&lt;0,Main[[#This Row],[تاريخ میلادی]]&gt;44276),Main[[#This Row],[مقدار (کیلوگرم)]],0)</f>
        <v>0</v>
      </c>
      <c r="N361" s="6">
        <f ca="1">Main[[#This Row],[بدهکار (کیلوگرم)]]-Main[[#This Row],[بدهی تسویه نشده (کیلوگرم)]]</f>
        <v>0</v>
      </c>
      <c r="O361" s="6">
        <f ca="1">Main[[#This Row],[تفکیک]]</f>
        <v>0</v>
      </c>
      <c r="P361" s="6">
        <f ca="1">IF(Main[[#This Row],[تاخیر از سررسید]]&gt;0,Main[[#This Row],[بدهی تسویه نشده (کیلوگرم)]],0)</f>
        <v>0</v>
      </c>
      <c r="Q361" s="6">
        <f ca="1">IF(Main[[#This Row],[بدهی تسویه نشده (کیلوگرم)]]&gt;0,'گزارش فردی'!$B$7-Main[[#This Row],[تاريخ میلادی]],0)</f>
        <v>0</v>
      </c>
      <c r="R361" s="6">
        <f ca="1">IF(Main[[#This Row],[بدهی تسویه نشده (کیلوگرم)]]&gt;0,'گزارش فردی'!$B$7-Main[[#This Row],[تاريخ میلادی]]-'گزارش فردی'!$B$8,0)</f>
        <v>0</v>
      </c>
      <c r="S361" s="6">
        <f ca="1">Main[[#This Row],[روز از ارسال سفارش]]*Main[[#This Row],[بدهی تسویه نشده (کیلوگرم)]]</f>
        <v>0</v>
      </c>
      <c r="T361" s="6">
        <f ca="1">Main[[#This Row],[بدهی سررسید شده (کیلوگرم)]]*Main[[#This Row],[روز از ارسال سفارش]]</f>
        <v>0</v>
      </c>
      <c r="U361" s="6">
        <f>-SUBTOTAL(9,INDEX(Main[مقدار (کیلوگرم)],1):Main[[#This Row],[مقدار (کیلوگرم)]])</f>
        <v>40637</v>
      </c>
      <c r="V3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61" s="6">
        <f>Main[[#This Row],[تعداد کل روزهای بدهکار (روز)]]*Main[[#This Row],[مانده در خط کل (کیلوگرم)]]</f>
        <v>40637</v>
      </c>
      <c r="X361" s="6">
        <f ca="1">-SUBTOTAL(9,INDEX(Main[مقدار تسویه شده (کیلوگرم)],1):Main[[#This Row],[مقدار تسویه شده (کیلوگرم)]])</f>
        <v>40637</v>
      </c>
      <c r="Y361" s="6">
        <f ca="1">IF(Main[[#This Row],[مانده در خط تسویه شده (کیلوگرم)]]&lt;&gt;0,Main[[#This Row],[تعداد کل روزهای بدهکار (روز)]],0)</f>
        <v>1</v>
      </c>
      <c r="Z361" s="6">
        <f ca="1">Main[[#This Row],[تعداد روزهای بدهکار تسویه شده (روز)]]*Main[[#This Row],[مانده در خط تسویه شده (کیلوگرم)]]</f>
        <v>40637</v>
      </c>
      <c r="AA361" s="6">
        <f ca="1">SUBTOTAL(9,INDEX(Main[بدهی تسویه نشده (کیلوگرم)],1):Main[[#This Row],[بدهی تسویه نشده (کیلوگرم)]])</f>
        <v>0</v>
      </c>
      <c r="AB361" s="6">
        <f ca="1">IF(Main[[#This Row],[مانده در خط تسویه نشده (کیلوگرم)]]&lt;&gt;0,Main[[#This Row],[تعداد کل روزهای بدهکار (روز)]],0)</f>
        <v>0</v>
      </c>
      <c r="AC361" s="6">
        <f ca="1">Main[[#This Row],[تعداد روزهای بدهکار  تسویه نشده (روز)]]*Main[[#This Row],[مانده در خط تسویه نشده (کیلوگرم)]]</f>
        <v>0</v>
      </c>
      <c r="AD361" s="6">
        <f ca="1">SUBTOTAL(9,INDEX(Main[بدهی سررسید شده (کیلوگرم)],1):Main[[#This Row],[بدهی سررسید شده (کیلوگرم)]])</f>
        <v>0</v>
      </c>
      <c r="AE361" s="6">
        <f ca="1">IF(Main[[#This Row],[مانده در خط سررسید شده (کیلوگرم)]]&lt;&gt;0,Main[[#This Row],[تعداد کل روزهای بدهکار (روز)]],0)</f>
        <v>0</v>
      </c>
      <c r="AF361" s="6">
        <f ca="1">Main[[#This Row],[تعداد روزهای بدهکار سررسید شده (روز)]]*Main[[#This Row],[مانده در خط سررسید شده (کیلوگرم)]]</f>
        <v>0</v>
      </c>
    </row>
    <row r="362" spans="1:32" hidden="1" x14ac:dyDescent="0.35">
      <c r="A362" s="5">
        <f>ROW()-ROW(INDEX(Main[ردیف],1))+1</f>
        <v>360</v>
      </c>
      <c r="B362" s="31">
        <f>SUBTOTAL(2,INDEX(Main[ردیف],1):Main[[#This Row],[ردیف]])</f>
        <v>35</v>
      </c>
      <c r="C362" s="32" t="s">
        <v>541</v>
      </c>
      <c r="D362" s="32" t="str">
        <f>_xlfn.CONCAT("14",Main[[#This Row],[تاريخ]])</f>
        <v>1400/02/14</v>
      </c>
      <c r="E362" s="33">
        <v>44320</v>
      </c>
      <c r="F362" s="32">
        <v>30022</v>
      </c>
      <c r="G362" s="5" t="str">
        <f>INDEX(customer[عنوان],MATCH(Main[[#This Row],[کد ردیابی]],customer[کد],0))</f>
        <v xml:space="preserve">کلار پویا </v>
      </c>
      <c r="H362">
        <v>5085</v>
      </c>
      <c r="I362" s="6">
        <f ca="1">-Main[[#This Row],[بدهی تسویه شده (کیلوگرم)]]+Main[[#This Row],[بستانکار (کیلوگرم)]]</f>
        <v>5085</v>
      </c>
      <c r="J362" s="6">
        <f>IF(Main[[#This Row],[مقدار (کیلوگرم)]]&gt;0,Main[[#This Row],[مقدار (کیلوگرم)]],0)</f>
        <v>5085</v>
      </c>
      <c r="K362" s="6">
        <f>-IF(Main[[#This Row],[مقدار (کیلوگرم)]]&lt;0,Main[[#This Row],[مقدار (کیلوگرم)]],0)</f>
        <v>0</v>
      </c>
      <c r="L3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2" s="7">
        <f>-IF(AND(Main[[#This Row],[مقدار (کیلوگرم)]]&lt;0,Main[[#This Row],[تاريخ میلادی]]&gt;44276),Main[[#This Row],[مقدار (کیلوگرم)]],0)</f>
        <v>0</v>
      </c>
      <c r="N362" s="6">
        <f ca="1">Main[[#This Row],[بدهکار (کیلوگرم)]]-Main[[#This Row],[بدهی تسویه نشده (کیلوگرم)]]</f>
        <v>0</v>
      </c>
      <c r="O362" s="6">
        <f ca="1">Main[[#This Row],[تفکیک]]</f>
        <v>0</v>
      </c>
      <c r="P362" s="6">
        <f ca="1">IF(Main[[#This Row],[تاخیر از سررسید]]&gt;0,Main[[#This Row],[بدهی تسویه نشده (کیلوگرم)]],0)</f>
        <v>0</v>
      </c>
      <c r="Q362" s="6">
        <f ca="1">IF(Main[[#This Row],[بدهی تسویه نشده (کیلوگرم)]]&gt;0,'گزارش فردی'!$B$7-Main[[#This Row],[تاريخ میلادی]],0)</f>
        <v>0</v>
      </c>
      <c r="R362" s="6">
        <f ca="1">IF(Main[[#This Row],[بدهی تسویه نشده (کیلوگرم)]]&gt;0,'گزارش فردی'!$B$7-Main[[#This Row],[تاريخ میلادی]]-'گزارش فردی'!$B$8,0)</f>
        <v>0</v>
      </c>
      <c r="S362" s="6">
        <f ca="1">Main[[#This Row],[روز از ارسال سفارش]]*Main[[#This Row],[بدهی تسویه نشده (کیلوگرم)]]</f>
        <v>0</v>
      </c>
      <c r="T362" s="6">
        <f ca="1">Main[[#This Row],[بدهی سررسید شده (کیلوگرم)]]*Main[[#This Row],[روز از ارسال سفارش]]</f>
        <v>0</v>
      </c>
      <c r="U362" s="6">
        <f>-SUBTOTAL(9,INDEX(Main[مقدار (کیلوگرم)],1):Main[[#This Row],[مقدار (کیلوگرم)]])</f>
        <v>40637</v>
      </c>
      <c r="V3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62" s="6">
        <f>Main[[#This Row],[تعداد کل روزهای بدهکار (روز)]]*Main[[#This Row],[مانده در خط کل (کیلوگرم)]]</f>
        <v>40637</v>
      </c>
      <c r="X362" s="6">
        <f ca="1">-SUBTOTAL(9,INDEX(Main[مقدار تسویه شده (کیلوگرم)],1):Main[[#This Row],[مقدار تسویه شده (کیلوگرم)]])</f>
        <v>40637</v>
      </c>
      <c r="Y362" s="6">
        <f ca="1">IF(Main[[#This Row],[مانده در خط تسویه شده (کیلوگرم)]]&lt;&gt;0,Main[[#This Row],[تعداد کل روزهای بدهکار (روز)]],0)</f>
        <v>1</v>
      </c>
      <c r="Z362" s="6">
        <f ca="1">Main[[#This Row],[تعداد روزهای بدهکار تسویه شده (روز)]]*Main[[#This Row],[مانده در خط تسویه شده (کیلوگرم)]]</f>
        <v>40637</v>
      </c>
      <c r="AA362" s="6">
        <f ca="1">SUBTOTAL(9,INDEX(Main[بدهی تسویه نشده (کیلوگرم)],1):Main[[#This Row],[بدهی تسویه نشده (کیلوگرم)]])</f>
        <v>0</v>
      </c>
      <c r="AB362" s="6">
        <f ca="1">IF(Main[[#This Row],[مانده در خط تسویه نشده (کیلوگرم)]]&lt;&gt;0,Main[[#This Row],[تعداد کل روزهای بدهکار (روز)]],0)</f>
        <v>0</v>
      </c>
      <c r="AC362" s="6">
        <f ca="1">Main[[#This Row],[تعداد روزهای بدهکار  تسویه نشده (روز)]]*Main[[#This Row],[مانده در خط تسویه نشده (کیلوگرم)]]</f>
        <v>0</v>
      </c>
      <c r="AD362" s="6">
        <f ca="1">SUBTOTAL(9,INDEX(Main[بدهی سررسید شده (کیلوگرم)],1):Main[[#This Row],[بدهی سررسید شده (کیلوگرم)]])</f>
        <v>0</v>
      </c>
      <c r="AE362" s="6">
        <f ca="1">IF(Main[[#This Row],[مانده در خط سررسید شده (کیلوگرم)]]&lt;&gt;0,Main[[#This Row],[تعداد کل روزهای بدهکار (روز)]],0)</f>
        <v>0</v>
      </c>
      <c r="AF362" s="6">
        <f ca="1">Main[[#This Row],[تعداد روزهای بدهکار سررسید شده (روز)]]*Main[[#This Row],[مانده در خط سررسید شده (کیلوگرم)]]</f>
        <v>0</v>
      </c>
    </row>
    <row r="363" spans="1:32" hidden="1" x14ac:dyDescent="0.35">
      <c r="A363" s="5">
        <f>ROW()-ROW(INDEX(Main[ردیف],1))+1</f>
        <v>361</v>
      </c>
      <c r="B363" s="31">
        <f>SUBTOTAL(2,INDEX(Main[ردیف],1):Main[[#This Row],[ردیف]])</f>
        <v>35</v>
      </c>
      <c r="C363" s="32" t="s">
        <v>542</v>
      </c>
      <c r="D363" s="32" t="str">
        <f>_xlfn.CONCAT("14",Main[[#This Row],[تاريخ]])</f>
        <v>1400/02/15</v>
      </c>
      <c r="E363" s="33">
        <v>44321</v>
      </c>
      <c r="F363" s="32">
        <v>30009</v>
      </c>
      <c r="G363" s="5" t="str">
        <f>INDEX(customer[عنوان],MATCH(Main[[#This Row],[کد ردیابی]],customer[کد],0))</f>
        <v>شرکت ایمن تک پیشرو</v>
      </c>
      <c r="H363">
        <v>-3056</v>
      </c>
      <c r="I363" s="6">
        <f ca="1">-Main[[#This Row],[بدهی تسویه شده (کیلوگرم)]]+Main[[#This Row],[بستانکار (کیلوگرم)]]</f>
        <v>-3056</v>
      </c>
      <c r="J363" s="6">
        <f>IF(Main[[#This Row],[مقدار (کیلوگرم)]]&gt;0,Main[[#This Row],[مقدار (کیلوگرم)]],0)</f>
        <v>0</v>
      </c>
      <c r="K363" s="6">
        <f>-IF(Main[[#This Row],[مقدار (کیلوگرم)]]&lt;0,Main[[#This Row],[مقدار (کیلوگرم)]],0)</f>
        <v>3056</v>
      </c>
      <c r="L3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3" s="7">
        <f>-IF(AND(Main[[#This Row],[مقدار (کیلوگرم)]]&lt;0,Main[[#This Row],[تاريخ میلادی]]&gt;44276),Main[[#This Row],[مقدار (کیلوگرم)]],0)</f>
        <v>3056</v>
      </c>
      <c r="N363" s="6">
        <f ca="1">Main[[#This Row],[بدهکار (کیلوگرم)]]-Main[[#This Row],[بدهی تسویه نشده (کیلوگرم)]]</f>
        <v>3056</v>
      </c>
      <c r="O363" s="6">
        <f ca="1">Main[[#This Row],[تفکیک]]</f>
        <v>0</v>
      </c>
      <c r="P363" s="6">
        <f ca="1">IF(Main[[#This Row],[تاخیر از سررسید]]&gt;0,Main[[#This Row],[بدهی تسویه نشده (کیلوگرم)]],0)</f>
        <v>0</v>
      </c>
      <c r="Q363" s="6">
        <f ca="1">IF(Main[[#This Row],[بدهی تسویه نشده (کیلوگرم)]]&gt;0,'گزارش فردی'!$B$7-Main[[#This Row],[تاريخ میلادی]],0)</f>
        <v>0</v>
      </c>
      <c r="R363" s="6">
        <f ca="1">IF(Main[[#This Row],[بدهی تسویه نشده (کیلوگرم)]]&gt;0,'گزارش فردی'!$B$7-Main[[#This Row],[تاريخ میلادی]]-'گزارش فردی'!$B$8,0)</f>
        <v>0</v>
      </c>
      <c r="S363" s="6">
        <f ca="1">Main[[#This Row],[روز از ارسال سفارش]]*Main[[#This Row],[بدهی تسویه نشده (کیلوگرم)]]</f>
        <v>0</v>
      </c>
      <c r="T363" s="6">
        <f ca="1">Main[[#This Row],[بدهی سررسید شده (کیلوگرم)]]*Main[[#This Row],[روز از ارسال سفارش]]</f>
        <v>0</v>
      </c>
      <c r="U363" s="6">
        <f>-SUBTOTAL(9,INDEX(Main[مقدار (کیلوگرم)],1):Main[[#This Row],[مقدار (کیلوگرم)]])</f>
        <v>40637</v>
      </c>
      <c r="V3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3" s="6">
        <f>Main[[#This Row],[تعداد کل روزهای بدهکار (روز)]]*Main[[#This Row],[مانده در خط کل (کیلوگرم)]]</f>
        <v>0</v>
      </c>
      <c r="X363" s="6">
        <f ca="1">-SUBTOTAL(9,INDEX(Main[مقدار تسویه شده (کیلوگرم)],1):Main[[#This Row],[مقدار تسویه شده (کیلوگرم)]])</f>
        <v>40637</v>
      </c>
      <c r="Y363" s="6">
        <f ca="1">IF(Main[[#This Row],[مانده در خط تسویه شده (کیلوگرم)]]&lt;&gt;0,Main[[#This Row],[تعداد کل روزهای بدهکار (روز)]],0)</f>
        <v>0</v>
      </c>
      <c r="Z363" s="6">
        <f ca="1">Main[[#This Row],[تعداد روزهای بدهکار تسویه شده (روز)]]*Main[[#This Row],[مانده در خط تسویه شده (کیلوگرم)]]</f>
        <v>0</v>
      </c>
      <c r="AA363" s="6">
        <f ca="1">SUBTOTAL(9,INDEX(Main[بدهی تسویه نشده (کیلوگرم)],1):Main[[#This Row],[بدهی تسویه نشده (کیلوگرم)]])</f>
        <v>0</v>
      </c>
      <c r="AB363" s="6">
        <f ca="1">IF(Main[[#This Row],[مانده در خط تسویه نشده (کیلوگرم)]]&lt;&gt;0,Main[[#This Row],[تعداد کل روزهای بدهکار (روز)]],0)</f>
        <v>0</v>
      </c>
      <c r="AC363" s="6">
        <f ca="1">Main[[#This Row],[تعداد روزهای بدهکار  تسویه نشده (روز)]]*Main[[#This Row],[مانده در خط تسویه نشده (کیلوگرم)]]</f>
        <v>0</v>
      </c>
      <c r="AD363" s="6">
        <f ca="1">SUBTOTAL(9,INDEX(Main[بدهی سررسید شده (کیلوگرم)],1):Main[[#This Row],[بدهی سررسید شده (کیلوگرم)]])</f>
        <v>0</v>
      </c>
      <c r="AE363" s="6">
        <f ca="1">IF(Main[[#This Row],[مانده در خط سررسید شده (کیلوگرم)]]&lt;&gt;0,Main[[#This Row],[تعداد کل روزهای بدهکار (روز)]],0)</f>
        <v>0</v>
      </c>
      <c r="AF363" s="6">
        <f ca="1">Main[[#This Row],[تعداد روزهای بدهکار سررسید شده (روز)]]*Main[[#This Row],[مانده در خط سررسید شده (کیلوگرم)]]</f>
        <v>0</v>
      </c>
    </row>
    <row r="364" spans="1:32" x14ac:dyDescent="0.35">
      <c r="A364" s="5">
        <f>ROW()-ROW(INDEX(Main[ردیف],1))+1</f>
        <v>362</v>
      </c>
      <c r="B364" s="31">
        <f>SUBTOTAL(2,INDEX(Main[ردیف],1):Main[[#This Row],[ردیف]])</f>
        <v>36</v>
      </c>
      <c r="C364" s="32" t="s">
        <v>542</v>
      </c>
      <c r="D364" s="32" t="str">
        <f>_xlfn.CONCAT("14",Main[[#This Row],[تاريخ]])</f>
        <v>1400/02/15</v>
      </c>
      <c r="E364" s="33">
        <v>44321</v>
      </c>
      <c r="F364" s="32">
        <v>10003</v>
      </c>
      <c r="G364" s="5" t="str">
        <f>INDEX(customer[عنوان],MATCH(Main[[#This Row],[کد ردیابی]],customer[کد],0))</f>
        <v>اصغر نورعلی</v>
      </c>
      <c r="H364">
        <v>2790</v>
      </c>
      <c r="I364" s="6">
        <f ca="1">-Main[[#This Row],[بدهی تسویه شده (کیلوگرم)]]+Main[[#This Row],[بستانکار (کیلوگرم)]]</f>
        <v>2790</v>
      </c>
      <c r="J364" s="6">
        <f>IF(Main[[#This Row],[مقدار (کیلوگرم)]]&gt;0,Main[[#This Row],[مقدار (کیلوگرم)]],0)</f>
        <v>2790</v>
      </c>
      <c r="K364" s="6">
        <f>-IF(Main[[#This Row],[مقدار (کیلوگرم)]]&lt;0,Main[[#This Row],[مقدار (کیلوگرم)]],0)</f>
        <v>0</v>
      </c>
      <c r="L3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4" s="7">
        <f>-IF(AND(Main[[#This Row],[مقدار (کیلوگرم)]]&lt;0,Main[[#This Row],[تاريخ میلادی]]&gt;44276),Main[[#This Row],[مقدار (کیلوگرم)]],0)</f>
        <v>0</v>
      </c>
      <c r="N364" s="6">
        <f ca="1">Main[[#This Row],[بدهکار (کیلوگرم)]]-Main[[#This Row],[بدهی تسویه نشده (کیلوگرم)]]</f>
        <v>0</v>
      </c>
      <c r="O364" s="6">
        <f ca="1">Main[[#This Row],[تفکیک]]</f>
        <v>0</v>
      </c>
      <c r="P364" s="6">
        <f ca="1">IF(Main[[#This Row],[تاخیر از سررسید]]&gt;0,Main[[#This Row],[بدهی تسویه نشده (کیلوگرم)]],0)</f>
        <v>0</v>
      </c>
      <c r="Q364" s="6">
        <f ca="1">IF(Main[[#This Row],[بدهی تسویه نشده (کیلوگرم)]]&gt;0,'گزارش فردی'!$B$7-Main[[#This Row],[تاريخ میلادی]],0)</f>
        <v>0</v>
      </c>
      <c r="R364" s="6">
        <f ca="1">IF(Main[[#This Row],[بدهی تسویه نشده (کیلوگرم)]]&gt;0,'گزارش فردی'!$B$7-Main[[#This Row],[تاريخ میلادی]]-'گزارش فردی'!$B$8,0)</f>
        <v>0</v>
      </c>
      <c r="S364" s="6">
        <f ca="1">Main[[#This Row],[روز از ارسال سفارش]]*Main[[#This Row],[بدهی تسویه نشده (کیلوگرم)]]</f>
        <v>0</v>
      </c>
      <c r="T364" s="6">
        <f ca="1">Main[[#This Row],[بدهی سررسید شده (کیلوگرم)]]*Main[[#This Row],[روز از ارسال سفارش]]</f>
        <v>0</v>
      </c>
      <c r="U364" s="6">
        <f>-SUBTOTAL(9,INDEX(Main[مقدار (کیلوگرم)],1):Main[[#This Row],[مقدار (کیلوگرم)]])</f>
        <v>37847</v>
      </c>
      <c r="V3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4" s="6">
        <f>Main[[#This Row],[تعداد کل روزهای بدهکار (روز)]]*Main[[#This Row],[مانده در خط کل (کیلوگرم)]]</f>
        <v>0</v>
      </c>
      <c r="X364" s="6">
        <f ca="1">-SUBTOTAL(9,INDEX(Main[مقدار تسویه شده (کیلوگرم)],1):Main[[#This Row],[مقدار تسویه شده (کیلوگرم)]])</f>
        <v>37847</v>
      </c>
      <c r="Y364" s="6">
        <f ca="1">IF(Main[[#This Row],[مانده در خط تسویه شده (کیلوگرم)]]&lt;&gt;0,Main[[#This Row],[تعداد کل روزهای بدهکار (روز)]],0)</f>
        <v>0</v>
      </c>
      <c r="Z364" s="6">
        <f ca="1">Main[[#This Row],[تعداد روزهای بدهکار تسویه شده (روز)]]*Main[[#This Row],[مانده در خط تسویه شده (کیلوگرم)]]</f>
        <v>0</v>
      </c>
      <c r="AA364" s="6">
        <f ca="1">SUBTOTAL(9,INDEX(Main[بدهی تسویه نشده (کیلوگرم)],1):Main[[#This Row],[بدهی تسویه نشده (کیلوگرم)]])</f>
        <v>0</v>
      </c>
      <c r="AB364" s="6">
        <f ca="1">IF(Main[[#This Row],[مانده در خط تسویه نشده (کیلوگرم)]]&lt;&gt;0,Main[[#This Row],[تعداد کل روزهای بدهکار (روز)]],0)</f>
        <v>0</v>
      </c>
      <c r="AC364" s="6">
        <f ca="1">Main[[#This Row],[تعداد روزهای بدهکار  تسویه نشده (روز)]]*Main[[#This Row],[مانده در خط تسویه نشده (کیلوگرم)]]</f>
        <v>0</v>
      </c>
      <c r="AD364" s="6">
        <f ca="1">SUBTOTAL(9,INDEX(Main[بدهی سررسید شده (کیلوگرم)],1):Main[[#This Row],[بدهی سررسید شده (کیلوگرم)]])</f>
        <v>0</v>
      </c>
      <c r="AE364" s="6">
        <f ca="1">IF(Main[[#This Row],[مانده در خط سررسید شده (کیلوگرم)]]&lt;&gt;0,Main[[#This Row],[تعداد کل روزهای بدهکار (روز)]],0)</f>
        <v>0</v>
      </c>
      <c r="AF364" s="6">
        <f ca="1">Main[[#This Row],[تعداد روزهای بدهکار سررسید شده (روز)]]*Main[[#This Row],[مانده در خط سررسید شده (کیلوگرم)]]</f>
        <v>0</v>
      </c>
    </row>
    <row r="365" spans="1:32" hidden="1" x14ac:dyDescent="0.35">
      <c r="A365" s="5">
        <f>ROW()-ROW(INDEX(Main[ردیف],1))+1</f>
        <v>363</v>
      </c>
      <c r="B365" s="31">
        <f>SUBTOTAL(2,INDEX(Main[ردیف],1):Main[[#This Row],[ردیف]])</f>
        <v>36</v>
      </c>
      <c r="C365" s="32" t="s">
        <v>542</v>
      </c>
      <c r="D365" s="32" t="str">
        <f>_xlfn.CONCAT("14",Main[[#This Row],[تاريخ]])</f>
        <v>1400/02/15</v>
      </c>
      <c r="E365" s="33">
        <v>44321</v>
      </c>
      <c r="F365" s="32">
        <v>10092</v>
      </c>
      <c r="G365" s="5" t="str">
        <f>INDEX(customer[عنوان],MATCH(Main[[#This Row],[کد ردیابی]],customer[کد],0))</f>
        <v xml:space="preserve">احمدی مهدی </v>
      </c>
      <c r="H365">
        <v>-53</v>
      </c>
      <c r="I365" s="6">
        <f ca="1">-Main[[#This Row],[بدهی تسویه شده (کیلوگرم)]]+Main[[#This Row],[بستانکار (کیلوگرم)]]</f>
        <v>-53</v>
      </c>
      <c r="J365" s="6">
        <f>IF(Main[[#This Row],[مقدار (کیلوگرم)]]&gt;0,Main[[#This Row],[مقدار (کیلوگرم)]],0)</f>
        <v>0</v>
      </c>
      <c r="K365" s="6">
        <f>-IF(Main[[#This Row],[مقدار (کیلوگرم)]]&lt;0,Main[[#This Row],[مقدار (کیلوگرم)]],0)</f>
        <v>53</v>
      </c>
      <c r="L3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5" s="7">
        <f>-IF(AND(Main[[#This Row],[مقدار (کیلوگرم)]]&lt;0,Main[[#This Row],[تاريخ میلادی]]&gt;44276),Main[[#This Row],[مقدار (کیلوگرم)]],0)</f>
        <v>53</v>
      </c>
      <c r="N365" s="6">
        <f ca="1">Main[[#This Row],[بدهکار (کیلوگرم)]]-Main[[#This Row],[بدهی تسویه نشده (کیلوگرم)]]</f>
        <v>53</v>
      </c>
      <c r="O365" s="6">
        <f ca="1">Main[[#This Row],[تفکیک]]</f>
        <v>0</v>
      </c>
      <c r="P365" s="6">
        <f ca="1">IF(Main[[#This Row],[تاخیر از سررسید]]&gt;0,Main[[#This Row],[بدهی تسویه نشده (کیلوگرم)]],0)</f>
        <v>0</v>
      </c>
      <c r="Q365" s="6">
        <f ca="1">IF(Main[[#This Row],[بدهی تسویه نشده (کیلوگرم)]]&gt;0,'گزارش فردی'!$B$7-Main[[#This Row],[تاريخ میلادی]],0)</f>
        <v>0</v>
      </c>
      <c r="R365" s="6">
        <f ca="1">IF(Main[[#This Row],[بدهی تسویه نشده (کیلوگرم)]]&gt;0,'گزارش فردی'!$B$7-Main[[#This Row],[تاريخ میلادی]]-'گزارش فردی'!$B$8,0)</f>
        <v>0</v>
      </c>
      <c r="S365" s="6">
        <f ca="1">Main[[#This Row],[روز از ارسال سفارش]]*Main[[#This Row],[بدهی تسویه نشده (کیلوگرم)]]</f>
        <v>0</v>
      </c>
      <c r="T365" s="6">
        <f ca="1">Main[[#This Row],[بدهی سررسید شده (کیلوگرم)]]*Main[[#This Row],[روز از ارسال سفارش]]</f>
        <v>0</v>
      </c>
      <c r="U365" s="6">
        <f>-SUBTOTAL(9,INDEX(Main[مقدار (کیلوگرم)],1):Main[[#This Row],[مقدار (کیلوگرم)]])</f>
        <v>37847</v>
      </c>
      <c r="V3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5" s="6">
        <f>Main[[#This Row],[تعداد کل روزهای بدهکار (روز)]]*Main[[#This Row],[مانده در خط کل (کیلوگرم)]]</f>
        <v>0</v>
      </c>
      <c r="X365" s="6">
        <f ca="1">-SUBTOTAL(9,INDEX(Main[مقدار تسویه شده (کیلوگرم)],1):Main[[#This Row],[مقدار تسویه شده (کیلوگرم)]])</f>
        <v>37847</v>
      </c>
      <c r="Y365" s="6">
        <f ca="1">IF(Main[[#This Row],[مانده در خط تسویه شده (کیلوگرم)]]&lt;&gt;0,Main[[#This Row],[تعداد کل روزهای بدهکار (روز)]],0)</f>
        <v>0</v>
      </c>
      <c r="Z365" s="6">
        <f ca="1">Main[[#This Row],[تعداد روزهای بدهکار تسویه شده (روز)]]*Main[[#This Row],[مانده در خط تسویه شده (کیلوگرم)]]</f>
        <v>0</v>
      </c>
      <c r="AA365" s="6">
        <f ca="1">SUBTOTAL(9,INDEX(Main[بدهی تسویه نشده (کیلوگرم)],1):Main[[#This Row],[بدهی تسویه نشده (کیلوگرم)]])</f>
        <v>0</v>
      </c>
      <c r="AB365" s="6">
        <f ca="1">IF(Main[[#This Row],[مانده در خط تسویه نشده (کیلوگرم)]]&lt;&gt;0,Main[[#This Row],[تعداد کل روزهای بدهکار (روز)]],0)</f>
        <v>0</v>
      </c>
      <c r="AC365" s="6">
        <f ca="1">Main[[#This Row],[تعداد روزهای بدهکار  تسویه نشده (روز)]]*Main[[#This Row],[مانده در خط تسویه نشده (کیلوگرم)]]</f>
        <v>0</v>
      </c>
      <c r="AD365" s="6">
        <f ca="1">SUBTOTAL(9,INDEX(Main[بدهی سررسید شده (کیلوگرم)],1):Main[[#This Row],[بدهی سررسید شده (کیلوگرم)]])</f>
        <v>0</v>
      </c>
      <c r="AE365" s="6">
        <f ca="1">IF(Main[[#This Row],[مانده در خط سررسید شده (کیلوگرم)]]&lt;&gt;0,Main[[#This Row],[تعداد کل روزهای بدهکار (روز)]],0)</f>
        <v>0</v>
      </c>
      <c r="AF365" s="6">
        <f ca="1">Main[[#This Row],[تعداد روزهای بدهکار سررسید شده (روز)]]*Main[[#This Row],[مانده در خط سررسید شده (کیلوگرم)]]</f>
        <v>0</v>
      </c>
    </row>
    <row r="366" spans="1:32" hidden="1" x14ac:dyDescent="0.35">
      <c r="A366" s="5">
        <f>ROW()-ROW(INDEX(Main[ردیف],1))+1</f>
        <v>364</v>
      </c>
      <c r="B366" s="31">
        <f>SUBTOTAL(2,INDEX(Main[ردیف],1):Main[[#This Row],[ردیف]])</f>
        <v>36</v>
      </c>
      <c r="C366" s="32" t="s">
        <v>542</v>
      </c>
      <c r="D366" s="32" t="str">
        <f>_xlfn.CONCAT("14",Main[[#This Row],[تاريخ]])</f>
        <v>1400/02/15</v>
      </c>
      <c r="E366" s="33">
        <v>44321</v>
      </c>
      <c r="F366" s="32">
        <v>10055</v>
      </c>
      <c r="G366" s="5" t="str">
        <f>INDEX(customer[عنوان],MATCH(Main[[#This Row],[کد ردیابی]],customer[کد],0))</f>
        <v xml:space="preserve">مریم فیض آبادی  </v>
      </c>
      <c r="H366">
        <v>5336</v>
      </c>
      <c r="I366" s="6">
        <f ca="1">-Main[[#This Row],[بدهی تسویه شده (کیلوگرم)]]+Main[[#This Row],[بستانکار (کیلوگرم)]]</f>
        <v>5336</v>
      </c>
      <c r="J366" s="6">
        <f>IF(Main[[#This Row],[مقدار (کیلوگرم)]]&gt;0,Main[[#This Row],[مقدار (کیلوگرم)]],0)</f>
        <v>5336</v>
      </c>
      <c r="K366" s="6">
        <f>-IF(Main[[#This Row],[مقدار (کیلوگرم)]]&lt;0,Main[[#This Row],[مقدار (کیلوگرم)]],0)</f>
        <v>0</v>
      </c>
      <c r="L3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6" s="7">
        <f>-IF(AND(Main[[#This Row],[مقدار (کیلوگرم)]]&lt;0,Main[[#This Row],[تاريخ میلادی]]&gt;44276),Main[[#This Row],[مقدار (کیلوگرم)]],0)</f>
        <v>0</v>
      </c>
      <c r="N366" s="6">
        <f ca="1">Main[[#This Row],[بدهکار (کیلوگرم)]]-Main[[#This Row],[بدهی تسویه نشده (کیلوگرم)]]</f>
        <v>0</v>
      </c>
      <c r="O366" s="6">
        <f ca="1">Main[[#This Row],[تفکیک]]</f>
        <v>0</v>
      </c>
      <c r="P366" s="6">
        <f ca="1">IF(Main[[#This Row],[تاخیر از سررسید]]&gt;0,Main[[#This Row],[بدهی تسویه نشده (کیلوگرم)]],0)</f>
        <v>0</v>
      </c>
      <c r="Q366" s="6">
        <f ca="1">IF(Main[[#This Row],[بدهی تسویه نشده (کیلوگرم)]]&gt;0,'گزارش فردی'!$B$7-Main[[#This Row],[تاريخ میلادی]],0)</f>
        <v>0</v>
      </c>
      <c r="R366" s="6">
        <f ca="1">IF(Main[[#This Row],[بدهی تسویه نشده (کیلوگرم)]]&gt;0,'گزارش فردی'!$B$7-Main[[#This Row],[تاريخ میلادی]]-'گزارش فردی'!$B$8,0)</f>
        <v>0</v>
      </c>
      <c r="S366" s="6">
        <f ca="1">Main[[#This Row],[روز از ارسال سفارش]]*Main[[#This Row],[بدهی تسویه نشده (کیلوگرم)]]</f>
        <v>0</v>
      </c>
      <c r="T366" s="6">
        <f ca="1">Main[[#This Row],[بدهی سررسید شده (کیلوگرم)]]*Main[[#This Row],[روز از ارسال سفارش]]</f>
        <v>0</v>
      </c>
      <c r="U366" s="6">
        <f>-SUBTOTAL(9,INDEX(Main[مقدار (کیلوگرم)],1):Main[[#This Row],[مقدار (کیلوگرم)]])</f>
        <v>37847</v>
      </c>
      <c r="V3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6" s="6">
        <f>Main[[#This Row],[تعداد کل روزهای بدهکار (روز)]]*Main[[#This Row],[مانده در خط کل (کیلوگرم)]]</f>
        <v>0</v>
      </c>
      <c r="X366" s="6">
        <f ca="1">-SUBTOTAL(9,INDEX(Main[مقدار تسویه شده (کیلوگرم)],1):Main[[#This Row],[مقدار تسویه شده (کیلوگرم)]])</f>
        <v>37847</v>
      </c>
      <c r="Y366" s="6">
        <f ca="1">IF(Main[[#This Row],[مانده در خط تسویه شده (کیلوگرم)]]&lt;&gt;0,Main[[#This Row],[تعداد کل روزهای بدهکار (روز)]],0)</f>
        <v>0</v>
      </c>
      <c r="Z366" s="6">
        <f ca="1">Main[[#This Row],[تعداد روزهای بدهکار تسویه شده (روز)]]*Main[[#This Row],[مانده در خط تسویه شده (کیلوگرم)]]</f>
        <v>0</v>
      </c>
      <c r="AA366" s="6">
        <f ca="1">SUBTOTAL(9,INDEX(Main[بدهی تسویه نشده (کیلوگرم)],1):Main[[#This Row],[بدهی تسویه نشده (کیلوگرم)]])</f>
        <v>0</v>
      </c>
      <c r="AB366" s="6">
        <f ca="1">IF(Main[[#This Row],[مانده در خط تسویه نشده (کیلوگرم)]]&lt;&gt;0,Main[[#This Row],[تعداد کل روزهای بدهکار (روز)]],0)</f>
        <v>0</v>
      </c>
      <c r="AC366" s="6">
        <f ca="1">Main[[#This Row],[تعداد روزهای بدهکار  تسویه نشده (روز)]]*Main[[#This Row],[مانده در خط تسویه نشده (کیلوگرم)]]</f>
        <v>0</v>
      </c>
      <c r="AD366" s="6">
        <f ca="1">SUBTOTAL(9,INDEX(Main[بدهی سررسید شده (کیلوگرم)],1):Main[[#This Row],[بدهی سررسید شده (کیلوگرم)]])</f>
        <v>0</v>
      </c>
      <c r="AE366" s="6">
        <f ca="1">IF(Main[[#This Row],[مانده در خط سررسید شده (کیلوگرم)]]&lt;&gt;0,Main[[#This Row],[تعداد کل روزهای بدهکار (روز)]],0)</f>
        <v>0</v>
      </c>
      <c r="AF366" s="6">
        <f ca="1">Main[[#This Row],[تعداد روزهای بدهکار سررسید شده (روز)]]*Main[[#This Row],[مانده در خط سررسید شده (کیلوگرم)]]</f>
        <v>0</v>
      </c>
    </row>
    <row r="367" spans="1:32" hidden="1" x14ac:dyDescent="0.35">
      <c r="A367" s="5">
        <f>ROW()-ROW(INDEX(Main[ردیف],1))+1</f>
        <v>365</v>
      </c>
      <c r="B367" s="31">
        <f>SUBTOTAL(2,INDEX(Main[ردیف],1):Main[[#This Row],[ردیف]])</f>
        <v>36</v>
      </c>
      <c r="C367" s="32" t="s">
        <v>542</v>
      </c>
      <c r="D367" s="32" t="str">
        <f>_xlfn.CONCAT("14",Main[[#This Row],[تاريخ]])</f>
        <v>1400/02/15</v>
      </c>
      <c r="E367" s="33">
        <v>44321</v>
      </c>
      <c r="F367" s="32">
        <v>10092</v>
      </c>
      <c r="G367" s="5" t="str">
        <f>INDEX(customer[عنوان],MATCH(Main[[#This Row],[کد ردیابی]],customer[کد],0))</f>
        <v xml:space="preserve">احمدی مهدی </v>
      </c>
      <c r="H367">
        <v>-37</v>
      </c>
      <c r="I367" s="6">
        <f ca="1">-Main[[#This Row],[بدهی تسویه شده (کیلوگرم)]]+Main[[#This Row],[بستانکار (کیلوگرم)]]</f>
        <v>-37</v>
      </c>
      <c r="J367" s="6">
        <f>IF(Main[[#This Row],[مقدار (کیلوگرم)]]&gt;0,Main[[#This Row],[مقدار (کیلوگرم)]],0)</f>
        <v>0</v>
      </c>
      <c r="K367" s="6">
        <f>-IF(Main[[#This Row],[مقدار (کیلوگرم)]]&lt;0,Main[[#This Row],[مقدار (کیلوگرم)]],0)</f>
        <v>37</v>
      </c>
      <c r="L3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7" s="7">
        <f>-IF(AND(Main[[#This Row],[مقدار (کیلوگرم)]]&lt;0,Main[[#This Row],[تاريخ میلادی]]&gt;44276),Main[[#This Row],[مقدار (کیلوگرم)]],0)</f>
        <v>37</v>
      </c>
      <c r="N367" s="6">
        <f ca="1">Main[[#This Row],[بدهکار (کیلوگرم)]]-Main[[#This Row],[بدهی تسویه نشده (کیلوگرم)]]</f>
        <v>37</v>
      </c>
      <c r="O367" s="6">
        <f ca="1">Main[[#This Row],[تفکیک]]</f>
        <v>0</v>
      </c>
      <c r="P367" s="6">
        <f ca="1">IF(Main[[#This Row],[تاخیر از سررسید]]&gt;0,Main[[#This Row],[بدهی تسویه نشده (کیلوگرم)]],0)</f>
        <v>0</v>
      </c>
      <c r="Q367" s="6">
        <f ca="1">IF(Main[[#This Row],[بدهی تسویه نشده (کیلوگرم)]]&gt;0,'گزارش فردی'!$B$7-Main[[#This Row],[تاريخ میلادی]],0)</f>
        <v>0</v>
      </c>
      <c r="R367" s="6">
        <f ca="1">IF(Main[[#This Row],[بدهی تسویه نشده (کیلوگرم)]]&gt;0,'گزارش فردی'!$B$7-Main[[#This Row],[تاريخ میلادی]]-'گزارش فردی'!$B$8,0)</f>
        <v>0</v>
      </c>
      <c r="S367" s="6">
        <f ca="1">Main[[#This Row],[روز از ارسال سفارش]]*Main[[#This Row],[بدهی تسویه نشده (کیلوگرم)]]</f>
        <v>0</v>
      </c>
      <c r="T367" s="6">
        <f ca="1">Main[[#This Row],[بدهی سررسید شده (کیلوگرم)]]*Main[[#This Row],[روز از ارسال سفارش]]</f>
        <v>0</v>
      </c>
      <c r="U367" s="6">
        <f>-SUBTOTAL(9,INDEX(Main[مقدار (کیلوگرم)],1):Main[[#This Row],[مقدار (کیلوگرم)]])</f>
        <v>37847</v>
      </c>
      <c r="V3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7" s="6">
        <f>Main[[#This Row],[تعداد کل روزهای بدهکار (روز)]]*Main[[#This Row],[مانده در خط کل (کیلوگرم)]]</f>
        <v>0</v>
      </c>
      <c r="X367" s="6">
        <f ca="1">-SUBTOTAL(9,INDEX(Main[مقدار تسویه شده (کیلوگرم)],1):Main[[#This Row],[مقدار تسویه شده (کیلوگرم)]])</f>
        <v>37847</v>
      </c>
      <c r="Y367" s="6">
        <f ca="1">IF(Main[[#This Row],[مانده در خط تسویه شده (کیلوگرم)]]&lt;&gt;0,Main[[#This Row],[تعداد کل روزهای بدهکار (روز)]],0)</f>
        <v>0</v>
      </c>
      <c r="Z367" s="6">
        <f ca="1">Main[[#This Row],[تعداد روزهای بدهکار تسویه شده (روز)]]*Main[[#This Row],[مانده در خط تسویه شده (کیلوگرم)]]</f>
        <v>0</v>
      </c>
      <c r="AA367" s="6">
        <f ca="1">SUBTOTAL(9,INDEX(Main[بدهی تسویه نشده (کیلوگرم)],1):Main[[#This Row],[بدهی تسویه نشده (کیلوگرم)]])</f>
        <v>0</v>
      </c>
      <c r="AB367" s="6">
        <f ca="1">IF(Main[[#This Row],[مانده در خط تسویه نشده (کیلوگرم)]]&lt;&gt;0,Main[[#This Row],[تعداد کل روزهای بدهکار (روز)]],0)</f>
        <v>0</v>
      </c>
      <c r="AC367" s="6">
        <f ca="1">Main[[#This Row],[تعداد روزهای بدهکار  تسویه نشده (روز)]]*Main[[#This Row],[مانده در خط تسویه نشده (کیلوگرم)]]</f>
        <v>0</v>
      </c>
      <c r="AD367" s="6">
        <f ca="1">SUBTOTAL(9,INDEX(Main[بدهی سررسید شده (کیلوگرم)],1):Main[[#This Row],[بدهی سررسید شده (کیلوگرم)]])</f>
        <v>0</v>
      </c>
      <c r="AE367" s="6">
        <f ca="1">IF(Main[[#This Row],[مانده در خط سررسید شده (کیلوگرم)]]&lt;&gt;0,Main[[#This Row],[تعداد کل روزهای بدهکار (روز)]],0)</f>
        <v>0</v>
      </c>
      <c r="AF367" s="6">
        <f ca="1">Main[[#This Row],[تعداد روزهای بدهکار سررسید شده (روز)]]*Main[[#This Row],[مانده در خط سررسید شده (کیلوگرم)]]</f>
        <v>0</v>
      </c>
    </row>
    <row r="368" spans="1:32" hidden="1" x14ac:dyDescent="0.35">
      <c r="A368" s="5">
        <f>ROW()-ROW(INDEX(Main[ردیف],1))+1</f>
        <v>366</v>
      </c>
      <c r="B368" s="31">
        <f>SUBTOTAL(2,INDEX(Main[ردیف],1):Main[[#This Row],[ردیف]])</f>
        <v>36</v>
      </c>
      <c r="C368" s="32" t="s">
        <v>542</v>
      </c>
      <c r="D368" s="32" t="str">
        <f>_xlfn.CONCAT("14",Main[[#This Row],[تاريخ]])</f>
        <v>1400/02/15</v>
      </c>
      <c r="E368" s="33">
        <v>44321</v>
      </c>
      <c r="F368" s="32">
        <v>30066</v>
      </c>
      <c r="G368" s="5" t="str">
        <f>INDEX(customer[عنوان],MATCH(Main[[#This Row],[کد ردیابی]],customer[کد],0))</f>
        <v xml:space="preserve">شیر آلات بهداشتی قهرمان </v>
      </c>
      <c r="H368">
        <v>4320</v>
      </c>
      <c r="I368" s="6">
        <f ca="1">-Main[[#This Row],[بدهی تسویه شده (کیلوگرم)]]+Main[[#This Row],[بستانکار (کیلوگرم)]]</f>
        <v>4320</v>
      </c>
      <c r="J368" s="6">
        <f>IF(Main[[#This Row],[مقدار (کیلوگرم)]]&gt;0,Main[[#This Row],[مقدار (کیلوگرم)]],0)</f>
        <v>4320</v>
      </c>
      <c r="K368" s="6">
        <f>-IF(Main[[#This Row],[مقدار (کیلوگرم)]]&lt;0,Main[[#This Row],[مقدار (کیلوگرم)]],0)</f>
        <v>0</v>
      </c>
      <c r="L3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8" s="7">
        <f>-IF(AND(Main[[#This Row],[مقدار (کیلوگرم)]]&lt;0,Main[[#This Row],[تاريخ میلادی]]&gt;44276),Main[[#This Row],[مقدار (کیلوگرم)]],0)</f>
        <v>0</v>
      </c>
      <c r="N368" s="6">
        <f ca="1">Main[[#This Row],[بدهکار (کیلوگرم)]]-Main[[#This Row],[بدهی تسویه نشده (کیلوگرم)]]</f>
        <v>0</v>
      </c>
      <c r="O368" s="6">
        <f ca="1">Main[[#This Row],[تفکیک]]</f>
        <v>0</v>
      </c>
      <c r="P368" s="6">
        <f ca="1">IF(Main[[#This Row],[تاخیر از سررسید]]&gt;0,Main[[#This Row],[بدهی تسویه نشده (کیلوگرم)]],0)</f>
        <v>0</v>
      </c>
      <c r="Q368" s="6">
        <f ca="1">IF(Main[[#This Row],[بدهی تسویه نشده (کیلوگرم)]]&gt;0,'گزارش فردی'!$B$7-Main[[#This Row],[تاريخ میلادی]],0)</f>
        <v>0</v>
      </c>
      <c r="R368" s="6">
        <f ca="1">IF(Main[[#This Row],[بدهی تسویه نشده (کیلوگرم)]]&gt;0,'گزارش فردی'!$B$7-Main[[#This Row],[تاريخ میلادی]]-'گزارش فردی'!$B$8,0)</f>
        <v>0</v>
      </c>
      <c r="S368" s="6">
        <f ca="1">Main[[#This Row],[روز از ارسال سفارش]]*Main[[#This Row],[بدهی تسویه نشده (کیلوگرم)]]</f>
        <v>0</v>
      </c>
      <c r="T368" s="6">
        <f ca="1">Main[[#This Row],[بدهی سررسید شده (کیلوگرم)]]*Main[[#This Row],[روز از ارسال سفارش]]</f>
        <v>0</v>
      </c>
      <c r="U368" s="6">
        <f>-SUBTOTAL(9,INDEX(Main[مقدار (کیلوگرم)],1):Main[[#This Row],[مقدار (کیلوگرم)]])</f>
        <v>37847</v>
      </c>
      <c r="V3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8" s="6">
        <f>Main[[#This Row],[تعداد کل روزهای بدهکار (روز)]]*Main[[#This Row],[مانده در خط کل (کیلوگرم)]]</f>
        <v>0</v>
      </c>
      <c r="X368" s="6">
        <f ca="1">-SUBTOTAL(9,INDEX(Main[مقدار تسویه شده (کیلوگرم)],1):Main[[#This Row],[مقدار تسویه شده (کیلوگرم)]])</f>
        <v>37847</v>
      </c>
      <c r="Y368" s="6">
        <f ca="1">IF(Main[[#This Row],[مانده در خط تسویه شده (کیلوگرم)]]&lt;&gt;0,Main[[#This Row],[تعداد کل روزهای بدهکار (روز)]],0)</f>
        <v>0</v>
      </c>
      <c r="Z368" s="6">
        <f ca="1">Main[[#This Row],[تعداد روزهای بدهکار تسویه شده (روز)]]*Main[[#This Row],[مانده در خط تسویه شده (کیلوگرم)]]</f>
        <v>0</v>
      </c>
      <c r="AA368" s="6">
        <f ca="1">SUBTOTAL(9,INDEX(Main[بدهی تسویه نشده (کیلوگرم)],1):Main[[#This Row],[بدهی تسویه نشده (کیلوگرم)]])</f>
        <v>0</v>
      </c>
      <c r="AB368" s="6">
        <f ca="1">IF(Main[[#This Row],[مانده در خط تسویه نشده (کیلوگرم)]]&lt;&gt;0,Main[[#This Row],[تعداد کل روزهای بدهکار (روز)]],0)</f>
        <v>0</v>
      </c>
      <c r="AC368" s="6">
        <f ca="1">Main[[#This Row],[تعداد روزهای بدهکار  تسویه نشده (روز)]]*Main[[#This Row],[مانده در خط تسویه نشده (کیلوگرم)]]</f>
        <v>0</v>
      </c>
      <c r="AD368" s="6">
        <f ca="1">SUBTOTAL(9,INDEX(Main[بدهی سررسید شده (کیلوگرم)],1):Main[[#This Row],[بدهی سررسید شده (کیلوگرم)]])</f>
        <v>0</v>
      </c>
      <c r="AE368" s="6">
        <f ca="1">IF(Main[[#This Row],[مانده در خط سررسید شده (کیلوگرم)]]&lt;&gt;0,Main[[#This Row],[تعداد کل روزهای بدهکار (روز)]],0)</f>
        <v>0</v>
      </c>
      <c r="AF368" s="6">
        <f ca="1">Main[[#This Row],[تعداد روزهای بدهکار سررسید شده (روز)]]*Main[[#This Row],[مانده در خط سررسید شده (کیلوگرم)]]</f>
        <v>0</v>
      </c>
    </row>
    <row r="369" spans="1:32" hidden="1" x14ac:dyDescent="0.35">
      <c r="A369" s="5">
        <f>ROW()-ROW(INDEX(Main[ردیف],1))+1</f>
        <v>367</v>
      </c>
      <c r="B369" s="31">
        <f>SUBTOTAL(2,INDEX(Main[ردیف],1):Main[[#This Row],[ردیف]])</f>
        <v>36</v>
      </c>
      <c r="C369" s="32" t="s">
        <v>542</v>
      </c>
      <c r="D369" s="32" t="str">
        <f>_xlfn.CONCAT("14",Main[[#This Row],[تاريخ]])</f>
        <v>1400/02/15</v>
      </c>
      <c r="E369" s="33">
        <v>44321</v>
      </c>
      <c r="F369" s="32">
        <v>30081</v>
      </c>
      <c r="G369" s="5" t="str">
        <f>INDEX(customer[عنوان],MATCH(Main[[#This Row],[کد ردیابی]],customer[کد],0))</f>
        <v xml:space="preserve">شیرآلات بهداشتی راسان </v>
      </c>
      <c r="H369">
        <v>-852</v>
      </c>
      <c r="I369" s="6">
        <f ca="1">-Main[[#This Row],[بدهی تسویه شده (کیلوگرم)]]+Main[[#This Row],[بستانکار (کیلوگرم)]]</f>
        <v>-852</v>
      </c>
      <c r="J369" s="6">
        <f>IF(Main[[#This Row],[مقدار (کیلوگرم)]]&gt;0,Main[[#This Row],[مقدار (کیلوگرم)]],0)</f>
        <v>0</v>
      </c>
      <c r="K369" s="6">
        <f>-IF(Main[[#This Row],[مقدار (کیلوگرم)]]&lt;0,Main[[#This Row],[مقدار (کیلوگرم)]],0)</f>
        <v>852</v>
      </c>
      <c r="L3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9" s="7">
        <f>-IF(AND(Main[[#This Row],[مقدار (کیلوگرم)]]&lt;0,Main[[#This Row],[تاريخ میلادی]]&gt;44276),Main[[#This Row],[مقدار (کیلوگرم)]],0)</f>
        <v>852</v>
      </c>
      <c r="N369" s="6">
        <f ca="1">Main[[#This Row],[بدهکار (کیلوگرم)]]-Main[[#This Row],[بدهی تسویه نشده (کیلوگرم)]]</f>
        <v>852</v>
      </c>
      <c r="O369" s="6">
        <f ca="1">Main[[#This Row],[تفکیک]]</f>
        <v>0</v>
      </c>
      <c r="P369" s="6">
        <f ca="1">IF(Main[[#This Row],[تاخیر از سررسید]]&gt;0,Main[[#This Row],[بدهی تسویه نشده (کیلوگرم)]],0)</f>
        <v>0</v>
      </c>
      <c r="Q369" s="6">
        <f ca="1">IF(Main[[#This Row],[بدهی تسویه نشده (کیلوگرم)]]&gt;0,'گزارش فردی'!$B$7-Main[[#This Row],[تاريخ میلادی]],0)</f>
        <v>0</v>
      </c>
      <c r="R369" s="6">
        <f ca="1">IF(Main[[#This Row],[بدهی تسویه نشده (کیلوگرم)]]&gt;0,'گزارش فردی'!$B$7-Main[[#This Row],[تاريخ میلادی]]-'گزارش فردی'!$B$8,0)</f>
        <v>0</v>
      </c>
      <c r="S369" s="6">
        <f ca="1">Main[[#This Row],[روز از ارسال سفارش]]*Main[[#This Row],[بدهی تسویه نشده (کیلوگرم)]]</f>
        <v>0</v>
      </c>
      <c r="T369" s="6">
        <f ca="1">Main[[#This Row],[بدهی سررسید شده (کیلوگرم)]]*Main[[#This Row],[روز از ارسال سفارش]]</f>
        <v>0</v>
      </c>
      <c r="U369" s="6">
        <f>-SUBTOTAL(9,INDEX(Main[مقدار (کیلوگرم)],1):Main[[#This Row],[مقدار (کیلوگرم)]])</f>
        <v>37847</v>
      </c>
      <c r="V3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9" s="6">
        <f>Main[[#This Row],[تعداد کل روزهای بدهکار (روز)]]*Main[[#This Row],[مانده در خط کل (کیلوگرم)]]</f>
        <v>0</v>
      </c>
      <c r="X369" s="6">
        <f ca="1">-SUBTOTAL(9,INDEX(Main[مقدار تسویه شده (کیلوگرم)],1):Main[[#This Row],[مقدار تسویه شده (کیلوگرم)]])</f>
        <v>37847</v>
      </c>
      <c r="Y369" s="6">
        <f ca="1">IF(Main[[#This Row],[مانده در خط تسویه شده (کیلوگرم)]]&lt;&gt;0,Main[[#This Row],[تعداد کل روزهای بدهکار (روز)]],0)</f>
        <v>0</v>
      </c>
      <c r="Z369" s="6">
        <f ca="1">Main[[#This Row],[تعداد روزهای بدهکار تسویه شده (روز)]]*Main[[#This Row],[مانده در خط تسویه شده (کیلوگرم)]]</f>
        <v>0</v>
      </c>
      <c r="AA369" s="6">
        <f ca="1">SUBTOTAL(9,INDEX(Main[بدهی تسویه نشده (کیلوگرم)],1):Main[[#This Row],[بدهی تسویه نشده (کیلوگرم)]])</f>
        <v>0</v>
      </c>
      <c r="AB369" s="6">
        <f ca="1">IF(Main[[#This Row],[مانده در خط تسویه نشده (کیلوگرم)]]&lt;&gt;0,Main[[#This Row],[تعداد کل روزهای بدهکار (روز)]],0)</f>
        <v>0</v>
      </c>
      <c r="AC369" s="6">
        <f ca="1">Main[[#This Row],[تعداد روزهای بدهکار  تسویه نشده (روز)]]*Main[[#This Row],[مانده در خط تسویه نشده (کیلوگرم)]]</f>
        <v>0</v>
      </c>
      <c r="AD369" s="6">
        <f ca="1">SUBTOTAL(9,INDEX(Main[بدهی سررسید شده (کیلوگرم)],1):Main[[#This Row],[بدهی سررسید شده (کیلوگرم)]])</f>
        <v>0</v>
      </c>
      <c r="AE369" s="6">
        <f ca="1">IF(Main[[#This Row],[مانده در خط سررسید شده (کیلوگرم)]]&lt;&gt;0,Main[[#This Row],[تعداد کل روزهای بدهکار (روز)]],0)</f>
        <v>0</v>
      </c>
      <c r="AF369" s="6">
        <f ca="1">Main[[#This Row],[تعداد روزهای بدهکار سررسید شده (روز)]]*Main[[#This Row],[مانده در خط سررسید شده (کیلوگرم)]]</f>
        <v>0</v>
      </c>
    </row>
    <row r="370" spans="1:32" x14ac:dyDescent="0.35">
      <c r="A370" s="5">
        <f>ROW()-ROW(INDEX(Main[ردیف],1))+1</f>
        <v>368</v>
      </c>
      <c r="B370" s="31">
        <f>SUBTOTAL(2,INDEX(Main[ردیف],1):Main[[#This Row],[ردیف]])</f>
        <v>37</v>
      </c>
      <c r="C370" s="32" t="s">
        <v>542</v>
      </c>
      <c r="D370" s="32" t="str">
        <f>_xlfn.CONCAT("14",Main[[#This Row],[تاريخ]])</f>
        <v>1400/02/15</v>
      </c>
      <c r="E370" s="33">
        <v>44321</v>
      </c>
      <c r="F370" s="32">
        <v>10003</v>
      </c>
      <c r="G370" s="5" t="str">
        <f>INDEX(customer[عنوان],MATCH(Main[[#This Row],[کد ردیابی]],customer[کد],0))</f>
        <v>اصغر نورعلی</v>
      </c>
      <c r="H370">
        <v>-2096</v>
      </c>
      <c r="I370" s="6">
        <f ca="1">-Main[[#This Row],[بدهی تسویه شده (کیلوگرم)]]+Main[[#This Row],[بستانکار (کیلوگرم)]]</f>
        <v>-2096</v>
      </c>
      <c r="J370" s="6">
        <f>IF(Main[[#This Row],[مقدار (کیلوگرم)]]&gt;0,Main[[#This Row],[مقدار (کیلوگرم)]],0)</f>
        <v>0</v>
      </c>
      <c r="K370" s="6">
        <f>-IF(Main[[#This Row],[مقدار (کیلوگرم)]]&lt;0,Main[[#This Row],[مقدار (کیلوگرم)]],0)</f>
        <v>2096</v>
      </c>
      <c r="L3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0" s="7">
        <f>-IF(AND(Main[[#This Row],[مقدار (کیلوگرم)]]&lt;0,Main[[#This Row],[تاريخ میلادی]]&gt;44276),Main[[#This Row],[مقدار (کیلوگرم)]],0)</f>
        <v>2096</v>
      </c>
      <c r="N370" s="6">
        <f ca="1">Main[[#This Row],[بدهکار (کیلوگرم)]]-Main[[#This Row],[بدهی تسویه نشده (کیلوگرم)]]</f>
        <v>2096</v>
      </c>
      <c r="O370" s="6">
        <f ca="1">Main[[#This Row],[تفکیک]]</f>
        <v>0</v>
      </c>
      <c r="P370" s="6">
        <f ca="1">IF(Main[[#This Row],[تاخیر از سررسید]]&gt;0,Main[[#This Row],[بدهی تسویه نشده (کیلوگرم)]],0)</f>
        <v>0</v>
      </c>
      <c r="Q370" s="6">
        <f ca="1">IF(Main[[#This Row],[بدهی تسویه نشده (کیلوگرم)]]&gt;0,'گزارش فردی'!$B$7-Main[[#This Row],[تاريخ میلادی]],0)</f>
        <v>0</v>
      </c>
      <c r="R370" s="6">
        <f ca="1">IF(Main[[#This Row],[بدهی تسویه نشده (کیلوگرم)]]&gt;0,'گزارش فردی'!$B$7-Main[[#This Row],[تاريخ میلادی]]-'گزارش فردی'!$B$8,0)</f>
        <v>0</v>
      </c>
      <c r="S370" s="6">
        <f ca="1">Main[[#This Row],[روز از ارسال سفارش]]*Main[[#This Row],[بدهی تسویه نشده (کیلوگرم)]]</f>
        <v>0</v>
      </c>
      <c r="T370" s="6">
        <f ca="1">Main[[#This Row],[بدهی سررسید شده (کیلوگرم)]]*Main[[#This Row],[روز از ارسال سفارش]]</f>
        <v>0</v>
      </c>
      <c r="U370" s="6">
        <f>-SUBTOTAL(9,INDEX(Main[مقدار (کیلوگرم)],1):Main[[#This Row],[مقدار (کیلوگرم)]])</f>
        <v>39943</v>
      </c>
      <c r="V37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370" s="6">
        <f>Main[[#This Row],[تعداد کل روزهای بدهکار (روز)]]*Main[[#This Row],[مانده در خط کل (کیلوگرم)]]</f>
        <v>119829</v>
      </c>
      <c r="X370" s="6">
        <f ca="1">-SUBTOTAL(9,INDEX(Main[مقدار تسویه شده (کیلوگرم)],1):Main[[#This Row],[مقدار تسویه شده (کیلوگرم)]])</f>
        <v>39943</v>
      </c>
      <c r="Y370" s="6">
        <f ca="1">IF(Main[[#This Row],[مانده در خط تسویه شده (کیلوگرم)]]&lt;&gt;0,Main[[#This Row],[تعداد کل روزهای بدهکار (روز)]],0)</f>
        <v>3</v>
      </c>
      <c r="Z370" s="6">
        <f ca="1">Main[[#This Row],[تعداد روزهای بدهکار تسویه شده (روز)]]*Main[[#This Row],[مانده در خط تسویه شده (کیلوگرم)]]</f>
        <v>119829</v>
      </c>
      <c r="AA370" s="6">
        <f ca="1">SUBTOTAL(9,INDEX(Main[بدهی تسویه نشده (کیلوگرم)],1):Main[[#This Row],[بدهی تسویه نشده (کیلوگرم)]])</f>
        <v>0</v>
      </c>
      <c r="AB370" s="6">
        <f ca="1">IF(Main[[#This Row],[مانده در خط تسویه نشده (کیلوگرم)]]&lt;&gt;0,Main[[#This Row],[تعداد کل روزهای بدهکار (روز)]],0)</f>
        <v>0</v>
      </c>
      <c r="AC370" s="6">
        <f ca="1">Main[[#This Row],[تعداد روزهای بدهکار  تسویه نشده (روز)]]*Main[[#This Row],[مانده در خط تسویه نشده (کیلوگرم)]]</f>
        <v>0</v>
      </c>
      <c r="AD370" s="6">
        <f ca="1">SUBTOTAL(9,INDEX(Main[بدهی سررسید شده (کیلوگرم)],1):Main[[#This Row],[بدهی سررسید شده (کیلوگرم)]])</f>
        <v>0</v>
      </c>
      <c r="AE370" s="6">
        <f ca="1">IF(Main[[#This Row],[مانده در خط سررسید شده (کیلوگرم)]]&lt;&gt;0,Main[[#This Row],[تعداد کل روزهای بدهکار (روز)]],0)</f>
        <v>0</v>
      </c>
      <c r="AF370" s="6">
        <f ca="1">Main[[#This Row],[تعداد روزهای بدهکار سررسید شده (روز)]]*Main[[#This Row],[مانده در خط سررسید شده (کیلوگرم)]]</f>
        <v>0</v>
      </c>
    </row>
    <row r="371" spans="1:32" hidden="1" x14ac:dyDescent="0.35">
      <c r="A371" s="5">
        <f>ROW()-ROW(INDEX(Main[ردیف],1))+1</f>
        <v>369</v>
      </c>
      <c r="B371" s="31">
        <f>SUBTOTAL(2,INDEX(Main[ردیف],1):Main[[#This Row],[ردیف]])</f>
        <v>37</v>
      </c>
      <c r="C371" s="32" t="s">
        <v>542</v>
      </c>
      <c r="D371" s="32" t="str">
        <f>_xlfn.CONCAT("14",Main[[#This Row],[تاريخ]])</f>
        <v>1400/02/15</v>
      </c>
      <c r="E371" s="33">
        <v>44321</v>
      </c>
      <c r="F371" s="32">
        <v>10020</v>
      </c>
      <c r="G371" s="5" t="str">
        <f>INDEX(customer[عنوان],MATCH(Main[[#This Row],[کد ردیابی]],customer[کد],0))</f>
        <v>فرزاد اسماعیل زاده</v>
      </c>
      <c r="H371">
        <v>-998</v>
      </c>
      <c r="I371" s="6">
        <f ca="1">-Main[[#This Row],[بدهی تسویه شده (کیلوگرم)]]+Main[[#This Row],[بستانکار (کیلوگرم)]]</f>
        <v>-998</v>
      </c>
      <c r="J371" s="6">
        <f>IF(Main[[#This Row],[مقدار (کیلوگرم)]]&gt;0,Main[[#This Row],[مقدار (کیلوگرم)]],0)</f>
        <v>0</v>
      </c>
      <c r="K371" s="6">
        <f>-IF(Main[[#This Row],[مقدار (کیلوگرم)]]&lt;0,Main[[#This Row],[مقدار (کیلوگرم)]],0)</f>
        <v>998</v>
      </c>
      <c r="L3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1" s="7">
        <f>-IF(AND(Main[[#This Row],[مقدار (کیلوگرم)]]&lt;0,Main[[#This Row],[تاريخ میلادی]]&gt;44276),Main[[#This Row],[مقدار (کیلوگرم)]],0)</f>
        <v>998</v>
      </c>
      <c r="N371" s="6">
        <f ca="1">Main[[#This Row],[بدهکار (کیلوگرم)]]-Main[[#This Row],[بدهی تسویه نشده (کیلوگرم)]]</f>
        <v>998</v>
      </c>
      <c r="O371" s="6">
        <f ca="1">Main[[#This Row],[تفکیک]]</f>
        <v>0</v>
      </c>
      <c r="P371" s="6">
        <f ca="1">IF(Main[[#This Row],[تاخیر از سررسید]]&gt;0,Main[[#This Row],[بدهی تسویه نشده (کیلوگرم)]],0)</f>
        <v>0</v>
      </c>
      <c r="Q371" s="6">
        <f ca="1">IF(Main[[#This Row],[بدهی تسویه نشده (کیلوگرم)]]&gt;0,'گزارش فردی'!$B$7-Main[[#This Row],[تاريخ میلادی]],0)</f>
        <v>0</v>
      </c>
      <c r="R371" s="6">
        <f ca="1">IF(Main[[#This Row],[بدهی تسویه نشده (کیلوگرم)]]&gt;0,'گزارش فردی'!$B$7-Main[[#This Row],[تاريخ میلادی]]-'گزارش فردی'!$B$8,0)</f>
        <v>0</v>
      </c>
      <c r="S371" s="6">
        <f ca="1">Main[[#This Row],[روز از ارسال سفارش]]*Main[[#This Row],[بدهی تسویه نشده (کیلوگرم)]]</f>
        <v>0</v>
      </c>
      <c r="T371" s="6">
        <f ca="1">Main[[#This Row],[بدهی سررسید شده (کیلوگرم)]]*Main[[#This Row],[روز از ارسال سفارش]]</f>
        <v>0</v>
      </c>
      <c r="U371" s="6">
        <f>-SUBTOTAL(9,INDEX(Main[مقدار (کیلوگرم)],1):Main[[#This Row],[مقدار (کیلوگرم)]])</f>
        <v>39943</v>
      </c>
      <c r="V37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371" s="6">
        <f>Main[[#This Row],[تعداد کل روزهای بدهکار (روز)]]*Main[[#This Row],[مانده در خط کل (کیلوگرم)]]</f>
        <v>119829</v>
      </c>
      <c r="X371" s="6">
        <f ca="1">-SUBTOTAL(9,INDEX(Main[مقدار تسویه شده (کیلوگرم)],1):Main[[#This Row],[مقدار تسویه شده (کیلوگرم)]])</f>
        <v>39943</v>
      </c>
      <c r="Y371" s="6">
        <f ca="1">IF(Main[[#This Row],[مانده در خط تسویه شده (کیلوگرم)]]&lt;&gt;0,Main[[#This Row],[تعداد کل روزهای بدهکار (روز)]],0)</f>
        <v>3</v>
      </c>
      <c r="Z371" s="6">
        <f ca="1">Main[[#This Row],[تعداد روزهای بدهکار تسویه شده (روز)]]*Main[[#This Row],[مانده در خط تسویه شده (کیلوگرم)]]</f>
        <v>119829</v>
      </c>
      <c r="AA371" s="6">
        <f ca="1">SUBTOTAL(9,INDEX(Main[بدهی تسویه نشده (کیلوگرم)],1):Main[[#This Row],[بدهی تسویه نشده (کیلوگرم)]])</f>
        <v>0</v>
      </c>
      <c r="AB371" s="6">
        <f ca="1">IF(Main[[#This Row],[مانده در خط تسویه نشده (کیلوگرم)]]&lt;&gt;0,Main[[#This Row],[تعداد کل روزهای بدهکار (روز)]],0)</f>
        <v>0</v>
      </c>
      <c r="AC371" s="6">
        <f ca="1">Main[[#This Row],[تعداد روزهای بدهکار  تسویه نشده (روز)]]*Main[[#This Row],[مانده در خط تسویه نشده (کیلوگرم)]]</f>
        <v>0</v>
      </c>
      <c r="AD371" s="6">
        <f ca="1">SUBTOTAL(9,INDEX(Main[بدهی سررسید شده (کیلوگرم)],1):Main[[#This Row],[بدهی سررسید شده (کیلوگرم)]])</f>
        <v>0</v>
      </c>
      <c r="AE371" s="6">
        <f ca="1">IF(Main[[#This Row],[مانده در خط سررسید شده (کیلوگرم)]]&lt;&gt;0,Main[[#This Row],[تعداد کل روزهای بدهکار (روز)]],0)</f>
        <v>0</v>
      </c>
      <c r="AF371" s="6">
        <f ca="1">Main[[#This Row],[تعداد روزهای بدهکار سررسید شده (روز)]]*Main[[#This Row],[مانده در خط سررسید شده (کیلوگرم)]]</f>
        <v>0</v>
      </c>
    </row>
    <row r="372" spans="1:32" hidden="1" x14ac:dyDescent="0.35">
      <c r="A372" s="5">
        <f>ROW()-ROW(INDEX(Main[ردیف],1))+1</f>
        <v>370</v>
      </c>
      <c r="B372" s="31">
        <f>SUBTOTAL(2,INDEX(Main[ردیف],1):Main[[#This Row],[ردیف]])</f>
        <v>37</v>
      </c>
      <c r="C372" s="32" t="s">
        <v>542</v>
      </c>
      <c r="D372" s="32" t="str">
        <f>_xlfn.CONCAT("14",Main[[#This Row],[تاريخ]])</f>
        <v>1400/02/15</v>
      </c>
      <c r="E372" s="33">
        <v>44321</v>
      </c>
      <c r="F372" s="32">
        <v>10104</v>
      </c>
      <c r="G372" s="5" t="str">
        <f>INDEX(customer[عنوان],MATCH(Main[[#This Row],[کد ردیابی]],customer[کد],0))</f>
        <v>بهزادی فر اصغر</v>
      </c>
      <c r="H372">
        <v>-804</v>
      </c>
      <c r="I372" s="6">
        <f ca="1">-Main[[#This Row],[بدهی تسویه شده (کیلوگرم)]]+Main[[#This Row],[بستانکار (کیلوگرم)]]</f>
        <v>-804</v>
      </c>
      <c r="J372" s="6">
        <f>IF(Main[[#This Row],[مقدار (کیلوگرم)]]&gt;0,Main[[#This Row],[مقدار (کیلوگرم)]],0)</f>
        <v>0</v>
      </c>
      <c r="K372" s="6">
        <f>-IF(Main[[#This Row],[مقدار (کیلوگرم)]]&lt;0,Main[[#This Row],[مقدار (کیلوگرم)]],0)</f>
        <v>804</v>
      </c>
      <c r="L3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2" s="7">
        <f>-IF(AND(Main[[#This Row],[مقدار (کیلوگرم)]]&lt;0,Main[[#This Row],[تاريخ میلادی]]&gt;44276),Main[[#This Row],[مقدار (کیلوگرم)]],0)</f>
        <v>804</v>
      </c>
      <c r="N372" s="6">
        <f ca="1">Main[[#This Row],[بدهکار (کیلوگرم)]]-Main[[#This Row],[بدهی تسویه نشده (کیلوگرم)]]</f>
        <v>804</v>
      </c>
      <c r="O372" s="6">
        <f ca="1">Main[[#This Row],[تفکیک]]</f>
        <v>0</v>
      </c>
      <c r="P372" s="6">
        <f ca="1">IF(Main[[#This Row],[تاخیر از سررسید]]&gt;0,Main[[#This Row],[بدهی تسویه نشده (کیلوگرم)]],0)</f>
        <v>0</v>
      </c>
      <c r="Q372" s="6">
        <f ca="1">IF(Main[[#This Row],[بدهی تسویه نشده (کیلوگرم)]]&gt;0,'گزارش فردی'!$B$7-Main[[#This Row],[تاريخ میلادی]],0)</f>
        <v>0</v>
      </c>
      <c r="R372" s="6">
        <f ca="1">IF(Main[[#This Row],[بدهی تسویه نشده (کیلوگرم)]]&gt;0,'گزارش فردی'!$B$7-Main[[#This Row],[تاريخ میلادی]]-'گزارش فردی'!$B$8,0)</f>
        <v>0</v>
      </c>
      <c r="S372" s="6">
        <f ca="1">Main[[#This Row],[روز از ارسال سفارش]]*Main[[#This Row],[بدهی تسویه نشده (کیلوگرم)]]</f>
        <v>0</v>
      </c>
      <c r="T372" s="6">
        <f ca="1">Main[[#This Row],[بدهی سررسید شده (کیلوگرم)]]*Main[[#This Row],[روز از ارسال سفارش]]</f>
        <v>0</v>
      </c>
      <c r="U372" s="6">
        <f>-SUBTOTAL(9,INDEX(Main[مقدار (کیلوگرم)],1):Main[[#This Row],[مقدار (کیلوگرم)]])</f>
        <v>39943</v>
      </c>
      <c r="V37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372" s="6">
        <f>Main[[#This Row],[تعداد کل روزهای بدهکار (روز)]]*Main[[#This Row],[مانده در خط کل (کیلوگرم)]]</f>
        <v>119829</v>
      </c>
      <c r="X372" s="6">
        <f ca="1">-SUBTOTAL(9,INDEX(Main[مقدار تسویه شده (کیلوگرم)],1):Main[[#This Row],[مقدار تسویه شده (کیلوگرم)]])</f>
        <v>39943</v>
      </c>
      <c r="Y372" s="6">
        <f ca="1">IF(Main[[#This Row],[مانده در خط تسویه شده (کیلوگرم)]]&lt;&gt;0,Main[[#This Row],[تعداد کل روزهای بدهکار (روز)]],0)</f>
        <v>3</v>
      </c>
      <c r="Z372" s="6">
        <f ca="1">Main[[#This Row],[تعداد روزهای بدهکار تسویه شده (روز)]]*Main[[#This Row],[مانده در خط تسویه شده (کیلوگرم)]]</f>
        <v>119829</v>
      </c>
      <c r="AA372" s="6">
        <f ca="1">SUBTOTAL(9,INDEX(Main[بدهی تسویه نشده (کیلوگرم)],1):Main[[#This Row],[بدهی تسویه نشده (کیلوگرم)]])</f>
        <v>0</v>
      </c>
      <c r="AB372" s="6">
        <f ca="1">IF(Main[[#This Row],[مانده در خط تسویه نشده (کیلوگرم)]]&lt;&gt;0,Main[[#This Row],[تعداد کل روزهای بدهکار (روز)]],0)</f>
        <v>0</v>
      </c>
      <c r="AC372" s="6">
        <f ca="1">Main[[#This Row],[تعداد روزهای بدهکار  تسویه نشده (روز)]]*Main[[#This Row],[مانده در خط تسویه نشده (کیلوگرم)]]</f>
        <v>0</v>
      </c>
      <c r="AD372" s="6">
        <f ca="1">SUBTOTAL(9,INDEX(Main[بدهی سررسید شده (کیلوگرم)],1):Main[[#This Row],[بدهی سررسید شده (کیلوگرم)]])</f>
        <v>0</v>
      </c>
      <c r="AE372" s="6">
        <f ca="1">IF(Main[[#This Row],[مانده در خط سررسید شده (کیلوگرم)]]&lt;&gt;0,Main[[#This Row],[تعداد کل روزهای بدهکار (روز)]],0)</f>
        <v>0</v>
      </c>
      <c r="AF372" s="6">
        <f ca="1">Main[[#This Row],[تعداد روزهای بدهکار سررسید شده (روز)]]*Main[[#This Row],[مانده در خط سررسید شده (کیلوگرم)]]</f>
        <v>0</v>
      </c>
    </row>
    <row r="373" spans="1:32" hidden="1" x14ac:dyDescent="0.35">
      <c r="A373" s="5">
        <f>ROW()-ROW(INDEX(Main[ردیف],1))+1</f>
        <v>371</v>
      </c>
      <c r="B373" s="31">
        <f>SUBTOTAL(2,INDEX(Main[ردیف],1):Main[[#This Row],[ردیف]])</f>
        <v>37</v>
      </c>
      <c r="C373" s="32" t="s">
        <v>544</v>
      </c>
      <c r="D373" s="32" t="str">
        <f>_xlfn.CONCAT("14",Main[[#This Row],[تاريخ]])</f>
        <v>1400/02/16</v>
      </c>
      <c r="E373" s="33">
        <v>44322</v>
      </c>
      <c r="F373" s="32">
        <v>10126</v>
      </c>
      <c r="G373" s="5" t="str">
        <f>INDEX(customer[عنوان],MATCH(Main[[#This Row],[کد ردیابی]],customer[کد],0))</f>
        <v xml:space="preserve">کریم اسمعیلی </v>
      </c>
      <c r="H373">
        <v>310</v>
      </c>
      <c r="I373" s="6">
        <f ca="1">-Main[[#This Row],[بدهی تسویه شده (کیلوگرم)]]+Main[[#This Row],[بستانکار (کیلوگرم)]]</f>
        <v>310</v>
      </c>
      <c r="J373" s="6">
        <f>IF(Main[[#This Row],[مقدار (کیلوگرم)]]&gt;0,Main[[#This Row],[مقدار (کیلوگرم)]],0)</f>
        <v>310</v>
      </c>
      <c r="K373" s="6">
        <f>-IF(Main[[#This Row],[مقدار (کیلوگرم)]]&lt;0,Main[[#This Row],[مقدار (کیلوگرم)]],0)</f>
        <v>0</v>
      </c>
      <c r="L3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3" s="7">
        <f>-IF(AND(Main[[#This Row],[مقدار (کیلوگرم)]]&lt;0,Main[[#This Row],[تاريخ میلادی]]&gt;44276),Main[[#This Row],[مقدار (کیلوگرم)]],0)</f>
        <v>0</v>
      </c>
      <c r="N373" s="6">
        <f ca="1">Main[[#This Row],[بدهکار (کیلوگرم)]]-Main[[#This Row],[بدهی تسویه نشده (کیلوگرم)]]</f>
        <v>0</v>
      </c>
      <c r="O373" s="6">
        <f ca="1">Main[[#This Row],[تفکیک]]</f>
        <v>0</v>
      </c>
      <c r="P373" s="6">
        <f ca="1">IF(Main[[#This Row],[تاخیر از سررسید]]&gt;0,Main[[#This Row],[بدهی تسویه نشده (کیلوگرم)]],0)</f>
        <v>0</v>
      </c>
      <c r="Q373" s="6">
        <f ca="1">IF(Main[[#This Row],[بدهی تسویه نشده (کیلوگرم)]]&gt;0,'گزارش فردی'!$B$7-Main[[#This Row],[تاريخ میلادی]],0)</f>
        <v>0</v>
      </c>
      <c r="R373" s="6">
        <f ca="1">IF(Main[[#This Row],[بدهی تسویه نشده (کیلوگرم)]]&gt;0,'گزارش فردی'!$B$7-Main[[#This Row],[تاريخ میلادی]]-'گزارش فردی'!$B$8,0)</f>
        <v>0</v>
      </c>
      <c r="S373" s="6">
        <f ca="1">Main[[#This Row],[روز از ارسال سفارش]]*Main[[#This Row],[بدهی تسویه نشده (کیلوگرم)]]</f>
        <v>0</v>
      </c>
      <c r="T373" s="6">
        <f ca="1">Main[[#This Row],[بدهی سررسید شده (کیلوگرم)]]*Main[[#This Row],[روز از ارسال سفارش]]</f>
        <v>0</v>
      </c>
      <c r="U373" s="6">
        <f>-SUBTOTAL(9,INDEX(Main[مقدار (کیلوگرم)],1):Main[[#This Row],[مقدار (کیلوگرم)]])</f>
        <v>39943</v>
      </c>
      <c r="V37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3" s="6">
        <f>Main[[#This Row],[تعداد کل روزهای بدهکار (روز)]]*Main[[#This Row],[مانده در خط کل (کیلوگرم)]]</f>
        <v>79886</v>
      </c>
      <c r="X373" s="6">
        <f ca="1">-SUBTOTAL(9,INDEX(Main[مقدار تسویه شده (کیلوگرم)],1):Main[[#This Row],[مقدار تسویه شده (کیلوگرم)]])</f>
        <v>39943</v>
      </c>
      <c r="Y373" s="6">
        <f ca="1">IF(Main[[#This Row],[مانده در خط تسویه شده (کیلوگرم)]]&lt;&gt;0,Main[[#This Row],[تعداد کل روزهای بدهکار (روز)]],0)</f>
        <v>2</v>
      </c>
      <c r="Z373" s="6">
        <f ca="1">Main[[#This Row],[تعداد روزهای بدهکار تسویه شده (روز)]]*Main[[#This Row],[مانده در خط تسویه شده (کیلوگرم)]]</f>
        <v>79886</v>
      </c>
      <c r="AA373" s="6">
        <f ca="1">SUBTOTAL(9,INDEX(Main[بدهی تسویه نشده (کیلوگرم)],1):Main[[#This Row],[بدهی تسویه نشده (کیلوگرم)]])</f>
        <v>0</v>
      </c>
      <c r="AB373" s="6">
        <f ca="1">IF(Main[[#This Row],[مانده در خط تسویه نشده (کیلوگرم)]]&lt;&gt;0,Main[[#This Row],[تعداد کل روزهای بدهکار (روز)]],0)</f>
        <v>0</v>
      </c>
      <c r="AC373" s="6">
        <f ca="1">Main[[#This Row],[تعداد روزهای بدهکار  تسویه نشده (روز)]]*Main[[#This Row],[مانده در خط تسویه نشده (کیلوگرم)]]</f>
        <v>0</v>
      </c>
      <c r="AD373" s="6">
        <f ca="1">SUBTOTAL(9,INDEX(Main[بدهی سررسید شده (کیلوگرم)],1):Main[[#This Row],[بدهی سررسید شده (کیلوگرم)]])</f>
        <v>0</v>
      </c>
      <c r="AE373" s="6">
        <f ca="1">IF(Main[[#This Row],[مانده در خط سررسید شده (کیلوگرم)]]&lt;&gt;0,Main[[#This Row],[تعداد کل روزهای بدهکار (روز)]],0)</f>
        <v>0</v>
      </c>
      <c r="AF373" s="6">
        <f ca="1">Main[[#This Row],[تعداد روزهای بدهکار سررسید شده (روز)]]*Main[[#This Row],[مانده در خط سررسید شده (کیلوگرم)]]</f>
        <v>0</v>
      </c>
    </row>
    <row r="374" spans="1:32" hidden="1" x14ac:dyDescent="0.35">
      <c r="A374" s="5">
        <f>ROW()-ROW(INDEX(Main[ردیف],1))+1</f>
        <v>372</v>
      </c>
      <c r="B374" s="31">
        <f>SUBTOTAL(2,INDEX(Main[ردیف],1):Main[[#This Row],[ردیف]])</f>
        <v>37</v>
      </c>
      <c r="C374" s="32" t="s">
        <v>544</v>
      </c>
      <c r="D374" s="32" t="str">
        <f>_xlfn.CONCAT("14",Main[[#This Row],[تاريخ]])</f>
        <v>1400/02/16</v>
      </c>
      <c r="E374" s="33">
        <v>44322</v>
      </c>
      <c r="F374" s="32">
        <v>30003</v>
      </c>
      <c r="G374" s="5" t="str">
        <f>INDEX(customer[عنوان],MATCH(Main[[#This Row],[کد ردیابی]],customer[کد],0))</f>
        <v xml:space="preserve">شهاب گاز سوز </v>
      </c>
      <c r="H374">
        <v>-976</v>
      </c>
      <c r="I374" s="6">
        <f ca="1">-Main[[#This Row],[بدهی تسویه شده (کیلوگرم)]]+Main[[#This Row],[بستانکار (کیلوگرم)]]</f>
        <v>-976</v>
      </c>
      <c r="J374" s="6">
        <f>IF(Main[[#This Row],[مقدار (کیلوگرم)]]&gt;0,Main[[#This Row],[مقدار (کیلوگرم)]],0)</f>
        <v>0</v>
      </c>
      <c r="K374" s="6">
        <f>-IF(Main[[#This Row],[مقدار (کیلوگرم)]]&lt;0,Main[[#This Row],[مقدار (کیلوگرم)]],0)</f>
        <v>976</v>
      </c>
      <c r="L3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4" s="7">
        <f>-IF(AND(Main[[#This Row],[مقدار (کیلوگرم)]]&lt;0,Main[[#This Row],[تاريخ میلادی]]&gt;44276),Main[[#This Row],[مقدار (کیلوگرم)]],0)</f>
        <v>976</v>
      </c>
      <c r="N374" s="6">
        <f ca="1">Main[[#This Row],[بدهکار (کیلوگرم)]]-Main[[#This Row],[بدهی تسویه نشده (کیلوگرم)]]</f>
        <v>976</v>
      </c>
      <c r="O374" s="6">
        <f ca="1">Main[[#This Row],[تفکیک]]</f>
        <v>0</v>
      </c>
      <c r="P374" s="6">
        <f ca="1">IF(Main[[#This Row],[تاخیر از سررسید]]&gt;0,Main[[#This Row],[بدهی تسویه نشده (کیلوگرم)]],0)</f>
        <v>0</v>
      </c>
      <c r="Q374" s="6">
        <f ca="1">IF(Main[[#This Row],[بدهی تسویه نشده (کیلوگرم)]]&gt;0,'گزارش فردی'!$B$7-Main[[#This Row],[تاريخ میلادی]],0)</f>
        <v>0</v>
      </c>
      <c r="R374" s="6">
        <f ca="1">IF(Main[[#This Row],[بدهی تسویه نشده (کیلوگرم)]]&gt;0,'گزارش فردی'!$B$7-Main[[#This Row],[تاريخ میلادی]]-'گزارش فردی'!$B$8,0)</f>
        <v>0</v>
      </c>
      <c r="S374" s="6">
        <f ca="1">Main[[#This Row],[روز از ارسال سفارش]]*Main[[#This Row],[بدهی تسویه نشده (کیلوگرم)]]</f>
        <v>0</v>
      </c>
      <c r="T374" s="6">
        <f ca="1">Main[[#This Row],[بدهی سررسید شده (کیلوگرم)]]*Main[[#This Row],[روز از ارسال سفارش]]</f>
        <v>0</v>
      </c>
      <c r="U374" s="6">
        <f>-SUBTOTAL(9,INDEX(Main[مقدار (کیلوگرم)],1):Main[[#This Row],[مقدار (کیلوگرم)]])</f>
        <v>39943</v>
      </c>
      <c r="V37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4" s="6">
        <f>Main[[#This Row],[تعداد کل روزهای بدهکار (روز)]]*Main[[#This Row],[مانده در خط کل (کیلوگرم)]]</f>
        <v>79886</v>
      </c>
      <c r="X374" s="6">
        <f ca="1">-SUBTOTAL(9,INDEX(Main[مقدار تسویه شده (کیلوگرم)],1):Main[[#This Row],[مقدار تسویه شده (کیلوگرم)]])</f>
        <v>39943</v>
      </c>
      <c r="Y374" s="6">
        <f ca="1">IF(Main[[#This Row],[مانده در خط تسویه شده (کیلوگرم)]]&lt;&gt;0,Main[[#This Row],[تعداد کل روزهای بدهکار (روز)]],0)</f>
        <v>2</v>
      </c>
      <c r="Z374" s="6">
        <f ca="1">Main[[#This Row],[تعداد روزهای بدهکار تسویه شده (روز)]]*Main[[#This Row],[مانده در خط تسویه شده (کیلوگرم)]]</f>
        <v>79886</v>
      </c>
      <c r="AA374" s="6">
        <f ca="1">SUBTOTAL(9,INDEX(Main[بدهی تسویه نشده (کیلوگرم)],1):Main[[#This Row],[بدهی تسویه نشده (کیلوگرم)]])</f>
        <v>0</v>
      </c>
      <c r="AB374" s="6">
        <f ca="1">IF(Main[[#This Row],[مانده در خط تسویه نشده (کیلوگرم)]]&lt;&gt;0,Main[[#This Row],[تعداد کل روزهای بدهکار (روز)]],0)</f>
        <v>0</v>
      </c>
      <c r="AC374" s="6">
        <f ca="1">Main[[#This Row],[تعداد روزهای بدهکار  تسویه نشده (روز)]]*Main[[#This Row],[مانده در خط تسویه نشده (کیلوگرم)]]</f>
        <v>0</v>
      </c>
      <c r="AD374" s="6">
        <f ca="1">SUBTOTAL(9,INDEX(Main[بدهی سررسید شده (کیلوگرم)],1):Main[[#This Row],[بدهی سررسید شده (کیلوگرم)]])</f>
        <v>0</v>
      </c>
      <c r="AE374" s="6">
        <f ca="1">IF(Main[[#This Row],[مانده در خط سررسید شده (کیلوگرم)]]&lt;&gt;0,Main[[#This Row],[تعداد کل روزهای بدهکار (روز)]],0)</f>
        <v>0</v>
      </c>
      <c r="AF374" s="6">
        <f ca="1">Main[[#This Row],[تعداد روزهای بدهکار سررسید شده (روز)]]*Main[[#This Row],[مانده در خط سررسید شده (کیلوگرم)]]</f>
        <v>0</v>
      </c>
    </row>
    <row r="375" spans="1:32" hidden="1" x14ac:dyDescent="0.35">
      <c r="A375" s="5">
        <f>ROW()-ROW(INDEX(Main[ردیف],1))+1</f>
        <v>373</v>
      </c>
      <c r="B375" s="31">
        <f>SUBTOTAL(2,INDEX(Main[ردیف],1):Main[[#This Row],[ردیف]])</f>
        <v>37</v>
      </c>
      <c r="C375" s="32" t="s">
        <v>544</v>
      </c>
      <c r="D375" s="32" t="str">
        <f>_xlfn.CONCAT("14",Main[[#This Row],[تاريخ]])</f>
        <v>1400/02/16</v>
      </c>
      <c r="E375" s="33">
        <v>44322</v>
      </c>
      <c r="F375" s="32">
        <v>10126</v>
      </c>
      <c r="G375" s="5" t="str">
        <f>INDEX(customer[عنوان],MATCH(Main[[#This Row],[کد ردیابی]],customer[کد],0))</f>
        <v xml:space="preserve">کریم اسمعیلی </v>
      </c>
      <c r="H375">
        <v>410</v>
      </c>
      <c r="I375" s="6">
        <f ca="1">-Main[[#This Row],[بدهی تسویه شده (کیلوگرم)]]+Main[[#This Row],[بستانکار (کیلوگرم)]]</f>
        <v>410</v>
      </c>
      <c r="J375" s="6">
        <f>IF(Main[[#This Row],[مقدار (کیلوگرم)]]&gt;0,Main[[#This Row],[مقدار (کیلوگرم)]],0)</f>
        <v>410</v>
      </c>
      <c r="K375" s="6">
        <f>-IF(Main[[#This Row],[مقدار (کیلوگرم)]]&lt;0,Main[[#This Row],[مقدار (کیلوگرم)]],0)</f>
        <v>0</v>
      </c>
      <c r="L3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5" s="7">
        <f>-IF(AND(Main[[#This Row],[مقدار (کیلوگرم)]]&lt;0,Main[[#This Row],[تاريخ میلادی]]&gt;44276),Main[[#This Row],[مقدار (کیلوگرم)]],0)</f>
        <v>0</v>
      </c>
      <c r="N375" s="6">
        <f ca="1">Main[[#This Row],[بدهکار (کیلوگرم)]]-Main[[#This Row],[بدهی تسویه نشده (کیلوگرم)]]</f>
        <v>0</v>
      </c>
      <c r="O375" s="6">
        <f ca="1">Main[[#This Row],[تفکیک]]</f>
        <v>0</v>
      </c>
      <c r="P375" s="6">
        <f ca="1">IF(Main[[#This Row],[تاخیر از سررسید]]&gt;0,Main[[#This Row],[بدهی تسویه نشده (کیلوگرم)]],0)</f>
        <v>0</v>
      </c>
      <c r="Q375" s="6">
        <f ca="1">IF(Main[[#This Row],[بدهی تسویه نشده (کیلوگرم)]]&gt;0,'گزارش فردی'!$B$7-Main[[#This Row],[تاريخ میلادی]],0)</f>
        <v>0</v>
      </c>
      <c r="R375" s="6">
        <f ca="1">IF(Main[[#This Row],[بدهی تسویه نشده (کیلوگرم)]]&gt;0,'گزارش فردی'!$B$7-Main[[#This Row],[تاريخ میلادی]]-'گزارش فردی'!$B$8,0)</f>
        <v>0</v>
      </c>
      <c r="S375" s="6">
        <f ca="1">Main[[#This Row],[روز از ارسال سفارش]]*Main[[#This Row],[بدهی تسویه نشده (کیلوگرم)]]</f>
        <v>0</v>
      </c>
      <c r="T375" s="6">
        <f ca="1">Main[[#This Row],[بدهی سررسید شده (کیلوگرم)]]*Main[[#This Row],[روز از ارسال سفارش]]</f>
        <v>0</v>
      </c>
      <c r="U375" s="6">
        <f>-SUBTOTAL(9,INDEX(Main[مقدار (کیلوگرم)],1):Main[[#This Row],[مقدار (کیلوگرم)]])</f>
        <v>39943</v>
      </c>
      <c r="V3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5" s="6">
        <f>Main[[#This Row],[تعداد کل روزهای بدهکار (روز)]]*Main[[#This Row],[مانده در خط کل (کیلوگرم)]]</f>
        <v>79886</v>
      </c>
      <c r="X375" s="6">
        <f ca="1">-SUBTOTAL(9,INDEX(Main[مقدار تسویه شده (کیلوگرم)],1):Main[[#This Row],[مقدار تسویه شده (کیلوگرم)]])</f>
        <v>39943</v>
      </c>
      <c r="Y375" s="6">
        <f ca="1">IF(Main[[#This Row],[مانده در خط تسویه شده (کیلوگرم)]]&lt;&gt;0,Main[[#This Row],[تعداد کل روزهای بدهکار (روز)]],0)</f>
        <v>2</v>
      </c>
      <c r="Z375" s="6">
        <f ca="1">Main[[#This Row],[تعداد روزهای بدهکار تسویه شده (روز)]]*Main[[#This Row],[مانده در خط تسویه شده (کیلوگرم)]]</f>
        <v>79886</v>
      </c>
      <c r="AA375" s="6">
        <f ca="1">SUBTOTAL(9,INDEX(Main[بدهی تسویه نشده (کیلوگرم)],1):Main[[#This Row],[بدهی تسویه نشده (کیلوگرم)]])</f>
        <v>0</v>
      </c>
      <c r="AB375" s="6">
        <f ca="1">IF(Main[[#This Row],[مانده در خط تسویه نشده (کیلوگرم)]]&lt;&gt;0,Main[[#This Row],[تعداد کل روزهای بدهکار (روز)]],0)</f>
        <v>0</v>
      </c>
      <c r="AC375" s="6">
        <f ca="1">Main[[#This Row],[تعداد روزهای بدهکار  تسویه نشده (روز)]]*Main[[#This Row],[مانده در خط تسویه نشده (کیلوگرم)]]</f>
        <v>0</v>
      </c>
      <c r="AD375" s="6">
        <f ca="1">SUBTOTAL(9,INDEX(Main[بدهی سررسید شده (کیلوگرم)],1):Main[[#This Row],[بدهی سررسید شده (کیلوگرم)]])</f>
        <v>0</v>
      </c>
      <c r="AE375" s="6">
        <f ca="1">IF(Main[[#This Row],[مانده در خط سررسید شده (کیلوگرم)]]&lt;&gt;0,Main[[#This Row],[تعداد کل روزهای بدهکار (روز)]],0)</f>
        <v>0</v>
      </c>
      <c r="AF375" s="6">
        <f ca="1">Main[[#This Row],[تعداد روزهای بدهکار سررسید شده (روز)]]*Main[[#This Row],[مانده در خط سررسید شده (کیلوگرم)]]</f>
        <v>0</v>
      </c>
    </row>
    <row r="376" spans="1:32" hidden="1" x14ac:dyDescent="0.35">
      <c r="A376" s="5">
        <f>ROW()-ROW(INDEX(Main[ردیف],1))+1</f>
        <v>374</v>
      </c>
      <c r="B376" s="31">
        <f>SUBTOTAL(2,INDEX(Main[ردیف],1):Main[[#This Row],[ردیف]])</f>
        <v>37</v>
      </c>
      <c r="C376" s="32" t="s">
        <v>544</v>
      </c>
      <c r="D376" s="32" t="str">
        <f>_xlfn.CONCAT("14",Main[[#This Row],[تاريخ]])</f>
        <v>1400/02/16</v>
      </c>
      <c r="E376" s="33">
        <v>44322</v>
      </c>
      <c r="F376" s="32">
        <v>10026</v>
      </c>
      <c r="G376" s="5" t="str">
        <f>INDEX(customer[عنوان],MATCH(Main[[#This Row],[کد ردیابی]],customer[کد],0))</f>
        <v xml:space="preserve">محسن فیاض بخش </v>
      </c>
      <c r="H376">
        <v>-3508</v>
      </c>
      <c r="I376" s="6">
        <f ca="1">-Main[[#This Row],[بدهی تسویه شده (کیلوگرم)]]+Main[[#This Row],[بستانکار (کیلوگرم)]]</f>
        <v>-3508</v>
      </c>
      <c r="J376" s="6">
        <f>IF(Main[[#This Row],[مقدار (کیلوگرم)]]&gt;0,Main[[#This Row],[مقدار (کیلوگرم)]],0)</f>
        <v>0</v>
      </c>
      <c r="K376" s="6">
        <f>-IF(Main[[#This Row],[مقدار (کیلوگرم)]]&lt;0,Main[[#This Row],[مقدار (کیلوگرم)]],0)</f>
        <v>3508</v>
      </c>
      <c r="L3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6" s="7">
        <f>-IF(AND(Main[[#This Row],[مقدار (کیلوگرم)]]&lt;0,Main[[#This Row],[تاريخ میلادی]]&gt;44276),Main[[#This Row],[مقدار (کیلوگرم)]],0)</f>
        <v>3508</v>
      </c>
      <c r="N376" s="6">
        <f ca="1">Main[[#This Row],[بدهکار (کیلوگرم)]]-Main[[#This Row],[بدهی تسویه نشده (کیلوگرم)]]</f>
        <v>3508</v>
      </c>
      <c r="O376" s="6">
        <f ca="1">Main[[#This Row],[تفکیک]]</f>
        <v>0</v>
      </c>
      <c r="P376" s="6">
        <f ca="1">IF(Main[[#This Row],[تاخیر از سررسید]]&gt;0,Main[[#This Row],[بدهی تسویه نشده (کیلوگرم)]],0)</f>
        <v>0</v>
      </c>
      <c r="Q376" s="6">
        <f ca="1">IF(Main[[#This Row],[بدهی تسویه نشده (کیلوگرم)]]&gt;0,'گزارش فردی'!$B$7-Main[[#This Row],[تاريخ میلادی]],0)</f>
        <v>0</v>
      </c>
      <c r="R376" s="6">
        <f ca="1">IF(Main[[#This Row],[بدهی تسویه نشده (کیلوگرم)]]&gt;0,'گزارش فردی'!$B$7-Main[[#This Row],[تاريخ میلادی]]-'گزارش فردی'!$B$8,0)</f>
        <v>0</v>
      </c>
      <c r="S376" s="6">
        <f ca="1">Main[[#This Row],[روز از ارسال سفارش]]*Main[[#This Row],[بدهی تسویه نشده (کیلوگرم)]]</f>
        <v>0</v>
      </c>
      <c r="T376" s="6">
        <f ca="1">Main[[#This Row],[بدهی سررسید شده (کیلوگرم)]]*Main[[#This Row],[روز از ارسال سفارش]]</f>
        <v>0</v>
      </c>
      <c r="U376" s="6">
        <f>-SUBTOTAL(9,INDEX(Main[مقدار (کیلوگرم)],1):Main[[#This Row],[مقدار (کیلوگرم)]])</f>
        <v>39943</v>
      </c>
      <c r="V37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6" s="6">
        <f>Main[[#This Row],[تعداد کل روزهای بدهکار (روز)]]*Main[[#This Row],[مانده در خط کل (کیلوگرم)]]</f>
        <v>79886</v>
      </c>
      <c r="X376" s="6">
        <f ca="1">-SUBTOTAL(9,INDEX(Main[مقدار تسویه شده (کیلوگرم)],1):Main[[#This Row],[مقدار تسویه شده (کیلوگرم)]])</f>
        <v>39943</v>
      </c>
      <c r="Y376" s="6">
        <f ca="1">IF(Main[[#This Row],[مانده در خط تسویه شده (کیلوگرم)]]&lt;&gt;0,Main[[#This Row],[تعداد کل روزهای بدهکار (روز)]],0)</f>
        <v>2</v>
      </c>
      <c r="Z376" s="6">
        <f ca="1">Main[[#This Row],[تعداد روزهای بدهکار تسویه شده (روز)]]*Main[[#This Row],[مانده در خط تسویه شده (کیلوگرم)]]</f>
        <v>79886</v>
      </c>
      <c r="AA376" s="6">
        <f ca="1">SUBTOTAL(9,INDEX(Main[بدهی تسویه نشده (کیلوگرم)],1):Main[[#This Row],[بدهی تسویه نشده (کیلوگرم)]])</f>
        <v>0</v>
      </c>
      <c r="AB376" s="6">
        <f ca="1">IF(Main[[#This Row],[مانده در خط تسویه نشده (کیلوگرم)]]&lt;&gt;0,Main[[#This Row],[تعداد کل روزهای بدهکار (روز)]],0)</f>
        <v>0</v>
      </c>
      <c r="AC376" s="6">
        <f ca="1">Main[[#This Row],[تعداد روزهای بدهکار  تسویه نشده (روز)]]*Main[[#This Row],[مانده در خط تسویه نشده (کیلوگرم)]]</f>
        <v>0</v>
      </c>
      <c r="AD376" s="6">
        <f ca="1">SUBTOTAL(9,INDEX(Main[بدهی سررسید شده (کیلوگرم)],1):Main[[#This Row],[بدهی سررسید شده (کیلوگرم)]])</f>
        <v>0</v>
      </c>
      <c r="AE376" s="6">
        <f ca="1">IF(Main[[#This Row],[مانده در خط سررسید شده (کیلوگرم)]]&lt;&gt;0,Main[[#This Row],[تعداد کل روزهای بدهکار (روز)]],0)</f>
        <v>0</v>
      </c>
      <c r="AF376" s="6">
        <f ca="1">Main[[#This Row],[تعداد روزهای بدهکار سررسید شده (روز)]]*Main[[#This Row],[مانده در خط سررسید شده (کیلوگرم)]]</f>
        <v>0</v>
      </c>
    </row>
    <row r="377" spans="1:32" hidden="1" x14ac:dyDescent="0.35">
      <c r="A377" s="5">
        <f>ROW()-ROW(INDEX(Main[ردیف],1))+1</f>
        <v>375</v>
      </c>
      <c r="B377" s="31">
        <f>SUBTOTAL(2,INDEX(Main[ردیف],1):Main[[#This Row],[ردیف]])</f>
        <v>37</v>
      </c>
      <c r="C377" s="32" t="s">
        <v>544</v>
      </c>
      <c r="D377" s="32" t="str">
        <f>_xlfn.CONCAT("14",Main[[#This Row],[تاريخ]])</f>
        <v>1400/02/16</v>
      </c>
      <c r="E377" s="33">
        <v>44322</v>
      </c>
      <c r="F377" s="32">
        <v>10055</v>
      </c>
      <c r="G377" s="5" t="str">
        <f>INDEX(customer[عنوان],MATCH(Main[[#This Row],[کد ردیابی]],customer[کد],0))</f>
        <v xml:space="preserve">مریم فیض آبادی  </v>
      </c>
      <c r="H377">
        <v>5158</v>
      </c>
      <c r="I377" s="6">
        <f ca="1">-Main[[#This Row],[بدهی تسویه شده (کیلوگرم)]]+Main[[#This Row],[بستانکار (کیلوگرم)]]</f>
        <v>5158</v>
      </c>
      <c r="J377" s="6">
        <f>IF(Main[[#This Row],[مقدار (کیلوگرم)]]&gt;0,Main[[#This Row],[مقدار (کیلوگرم)]],0)</f>
        <v>5158</v>
      </c>
      <c r="K377" s="6">
        <f>-IF(Main[[#This Row],[مقدار (کیلوگرم)]]&lt;0,Main[[#This Row],[مقدار (کیلوگرم)]],0)</f>
        <v>0</v>
      </c>
      <c r="L3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7" s="7">
        <f>-IF(AND(Main[[#This Row],[مقدار (کیلوگرم)]]&lt;0,Main[[#This Row],[تاريخ میلادی]]&gt;44276),Main[[#This Row],[مقدار (کیلوگرم)]],0)</f>
        <v>0</v>
      </c>
      <c r="N377" s="6">
        <f ca="1">Main[[#This Row],[بدهکار (کیلوگرم)]]-Main[[#This Row],[بدهی تسویه نشده (کیلوگرم)]]</f>
        <v>0</v>
      </c>
      <c r="O377" s="6">
        <f ca="1">Main[[#This Row],[تفکیک]]</f>
        <v>0</v>
      </c>
      <c r="P377" s="6">
        <f ca="1">IF(Main[[#This Row],[تاخیر از سررسید]]&gt;0,Main[[#This Row],[بدهی تسویه نشده (کیلوگرم)]],0)</f>
        <v>0</v>
      </c>
      <c r="Q377" s="6">
        <f ca="1">IF(Main[[#This Row],[بدهی تسویه نشده (کیلوگرم)]]&gt;0,'گزارش فردی'!$B$7-Main[[#This Row],[تاريخ میلادی]],0)</f>
        <v>0</v>
      </c>
      <c r="R377" s="6">
        <f ca="1">IF(Main[[#This Row],[بدهی تسویه نشده (کیلوگرم)]]&gt;0,'گزارش فردی'!$B$7-Main[[#This Row],[تاريخ میلادی]]-'گزارش فردی'!$B$8,0)</f>
        <v>0</v>
      </c>
      <c r="S377" s="6">
        <f ca="1">Main[[#This Row],[روز از ارسال سفارش]]*Main[[#This Row],[بدهی تسویه نشده (کیلوگرم)]]</f>
        <v>0</v>
      </c>
      <c r="T377" s="6">
        <f ca="1">Main[[#This Row],[بدهی سررسید شده (کیلوگرم)]]*Main[[#This Row],[روز از ارسال سفارش]]</f>
        <v>0</v>
      </c>
      <c r="U377" s="6">
        <f>-SUBTOTAL(9,INDEX(Main[مقدار (کیلوگرم)],1):Main[[#This Row],[مقدار (کیلوگرم)]])</f>
        <v>39943</v>
      </c>
      <c r="V37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7" s="6">
        <f>Main[[#This Row],[تعداد کل روزهای بدهکار (روز)]]*Main[[#This Row],[مانده در خط کل (کیلوگرم)]]</f>
        <v>79886</v>
      </c>
      <c r="X377" s="6">
        <f ca="1">-SUBTOTAL(9,INDEX(Main[مقدار تسویه شده (کیلوگرم)],1):Main[[#This Row],[مقدار تسویه شده (کیلوگرم)]])</f>
        <v>39943</v>
      </c>
      <c r="Y377" s="6">
        <f ca="1">IF(Main[[#This Row],[مانده در خط تسویه شده (کیلوگرم)]]&lt;&gt;0,Main[[#This Row],[تعداد کل روزهای بدهکار (روز)]],0)</f>
        <v>2</v>
      </c>
      <c r="Z377" s="6">
        <f ca="1">Main[[#This Row],[تعداد روزهای بدهکار تسویه شده (روز)]]*Main[[#This Row],[مانده در خط تسویه شده (کیلوگرم)]]</f>
        <v>79886</v>
      </c>
      <c r="AA377" s="6">
        <f ca="1">SUBTOTAL(9,INDEX(Main[بدهی تسویه نشده (کیلوگرم)],1):Main[[#This Row],[بدهی تسویه نشده (کیلوگرم)]])</f>
        <v>0</v>
      </c>
      <c r="AB377" s="6">
        <f ca="1">IF(Main[[#This Row],[مانده در خط تسویه نشده (کیلوگرم)]]&lt;&gt;0,Main[[#This Row],[تعداد کل روزهای بدهکار (روز)]],0)</f>
        <v>0</v>
      </c>
      <c r="AC377" s="6">
        <f ca="1">Main[[#This Row],[تعداد روزهای بدهکار  تسویه نشده (روز)]]*Main[[#This Row],[مانده در خط تسویه نشده (کیلوگرم)]]</f>
        <v>0</v>
      </c>
      <c r="AD377" s="6">
        <f ca="1">SUBTOTAL(9,INDEX(Main[بدهی سررسید شده (کیلوگرم)],1):Main[[#This Row],[بدهی سررسید شده (کیلوگرم)]])</f>
        <v>0</v>
      </c>
      <c r="AE377" s="6">
        <f ca="1">IF(Main[[#This Row],[مانده در خط سررسید شده (کیلوگرم)]]&lt;&gt;0,Main[[#This Row],[تعداد کل روزهای بدهکار (روز)]],0)</f>
        <v>0</v>
      </c>
      <c r="AF377" s="6">
        <f ca="1">Main[[#This Row],[تعداد روزهای بدهکار سررسید شده (روز)]]*Main[[#This Row],[مانده در خط سررسید شده (کیلوگرم)]]</f>
        <v>0</v>
      </c>
    </row>
    <row r="378" spans="1:32" hidden="1" x14ac:dyDescent="0.35">
      <c r="A378" s="5">
        <f>ROW()-ROW(INDEX(Main[ردیف],1))+1</f>
        <v>376</v>
      </c>
      <c r="B378" s="31">
        <f>SUBTOTAL(2,INDEX(Main[ردیف],1):Main[[#This Row],[ردیف]])</f>
        <v>37</v>
      </c>
      <c r="C378" s="32" t="s">
        <v>544</v>
      </c>
      <c r="D378" s="32" t="str">
        <f>_xlfn.CONCAT("14",Main[[#This Row],[تاريخ]])</f>
        <v>1400/02/16</v>
      </c>
      <c r="E378" s="33">
        <v>44322</v>
      </c>
      <c r="F378" s="32">
        <v>30003</v>
      </c>
      <c r="G378" s="5" t="str">
        <f>INDEX(customer[عنوان],MATCH(Main[[#This Row],[کد ردیابی]],customer[کد],0))</f>
        <v xml:space="preserve">شهاب گاز سوز </v>
      </c>
      <c r="H378">
        <v>480</v>
      </c>
      <c r="I378" s="6">
        <f ca="1">-Main[[#This Row],[بدهی تسویه شده (کیلوگرم)]]+Main[[#This Row],[بستانکار (کیلوگرم)]]</f>
        <v>480</v>
      </c>
      <c r="J378" s="6">
        <f>IF(Main[[#This Row],[مقدار (کیلوگرم)]]&gt;0,Main[[#This Row],[مقدار (کیلوگرم)]],0)</f>
        <v>480</v>
      </c>
      <c r="K378" s="6">
        <f>-IF(Main[[#This Row],[مقدار (کیلوگرم)]]&lt;0,Main[[#This Row],[مقدار (کیلوگرم)]],0)</f>
        <v>0</v>
      </c>
      <c r="L3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8" s="7">
        <f>-IF(AND(Main[[#This Row],[مقدار (کیلوگرم)]]&lt;0,Main[[#This Row],[تاريخ میلادی]]&gt;44276),Main[[#This Row],[مقدار (کیلوگرم)]],0)</f>
        <v>0</v>
      </c>
      <c r="N378" s="6">
        <f ca="1">Main[[#This Row],[بدهکار (کیلوگرم)]]-Main[[#This Row],[بدهی تسویه نشده (کیلوگرم)]]</f>
        <v>0</v>
      </c>
      <c r="O378" s="6">
        <f ca="1">Main[[#This Row],[تفکیک]]</f>
        <v>0</v>
      </c>
      <c r="P378" s="6">
        <f ca="1">IF(Main[[#This Row],[تاخیر از سررسید]]&gt;0,Main[[#This Row],[بدهی تسویه نشده (کیلوگرم)]],0)</f>
        <v>0</v>
      </c>
      <c r="Q378" s="6">
        <f ca="1">IF(Main[[#This Row],[بدهی تسویه نشده (کیلوگرم)]]&gt;0,'گزارش فردی'!$B$7-Main[[#This Row],[تاريخ میلادی]],0)</f>
        <v>0</v>
      </c>
      <c r="R378" s="6">
        <f ca="1">IF(Main[[#This Row],[بدهی تسویه نشده (کیلوگرم)]]&gt;0,'گزارش فردی'!$B$7-Main[[#This Row],[تاريخ میلادی]]-'گزارش فردی'!$B$8,0)</f>
        <v>0</v>
      </c>
      <c r="S378" s="6">
        <f ca="1">Main[[#This Row],[روز از ارسال سفارش]]*Main[[#This Row],[بدهی تسویه نشده (کیلوگرم)]]</f>
        <v>0</v>
      </c>
      <c r="T378" s="6">
        <f ca="1">Main[[#This Row],[بدهی سررسید شده (کیلوگرم)]]*Main[[#This Row],[روز از ارسال سفارش]]</f>
        <v>0</v>
      </c>
      <c r="U378" s="6">
        <f>-SUBTOTAL(9,INDEX(Main[مقدار (کیلوگرم)],1):Main[[#This Row],[مقدار (کیلوگرم)]])</f>
        <v>39943</v>
      </c>
      <c r="V37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8" s="6">
        <f>Main[[#This Row],[تعداد کل روزهای بدهکار (روز)]]*Main[[#This Row],[مانده در خط کل (کیلوگرم)]]</f>
        <v>79886</v>
      </c>
      <c r="X378" s="6">
        <f ca="1">-SUBTOTAL(9,INDEX(Main[مقدار تسویه شده (کیلوگرم)],1):Main[[#This Row],[مقدار تسویه شده (کیلوگرم)]])</f>
        <v>39943</v>
      </c>
      <c r="Y378" s="6">
        <f ca="1">IF(Main[[#This Row],[مانده در خط تسویه شده (کیلوگرم)]]&lt;&gt;0,Main[[#This Row],[تعداد کل روزهای بدهکار (روز)]],0)</f>
        <v>2</v>
      </c>
      <c r="Z378" s="6">
        <f ca="1">Main[[#This Row],[تعداد روزهای بدهکار تسویه شده (روز)]]*Main[[#This Row],[مانده در خط تسویه شده (کیلوگرم)]]</f>
        <v>79886</v>
      </c>
      <c r="AA378" s="6">
        <f ca="1">SUBTOTAL(9,INDEX(Main[بدهی تسویه نشده (کیلوگرم)],1):Main[[#This Row],[بدهی تسویه نشده (کیلوگرم)]])</f>
        <v>0</v>
      </c>
      <c r="AB378" s="6">
        <f ca="1">IF(Main[[#This Row],[مانده در خط تسویه نشده (کیلوگرم)]]&lt;&gt;0,Main[[#This Row],[تعداد کل روزهای بدهکار (روز)]],0)</f>
        <v>0</v>
      </c>
      <c r="AC378" s="6">
        <f ca="1">Main[[#This Row],[تعداد روزهای بدهکار  تسویه نشده (روز)]]*Main[[#This Row],[مانده در خط تسویه نشده (کیلوگرم)]]</f>
        <v>0</v>
      </c>
      <c r="AD378" s="6">
        <f ca="1">SUBTOTAL(9,INDEX(Main[بدهی سررسید شده (کیلوگرم)],1):Main[[#This Row],[بدهی سررسید شده (کیلوگرم)]])</f>
        <v>0</v>
      </c>
      <c r="AE378" s="6">
        <f ca="1">IF(Main[[#This Row],[مانده در خط سررسید شده (کیلوگرم)]]&lt;&gt;0,Main[[#This Row],[تعداد کل روزهای بدهکار (روز)]],0)</f>
        <v>0</v>
      </c>
      <c r="AF378" s="6">
        <f ca="1">Main[[#This Row],[تعداد روزهای بدهکار سررسید شده (روز)]]*Main[[#This Row],[مانده در خط سررسید شده (کیلوگرم)]]</f>
        <v>0</v>
      </c>
    </row>
    <row r="379" spans="1:32" hidden="1" x14ac:dyDescent="0.35">
      <c r="A379" s="5">
        <f>ROW()-ROW(INDEX(Main[ردیف],1))+1</f>
        <v>377</v>
      </c>
      <c r="B379" s="31">
        <f>SUBTOTAL(2,INDEX(Main[ردیف],1):Main[[#This Row],[ردیف]])</f>
        <v>37</v>
      </c>
      <c r="C379" s="32" t="s">
        <v>544</v>
      </c>
      <c r="D379" s="32" t="str">
        <f>_xlfn.CONCAT("14",Main[[#This Row],[تاريخ]])</f>
        <v>1400/02/16</v>
      </c>
      <c r="E379" s="33">
        <v>44322</v>
      </c>
      <c r="F379" s="32">
        <v>10055</v>
      </c>
      <c r="G379" s="5" t="str">
        <f>INDEX(customer[عنوان],MATCH(Main[[#This Row],[کد ردیابی]],customer[کد],0))</f>
        <v xml:space="preserve">مریم فیض آبادی  </v>
      </c>
      <c r="H379">
        <v>4961</v>
      </c>
      <c r="I379" s="6">
        <f ca="1">-Main[[#This Row],[بدهی تسویه شده (کیلوگرم)]]+Main[[#This Row],[بستانکار (کیلوگرم)]]</f>
        <v>4961</v>
      </c>
      <c r="J379" s="6">
        <f>IF(Main[[#This Row],[مقدار (کیلوگرم)]]&gt;0,Main[[#This Row],[مقدار (کیلوگرم)]],0)</f>
        <v>4961</v>
      </c>
      <c r="K379" s="6">
        <f>-IF(Main[[#This Row],[مقدار (کیلوگرم)]]&lt;0,Main[[#This Row],[مقدار (کیلوگرم)]],0)</f>
        <v>0</v>
      </c>
      <c r="L3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9" s="7">
        <f>-IF(AND(Main[[#This Row],[مقدار (کیلوگرم)]]&lt;0,Main[[#This Row],[تاريخ میلادی]]&gt;44276),Main[[#This Row],[مقدار (کیلوگرم)]],0)</f>
        <v>0</v>
      </c>
      <c r="N379" s="6">
        <f ca="1">Main[[#This Row],[بدهکار (کیلوگرم)]]-Main[[#This Row],[بدهی تسویه نشده (کیلوگرم)]]</f>
        <v>0</v>
      </c>
      <c r="O379" s="6">
        <f ca="1">Main[[#This Row],[تفکیک]]</f>
        <v>0</v>
      </c>
      <c r="P379" s="6">
        <f ca="1">IF(Main[[#This Row],[تاخیر از سررسید]]&gt;0,Main[[#This Row],[بدهی تسویه نشده (کیلوگرم)]],0)</f>
        <v>0</v>
      </c>
      <c r="Q379" s="6">
        <f ca="1">IF(Main[[#This Row],[بدهی تسویه نشده (کیلوگرم)]]&gt;0,'گزارش فردی'!$B$7-Main[[#This Row],[تاريخ میلادی]],0)</f>
        <v>0</v>
      </c>
      <c r="R379" s="6">
        <f ca="1">IF(Main[[#This Row],[بدهی تسویه نشده (کیلوگرم)]]&gt;0,'گزارش فردی'!$B$7-Main[[#This Row],[تاريخ میلادی]]-'گزارش فردی'!$B$8,0)</f>
        <v>0</v>
      </c>
      <c r="S379" s="6">
        <f ca="1">Main[[#This Row],[روز از ارسال سفارش]]*Main[[#This Row],[بدهی تسویه نشده (کیلوگرم)]]</f>
        <v>0</v>
      </c>
      <c r="T379" s="6">
        <f ca="1">Main[[#This Row],[بدهی سررسید شده (کیلوگرم)]]*Main[[#This Row],[روز از ارسال سفارش]]</f>
        <v>0</v>
      </c>
      <c r="U379" s="6">
        <f>-SUBTOTAL(9,INDEX(Main[مقدار (کیلوگرم)],1):Main[[#This Row],[مقدار (کیلوگرم)]])</f>
        <v>39943</v>
      </c>
      <c r="V37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9" s="6">
        <f>Main[[#This Row],[تعداد کل روزهای بدهکار (روز)]]*Main[[#This Row],[مانده در خط کل (کیلوگرم)]]</f>
        <v>79886</v>
      </c>
      <c r="X379" s="6">
        <f ca="1">-SUBTOTAL(9,INDEX(Main[مقدار تسویه شده (کیلوگرم)],1):Main[[#This Row],[مقدار تسویه شده (کیلوگرم)]])</f>
        <v>39943</v>
      </c>
      <c r="Y379" s="6">
        <f ca="1">IF(Main[[#This Row],[مانده در خط تسویه شده (کیلوگرم)]]&lt;&gt;0,Main[[#This Row],[تعداد کل روزهای بدهکار (روز)]],0)</f>
        <v>2</v>
      </c>
      <c r="Z379" s="6">
        <f ca="1">Main[[#This Row],[تعداد روزهای بدهکار تسویه شده (روز)]]*Main[[#This Row],[مانده در خط تسویه شده (کیلوگرم)]]</f>
        <v>79886</v>
      </c>
      <c r="AA379" s="6">
        <f ca="1">SUBTOTAL(9,INDEX(Main[بدهی تسویه نشده (کیلوگرم)],1):Main[[#This Row],[بدهی تسویه نشده (کیلوگرم)]])</f>
        <v>0</v>
      </c>
      <c r="AB379" s="6">
        <f ca="1">IF(Main[[#This Row],[مانده در خط تسویه نشده (کیلوگرم)]]&lt;&gt;0,Main[[#This Row],[تعداد کل روزهای بدهکار (روز)]],0)</f>
        <v>0</v>
      </c>
      <c r="AC379" s="6">
        <f ca="1">Main[[#This Row],[تعداد روزهای بدهکار  تسویه نشده (روز)]]*Main[[#This Row],[مانده در خط تسویه نشده (کیلوگرم)]]</f>
        <v>0</v>
      </c>
      <c r="AD379" s="6">
        <f ca="1">SUBTOTAL(9,INDEX(Main[بدهی سررسید شده (کیلوگرم)],1):Main[[#This Row],[بدهی سررسید شده (کیلوگرم)]])</f>
        <v>0</v>
      </c>
      <c r="AE379" s="6">
        <f ca="1">IF(Main[[#This Row],[مانده در خط سررسید شده (کیلوگرم)]]&lt;&gt;0,Main[[#This Row],[تعداد کل روزهای بدهکار (روز)]],0)</f>
        <v>0</v>
      </c>
      <c r="AF379" s="6">
        <f ca="1">Main[[#This Row],[تعداد روزهای بدهکار سررسید شده (روز)]]*Main[[#This Row],[مانده در خط سررسید شده (کیلوگرم)]]</f>
        <v>0</v>
      </c>
    </row>
    <row r="380" spans="1:32" hidden="1" x14ac:dyDescent="0.35">
      <c r="A380" s="5">
        <f>ROW()-ROW(INDEX(Main[ردیف],1))+1</f>
        <v>378</v>
      </c>
      <c r="B380" s="31">
        <f>SUBTOTAL(2,INDEX(Main[ردیف],1):Main[[#This Row],[ردیف]])</f>
        <v>37</v>
      </c>
      <c r="C380" s="32" t="s">
        <v>544</v>
      </c>
      <c r="D380" s="32" t="str">
        <f>_xlfn.CONCAT("14",Main[[#This Row],[تاريخ]])</f>
        <v>1400/02/16</v>
      </c>
      <c r="E380" s="33">
        <v>44322</v>
      </c>
      <c r="F380" s="32">
        <v>30003</v>
      </c>
      <c r="G380" s="5" t="str">
        <f>INDEX(customer[عنوان],MATCH(Main[[#This Row],[کد ردیابی]],customer[کد],0))</f>
        <v xml:space="preserve">شهاب گاز سوز </v>
      </c>
      <c r="H380">
        <v>540</v>
      </c>
      <c r="I380" s="6">
        <f ca="1">-Main[[#This Row],[بدهی تسویه شده (کیلوگرم)]]+Main[[#This Row],[بستانکار (کیلوگرم)]]</f>
        <v>540</v>
      </c>
      <c r="J380" s="6">
        <f>IF(Main[[#This Row],[مقدار (کیلوگرم)]]&gt;0,Main[[#This Row],[مقدار (کیلوگرم)]],0)</f>
        <v>540</v>
      </c>
      <c r="K380" s="6">
        <f>-IF(Main[[#This Row],[مقدار (کیلوگرم)]]&lt;0,Main[[#This Row],[مقدار (کیلوگرم)]],0)</f>
        <v>0</v>
      </c>
      <c r="L3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0" s="7">
        <f>-IF(AND(Main[[#This Row],[مقدار (کیلوگرم)]]&lt;0,Main[[#This Row],[تاريخ میلادی]]&gt;44276),Main[[#This Row],[مقدار (کیلوگرم)]],0)</f>
        <v>0</v>
      </c>
      <c r="N380" s="6">
        <f ca="1">Main[[#This Row],[بدهکار (کیلوگرم)]]-Main[[#This Row],[بدهی تسویه نشده (کیلوگرم)]]</f>
        <v>0</v>
      </c>
      <c r="O380" s="6">
        <f ca="1">Main[[#This Row],[تفکیک]]</f>
        <v>0</v>
      </c>
      <c r="P380" s="6">
        <f ca="1">IF(Main[[#This Row],[تاخیر از سررسید]]&gt;0,Main[[#This Row],[بدهی تسویه نشده (کیلوگرم)]],0)</f>
        <v>0</v>
      </c>
      <c r="Q380" s="6">
        <f ca="1">IF(Main[[#This Row],[بدهی تسویه نشده (کیلوگرم)]]&gt;0,'گزارش فردی'!$B$7-Main[[#This Row],[تاريخ میلادی]],0)</f>
        <v>0</v>
      </c>
      <c r="R380" s="6">
        <f ca="1">IF(Main[[#This Row],[بدهی تسویه نشده (کیلوگرم)]]&gt;0,'گزارش فردی'!$B$7-Main[[#This Row],[تاريخ میلادی]]-'گزارش فردی'!$B$8,0)</f>
        <v>0</v>
      </c>
      <c r="S380" s="6">
        <f ca="1">Main[[#This Row],[روز از ارسال سفارش]]*Main[[#This Row],[بدهی تسویه نشده (کیلوگرم)]]</f>
        <v>0</v>
      </c>
      <c r="T380" s="6">
        <f ca="1">Main[[#This Row],[بدهی سررسید شده (کیلوگرم)]]*Main[[#This Row],[روز از ارسال سفارش]]</f>
        <v>0</v>
      </c>
      <c r="U380" s="6">
        <f>-SUBTOTAL(9,INDEX(Main[مقدار (کیلوگرم)],1):Main[[#This Row],[مقدار (کیلوگرم)]])</f>
        <v>39943</v>
      </c>
      <c r="V38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80" s="6">
        <f>Main[[#This Row],[تعداد کل روزهای بدهکار (روز)]]*Main[[#This Row],[مانده در خط کل (کیلوگرم)]]</f>
        <v>79886</v>
      </c>
      <c r="X380" s="6">
        <f ca="1">-SUBTOTAL(9,INDEX(Main[مقدار تسویه شده (کیلوگرم)],1):Main[[#This Row],[مقدار تسویه شده (کیلوگرم)]])</f>
        <v>39943</v>
      </c>
      <c r="Y380" s="6">
        <f ca="1">IF(Main[[#This Row],[مانده در خط تسویه شده (کیلوگرم)]]&lt;&gt;0,Main[[#This Row],[تعداد کل روزهای بدهکار (روز)]],0)</f>
        <v>2</v>
      </c>
      <c r="Z380" s="6">
        <f ca="1">Main[[#This Row],[تعداد روزهای بدهکار تسویه شده (روز)]]*Main[[#This Row],[مانده در خط تسویه شده (کیلوگرم)]]</f>
        <v>79886</v>
      </c>
      <c r="AA380" s="6">
        <f ca="1">SUBTOTAL(9,INDEX(Main[بدهی تسویه نشده (کیلوگرم)],1):Main[[#This Row],[بدهی تسویه نشده (کیلوگرم)]])</f>
        <v>0</v>
      </c>
      <c r="AB380" s="6">
        <f ca="1">IF(Main[[#This Row],[مانده در خط تسویه نشده (کیلوگرم)]]&lt;&gt;0,Main[[#This Row],[تعداد کل روزهای بدهکار (روز)]],0)</f>
        <v>0</v>
      </c>
      <c r="AC380" s="6">
        <f ca="1">Main[[#This Row],[تعداد روزهای بدهکار  تسویه نشده (روز)]]*Main[[#This Row],[مانده در خط تسویه نشده (کیلوگرم)]]</f>
        <v>0</v>
      </c>
      <c r="AD380" s="6">
        <f ca="1">SUBTOTAL(9,INDEX(Main[بدهی سررسید شده (کیلوگرم)],1):Main[[#This Row],[بدهی سررسید شده (کیلوگرم)]])</f>
        <v>0</v>
      </c>
      <c r="AE380" s="6">
        <f ca="1">IF(Main[[#This Row],[مانده در خط سررسید شده (کیلوگرم)]]&lt;&gt;0,Main[[#This Row],[تعداد کل روزهای بدهکار (روز)]],0)</f>
        <v>0</v>
      </c>
      <c r="AF380" s="6">
        <f ca="1">Main[[#This Row],[تعداد روزهای بدهکار سررسید شده (روز)]]*Main[[#This Row],[مانده در خط سررسید شده (کیلوگرم)]]</f>
        <v>0</v>
      </c>
    </row>
    <row r="381" spans="1:32" hidden="1" x14ac:dyDescent="0.35">
      <c r="A381" s="5">
        <f>ROW()-ROW(INDEX(Main[ردیف],1))+1</f>
        <v>379</v>
      </c>
      <c r="B381" s="31">
        <f>SUBTOTAL(2,INDEX(Main[ردیف],1):Main[[#This Row],[ردیف]])</f>
        <v>37</v>
      </c>
      <c r="C381" s="32" t="s">
        <v>545</v>
      </c>
      <c r="D381" s="32" t="str">
        <f>_xlfn.CONCAT("14",Main[[#This Row],[تاريخ]])</f>
        <v>1400/02/18</v>
      </c>
      <c r="E381" s="33">
        <v>44324</v>
      </c>
      <c r="F381" s="32">
        <v>10057</v>
      </c>
      <c r="G381" s="5" t="str">
        <f>INDEX(customer[عنوان],MATCH(Main[[#This Row],[کد ردیابی]],customer[کد],0))</f>
        <v xml:space="preserve">عبدالله یادگار </v>
      </c>
      <c r="H381">
        <v>-1492</v>
      </c>
      <c r="I381" s="6">
        <f ca="1">-Main[[#This Row],[بدهی تسویه شده (کیلوگرم)]]+Main[[#This Row],[بستانکار (کیلوگرم)]]</f>
        <v>-1492</v>
      </c>
      <c r="J381" s="6">
        <f>IF(Main[[#This Row],[مقدار (کیلوگرم)]]&gt;0,Main[[#This Row],[مقدار (کیلوگرم)]],0)</f>
        <v>0</v>
      </c>
      <c r="K381" s="6">
        <f>-IF(Main[[#This Row],[مقدار (کیلوگرم)]]&lt;0,Main[[#This Row],[مقدار (کیلوگرم)]],0)</f>
        <v>1492</v>
      </c>
      <c r="L3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1" s="7">
        <f>-IF(AND(Main[[#This Row],[مقدار (کیلوگرم)]]&lt;0,Main[[#This Row],[تاريخ میلادی]]&gt;44276),Main[[#This Row],[مقدار (کیلوگرم)]],0)</f>
        <v>1492</v>
      </c>
      <c r="N381" s="6">
        <f ca="1">Main[[#This Row],[بدهکار (کیلوگرم)]]-Main[[#This Row],[بدهی تسویه نشده (کیلوگرم)]]</f>
        <v>1492</v>
      </c>
      <c r="O381" s="6">
        <f ca="1">Main[[#This Row],[تفکیک]]</f>
        <v>0</v>
      </c>
      <c r="P381" s="6">
        <f ca="1">IF(Main[[#This Row],[تاخیر از سررسید]]&gt;0,Main[[#This Row],[بدهی تسویه نشده (کیلوگرم)]],0)</f>
        <v>0</v>
      </c>
      <c r="Q381" s="6">
        <f ca="1">IF(Main[[#This Row],[بدهی تسویه نشده (کیلوگرم)]]&gt;0,'گزارش فردی'!$B$7-Main[[#This Row],[تاريخ میلادی]],0)</f>
        <v>0</v>
      </c>
      <c r="R381" s="6">
        <f ca="1">IF(Main[[#This Row],[بدهی تسویه نشده (کیلوگرم)]]&gt;0,'گزارش فردی'!$B$7-Main[[#This Row],[تاريخ میلادی]]-'گزارش فردی'!$B$8,0)</f>
        <v>0</v>
      </c>
      <c r="S381" s="6">
        <f ca="1">Main[[#This Row],[روز از ارسال سفارش]]*Main[[#This Row],[بدهی تسویه نشده (کیلوگرم)]]</f>
        <v>0</v>
      </c>
      <c r="T381" s="6">
        <f ca="1">Main[[#This Row],[بدهی سررسید شده (کیلوگرم)]]*Main[[#This Row],[روز از ارسال سفارش]]</f>
        <v>0</v>
      </c>
      <c r="U381" s="6">
        <f>-SUBTOTAL(9,INDEX(Main[مقدار (کیلوگرم)],1):Main[[#This Row],[مقدار (کیلوگرم)]])</f>
        <v>39943</v>
      </c>
      <c r="V3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1" s="6">
        <f>Main[[#This Row],[تعداد کل روزهای بدهکار (روز)]]*Main[[#This Row],[مانده در خط کل (کیلوگرم)]]</f>
        <v>0</v>
      </c>
      <c r="X381" s="6">
        <f ca="1">-SUBTOTAL(9,INDEX(Main[مقدار تسویه شده (کیلوگرم)],1):Main[[#This Row],[مقدار تسویه شده (کیلوگرم)]])</f>
        <v>39943</v>
      </c>
      <c r="Y381" s="6">
        <f ca="1">IF(Main[[#This Row],[مانده در خط تسویه شده (کیلوگرم)]]&lt;&gt;0,Main[[#This Row],[تعداد کل روزهای بدهکار (روز)]],0)</f>
        <v>0</v>
      </c>
      <c r="Z381" s="6">
        <f ca="1">Main[[#This Row],[تعداد روزهای بدهکار تسویه شده (روز)]]*Main[[#This Row],[مانده در خط تسویه شده (کیلوگرم)]]</f>
        <v>0</v>
      </c>
      <c r="AA381" s="6">
        <f ca="1">SUBTOTAL(9,INDEX(Main[بدهی تسویه نشده (کیلوگرم)],1):Main[[#This Row],[بدهی تسویه نشده (کیلوگرم)]])</f>
        <v>0</v>
      </c>
      <c r="AB381" s="6">
        <f ca="1">IF(Main[[#This Row],[مانده در خط تسویه نشده (کیلوگرم)]]&lt;&gt;0,Main[[#This Row],[تعداد کل روزهای بدهکار (روز)]],0)</f>
        <v>0</v>
      </c>
      <c r="AC381" s="6">
        <f ca="1">Main[[#This Row],[تعداد روزهای بدهکار  تسویه نشده (روز)]]*Main[[#This Row],[مانده در خط تسویه نشده (کیلوگرم)]]</f>
        <v>0</v>
      </c>
      <c r="AD381" s="6">
        <f ca="1">SUBTOTAL(9,INDEX(Main[بدهی سررسید شده (کیلوگرم)],1):Main[[#This Row],[بدهی سررسید شده (کیلوگرم)]])</f>
        <v>0</v>
      </c>
      <c r="AE381" s="6">
        <f ca="1">IF(Main[[#This Row],[مانده در خط سررسید شده (کیلوگرم)]]&lt;&gt;0,Main[[#This Row],[تعداد کل روزهای بدهکار (روز)]],0)</f>
        <v>0</v>
      </c>
      <c r="AF381" s="6">
        <f ca="1">Main[[#This Row],[تعداد روزهای بدهکار سررسید شده (روز)]]*Main[[#This Row],[مانده در خط سررسید شده (کیلوگرم)]]</f>
        <v>0</v>
      </c>
    </row>
    <row r="382" spans="1:32" hidden="1" x14ac:dyDescent="0.35">
      <c r="A382" s="5">
        <f>ROW()-ROW(INDEX(Main[ردیف],1))+1</f>
        <v>380</v>
      </c>
      <c r="B382" s="31">
        <f>SUBTOTAL(2,INDEX(Main[ردیف],1):Main[[#This Row],[ردیف]])</f>
        <v>37</v>
      </c>
      <c r="C382" s="32" t="s">
        <v>545</v>
      </c>
      <c r="D382" s="32" t="str">
        <f>_xlfn.CONCAT("14",Main[[#This Row],[تاريخ]])</f>
        <v>1400/02/18</v>
      </c>
      <c r="E382" s="33">
        <v>44324</v>
      </c>
      <c r="F382" s="32">
        <v>10126</v>
      </c>
      <c r="G382" s="5" t="str">
        <f>INDEX(customer[عنوان],MATCH(Main[[#This Row],[کد ردیابی]],customer[کد],0))</f>
        <v xml:space="preserve">کریم اسمعیلی </v>
      </c>
      <c r="H382">
        <v>164</v>
      </c>
      <c r="I382" s="6">
        <f ca="1">-Main[[#This Row],[بدهی تسویه شده (کیلوگرم)]]+Main[[#This Row],[بستانکار (کیلوگرم)]]</f>
        <v>164</v>
      </c>
      <c r="J382" s="6">
        <f>IF(Main[[#This Row],[مقدار (کیلوگرم)]]&gt;0,Main[[#This Row],[مقدار (کیلوگرم)]],0)</f>
        <v>164</v>
      </c>
      <c r="K382" s="6">
        <f>-IF(Main[[#This Row],[مقدار (کیلوگرم)]]&lt;0,Main[[#This Row],[مقدار (کیلوگرم)]],0)</f>
        <v>0</v>
      </c>
      <c r="L3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2" s="7">
        <f>-IF(AND(Main[[#This Row],[مقدار (کیلوگرم)]]&lt;0,Main[[#This Row],[تاريخ میلادی]]&gt;44276),Main[[#This Row],[مقدار (کیلوگرم)]],0)</f>
        <v>0</v>
      </c>
      <c r="N382" s="6">
        <f ca="1">Main[[#This Row],[بدهکار (کیلوگرم)]]-Main[[#This Row],[بدهی تسویه نشده (کیلوگرم)]]</f>
        <v>0</v>
      </c>
      <c r="O382" s="6">
        <f ca="1">Main[[#This Row],[تفکیک]]</f>
        <v>0</v>
      </c>
      <c r="P382" s="6">
        <f ca="1">IF(Main[[#This Row],[تاخیر از سررسید]]&gt;0,Main[[#This Row],[بدهی تسویه نشده (کیلوگرم)]],0)</f>
        <v>0</v>
      </c>
      <c r="Q382" s="6">
        <f ca="1">IF(Main[[#This Row],[بدهی تسویه نشده (کیلوگرم)]]&gt;0,'گزارش فردی'!$B$7-Main[[#This Row],[تاريخ میلادی]],0)</f>
        <v>0</v>
      </c>
      <c r="R382" s="6">
        <f ca="1">IF(Main[[#This Row],[بدهی تسویه نشده (کیلوگرم)]]&gt;0,'گزارش فردی'!$B$7-Main[[#This Row],[تاريخ میلادی]]-'گزارش فردی'!$B$8,0)</f>
        <v>0</v>
      </c>
      <c r="S382" s="6">
        <f ca="1">Main[[#This Row],[روز از ارسال سفارش]]*Main[[#This Row],[بدهی تسویه نشده (کیلوگرم)]]</f>
        <v>0</v>
      </c>
      <c r="T382" s="6">
        <f ca="1">Main[[#This Row],[بدهی سررسید شده (کیلوگرم)]]*Main[[#This Row],[روز از ارسال سفارش]]</f>
        <v>0</v>
      </c>
      <c r="U382" s="6">
        <f>-SUBTOTAL(9,INDEX(Main[مقدار (کیلوگرم)],1):Main[[#This Row],[مقدار (کیلوگرم)]])</f>
        <v>39943</v>
      </c>
      <c r="V3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2" s="6">
        <f>Main[[#This Row],[تعداد کل روزهای بدهکار (روز)]]*Main[[#This Row],[مانده در خط کل (کیلوگرم)]]</f>
        <v>0</v>
      </c>
      <c r="X382" s="6">
        <f ca="1">-SUBTOTAL(9,INDEX(Main[مقدار تسویه شده (کیلوگرم)],1):Main[[#This Row],[مقدار تسویه شده (کیلوگرم)]])</f>
        <v>39943</v>
      </c>
      <c r="Y382" s="6">
        <f ca="1">IF(Main[[#This Row],[مانده در خط تسویه شده (کیلوگرم)]]&lt;&gt;0,Main[[#This Row],[تعداد کل روزهای بدهکار (روز)]],0)</f>
        <v>0</v>
      </c>
      <c r="Z382" s="6">
        <f ca="1">Main[[#This Row],[تعداد روزهای بدهکار تسویه شده (روز)]]*Main[[#This Row],[مانده در خط تسویه شده (کیلوگرم)]]</f>
        <v>0</v>
      </c>
      <c r="AA382" s="6">
        <f ca="1">SUBTOTAL(9,INDEX(Main[بدهی تسویه نشده (کیلوگرم)],1):Main[[#This Row],[بدهی تسویه نشده (کیلوگرم)]])</f>
        <v>0</v>
      </c>
      <c r="AB382" s="6">
        <f ca="1">IF(Main[[#This Row],[مانده در خط تسویه نشده (کیلوگرم)]]&lt;&gt;0,Main[[#This Row],[تعداد کل روزهای بدهکار (روز)]],0)</f>
        <v>0</v>
      </c>
      <c r="AC382" s="6">
        <f ca="1">Main[[#This Row],[تعداد روزهای بدهکار  تسویه نشده (روز)]]*Main[[#This Row],[مانده در خط تسویه نشده (کیلوگرم)]]</f>
        <v>0</v>
      </c>
      <c r="AD382" s="6">
        <f ca="1">SUBTOTAL(9,INDEX(Main[بدهی سررسید شده (کیلوگرم)],1):Main[[#This Row],[بدهی سررسید شده (کیلوگرم)]])</f>
        <v>0</v>
      </c>
      <c r="AE382" s="6">
        <f ca="1">IF(Main[[#This Row],[مانده در خط سررسید شده (کیلوگرم)]]&lt;&gt;0,Main[[#This Row],[تعداد کل روزهای بدهکار (روز)]],0)</f>
        <v>0</v>
      </c>
      <c r="AF382" s="6">
        <f ca="1">Main[[#This Row],[تعداد روزهای بدهکار سررسید شده (روز)]]*Main[[#This Row],[مانده در خط سررسید شده (کیلوگرم)]]</f>
        <v>0</v>
      </c>
    </row>
    <row r="383" spans="1:32" hidden="1" x14ac:dyDescent="0.35">
      <c r="A383" s="5">
        <f>ROW()-ROW(INDEX(Main[ردیف],1))+1</f>
        <v>381</v>
      </c>
      <c r="B383" s="31">
        <f>SUBTOTAL(2,INDEX(Main[ردیف],1):Main[[#This Row],[ردیف]])</f>
        <v>37</v>
      </c>
      <c r="C383" s="32" t="s">
        <v>545</v>
      </c>
      <c r="D383" s="32" t="str">
        <f>_xlfn.CONCAT("14",Main[[#This Row],[تاريخ]])</f>
        <v>1400/02/18</v>
      </c>
      <c r="E383" s="33">
        <v>44324</v>
      </c>
      <c r="F383" s="32">
        <v>30009</v>
      </c>
      <c r="G383" s="5" t="str">
        <f>INDEX(customer[عنوان],MATCH(Main[[#This Row],[کد ردیابی]],customer[کد],0))</f>
        <v>شرکت ایمن تک پیشرو</v>
      </c>
      <c r="H383">
        <v>-2006</v>
      </c>
      <c r="I383" s="6">
        <f ca="1">-Main[[#This Row],[بدهی تسویه شده (کیلوگرم)]]+Main[[#This Row],[بستانکار (کیلوگرم)]]</f>
        <v>-2006</v>
      </c>
      <c r="J383" s="6">
        <f>IF(Main[[#This Row],[مقدار (کیلوگرم)]]&gt;0,Main[[#This Row],[مقدار (کیلوگرم)]],0)</f>
        <v>0</v>
      </c>
      <c r="K383" s="6">
        <f>-IF(Main[[#This Row],[مقدار (کیلوگرم)]]&lt;0,Main[[#This Row],[مقدار (کیلوگرم)]],0)</f>
        <v>2006</v>
      </c>
      <c r="L3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3" s="7">
        <f>-IF(AND(Main[[#This Row],[مقدار (کیلوگرم)]]&lt;0,Main[[#This Row],[تاريخ میلادی]]&gt;44276),Main[[#This Row],[مقدار (کیلوگرم)]],0)</f>
        <v>2006</v>
      </c>
      <c r="N383" s="6">
        <f ca="1">Main[[#This Row],[بدهکار (کیلوگرم)]]-Main[[#This Row],[بدهی تسویه نشده (کیلوگرم)]]</f>
        <v>2006</v>
      </c>
      <c r="O383" s="6">
        <f ca="1">Main[[#This Row],[تفکیک]]</f>
        <v>0</v>
      </c>
      <c r="P383" s="6">
        <f ca="1">IF(Main[[#This Row],[تاخیر از سررسید]]&gt;0,Main[[#This Row],[بدهی تسویه نشده (کیلوگرم)]],0)</f>
        <v>0</v>
      </c>
      <c r="Q383" s="6">
        <f ca="1">IF(Main[[#This Row],[بدهی تسویه نشده (کیلوگرم)]]&gt;0,'گزارش فردی'!$B$7-Main[[#This Row],[تاريخ میلادی]],0)</f>
        <v>0</v>
      </c>
      <c r="R383" s="6">
        <f ca="1">IF(Main[[#This Row],[بدهی تسویه نشده (کیلوگرم)]]&gt;0,'گزارش فردی'!$B$7-Main[[#This Row],[تاريخ میلادی]]-'گزارش فردی'!$B$8,0)</f>
        <v>0</v>
      </c>
      <c r="S383" s="6">
        <f ca="1">Main[[#This Row],[روز از ارسال سفارش]]*Main[[#This Row],[بدهی تسویه نشده (کیلوگرم)]]</f>
        <v>0</v>
      </c>
      <c r="T383" s="6">
        <f ca="1">Main[[#This Row],[بدهی سررسید شده (کیلوگرم)]]*Main[[#This Row],[روز از ارسال سفارش]]</f>
        <v>0</v>
      </c>
      <c r="U383" s="6">
        <f>-SUBTOTAL(9,INDEX(Main[مقدار (کیلوگرم)],1):Main[[#This Row],[مقدار (کیلوگرم)]])</f>
        <v>39943</v>
      </c>
      <c r="V3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3" s="6">
        <f>Main[[#This Row],[تعداد کل روزهای بدهکار (روز)]]*Main[[#This Row],[مانده در خط کل (کیلوگرم)]]</f>
        <v>0</v>
      </c>
      <c r="X383" s="6">
        <f ca="1">-SUBTOTAL(9,INDEX(Main[مقدار تسویه شده (کیلوگرم)],1):Main[[#This Row],[مقدار تسویه شده (کیلوگرم)]])</f>
        <v>39943</v>
      </c>
      <c r="Y383" s="6">
        <f ca="1">IF(Main[[#This Row],[مانده در خط تسویه شده (کیلوگرم)]]&lt;&gt;0,Main[[#This Row],[تعداد کل روزهای بدهکار (روز)]],0)</f>
        <v>0</v>
      </c>
      <c r="Z383" s="6">
        <f ca="1">Main[[#This Row],[تعداد روزهای بدهکار تسویه شده (روز)]]*Main[[#This Row],[مانده در خط تسویه شده (کیلوگرم)]]</f>
        <v>0</v>
      </c>
      <c r="AA383" s="6">
        <f ca="1">SUBTOTAL(9,INDEX(Main[بدهی تسویه نشده (کیلوگرم)],1):Main[[#This Row],[بدهی تسویه نشده (کیلوگرم)]])</f>
        <v>0</v>
      </c>
      <c r="AB383" s="6">
        <f ca="1">IF(Main[[#This Row],[مانده در خط تسویه نشده (کیلوگرم)]]&lt;&gt;0,Main[[#This Row],[تعداد کل روزهای بدهکار (روز)]],0)</f>
        <v>0</v>
      </c>
      <c r="AC383" s="6">
        <f ca="1">Main[[#This Row],[تعداد روزهای بدهکار  تسویه نشده (روز)]]*Main[[#This Row],[مانده در خط تسویه نشده (کیلوگرم)]]</f>
        <v>0</v>
      </c>
      <c r="AD383" s="6">
        <f ca="1">SUBTOTAL(9,INDEX(Main[بدهی سررسید شده (کیلوگرم)],1):Main[[#This Row],[بدهی سررسید شده (کیلوگرم)]])</f>
        <v>0</v>
      </c>
      <c r="AE383" s="6">
        <f ca="1">IF(Main[[#This Row],[مانده در خط سررسید شده (کیلوگرم)]]&lt;&gt;0,Main[[#This Row],[تعداد کل روزهای بدهکار (روز)]],0)</f>
        <v>0</v>
      </c>
      <c r="AF383" s="6">
        <f ca="1">Main[[#This Row],[تعداد روزهای بدهکار سررسید شده (روز)]]*Main[[#This Row],[مانده در خط سررسید شده (کیلوگرم)]]</f>
        <v>0</v>
      </c>
    </row>
    <row r="384" spans="1:32" hidden="1" x14ac:dyDescent="0.35">
      <c r="A384" s="5">
        <f>ROW()-ROW(INDEX(Main[ردیف],1))+1</f>
        <v>382</v>
      </c>
      <c r="B384" s="31">
        <f>SUBTOTAL(2,INDEX(Main[ردیف],1):Main[[#This Row],[ردیف]])</f>
        <v>37</v>
      </c>
      <c r="C384" s="32" t="s">
        <v>545</v>
      </c>
      <c r="D384" s="32" t="str">
        <f>_xlfn.CONCAT("14",Main[[#This Row],[تاريخ]])</f>
        <v>1400/02/18</v>
      </c>
      <c r="E384" s="33">
        <v>44324</v>
      </c>
      <c r="F384" s="32">
        <v>30066</v>
      </c>
      <c r="G384" s="5" t="str">
        <f>INDEX(customer[عنوان],MATCH(Main[[#This Row],[کد ردیابی]],customer[کد],0))</f>
        <v xml:space="preserve">شیر آلات بهداشتی قهرمان </v>
      </c>
      <c r="H384">
        <v>1809</v>
      </c>
      <c r="I384" s="6">
        <f ca="1">-Main[[#This Row],[بدهی تسویه شده (کیلوگرم)]]+Main[[#This Row],[بستانکار (کیلوگرم)]]</f>
        <v>1809</v>
      </c>
      <c r="J384" s="6">
        <f>IF(Main[[#This Row],[مقدار (کیلوگرم)]]&gt;0,Main[[#This Row],[مقدار (کیلوگرم)]],0)</f>
        <v>1809</v>
      </c>
      <c r="K384" s="6">
        <f>-IF(Main[[#This Row],[مقدار (کیلوگرم)]]&lt;0,Main[[#This Row],[مقدار (کیلوگرم)]],0)</f>
        <v>0</v>
      </c>
      <c r="L3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4" s="7">
        <f>-IF(AND(Main[[#This Row],[مقدار (کیلوگرم)]]&lt;0,Main[[#This Row],[تاريخ میلادی]]&gt;44276),Main[[#This Row],[مقدار (کیلوگرم)]],0)</f>
        <v>0</v>
      </c>
      <c r="N384" s="6">
        <f ca="1">Main[[#This Row],[بدهکار (کیلوگرم)]]-Main[[#This Row],[بدهی تسویه نشده (کیلوگرم)]]</f>
        <v>0</v>
      </c>
      <c r="O384" s="6">
        <f ca="1">Main[[#This Row],[تفکیک]]</f>
        <v>0</v>
      </c>
      <c r="P384" s="6">
        <f ca="1">IF(Main[[#This Row],[تاخیر از سررسید]]&gt;0,Main[[#This Row],[بدهی تسویه نشده (کیلوگرم)]],0)</f>
        <v>0</v>
      </c>
      <c r="Q384" s="6">
        <f ca="1">IF(Main[[#This Row],[بدهی تسویه نشده (کیلوگرم)]]&gt;0,'گزارش فردی'!$B$7-Main[[#This Row],[تاريخ میلادی]],0)</f>
        <v>0</v>
      </c>
      <c r="R384" s="6">
        <f ca="1">IF(Main[[#This Row],[بدهی تسویه نشده (کیلوگرم)]]&gt;0,'گزارش فردی'!$B$7-Main[[#This Row],[تاريخ میلادی]]-'گزارش فردی'!$B$8,0)</f>
        <v>0</v>
      </c>
      <c r="S384" s="6">
        <f ca="1">Main[[#This Row],[روز از ارسال سفارش]]*Main[[#This Row],[بدهی تسویه نشده (کیلوگرم)]]</f>
        <v>0</v>
      </c>
      <c r="T384" s="6">
        <f ca="1">Main[[#This Row],[بدهی سررسید شده (کیلوگرم)]]*Main[[#This Row],[روز از ارسال سفارش]]</f>
        <v>0</v>
      </c>
      <c r="U384" s="6">
        <f>-SUBTOTAL(9,INDEX(Main[مقدار (کیلوگرم)],1):Main[[#This Row],[مقدار (کیلوگرم)]])</f>
        <v>39943</v>
      </c>
      <c r="V3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4" s="6">
        <f>Main[[#This Row],[تعداد کل روزهای بدهکار (روز)]]*Main[[#This Row],[مانده در خط کل (کیلوگرم)]]</f>
        <v>0</v>
      </c>
      <c r="X384" s="6">
        <f ca="1">-SUBTOTAL(9,INDEX(Main[مقدار تسویه شده (کیلوگرم)],1):Main[[#This Row],[مقدار تسویه شده (کیلوگرم)]])</f>
        <v>39943</v>
      </c>
      <c r="Y384" s="6">
        <f ca="1">IF(Main[[#This Row],[مانده در خط تسویه شده (کیلوگرم)]]&lt;&gt;0,Main[[#This Row],[تعداد کل روزهای بدهکار (روز)]],0)</f>
        <v>0</v>
      </c>
      <c r="Z384" s="6">
        <f ca="1">Main[[#This Row],[تعداد روزهای بدهکار تسویه شده (روز)]]*Main[[#This Row],[مانده در خط تسویه شده (کیلوگرم)]]</f>
        <v>0</v>
      </c>
      <c r="AA384" s="6">
        <f ca="1">SUBTOTAL(9,INDEX(Main[بدهی تسویه نشده (کیلوگرم)],1):Main[[#This Row],[بدهی تسویه نشده (کیلوگرم)]])</f>
        <v>0</v>
      </c>
      <c r="AB384" s="6">
        <f ca="1">IF(Main[[#This Row],[مانده در خط تسویه نشده (کیلوگرم)]]&lt;&gt;0,Main[[#This Row],[تعداد کل روزهای بدهکار (روز)]],0)</f>
        <v>0</v>
      </c>
      <c r="AC384" s="6">
        <f ca="1">Main[[#This Row],[تعداد روزهای بدهکار  تسویه نشده (روز)]]*Main[[#This Row],[مانده در خط تسویه نشده (کیلوگرم)]]</f>
        <v>0</v>
      </c>
      <c r="AD384" s="6">
        <f ca="1">SUBTOTAL(9,INDEX(Main[بدهی سررسید شده (کیلوگرم)],1):Main[[#This Row],[بدهی سررسید شده (کیلوگرم)]])</f>
        <v>0</v>
      </c>
      <c r="AE384" s="6">
        <f ca="1">IF(Main[[#This Row],[مانده در خط سررسید شده (کیلوگرم)]]&lt;&gt;0,Main[[#This Row],[تعداد کل روزهای بدهکار (روز)]],0)</f>
        <v>0</v>
      </c>
      <c r="AF384" s="6">
        <f ca="1">Main[[#This Row],[تعداد روزهای بدهکار سررسید شده (روز)]]*Main[[#This Row],[مانده در خط سررسید شده (کیلوگرم)]]</f>
        <v>0</v>
      </c>
    </row>
    <row r="385" spans="1:32" hidden="1" x14ac:dyDescent="0.35">
      <c r="A385" s="5">
        <f>ROW()-ROW(INDEX(Main[ردیف],1))+1</f>
        <v>383</v>
      </c>
      <c r="B385" s="31">
        <f>SUBTOTAL(2,INDEX(Main[ردیف],1):Main[[#This Row],[ردیف]])</f>
        <v>37</v>
      </c>
      <c r="C385" s="32" t="s">
        <v>545</v>
      </c>
      <c r="D385" s="32" t="str">
        <f>_xlfn.CONCAT("14",Main[[#This Row],[تاريخ]])</f>
        <v>1400/02/18</v>
      </c>
      <c r="E385" s="33">
        <v>44324</v>
      </c>
      <c r="F385" s="32">
        <v>30186</v>
      </c>
      <c r="G385" s="5" t="str">
        <f>INDEX(customer[عنوان],MATCH(Main[[#This Row],[کد ردیابی]],customer[کد],0))</f>
        <v>سارا گاز</v>
      </c>
      <c r="H385">
        <v>-2998</v>
      </c>
      <c r="I385" s="6">
        <f ca="1">-Main[[#This Row],[بدهی تسویه شده (کیلوگرم)]]+Main[[#This Row],[بستانکار (کیلوگرم)]]</f>
        <v>-2998</v>
      </c>
      <c r="J385" s="6">
        <f>IF(Main[[#This Row],[مقدار (کیلوگرم)]]&gt;0,Main[[#This Row],[مقدار (کیلوگرم)]],0)</f>
        <v>0</v>
      </c>
      <c r="K385" s="6">
        <f>-IF(Main[[#This Row],[مقدار (کیلوگرم)]]&lt;0,Main[[#This Row],[مقدار (کیلوگرم)]],0)</f>
        <v>2998</v>
      </c>
      <c r="L3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5" s="7">
        <f>-IF(AND(Main[[#This Row],[مقدار (کیلوگرم)]]&lt;0,Main[[#This Row],[تاريخ میلادی]]&gt;44276),Main[[#This Row],[مقدار (کیلوگرم)]],0)</f>
        <v>2998</v>
      </c>
      <c r="N385" s="6">
        <f ca="1">Main[[#This Row],[بدهکار (کیلوگرم)]]-Main[[#This Row],[بدهی تسویه نشده (کیلوگرم)]]</f>
        <v>2998</v>
      </c>
      <c r="O385" s="6">
        <f ca="1">Main[[#This Row],[تفکیک]]</f>
        <v>0</v>
      </c>
      <c r="P385" s="6">
        <f ca="1">IF(Main[[#This Row],[تاخیر از سررسید]]&gt;0,Main[[#This Row],[بدهی تسویه نشده (کیلوگرم)]],0)</f>
        <v>0</v>
      </c>
      <c r="Q385" s="6">
        <f ca="1">IF(Main[[#This Row],[بدهی تسویه نشده (کیلوگرم)]]&gt;0,'گزارش فردی'!$B$7-Main[[#This Row],[تاريخ میلادی]],0)</f>
        <v>0</v>
      </c>
      <c r="R385" s="6">
        <f ca="1">IF(Main[[#This Row],[بدهی تسویه نشده (کیلوگرم)]]&gt;0,'گزارش فردی'!$B$7-Main[[#This Row],[تاريخ میلادی]]-'گزارش فردی'!$B$8,0)</f>
        <v>0</v>
      </c>
      <c r="S385" s="6">
        <f ca="1">Main[[#This Row],[روز از ارسال سفارش]]*Main[[#This Row],[بدهی تسویه نشده (کیلوگرم)]]</f>
        <v>0</v>
      </c>
      <c r="T385" s="6">
        <f ca="1">Main[[#This Row],[بدهی سررسید شده (کیلوگرم)]]*Main[[#This Row],[روز از ارسال سفارش]]</f>
        <v>0</v>
      </c>
      <c r="U385" s="6">
        <f>-SUBTOTAL(9,INDEX(Main[مقدار (کیلوگرم)],1):Main[[#This Row],[مقدار (کیلوگرم)]])</f>
        <v>39943</v>
      </c>
      <c r="V3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5" s="6">
        <f>Main[[#This Row],[تعداد کل روزهای بدهکار (روز)]]*Main[[#This Row],[مانده در خط کل (کیلوگرم)]]</f>
        <v>0</v>
      </c>
      <c r="X385" s="6">
        <f ca="1">-SUBTOTAL(9,INDEX(Main[مقدار تسویه شده (کیلوگرم)],1):Main[[#This Row],[مقدار تسویه شده (کیلوگرم)]])</f>
        <v>39943</v>
      </c>
      <c r="Y385" s="6">
        <f ca="1">IF(Main[[#This Row],[مانده در خط تسویه شده (کیلوگرم)]]&lt;&gt;0,Main[[#This Row],[تعداد کل روزهای بدهکار (روز)]],0)</f>
        <v>0</v>
      </c>
      <c r="Z385" s="6">
        <f ca="1">Main[[#This Row],[تعداد روزهای بدهکار تسویه شده (روز)]]*Main[[#This Row],[مانده در خط تسویه شده (کیلوگرم)]]</f>
        <v>0</v>
      </c>
      <c r="AA385" s="6">
        <f ca="1">SUBTOTAL(9,INDEX(Main[بدهی تسویه نشده (کیلوگرم)],1):Main[[#This Row],[بدهی تسویه نشده (کیلوگرم)]])</f>
        <v>0</v>
      </c>
      <c r="AB385" s="6">
        <f ca="1">IF(Main[[#This Row],[مانده در خط تسویه نشده (کیلوگرم)]]&lt;&gt;0,Main[[#This Row],[تعداد کل روزهای بدهکار (روز)]],0)</f>
        <v>0</v>
      </c>
      <c r="AC385" s="6">
        <f ca="1">Main[[#This Row],[تعداد روزهای بدهکار  تسویه نشده (روز)]]*Main[[#This Row],[مانده در خط تسویه نشده (کیلوگرم)]]</f>
        <v>0</v>
      </c>
      <c r="AD385" s="6">
        <f ca="1">SUBTOTAL(9,INDEX(Main[بدهی سررسید شده (کیلوگرم)],1):Main[[#This Row],[بدهی سررسید شده (کیلوگرم)]])</f>
        <v>0</v>
      </c>
      <c r="AE385" s="6">
        <f ca="1">IF(Main[[#This Row],[مانده در خط سررسید شده (کیلوگرم)]]&lt;&gt;0,Main[[#This Row],[تعداد کل روزهای بدهکار (روز)]],0)</f>
        <v>0</v>
      </c>
      <c r="AF385" s="6">
        <f ca="1">Main[[#This Row],[تعداد روزهای بدهکار سررسید شده (روز)]]*Main[[#This Row],[مانده در خط سررسید شده (کیلوگرم)]]</f>
        <v>0</v>
      </c>
    </row>
    <row r="386" spans="1:32" hidden="1" x14ac:dyDescent="0.35">
      <c r="A386" s="5">
        <f>ROW()-ROW(INDEX(Main[ردیف],1))+1</f>
        <v>384</v>
      </c>
      <c r="B386" s="31">
        <f>SUBTOTAL(2,INDEX(Main[ردیف],1):Main[[#This Row],[ردیف]])</f>
        <v>37</v>
      </c>
      <c r="C386" s="32" t="s">
        <v>545</v>
      </c>
      <c r="D386" s="32" t="str">
        <f>_xlfn.CONCAT("14",Main[[#This Row],[تاريخ]])</f>
        <v>1400/02/18</v>
      </c>
      <c r="E386" s="33">
        <v>44324</v>
      </c>
      <c r="F386" s="32">
        <v>10057</v>
      </c>
      <c r="G386" s="5" t="str">
        <f>INDEX(customer[عنوان],MATCH(Main[[#This Row],[کد ردیابی]],customer[کد],0))</f>
        <v xml:space="preserve">عبدالله یادگار </v>
      </c>
      <c r="H386">
        <v>200</v>
      </c>
      <c r="I386" s="6">
        <f ca="1">-Main[[#This Row],[بدهی تسویه شده (کیلوگرم)]]+Main[[#This Row],[بستانکار (کیلوگرم)]]</f>
        <v>200</v>
      </c>
      <c r="J386" s="6">
        <f>IF(Main[[#This Row],[مقدار (کیلوگرم)]]&gt;0,Main[[#This Row],[مقدار (کیلوگرم)]],0)</f>
        <v>200</v>
      </c>
      <c r="K386" s="6">
        <f>-IF(Main[[#This Row],[مقدار (کیلوگرم)]]&lt;0,Main[[#This Row],[مقدار (کیلوگرم)]],0)</f>
        <v>0</v>
      </c>
      <c r="L3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6" s="7">
        <f>-IF(AND(Main[[#This Row],[مقدار (کیلوگرم)]]&lt;0,Main[[#This Row],[تاريخ میلادی]]&gt;44276),Main[[#This Row],[مقدار (کیلوگرم)]],0)</f>
        <v>0</v>
      </c>
      <c r="N386" s="6">
        <f ca="1">Main[[#This Row],[بدهکار (کیلوگرم)]]-Main[[#This Row],[بدهی تسویه نشده (کیلوگرم)]]</f>
        <v>0</v>
      </c>
      <c r="O386" s="6">
        <f ca="1">Main[[#This Row],[تفکیک]]</f>
        <v>0</v>
      </c>
      <c r="P386" s="6">
        <f ca="1">IF(Main[[#This Row],[تاخیر از سررسید]]&gt;0,Main[[#This Row],[بدهی تسویه نشده (کیلوگرم)]],0)</f>
        <v>0</v>
      </c>
      <c r="Q386" s="6">
        <f ca="1">IF(Main[[#This Row],[بدهی تسویه نشده (کیلوگرم)]]&gt;0,'گزارش فردی'!$B$7-Main[[#This Row],[تاريخ میلادی]],0)</f>
        <v>0</v>
      </c>
      <c r="R386" s="6">
        <f ca="1">IF(Main[[#This Row],[بدهی تسویه نشده (کیلوگرم)]]&gt;0,'گزارش فردی'!$B$7-Main[[#This Row],[تاريخ میلادی]]-'گزارش فردی'!$B$8,0)</f>
        <v>0</v>
      </c>
      <c r="S386" s="6">
        <f ca="1">Main[[#This Row],[روز از ارسال سفارش]]*Main[[#This Row],[بدهی تسویه نشده (کیلوگرم)]]</f>
        <v>0</v>
      </c>
      <c r="T386" s="6">
        <f ca="1">Main[[#This Row],[بدهی سررسید شده (کیلوگرم)]]*Main[[#This Row],[روز از ارسال سفارش]]</f>
        <v>0</v>
      </c>
      <c r="U386" s="6">
        <f>-SUBTOTAL(9,INDEX(Main[مقدار (کیلوگرم)],1):Main[[#This Row],[مقدار (کیلوگرم)]])</f>
        <v>39943</v>
      </c>
      <c r="V3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6" s="6">
        <f>Main[[#This Row],[تعداد کل روزهای بدهکار (روز)]]*Main[[#This Row],[مانده در خط کل (کیلوگرم)]]</f>
        <v>0</v>
      </c>
      <c r="X386" s="6">
        <f ca="1">-SUBTOTAL(9,INDEX(Main[مقدار تسویه شده (کیلوگرم)],1):Main[[#This Row],[مقدار تسویه شده (کیلوگرم)]])</f>
        <v>39943</v>
      </c>
      <c r="Y386" s="6">
        <f ca="1">IF(Main[[#This Row],[مانده در خط تسویه شده (کیلوگرم)]]&lt;&gt;0,Main[[#This Row],[تعداد کل روزهای بدهکار (روز)]],0)</f>
        <v>0</v>
      </c>
      <c r="Z386" s="6">
        <f ca="1">Main[[#This Row],[تعداد روزهای بدهکار تسویه شده (روز)]]*Main[[#This Row],[مانده در خط تسویه شده (کیلوگرم)]]</f>
        <v>0</v>
      </c>
      <c r="AA386" s="6">
        <f ca="1">SUBTOTAL(9,INDEX(Main[بدهی تسویه نشده (کیلوگرم)],1):Main[[#This Row],[بدهی تسویه نشده (کیلوگرم)]])</f>
        <v>0</v>
      </c>
      <c r="AB386" s="6">
        <f ca="1">IF(Main[[#This Row],[مانده در خط تسویه نشده (کیلوگرم)]]&lt;&gt;0,Main[[#This Row],[تعداد کل روزهای بدهکار (روز)]],0)</f>
        <v>0</v>
      </c>
      <c r="AC386" s="6">
        <f ca="1">Main[[#This Row],[تعداد روزهای بدهکار  تسویه نشده (روز)]]*Main[[#This Row],[مانده در خط تسویه نشده (کیلوگرم)]]</f>
        <v>0</v>
      </c>
      <c r="AD386" s="6">
        <f ca="1">SUBTOTAL(9,INDEX(Main[بدهی سررسید شده (کیلوگرم)],1):Main[[#This Row],[بدهی سررسید شده (کیلوگرم)]])</f>
        <v>0</v>
      </c>
      <c r="AE386" s="6">
        <f ca="1">IF(Main[[#This Row],[مانده در خط سررسید شده (کیلوگرم)]]&lt;&gt;0,Main[[#This Row],[تعداد کل روزهای بدهکار (روز)]],0)</f>
        <v>0</v>
      </c>
      <c r="AF386" s="6">
        <f ca="1">Main[[#This Row],[تعداد روزهای بدهکار سررسید شده (روز)]]*Main[[#This Row],[مانده در خط سررسید شده (کیلوگرم)]]</f>
        <v>0</v>
      </c>
    </row>
    <row r="387" spans="1:32" x14ac:dyDescent="0.35">
      <c r="A387" s="5">
        <f>ROW()-ROW(INDEX(Main[ردیف],1))+1</f>
        <v>385</v>
      </c>
      <c r="B387" s="31">
        <f>SUBTOTAL(2,INDEX(Main[ردیف],1):Main[[#This Row],[ردیف]])</f>
        <v>38</v>
      </c>
      <c r="C387" s="32" t="s">
        <v>545</v>
      </c>
      <c r="D387" s="32" t="str">
        <f>_xlfn.CONCAT("14",Main[[#This Row],[تاريخ]])</f>
        <v>1400/02/18</v>
      </c>
      <c r="E387" s="33">
        <v>44324</v>
      </c>
      <c r="F387" s="32">
        <v>10003</v>
      </c>
      <c r="G387" s="5" t="str">
        <f>INDEX(customer[عنوان],MATCH(Main[[#This Row],[کد ردیابی]],customer[کد],0))</f>
        <v>اصغر نورعلی</v>
      </c>
      <c r="H387">
        <v>-3257</v>
      </c>
      <c r="I387" s="6">
        <f ca="1">-Main[[#This Row],[بدهی تسویه شده (کیلوگرم)]]+Main[[#This Row],[بستانکار (کیلوگرم)]]</f>
        <v>-3257</v>
      </c>
      <c r="J387" s="6">
        <f>IF(Main[[#This Row],[مقدار (کیلوگرم)]]&gt;0,Main[[#This Row],[مقدار (کیلوگرم)]],0)</f>
        <v>0</v>
      </c>
      <c r="K387" s="6">
        <f>-IF(Main[[#This Row],[مقدار (کیلوگرم)]]&lt;0,Main[[#This Row],[مقدار (کیلوگرم)]],0)</f>
        <v>3257</v>
      </c>
      <c r="L3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7" s="7">
        <f>-IF(AND(Main[[#This Row],[مقدار (کیلوگرم)]]&lt;0,Main[[#This Row],[تاريخ میلادی]]&gt;44276),Main[[#This Row],[مقدار (کیلوگرم)]],0)</f>
        <v>3257</v>
      </c>
      <c r="N387" s="6">
        <f ca="1">Main[[#This Row],[بدهکار (کیلوگرم)]]-Main[[#This Row],[بدهی تسویه نشده (کیلوگرم)]]</f>
        <v>3257</v>
      </c>
      <c r="O387" s="6">
        <f ca="1">Main[[#This Row],[تفکیک]]</f>
        <v>0</v>
      </c>
      <c r="P387" s="6">
        <f ca="1">IF(Main[[#This Row],[تاخیر از سررسید]]&gt;0,Main[[#This Row],[بدهی تسویه نشده (کیلوگرم)]],0)</f>
        <v>0</v>
      </c>
      <c r="Q387" s="6">
        <f ca="1">IF(Main[[#This Row],[بدهی تسویه نشده (کیلوگرم)]]&gt;0,'گزارش فردی'!$B$7-Main[[#This Row],[تاريخ میلادی]],0)</f>
        <v>0</v>
      </c>
      <c r="R387" s="6">
        <f ca="1">IF(Main[[#This Row],[بدهی تسویه نشده (کیلوگرم)]]&gt;0,'گزارش فردی'!$B$7-Main[[#This Row],[تاريخ میلادی]]-'گزارش فردی'!$B$8,0)</f>
        <v>0</v>
      </c>
      <c r="S387" s="6">
        <f ca="1">Main[[#This Row],[روز از ارسال سفارش]]*Main[[#This Row],[بدهی تسویه نشده (کیلوگرم)]]</f>
        <v>0</v>
      </c>
      <c r="T387" s="6">
        <f ca="1">Main[[#This Row],[بدهی سررسید شده (کیلوگرم)]]*Main[[#This Row],[روز از ارسال سفارش]]</f>
        <v>0</v>
      </c>
      <c r="U387" s="6">
        <f>-SUBTOTAL(9,INDEX(Main[مقدار (کیلوگرم)],1):Main[[#This Row],[مقدار (کیلوگرم)]])</f>
        <v>43200</v>
      </c>
      <c r="V3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87" s="6">
        <f>Main[[#This Row],[تعداد کل روزهای بدهکار (روز)]]*Main[[#This Row],[مانده در خط کل (کیلوگرم)]]</f>
        <v>43200</v>
      </c>
      <c r="X387" s="6">
        <f ca="1">-SUBTOTAL(9,INDEX(Main[مقدار تسویه شده (کیلوگرم)],1):Main[[#This Row],[مقدار تسویه شده (کیلوگرم)]])</f>
        <v>43200</v>
      </c>
      <c r="Y387" s="6">
        <f ca="1">IF(Main[[#This Row],[مانده در خط تسویه شده (کیلوگرم)]]&lt;&gt;0,Main[[#This Row],[تعداد کل روزهای بدهکار (روز)]],0)</f>
        <v>1</v>
      </c>
      <c r="Z387" s="6">
        <f ca="1">Main[[#This Row],[تعداد روزهای بدهکار تسویه شده (روز)]]*Main[[#This Row],[مانده در خط تسویه شده (کیلوگرم)]]</f>
        <v>43200</v>
      </c>
      <c r="AA387" s="6">
        <f ca="1">SUBTOTAL(9,INDEX(Main[بدهی تسویه نشده (کیلوگرم)],1):Main[[#This Row],[بدهی تسویه نشده (کیلوگرم)]])</f>
        <v>0</v>
      </c>
      <c r="AB387" s="6">
        <f ca="1">IF(Main[[#This Row],[مانده در خط تسویه نشده (کیلوگرم)]]&lt;&gt;0,Main[[#This Row],[تعداد کل روزهای بدهکار (روز)]],0)</f>
        <v>0</v>
      </c>
      <c r="AC387" s="6">
        <f ca="1">Main[[#This Row],[تعداد روزهای بدهکار  تسویه نشده (روز)]]*Main[[#This Row],[مانده در خط تسویه نشده (کیلوگرم)]]</f>
        <v>0</v>
      </c>
      <c r="AD387" s="6">
        <f ca="1">SUBTOTAL(9,INDEX(Main[بدهی سررسید شده (کیلوگرم)],1):Main[[#This Row],[بدهی سررسید شده (کیلوگرم)]])</f>
        <v>0</v>
      </c>
      <c r="AE387" s="6">
        <f ca="1">IF(Main[[#This Row],[مانده در خط سررسید شده (کیلوگرم)]]&lt;&gt;0,Main[[#This Row],[تعداد کل روزهای بدهکار (روز)]],0)</f>
        <v>0</v>
      </c>
      <c r="AF387" s="6">
        <f ca="1">Main[[#This Row],[تعداد روزهای بدهکار سررسید شده (روز)]]*Main[[#This Row],[مانده در خط سررسید شده (کیلوگرم)]]</f>
        <v>0</v>
      </c>
    </row>
    <row r="388" spans="1:32" hidden="1" x14ac:dyDescent="0.35">
      <c r="A388" s="5">
        <f>ROW()-ROW(INDEX(Main[ردیف],1))+1</f>
        <v>386</v>
      </c>
      <c r="B388" s="31">
        <f>SUBTOTAL(2,INDEX(Main[ردیف],1):Main[[#This Row],[ردیف]])</f>
        <v>38</v>
      </c>
      <c r="C388" s="32" t="s">
        <v>545</v>
      </c>
      <c r="D388" s="32" t="str">
        <f>_xlfn.CONCAT("14",Main[[#This Row],[تاريخ]])</f>
        <v>1400/02/18</v>
      </c>
      <c r="E388" s="33">
        <v>44324</v>
      </c>
      <c r="F388" s="32">
        <v>10057</v>
      </c>
      <c r="G388" s="5" t="str">
        <f>INDEX(customer[عنوان],MATCH(Main[[#This Row],[کد ردیابی]],customer[کد],0))</f>
        <v xml:space="preserve">عبدالله یادگار </v>
      </c>
      <c r="H388">
        <v>856</v>
      </c>
      <c r="I388" s="6">
        <f ca="1">-Main[[#This Row],[بدهی تسویه شده (کیلوگرم)]]+Main[[#This Row],[بستانکار (کیلوگرم)]]</f>
        <v>856</v>
      </c>
      <c r="J388" s="6">
        <f>IF(Main[[#This Row],[مقدار (کیلوگرم)]]&gt;0,Main[[#This Row],[مقدار (کیلوگرم)]],0)</f>
        <v>856</v>
      </c>
      <c r="K388" s="6">
        <f>-IF(Main[[#This Row],[مقدار (کیلوگرم)]]&lt;0,Main[[#This Row],[مقدار (کیلوگرم)]],0)</f>
        <v>0</v>
      </c>
      <c r="L3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8" s="7">
        <f>-IF(AND(Main[[#This Row],[مقدار (کیلوگرم)]]&lt;0,Main[[#This Row],[تاريخ میلادی]]&gt;44276),Main[[#This Row],[مقدار (کیلوگرم)]],0)</f>
        <v>0</v>
      </c>
      <c r="N388" s="6">
        <f ca="1">Main[[#This Row],[بدهکار (کیلوگرم)]]-Main[[#This Row],[بدهی تسویه نشده (کیلوگرم)]]</f>
        <v>0</v>
      </c>
      <c r="O388" s="6">
        <f ca="1">Main[[#This Row],[تفکیک]]</f>
        <v>0</v>
      </c>
      <c r="P388" s="6">
        <f ca="1">IF(Main[[#This Row],[تاخیر از سررسید]]&gt;0,Main[[#This Row],[بدهی تسویه نشده (کیلوگرم)]],0)</f>
        <v>0</v>
      </c>
      <c r="Q388" s="6">
        <f ca="1">IF(Main[[#This Row],[بدهی تسویه نشده (کیلوگرم)]]&gt;0,'گزارش فردی'!$B$7-Main[[#This Row],[تاريخ میلادی]],0)</f>
        <v>0</v>
      </c>
      <c r="R388" s="6">
        <f ca="1">IF(Main[[#This Row],[بدهی تسویه نشده (کیلوگرم)]]&gt;0,'گزارش فردی'!$B$7-Main[[#This Row],[تاريخ میلادی]]-'گزارش فردی'!$B$8,0)</f>
        <v>0</v>
      </c>
      <c r="S388" s="6">
        <f ca="1">Main[[#This Row],[روز از ارسال سفارش]]*Main[[#This Row],[بدهی تسویه نشده (کیلوگرم)]]</f>
        <v>0</v>
      </c>
      <c r="T388" s="6">
        <f ca="1">Main[[#This Row],[بدهی سررسید شده (کیلوگرم)]]*Main[[#This Row],[روز از ارسال سفارش]]</f>
        <v>0</v>
      </c>
      <c r="U388" s="6">
        <f>-SUBTOTAL(9,INDEX(Main[مقدار (کیلوگرم)],1):Main[[#This Row],[مقدار (کیلوگرم)]])</f>
        <v>43200</v>
      </c>
      <c r="V3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88" s="6">
        <f>Main[[#This Row],[تعداد کل روزهای بدهکار (روز)]]*Main[[#This Row],[مانده در خط کل (کیلوگرم)]]</f>
        <v>43200</v>
      </c>
      <c r="X388" s="6">
        <f ca="1">-SUBTOTAL(9,INDEX(Main[مقدار تسویه شده (کیلوگرم)],1):Main[[#This Row],[مقدار تسویه شده (کیلوگرم)]])</f>
        <v>43200</v>
      </c>
      <c r="Y388" s="6">
        <f ca="1">IF(Main[[#This Row],[مانده در خط تسویه شده (کیلوگرم)]]&lt;&gt;0,Main[[#This Row],[تعداد کل روزهای بدهکار (روز)]],0)</f>
        <v>1</v>
      </c>
      <c r="Z388" s="6">
        <f ca="1">Main[[#This Row],[تعداد روزهای بدهکار تسویه شده (روز)]]*Main[[#This Row],[مانده در خط تسویه شده (کیلوگرم)]]</f>
        <v>43200</v>
      </c>
      <c r="AA388" s="6">
        <f ca="1">SUBTOTAL(9,INDEX(Main[بدهی تسویه نشده (کیلوگرم)],1):Main[[#This Row],[بدهی تسویه نشده (کیلوگرم)]])</f>
        <v>0</v>
      </c>
      <c r="AB388" s="6">
        <f ca="1">IF(Main[[#This Row],[مانده در خط تسویه نشده (کیلوگرم)]]&lt;&gt;0,Main[[#This Row],[تعداد کل روزهای بدهکار (روز)]],0)</f>
        <v>0</v>
      </c>
      <c r="AC388" s="6">
        <f ca="1">Main[[#This Row],[تعداد روزهای بدهکار  تسویه نشده (روز)]]*Main[[#This Row],[مانده در خط تسویه نشده (کیلوگرم)]]</f>
        <v>0</v>
      </c>
      <c r="AD388" s="6">
        <f ca="1">SUBTOTAL(9,INDEX(Main[بدهی سررسید شده (کیلوگرم)],1):Main[[#This Row],[بدهی سررسید شده (کیلوگرم)]])</f>
        <v>0</v>
      </c>
      <c r="AE388" s="6">
        <f ca="1">IF(Main[[#This Row],[مانده در خط سررسید شده (کیلوگرم)]]&lt;&gt;0,Main[[#This Row],[تعداد کل روزهای بدهکار (روز)]],0)</f>
        <v>0</v>
      </c>
      <c r="AF388" s="6">
        <f ca="1">Main[[#This Row],[تعداد روزهای بدهکار سررسید شده (روز)]]*Main[[#This Row],[مانده در خط سررسید شده (کیلوگرم)]]</f>
        <v>0</v>
      </c>
    </row>
    <row r="389" spans="1:32" hidden="1" x14ac:dyDescent="0.35">
      <c r="A389" s="5">
        <f>ROW()-ROW(INDEX(Main[ردیف],1))+1</f>
        <v>387</v>
      </c>
      <c r="B389" s="31">
        <f>SUBTOTAL(2,INDEX(Main[ردیف],1):Main[[#This Row],[ردیف]])</f>
        <v>38</v>
      </c>
      <c r="C389" s="32" t="s">
        <v>545</v>
      </c>
      <c r="D389" s="32" t="str">
        <f>_xlfn.CONCAT("14",Main[[#This Row],[تاريخ]])</f>
        <v>1400/02/18</v>
      </c>
      <c r="E389" s="33">
        <v>44324</v>
      </c>
      <c r="F389" s="32">
        <v>10026</v>
      </c>
      <c r="G389" s="5" t="str">
        <f>INDEX(customer[عنوان],MATCH(Main[[#This Row],[کد ردیابی]],customer[کد],0))</f>
        <v xml:space="preserve">محسن فیاض بخش </v>
      </c>
      <c r="H389">
        <v>-2118</v>
      </c>
      <c r="I389" s="6">
        <f ca="1">-Main[[#This Row],[بدهی تسویه شده (کیلوگرم)]]+Main[[#This Row],[بستانکار (کیلوگرم)]]</f>
        <v>-2118</v>
      </c>
      <c r="J389" s="6">
        <f>IF(Main[[#This Row],[مقدار (کیلوگرم)]]&gt;0,Main[[#This Row],[مقدار (کیلوگرم)]],0)</f>
        <v>0</v>
      </c>
      <c r="K389" s="6">
        <f>-IF(Main[[#This Row],[مقدار (کیلوگرم)]]&lt;0,Main[[#This Row],[مقدار (کیلوگرم)]],0)</f>
        <v>2118</v>
      </c>
      <c r="L3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9" s="7">
        <f>-IF(AND(Main[[#This Row],[مقدار (کیلوگرم)]]&lt;0,Main[[#This Row],[تاريخ میلادی]]&gt;44276),Main[[#This Row],[مقدار (کیلوگرم)]],0)</f>
        <v>2118</v>
      </c>
      <c r="N389" s="6">
        <f ca="1">Main[[#This Row],[بدهکار (کیلوگرم)]]-Main[[#This Row],[بدهی تسویه نشده (کیلوگرم)]]</f>
        <v>2118</v>
      </c>
      <c r="O389" s="6">
        <f ca="1">Main[[#This Row],[تفکیک]]</f>
        <v>0</v>
      </c>
      <c r="P389" s="6">
        <f ca="1">IF(Main[[#This Row],[تاخیر از سررسید]]&gt;0,Main[[#This Row],[بدهی تسویه نشده (کیلوگرم)]],0)</f>
        <v>0</v>
      </c>
      <c r="Q389" s="6">
        <f ca="1">IF(Main[[#This Row],[بدهی تسویه نشده (کیلوگرم)]]&gt;0,'گزارش فردی'!$B$7-Main[[#This Row],[تاريخ میلادی]],0)</f>
        <v>0</v>
      </c>
      <c r="R389" s="6">
        <f ca="1">IF(Main[[#This Row],[بدهی تسویه نشده (کیلوگرم)]]&gt;0,'گزارش فردی'!$B$7-Main[[#This Row],[تاريخ میلادی]]-'گزارش فردی'!$B$8,0)</f>
        <v>0</v>
      </c>
      <c r="S389" s="6">
        <f ca="1">Main[[#This Row],[روز از ارسال سفارش]]*Main[[#This Row],[بدهی تسویه نشده (کیلوگرم)]]</f>
        <v>0</v>
      </c>
      <c r="T389" s="6">
        <f ca="1">Main[[#This Row],[بدهی سررسید شده (کیلوگرم)]]*Main[[#This Row],[روز از ارسال سفارش]]</f>
        <v>0</v>
      </c>
      <c r="U389" s="6">
        <f>-SUBTOTAL(9,INDEX(Main[مقدار (کیلوگرم)],1):Main[[#This Row],[مقدار (کیلوگرم)]])</f>
        <v>43200</v>
      </c>
      <c r="V3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89" s="6">
        <f>Main[[#This Row],[تعداد کل روزهای بدهکار (روز)]]*Main[[#This Row],[مانده در خط کل (کیلوگرم)]]</f>
        <v>43200</v>
      </c>
      <c r="X389" s="6">
        <f ca="1">-SUBTOTAL(9,INDEX(Main[مقدار تسویه شده (کیلوگرم)],1):Main[[#This Row],[مقدار تسویه شده (کیلوگرم)]])</f>
        <v>43200</v>
      </c>
      <c r="Y389" s="6">
        <f ca="1">IF(Main[[#This Row],[مانده در خط تسویه شده (کیلوگرم)]]&lt;&gt;0,Main[[#This Row],[تعداد کل روزهای بدهکار (روز)]],0)</f>
        <v>1</v>
      </c>
      <c r="Z389" s="6">
        <f ca="1">Main[[#This Row],[تعداد روزهای بدهکار تسویه شده (روز)]]*Main[[#This Row],[مانده در خط تسویه شده (کیلوگرم)]]</f>
        <v>43200</v>
      </c>
      <c r="AA389" s="6">
        <f ca="1">SUBTOTAL(9,INDEX(Main[بدهی تسویه نشده (کیلوگرم)],1):Main[[#This Row],[بدهی تسویه نشده (کیلوگرم)]])</f>
        <v>0</v>
      </c>
      <c r="AB389" s="6">
        <f ca="1">IF(Main[[#This Row],[مانده در خط تسویه نشده (کیلوگرم)]]&lt;&gt;0,Main[[#This Row],[تعداد کل روزهای بدهکار (روز)]],0)</f>
        <v>0</v>
      </c>
      <c r="AC389" s="6">
        <f ca="1">Main[[#This Row],[تعداد روزهای بدهکار  تسویه نشده (روز)]]*Main[[#This Row],[مانده در خط تسویه نشده (کیلوگرم)]]</f>
        <v>0</v>
      </c>
      <c r="AD389" s="6">
        <f ca="1">SUBTOTAL(9,INDEX(Main[بدهی سررسید شده (کیلوگرم)],1):Main[[#This Row],[بدهی سررسید شده (کیلوگرم)]])</f>
        <v>0</v>
      </c>
      <c r="AE389" s="6">
        <f ca="1">IF(Main[[#This Row],[مانده در خط سررسید شده (کیلوگرم)]]&lt;&gt;0,Main[[#This Row],[تعداد کل روزهای بدهکار (روز)]],0)</f>
        <v>0</v>
      </c>
      <c r="AF389" s="6">
        <f ca="1">Main[[#This Row],[تعداد روزهای بدهکار سررسید شده (روز)]]*Main[[#This Row],[مانده در خط سررسید شده (کیلوگرم)]]</f>
        <v>0</v>
      </c>
    </row>
    <row r="390" spans="1:32" hidden="1" x14ac:dyDescent="0.35">
      <c r="A390" s="5">
        <f>ROW()-ROW(INDEX(Main[ردیف],1))+1</f>
        <v>388</v>
      </c>
      <c r="B390" s="31">
        <f>SUBTOTAL(2,INDEX(Main[ردیف],1):Main[[#This Row],[ردیف]])</f>
        <v>38</v>
      </c>
      <c r="C390" s="32" t="s">
        <v>545</v>
      </c>
      <c r="D390" s="32" t="str">
        <f>_xlfn.CONCAT("14",Main[[#This Row],[تاريخ]])</f>
        <v>1400/02/18</v>
      </c>
      <c r="E390" s="33">
        <v>44324</v>
      </c>
      <c r="F390" s="32">
        <v>10057</v>
      </c>
      <c r="G390" s="5" t="str">
        <f>INDEX(customer[عنوان],MATCH(Main[[#This Row],[کد ردیابی]],customer[کد],0))</f>
        <v xml:space="preserve">عبدالله یادگار </v>
      </c>
      <c r="H390">
        <v>122</v>
      </c>
      <c r="I390" s="6">
        <f ca="1">-Main[[#This Row],[بدهی تسویه شده (کیلوگرم)]]+Main[[#This Row],[بستانکار (کیلوگرم)]]</f>
        <v>122</v>
      </c>
      <c r="J390" s="6">
        <f>IF(Main[[#This Row],[مقدار (کیلوگرم)]]&gt;0,Main[[#This Row],[مقدار (کیلوگرم)]],0)</f>
        <v>122</v>
      </c>
      <c r="K390" s="6">
        <f>-IF(Main[[#This Row],[مقدار (کیلوگرم)]]&lt;0,Main[[#This Row],[مقدار (کیلوگرم)]],0)</f>
        <v>0</v>
      </c>
      <c r="L3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0" s="7">
        <f>-IF(AND(Main[[#This Row],[مقدار (کیلوگرم)]]&lt;0,Main[[#This Row],[تاريخ میلادی]]&gt;44276),Main[[#This Row],[مقدار (کیلوگرم)]],0)</f>
        <v>0</v>
      </c>
      <c r="N390" s="6">
        <f ca="1">Main[[#This Row],[بدهکار (کیلوگرم)]]-Main[[#This Row],[بدهی تسویه نشده (کیلوگرم)]]</f>
        <v>0</v>
      </c>
      <c r="O390" s="6">
        <f ca="1">Main[[#This Row],[تفکیک]]</f>
        <v>0</v>
      </c>
      <c r="P390" s="6">
        <f ca="1">IF(Main[[#This Row],[تاخیر از سررسید]]&gt;0,Main[[#This Row],[بدهی تسویه نشده (کیلوگرم)]],0)</f>
        <v>0</v>
      </c>
      <c r="Q390" s="6">
        <f ca="1">IF(Main[[#This Row],[بدهی تسویه نشده (کیلوگرم)]]&gt;0,'گزارش فردی'!$B$7-Main[[#This Row],[تاريخ میلادی]],0)</f>
        <v>0</v>
      </c>
      <c r="R390" s="6">
        <f ca="1">IF(Main[[#This Row],[بدهی تسویه نشده (کیلوگرم)]]&gt;0,'گزارش فردی'!$B$7-Main[[#This Row],[تاريخ میلادی]]-'گزارش فردی'!$B$8,0)</f>
        <v>0</v>
      </c>
      <c r="S390" s="6">
        <f ca="1">Main[[#This Row],[روز از ارسال سفارش]]*Main[[#This Row],[بدهی تسویه نشده (کیلوگرم)]]</f>
        <v>0</v>
      </c>
      <c r="T390" s="6">
        <f ca="1">Main[[#This Row],[بدهی سررسید شده (کیلوگرم)]]*Main[[#This Row],[روز از ارسال سفارش]]</f>
        <v>0</v>
      </c>
      <c r="U390" s="6">
        <f>-SUBTOTAL(9,INDEX(Main[مقدار (کیلوگرم)],1):Main[[#This Row],[مقدار (کیلوگرم)]])</f>
        <v>43200</v>
      </c>
      <c r="V3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0" s="6">
        <f>Main[[#This Row],[تعداد کل روزهای بدهکار (روز)]]*Main[[#This Row],[مانده در خط کل (کیلوگرم)]]</f>
        <v>43200</v>
      </c>
      <c r="X390" s="6">
        <f ca="1">-SUBTOTAL(9,INDEX(Main[مقدار تسویه شده (کیلوگرم)],1):Main[[#This Row],[مقدار تسویه شده (کیلوگرم)]])</f>
        <v>43200</v>
      </c>
      <c r="Y390" s="6">
        <f ca="1">IF(Main[[#This Row],[مانده در خط تسویه شده (کیلوگرم)]]&lt;&gt;0,Main[[#This Row],[تعداد کل روزهای بدهکار (روز)]],0)</f>
        <v>1</v>
      </c>
      <c r="Z390" s="6">
        <f ca="1">Main[[#This Row],[تعداد روزهای بدهکار تسویه شده (روز)]]*Main[[#This Row],[مانده در خط تسویه شده (کیلوگرم)]]</f>
        <v>43200</v>
      </c>
      <c r="AA390" s="6">
        <f ca="1">SUBTOTAL(9,INDEX(Main[بدهی تسویه نشده (کیلوگرم)],1):Main[[#This Row],[بدهی تسویه نشده (کیلوگرم)]])</f>
        <v>0</v>
      </c>
      <c r="AB390" s="6">
        <f ca="1">IF(Main[[#This Row],[مانده در خط تسویه نشده (کیلوگرم)]]&lt;&gt;0,Main[[#This Row],[تعداد کل روزهای بدهکار (روز)]],0)</f>
        <v>0</v>
      </c>
      <c r="AC390" s="6">
        <f ca="1">Main[[#This Row],[تعداد روزهای بدهکار  تسویه نشده (روز)]]*Main[[#This Row],[مانده در خط تسویه نشده (کیلوگرم)]]</f>
        <v>0</v>
      </c>
      <c r="AD390" s="6">
        <f ca="1">SUBTOTAL(9,INDEX(Main[بدهی سررسید شده (کیلوگرم)],1):Main[[#This Row],[بدهی سررسید شده (کیلوگرم)]])</f>
        <v>0</v>
      </c>
      <c r="AE390" s="6">
        <f ca="1">IF(Main[[#This Row],[مانده در خط سررسید شده (کیلوگرم)]]&lt;&gt;0,Main[[#This Row],[تعداد کل روزهای بدهکار (روز)]],0)</f>
        <v>0</v>
      </c>
      <c r="AF390" s="6">
        <f ca="1">Main[[#This Row],[تعداد روزهای بدهکار سررسید شده (روز)]]*Main[[#This Row],[مانده در خط سررسید شده (کیلوگرم)]]</f>
        <v>0</v>
      </c>
    </row>
    <row r="391" spans="1:32" hidden="1" x14ac:dyDescent="0.35">
      <c r="A391" s="5">
        <f>ROW()-ROW(INDEX(Main[ردیف],1))+1</f>
        <v>389</v>
      </c>
      <c r="B391" s="31">
        <f>SUBTOTAL(2,INDEX(Main[ردیف],1):Main[[#This Row],[ردیف]])</f>
        <v>38</v>
      </c>
      <c r="C391" s="32" t="s">
        <v>545</v>
      </c>
      <c r="D391" s="32" t="str">
        <f>_xlfn.CONCAT("14",Main[[#This Row],[تاريخ]])</f>
        <v>1400/02/18</v>
      </c>
      <c r="E391" s="33">
        <v>44324</v>
      </c>
      <c r="F391" s="32">
        <v>10055</v>
      </c>
      <c r="G391" s="5" t="str">
        <f>INDEX(customer[عنوان],MATCH(Main[[#This Row],[کد ردیابی]],customer[کد],0))</f>
        <v xml:space="preserve">مریم فیض آبادی  </v>
      </c>
      <c r="H391">
        <v>-4784</v>
      </c>
      <c r="I391" s="6">
        <f ca="1">-Main[[#This Row],[بدهی تسویه شده (کیلوگرم)]]+Main[[#This Row],[بستانکار (کیلوگرم)]]</f>
        <v>-4784</v>
      </c>
      <c r="J391" s="6">
        <f>IF(Main[[#This Row],[مقدار (کیلوگرم)]]&gt;0,Main[[#This Row],[مقدار (کیلوگرم)]],0)</f>
        <v>0</v>
      </c>
      <c r="K391" s="6">
        <f>-IF(Main[[#This Row],[مقدار (کیلوگرم)]]&lt;0,Main[[#This Row],[مقدار (کیلوگرم)]],0)</f>
        <v>4784</v>
      </c>
      <c r="L3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1" s="7">
        <f>-IF(AND(Main[[#This Row],[مقدار (کیلوگرم)]]&lt;0,Main[[#This Row],[تاريخ میلادی]]&gt;44276),Main[[#This Row],[مقدار (کیلوگرم)]],0)</f>
        <v>4784</v>
      </c>
      <c r="N391" s="6">
        <f ca="1">Main[[#This Row],[بدهکار (کیلوگرم)]]-Main[[#This Row],[بدهی تسویه نشده (کیلوگرم)]]</f>
        <v>4784</v>
      </c>
      <c r="O391" s="6">
        <f ca="1">Main[[#This Row],[تفکیک]]</f>
        <v>0</v>
      </c>
      <c r="P391" s="6">
        <f ca="1">IF(Main[[#This Row],[تاخیر از سررسید]]&gt;0,Main[[#This Row],[بدهی تسویه نشده (کیلوگرم)]],0)</f>
        <v>0</v>
      </c>
      <c r="Q391" s="6">
        <f ca="1">IF(Main[[#This Row],[بدهی تسویه نشده (کیلوگرم)]]&gt;0,'گزارش فردی'!$B$7-Main[[#This Row],[تاريخ میلادی]],0)</f>
        <v>0</v>
      </c>
      <c r="R391" s="6">
        <f ca="1">IF(Main[[#This Row],[بدهی تسویه نشده (کیلوگرم)]]&gt;0,'گزارش فردی'!$B$7-Main[[#This Row],[تاريخ میلادی]]-'گزارش فردی'!$B$8,0)</f>
        <v>0</v>
      </c>
      <c r="S391" s="6">
        <f ca="1">Main[[#This Row],[روز از ارسال سفارش]]*Main[[#This Row],[بدهی تسویه نشده (کیلوگرم)]]</f>
        <v>0</v>
      </c>
      <c r="T391" s="6">
        <f ca="1">Main[[#This Row],[بدهی سررسید شده (کیلوگرم)]]*Main[[#This Row],[روز از ارسال سفارش]]</f>
        <v>0</v>
      </c>
      <c r="U391" s="6">
        <f>-SUBTOTAL(9,INDEX(Main[مقدار (کیلوگرم)],1):Main[[#This Row],[مقدار (کیلوگرم)]])</f>
        <v>43200</v>
      </c>
      <c r="V3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1" s="6">
        <f>Main[[#This Row],[تعداد کل روزهای بدهکار (روز)]]*Main[[#This Row],[مانده در خط کل (کیلوگرم)]]</f>
        <v>43200</v>
      </c>
      <c r="X391" s="6">
        <f ca="1">-SUBTOTAL(9,INDEX(Main[مقدار تسویه شده (کیلوگرم)],1):Main[[#This Row],[مقدار تسویه شده (کیلوگرم)]])</f>
        <v>43200</v>
      </c>
      <c r="Y391" s="6">
        <f ca="1">IF(Main[[#This Row],[مانده در خط تسویه شده (کیلوگرم)]]&lt;&gt;0,Main[[#This Row],[تعداد کل روزهای بدهکار (روز)]],0)</f>
        <v>1</v>
      </c>
      <c r="Z391" s="6">
        <f ca="1">Main[[#This Row],[تعداد روزهای بدهکار تسویه شده (روز)]]*Main[[#This Row],[مانده در خط تسویه شده (کیلوگرم)]]</f>
        <v>43200</v>
      </c>
      <c r="AA391" s="6">
        <f ca="1">SUBTOTAL(9,INDEX(Main[بدهی تسویه نشده (کیلوگرم)],1):Main[[#This Row],[بدهی تسویه نشده (کیلوگرم)]])</f>
        <v>0</v>
      </c>
      <c r="AB391" s="6">
        <f ca="1">IF(Main[[#This Row],[مانده در خط تسویه نشده (کیلوگرم)]]&lt;&gt;0,Main[[#This Row],[تعداد کل روزهای بدهکار (روز)]],0)</f>
        <v>0</v>
      </c>
      <c r="AC391" s="6">
        <f ca="1">Main[[#This Row],[تعداد روزهای بدهکار  تسویه نشده (روز)]]*Main[[#This Row],[مانده در خط تسویه نشده (کیلوگرم)]]</f>
        <v>0</v>
      </c>
      <c r="AD391" s="6">
        <f ca="1">SUBTOTAL(9,INDEX(Main[بدهی سررسید شده (کیلوگرم)],1):Main[[#This Row],[بدهی سررسید شده (کیلوگرم)]])</f>
        <v>0</v>
      </c>
      <c r="AE391" s="6">
        <f ca="1">IF(Main[[#This Row],[مانده در خط سررسید شده (کیلوگرم)]]&lt;&gt;0,Main[[#This Row],[تعداد کل روزهای بدهکار (روز)]],0)</f>
        <v>0</v>
      </c>
      <c r="AF391" s="6">
        <f ca="1">Main[[#This Row],[تعداد روزهای بدهکار سررسید شده (روز)]]*Main[[#This Row],[مانده در خط سررسید شده (کیلوگرم)]]</f>
        <v>0</v>
      </c>
    </row>
    <row r="392" spans="1:32" hidden="1" x14ac:dyDescent="0.35">
      <c r="A392" s="5">
        <f>ROW()-ROW(INDEX(Main[ردیف],1))+1</f>
        <v>390</v>
      </c>
      <c r="B392" s="31">
        <f>SUBTOTAL(2,INDEX(Main[ردیف],1):Main[[#This Row],[ردیف]])</f>
        <v>38</v>
      </c>
      <c r="C392" s="32" t="s">
        <v>547</v>
      </c>
      <c r="D392" s="32" t="str">
        <f>_xlfn.CONCAT("14",Main[[#This Row],[تاريخ]])</f>
        <v>1400/02/19</v>
      </c>
      <c r="E392" s="33">
        <v>44325</v>
      </c>
      <c r="F392" s="32">
        <v>30104</v>
      </c>
      <c r="G392" s="5" t="str">
        <f>INDEX(customer[عنوان],MATCH(Main[[#This Row],[کد ردیابی]],customer[کد],0))</f>
        <v>مس دمیرتبریز</v>
      </c>
      <c r="H392">
        <v>2185</v>
      </c>
      <c r="I392" s="6">
        <f ca="1">-Main[[#This Row],[بدهی تسویه شده (کیلوگرم)]]+Main[[#This Row],[بستانکار (کیلوگرم)]]</f>
        <v>2185</v>
      </c>
      <c r="J392" s="6">
        <f>IF(Main[[#This Row],[مقدار (کیلوگرم)]]&gt;0,Main[[#This Row],[مقدار (کیلوگرم)]],0)</f>
        <v>2185</v>
      </c>
      <c r="K392" s="6">
        <f>-IF(Main[[#This Row],[مقدار (کیلوگرم)]]&lt;0,Main[[#This Row],[مقدار (کیلوگرم)]],0)</f>
        <v>0</v>
      </c>
      <c r="L3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2" s="7">
        <f>-IF(AND(Main[[#This Row],[مقدار (کیلوگرم)]]&lt;0,Main[[#This Row],[تاريخ میلادی]]&gt;44276),Main[[#This Row],[مقدار (کیلوگرم)]],0)</f>
        <v>0</v>
      </c>
      <c r="N392" s="6">
        <f ca="1">Main[[#This Row],[بدهکار (کیلوگرم)]]-Main[[#This Row],[بدهی تسویه نشده (کیلوگرم)]]</f>
        <v>0</v>
      </c>
      <c r="O392" s="6">
        <f ca="1">Main[[#This Row],[تفکیک]]</f>
        <v>0</v>
      </c>
      <c r="P392" s="6">
        <f ca="1">IF(Main[[#This Row],[تاخیر از سررسید]]&gt;0,Main[[#This Row],[بدهی تسویه نشده (کیلوگرم)]],0)</f>
        <v>0</v>
      </c>
      <c r="Q392" s="6">
        <f ca="1">IF(Main[[#This Row],[بدهی تسویه نشده (کیلوگرم)]]&gt;0,'گزارش فردی'!$B$7-Main[[#This Row],[تاريخ میلادی]],0)</f>
        <v>0</v>
      </c>
      <c r="R392" s="6">
        <f ca="1">IF(Main[[#This Row],[بدهی تسویه نشده (کیلوگرم)]]&gt;0,'گزارش فردی'!$B$7-Main[[#This Row],[تاريخ میلادی]]-'گزارش فردی'!$B$8,0)</f>
        <v>0</v>
      </c>
      <c r="S392" s="6">
        <f ca="1">Main[[#This Row],[روز از ارسال سفارش]]*Main[[#This Row],[بدهی تسویه نشده (کیلوگرم)]]</f>
        <v>0</v>
      </c>
      <c r="T392" s="6">
        <f ca="1">Main[[#This Row],[بدهی سررسید شده (کیلوگرم)]]*Main[[#This Row],[روز از ارسال سفارش]]</f>
        <v>0</v>
      </c>
      <c r="U392" s="6">
        <f>-SUBTOTAL(9,INDEX(Main[مقدار (کیلوگرم)],1):Main[[#This Row],[مقدار (کیلوگرم)]])</f>
        <v>43200</v>
      </c>
      <c r="V3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2" s="6">
        <f>Main[[#This Row],[تعداد کل روزهای بدهکار (روز)]]*Main[[#This Row],[مانده در خط کل (کیلوگرم)]]</f>
        <v>0</v>
      </c>
      <c r="X392" s="6">
        <f ca="1">-SUBTOTAL(9,INDEX(Main[مقدار تسویه شده (کیلوگرم)],1):Main[[#This Row],[مقدار تسویه شده (کیلوگرم)]])</f>
        <v>43200</v>
      </c>
      <c r="Y392" s="6">
        <f ca="1">IF(Main[[#This Row],[مانده در خط تسویه شده (کیلوگرم)]]&lt;&gt;0,Main[[#This Row],[تعداد کل روزهای بدهکار (روز)]],0)</f>
        <v>0</v>
      </c>
      <c r="Z392" s="6">
        <f ca="1">Main[[#This Row],[تعداد روزهای بدهکار تسویه شده (روز)]]*Main[[#This Row],[مانده در خط تسویه شده (کیلوگرم)]]</f>
        <v>0</v>
      </c>
      <c r="AA392" s="6">
        <f ca="1">SUBTOTAL(9,INDEX(Main[بدهی تسویه نشده (کیلوگرم)],1):Main[[#This Row],[بدهی تسویه نشده (کیلوگرم)]])</f>
        <v>0</v>
      </c>
      <c r="AB392" s="6">
        <f ca="1">IF(Main[[#This Row],[مانده در خط تسویه نشده (کیلوگرم)]]&lt;&gt;0,Main[[#This Row],[تعداد کل روزهای بدهکار (روز)]],0)</f>
        <v>0</v>
      </c>
      <c r="AC392" s="6">
        <f ca="1">Main[[#This Row],[تعداد روزهای بدهکار  تسویه نشده (روز)]]*Main[[#This Row],[مانده در خط تسویه نشده (کیلوگرم)]]</f>
        <v>0</v>
      </c>
      <c r="AD392" s="6">
        <f ca="1">SUBTOTAL(9,INDEX(Main[بدهی سررسید شده (کیلوگرم)],1):Main[[#This Row],[بدهی سررسید شده (کیلوگرم)]])</f>
        <v>0</v>
      </c>
      <c r="AE392" s="6">
        <f ca="1">IF(Main[[#This Row],[مانده در خط سررسید شده (کیلوگرم)]]&lt;&gt;0,Main[[#This Row],[تعداد کل روزهای بدهکار (روز)]],0)</f>
        <v>0</v>
      </c>
      <c r="AF392" s="6">
        <f ca="1">Main[[#This Row],[تعداد روزهای بدهکار سررسید شده (روز)]]*Main[[#This Row],[مانده در خط سررسید شده (کیلوگرم)]]</f>
        <v>0</v>
      </c>
    </row>
    <row r="393" spans="1:32" hidden="1" x14ac:dyDescent="0.35">
      <c r="A393" s="5">
        <f>ROW()-ROW(INDEX(Main[ردیف],1))+1</f>
        <v>391</v>
      </c>
      <c r="B393" s="31">
        <f>SUBTOTAL(2,INDEX(Main[ردیف],1):Main[[#This Row],[ردیف]])</f>
        <v>38</v>
      </c>
      <c r="C393" s="32" t="s">
        <v>547</v>
      </c>
      <c r="D393" s="32" t="str">
        <f>_xlfn.CONCAT("14",Main[[#This Row],[تاريخ]])</f>
        <v>1400/02/19</v>
      </c>
      <c r="E393" s="33">
        <v>44325</v>
      </c>
      <c r="F393" s="32">
        <v>30009</v>
      </c>
      <c r="G393" s="5" t="str">
        <f>INDEX(customer[عنوان],MATCH(Main[[#This Row],[کد ردیابی]],customer[کد],0))</f>
        <v>شرکت ایمن تک پیشرو</v>
      </c>
      <c r="H393">
        <v>-1864</v>
      </c>
      <c r="I393" s="6">
        <f ca="1">-Main[[#This Row],[بدهی تسویه شده (کیلوگرم)]]+Main[[#This Row],[بستانکار (کیلوگرم)]]</f>
        <v>-1864</v>
      </c>
      <c r="J393" s="6">
        <f>IF(Main[[#This Row],[مقدار (کیلوگرم)]]&gt;0,Main[[#This Row],[مقدار (کیلوگرم)]],0)</f>
        <v>0</v>
      </c>
      <c r="K393" s="6">
        <f>-IF(Main[[#This Row],[مقدار (کیلوگرم)]]&lt;0,Main[[#This Row],[مقدار (کیلوگرم)]],0)</f>
        <v>1864</v>
      </c>
      <c r="L3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3" s="7">
        <f>-IF(AND(Main[[#This Row],[مقدار (کیلوگرم)]]&lt;0,Main[[#This Row],[تاريخ میلادی]]&gt;44276),Main[[#This Row],[مقدار (کیلوگرم)]],0)</f>
        <v>1864</v>
      </c>
      <c r="N393" s="6">
        <f ca="1">Main[[#This Row],[بدهکار (کیلوگرم)]]-Main[[#This Row],[بدهی تسویه نشده (کیلوگرم)]]</f>
        <v>1864</v>
      </c>
      <c r="O393" s="6">
        <f ca="1">Main[[#This Row],[تفکیک]]</f>
        <v>0</v>
      </c>
      <c r="P393" s="6">
        <f ca="1">IF(Main[[#This Row],[تاخیر از سررسید]]&gt;0,Main[[#This Row],[بدهی تسویه نشده (کیلوگرم)]],0)</f>
        <v>0</v>
      </c>
      <c r="Q393" s="6">
        <f ca="1">IF(Main[[#This Row],[بدهی تسویه نشده (کیلوگرم)]]&gt;0,'گزارش فردی'!$B$7-Main[[#This Row],[تاريخ میلادی]],0)</f>
        <v>0</v>
      </c>
      <c r="R393" s="6">
        <f ca="1">IF(Main[[#This Row],[بدهی تسویه نشده (کیلوگرم)]]&gt;0,'گزارش فردی'!$B$7-Main[[#This Row],[تاريخ میلادی]]-'گزارش فردی'!$B$8,0)</f>
        <v>0</v>
      </c>
      <c r="S393" s="6">
        <f ca="1">Main[[#This Row],[روز از ارسال سفارش]]*Main[[#This Row],[بدهی تسویه نشده (کیلوگرم)]]</f>
        <v>0</v>
      </c>
      <c r="T393" s="6">
        <f ca="1">Main[[#This Row],[بدهی سررسید شده (کیلوگرم)]]*Main[[#This Row],[روز از ارسال سفارش]]</f>
        <v>0</v>
      </c>
      <c r="U393" s="6">
        <f>-SUBTOTAL(9,INDEX(Main[مقدار (کیلوگرم)],1):Main[[#This Row],[مقدار (کیلوگرم)]])</f>
        <v>43200</v>
      </c>
      <c r="V3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3" s="6">
        <f>Main[[#This Row],[تعداد کل روزهای بدهکار (روز)]]*Main[[#This Row],[مانده در خط کل (کیلوگرم)]]</f>
        <v>0</v>
      </c>
      <c r="X393" s="6">
        <f ca="1">-SUBTOTAL(9,INDEX(Main[مقدار تسویه شده (کیلوگرم)],1):Main[[#This Row],[مقدار تسویه شده (کیلوگرم)]])</f>
        <v>43200</v>
      </c>
      <c r="Y393" s="6">
        <f ca="1">IF(Main[[#This Row],[مانده در خط تسویه شده (کیلوگرم)]]&lt;&gt;0,Main[[#This Row],[تعداد کل روزهای بدهکار (روز)]],0)</f>
        <v>0</v>
      </c>
      <c r="Z393" s="6">
        <f ca="1">Main[[#This Row],[تعداد روزهای بدهکار تسویه شده (روز)]]*Main[[#This Row],[مانده در خط تسویه شده (کیلوگرم)]]</f>
        <v>0</v>
      </c>
      <c r="AA393" s="6">
        <f ca="1">SUBTOTAL(9,INDEX(Main[بدهی تسویه نشده (کیلوگرم)],1):Main[[#This Row],[بدهی تسویه نشده (کیلوگرم)]])</f>
        <v>0</v>
      </c>
      <c r="AB393" s="6">
        <f ca="1">IF(Main[[#This Row],[مانده در خط تسویه نشده (کیلوگرم)]]&lt;&gt;0,Main[[#This Row],[تعداد کل روزهای بدهکار (روز)]],0)</f>
        <v>0</v>
      </c>
      <c r="AC393" s="6">
        <f ca="1">Main[[#This Row],[تعداد روزهای بدهکار  تسویه نشده (روز)]]*Main[[#This Row],[مانده در خط تسویه نشده (کیلوگرم)]]</f>
        <v>0</v>
      </c>
      <c r="AD393" s="6">
        <f ca="1">SUBTOTAL(9,INDEX(Main[بدهی سررسید شده (کیلوگرم)],1):Main[[#This Row],[بدهی سررسید شده (کیلوگرم)]])</f>
        <v>0</v>
      </c>
      <c r="AE393" s="6">
        <f ca="1">IF(Main[[#This Row],[مانده در خط سررسید شده (کیلوگرم)]]&lt;&gt;0,Main[[#This Row],[تعداد کل روزهای بدهکار (روز)]],0)</f>
        <v>0</v>
      </c>
      <c r="AF393" s="6">
        <f ca="1">Main[[#This Row],[تعداد روزهای بدهکار سررسید شده (روز)]]*Main[[#This Row],[مانده در خط سررسید شده (کیلوگرم)]]</f>
        <v>0</v>
      </c>
    </row>
    <row r="394" spans="1:32" hidden="1" x14ac:dyDescent="0.35">
      <c r="A394" s="5">
        <f>ROW()-ROW(INDEX(Main[ردیف],1))+1</f>
        <v>392</v>
      </c>
      <c r="B394" s="31">
        <f>SUBTOTAL(2,INDEX(Main[ردیف],1):Main[[#This Row],[ردیف]])</f>
        <v>38</v>
      </c>
      <c r="C394" s="32" t="s">
        <v>547</v>
      </c>
      <c r="D394" s="32" t="str">
        <f>_xlfn.CONCAT("14",Main[[#This Row],[تاريخ]])</f>
        <v>1400/02/19</v>
      </c>
      <c r="E394" s="33">
        <v>44325</v>
      </c>
      <c r="F394" s="32">
        <v>30017</v>
      </c>
      <c r="G394" s="5" t="str">
        <f>INDEX(customer[عنوان],MATCH(Main[[#This Row],[کد ردیابی]],customer[کد],0))</f>
        <v xml:space="preserve">البرز یدک </v>
      </c>
      <c r="H394">
        <v>2166</v>
      </c>
      <c r="I394" s="6">
        <f ca="1">-Main[[#This Row],[بدهی تسویه شده (کیلوگرم)]]+Main[[#This Row],[بستانکار (کیلوگرم)]]</f>
        <v>2166</v>
      </c>
      <c r="J394" s="6">
        <f>IF(Main[[#This Row],[مقدار (کیلوگرم)]]&gt;0,Main[[#This Row],[مقدار (کیلوگرم)]],0)</f>
        <v>2166</v>
      </c>
      <c r="K394" s="6">
        <f>-IF(Main[[#This Row],[مقدار (کیلوگرم)]]&lt;0,Main[[#This Row],[مقدار (کیلوگرم)]],0)</f>
        <v>0</v>
      </c>
      <c r="L3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4" s="7">
        <f>-IF(AND(Main[[#This Row],[مقدار (کیلوگرم)]]&lt;0,Main[[#This Row],[تاريخ میلادی]]&gt;44276),Main[[#This Row],[مقدار (کیلوگرم)]],0)</f>
        <v>0</v>
      </c>
      <c r="N394" s="6">
        <f ca="1">Main[[#This Row],[بدهکار (کیلوگرم)]]-Main[[#This Row],[بدهی تسویه نشده (کیلوگرم)]]</f>
        <v>0</v>
      </c>
      <c r="O394" s="6">
        <f ca="1">Main[[#This Row],[تفکیک]]</f>
        <v>0</v>
      </c>
      <c r="P394" s="6">
        <f ca="1">IF(Main[[#This Row],[تاخیر از سررسید]]&gt;0,Main[[#This Row],[بدهی تسویه نشده (کیلوگرم)]],0)</f>
        <v>0</v>
      </c>
      <c r="Q394" s="6">
        <f ca="1">IF(Main[[#This Row],[بدهی تسویه نشده (کیلوگرم)]]&gt;0,'گزارش فردی'!$B$7-Main[[#This Row],[تاريخ میلادی]],0)</f>
        <v>0</v>
      </c>
      <c r="R394" s="6">
        <f ca="1">IF(Main[[#This Row],[بدهی تسویه نشده (کیلوگرم)]]&gt;0,'گزارش فردی'!$B$7-Main[[#This Row],[تاريخ میلادی]]-'گزارش فردی'!$B$8,0)</f>
        <v>0</v>
      </c>
      <c r="S394" s="6">
        <f ca="1">Main[[#This Row],[روز از ارسال سفارش]]*Main[[#This Row],[بدهی تسویه نشده (کیلوگرم)]]</f>
        <v>0</v>
      </c>
      <c r="T394" s="6">
        <f ca="1">Main[[#This Row],[بدهی سررسید شده (کیلوگرم)]]*Main[[#This Row],[روز از ارسال سفارش]]</f>
        <v>0</v>
      </c>
      <c r="U394" s="6">
        <f>-SUBTOTAL(9,INDEX(Main[مقدار (کیلوگرم)],1):Main[[#This Row],[مقدار (کیلوگرم)]])</f>
        <v>43200</v>
      </c>
      <c r="V3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4" s="6">
        <f>Main[[#This Row],[تعداد کل روزهای بدهکار (روز)]]*Main[[#This Row],[مانده در خط کل (کیلوگرم)]]</f>
        <v>0</v>
      </c>
      <c r="X394" s="6">
        <f ca="1">-SUBTOTAL(9,INDEX(Main[مقدار تسویه شده (کیلوگرم)],1):Main[[#This Row],[مقدار تسویه شده (کیلوگرم)]])</f>
        <v>43200</v>
      </c>
      <c r="Y394" s="6">
        <f ca="1">IF(Main[[#This Row],[مانده در خط تسویه شده (کیلوگرم)]]&lt;&gt;0,Main[[#This Row],[تعداد کل روزهای بدهکار (روز)]],0)</f>
        <v>0</v>
      </c>
      <c r="Z394" s="6">
        <f ca="1">Main[[#This Row],[تعداد روزهای بدهکار تسویه شده (روز)]]*Main[[#This Row],[مانده در خط تسویه شده (کیلوگرم)]]</f>
        <v>0</v>
      </c>
      <c r="AA394" s="6">
        <f ca="1">SUBTOTAL(9,INDEX(Main[بدهی تسویه نشده (کیلوگرم)],1):Main[[#This Row],[بدهی تسویه نشده (کیلوگرم)]])</f>
        <v>0</v>
      </c>
      <c r="AB394" s="6">
        <f ca="1">IF(Main[[#This Row],[مانده در خط تسویه نشده (کیلوگرم)]]&lt;&gt;0,Main[[#This Row],[تعداد کل روزهای بدهکار (روز)]],0)</f>
        <v>0</v>
      </c>
      <c r="AC394" s="6">
        <f ca="1">Main[[#This Row],[تعداد روزهای بدهکار  تسویه نشده (روز)]]*Main[[#This Row],[مانده در خط تسویه نشده (کیلوگرم)]]</f>
        <v>0</v>
      </c>
      <c r="AD394" s="6">
        <f ca="1">SUBTOTAL(9,INDEX(Main[بدهی سررسید شده (کیلوگرم)],1):Main[[#This Row],[بدهی سررسید شده (کیلوگرم)]])</f>
        <v>0</v>
      </c>
      <c r="AE394" s="6">
        <f ca="1">IF(Main[[#This Row],[مانده در خط سررسید شده (کیلوگرم)]]&lt;&gt;0,Main[[#This Row],[تعداد کل روزهای بدهکار (روز)]],0)</f>
        <v>0</v>
      </c>
      <c r="AF394" s="6">
        <f ca="1">Main[[#This Row],[تعداد روزهای بدهکار سررسید شده (روز)]]*Main[[#This Row],[مانده در خط سررسید شده (کیلوگرم)]]</f>
        <v>0</v>
      </c>
    </row>
    <row r="395" spans="1:32" hidden="1" x14ac:dyDescent="0.35">
      <c r="A395" s="5">
        <f>ROW()-ROW(INDEX(Main[ردیف],1))+1</f>
        <v>393</v>
      </c>
      <c r="B395" s="31">
        <f>SUBTOTAL(2,INDEX(Main[ردیف],1):Main[[#This Row],[ردیف]])</f>
        <v>38</v>
      </c>
      <c r="C395" s="32" t="s">
        <v>547</v>
      </c>
      <c r="D395" s="32" t="str">
        <f>_xlfn.CONCAT("14",Main[[#This Row],[تاريخ]])</f>
        <v>1400/02/19</v>
      </c>
      <c r="E395" s="33">
        <v>44325</v>
      </c>
      <c r="F395" s="32">
        <v>30081</v>
      </c>
      <c r="G395" s="5" t="str">
        <f>INDEX(customer[عنوان],MATCH(Main[[#This Row],[کد ردیابی]],customer[کد],0))</f>
        <v xml:space="preserve">شیرآلات بهداشتی راسان </v>
      </c>
      <c r="H395">
        <v>-2122</v>
      </c>
      <c r="I395" s="6">
        <f ca="1">-Main[[#This Row],[بدهی تسویه شده (کیلوگرم)]]+Main[[#This Row],[بستانکار (کیلوگرم)]]</f>
        <v>-2122</v>
      </c>
      <c r="J395" s="6">
        <f>IF(Main[[#This Row],[مقدار (کیلوگرم)]]&gt;0,Main[[#This Row],[مقدار (کیلوگرم)]],0)</f>
        <v>0</v>
      </c>
      <c r="K395" s="6">
        <f>-IF(Main[[#This Row],[مقدار (کیلوگرم)]]&lt;0,Main[[#This Row],[مقدار (کیلوگرم)]],0)</f>
        <v>2122</v>
      </c>
      <c r="L3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5" s="7">
        <f>-IF(AND(Main[[#This Row],[مقدار (کیلوگرم)]]&lt;0,Main[[#This Row],[تاريخ میلادی]]&gt;44276),Main[[#This Row],[مقدار (کیلوگرم)]],0)</f>
        <v>2122</v>
      </c>
      <c r="N395" s="6">
        <f ca="1">Main[[#This Row],[بدهکار (کیلوگرم)]]-Main[[#This Row],[بدهی تسویه نشده (کیلوگرم)]]</f>
        <v>2122</v>
      </c>
      <c r="O395" s="6">
        <f ca="1">Main[[#This Row],[تفکیک]]</f>
        <v>0</v>
      </c>
      <c r="P395" s="6">
        <f ca="1">IF(Main[[#This Row],[تاخیر از سررسید]]&gt;0,Main[[#This Row],[بدهی تسویه نشده (کیلوگرم)]],0)</f>
        <v>0</v>
      </c>
      <c r="Q395" s="6">
        <f ca="1">IF(Main[[#This Row],[بدهی تسویه نشده (کیلوگرم)]]&gt;0,'گزارش فردی'!$B$7-Main[[#This Row],[تاريخ میلادی]],0)</f>
        <v>0</v>
      </c>
      <c r="R395" s="6">
        <f ca="1">IF(Main[[#This Row],[بدهی تسویه نشده (کیلوگرم)]]&gt;0,'گزارش فردی'!$B$7-Main[[#This Row],[تاريخ میلادی]]-'گزارش فردی'!$B$8,0)</f>
        <v>0</v>
      </c>
      <c r="S395" s="6">
        <f ca="1">Main[[#This Row],[روز از ارسال سفارش]]*Main[[#This Row],[بدهی تسویه نشده (کیلوگرم)]]</f>
        <v>0</v>
      </c>
      <c r="T395" s="6">
        <f ca="1">Main[[#This Row],[بدهی سررسید شده (کیلوگرم)]]*Main[[#This Row],[روز از ارسال سفارش]]</f>
        <v>0</v>
      </c>
      <c r="U395" s="6">
        <f>-SUBTOTAL(9,INDEX(Main[مقدار (کیلوگرم)],1):Main[[#This Row],[مقدار (کیلوگرم)]])</f>
        <v>43200</v>
      </c>
      <c r="V3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5" s="6">
        <f>Main[[#This Row],[تعداد کل روزهای بدهکار (روز)]]*Main[[#This Row],[مانده در خط کل (کیلوگرم)]]</f>
        <v>0</v>
      </c>
      <c r="X395" s="6">
        <f ca="1">-SUBTOTAL(9,INDEX(Main[مقدار تسویه شده (کیلوگرم)],1):Main[[#This Row],[مقدار تسویه شده (کیلوگرم)]])</f>
        <v>43200</v>
      </c>
      <c r="Y395" s="6">
        <f ca="1">IF(Main[[#This Row],[مانده در خط تسویه شده (کیلوگرم)]]&lt;&gt;0,Main[[#This Row],[تعداد کل روزهای بدهکار (روز)]],0)</f>
        <v>0</v>
      </c>
      <c r="Z395" s="6">
        <f ca="1">Main[[#This Row],[تعداد روزهای بدهکار تسویه شده (روز)]]*Main[[#This Row],[مانده در خط تسویه شده (کیلوگرم)]]</f>
        <v>0</v>
      </c>
      <c r="AA395" s="6">
        <f ca="1">SUBTOTAL(9,INDEX(Main[بدهی تسویه نشده (کیلوگرم)],1):Main[[#This Row],[بدهی تسویه نشده (کیلوگرم)]])</f>
        <v>0</v>
      </c>
      <c r="AB395" s="6">
        <f ca="1">IF(Main[[#This Row],[مانده در خط تسویه نشده (کیلوگرم)]]&lt;&gt;0,Main[[#This Row],[تعداد کل روزهای بدهکار (روز)]],0)</f>
        <v>0</v>
      </c>
      <c r="AC395" s="6">
        <f ca="1">Main[[#This Row],[تعداد روزهای بدهکار  تسویه نشده (روز)]]*Main[[#This Row],[مانده در خط تسویه نشده (کیلوگرم)]]</f>
        <v>0</v>
      </c>
      <c r="AD395" s="6">
        <f ca="1">SUBTOTAL(9,INDEX(Main[بدهی سررسید شده (کیلوگرم)],1):Main[[#This Row],[بدهی سررسید شده (کیلوگرم)]])</f>
        <v>0</v>
      </c>
      <c r="AE395" s="6">
        <f ca="1">IF(Main[[#This Row],[مانده در خط سررسید شده (کیلوگرم)]]&lt;&gt;0,Main[[#This Row],[تعداد کل روزهای بدهکار (روز)]],0)</f>
        <v>0</v>
      </c>
      <c r="AF395" s="6">
        <f ca="1">Main[[#This Row],[تعداد روزهای بدهکار سررسید شده (روز)]]*Main[[#This Row],[مانده در خط سررسید شده (کیلوگرم)]]</f>
        <v>0</v>
      </c>
    </row>
    <row r="396" spans="1:32" hidden="1" x14ac:dyDescent="0.35">
      <c r="A396" s="5">
        <f>ROW()-ROW(INDEX(Main[ردیف],1))+1</f>
        <v>394</v>
      </c>
      <c r="B396" s="31">
        <f>SUBTOTAL(2,INDEX(Main[ردیف],1):Main[[#This Row],[ردیف]])</f>
        <v>38</v>
      </c>
      <c r="C396" s="32" t="s">
        <v>547</v>
      </c>
      <c r="D396" s="32" t="str">
        <f>_xlfn.CONCAT("14",Main[[#This Row],[تاريخ]])</f>
        <v>1400/02/19</v>
      </c>
      <c r="E396" s="33">
        <v>44325</v>
      </c>
      <c r="F396" s="32">
        <v>30064</v>
      </c>
      <c r="G396" s="5" t="str">
        <f>INDEX(customer[عنوان],MATCH(Main[[#This Row],[کد ردیابی]],customer[کد],0))</f>
        <v>پایپکس</v>
      </c>
      <c r="H396">
        <v>138</v>
      </c>
      <c r="I396" s="6">
        <f ca="1">-Main[[#This Row],[بدهی تسویه شده (کیلوگرم)]]+Main[[#This Row],[بستانکار (کیلوگرم)]]</f>
        <v>138</v>
      </c>
      <c r="J396" s="6">
        <f>IF(Main[[#This Row],[مقدار (کیلوگرم)]]&gt;0,Main[[#This Row],[مقدار (کیلوگرم)]],0)</f>
        <v>138</v>
      </c>
      <c r="K396" s="6">
        <f>-IF(Main[[#This Row],[مقدار (کیلوگرم)]]&lt;0,Main[[#This Row],[مقدار (کیلوگرم)]],0)</f>
        <v>0</v>
      </c>
      <c r="L3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6" s="7">
        <f>-IF(AND(Main[[#This Row],[مقدار (کیلوگرم)]]&lt;0,Main[[#This Row],[تاريخ میلادی]]&gt;44276),Main[[#This Row],[مقدار (کیلوگرم)]],0)</f>
        <v>0</v>
      </c>
      <c r="N396" s="6">
        <f ca="1">Main[[#This Row],[بدهکار (کیلوگرم)]]-Main[[#This Row],[بدهی تسویه نشده (کیلوگرم)]]</f>
        <v>0</v>
      </c>
      <c r="O396" s="6">
        <f ca="1">Main[[#This Row],[تفکیک]]</f>
        <v>0</v>
      </c>
      <c r="P396" s="6">
        <f ca="1">IF(Main[[#This Row],[تاخیر از سررسید]]&gt;0,Main[[#This Row],[بدهی تسویه نشده (کیلوگرم)]],0)</f>
        <v>0</v>
      </c>
      <c r="Q396" s="6">
        <f ca="1">IF(Main[[#This Row],[بدهی تسویه نشده (کیلوگرم)]]&gt;0,'گزارش فردی'!$B$7-Main[[#This Row],[تاريخ میلادی]],0)</f>
        <v>0</v>
      </c>
      <c r="R396" s="6">
        <f ca="1">IF(Main[[#This Row],[بدهی تسویه نشده (کیلوگرم)]]&gt;0,'گزارش فردی'!$B$7-Main[[#This Row],[تاريخ میلادی]]-'گزارش فردی'!$B$8,0)</f>
        <v>0</v>
      </c>
      <c r="S396" s="6">
        <f ca="1">Main[[#This Row],[روز از ارسال سفارش]]*Main[[#This Row],[بدهی تسویه نشده (کیلوگرم)]]</f>
        <v>0</v>
      </c>
      <c r="T396" s="6">
        <f ca="1">Main[[#This Row],[بدهی سررسید شده (کیلوگرم)]]*Main[[#This Row],[روز از ارسال سفارش]]</f>
        <v>0</v>
      </c>
      <c r="U396" s="6">
        <f>-SUBTOTAL(9,INDEX(Main[مقدار (کیلوگرم)],1):Main[[#This Row],[مقدار (کیلوگرم)]])</f>
        <v>43200</v>
      </c>
      <c r="V3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6" s="6">
        <f>Main[[#This Row],[تعداد کل روزهای بدهکار (روز)]]*Main[[#This Row],[مانده در خط کل (کیلوگرم)]]</f>
        <v>0</v>
      </c>
      <c r="X396" s="6">
        <f ca="1">-SUBTOTAL(9,INDEX(Main[مقدار تسویه شده (کیلوگرم)],1):Main[[#This Row],[مقدار تسویه شده (کیلوگرم)]])</f>
        <v>43200</v>
      </c>
      <c r="Y396" s="6">
        <f ca="1">IF(Main[[#This Row],[مانده در خط تسویه شده (کیلوگرم)]]&lt;&gt;0,Main[[#This Row],[تعداد کل روزهای بدهکار (روز)]],0)</f>
        <v>0</v>
      </c>
      <c r="Z396" s="6">
        <f ca="1">Main[[#This Row],[تعداد روزهای بدهکار تسویه شده (روز)]]*Main[[#This Row],[مانده در خط تسویه شده (کیلوگرم)]]</f>
        <v>0</v>
      </c>
      <c r="AA396" s="6">
        <f ca="1">SUBTOTAL(9,INDEX(Main[بدهی تسویه نشده (کیلوگرم)],1):Main[[#This Row],[بدهی تسویه نشده (کیلوگرم)]])</f>
        <v>0</v>
      </c>
      <c r="AB396" s="6">
        <f ca="1">IF(Main[[#This Row],[مانده در خط تسویه نشده (کیلوگرم)]]&lt;&gt;0,Main[[#This Row],[تعداد کل روزهای بدهکار (روز)]],0)</f>
        <v>0</v>
      </c>
      <c r="AC396" s="6">
        <f ca="1">Main[[#This Row],[تعداد روزهای بدهکار  تسویه نشده (روز)]]*Main[[#This Row],[مانده در خط تسویه نشده (کیلوگرم)]]</f>
        <v>0</v>
      </c>
      <c r="AD396" s="6">
        <f ca="1">SUBTOTAL(9,INDEX(Main[بدهی سررسید شده (کیلوگرم)],1):Main[[#This Row],[بدهی سررسید شده (کیلوگرم)]])</f>
        <v>0</v>
      </c>
      <c r="AE396" s="6">
        <f ca="1">IF(Main[[#This Row],[مانده در خط سررسید شده (کیلوگرم)]]&lt;&gt;0,Main[[#This Row],[تعداد کل روزهای بدهکار (روز)]],0)</f>
        <v>0</v>
      </c>
      <c r="AF396" s="6">
        <f ca="1">Main[[#This Row],[تعداد روزهای بدهکار سررسید شده (روز)]]*Main[[#This Row],[مانده در خط سررسید شده (کیلوگرم)]]</f>
        <v>0</v>
      </c>
    </row>
    <row r="397" spans="1:32" x14ac:dyDescent="0.35">
      <c r="A397" s="5">
        <f>ROW()-ROW(INDEX(Main[ردیف],1))+1</f>
        <v>395</v>
      </c>
      <c r="B397" s="31">
        <f>SUBTOTAL(2,INDEX(Main[ردیف],1):Main[[#This Row],[ردیف]])</f>
        <v>39</v>
      </c>
      <c r="C397" s="32" t="s">
        <v>547</v>
      </c>
      <c r="D397" s="32" t="str">
        <f>_xlfn.CONCAT("14",Main[[#This Row],[تاريخ]])</f>
        <v>1400/02/19</v>
      </c>
      <c r="E397" s="33">
        <v>44325</v>
      </c>
      <c r="F397" s="32">
        <v>10003</v>
      </c>
      <c r="G397" s="5" t="str">
        <f>INDEX(customer[عنوان],MATCH(Main[[#This Row],[کد ردیابی]],customer[کد],0))</f>
        <v>اصغر نورعلی</v>
      </c>
      <c r="H397">
        <v>-2010</v>
      </c>
      <c r="I397" s="6">
        <f ca="1">-Main[[#This Row],[بدهی تسویه شده (کیلوگرم)]]+Main[[#This Row],[بستانکار (کیلوگرم)]]</f>
        <v>-2010</v>
      </c>
      <c r="J397" s="6">
        <f>IF(Main[[#This Row],[مقدار (کیلوگرم)]]&gt;0,Main[[#This Row],[مقدار (کیلوگرم)]],0)</f>
        <v>0</v>
      </c>
      <c r="K397" s="6">
        <f>-IF(Main[[#This Row],[مقدار (کیلوگرم)]]&lt;0,Main[[#This Row],[مقدار (کیلوگرم)]],0)</f>
        <v>2010</v>
      </c>
      <c r="L3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7" s="7">
        <f>-IF(AND(Main[[#This Row],[مقدار (کیلوگرم)]]&lt;0,Main[[#This Row],[تاريخ میلادی]]&gt;44276),Main[[#This Row],[مقدار (کیلوگرم)]],0)</f>
        <v>2010</v>
      </c>
      <c r="N397" s="6">
        <f ca="1">Main[[#This Row],[بدهکار (کیلوگرم)]]-Main[[#This Row],[بدهی تسویه نشده (کیلوگرم)]]</f>
        <v>2010</v>
      </c>
      <c r="O397" s="6">
        <f ca="1">Main[[#This Row],[تفکیک]]</f>
        <v>0</v>
      </c>
      <c r="P397" s="6">
        <f ca="1">IF(Main[[#This Row],[تاخیر از سررسید]]&gt;0,Main[[#This Row],[بدهی تسویه نشده (کیلوگرم)]],0)</f>
        <v>0</v>
      </c>
      <c r="Q397" s="6">
        <f ca="1">IF(Main[[#This Row],[بدهی تسویه نشده (کیلوگرم)]]&gt;0,'گزارش فردی'!$B$7-Main[[#This Row],[تاريخ میلادی]],0)</f>
        <v>0</v>
      </c>
      <c r="R397" s="6">
        <f ca="1">IF(Main[[#This Row],[بدهی تسویه نشده (کیلوگرم)]]&gt;0,'گزارش فردی'!$B$7-Main[[#This Row],[تاريخ میلادی]]-'گزارش فردی'!$B$8,0)</f>
        <v>0</v>
      </c>
      <c r="S397" s="6">
        <f ca="1">Main[[#This Row],[روز از ارسال سفارش]]*Main[[#This Row],[بدهی تسویه نشده (کیلوگرم)]]</f>
        <v>0</v>
      </c>
      <c r="T397" s="6">
        <f ca="1">Main[[#This Row],[بدهی سررسید شده (کیلوگرم)]]*Main[[#This Row],[روز از ارسال سفارش]]</f>
        <v>0</v>
      </c>
      <c r="U397" s="6">
        <f>-SUBTOTAL(9,INDEX(Main[مقدار (کیلوگرم)],1):Main[[#This Row],[مقدار (کیلوگرم)]])</f>
        <v>45210</v>
      </c>
      <c r="V3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7" s="6">
        <f>Main[[#This Row],[تعداد کل روزهای بدهکار (روز)]]*Main[[#This Row],[مانده در خط کل (کیلوگرم)]]</f>
        <v>45210</v>
      </c>
      <c r="X397" s="6">
        <f ca="1">-SUBTOTAL(9,INDEX(Main[مقدار تسویه شده (کیلوگرم)],1):Main[[#This Row],[مقدار تسویه شده (کیلوگرم)]])</f>
        <v>45210</v>
      </c>
      <c r="Y397" s="6">
        <f ca="1">IF(Main[[#This Row],[مانده در خط تسویه شده (کیلوگرم)]]&lt;&gt;0,Main[[#This Row],[تعداد کل روزهای بدهکار (روز)]],0)</f>
        <v>1</v>
      </c>
      <c r="Z397" s="6">
        <f ca="1">Main[[#This Row],[تعداد روزهای بدهکار تسویه شده (روز)]]*Main[[#This Row],[مانده در خط تسویه شده (کیلوگرم)]]</f>
        <v>45210</v>
      </c>
      <c r="AA397" s="6">
        <f ca="1">SUBTOTAL(9,INDEX(Main[بدهی تسویه نشده (کیلوگرم)],1):Main[[#This Row],[بدهی تسویه نشده (کیلوگرم)]])</f>
        <v>0</v>
      </c>
      <c r="AB397" s="6">
        <f ca="1">IF(Main[[#This Row],[مانده در خط تسویه نشده (کیلوگرم)]]&lt;&gt;0,Main[[#This Row],[تعداد کل روزهای بدهکار (روز)]],0)</f>
        <v>0</v>
      </c>
      <c r="AC397" s="6">
        <f ca="1">Main[[#This Row],[تعداد روزهای بدهکار  تسویه نشده (روز)]]*Main[[#This Row],[مانده در خط تسویه نشده (کیلوگرم)]]</f>
        <v>0</v>
      </c>
      <c r="AD397" s="6">
        <f ca="1">SUBTOTAL(9,INDEX(Main[بدهی سررسید شده (کیلوگرم)],1):Main[[#This Row],[بدهی سررسید شده (کیلوگرم)]])</f>
        <v>0</v>
      </c>
      <c r="AE397" s="6">
        <f ca="1">IF(Main[[#This Row],[مانده در خط سررسید شده (کیلوگرم)]]&lt;&gt;0,Main[[#This Row],[تعداد کل روزهای بدهکار (روز)]],0)</f>
        <v>0</v>
      </c>
      <c r="AF397" s="6">
        <f ca="1">Main[[#This Row],[تعداد روزهای بدهکار سررسید شده (روز)]]*Main[[#This Row],[مانده در خط سررسید شده (کیلوگرم)]]</f>
        <v>0</v>
      </c>
    </row>
    <row r="398" spans="1:32" hidden="1" x14ac:dyDescent="0.35">
      <c r="A398" s="5">
        <f>ROW()-ROW(INDEX(Main[ردیف],1))+1</f>
        <v>396</v>
      </c>
      <c r="B398" s="31">
        <f>SUBTOTAL(2,INDEX(Main[ردیف],1):Main[[#This Row],[ردیف]])</f>
        <v>39</v>
      </c>
      <c r="C398" s="32" t="s">
        <v>547</v>
      </c>
      <c r="D398" s="32" t="str">
        <f>_xlfn.CONCAT("14",Main[[#This Row],[تاريخ]])</f>
        <v>1400/02/19</v>
      </c>
      <c r="E398" s="33">
        <v>44325</v>
      </c>
      <c r="F398" s="32">
        <v>30009</v>
      </c>
      <c r="G398" s="5" t="str">
        <f>INDEX(customer[عنوان],MATCH(Main[[#This Row],[کد ردیابی]],customer[کد],0))</f>
        <v>شرکت ایمن تک پیشرو</v>
      </c>
      <c r="H398">
        <v>1050</v>
      </c>
      <c r="I398" s="6">
        <f ca="1">-Main[[#This Row],[بدهی تسویه شده (کیلوگرم)]]+Main[[#This Row],[بستانکار (کیلوگرم)]]</f>
        <v>1050</v>
      </c>
      <c r="J398" s="6">
        <f>IF(Main[[#This Row],[مقدار (کیلوگرم)]]&gt;0,Main[[#This Row],[مقدار (کیلوگرم)]],0)</f>
        <v>1050</v>
      </c>
      <c r="K398" s="6">
        <f>-IF(Main[[#This Row],[مقدار (کیلوگرم)]]&lt;0,Main[[#This Row],[مقدار (کیلوگرم)]],0)</f>
        <v>0</v>
      </c>
      <c r="L3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8" s="7">
        <f>-IF(AND(Main[[#This Row],[مقدار (کیلوگرم)]]&lt;0,Main[[#This Row],[تاريخ میلادی]]&gt;44276),Main[[#This Row],[مقدار (کیلوگرم)]],0)</f>
        <v>0</v>
      </c>
      <c r="N398" s="6">
        <f ca="1">Main[[#This Row],[بدهکار (کیلوگرم)]]-Main[[#This Row],[بدهی تسویه نشده (کیلوگرم)]]</f>
        <v>0</v>
      </c>
      <c r="O398" s="6">
        <f ca="1">Main[[#This Row],[تفکیک]]</f>
        <v>0</v>
      </c>
      <c r="P398" s="6">
        <f ca="1">IF(Main[[#This Row],[تاخیر از سررسید]]&gt;0,Main[[#This Row],[بدهی تسویه نشده (کیلوگرم)]],0)</f>
        <v>0</v>
      </c>
      <c r="Q398" s="6">
        <f ca="1">IF(Main[[#This Row],[بدهی تسویه نشده (کیلوگرم)]]&gt;0,'گزارش فردی'!$B$7-Main[[#This Row],[تاريخ میلادی]],0)</f>
        <v>0</v>
      </c>
      <c r="R398" s="6">
        <f ca="1">IF(Main[[#This Row],[بدهی تسویه نشده (کیلوگرم)]]&gt;0,'گزارش فردی'!$B$7-Main[[#This Row],[تاريخ میلادی]]-'گزارش فردی'!$B$8,0)</f>
        <v>0</v>
      </c>
      <c r="S398" s="6">
        <f ca="1">Main[[#This Row],[روز از ارسال سفارش]]*Main[[#This Row],[بدهی تسویه نشده (کیلوگرم)]]</f>
        <v>0</v>
      </c>
      <c r="T398" s="6">
        <f ca="1">Main[[#This Row],[بدهی سررسید شده (کیلوگرم)]]*Main[[#This Row],[روز از ارسال سفارش]]</f>
        <v>0</v>
      </c>
      <c r="U398" s="6">
        <f>-SUBTOTAL(9,INDEX(Main[مقدار (کیلوگرم)],1):Main[[#This Row],[مقدار (کیلوگرم)]])</f>
        <v>45210</v>
      </c>
      <c r="V3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8" s="6">
        <f>Main[[#This Row],[تعداد کل روزهای بدهکار (روز)]]*Main[[#This Row],[مانده در خط کل (کیلوگرم)]]</f>
        <v>45210</v>
      </c>
      <c r="X398" s="6">
        <f ca="1">-SUBTOTAL(9,INDEX(Main[مقدار تسویه شده (کیلوگرم)],1):Main[[#This Row],[مقدار تسویه شده (کیلوگرم)]])</f>
        <v>45210</v>
      </c>
      <c r="Y398" s="6">
        <f ca="1">IF(Main[[#This Row],[مانده در خط تسویه شده (کیلوگرم)]]&lt;&gt;0,Main[[#This Row],[تعداد کل روزهای بدهکار (روز)]],0)</f>
        <v>1</v>
      </c>
      <c r="Z398" s="6">
        <f ca="1">Main[[#This Row],[تعداد روزهای بدهکار تسویه شده (روز)]]*Main[[#This Row],[مانده در خط تسویه شده (کیلوگرم)]]</f>
        <v>45210</v>
      </c>
      <c r="AA398" s="6">
        <f ca="1">SUBTOTAL(9,INDEX(Main[بدهی تسویه نشده (کیلوگرم)],1):Main[[#This Row],[بدهی تسویه نشده (کیلوگرم)]])</f>
        <v>0</v>
      </c>
      <c r="AB398" s="6">
        <f ca="1">IF(Main[[#This Row],[مانده در خط تسویه نشده (کیلوگرم)]]&lt;&gt;0,Main[[#This Row],[تعداد کل روزهای بدهکار (روز)]],0)</f>
        <v>0</v>
      </c>
      <c r="AC398" s="6">
        <f ca="1">Main[[#This Row],[تعداد روزهای بدهکار  تسویه نشده (روز)]]*Main[[#This Row],[مانده در خط تسویه نشده (کیلوگرم)]]</f>
        <v>0</v>
      </c>
      <c r="AD398" s="6">
        <f ca="1">SUBTOTAL(9,INDEX(Main[بدهی سررسید شده (کیلوگرم)],1):Main[[#This Row],[بدهی سررسید شده (کیلوگرم)]])</f>
        <v>0</v>
      </c>
      <c r="AE398" s="6">
        <f ca="1">IF(Main[[#This Row],[مانده در خط سررسید شده (کیلوگرم)]]&lt;&gt;0,Main[[#This Row],[تعداد کل روزهای بدهکار (روز)]],0)</f>
        <v>0</v>
      </c>
      <c r="AF398" s="6">
        <f ca="1">Main[[#This Row],[تعداد روزهای بدهکار سررسید شده (روز)]]*Main[[#This Row],[مانده در خط سررسید شده (کیلوگرم)]]</f>
        <v>0</v>
      </c>
    </row>
    <row r="399" spans="1:32" hidden="1" x14ac:dyDescent="0.35">
      <c r="A399" s="5">
        <f>ROW()-ROW(INDEX(Main[ردیف],1))+1</f>
        <v>397</v>
      </c>
      <c r="B399" s="31">
        <f>SUBTOTAL(2,INDEX(Main[ردیف],1):Main[[#This Row],[ردیف]])</f>
        <v>39</v>
      </c>
      <c r="C399" s="32" t="s">
        <v>547</v>
      </c>
      <c r="D399" s="32" t="str">
        <f>_xlfn.CONCAT("14",Main[[#This Row],[تاريخ]])</f>
        <v>1400/02/19</v>
      </c>
      <c r="E399" s="33">
        <v>44325</v>
      </c>
      <c r="F399" s="32">
        <v>10026</v>
      </c>
      <c r="G399" s="5" t="str">
        <f>INDEX(customer[عنوان],MATCH(Main[[#This Row],[کد ردیابی]],customer[کد],0))</f>
        <v xml:space="preserve">محسن فیاض بخش </v>
      </c>
      <c r="H399">
        <v>-4214</v>
      </c>
      <c r="I399" s="6">
        <f ca="1">-Main[[#This Row],[بدهی تسویه شده (کیلوگرم)]]+Main[[#This Row],[بستانکار (کیلوگرم)]]</f>
        <v>-4214</v>
      </c>
      <c r="J399" s="6">
        <f>IF(Main[[#This Row],[مقدار (کیلوگرم)]]&gt;0,Main[[#This Row],[مقدار (کیلوگرم)]],0)</f>
        <v>0</v>
      </c>
      <c r="K399" s="6">
        <f>-IF(Main[[#This Row],[مقدار (کیلوگرم)]]&lt;0,Main[[#This Row],[مقدار (کیلوگرم)]],0)</f>
        <v>4214</v>
      </c>
      <c r="L3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9" s="7">
        <f>-IF(AND(Main[[#This Row],[مقدار (کیلوگرم)]]&lt;0,Main[[#This Row],[تاريخ میلادی]]&gt;44276),Main[[#This Row],[مقدار (کیلوگرم)]],0)</f>
        <v>4214</v>
      </c>
      <c r="N399" s="6">
        <f ca="1">Main[[#This Row],[بدهکار (کیلوگرم)]]-Main[[#This Row],[بدهی تسویه نشده (کیلوگرم)]]</f>
        <v>4214</v>
      </c>
      <c r="O399" s="6">
        <f ca="1">Main[[#This Row],[تفکیک]]</f>
        <v>0</v>
      </c>
      <c r="P399" s="6">
        <f ca="1">IF(Main[[#This Row],[تاخیر از سررسید]]&gt;0,Main[[#This Row],[بدهی تسویه نشده (کیلوگرم)]],0)</f>
        <v>0</v>
      </c>
      <c r="Q399" s="6">
        <f ca="1">IF(Main[[#This Row],[بدهی تسویه نشده (کیلوگرم)]]&gt;0,'گزارش فردی'!$B$7-Main[[#This Row],[تاريخ میلادی]],0)</f>
        <v>0</v>
      </c>
      <c r="R399" s="6">
        <f ca="1">IF(Main[[#This Row],[بدهی تسویه نشده (کیلوگرم)]]&gt;0,'گزارش فردی'!$B$7-Main[[#This Row],[تاريخ میلادی]]-'گزارش فردی'!$B$8,0)</f>
        <v>0</v>
      </c>
      <c r="S399" s="6">
        <f ca="1">Main[[#This Row],[روز از ارسال سفارش]]*Main[[#This Row],[بدهی تسویه نشده (کیلوگرم)]]</f>
        <v>0</v>
      </c>
      <c r="T399" s="6">
        <f ca="1">Main[[#This Row],[بدهی سررسید شده (کیلوگرم)]]*Main[[#This Row],[روز از ارسال سفارش]]</f>
        <v>0</v>
      </c>
      <c r="U399" s="6">
        <f>-SUBTOTAL(9,INDEX(Main[مقدار (کیلوگرم)],1):Main[[#This Row],[مقدار (کیلوگرم)]])</f>
        <v>45210</v>
      </c>
      <c r="V3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9" s="6">
        <f>Main[[#This Row],[تعداد کل روزهای بدهکار (روز)]]*Main[[#This Row],[مانده در خط کل (کیلوگرم)]]</f>
        <v>45210</v>
      </c>
      <c r="X399" s="6">
        <f ca="1">-SUBTOTAL(9,INDEX(Main[مقدار تسویه شده (کیلوگرم)],1):Main[[#This Row],[مقدار تسویه شده (کیلوگرم)]])</f>
        <v>45210</v>
      </c>
      <c r="Y399" s="6">
        <f ca="1">IF(Main[[#This Row],[مانده در خط تسویه شده (کیلوگرم)]]&lt;&gt;0,Main[[#This Row],[تعداد کل روزهای بدهکار (روز)]],0)</f>
        <v>1</v>
      </c>
      <c r="Z399" s="6">
        <f ca="1">Main[[#This Row],[تعداد روزهای بدهکار تسویه شده (روز)]]*Main[[#This Row],[مانده در خط تسویه شده (کیلوگرم)]]</f>
        <v>45210</v>
      </c>
      <c r="AA399" s="6">
        <f ca="1">SUBTOTAL(9,INDEX(Main[بدهی تسویه نشده (کیلوگرم)],1):Main[[#This Row],[بدهی تسویه نشده (کیلوگرم)]])</f>
        <v>0</v>
      </c>
      <c r="AB399" s="6">
        <f ca="1">IF(Main[[#This Row],[مانده در خط تسویه نشده (کیلوگرم)]]&lt;&gt;0,Main[[#This Row],[تعداد کل روزهای بدهکار (روز)]],0)</f>
        <v>0</v>
      </c>
      <c r="AC399" s="6">
        <f ca="1">Main[[#This Row],[تعداد روزهای بدهکار  تسویه نشده (روز)]]*Main[[#This Row],[مانده در خط تسویه نشده (کیلوگرم)]]</f>
        <v>0</v>
      </c>
      <c r="AD399" s="6">
        <f ca="1">SUBTOTAL(9,INDEX(Main[بدهی سررسید شده (کیلوگرم)],1):Main[[#This Row],[بدهی سررسید شده (کیلوگرم)]])</f>
        <v>0</v>
      </c>
      <c r="AE399" s="6">
        <f ca="1">IF(Main[[#This Row],[مانده در خط سررسید شده (کیلوگرم)]]&lt;&gt;0,Main[[#This Row],[تعداد کل روزهای بدهکار (روز)]],0)</f>
        <v>0</v>
      </c>
      <c r="AF399" s="6">
        <f ca="1">Main[[#This Row],[تعداد روزهای بدهکار سررسید شده (روز)]]*Main[[#This Row],[مانده در خط سررسید شده (کیلوگرم)]]</f>
        <v>0</v>
      </c>
    </row>
    <row r="400" spans="1:32" hidden="1" x14ac:dyDescent="0.35">
      <c r="A400" s="5">
        <f>ROW()-ROW(INDEX(Main[ردیف],1))+1</f>
        <v>398</v>
      </c>
      <c r="B400" s="31">
        <f>SUBTOTAL(2,INDEX(Main[ردیف],1):Main[[#This Row],[ردیف]])</f>
        <v>39</v>
      </c>
      <c r="C400" s="32" t="s">
        <v>547</v>
      </c>
      <c r="D400" s="32" t="str">
        <f>_xlfn.CONCAT("14",Main[[#This Row],[تاريخ]])</f>
        <v>1400/02/19</v>
      </c>
      <c r="E400" s="33">
        <v>44325</v>
      </c>
      <c r="F400" s="32">
        <v>10127</v>
      </c>
      <c r="G400" s="5" t="str">
        <f>INDEX(customer[عنوان],MATCH(Main[[#This Row],[کد ردیابی]],customer[کد],0))</f>
        <v xml:space="preserve">عماد هاشمی </v>
      </c>
      <c r="H400">
        <v>500</v>
      </c>
      <c r="I400" s="6">
        <f ca="1">-Main[[#This Row],[بدهی تسویه شده (کیلوگرم)]]+Main[[#This Row],[بستانکار (کیلوگرم)]]</f>
        <v>500</v>
      </c>
      <c r="J400" s="6">
        <f>IF(Main[[#This Row],[مقدار (کیلوگرم)]]&gt;0,Main[[#This Row],[مقدار (کیلوگرم)]],0)</f>
        <v>500</v>
      </c>
      <c r="K400" s="6">
        <f>-IF(Main[[#This Row],[مقدار (کیلوگرم)]]&lt;0,Main[[#This Row],[مقدار (کیلوگرم)]],0)</f>
        <v>0</v>
      </c>
      <c r="L4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0" s="7">
        <f>-IF(AND(Main[[#This Row],[مقدار (کیلوگرم)]]&lt;0,Main[[#This Row],[تاريخ میلادی]]&gt;44276),Main[[#This Row],[مقدار (کیلوگرم)]],0)</f>
        <v>0</v>
      </c>
      <c r="N400" s="6">
        <f ca="1">Main[[#This Row],[بدهکار (کیلوگرم)]]-Main[[#This Row],[بدهی تسویه نشده (کیلوگرم)]]</f>
        <v>0</v>
      </c>
      <c r="O400" s="6">
        <f ca="1">Main[[#This Row],[تفکیک]]</f>
        <v>0</v>
      </c>
      <c r="P400" s="6">
        <f ca="1">IF(Main[[#This Row],[تاخیر از سررسید]]&gt;0,Main[[#This Row],[بدهی تسویه نشده (کیلوگرم)]],0)</f>
        <v>0</v>
      </c>
      <c r="Q400" s="6">
        <f ca="1">IF(Main[[#This Row],[بدهی تسویه نشده (کیلوگرم)]]&gt;0,'گزارش فردی'!$B$7-Main[[#This Row],[تاريخ میلادی]],0)</f>
        <v>0</v>
      </c>
      <c r="R400" s="6">
        <f ca="1">IF(Main[[#This Row],[بدهی تسویه نشده (کیلوگرم)]]&gt;0,'گزارش فردی'!$B$7-Main[[#This Row],[تاريخ میلادی]]-'گزارش فردی'!$B$8,0)</f>
        <v>0</v>
      </c>
      <c r="S400" s="6">
        <f ca="1">Main[[#This Row],[روز از ارسال سفارش]]*Main[[#This Row],[بدهی تسویه نشده (کیلوگرم)]]</f>
        <v>0</v>
      </c>
      <c r="T400" s="6">
        <f ca="1">Main[[#This Row],[بدهی سررسید شده (کیلوگرم)]]*Main[[#This Row],[روز از ارسال سفارش]]</f>
        <v>0</v>
      </c>
      <c r="U400" s="6">
        <f>-SUBTOTAL(9,INDEX(Main[مقدار (کیلوگرم)],1):Main[[#This Row],[مقدار (کیلوگرم)]])</f>
        <v>45210</v>
      </c>
      <c r="V4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0" s="6">
        <f>Main[[#This Row],[تعداد کل روزهای بدهکار (روز)]]*Main[[#This Row],[مانده در خط کل (کیلوگرم)]]</f>
        <v>45210</v>
      </c>
      <c r="X400" s="6">
        <f ca="1">-SUBTOTAL(9,INDEX(Main[مقدار تسویه شده (کیلوگرم)],1):Main[[#This Row],[مقدار تسویه شده (کیلوگرم)]])</f>
        <v>45210</v>
      </c>
      <c r="Y400" s="6">
        <f ca="1">IF(Main[[#This Row],[مانده در خط تسویه شده (کیلوگرم)]]&lt;&gt;0,Main[[#This Row],[تعداد کل روزهای بدهکار (روز)]],0)</f>
        <v>1</v>
      </c>
      <c r="Z400" s="6">
        <f ca="1">Main[[#This Row],[تعداد روزهای بدهکار تسویه شده (روز)]]*Main[[#This Row],[مانده در خط تسویه شده (کیلوگرم)]]</f>
        <v>45210</v>
      </c>
      <c r="AA400" s="6">
        <f ca="1">SUBTOTAL(9,INDEX(Main[بدهی تسویه نشده (کیلوگرم)],1):Main[[#This Row],[بدهی تسویه نشده (کیلوگرم)]])</f>
        <v>0</v>
      </c>
      <c r="AB400" s="6">
        <f ca="1">IF(Main[[#This Row],[مانده در خط تسویه نشده (کیلوگرم)]]&lt;&gt;0,Main[[#This Row],[تعداد کل روزهای بدهکار (روز)]],0)</f>
        <v>0</v>
      </c>
      <c r="AC400" s="6">
        <f ca="1">Main[[#This Row],[تعداد روزهای بدهکار  تسویه نشده (روز)]]*Main[[#This Row],[مانده در خط تسویه نشده (کیلوگرم)]]</f>
        <v>0</v>
      </c>
      <c r="AD400" s="6">
        <f ca="1">SUBTOTAL(9,INDEX(Main[بدهی سررسید شده (کیلوگرم)],1):Main[[#This Row],[بدهی سررسید شده (کیلوگرم)]])</f>
        <v>0</v>
      </c>
      <c r="AE400" s="6">
        <f ca="1">IF(Main[[#This Row],[مانده در خط سررسید شده (کیلوگرم)]]&lt;&gt;0,Main[[#This Row],[تعداد کل روزهای بدهکار (روز)]],0)</f>
        <v>0</v>
      </c>
      <c r="AF400" s="6">
        <f ca="1">Main[[#This Row],[تعداد روزهای بدهکار سررسید شده (روز)]]*Main[[#This Row],[مانده در خط سررسید شده (کیلوگرم)]]</f>
        <v>0</v>
      </c>
    </row>
    <row r="401" spans="1:32" hidden="1" x14ac:dyDescent="0.35">
      <c r="A401" s="5">
        <f>ROW()-ROW(INDEX(Main[ردیف],1))+1</f>
        <v>399</v>
      </c>
      <c r="B401" s="31">
        <f>SUBTOTAL(2,INDEX(Main[ردیف],1):Main[[#This Row],[ردیف]])</f>
        <v>39</v>
      </c>
      <c r="C401" s="32" t="s">
        <v>547</v>
      </c>
      <c r="D401" s="32" t="str">
        <f>_xlfn.CONCAT("14",Main[[#This Row],[تاريخ]])</f>
        <v>1400/02/19</v>
      </c>
      <c r="E401" s="33">
        <v>44325</v>
      </c>
      <c r="F401" s="32">
        <v>30009</v>
      </c>
      <c r="G401" s="5" t="str">
        <f>INDEX(customer[عنوان],MATCH(Main[[#This Row],[کد ردیابی]],customer[کد],0))</f>
        <v>شرکت ایمن تک پیشرو</v>
      </c>
      <c r="H401">
        <v>2042</v>
      </c>
      <c r="I401" s="6">
        <f ca="1">-Main[[#This Row],[بدهی تسویه شده (کیلوگرم)]]+Main[[#This Row],[بستانکار (کیلوگرم)]]</f>
        <v>2042</v>
      </c>
      <c r="J401" s="6">
        <f>IF(Main[[#This Row],[مقدار (کیلوگرم)]]&gt;0,Main[[#This Row],[مقدار (کیلوگرم)]],0)</f>
        <v>2042</v>
      </c>
      <c r="K401" s="6">
        <f>-IF(Main[[#This Row],[مقدار (کیلوگرم)]]&lt;0,Main[[#This Row],[مقدار (کیلوگرم)]],0)</f>
        <v>0</v>
      </c>
      <c r="L4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1" s="7">
        <f>-IF(AND(Main[[#This Row],[مقدار (کیلوگرم)]]&lt;0,Main[[#This Row],[تاريخ میلادی]]&gt;44276),Main[[#This Row],[مقدار (کیلوگرم)]],0)</f>
        <v>0</v>
      </c>
      <c r="N401" s="6">
        <f ca="1">Main[[#This Row],[بدهکار (کیلوگرم)]]-Main[[#This Row],[بدهی تسویه نشده (کیلوگرم)]]</f>
        <v>0</v>
      </c>
      <c r="O401" s="6">
        <f ca="1">Main[[#This Row],[تفکیک]]</f>
        <v>0</v>
      </c>
      <c r="P401" s="6">
        <f ca="1">IF(Main[[#This Row],[تاخیر از سررسید]]&gt;0,Main[[#This Row],[بدهی تسویه نشده (کیلوگرم)]],0)</f>
        <v>0</v>
      </c>
      <c r="Q401" s="6">
        <f ca="1">IF(Main[[#This Row],[بدهی تسویه نشده (کیلوگرم)]]&gt;0,'گزارش فردی'!$B$7-Main[[#This Row],[تاريخ میلادی]],0)</f>
        <v>0</v>
      </c>
      <c r="R401" s="6">
        <f ca="1">IF(Main[[#This Row],[بدهی تسویه نشده (کیلوگرم)]]&gt;0,'گزارش فردی'!$B$7-Main[[#This Row],[تاريخ میلادی]]-'گزارش فردی'!$B$8,0)</f>
        <v>0</v>
      </c>
      <c r="S401" s="6">
        <f ca="1">Main[[#This Row],[روز از ارسال سفارش]]*Main[[#This Row],[بدهی تسویه نشده (کیلوگرم)]]</f>
        <v>0</v>
      </c>
      <c r="T401" s="6">
        <f ca="1">Main[[#This Row],[بدهی سررسید شده (کیلوگرم)]]*Main[[#This Row],[روز از ارسال سفارش]]</f>
        <v>0</v>
      </c>
      <c r="U401" s="6">
        <f>-SUBTOTAL(9,INDEX(Main[مقدار (کیلوگرم)],1):Main[[#This Row],[مقدار (کیلوگرم)]])</f>
        <v>45210</v>
      </c>
      <c r="V4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1" s="6">
        <f>Main[[#This Row],[تعداد کل روزهای بدهکار (روز)]]*Main[[#This Row],[مانده در خط کل (کیلوگرم)]]</f>
        <v>45210</v>
      </c>
      <c r="X401" s="6">
        <f ca="1">-SUBTOTAL(9,INDEX(Main[مقدار تسویه شده (کیلوگرم)],1):Main[[#This Row],[مقدار تسویه شده (کیلوگرم)]])</f>
        <v>45210</v>
      </c>
      <c r="Y401" s="6">
        <f ca="1">IF(Main[[#This Row],[مانده در خط تسویه شده (کیلوگرم)]]&lt;&gt;0,Main[[#This Row],[تعداد کل روزهای بدهکار (روز)]],0)</f>
        <v>1</v>
      </c>
      <c r="Z401" s="6">
        <f ca="1">Main[[#This Row],[تعداد روزهای بدهکار تسویه شده (روز)]]*Main[[#This Row],[مانده در خط تسویه شده (کیلوگرم)]]</f>
        <v>45210</v>
      </c>
      <c r="AA401" s="6">
        <f ca="1">SUBTOTAL(9,INDEX(Main[بدهی تسویه نشده (کیلوگرم)],1):Main[[#This Row],[بدهی تسویه نشده (کیلوگرم)]])</f>
        <v>0</v>
      </c>
      <c r="AB401" s="6">
        <f ca="1">IF(Main[[#This Row],[مانده در خط تسویه نشده (کیلوگرم)]]&lt;&gt;0,Main[[#This Row],[تعداد کل روزهای بدهکار (روز)]],0)</f>
        <v>0</v>
      </c>
      <c r="AC401" s="6">
        <f ca="1">Main[[#This Row],[تعداد روزهای بدهکار  تسویه نشده (روز)]]*Main[[#This Row],[مانده در خط تسویه نشده (کیلوگرم)]]</f>
        <v>0</v>
      </c>
      <c r="AD401" s="6">
        <f ca="1">SUBTOTAL(9,INDEX(Main[بدهی سررسید شده (کیلوگرم)],1):Main[[#This Row],[بدهی سررسید شده (کیلوگرم)]])</f>
        <v>0</v>
      </c>
      <c r="AE401" s="6">
        <f ca="1">IF(Main[[#This Row],[مانده در خط سررسید شده (کیلوگرم)]]&lt;&gt;0,Main[[#This Row],[تعداد کل روزهای بدهکار (روز)]],0)</f>
        <v>0</v>
      </c>
      <c r="AF401" s="6">
        <f ca="1">Main[[#This Row],[تعداد روزهای بدهکار سررسید شده (روز)]]*Main[[#This Row],[مانده در خط سررسید شده (کیلوگرم)]]</f>
        <v>0</v>
      </c>
    </row>
    <row r="402" spans="1:32" hidden="1" x14ac:dyDescent="0.35">
      <c r="A402" s="5">
        <f>ROW()-ROW(INDEX(Main[ردیف],1))+1</f>
        <v>400</v>
      </c>
      <c r="B402" s="31">
        <f>SUBTOTAL(2,INDEX(Main[ردیف],1):Main[[#This Row],[ردیف]])</f>
        <v>39</v>
      </c>
      <c r="C402" s="32" t="s">
        <v>547</v>
      </c>
      <c r="D402" s="32" t="str">
        <f>_xlfn.CONCAT("14",Main[[#This Row],[تاريخ]])</f>
        <v>1400/02/19</v>
      </c>
      <c r="E402" s="33">
        <v>44325</v>
      </c>
      <c r="F402" s="32">
        <v>30064</v>
      </c>
      <c r="G402" s="5" t="str">
        <f>INDEX(customer[عنوان],MATCH(Main[[#This Row],[کد ردیابی]],customer[کد],0))</f>
        <v>پایپکس</v>
      </c>
      <c r="H402">
        <v>119</v>
      </c>
      <c r="I402" s="6">
        <f ca="1">-Main[[#This Row],[بدهی تسویه شده (کیلوگرم)]]+Main[[#This Row],[بستانکار (کیلوگرم)]]</f>
        <v>119</v>
      </c>
      <c r="J402" s="6">
        <f>IF(Main[[#This Row],[مقدار (کیلوگرم)]]&gt;0,Main[[#This Row],[مقدار (کیلوگرم)]],0)</f>
        <v>119</v>
      </c>
      <c r="K402" s="6">
        <f>-IF(Main[[#This Row],[مقدار (کیلوگرم)]]&lt;0,Main[[#This Row],[مقدار (کیلوگرم)]],0)</f>
        <v>0</v>
      </c>
      <c r="L4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2" s="7">
        <f>-IF(AND(Main[[#This Row],[مقدار (کیلوگرم)]]&lt;0,Main[[#This Row],[تاريخ میلادی]]&gt;44276),Main[[#This Row],[مقدار (کیلوگرم)]],0)</f>
        <v>0</v>
      </c>
      <c r="N402" s="6">
        <f ca="1">Main[[#This Row],[بدهکار (کیلوگرم)]]-Main[[#This Row],[بدهی تسویه نشده (کیلوگرم)]]</f>
        <v>0</v>
      </c>
      <c r="O402" s="6">
        <f ca="1">Main[[#This Row],[تفکیک]]</f>
        <v>0</v>
      </c>
      <c r="P402" s="6">
        <f ca="1">IF(Main[[#This Row],[تاخیر از سررسید]]&gt;0,Main[[#This Row],[بدهی تسویه نشده (کیلوگرم)]],0)</f>
        <v>0</v>
      </c>
      <c r="Q402" s="6">
        <f ca="1">IF(Main[[#This Row],[بدهی تسویه نشده (کیلوگرم)]]&gt;0,'گزارش فردی'!$B$7-Main[[#This Row],[تاريخ میلادی]],0)</f>
        <v>0</v>
      </c>
      <c r="R402" s="6">
        <f ca="1">IF(Main[[#This Row],[بدهی تسویه نشده (کیلوگرم)]]&gt;0,'گزارش فردی'!$B$7-Main[[#This Row],[تاريخ میلادی]]-'گزارش فردی'!$B$8,0)</f>
        <v>0</v>
      </c>
      <c r="S402" s="6">
        <f ca="1">Main[[#This Row],[روز از ارسال سفارش]]*Main[[#This Row],[بدهی تسویه نشده (کیلوگرم)]]</f>
        <v>0</v>
      </c>
      <c r="T402" s="6">
        <f ca="1">Main[[#This Row],[بدهی سررسید شده (کیلوگرم)]]*Main[[#This Row],[روز از ارسال سفارش]]</f>
        <v>0</v>
      </c>
      <c r="U402" s="6">
        <f>-SUBTOTAL(9,INDEX(Main[مقدار (کیلوگرم)],1):Main[[#This Row],[مقدار (کیلوگرم)]])</f>
        <v>45210</v>
      </c>
      <c r="V4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2" s="6">
        <f>Main[[#This Row],[تعداد کل روزهای بدهکار (روز)]]*Main[[#This Row],[مانده در خط کل (کیلوگرم)]]</f>
        <v>45210</v>
      </c>
      <c r="X402" s="6">
        <f ca="1">-SUBTOTAL(9,INDEX(Main[مقدار تسویه شده (کیلوگرم)],1):Main[[#This Row],[مقدار تسویه شده (کیلوگرم)]])</f>
        <v>45210</v>
      </c>
      <c r="Y402" s="6">
        <f ca="1">IF(Main[[#This Row],[مانده در خط تسویه شده (کیلوگرم)]]&lt;&gt;0,Main[[#This Row],[تعداد کل روزهای بدهکار (روز)]],0)</f>
        <v>1</v>
      </c>
      <c r="Z402" s="6">
        <f ca="1">Main[[#This Row],[تعداد روزهای بدهکار تسویه شده (روز)]]*Main[[#This Row],[مانده در خط تسویه شده (کیلوگرم)]]</f>
        <v>45210</v>
      </c>
      <c r="AA402" s="6">
        <f ca="1">SUBTOTAL(9,INDEX(Main[بدهی تسویه نشده (کیلوگرم)],1):Main[[#This Row],[بدهی تسویه نشده (کیلوگرم)]])</f>
        <v>0</v>
      </c>
      <c r="AB402" s="6">
        <f ca="1">IF(Main[[#This Row],[مانده در خط تسویه نشده (کیلوگرم)]]&lt;&gt;0,Main[[#This Row],[تعداد کل روزهای بدهکار (روز)]],0)</f>
        <v>0</v>
      </c>
      <c r="AC402" s="6">
        <f ca="1">Main[[#This Row],[تعداد روزهای بدهکار  تسویه نشده (روز)]]*Main[[#This Row],[مانده در خط تسویه نشده (کیلوگرم)]]</f>
        <v>0</v>
      </c>
      <c r="AD402" s="6">
        <f ca="1">SUBTOTAL(9,INDEX(Main[بدهی سررسید شده (کیلوگرم)],1):Main[[#This Row],[بدهی سررسید شده (کیلوگرم)]])</f>
        <v>0</v>
      </c>
      <c r="AE402" s="6">
        <f ca="1">IF(Main[[#This Row],[مانده در خط سررسید شده (کیلوگرم)]]&lt;&gt;0,Main[[#This Row],[تعداد کل روزهای بدهکار (روز)]],0)</f>
        <v>0</v>
      </c>
      <c r="AF402" s="6">
        <f ca="1">Main[[#This Row],[تعداد روزهای بدهکار سررسید شده (روز)]]*Main[[#This Row],[مانده در خط سررسید شده (کیلوگرم)]]</f>
        <v>0</v>
      </c>
    </row>
    <row r="403" spans="1:32" hidden="1" x14ac:dyDescent="0.35">
      <c r="A403" s="5">
        <f>ROW()-ROW(INDEX(Main[ردیف],1))+1</f>
        <v>401</v>
      </c>
      <c r="B403" s="31">
        <f>SUBTOTAL(2,INDEX(Main[ردیف],1):Main[[#This Row],[ردیف]])</f>
        <v>39</v>
      </c>
      <c r="C403" s="32" t="s">
        <v>547</v>
      </c>
      <c r="D403" s="32" t="str">
        <f>_xlfn.CONCAT("14",Main[[#This Row],[تاريخ]])</f>
        <v>1400/02/19</v>
      </c>
      <c r="E403" s="33">
        <v>44325</v>
      </c>
      <c r="F403" s="32">
        <v>30066</v>
      </c>
      <c r="G403" s="5" t="str">
        <f>INDEX(customer[عنوان],MATCH(Main[[#This Row],[کد ردیابی]],customer[کد],0))</f>
        <v xml:space="preserve">شیر آلات بهداشتی قهرمان </v>
      </c>
      <c r="H403">
        <v>4165.5</v>
      </c>
      <c r="I403" s="6">
        <f ca="1">-Main[[#This Row],[بدهی تسویه شده (کیلوگرم)]]+Main[[#This Row],[بستانکار (کیلوگرم)]]</f>
        <v>4165.5</v>
      </c>
      <c r="J403" s="6">
        <f>IF(Main[[#This Row],[مقدار (کیلوگرم)]]&gt;0,Main[[#This Row],[مقدار (کیلوگرم)]],0)</f>
        <v>4165.5</v>
      </c>
      <c r="K403" s="6">
        <f>-IF(Main[[#This Row],[مقدار (کیلوگرم)]]&lt;0,Main[[#This Row],[مقدار (کیلوگرم)]],0)</f>
        <v>0</v>
      </c>
      <c r="L4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3" s="7">
        <f>-IF(AND(Main[[#This Row],[مقدار (کیلوگرم)]]&lt;0,Main[[#This Row],[تاريخ میلادی]]&gt;44276),Main[[#This Row],[مقدار (کیلوگرم)]],0)</f>
        <v>0</v>
      </c>
      <c r="N403" s="6">
        <f ca="1">Main[[#This Row],[بدهکار (کیلوگرم)]]-Main[[#This Row],[بدهی تسویه نشده (کیلوگرم)]]</f>
        <v>0</v>
      </c>
      <c r="O403" s="6">
        <f ca="1">Main[[#This Row],[تفکیک]]</f>
        <v>0</v>
      </c>
      <c r="P403" s="6">
        <f ca="1">IF(Main[[#This Row],[تاخیر از سررسید]]&gt;0,Main[[#This Row],[بدهی تسویه نشده (کیلوگرم)]],0)</f>
        <v>0</v>
      </c>
      <c r="Q403" s="6">
        <f ca="1">IF(Main[[#This Row],[بدهی تسویه نشده (کیلوگرم)]]&gt;0,'گزارش فردی'!$B$7-Main[[#This Row],[تاريخ میلادی]],0)</f>
        <v>0</v>
      </c>
      <c r="R403" s="6">
        <f ca="1">IF(Main[[#This Row],[بدهی تسویه نشده (کیلوگرم)]]&gt;0,'گزارش فردی'!$B$7-Main[[#This Row],[تاريخ میلادی]]-'گزارش فردی'!$B$8,0)</f>
        <v>0</v>
      </c>
      <c r="S403" s="6">
        <f ca="1">Main[[#This Row],[روز از ارسال سفارش]]*Main[[#This Row],[بدهی تسویه نشده (کیلوگرم)]]</f>
        <v>0</v>
      </c>
      <c r="T403" s="6">
        <f ca="1">Main[[#This Row],[بدهی سررسید شده (کیلوگرم)]]*Main[[#This Row],[روز از ارسال سفارش]]</f>
        <v>0</v>
      </c>
      <c r="U403" s="6">
        <f>-SUBTOTAL(9,INDEX(Main[مقدار (کیلوگرم)],1):Main[[#This Row],[مقدار (کیلوگرم)]])</f>
        <v>45210</v>
      </c>
      <c r="V4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3" s="6">
        <f>Main[[#This Row],[تعداد کل روزهای بدهکار (روز)]]*Main[[#This Row],[مانده در خط کل (کیلوگرم)]]</f>
        <v>45210</v>
      </c>
      <c r="X403" s="6">
        <f ca="1">-SUBTOTAL(9,INDEX(Main[مقدار تسویه شده (کیلوگرم)],1):Main[[#This Row],[مقدار تسویه شده (کیلوگرم)]])</f>
        <v>45210</v>
      </c>
      <c r="Y403" s="6">
        <f ca="1">IF(Main[[#This Row],[مانده در خط تسویه شده (کیلوگرم)]]&lt;&gt;0,Main[[#This Row],[تعداد کل روزهای بدهکار (روز)]],0)</f>
        <v>1</v>
      </c>
      <c r="Z403" s="6">
        <f ca="1">Main[[#This Row],[تعداد روزهای بدهکار تسویه شده (روز)]]*Main[[#This Row],[مانده در خط تسویه شده (کیلوگرم)]]</f>
        <v>45210</v>
      </c>
      <c r="AA403" s="6">
        <f ca="1">SUBTOTAL(9,INDEX(Main[بدهی تسویه نشده (کیلوگرم)],1):Main[[#This Row],[بدهی تسویه نشده (کیلوگرم)]])</f>
        <v>0</v>
      </c>
      <c r="AB403" s="6">
        <f ca="1">IF(Main[[#This Row],[مانده در خط تسویه نشده (کیلوگرم)]]&lt;&gt;0,Main[[#This Row],[تعداد کل روزهای بدهکار (روز)]],0)</f>
        <v>0</v>
      </c>
      <c r="AC403" s="6">
        <f ca="1">Main[[#This Row],[تعداد روزهای بدهکار  تسویه نشده (روز)]]*Main[[#This Row],[مانده در خط تسویه نشده (کیلوگرم)]]</f>
        <v>0</v>
      </c>
      <c r="AD403" s="6">
        <f ca="1">SUBTOTAL(9,INDEX(Main[بدهی سررسید شده (کیلوگرم)],1):Main[[#This Row],[بدهی سررسید شده (کیلوگرم)]])</f>
        <v>0</v>
      </c>
      <c r="AE403" s="6">
        <f ca="1">IF(Main[[#This Row],[مانده در خط سررسید شده (کیلوگرم)]]&lt;&gt;0,Main[[#This Row],[تعداد کل روزهای بدهکار (روز)]],0)</f>
        <v>0</v>
      </c>
      <c r="AF403" s="6">
        <f ca="1">Main[[#This Row],[تعداد روزهای بدهکار سررسید شده (روز)]]*Main[[#This Row],[مانده در خط سررسید شده (کیلوگرم)]]</f>
        <v>0</v>
      </c>
    </row>
    <row r="404" spans="1:32" hidden="1" x14ac:dyDescent="0.35">
      <c r="A404" s="5">
        <f>ROW()-ROW(INDEX(Main[ردیف],1))+1</f>
        <v>402</v>
      </c>
      <c r="B404" s="31">
        <f>SUBTOTAL(2,INDEX(Main[ردیف],1):Main[[#This Row],[ردیف]])</f>
        <v>39</v>
      </c>
      <c r="C404" s="32" t="s">
        <v>548</v>
      </c>
      <c r="D404" s="32" t="str">
        <f>_xlfn.CONCAT("14",Main[[#This Row],[تاريخ]])</f>
        <v>1400/02/20</v>
      </c>
      <c r="E404" s="33">
        <v>44326</v>
      </c>
      <c r="F404" s="32">
        <v>30004</v>
      </c>
      <c r="G404" s="5" t="str">
        <f>INDEX(customer[عنوان],MATCH(Main[[#This Row],[کد ردیابی]],customer[کد],0))</f>
        <v>تولیدی صنعتی صفاشیر پارس</v>
      </c>
      <c r="H404">
        <v>-4412</v>
      </c>
      <c r="I404" s="6">
        <f ca="1">-Main[[#This Row],[بدهی تسویه شده (کیلوگرم)]]+Main[[#This Row],[بستانکار (کیلوگرم)]]</f>
        <v>-4412</v>
      </c>
      <c r="J404" s="6">
        <f>IF(Main[[#This Row],[مقدار (کیلوگرم)]]&gt;0,Main[[#This Row],[مقدار (کیلوگرم)]],0)</f>
        <v>0</v>
      </c>
      <c r="K404" s="6">
        <f>-IF(Main[[#This Row],[مقدار (کیلوگرم)]]&lt;0,Main[[#This Row],[مقدار (کیلوگرم)]],0)</f>
        <v>4412</v>
      </c>
      <c r="L4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4" s="7">
        <f>-IF(AND(Main[[#This Row],[مقدار (کیلوگرم)]]&lt;0,Main[[#This Row],[تاريخ میلادی]]&gt;44276),Main[[#This Row],[مقدار (کیلوگرم)]],0)</f>
        <v>4412</v>
      </c>
      <c r="N404" s="6">
        <f ca="1">Main[[#This Row],[بدهکار (کیلوگرم)]]-Main[[#This Row],[بدهی تسویه نشده (کیلوگرم)]]</f>
        <v>4412</v>
      </c>
      <c r="O404" s="6">
        <f ca="1">Main[[#This Row],[تفکیک]]</f>
        <v>0</v>
      </c>
      <c r="P404" s="6">
        <f ca="1">IF(Main[[#This Row],[تاخیر از سررسید]]&gt;0,Main[[#This Row],[بدهی تسویه نشده (کیلوگرم)]],0)</f>
        <v>0</v>
      </c>
      <c r="Q404" s="6">
        <f ca="1">IF(Main[[#This Row],[بدهی تسویه نشده (کیلوگرم)]]&gt;0,'گزارش فردی'!$B$7-Main[[#This Row],[تاريخ میلادی]],0)</f>
        <v>0</v>
      </c>
      <c r="R404" s="6">
        <f ca="1">IF(Main[[#This Row],[بدهی تسویه نشده (کیلوگرم)]]&gt;0,'گزارش فردی'!$B$7-Main[[#This Row],[تاريخ میلادی]]-'گزارش فردی'!$B$8,0)</f>
        <v>0</v>
      </c>
      <c r="S404" s="6">
        <f ca="1">Main[[#This Row],[روز از ارسال سفارش]]*Main[[#This Row],[بدهی تسویه نشده (کیلوگرم)]]</f>
        <v>0</v>
      </c>
      <c r="T404" s="6">
        <f ca="1">Main[[#This Row],[بدهی سررسید شده (کیلوگرم)]]*Main[[#This Row],[روز از ارسال سفارش]]</f>
        <v>0</v>
      </c>
      <c r="U404" s="6">
        <f>-SUBTOTAL(9,INDEX(Main[مقدار (کیلوگرم)],1):Main[[#This Row],[مقدار (کیلوگرم)]])</f>
        <v>45210</v>
      </c>
      <c r="V4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4" s="6">
        <f>Main[[#This Row],[تعداد کل روزهای بدهکار (روز)]]*Main[[#This Row],[مانده در خط کل (کیلوگرم)]]</f>
        <v>0</v>
      </c>
      <c r="X404" s="6">
        <f ca="1">-SUBTOTAL(9,INDEX(Main[مقدار تسویه شده (کیلوگرم)],1):Main[[#This Row],[مقدار تسویه شده (کیلوگرم)]])</f>
        <v>45210</v>
      </c>
      <c r="Y404" s="6">
        <f ca="1">IF(Main[[#This Row],[مانده در خط تسویه شده (کیلوگرم)]]&lt;&gt;0,Main[[#This Row],[تعداد کل روزهای بدهکار (روز)]],0)</f>
        <v>0</v>
      </c>
      <c r="Z404" s="6">
        <f ca="1">Main[[#This Row],[تعداد روزهای بدهکار تسویه شده (روز)]]*Main[[#This Row],[مانده در خط تسویه شده (کیلوگرم)]]</f>
        <v>0</v>
      </c>
      <c r="AA404" s="6">
        <f ca="1">SUBTOTAL(9,INDEX(Main[بدهی تسویه نشده (کیلوگرم)],1):Main[[#This Row],[بدهی تسویه نشده (کیلوگرم)]])</f>
        <v>0</v>
      </c>
      <c r="AB404" s="6">
        <f ca="1">IF(Main[[#This Row],[مانده در خط تسویه نشده (کیلوگرم)]]&lt;&gt;0,Main[[#This Row],[تعداد کل روزهای بدهکار (روز)]],0)</f>
        <v>0</v>
      </c>
      <c r="AC404" s="6">
        <f ca="1">Main[[#This Row],[تعداد روزهای بدهکار  تسویه نشده (روز)]]*Main[[#This Row],[مانده در خط تسویه نشده (کیلوگرم)]]</f>
        <v>0</v>
      </c>
      <c r="AD404" s="6">
        <f ca="1">SUBTOTAL(9,INDEX(Main[بدهی سررسید شده (کیلوگرم)],1):Main[[#This Row],[بدهی سررسید شده (کیلوگرم)]])</f>
        <v>0</v>
      </c>
      <c r="AE404" s="6">
        <f ca="1">IF(Main[[#This Row],[مانده در خط سررسید شده (کیلوگرم)]]&lt;&gt;0,Main[[#This Row],[تعداد کل روزهای بدهکار (روز)]],0)</f>
        <v>0</v>
      </c>
      <c r="AF404" s="6">
        <f ca="1">Main[[#This Row],[تعداد روزهای بدهکار سررسید شده (روز)]]*Main[[#This Row],[مانده در خط سررسید شده (کیلوگرم)]]</f>
        <v>0</v>
      </c>
    </row>
    <row r="405" spans="1:32" hidden="1" x14ac:dyDescent="0.35">
      <c r="A405" s="5">
        <f>ROW()-ROW(INDEX(Main[ردیف],1))+1</f>
        <v>403</v>
      </c>
      <c r="B405" s="31">
        <f>SUBTOTAL(2,INDEX(Main[ردیف],1):Main[[#This Row],[ردیف]])</f>
        <v>39</v>
      </c>
      <c r="C405" s="32" t="s">
        <v>548</v>
      </c>
      <c r="D405" s="32" t="str">
        <f>_xlfn.CONCAT("14",Main[[#This Row],[تاريخ]])</f>
        <v>1400/02/20</v>
      </c>
      <c r="E405" s="33">
        <v>44326</v>
      </c>
      <c r="F405" s="32">
        <v>30116</v>
      </c>
      <c r="G405" s="5" t="str">
        <f>INDEX(customer[عنوان],MATCH(Main[[#This Row],[کد ردیابی]],customer[کد],0))</f>
        <v>شرکت کیزایران</v>
      </c>
      <c r="H405">
        <v>1640</v>
      </c>
      <c r="I405" s="6">
        <f ca="1">-Main[[#This Row],[بدهی تسویه شده (کیلوگرم)]]+Main[[#This Row],[بستانکار (کیلوگرم)]]</f>
        <v>1640</v>
      </c>
      <c r="J405" s="6">
        <f>IF(Main[[#This Row],[مقدار (کیلوگرم)]]&gt;0,Main[[#This Row],[مقدار (کیلوگرم)]],0)</f>
        <v>1640</v>
      </c>
      <c r="K405" s="6">
        <f>-IF(Main[[#This Row],[مقدار (کیلوگرم)]]&lt;0,Main[[#This Row],[مقدار (کیلوگرم)]],0)</f>
        <v>0</v>
      </c>
      <c r="L4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5" s="7">
        <f>-IF(AND(Main[[#This Row],[مقدار (کیلوگرم)]]&lt;0,Main[[#This Row],[تاريخ میلادی]]&gt;44276),Main[[#This Row],[مقدار (کیلوگرم)]],0)</f>
        <v>0</v>
      </c>
      <c r="N405" s="6">
        <f ca="1">Main[[#This Row],[بدهکار (کیلوگرم)]]-Main[[#This Row],[بدهی تسویه نشده (کیلوگرم)]]</f>
        <v>0</v>
      </c>
      <c r="O405" s="6">
        <f ca="1">Main[[#This Row],[تفکیک]]</f>
        <v>0</v>
      </c>
      <c r="P405" s="6">
        <f ca="1">IF(Main[[#This Row],[تاخیر از سررسید]]&gt;0,Main[[#This Row],[بدهی تسویه نشده (کیلوگرم)]],0)</f>
        <v>0</v>
      </c>
      <c r="Q405" s="6">
        <f ca="1">IF(Main[[#This Row],[بدهی تسویه نشده (کیلوگرم)]]&gt;0,'گزارش فردی'!$B$7-Main[[#This Row],[تاريخ میلادی]],0)</f>
        <v>0</v>
      </c>
      <c r="R405" s="6">
        <f ca="1">IF(Main[[#This Row],[بدهی تسویه نشده (کیلوگرم)]]&gt;0,'گزارش فردی'!$B$7-Main[[#This Row],[تاريخ میلادی]]-'گزارش فردی'!$B$8,0)</f>
        <v>0</v>
      </c>
      <c r="S405" s="6">
        <f ca="1">Main[[#This Row],[روز از ارسال سفارش]]*Main[[#This Row],[بدهی تسویه نشده (کیلوگرم)]]</f>
        <v>0</v>
      </c>
      <c r="T405" s="6">
        <f ca="1">Main[[#This Row],[بدهی سررسید شده (کیلوگرم)]]*Main[[#This Row],[روز از ارسال سفارش]]</f>
        <v>0</v>
      </c>
      <c r="U405" s="6">
        <f>-SUBTOTAL(9,INDEX(Main[مقدار (کیلوگرم)],1):Main[[#This Row],[مقدار (کیلوگرم)]])</f>
        <v>45210</v>
      </c>
      <c r="V4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5" s="6">
        <f>Main[[#This Row],[تعداد کل روزهای بدهکار (روز)]]*Main[[#This Row],[مانده در خط کل (کیلوگرم)]]</f>
        <v>0</v>
      </c>
      <c r="X405" s="6">
        <f ca="1">-SUBTOTAL(9,INDEX(Main[مقدار تسویه شده (کیلوگرم)],1):Main[[#This Row],[مقدار تسویه شده (کیلوگرم)]])</f>
        <v>45210</v>
      </c>
      <c r="Y405" s="6">
        <f ca="1">IF(Main[[#This Row],[مانده در خط تسویه شده (کیلوگرم)]]&lt;&gt;0,Main[[#This Row],[تعداد کل روزهای بدهکار (روز)]],0)</f>
        <v>0</v>
      </c>
      <c r="Z405" s="6">
        <f ca="1">Main[[#This Row],[تعداد روزهای بدهکار تسویه شده (روز)]]*Main[[#This Row],[مانده در خط تسویه شده (کیلوگرم)]]</f>
        <v>0</v>
      </c>
      <c r="AA405" s="6">
        <f ca="1">SUBTOTAL(9,INDEX(Main[بدهی تسویه نشده (کیلوگرم)],1):Main[[#This Row],[بدهی تسویه نشده (کیلوگرم)]])</f>
        <v>0</v>
      </c>
      <c r="AB405" s="6">
        <f ca="1">IF(Main[[#This Row],[مانده در خط تسویه نشده (کیلوگرم)]]&lt;&gt;0,Main[[#This Row],[تعداد کل روزهای بدهکار (روز)]],0)</f>
        <v>0</v>
      </c>
      <c r="AC405" s="6">
        <f ca="1">Main[[#This Row],[تعداد روزهای بدهکار  تسویه نشده (روز)]]*Main[[#This Row],[مانده در خط تسویه نشده (کیلوگرم)]]</f>
        <v>0</v>
      </c>
      <c r="AD405" s="6">
        <f ca="1">SUBTOTAL(9,INDEX(Main[بدهی سررسید شده (کیلوگرم)],1):Main[[#This Row],[بدهی سررسید شده (کیلوگرم)]])</f>
        <v>0</v>
      </c>
      <c r="AE405" s="6">
        <f ca="1">IF(Main[[#This Row],[مانده در خط سررسید شده (کیلوگرم)]]&lt;&gt;0,Main[[#This Row],[تعداد کل روزهای بدهکار (روز)]],0)</f>
        <v>0</v>
      </c>
      <c r="AF405" s="6">
        <f ca="1">Main[[#This Row],[تعداد روزهای بدهکار سررسید شده (روز)]]*Main[[#This Row],[مانده در خط سررسید شده (کیلوگرم)]]</f>
        <v>0</v>
      </c>
    </row>
    <row r="406" spans="1:32" hidden="1" x14ac:dyDescent="0.35">
      <c r="A406" s="5">
        <f>ROW()-ROW(INDEX(Main[ردیف],1))+1</f>
        <v>404</v>
      </c>
      <c r="B406" s="31">
        <f>SUBTOTAL(2,INDEX(Main[ردیف],1):Main[[#This Row],[ردیف]])</f>
        <v>39</v>
      </c>
      <c r="C406" s="32" t="s">
        <v>548</v>
      </c>
      <c r="D406" s="32" t="str">
        <f>_xlfn.CONCAT("14",Main[[#This Row],[تاريخ]])</f>
        <v>1400/02/20</v>
      </c>
      <c r="E406" s="33">
        <v>44326</v>
      </c>
      <c r="F406" s="32">
        <v>30003</v>
      </c>
      <c r="G406" s="5" t="str">
        <f>INDEX(customer[عنوان],MATCH(Main[[#This Row],[کد ردیابی]],customer[کد],0))</f>
        <v xml:space="preserve">شهاب گاز سوز </v>
      </c>
      <c r="H406">
        <v>-1132</v>
      </c>
      <c r="I406" s="6">
        <f ca="1">-Main[[#This Row],[بدهی تسویه شده (کیلوگرم)]]+Main[[#This Row],[بستانکار (کیلوگرم)]]</f>
        <v>-1132</v>
      </c>
      <c r="J406" s="6">
        <f>IF(Main[[#This Row],[مقدار (کیلوگرم)]]&gt;0,Main[[#This Row],[مقدار (کیلوگرم)]],0)</f>
        <v>0</v>
      </c>
      <c r="K406" s="6">
        <f>-IF(Main[[#This Row],[مقدار (کیلوگرم)]]&lt;0,Main[[#This Row],[مقدار (کیلوگرم)]],0)</f>
        <v>1132</v>
      </c>
      <c r="L4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6" s="7">
        <f>-IF(AND(Main[[#This Row],[مقدار (کیلوگرم)]]&lt;0,Main[[#This Row],[تاريخ میلادی]]&gt;44276),Main[[#This Row],[مقدار (کیلوگرم)]],0)</f>
        <v>1132</v>
      </c>
      <c r="N406" s="6">
        <f ca="1">Main[[#This Row],[بدهکار (کیلوگرم)]]-Main[[#This Row],[بدهی تسویه نشده (کیلوگرم)]]</f>
        <v>1132</v>
      </c>
      <c r="O406" s="6">
        <f ca="1">Main[[#This Row],[تفکیک]]</f>
        <v>0</v>
      </c>
      <c r="P406" s="6">
        <f ca="1">IF(Main[[#This Row],[تاخیر از سررسید]]&gt;0,Main[[#This Row],[بدهی تسویه نشده (کیلوگرم)]],0)</f>
        <v>0</v>
      </c>
      <c r="Q406" s="6">
        <f ca="1">IF(Main[[#This Row],[بدهی تسویه نشده (کیلوگرم)]]&gt;0,'گزارش فردی'!$B$7-Main[[#This Row],[تاريخ میلادی]],0)</f>
        <v>0</v>
      </c>
      <c r="R406" s="6">
        <f ca="1">IF(Main[[#This Row],[بدهی تسویه نشده (کیلوگرم)]]&gt;0,'گزارش فردی'!$B$7-Main[[#This Row],[تاريخ میلادی]]-'گزارش فردی'!$B$8,0)</f>
        <v>0</v>
      </c>
      <c r="S406" s="6">
        <f ca="1">Main[[#This Row],[روز از ارسال سفارش]]*Main[[#This Row],[بدهی تسویه نشده (کیلوگرم)]]</f>
        <v>0</v>
      </c>
      <c r="T406" s="6">
        <f ca="1">Main[[#This Row],[بدهی سررسید شده (کیلوگرم)]]*Main[[#This Row],[روز از ارسال سفارش]]</f>
        <v>0</v>
      </c>
      <c r="U406" s="6">
        <f>-SUBTOTAL(9,INDEX(Main[مقدار (کیلوگرم)],1):Main[[#This Row],[مقدار (کیلوگرم)]])</f>
        <v>45210</v>
      </c>
      <c r="V4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6" s="6">
        <f>Main[[#This Row],[تعداد کل روزهای بدهکار (روز)]]*Main[[#This Row],[مانده در خط کل (کیلوگرم)]]</f>
        <v>0</v>
      </c>
      <c r="X406" s="6">
        <f ca="1">-SUBTOTAL(9,INDEX(Main[مقدار تسویه شده (کیلوگرم)],1):Main[[#This Row],[مقدار تسویه شده (کیلوگرم)]])</f>
        <v>45210</v>
      </c>
      <c r="Y406" s="6">
        <f ca="1">IF(Main[[#This Row],[مانده در خط تسویه شده (کیلوگرم)]]&lt;&gt;0,Main[[#This Row],[تعداد کل روزهای بدهکار (روز)]],0)</f>
        <v>0</v>
      </c>
      <c r="Z406" s="6">
        <f ca="1">Main[[#This Row],[تعداد روزهای بدهکار تسویه شده (روز)]]*Main[[#This Row],[مانده در خط تسویه شده (کیلوگرم)]]</f>
        <v>0</v>
      </c>
      <c r="AA406" s="6">
        <f ca="1">SUBTOTAL(9,INDEX(Main[بدهی تسویه نشده (کیلوگرم)],1):Main[[#This Row],[بدهی تسویه نشده (کیلوگرم)]])</f>
        <v>0</v>
      </c>
      <c r="AB406" s="6">
        <f ca="1">IF(Main[[#This Row],[مانده در خط تسویه نشده (کیلوگرم)]]&lt;&gt;0,Main[[#This Row],[تعداد کل روزهای بدهکار (روز)]],0)</f>
        <v>0</v>
      </c>
      <c r="AC406" s="6">
        <f ca="1">Main[[#This Row],[تعداد روزهای بدهکار  تسویه نشده (روز)]]*Main[[#This Row],[مانده در خط تسویه نشده (کیلوگرم)]]</f>
        <v>0</v>
      </c>
      <c r="AD406" s="6">
        <f ca="1">SUBTOTAL(9,INDEX(Main[بدهی سررسید شده (کیلوگرم)],1):Main[[#This Row],[بدهی سررسید شده (کیلوگرم)]])</f>
        <v>0</v>
      </c>
      <c r="AE406" s="6">
        <f ca="1">IF(Main[[#This Row],[مانده در خط سررسید شده (کیلوگرم)]]&lt;&gt;0,Main[[#This Row],[تعداد کل روزهای بدهکار (روز)]],0)</f>
        <v>0</v>
      </c>
      <c r="AF406" s="6">
        <f ca="1">Main[[#This Row],[تعداد روزهای بدهکار سررسید شده (روز)]]*Main[[#This Row],[مانده در خط سررسید شده (کیلوگرم)]]</f>
        <v>0</v>
      </c>
    </row>
    <row r="407" spans="1:32" hidden="1" x14ac:dyDescent="0.35">
      <c r="A407" s="5">
        <f>ROW()-ROW(INDEX(Main[ردیف],1))+1</f>
        <v>405</v>
      </c>
      <c r="B407" s="31">
        <f>SUBTOTAL(2,INDEX(Main[ردیف],1):Main[[#This Row],[ردیف]])</f>
        <v>39</v>
      </c>
      <c r="C407" s="32" t="s">
        <v>548</v>
      </c>
      <c r="D407" s="32" t="str">
        <f>_xlfn.CONCAT("14",Main[[#This Row],[تاريخ]])</f>
        <v>1400/02/20</v>
      </c>
      <c r="E407" s="33">
        <v>44326</v>
      </c>
      <c r="F407" s="32">
        <v>30017</v>
      </c>
      <c r="G407" s="5" t="str">
        <f>INDEX(customer[عنوان],MATCH(Main[[#This Row],[کد ردیابی]],customer[کد],0))</f>
        <v xml:space="preserve">البرز یدک </v>
      </c>
      <c r="H407">
        <v>506</v>
      </c>
      <c r="I407" s="6">
        <f ca="1">-Main[[#This Row],[بدهی تسویه شده (کیلوگرم)]]+Main[[#This Row],[بستانکار (کیلوگرم)]]</f>
        <v>506</v>
      </c>
      <c r="J407" s="6">
        <f>IF(Main[[#This Row],[مقدار (کیلوگرم)]]&gt;0,Main[[#This Row],[مقدار (کیلوگرم)]],0)</f>
        <v>506</v>
      </c>
      <c r="K407" s="6">
        <f>-IF(Main[[#This Row],[مقدار (کیلوگرم)]]&lt;0,Main[[#This Row],[مقدار (کیلوگرم)]],0)</f>
        <v>0</v>
      </c>
      <c r="L4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7" s="7">
        <f>-IF(AND(Main[[#This Row],[مقدار (کیلوگرم)]]&lt;0,Main[[#This Row],[تاريخ میلادی]]&gt;44276),Main[[#This Row],[مقدار (کیلوگرم)]],0)</f>
        <v>0</v>
      </c>
      <c r="N407" s="6">
        <f ca="1">Main[[#This Row],[بدهکار (کیلوگرم)]]-Main[[#This Row],[بدهی تسویه نشده (کیلوگرم)]]</f>
        <v>0</v>
      </c>
      <c r="O407" s="6">
        <f ca="1">Main[[#This Row],[تفکیک]]</f>
        <v>0</v>
      </c>
      <c r="P407" s="6">
        <f ca="1">IF(Main[[#This Row],[تاخیر از سررسید]]&gt;0,Main[[#This Row],[بدهی تسویه نشده (کیلوگرم)]],0)</f>
        <v>0</v>
      </c>
      <c r="Q407" s="6">
        <f ca="1">IF(Main[[#This Row],[بدهی تسویه نشده (کیلوگرم)]]&gt;0,'گزارش فردی'!$B$7-Main[[#This Row],[تاريخ میلادی]],0)</f>
        <v>0</v>
      </c>
      <c r="R407" s="6">
        <f ca="1">IF(Main[[#This Row],[بدهی تسویه نشده (کیلوگرم)]]&gt;0,'گزارش فردی'!$B$7-Main[[#This Row],[تاريخ میلادی]]-'گزارش فردی'!$B$8,0)</f>
        <v>0</v>
      </c>
      <c r="S407" s="6">
        <f ca="1">Main[[#This Row],[روز از ارسال سفارش]]*Main[[#This Row],[بدهی تسویه نشده (کیلوگرم)]]</f>
        <v>0</v>
      </c>
      <c r="T407" s="6">
        <f ca="1">Main[[#This Row],[بدهی سررسید شده (کیلوگرم)]]*Main[[#This Row],[روز از ارسال سفارش]]</f>
        <v>0</v>
      </c>
      <c r="U407" s="6">
        <f>-SUBTOTAL(9,INDEX(Main[مقدار (کیلوگرم)],1):Main[[#This Row],[مقدار (کیلوگرم)]])</f>
        <v>45210</v>
      </c>
      <c r="V4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7" s="6">
        <f>Main[[#This Row],[تعداد کل روزهای بدهکار (روز)]]*Main[[#This Row],[مانده در خط کل (کیلوگرم)]]</f>
        <v>0</v>
      </c>
      <c r="X407" s="6">
        <f ca="1">-SUBTOTAL(9,INDEX(Main[مقدار تسویه شده (کیلوگرم)],1):Main[[#This Row],[مقدار تسویه شده (کیلوگرم)]])</f>
        <v>45210</v>
      </c>
      <c r="Y407" s="6">
        <f ca="1">IF(Main[[#This Row],[مانده در خط تسویه شده (کیلوگرم)]]&lt;&gt;0,Main[[#This Row],[تعداد کل روزهای بدهکار (روز)]],0)</f>
        <v>0</v>
      </c>
      <c r="Z407" s="6">
        <f ca="1">Main[[#This Row],[تعداد روزهای بدهکار تسویه شده (روز)]]*Main[[#This Row],[مانده در خط تسویه شده (کیلوگرم)]]</f>
        <v>0</v>
      </c>
      <c r="AA407" s="6">
        <f ca="1">SUBTOTAL(9,INDEX(Main[بدهی تسویه نشده (کیلوگرم)],1):Main[[#This Row],[بدهی تسویه نشده (کیلوگرم)]])</f>
        <v>0</v>
      </c>
      <c r="AB407" s="6">
        <f ca="1">IF(Main[[#This Row],[مانده در خط تسویه نشده (کیلوگرم)]]&lt;&gt;0,Main[[#This Row],[تعداد کل روزهای بدهکار (روز)]],0)</f>
        <v>0</v>
      </c>
      <c r="AC407" s="6">
        <f ca="1">Main[[#This Row],[تعداد روزهای بدهکار  تسویه نشده (روز)]]*Main[[#This Row],[مانده در خط تسویه نشده (کیلوگرم)]]</f>
        <v>0</v>
      </c>
      <c r="AD407" s="6">
        <f ca="1">SUBTOTAL(9,INDEX(Main[بدهی سررسید شده (کیلوگرم)],1):Main[[#This Row],[بدهی سررسید شده (کیلوگرم)]])</f>
        <v>0</v>
      </c>
      <c r="AE407" s="6">
        <f ca="1">IF(Main[[#This Row],[مانده در خط سررسید شده (کیلوگرم)]]&lt;&gt;0,Main[[#This Row],[تعداد کل روزهای بدهکار (روز)]],0)</f>
        <v>0</v>
      </c>
      <c r="AF407" s="6">
        <f ca="1">Main[[#This Row],[تعداد روزهای بدهکار سررسید شده (روز)]]*Main[[#This Row],[مانده در خط سررسید شده (کیلوگرم)]]</f>
        <v>0</v>
      </c>
    </row>
    <row r="408" spans="1:32" hidden="1" x14ac:dyDescent="0.35">
      <c r="A408" s="5">
        <f>ROW()-ROW(INDEX(Main[ردیف],1))+1</f>
        <v>406</v>
      </c>
      <c r="B408" s="31">
        <f>SUBTOTAL(2,INDEX(Main[ردیف],1):Main[[#This Row],[ردیف]])</f>
        <v>39</v>
      </c>
      <c r="C408" s="32" t="s">
        <v>548</v>
      </c>
      <c r="D408" s="32" t="str">
        <f>_xlfn.CONCAT("14",Main[[#This Row],[تاريخ]])</f>
        <v>1400/02/20</v>
      </c>
      <c r="E408" s="33">
        <v>44326</v>
      </c>
      <c r="F408" s="32">
        <v>30058</v>
      </c>
      <c r="G408" s="5" t="str">
        <f>INDEX(customer[عنوان],MATCH(Main[[#This Row],[کد ردیابی]],customer[کد],0))</f>
        <v xml:space="preserve">پارس شیر </v>
      </c>
      <c r="H408">
        <v>-4844</v>
      </c>
      <c r="I408" s="6">
        <f ca="1">-Main[[#This Row],[بدهی تسویه شده (کیلوگرم)]]+Main[[#This Row],[بستانکار (کیلوگرم)]]</f>
        <v>-4844</v>
      </c>
      <c r="J408" s="6">
        <f>IF(Main[[#This Row],[مقدار (کیلوگرم)]]&gt;0,Main[[#This Row],[مقدار (کیلوگرم)]],0)</f>
        <v>0</v>
      </c>
      <c r="K408" s="6">
        <f>-IF(Main[[#This Row],[مقدار (کیلوگرم)]]&lt;0,Main[[#This Row],[مقدار (کیلوگرم)]],0)</f>
        <v>4844</v>
      </c>
      <c r="L4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8" s="7">
        <f>-IF(AND(Main[[#This Row],[مقدار (کیلوگرم)]]&lt;0,Main[[#This Row],[تاريخ میلادی]]&gt;44276),Main[[#This Row],[مقدار (کیلوگرم)]],0)</f>
        <v>4844</v>
      </c>
      <c r="N408" s="6">
        <f ca="1">Main[[#This Row],[بدهکار (کیلوگرم)]]-Main[[#This Row],[بدهی تسویه نشده (کیلوگرم)]]</f>
        <v>4844</v>
      </c>
      <c r="O408" s="6">
        <f ca="1">Main[[#This Row],[تفکیک]]</f>
        <v>0</v>
      </c>
      <c r="P408" s="6">
        <f ca="1">IF(Main[[#This Row],[تاخیر از سررسید]]&gt;0,Main[[#This Row],[بدهی تسویه نشده (کیلوگرم)]],0)</f>
        <v>0</v>
      </c>
      <c r="Q408" s="6">
        <f ca="1">IF(Main[[#This Row],[بدهی تسویه نشده (کیلوگرم)]]&gt;0,'گزارش فردی'!$B$7-Main[[#This Row],[تاريخ میلادی]],0)</f>
        <v>0</v>
      </c>
      <c r="R408" s="6">
        <f ca="1">IF(Main[[#This Row],[بدهی تسویه نشده (کیلوگرم)]]&gt;0,'گزارش فردی'!$B$7-Main[[#This Row],[تاريخ میلادی]]-'گزارش فردی'!$B$8,0)</f>
        <v>0</v>
      </c>
      <c r="S408" s="6">
        <f ca="1">Main[[#This Row],[روز از ارسال سفارش]]*Main[[#This Row],[بدهی تسویه نشده (کیلوگرم)]]</f>
        <v>0</v>
      </c>
      <c r="T408" s="6">
        <f ca="1">Main[[#This Row],[بدهی سررسید شده (کیلوگرم)]]*Main[[#This Row],[روز از ارسال سفارش]]</f>
        <v>0</v>
      </c>
      <c r="U408" s="6">
        <f>-SUBTOTAL(9,INDEX(Main[مقدار (کیلوگرم)],1):Main[[#This Row],[مقدار (کیلوگرم)]])</f>
        <v>45210</v>
      </c>
      <c r="V4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8" s="6">
        <f>Main[[#This Row],[تعداد کل روزهای بدهکار (روز)]]*Main[[#This Row],[مانده در خط کل (کیلوگرم)]]</f>
        <v>0</v>
      </c>
      <c r="X408" s="6">
        <f ca="1">-SUBTOTAL(9,INDEX(Main[مقدار تسویه شده (کیلوگرم)],1):Main[[#This Row],[مقدار تسویه شده (کیلوگرم)]])</f>
        <v>45210</v>
      </c>
      <c r="Y408" s="6">
        <f ca="1">IF(Main[[#This Row],[مانده در خط تسویه شده (کیلوگرم)]]&lt;&gt;0,Main[[#This Row],[تعداد کل روزهای بدهکار (روز)]],0)</f>
        <v>0</v>
      </c>
      <c r="Z408" s="6">
        <f ca="1">Main[[#This Row],[تعداد روزهای بدهکار تسویه شده (روز)]]*Main[[#This Row],[مانده در خط تسویه شده (کیلوگرم)]]</f>
        <v>0</v>
      </c>
      <c r="AA408" s="6">
        <f ca="1">SUBTOTAL(9,INDEX(Main[بدهی تسویه نشده (کیلوگرم)],1):Main[[#This Row],[بدهی تسویه نشده (کیلوگرم)]])</f>
        <v>0</v>
      </c>
      <c r="AB408" s="6">
        <f ca="1">IF(Main[[#This Row],[مانده در خط تسویه نشده (کیلوگرم)]]&lt;&gt;0,Main[[#This Row],[تعداد کل روزهای بدهکار (روز)]],0)</f>
        <v>0</v>
      </c>
      <c r="AC408" s="6">
        <f ca="1">Main[[#This Row],[تعداد روزهای بدهکار  تسویه نشده (روز)]]*Main[[#This Row],[مانده در خط تسویه نشده (کیلوگرم)]]</f>
        <v>0</v>
      </c>
      <c r="AD408" s="6">
        <f ca="1">SUBTOTAL(9,INDEX(Main[بدهی سررسید شده (کیلوگرم)],1):Main[[#This Row],[بدهی سررسید شده (کیلوگرم)]])</f>
        <v>0</v>
      </c>
      <c r="AE408" s="6">
        <f ca="1">IF(Main[[#This Row],[مانده در خط سررسید شده (کیلوگرم)]]&lt;&gt;0,Main[[#This Row],[تعداد کل روزهای بدهکار (روز)]],0)</f>
        <v>0</v>
      </c>
      <c r="AF408" s="6">
        <f ca="1">Main[[#This Row],[تعداد روزهای بدهکار سررسید شده (روز)]]*Main[[#This Row],[مانده در خط سررسید شده (کیلوگرم)]]</f>
        <v>0</v>
      </c>
    </row>
    <row r="409" spans="1:32" hidden="1" x14ac:dyDescent="0.35">
      <c r="A409" s="5">
        <f>ROW()-ROW(INDEX(Main[ردیف],1))+1</f>
        <v>407</v>
      </c>
      <c r="B409" s="31">
        <f>SUBTOTAL(2,INDEX(Main[ردیف],1):Main[[#This Row],[ردیف]])</f>
        <v>39</v>
      </c>
      <c r="C409" s="32" t="s">
        <v>548</v>
      </c>
      <c r="D409" s="32" t="str">
        <f>_xlfn.CONCAT("14",Main[[#This Row],[تاريخ]])</f>
        <v>1400/02/20</v>
      </c>
      <c r="E409" s="33">
        <v>44326</v>
      </c>
      <c r="F409" s="32">
        <v>30022</v>
      </c>
      <c r="G409" s="5" t="str">
        <f>INDEX(customer[عنوان],MATCH(Main[[#This Row],[کد ردیابی]],customer[کد],0))</f>
        <v xml:space="preserve">کلار پویا </v>
      </c>
      <c r="H409">
        <v>3207</v>
      </c>
      <c r="I409" s="6">
        <f ca="1">-Main[[#This Row],[بدهی تسویه شده (کیلوگرم)]]+Main[[#This Row],[بستانکار (کیلوگرم)]]</f>
        <v>3207</v>
      </c>
      <c r="J409" s="6">
        <f>IF(Main[[#This Row],[مقدار (کیلوگرم)]]&gt;0,Main[[#This Row],[مقدار (کیلوگرم)]],0)</f>
        <v>3207</v>
      </c>
      <c r="K409" s="6">
        <f>-IF(Main[[#This Row],[مقدار (کیلوگرم)]]&lt;0,Main[[#This Row],[مقدار (کیلوگرم)]],0)</f>
        <v>0</v>
      </c>
      <c r="L4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9" s="7">
        <f>-IF(AND(Main[[#This Row],[مقدار (کیلوگرم)]]&lt;0,Main[[#This Row],[تاريخ میلادی]]&gt;44276),Main[[#This Row],[مقدار (کیلوگرم)]],0)</f>
        <v>0</v>
      </c>
      <c r="N409" s="6">
        <f ca="1">Main[[#This Row],[بدهکار (کیلوگرم)]]-Main[[#This Row],[بدهی تسویه نشده (کیلوگرم)]]</f>
        <v>0</v>
      </c>
      <c r="O409" s="6">
        <f ca="1">Main[[#This Row],[تفکیک]]</f>
        <v>0</v>
      </c>
      <c r="P409" s="6">
        <f ca="1">IF(Main[[#This Row],[تاخیر از سررسید]]&gt;0,Main[[#This Row],[بدهی تسویه نشده (کیلوگرم)]],0)</f>
        <v>0</v>
      </c>
      <c r="Q409" s="6">
        <f ca="1">IF(Main[[#This Row],[بدهی تسویه نشده (کیلوگرم)]]&gt;0,'گزارش فردی'!$B$7-Main[[#This Row],[تاريخ میلادی]],0)</f>
        <v>0</v>
      </c>
      <c r="R409" s="6">
        <f ca="1">IF(Main[[#This Row],[بدهی تسویه نشده (کیلوگرم)]]&gt;0,'گزارش فردی'!$B$7-Main[[#This Row],[تاريخ میلادی]]-'گزارش فردی'!$B$8,0)</f>
        <v>0</v>
      </c>
      <c r="S409" s="6">
        <f ca="1">Main[[#This Row],[روز از ارسال سفارش]]*Main[[#This Row],[بدهی تسویه نشده (کیلوگرم)]]</f>
        <v>0</v>
      </c>
      <c r="T409" s="6">
        <f ca="1">Main[[#This Row],[بدهی سررسید شده (کیلوگرم)]]*Main[[#This Row],[روز از ارسال سفارش]]</f>
        <v>0</v>
      </c>
      <c r="U409" s="6">
        <f>-SUBTOTAL(9,INDEX(Main[مقدار (کیلوگرم)],1):Main[[#This Row],[مقدار (کیلوگرم)]])</f>
        <v>45210</v>
      </c>
      <c r="V4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9" s="6">
        <f>Main[[#This Row],[تعداد کل روزهای بدهکار (روز)]]*Main[[#This Row],[مانده در خط کل (کیلوگرم)]]</f>
        <v>0</v>
      </c>
      <c r="X409" s="6">
        <f ca="1">-SUBTOTAL(9,INDEX(Main[مقدار تسویه شده (کیلوگرم)],1):Main[[#This Row],[مقدار تسویه شده (کیلوگرم)]])</f>
        <v>45210</v>
      </c>
      <c r="Y409" s="6">
        <f ca="1">IF(Main[[#This Row],[مانده در خط تسویه شده (کیلوگرم)]]&lt;&gt;0,Main[[#This Row],[تعداد کل روزهای بدهکار (روز)]],0)</f>
        <v>0</v>
      </c>
      <c r="Z409" s="6">
        <f ca="1">Main[[#This Row],[تعداد روزهای بدهکار تسویه شده (روز)]]*Main[[#This Row],[مانده در خط تسویه شده (کیلوگرم)]]</f>
        <v>0</v>
      </c>
      <c r="AA409" s="6">
        <f ca="1">SUBTOTAL(9,INDEX(Main[بدهی تسویه نشده (کیلوگرم)],1):Main[[#This Row],[بدهی تسویه نشده (کیلوگرم)]])</f>
        <v>0</v>
      </c>
      <c r="AB409" s="6">
        <f ca="1">IF(Main[[#This Row],[مانده در خط تسویه نشده (کیلوگرم)]]&lt;&gt;0,Main[[#This Row],[تعداد کل روزهای بدهکار (روز)]],0)</f>
        <v>0</v>
      </c>
      <c r="AC409" s="6">
        <f ca="1">Main[[#This Row],[تعداد روزهای بدهکار  تسویه نشده (روز)]]*Main[[#This Row],[مانده در خط تسویه نشده (کیلوگرم)]]</f>
        <v>0</v>
      </c>
      <c r="AD409" s="6">
        <f ca="1">SUBTOTAL(9,INDEX(Main[بدهی سررسید شده (کیلوگرم)],1):Main[[#This Row],[بدهی سررسید شده (کیلوگرم)]])</f>
        <v>0</v>
      </c>
      <c r="AE409" s="6">
        <f ca="1">IF(Main[[#This Row],[مانده در خط سررسید شده (کیلوگرم)]]&lt;&gt;0,Main[[#This Row],[تعداد کل روزهای بدهکار (روز)]],0)</f>
        <v>0</v>
      </c>
      <c r="AF409" s="6">
        <f ca="1">Main[[#This Row],[تعداد روزهای بدهکار سررسید شده (روز)]]*Main[[#This Row],[مانده در خط سررسید شده (کیلوگرم)]]</f>
        <v>0</v>
      </c>
    </row>
    <row r="410" spans="1:32" hidden="1" x14ac:dyDescent="0.35">
      <c r="A410" s="5">
        <f>ROW()-ROW(INDEX(Main[ردیف],1))+1</f>
        <v>408</v>
      </c>
      <c r="B410" s="31">
        <f>SUBTOTAL(2,INDEX(Main[ردیف],1):Main[[#This Row],[ردیف]])</f>
        <v>39</v>
      </c>
      <c r="C410" s="32" t="s">
        <v>548</v>
      </c>
      <c r="D410" s="32" t="str">
        <f>_xlfn.CONCAT("14",Main[[#This Row],[تاريخ]])</f>
        <v>1400/02/20</v>
      </c>
      <c r="E410" s="33">
        <v>44326</v>
      </c>
      <c r="F410" s="32">
        <v>30022</v>
      </c>
      <c r="G410" s="5" t="str">
        <f>INDEX(customer[عنوان],MATCH(Main[[#This Row],[کد ردیابی]],customer[کد],0))</f>
        <v xml:space="preserve">کلار پویا </v>
      </c>
      <c r="H410">
        <v>-5031</v>
      </c>
      <c r="I410" s="6">
        <f ca="1">-Main[[#This Row],[بدهی تسویه شده (کیلوگرم)]]+Main[[#This Row],[بستانکار (کیلوگرم)]]</f>
        <v>-5031</v>
      </c>
      <c r="J410" s="6">
        <f>IF(Main[[#This Row],[مقدار (کیلوگرم)]]&gt;0,Main[[#This Row],[مقدار (کیلوگرم)]],0)</f>
        <v>0</v>
      </c>
      <c r="K410" s="6">
        <f>-IF(Main[[#This Row],[مقدار (کیلوگرم)]]&lt;0,Main[[#This Row],[مقدار (کیلوگرم)]],0)</f>
        <v>5031</v>
      </c>
      <c r="L4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0" s="7">
        <f>-IF(AND(Main[[#This Row],[مقدار (کیلوگرم)]]&lt;0,Main[[#This Row],[تاريخ میلادی]]&gt;44276),Main[[#This Row],[مقدار (کیلوگرم)]],0)</f>
        <v>5031</v>
      </c>
      <c r="N410" s="6">
        <f ca="1">Main[[#This Row],[بدهکار (کیلوگرم)]]-Main[[#This Row],[بدهی تسویه نشده (کیلوگرم)]]</f>
        <v>5031</v>
      </c>
      <c r="O410" s="6">
        <f ca="1">Main[[#This Row],[تفکیک]]</f>
        <v>0</v>
      </c>
      <c r="P410" s="6">
        <f ca="1">IF(Main[[#This Row],[تاخیر از سررسید]]&gt;0,Main[[#This Row],[بدهی تسویه نشده (کیلوگرم)]],0)</f>
        <v>0</v>
      </c>
      <c r="Q410" s="6">
        <f ca="1">IF(Main[[#This Row],[بدهی تسویه نشده (کیلوگرم)]]&gt;0,'گزارش فردی'!$B$7-Main[[#This Row],[تاريخ میلادی]],0)</f>
        <v>0</v>
      </c>
      <c r="R410" s="6">
        <f ca="1">IF(Main[[#This Row],[بدهی تسویه نشده (کیلوگرم)]]&gt;0,'گزارش فردی'!$B$7-Main[[#This Row],[تاريخ میلادی]]-'گزارش فردی'!$B$8,0)</f>
        <v>0</v>
      </c>
      <c r="S410" s="6">
        <f ca="1">Main[[#This Row],[روز از ارسال سفارش]]*Main[[#This Row],[بدهی تسویه نشده (کیلوگرم)]]</f>
        <v>0</v>
      </c>
      <c r="T410" s="6">
        <f ca="1">Main[[#This Row],[بدهی سررسید شده (کیلوگرم)]]*Main[[#This Row],[روز از ارسال سفارش]]</f>
        <v>0</v>
      </c>
      <c r="U410" s="6">
        <f>-SUBTOTAL(9,INDEX(Main[مقدار (کیلوگرم)],1):Main[[#This Row],[مقدار (کیلوگرم)]])</f>
        <v>45210</v>
      </c>
      <c r="V4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0" s="6">
        <f>Main[[#This Row],[تعداد کل روزهای بدهکار (روز)]]*Main[[#This Row],[مانده در خط کل (کیلوگرم)]]</f>
        <v>0</v>
      </c>
      <c r="X410" s="6">
        <f ca="1">-SUBTOTAL(9,INDEX(Main[مقدار تسویه شده (کیلوگرم)],1):Main[[#This Row],[مقدار تسویه شده (کیلوگرم)]])</f>
        <v>45210</v>
      </c>
      <c r="Y410" s="6">
        <f ca="1">IF(Main[[#This Row],[مانده در خط تسویه شده (کیلوگرم)]]&lt;&gt;0,Main[[#This Row],[تعداد کل روزهای بدهکار (روز)]],0)</f>
        <v>0</v>
      </c>
      <c r="Z410" s="6">
        <f ca="1">Main[[#This Row],[تعداد روزهای بدهکار تسویه شده (روز)]]*Main[[#This Row],[مانده در خط تسویه شده (کیلوگرم)]]</f>
        <v>0</v>
      </c>
      <c r="AA410" s="6">
        <f ca="1">SUBTOTAL(9,INDEX(Main[بدهی تسویه نشده (کیلوگرم)],1):Main[[#This Row],[بدهی تسویه نشده (کیلوگرم)]])</f>
        <v>0</v>
      </c>
      <c r="AB410" s="6">
        <f ca="1">IF(Main[[#This Row],[مانده در خط تسویه نشده (کیلوگرم)]]&lt;&gt;0,Main[[#This Row],[تعداد کل روزهای بدهکار (روز)]],0)</f>
        <v>0</v>
      </c>
      <c r="AC410" s="6">
        <f ca="1">Main[[#This Row],[تعداد روزهای بدهکار  تسویه نشده (روز)]]*Main[[#This Row],[مانده در خط تسویه نشده (کیلوگرم)]]</f>
        <v>0</v>
      </c>
      <c r="AD410" s="6">
        <f ca="1">SUBTOTAL(9,INDEX(Main[بدهی سررسید شده (کیلوگرم)],1):Main[[#This Row],[بدهی سررسید شده (کیلوگرم)]])</f>
        <v>0</v>
      </c>
      <c r="AE410" s="6">
        <f ca="1">IF(Main[[#This Row],[مانده در خط سررسید شده (کیلوگرم)]]&lt;&gt;0,Main[[#This Row],[تعداد کل روزهای بدهکار (روز)]],0)</f>
        <v>0</v>
      </c>
      <c r="AF410" s="6">
        <f ca="1">Main[[#This Row],[تعداد روزهای بدهکار سررسید شده (روز)]]*Main[[#This Row],[مانده در خط سررسید شده (کیلوگرم)]]</f>
        <v>0</v>
      </c>
    </row>
    <row r="411" spans="1:32" hidden="1" x14ac:dyDescent="0.35">
      <c r="A411" s="5">
        <f>ROW()-ROW(INDEX(Main[ردیف],1))+1</f>
        <v>409</v>
      </c>
      <c r="B411" s="31">
        <f>SUBTOTAL(2,INDEX(Main[ردیف],1):Main[[#This Row],[ردیف]])</f>
        <v>39</v>
      </c>
      <c r="C411" s="32" t="s">
        <v>548</v>
      </c>
      <c r="D411" s="32" t="str">
        <f>_xlfn.CONCAT("14",Main[[#This Row],[تاريخ]])</f>
        <v>1400/02/20</v>
      </c>
      <c r="E411" s="33">
        <v>44326</v>
      </c>
      <c r="F411" s="32">
        <v>30017</v>
      </c>
      <c r="G411" s="5" t="str">
        <f>INDEX(customer[عنوان],MATCH(Main[[#This Row],[کد ردیابی]],customer[کد],0))</f>
        <v xml:space="preserve">البرز یدک </v>
      </c>
      <c r="H411">
        <v>1712</v>
      </c>
      <c r="I411" s="6">
        <f ca="1">-Main[[#This Row],[بدهی تسویه شده (کیلوگرم)]]+Main[[#This Row],[بستانکار (کیلوگرم)]]</f>
        <v>1712</v>
      </c>
      <c r="J411" s="6">
        <f>IF(Main[[#This Row],[مقدار (کیلوگرم)]]&gt;0,Main[[#This Row],[مقدار (کیلوگرم)]],0)</f>
        <v>1712</v>
      </c>
      <c r="K411" s="6">
        <f>-IF(Main[[#This Row],[مقدار (کیلوگرم)]]&lt;0,Main[[#This Row],[مقدار (کیلوگرم)]],0)</f>
        <v>0</v>
      </c>
      <c r="L4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1" s="7">
        <f>-IF(AND(Main[[#This Row],[مقدار (کیلوگرم)]]&lt;0,Main[[#This Row],[تاريخ میلادی]]&gt;44276),Main[[#This Row],[مقدار (کیلوگرم)]],0)</f>
        <v>0</v>
      </c>
      <c r="N411" s="6">
        <f ca="1">Main[[#This Row],[بدهکار (کیلوگرم)]]-Main[[#This Row],[بدهی تسویه نشده (کیلوگرم)]]</f>
        <v>0</v>
      </c>
      <c r="O411" s="6">
        <f ca="1">Main[[#This Row],[تفکیک]]</f>
        <v>0</v>
      </c>
      <c r="P411" s="6">
        <f ca="1">IF(Main[[#This Row],[تاخیر از سررسید]]&gt;0,Main[[#This Row],[بدهی تسویه نشده (کیلوگرم)]],0)</f>
        <v>0</v>
      </c>
      <c r="Q411" s="6">
        <f ca="1">IF(Main[[#This Row],[بدهی تسویه نشده (کیلوگرم)]]&gt;0,'گزارش فردی'!$B$7-Main[[#This Row],[تاريخ میلادی]],0)</f>
        <v>0</v>
      </c>
      <c r="R411" s="6">
        <f ca="1">IF(Main[[#This Row],[بدهی تسویه نشده (کیلوگرم)]]&gt;0,'گزارش فردی'!$B$7-Main[[#This Row],[تاريخ میلادی]]-'گزارش فردی'!$B$8,0)</f>
        <v>0</v>
      </c>
      <c r="S411" s="6">
        <f ca="1">Main[[#This Row],[روز از ارسال سفارش]]*Main[[#This Row],[بدهی تسویه نشده (کیلوگرم)]]</f>
        <v>0</v>
      </c>
      <c r="T411" s="6">
        <f ca="1">Main[[#This Row],[بدهی سررسید شده (کیلوگرم)]]*Main[[#This Row],[روز از ارسال سفارش]]</f>
        <v>0</v>
      </c>
      <c r="U411" s="6">
        <f>-SUBTOTAL(9,INDEX(Main[مقدار (کیلوگرم)],1):Main[[#This Row],[مقدار (کیلوگرم)]])</f>
        <v>45210</v>
      </c>
      <c r="V4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1" s="6">
        <f>Main[[#This Row],[تعداد کل روزهای بدهکار (روز)]]*Main[[#This Row],[مانده در خط کل (کیلوگرم)]]</f>
        <v>0</v>
      </c>
      <c r="X411" s="6">
        <f ca="1">-SUBTOTAL(9,INDEX(Main[مقدار تسویه شده (کیلوگرم)],1):Main[[#This Row],[مقدار تسویه شده (کیلوگرم)]])</f>
        <v>45210</v>
      </c>
      <c r="Y411" s="6">
        <f ca="1">IF(Main[[#This Row],[مانده در خط تسویه شده (کیلوگرم)]]&lt;&gt;0,Main[[#This Row],[تعداد کل روزهای بدهکار (روز)]],0)</f>
        <v>0</v>
      </c>
      <c r="Z411" s="6">
        <f ca="1">Main[[#This Row],[تعداد روزهای بدهکار تسویه شده (روز)]]*Main[[#This Row],[مانده در خط تسویه شده (کیلوگرم)]]</f>
        <v>0</v>
      </c>
      <c r="AA411" s="6">
        <f ca="1">SUBTOTAL(9,INDEX(Main[بدهی تسویه نشده (کیلوگرم)],1):Main[[#This Row],[بدهی تسویه نشده (کیلوگرم)]])</f>
        <v>0</v>
      </c>
      <c r="AB411" s="6">
        <f ca="1">IF(Main[[#This Row],[مانده در خط تسویه نشده (کیلوگرم)]]&lt;&gt;0,Main[[#This Row],[تعداد کل روزهای بدهکار (روز)]],0)</f>
        <v>0</v>
      </c>
      <c r="AC411" s="6">
        <f ca="1">Main[[#This Row],[تعداد روزهای بدهکار  تسویه نشده (روز)]]*Main[[#This Row],[مانده در خط تسویه نشده (کیلوگرم)]]</f>
        <v>0</v>
      </c>
      <c r="AD411" s="6">
        <f ca="1">SUBTOTAL(9,INDEX(Main[بدهی سررسید شده (کیلوگرم)],1):Main[[#This Row],[بدهی سررسید شده (کیلوگرم)]])</f>
        <v>0</v>
      </c>
      <c r="AE411" s="6">
        <f ca="1">IF(Main[[#This Row],[مانده در خط سررسید شده (کیلوگرم)]]&lt;&gt;0,Main[[#This Row],[تعداد کل روزهای بدهکار (روز)]],0)</f>
        <v>0</v>
      </c>
      <c r="AF411" s="6">
        <f ca="1">Main[[#This Row],[تعداد روزهای بدهکار سررسید شده (روز)]]*Main[[#This Row],[مانده در خط سررسید شده (کیلوگرم)]]</f>
        <v>0</v>
      </c>
    </row>
    <row r="412" spans="1:32" hidden="1" x14ac:dyDescent="0.35">
      <c r="A412" s="5">
        <f>ROW()-ROW(INDEX(Main[ردیف],1))+1</f>
        <v>410</v>
      </c>
      <c r="B412" s="31">
        <f>SUBTOTAL(2,INDEX(Main[ردیف],1):Main[[#This Row],[ردیف]])</f>
        <v>39</v>
      </c>
      <c r="C412" s="32" t="s">
        <v>548</v>
      </c>
      <c r="D412" s="32" t="str">
        <f>_xlfn.CONCAT("14",Main[[#This Row],[تاريخ]])</f>
        <v>1400/02/20</v>
      </c>
      <c r="E412" s="33">
        <v>44326</v>
      </c>
      <c r="F412" s="32">
        <v>10009</v>
      </c>
      <c r="G412" s="5" t="str">
        <f>INDEX(customer[عنوان],MATCH(Main[[#This Row],[کد ردیابی]],customer[کد],0))</f>
        <v>محمد نمازی</v>
      </c>
      <c r="H412">
        <v>-1866</v>
      </c>
      <c r="I412" s="6">
        <f ca="1">-Main[[#This Row],[بدهی تسویه شده (کیلوگرم)]]+Main[[#This Row],[بستانکار (کیلوگرم)]]</f>
        <v>-1866</v>
      </c>
      <c r="J412" s="6">
        <f>IF(Main[[#This Row],[مقدار (کیلوگرم)]]&gt;0,Main[[#This Row],[مقدار (کیلوگرم)]],0)</f>
        <v>0</v>
      </c>
      <c r="K412" s="6">
        <f>-IF(Main[[#This Row],[مقدار (کیلوگرم)]]&lt;0,Main[[#This Row],[مقدار (کیلوگرم)]],0)</f>
        <v>1866</v>
      </c>
      <c r="L4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2" s="7">
        <f>-IF(AND(Main[[#This Row],[مقدار (کیلوگرم)]]&lt;0,Main[[#This Row],[تاريخ میلادی]]&gt;44276),Main[[#This Row],[مقدار (کیلوگرم)]],0)</f>
        <v>1866</v>
      </c>
      <c r="N412" s="6">
        <f ca="1">Main[[#This Row],[بدهکار (کیلوگرم)]]-Main[[#This Row],[بدهی تسویه نشده (کیلوگرم)]]</f>
        <v>1866</v>
      </c>
      <c r="O412" s="6">
        <f ca="1">Main[[#This Row],[تفکیک]]</f>
        <v>0</v>
      </c>
      <c r="P412" s="6">
        <f ca="1">IF(Main[[#This Row],[تاخیر از سررسید]]&gt;0,Main[[#This Row],[بدهی تسویه نشده (کیلوگرم)]],0)</f>
        <v>0</v>
      </c>
      <c r="Q412" s="6">
        <f ca="1">IF(Main[[#This Row],[بدهی تسویه نشده (کیلوگرم)]]&gt;0,'گزارش فردی'!$B$7-Main[[#This Row],[تاريخ میلادی]],0)</f>
        <v>0</v>
      </c>
      <c r="R412" s="6">
        <f ca="1">IF(Main[[#This Row],[بدهی تسویه نشده (کیلوگرم)]]&gt;0,'گزارش فردی'!$B$7-Main[[#This Row],[تاريخ میلادی]]-'گزارش فردی'!$B$8,0)</f>
        <v>0</v>
      </c>
      <c r="S412" s="6">
        <f ca="1">Main[[#This Row],[روز از ارسال سفارش]]*Main[[#This Row],[بدهی تسویه نشده (کیلوگرم)]]</f>
        <v>0</v>
      </c>
      <c r="T412" s="6">
        <f ca="1">Main[[#This Row],[بدهی سررسید شده (کیلوگرم)]]*Main[[#This Row],[روز از ارسال سفارش]]</f>
        <v>0</v>
      </c>
      <c r="U412" s="6">
        <f>-SUBTOTAL(9,INDEX(Main[مقدار (کیلوگرم)],1):Main[[#This Row],[مقدار (کیلوگرم)]])</f>
        <v>45210</v>
      </c>
      <c r="V4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2" s="6">
        <f>Main[[#This Row],[تعداد کل روزهای بدهکار (روز)]]*Main[[#This Row],[مانده در خط کل (کیلوگرم)]]</f>
        <v>0</v>
      </c>
      <c r="X412" s="6">
        <f ca="1">-SUBTOTAL(9,INDEX(Main[مقدار تسویه شده (کیلوگرم)],1):Main[[#This Row],[مقدار تسویه شده (کیلوگرم)]])</f>
        <v>45210</v>
      </c>
      <c r="Y412" s="6">
        <f ca="1">IF(Main[[#This Row],[مانده در خط تسویه شده (کیلوگرم)]]&lt;&gt;0,Main[[#This Row],[تعداد کل روزهای بدهکار (روز)]],0)</f>
        <v>0</v>
      </c>
      <c r="Z412" s="6">
        <f ca="1">Main[[#This Row],[تعداد روزهای بدهکار تسویه شده (روز)]]*Main[[#This Row],[مانده در خط تسویه شده (کیلوگرم)]]</f>
        <v>0</v>
      </c>
      <c r="AA412" s="6">
        <f ca="1">SUBTOTAL(9,INDEX(Main[بدهی تسویه نشده (کیلوگرم)],1):Main[[#This Row],[بدهی تسویه نشده (کیلوگرم)]])</f>
        <v>0</v>
      </c>
      <c r="AB412" s="6">
        <f ca="1">IF(Main[[#This Row],[مانده در خط تسویه نشده (کیلوگرم)]]&lt;&gt;0,Main[[#This Row],[تعداد کل روزهای بدهکار (روز)]],0)</f>
        <v>0</v>
      </c>
      <c r="AC412" s="6">
        <f ca="1">Main[[#This Row],[تعداد روزهای بدهکار  تسویه نشده (روز)]]*Main[[#This Row],[مانده در خط تسویه نشده (کیلوگرم)]]</f>
        <v>0</v>
      </c>
      <c r="AD412" s="6">
        <f ca="1">SUBTOTAL(9,INDEX(Main[بدهی سررسید شده (کیلوگرم)],1):Main[[#This Row],[بدهی سررسید شده (کیلوگرم)]])</f>
        <v>0</v>
      </c>
      <c r="AE412" s="6">
        <f ca="1">IF(Main[[#This Row],[مانده در خط سررسید شده (کیلوگرم)]]&lt;&gt;0,Main[[#This Row],[تعداد کل روزهای بدهکار (روز)]],0)</f>
        <v>0</v>
      </c>
      <c r="AF412" s="6">
        <f ca="1">Main[[#This Row],[تعداد روزهای بدهکار سررسید شده (روز)]]*Main[[#This Row],[مانده در خط سررسید شده (کیلوگرم)]]</f>
        <v>0</v>
      </c>
    </row>
    <row r="413" spans="1:32" hidden="1" x14ac:dyDescent="0.35">
      <c r="A413" s="5">
        <f>ROW()-ROW(INDEX(Main[ردیف],1))+1</f>
        <v>411</v>
      </c>
      <c r="B413" s="31">
        <f>SUBTOTAL(2,INDEX(Main[ردیف],1):Main[[#This Row],[ردیف]])</f>
        <v>39</v>
      </c>
      <c r="C413" s="32" t="s">
        <v>548</v>
      </c>
      <c r="D413" s="32" t="str">
        <f>_xlfn.CONCAT("14",Main[[#This Row],[تاريخ]])</f>
        <v>1400/02/20</v>
      </c>
      <c r="E413" s="33">
        <v>44326</v>
      </c>
      <c r="F413" s="32">
        <v>30003</v>
      </c>
      <c r="G413" s="5" t="str">
        <f>INDEX(customer[عنوان],MATCH(Main[[#This Row],[کد ردیابی]],customer[کد],0))</f>
        <v xml:space="preserve">شهاب گاز سوز </v>
      </c>
      <c r="H413">
        <v>743</v>
      </c>
      <c r="I413" s="6">
        <f ca="1">-Main[[#This Row],[بدهی تسویه شده (کیلوگرم)]]+Main[[#This Row],[بستانکار (کیلوگرم)]]</f>
        <v>743</v>
      </c>
      <c r="J413" s="6">
        <f>IF(Main[[#This Row],[مقدار (کیلوگرم)]]&gt;0,Main[[#This Row],[مقدار (کیلوگرم)]],0)</f>
        <v>743</v>
      </c>
      <c r="K413" s="6">
        <f>-IF(Main[[#This Row],[مقدار (کیلوگرم)]]&lt;0,Main[[#This Row],[مقدار (کیلوگرم)]],0)</f>
        <v>0</v>
      </c>
      <c r="L4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3" s="7">
        <f>-IF(AND(Main[[#This Row],[مقدار (کیلوگرم)]]&lt;0,Main[[#This Row],[تاريخ میلادی]]&gt;44276),Main[[#This Row],[مقدار (کیلوگرم)]],0)</f>
        <v>0</v>
      </c>
      <c r="N413" s="6">
        <f ca="1">Main[[#This Row],[بدهکار (کیلوگرم)]]-Main[[#This Row],[بدهی تسویه نشده (کیلوگرم)]]</f>
        <v>0</v>
      </c>
      <c r="O413" s="6">
        <f ca="1">Main[[#This Row],[تفکیک]]</f>
        <v>0</v>
      </c>
      <c r="P413" s="6">
        <f ca="1">IF(Main[[#This Row],[تاخیر از سررسید]]&gt;0,Main[[#This Row],[بدهی تسویه نشده (کیلوگرم)]],0)</f>
        <v>0</v>
      </c>
      <c r="Q413" s="6">
        <f ca="1">IF(Main[[#This Row],[بدهی تسویه نشده (کیلوگرم)]]&gt;0,'گزارش فردی'!$B$7-Main[[#This Row],[تاريخ میلادی]],0)</f>
        <v>0</v>
      </c>
      <c r="R413" s="6">
        <f ca="1">IF(Main[[#This Row],[بدهی تسویه نشده (کیلوگرم)]]&gt;0,'گزارش فردی'!$B$7-Main[[#This Row],[تاريخ میلادی]]-'گزارش فردی'!$B$8,0)</f>
        <v>0</v>
      </c>
      <c r="S413" s="6">
        <f ca="1">Main[[#This Row],[روز از ارسال سفارش]]*Main[[#This Row],[بدهی تسویه نشده (کیلوگرم)]]</f>
        <v>0</v>
      </c>
      <c r="T413" s="6">
        <f ca="1">Main[[#This Row],[بدهی سررسید شده (کیلوگرم)]]*Main[[#This Row],[روز از ارسال سفارش]]</f>
        <v>0</v>
      </c>
      <c r="U413" s="6">
        <f>-SUBTOTAL(9,INDEX(Main[مقدار (کیلوگرم)],1):Main[[#This Row],[مقدار (کیلوگرم)]])</f>
        <v>45210</v>
      </c>
      <c r="V4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3" s="6">
        <f>Main[[#This Row],[تعداد کل روزهای بدهکار (روز)]]*Main[[#This Row],[مانده در خط کل (کیلوگرم)]]</f>
        <v>0</v>
      </c>
      <c r="X413" s="6">
        <f ca="1">-SUBTOTAL(9,INDEX(Main[مقدار تسویه شده (کیلوگرم)],1):Main[[#This Row],[مقدار تسویه شده (کیلوگرم)]])</f>
        <v>45210</v>
      </c>
      <c r="Y413" s="6">
        <f ca="1">IF(Main[[#This Row],[مانده در خط تسویه شده (کیلوگرم)]]&lt;&gt;0,Main[[#This Row],[تعداد کل روزهای بدهکار (روز)]],0)</f>
        <v>0</v>
      </c>
      <c r="Z413" s="6">
        <f ca="1">Main[[#This Row],[تعداد روزهای بدهکار تسویه شده (روز)]]*Main[[#This Row],[مانده در خط تسویه شده (کیلوگرم)]]</f>
        <v>0</v>
      </c>
      <c r="AA413" s="6">
        <f ca="1">SUBTOTAL(9,INDEX(Main[بدهی تسویه نشده (کیلوگرم)],1):Main[[#This Row],[بدهی تسویه نشده (کیلوگرم)]])</f>
        <v>0</v>
      </c>
      <c r="AB413" s="6">
        <f ca="1">IF(Main[[#This Row],[مانده در خط تسویه نشده (کیلوگرم)]]&lt;&gt;0,Main[[#This Row],[تعداد کل روزهای بدهکار (روز)]],0)</f>
        <v>0</v>
      </c>
      <c r="AC413" s="6">
        <f ca="1">Main[[#This Row],[تعداد روزهای بدهکار  تسویه نشده (روز)]]*Main[[#This Row],[مانده در خط تسویه نشده (کیلوگرم)]]</f>
        <v>0</v>
      </c>
      <c r="AD413" s="6">
        <f ca="1">SUBTOTAL(9,INDEX(Main[بدهی سررسید شده (کیلوگرم)],1):Main[[#This Row],[بدهی سررسید شده (کیلوگرم)]])</f>
        <v>0</v>
      </c>
      <c r="AE413" s="6">
        <f ca="1">IF(Main[[#This Row],[مانده در خط سررسید شده (کیلوگرم)]]&lt;&gt;0,Main[[#This Row],[تعداد کل روزهای بدهکار (روز)]],0)</f>
        <v>0</v>
      </c>
      <c r="AF413" s="6">
        <f ca="1">Main[[#This Row],[تعداد روزهای بدهکار سررسید شده (روز)]]*Main[[#This Row],[مانده در خط سررسید شده (کیلوگرم)]]</f>
        <v>0</v>
      </c>
    </row>
    <row r="414" spans="1:32" x14ac:dyDescent="0.35">
      <c r="A414" s="5">
        <f>ROW()-ROW(INDEX(Main[ردیف],1))+1</f>
        <v>412</v>
      </c>
      <c r="B414" s="31">
        <f>SUBTOTAL(2,INDEX(Main[ردیف],1):Main[[#This Row],[ردیف]])</f>
        <v>40</v>
      </c>
      <c r="C414" s="32" t="s">
        <v>548</v>
      </c>
      <c r="D414" s="32" t="str">
        <f>_xlfn.CONCAT("14",Main[[#This Row],[تاريخ]])</f>
        <v>1400/02/20</v>
      </c>
      <c r="E414" s="33">
        <v>44326</v>
      </c>
      <c r="F414" s="32">
        <v>10003</v>
      </c>
      <c r="G414" s="5" t="str">
        <f>INDEX(customer[عنوان],MATCH(Main[[#This Row],[کد ردیابی]],customer[کد],0))</f>
        <v>اصغر نورعلی</v>
      </c>
      <c r="H414">
        <v>-1502</v>
      </c>
      <c r="I414" s="6">
        <f ca="1">-Main[[#This Row],[بدهی تسویه شده (کیلوگرم)]]+Main[[#This Row],[بستانکار (کیلوگرم)]]</f>
        <v>-1502</v>
      </c>
      <c r="J414" s="6">
        <f>IF(Main[[#This Row],[مقدار (کیلوگرم)]]&gt;0,Main[[#This Row],[مقدار (کیلوگرم)]],0)</f>
        <v>0</v>
      </c>
      <c r="K414" s="6">
        <f>-IF(Main[[#This Row],[مقدار (کیلوگرم)]]&lt;0,Main[[#This Row],[مقدار (کیلوگرم)]],0)</f>
        <v>1502</v>
      </c>
      <c r="L4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4" s="7">
        <f>-IF(AND(Main[[#This Row],[مقدار (کیلوگرم)]]&lt;0,Main[[#This Row],[تاريخ میلادی]]&gt;44276),Main[[#This Row],[مقدار (کیلوگرم)]],0)</f>
        <v>1502</v>
      </c>
      <c r="N414" s="6">
        <f ca="1">Main[[#This Row],[بدهکار (کیلوگرم)]]-Main[[#This Row],[بدهی تسویه نشده (کیلوگرم)]]</f>
        <v>1502</v>
      </c>
      <c r="O414" s="6">
        <f ca="1">Main[[#This Row],[تفکیک]]</f>
        <v>0</v>
      </c>
      <c r="P414" s="6">
        <f ca="1">IF(Main[[#This Row],[تاخیر از سررسید]]&gt;0,Main[[#This Row],[بدهی تسویه نشده (کیلوگرم)]],0)</f>
        <v>0</v>
      </c>
      <c r="Q414" s="6">
        <f ca="1">IF(Main[[#This Row],[بدهی تسویه نشده (کیلوگرم)]]&gt;0,'گزارش فردی'!$B$7-Main[[#This Row],[تاريخ میلادی]],0)</f>
        <v>0</v>
      </c>
      <c r="R414" s="6">
        <f ca="1">IF(Main[[#This Row],[بدهی تسویه نشده (کیلوگرم)]]&gt;0,'گزارش فردی'!$B$7-Main[[#This Row],[تاريخ میلادی]]-'گزارش فردی'!$B$8,0)</f>
        <v>0</v>
      </c>
      <c r="S414" s="6">
        <f ca="1">Main[[#This Row],[روز از ارسال سفارش]]*Main[[#This Row],[بدهی تسویه نشده (کیلوگرم)]]</f>
        <v>0</v>
      </c>
      <c r="T414" s="6">
        <f ca="1">Main[[#This Row],[بدهی سررسید شده (کیلوگرم)]]*Main[[#This Row],[روز از ارسال سفارش]]</f>
        <v>0</v>
      </c>
      <c r="U414" s="6">
        <f>-SUBTOTAL(9,INDEX(Main[مقدار (کیلوگرم)],1):Main[[#This Row],[مقدار (کیلوگرم)]])</f>
        <v>46712</v>
      </c>
      <c r="V4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4" s="6">
        <f>Main[[#This Row],[تعداد کل روزهای بدهکار (روز)]]*Main[[#This Row],[مانده در خط کل (کیلوگرم)]]</f>
        <v>0</v>
      </c>
      <c r="X414" s="6">
        <f ca="1">-SUBTOTAL(9,INDEX(Main[مقدار تسویه شده (کیلوگرم)],1):Main[[#This Row],[مقدار تسویه شده (کیلوگرم)]])</f>
        <v>46712</v>
      </c>
      <c r="Y414" s="6">
        <f ca="1">IF(Main[[#This Row],[مانده در خط تسویه شده (کیلوگرم)]]&lt;&gt;0,Main[[#This Row],[تعداد کل روزهای بدهکار (روز)]],0)</f>
        <v>0</v>
      </c>
      <c r="Z414" s="6">
        <f ca="1">Main[[#This Row],[تعداد روزهای بدهکار تسویه شده (روز)]]*Main[[#This Row],[مانده در خط تسویه شده (کیلوگرم)]]</f>
        <v>0</v>
      </c>
      <c r="AA414" s="6">
        <f ca="1">SUBTOTAL(9,INDEX(Main[بدهی تسویه نشده (کیلوگرم)],1):Main[[#This Row],[بدهی تسویه نشده (کیلوگرم)]])</f>
        <v>0</v>
      </c>
      <c r="AB414" s="6">
        <f ca="1">IF(Main[[#This Row],[مانده در خط تسویه نشده (کیلوگرم)]]&lt;&gt;0,Main[[#This Row],[تعداد کل روزهای بدهکار (روز)]],0)</f>
        <v>0</v>
      </c>
      <c r="AC414" s="6">
        <f ca="1">Main[[#This Row],[تعداد روزهای بدهکار  تسویه نشده (روز)]]*Main[[#This Row],[مانده در خط تسویه نشده (کیلوگرم)]]</f>
        <v>0</v>
      </c>
      <c r="AD414" s="6">
        <f ca="1">SUBTOTAL(9,INDEX(Main[بدهی سررسید شده (کیلوگرم)],1):Main[[#This Row],[بدهی سررسید شده (کیلوگرم)]])</f>
        <v>0</v>
      </c>
      <c r="AE414" s="6">
        <f ca="1">IF(Main[[#This Row],[مانده در خط سررسید شده (کیلوگرم)]]&lt;&gt;0,Main[[#This Row],[تعداد کل روزهای بدهکار (روز)]],0)</f>
        <v>0</v>
      </c>
      <c r="AF414" s="6">
        <f ca="1">Main[[#This Row],[تعداد روزهای بدهکار سررسید شده (روز)]]*Main[[#This Row],[مانده در خط سررسید شده (کیلوگرم)]]</f>
        <v>0</v>
      </c>
    </row>
    <row r="415" spans="1:32" hidden="1" x14ac:dyDescent="0.35">
      <c r="A415" s="5">
        <f>ROW()-ROW(INDEX(Main[ردیف],1))+1</f>
        <v>413</v>
      </c>
      <c r="B415" s="31">
        <f>SUBTOTAL(2,INDEX(Main[ردیف],1):Main[[#This Row],[ردیف]])</f>
        <v>40</v>
      </c>
      <c r="C415" s="32" t="s">
        <v>548</v>
      </c>
      <c r="D415" s="32" t="str">
        <f>_xlfn.CONCAT("14",Main[[#This Row],[تاريخ]])</f>
        <v>1400/02/20</v>
      </c>
      <c r="E415" s="33">
        <v>44326</v>
      </c>
      <c r="F415" s="32">
        <v>30009</v>
      </c>
      <c r="G415" s="5" t="str">
        <f>INDEX(customer[عنوان],MATCH(Main[[#This Row],[کد ردیابی]],customer[کد],0))</f>
        <v>شرکت ایمن تک پیشرو</v>
      </c>
      <c r="H415">
        <v>2082</v>
      </c>
      <c r="I415" s="6">
        <f ca="1">-Main[[#This Row],[بدهی تسویه شده (کیلوگرم)]]+Main[[#This Row],[بستانکار (کیلوگرم)]]</f>
        <v>2082</v>
      </c>
      <c r="J415" s="6">
        <f>IF(Main[[#This Row],[مقدار (کیلوگرم)]]&gt;0,Main[[#This Row],[مقدار (کیلوگرم)]],0)</f>
        <v>2082</v>
      </c>
      <c r="K415" s="6">
        <f>-IF(Main[[#This Row],[مقدار (کیلوگرم)]]&lt;0,Main[[#This Row],[مقدار (کیلوگرم)]],0)</f>
        <v>0</v>
      </c>
      <c r="L4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5" s="7">
        <f>-IF(AND(Main[[#This Row],[مقدار (کیلوگرم)]]&lt;0,Main[[#This Row],[تاريخ میلادی]]&gt;44276),Main[[#This Row],[مقدار (کیلوگرم)]],0)</f>
        <v>0</v>
      </c>
      <c r="N415" s="6">
        <f ca="1">Main[[#This Row],[بدهکار (کیلوگرم)]]-Main[[#This Row],[بدهی تسویه نشده (کیلوگرم)]]</f>
        <v>0</v>
      </c>
      <c r="O415" s="6">
        <f ca="1">Main[[#This Row],[تفکیک]]</f>
        <v>0</v>
      </c>
      <c r="P415" s="6">
        <f ca="1">IF(Main[[#This Row],[تاخیر از سررسید]]&gt;0,Main[[#This Row],[بدهی تسویه نشده (کیلوگرم)]],0)</f>
        <v>0</v>
      </c>
      <c r="Q415" s="6">
        <f ca="1">IF(Main[[#This Row],[بدهی تسویه نشده (کیلوگرم)]]&gt;0,'گزارش فردی'!$B$7-Main[[#This Row],[تاريخ میلادی]],0)</f>
        <v>0</v>
      </c>
      <c r="R415" s="6">
        <f ca="1">IF(Main[[#This Row],[بدهی تسویه نشده (کیلوگرم)]]&gt;0,'گزارش فردی'!$B$7-Main[[#This Row],[تاريخ میلادی]]-'گزارش فردی'!$B$8,0)</f>
        <v>0</v>
      </c>
      <c r="S415" s="6">
        <f ca="1">Main[[#This Row],[روز از ارسال سفارش]]*Main[[#This Row],[بدهی تسویه نشده (کیلوگرم)]]</f>
        <v>0</v>
      </c>
      <c r="T415" s="6">
        <f ca="1">Main[[#This Row],[بدهی سررسید شده (کیلوگرم)]]*Main[[#This Row],[روز از ارسال سفارش]]</f>
        <v>0</v>
      </c>
      <c r="U415" s="6">
        <f>-SUBTOTAL(9,INDEX(Main[مقدار (کیلوگرم)],1):Main[[#This Row],[مقدار (کیلوگرم)]])</f>
        <v>46712</v>
      </c>
      <c r="V4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5" s="6">
        <f>Main[[#This Row],[تعداد کل روزهای بدهکار (روز)]]*Main[[#This Row],[مانده در خط کل (کیلوگرم)]]</f>
        <v>0</v>
      </c>
      <c r="X415" s="6">
        <f ca="1">-SUBTOTAL(9,INDEX(Main[مقدار تسویه شده (کیلوگرم)],1):Main[[#This Row],[مقدار تسویه شده (کیلوگرم)]])</f>
        <v>46712</v>
      </c>
      <c r="Y415" s="6">
        <f ca="1">IF(Main[[#This Row],[مانده در خط تسویه شده (کیلوگرم)]]&lt;&gt;0,Main[[#This Row],[تعداد کل روزهای بدهکار (روز)]],0)</f>
        <v>0</v>
      </c>
      <c r="Z415" s="6">
        <f ca="1">Main[[#This Row],[تعداد روزهای بدهکار تسویه شده (روز)]]*Main[[#This Row],[مانده در خط تسویه شده (کیلوگرم)]]</f>
        <v>0</v>
      </c>
      <c r="AA415" s="6">
        <f ca="1">SUBTOTAL(9,INDEX(Main[بدهی تسویه نشده (کیلوگرم)],1):Main[[#This Row],[بدهی تسویه نشده (کیلوگرم)]])</f>
        <v>0</v>
      </c>
      <c r="AB415" s="6">
        <f ca="1">IF(Main[[#This Row],[مانده در خط تسویه نشده (کیلوگرم)]]&lt;&gt;0,Main[[#This Row],[تعداد کل روزهای بدهکار (روز)]],0)</f>
        <v>0</v>
      </c>
      <c r="AC415" s="6">
        <f ca="1">Main[[#This Row],[تعداد روزهای بدهکار  تسویه نشده (روز)]]*Main[[#This Row],[مانده در خط تسویه نشده (کیلوگرم)]]</f>
        <v>0</v>
      </c>
      <c r="AD415" s="6">
        <f ca="1">SUBTOTAL(9,INDEX(Main[بدهی سررسید شده (کیلوگرم)],1):Main[[#This Row],[بدهی سررسید شده (کیلوگرم)]])</f>
        <v>0</v>
      </c>
      <c r="AE415" s="6">
        <f ca="1">IF(Main[[#This Row],[مانده در خط سررسید شده (کیلوگرم)]]&lt;&gt;0,Main[[#This Row],[تعداد کل روزهای بدهکار (روز)]],0)</f>
        <v>0</v>
      </c>
      <c r="AF415" s="6">
        <f ca="1">Main[[#This Row],[تعداد روزهای بدهکار سررسید شده (روز)]]*Main[[#This Row],[مانده در خط سررسید شده (کیلوگرم)]]</f>
        <v>0</v>
      </c>
    </row>
    <row r="416" spans="1:32" hidden="1" x14ac:dyDescent="0.35">
      <c r="A416" s="5">
        <f>ROW()-ROW(INDEX(Main[ردیف],1))+1</f>
        <v>414</v>
      </c>
      <c r="B416" s="31">
        <f>SUBTOTAL(2,INDEX(Main[ردیف],1):Main[[#This Row],[ردیف]])</f>
        <v>40</v>
      </c>
      <c r="C416" s="32" t="s">
        <v>548</v>
      </c>
      <c r="D416" s="32" t="str">
        <f>_xlfn.CONCAT("14",Main[[#This Row],[تاريخ]])</f>
        <v>1400/02/20</v>
      </c>
      <c r="E416" s="33">
        <v>44326</v>
      </c>
      <c r="F416" s="32">
        <v>10089</v>
      </c>
      <c r="G416" s="5" t="str">
        <f>INDEX(customer[عنوان],MATCH(Main[[#This Row],[کد ردیابی]],customer[کد],0))</f>
        <v>خسروآبادی مهدی</v>
      </c>
      <c r="H416">
        <v>-147</v>
      </c>
      <c r="I416" s="6">
        <f ca="1">-Main[[#This Row],[بدهی تسویه شده (کیلوگرم)]]+Main[[#This Row],[بستانکار (کیلوگرم)]]</f>
        <v>-147</v>
      </c>
      <c r="J416" s="6">
        <f>IF(Main[[#This Row],[مقدار (کیلوگرم)]]&gt;0,Main[[#This Row],[مقدار (کیلوگرم)]],0)</f>
        <v>0</v>
      </c>
      <c r="K416" s="6">
        <f>-IF(Main[[#This Row],[مقدار (کیلوگرم)]]&lt;0,Main[[#This Row],[مقدار (کیلوگرم)]],0)</f>
        <v>147</v>
      </c>
      <c r="L4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6" s="7">
        <f>-IF(AND(Main[[#This Row],[مقدار (کیلوگرم)]]&lt;0,Main[[#This Row],[تاريخ میلادی]]&gt;44276),Main[[#This Row],[مقدار (کیلوگرم)]],0)</f>
        <v>147</v>
      </c>
      <c r="N416" s="6">
        <f ca="1">Main[[#This Row],[بدهکار (کیلوگرم)]]-Main[[#This Row],[بدهی تسویه نشده (کیلوگرم)]]</f>
        <v>147</v>
      </c>
      <c r="O416" s="6">
        <f ca="1">Main[[#This Row],[تفکیک]]</f>
        <v>0</v>
      </c>
      <c r="P416" s="6">
        <f ca="1">IF(Main[[#This Row],[تاخیر از سررسید]]&gt;0,Main[[#This Row],[بدهی تسویه نشده (کیلوگرم)]],0)</f>
        <v>0</v>
      </c>
      <c r="Q416" s="6">
        <f ca="1">IF(Main[[#This Row],[بدهی تسویه نشده (کیلوگرم)]]&gt;0,'گزارش فردی'!$B$7-Main[[#This Row],[تاريخ میلادی]],0)</f>
        <v>0</v>
      </c>
      <c r="R416" s="6">
        <f ca="1">IF(Main[[#This Row],[بدهی تسویه نشده (کیلوگرم)]]&gt;0,'گزارش فردی'!$B$7-Main[[#This Row],[تاريخ میلادی]]-'گزارش فردی'!$B$8,0)</f>
        <v>0</v>
      </c>
      <c r="S416" s="6">
        <f ca="1">Main[[#This Row],[روز از ارسال سفارش]]*Main[[#This Row],[بدهی تسویه نشده (کیلوگرم)]]</f>
        <v>0</v>
      </c>
      <c r="T416" s="6">
        <f ca="1">Main[[#This Row],[بدهی سررسید شده (کیلوگرم)]]*Main[[#This Row],[روز از ارسال سفارش]]</f>
        <v>0</v>
      </c>
      <c r="U416" s="6">
        <f>-SUBTOTAL(9,INDEX(Main[مقدار (کیلوگرم)],1):Main[[#This Row],[مقدار (کیلوگرم)]])</f>
        <v>46712</v>
      </c>
      <c r="V4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6" s="6">
        <f>Main[[#This Row],[تعداد کل روزهای بدهکار (روز)]]*Main[[#This Row],[مانده در خط کل (کیلوگرم)]]</f>
        <v>0</v>
      </c>
      <c r="X416" s="6">
        <f ca="1">-SUBTOTAL(9,INDEX(Main[مقدار تسویه شده (کیلوگرم)],1):Main[[#This Row],[مقدار تسویه شده (کیلوگرم)]])</f>
        <v>46712</v>
      </c>
      <c r="Y416" s="6">
        <f ca="1">IF(Main[[#This Row],[مانده در خط تسویه شده (کیلوگرم)]]&lt;&gt;0,Main[[#This Row],[تعداد کل روزهای بدهکار (روز)]],0)</f>
        <v>0</v>
      </c>
      <c r="Z416" s="6">
        <f ca="1">Main[[#This Row],[تعداد روزهای بدهکار تسویه شده (روز)]]*Main[[#This Row],[مانده در خط تسویه شده (کیلوگرم)]]</f>
        <v>0</v>
      </c>
      <c r="AA416" s="6">
        <f ca="1">SUBTOTAL(9,INDEX(Main[بدهی تسویه نشده (کیلوگرم)],1):Main[[#This Row],[بدهی تسویه نشده (کیلوگرم)]])</f>
        <v>0</v>
      </c>
      <c r="AB416" s="6">
        <f ca="1">IF(Main[[#This Row],[مانده در خط تسویه نشده (کیلوگرم)]]&lt;&gt;0,Main[[#This Row],[تعداد کل روزهای بدهکار (روز)]],0)</f>
        <v>0</v>
      </c>
      <c r="AC416" s="6">
        <f ca="1">Main[[#This Row],[تعداد روزهای بدهکار  تسویه نشده (روز)]]*Main[[#This Row],[مانده در خط تسویه نشده (کیلوگرم)]]</f>
        <v>0</v>
      </c>
      <c r="AD416" s="6">
        <f ca="1">SUBTOTAL(9,INDEX(Main[بدهی سررسید شده (کیلوگرم)],1):Main[[#This Row],[بدهی سررسید شده (کیلوگرم)]])</f>
        <v>0</v>
      </c>
      <c r="AE416" s="6">
        <f ca="1">IF(Main[[#This Row],[مانده در خط سررسید شده (کیلوگرم)]]&lt;&gt;0,Main[[#This Row],[تعداد کل روزهای بدهکار (روز)]],0)</f>
        <v>0</v>
      </c>
      <c r="AF416" s="6">
        <f ca="1">Main[[#This Row],[تعداد روزهای بدهکار سررسید شده (روز)]]*Main[[#This Row],[مانده در خط سررسید شده (کیلوگرم)]]</f>
        <v>0</v>
      </c>
    </row>
    <row r="417" spans="1:32" hidden="1" x14ac:dyDescent="0.35">
      <c r="A417" s="5">
        <f>ROW()-ROW(INDEX(Main[ردیف],1))+1</f>
        <v>415</v>
      </c>
      <c r="B417" s="31">
        <f>SUBTOTAL(2,INDEX(Main[ردیف],1):Main[[#This Row],[ردیف]])</f>
        <v>40</v>
      </c>
      <c r="C417" s="32" t="s">
        <v>548</v>
      </c>
      <c r="D417" s="32" t="str">
        <f>_xlfn.CONCAT("14",Main[[#This Row],[تاريخ]])</f>
        <v>1400/02/20</v>
      </c>
      <c r="E417" s="33">
        <v>44326</v>
      </c>
      <c r="F417" s="32">
        <v>30003</v>
      </c>
      <c r="G417" s="5" t="str">
        <f>INDEX(customer[عنوان],MATCH(Main[[#This Row],[کد ردیابی]],customer[کد],0))</f>
        <v xml:space="preserve">شهاب گاز سوز </v>
      </c>
      <c r="H417">
        <v>446</v>
      </c>
      <c r="I417" s="6">
        <f ca="1">-Main[[#This Row],[بدهی تسویه شده (کیلوگرم)]]+Main[[#This Row],[بستانکار (کیلوگرم)]]</f>
        <v>446</v>
      </c>
      <c r="J417" s="6">
        <f>IF(Main[[#This Row],[مقدار (کیلوگرم)]]&gt;0,Main[[#This Row],[مقدار (کیلوگرم)]],0)</f>
        <v>446</v>
      </c>
      <c r="K417" s="6">
        <f>-IF(Main[[#This Row],[مقدار (کیلوگرم)]]&lt;0,Main[[#This Row],[مقدار (کیلوگرم)]],0)</f>
        <v>0</v>
      </c>
      <c r="L4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7" s="7">
        <f>-IF(AND(Main[[#This Row],[مقدار (کیلوگرم)]]&lt;0,Main[[#This Row],[تاريخ میلادی]]&gt;44276),Main[[#This Row],[مقدار (کیلوگرم)]],0)</f>
        <v>0</v>
      </c>
      <c r="N417" s="6">
        <f ca="1">Main[[#This Row],[بدهکار (کیلوگرم)]]-Main[[#This Row],[بدهی تسویه نشده (کیلوگرم)]]</f>
        <v>0</v>
      </c>
      <c r="O417" s="6">
        <f ca="1">Main[[#This Row],[تفکیک]]</f>
        <v>0</v>
      </c>
      <c r="P417" s="6">
        <f ca="1">IF(Main[[#This Row],[تاخیر از سررسید]]&gt;0,Main[[#This Row],[بدهی تسویه نشده (کیلوگرم)]],0)</f>
        <v>0</v>
      </c>
      <c r="Q417" s="6">
        <f ca="1">IF(Main[[#This Row],[بدهی تسویه نشده (کیلوگرم)]]&gt;0,'گزارش فردی'!$B$7-Main[[#This Row],[تاريخ میلادی]],0)</f>
        <v>0</v>
      </c>
      <c r="R417" s="6">
        <f ca="1">IF(Main[[#This Row],[بدهی تسویه نشده (کیلوگرم)]]&gt;0,'گزارش فردی'!$B$7-Main[[#This Row],[تاريخ میلادی]]-'گزارش فردی'!$B$8,0)</f>
        <v>0</v>
      </c>
      <c r="S417" s="6">
        <f ca="1">Main[[#This Row],[روز از ارسال سفارش]]*Main[[#This Row],[بدهی تسویه نشده (کیلوگرم)]]</f>
        <v>0</v>
      </c>
      <c r="T417" s="6">
        <f ca="1">Main[[#This Row],[بدهی سررسید شده (کیلوگرم)]]*Main[[#This Row],[روز از ارسال سفارش]]</f>
        <v>0</v>
      </c>
      <c r="U417" s="6">
        <f>-SUBTOTAL(9,INDEX(Main[مقدار (کیلوگرم)],1):Main[[#This Row],[مقدار (کیلوگرم)]])</f>
        <v>46712</v>
      </c>
      <c r="V4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7" s="6">
        <f>Main[[#This Row],[تعداد کل روزهای بدهکار (روز)]]*Main[[#This Row],[مانده در خط کل (کیلوگرم)]]</f>
        <v>0</v>
      </c>
      <c r="X417" s="6">
        <f ca="1">-SUBTOTAL(9,INDEX(Main[مقدار تسویه شده (کیلوگرم)],1):Main[[#This Row],[مقدار تسویه شده (کیلوگرم)]])</f>
        <v>46712</v>
      </c>
      <c r="Y417" s="6">
        <f ca="1">IF(Main[[#This Row],[مانده در خط تسویه شده (کیلوگرم)]]&lt;&gt;0,Main[[#This Row],[تعداد کل روزهای بدهکار (روز)]],0)</f>
        <v>0</v>
      </c>
      <c r="Z417" s="6">
        <f ca="1">Main[[#This Row],[تعداد روزهای بدهکار تسویه شده (روز)]]*Main[[#This Row],[مانده در خط تسویه شده (کیلوگرم)]]</f>
        <v>0</v>
      </c>
      <c r="AA417" s="6">
        <f ca="1">SUBTOTAL(9,INDEX(Main[بدهی تسویه نشده (کیلوگرم)],1):Main[[#This Row],[بدهی تسویه نشده (کیلوگرم)]])</f>
        <v>0</v>
      </c>
      <c r="AB417" s="6">
        <f ca="1">IF(Main[[#This Row],[مانده در خط تسویه نشده (کیلوگرم)]]&lt;&gt;0,Main[[#This Row],[تعداد کل روزهای بدهکار (روز)]],0)</f>
        <v>0</v>
      </c>
      <c r="AC417" s="6">
        <f ca="1">Main[[#This Row],[تعداد روزهای بدهکار  تسویه نشده (روز)]]*Main[[#This Row],[مانده در خط تسویه نشده (کیلوگرم)]]</f>
        <v>0</v>
      </c>
      <c r="AD417" s="6">
        <f ca="1">SUBTOTAL(9,INDEX(Main[بدهی سررسید شده (کیلوگرم)],1):Main[[#This Row],[بدهی سررسید شده (کیلوگرم)]])</f>
        <v>0</v>
      </c>
      <c r="AE417" s="6">
        <f ca="1">IF(Main[[#This Row],[مانده در خط سررسید شده (کیلوگرم)]]&lt;&gt;0,Main[[#This Row],[تعداد کل روزهای بدهکار (روز)]],0)</f>
        <v>0</v>
      </c>
      <c r="AF417" s="6">
        <f ca="1">Main[[#This Row],[تعداد روزهای بدهکار سررسید شده (روز)]]*Main[[#This Row],[مانده در خط سررسید شده (کیلوگرم)]]</f>
        <v>0</v>
      </c>
    </row>
    <row r="418" spans="1:32" hidden="1" x14ac:dyDescent="0.35">
      <c r="A418" s="5">
        <f>ROW()-ROW(INDEX(Main[ردیف],1))+1</f>
        <v>416</v>
      </c>
      <c r="B418" s="31">
        <f>SUBTOTAL(2,INDEX(Main[ردیف],1):Main[[#This Row],[ردیف]])</f>
        <v>40</v>
      </c>
      <c r="C418" s="32" t="s">
        <v>548</v>
      </c>
      <c r="D418" s="32" t="str">
        <f>_xlfn.CONCAT("14",Main[[#This Row],[تاريخ]])</f>
        <v>1400/02/20</v>
      </c>
      <c r="E418" s="33">
        <v>44326</v>
      </c>
      <c r="F418" s="32">
        <v>10026</v>
      </c>
      <c r="G418" s="5" t="str">
        <f>INDEX(customer[عنوان],MATCH(Main[[#This Row],[کد ردیابی]],customer[کد],0))</f>
        <v xml:space="preserve">محسن فیاض بخش </v>
      </c>
      <c r="H418">
        <v>-1794</v>
      </c>
      <c r="I418" s="6">
        <f ca="1">-Main[[#This Row],[بدهی تسویه شده (کیلوگرم)]]+Main[[#This Row],[بستانکار (کیلوگرم)]]</f>
        <v>-1794</v>
      </c>
      <c r="J418" s="6">
        <f>IF(Main[[#This Row],[مقدار (کیلوگرم)]]&gt;0,Main[[#This Row],[مقدار (کیلوگرم)]],0)</f>
        <v>0</v>
      </c>
      <c r="K418" s="6">
        <f>-IF(Main[[#This Row],[مقدار (کیلوگرم)]]&lt;0,Main[[#This Row],[مقدار (کیلوگرم)]],0)</f>
        <v>1794</v>
      </c>
      <c r="L4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8" s="7">
        <f>-IF(AND(Main[[#This Row],[مقدار (کیلوگرم)]]&lt;0,Main[[#This Row],[تاريخ میلادی]]&gt;44276),Main[[#This Row],[مقدار (کیلوگرم)]],0)</f>
        <v>1794</v>
      </c>
      <c r="N418" s="6">
        <f ca="1">Main[[#This Row],[بدهکار (کیلوگرم)]]-Main[[#This Row],[بدهی تسویه نشده (کیلوگرم)]]</f>
        <v>1794</v>
      </c>
      <c r="O418" s="6">
        <f ca="1">Main[[#This Row],[تفکیک]]</f>
        <v>0</v>
      </c>
      <c r="P418" s="6">
        <f ca="1">IF(Main[[#This Row],[تاخیر از سررسید]]&gt;0,Main[[#This Row],[بدهی تسویه نشده (کیلوگرم)]],0)</f>
        <v>0</v>
      </c>
      <c r="Q418" s="6">
        <f ca="1">IF(Main[[#This Row],[بدهی تسویه نشده (کیلوگرم)]]&gt;0,'گزارش فردی'!$B$7-Main[[#This Row],[تاريخ میلادی]],0)</f>
        <v>0</v>
      </c>
      <c r="R418" s="6">
        <f ca="1">IF(Main[[#This Row],[بدهی تسویه نشده (کیلوگرم)]]&gt;0,'گزارش فردی'!$B$7-Main[[#This Row],[تاريخ میلادی]]-'گزارش فردی'!$B$8,0)</f>
        <v>0</v>
      </c>
      <c r="S418" s="6">
        <f ca="1">Main[[#This Row],[روز از ارسال سفارش]]*Main[[#This Row],[بدهی تسویه نشده (کیلوگرم)]]</f>
        <v>0</v>
      </c>
      <c r="T418" s="6">
        <f ca="1">Main[[#This Row],[بدهی سررسید شده (کیلوگرم)]]*Main[[#This Row],[روز از ارسال سفارش]]</f>
        <v>0</v>
      </c>
      <c r="U418" s="6">
        <f>-SUBTOTAL(9,INDEX(Main[مقدار (کیلوگرم)],1):Main[[#This Row],[مقدار (کیلوگرم)]])</f>
        <v>46712</v>
      </c>
      <c r="V4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8" s="6">
        <f>Main[[#This Row],[تعداد کل روزهای بدهکار (روز)]]*Main[[#This Row],[مانده در خط کل (کیلوگرم)]]</f>
        <v>0</v>
      </c>
      <c r="X418" s="6">
        <f ca="1">-SUBTOTAL(9,INDEX(Main[مقدار تسویه شده (کیلوگرم)],1):Main[[#This Row],[مقدار تسویه شده (کیلوگرم)]])</f>
        <v>46712</v>
      </c>
      <c r="Y418" s="6">
        <f ca="1">IF(Main[[#This Row],[مانده در خط تسویه شده (کیلوگرم)]]&lt;&gt;0,Main[[#This Row],[تعداد کل روزهای بدهکار (روز)]],0)</f>
        <v>0</v>
      </c>
      <c r="Z418" s="6">
        <f ca="1">Main[[#This Row],[تعداد روزهای بدهکار تسویه شده (روز)]]*Main[[#This Row],[مانده در خط تسویه شده (کیلوگرم)]]</f>
        <v>0</v>
      </c>
      <c r="AA418" s="6">
        <f ca="1">SUBTOTAL(9,INDEX(Main[بدهی تسویه نشده (کیلوگرم)],1):Main[[#This Row],[بدهی تسویه نشده (کیلوگرم)]])</f>
        <v>0</v>
      </c>
      <c r="AB418" s="6">
        <f ca="1">IF(Main[[#This Row],[مانده در خط تسویه نشده (کیلوگرم)]]&lt;&gt;0,Main[[#This Row],[تعداد کل روزهای بدهکار (روز)]],0)</f>
        <v>0</v>
      </c>
      <c r="AC418" s="6">
        <f ca="1">Main[[#This Row],[تعداد روزهای بدهکار  تسویه نشده (روز)]]*Main[[#This Row],[مانده در خط تسویه نشده (کیلوگرم)]]</f>
        <v>0</v>
      </c>
      <c r="AD418" s="6">
        <f ca="1">SUBTOTAL(9,INDEX(Main[بدهی سررسید شده (کیلوگرم)],1):Main[[#This Row],[بدهی سررسید شده (کیلوگرم)]])</f>
        <v>0</v>
      </c>
      <c r="AE418" s="6">
        <f ca="1">IF(Main[[#This Row],[مانده در خط سررسید شده (کیلوگرم)]]&lt;&gt;0,Main[[#This Row],[تعداد کل روزهای بدهکار (روز)]],0)</f>
        <v>0</v>
      </c>
      <c r="AF418" s="6">
        <f ca="1">Main[[#This Row],[تعداد روزهای بدهکار سررسید شده (روز)]]*Main[[#This Row],[مانده در خط سررسید شده (کیلوگرم)]]</f>
        <v>0</v>
      </c>
    </row>
    <row r="419" spans="1:32" x14ac:dyDescent="0.35">
      <c r="A419" s="5">
        <f>ROW()-ROW(INDEX(Main[ردیف],1))+1</f>
        <v>417</v>
      </c>
      <c r="B419" s="31">
        <f>SUBTOTAL(2,INDEX(Main[ردیف],1):Main[[#This Row],[ردیف]])</f>
        <v>41</v>
      </c>
      <c r="C419" s="32" t="s">
        <v>548</v>
      </c>
      <c r="D419" s="32" t="str">
        <f>_xlfn.CONCAT("14",Main[[#This Row],[تاريخ]])</f>
        <v>1400/02/20</v>
      </c>
      <c r="E419" s="33">
        <v>44326</v>
      </c>
      <c r="F419" s="32">
        <v>10003</v>
      </c>
      <c r="G419" s="5" t="str">
        <f>INDEX(customer[عنوان],MATCH(Main[[#This Row],[کد ردیابی]],customer[کد],0))</f>
        <v>اصغر نورعلی</v>
      </c>
      <c r="H419">
        <v>2333</v>
      </c>
      <c r="I419" s="6">
        <f ca="1">-Main[[#This Row],[بدهی تسویه شده (کیلوگرم)]]+Main[[#This Row],[بستانکار (کیلوگرم)]]</f>
        <v>2333</v>
      </c>
      <c r="J419" s="6">
        <f>IF(Main[[#This Row],[مقدار (کیلوگرم)]]&gt;0,Main[[#This Row],[مقدار (کیلوگرم)]],0)</f>
        <v>2333</v>
      </c>
      <c r="K419" s="6">
        <f>-IF(Main[[#This Row],[مقدار (کیلوگرم)]]&lt;0,Main[[#This Row],[مقدار (کیلوگرم)]],0)</f>
        <v>0</v>
      </c>
      <c r="L4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9" s="7">
        <f>-IF(AND(Main[[#This Row],[مقدار (کیلوگرم)]]&lt;0,Main[[#This Row],[تاريخ میلادی]]&gt;44276),Main[[#This Row],[مقدار (کیلوگرم)]],0)</f>
        <v>0</v>
      </c>
      <c r="N419" s="6">
        <f ca="1">Main[[#This Row],[بدهکار (کیلوگرم)]]-Main[[#This Row],[بدهی تسویه نشده (کیلوگرم)]]</f>
        <v>0</v>
      </c>
      <c r="O419" s="6">
        <f ca="1">Main[[#This Row],[تفکیک]]</f>
        <v>0</v>
      </c>
      <c r="P419" s="6">
        <f ca="1">IF(Main[[#This Row],[تاخیر از سررسید]]&gt;0,Main[[#This Row],[بدهی تسویه نشده (کیلوگرم)]],0)</f>
        <v>0</v>
      </c>
      <c r="Q419" s="6">
        <f ca="1">IF(Main[[#This Row],[بدهی تسویه نشده (کیلوگرم)]]&gt;0,'گزارش فردی'!$B$7-Main[[#This Row],[تاريخ میلادی]],0)</f>
        <v>0</v>
      </c>
      <c r="R419" s="6">
        <f ca="1">IF(Main[[#This Row],[بدهی تسویه نشده (کیلوگرم)]]&gt;0,'گزارش فردی'!$B$7-Main[[#This Row],[تاريخ میلادی]]-'گزارش فردی'!$B$8,0)</f>
        <v>0</v>
      </c>
      <c r="S419" s="6">
        <f ca="1">Main[[#This Row],[روز از ارسال سفارش]]*Main[[#This Row],[بدهی تسویه نشده (کیلوگرم)]]</f>
        <v>0</v>
      </c>
      <c r="T419" s="6">
        <f ca="1">Main[[#This Row],[بدهی سررسید شده (کیلوگرم)]]*Main[[#This Row],[روز از ارسال سفارش]]</f>
        <v>0</v>
      </c>
      <c r="U419" s="6">
        <f>-SUBTOTAL(9,INDEX(Main[مقدار (کیلوگرم)],1):Main[[#This Row],[مقدار (کیلوگرم)]])</f>
        <v>44379</v>
      </c>
      <c r="V4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19" s="6">
        <f>Main[[#This Row],[تعداد کل روزهای بدهکار (روز)]]*Main[[#This Row],[مانده در خط کل (کیلوگرم)]]</f>
        <v>44379</v>
      </c>
      <c r="X419" s="6">
        <f ca="1">-SUBTOTAL(9,INDEX(Main[مقدار تسویه شده (کیلوگرم)],1):Main[[#This Row],[مقدار تسویه شده (کیلوگرم)]])</f>
        <v>44379</v>
      </c>
      <c r="Y419" s="6">
        <f ca="1">IF(Main[[#This Row],[مانده در خط تسویه شده (کیلوگرم)]]&lt;&gt;0,Main[[#This Row],[تعداد کل روزهای بدهکار (روز)]],0)</f>
        <v>1</v>
      </c>
      <c r="Z419" s="6">
        <f ca="1">Main[[#This Row],[تعداد روزهای بدهکار تسویه شده (روز)]]*Main[[#This Row],[مانده در خط تسویه شده (کیلوگرم)]]</f>
        <v>44379</v>
      </c>
      <c r="AA419" s="6">
        <f ca="1">SUBTOTAL(9,INDEX(Main[بدهی تسویه نشده (کیلوگرم)],1):Main[[#This Row],[بدهی تسویه نشده (کیلوگرم)]])</f>
        <v>0</v>
      </c>
      <c r="AB419" s="6">
        <f ca="1">IF(Main[[#This Row],[مانده در خط تسویه نشده (کیلوگرم)]]&lt;&gt;0,Main[[#This Row],[تعداد کل روزهای بدهکار (روز)]],0)</f>
        <v>0</v>
      </c>
      <c r="AC419" s="6">
        <f ca="1">Main[[#This Row],[تعداد روزهای بدهکار  تسویه نشده (روز)]]*Main[[#This Row],[مانده در خط تسویه نشده (کیلوگرم)]]</f>
        <v>0</v>
      </c>
      <c r="AD419" s="6">
        <f ca="1">SUBTOTAL(9,INDEX(Main[بدهی سررسید شده (کیلوگرم)],1):Main[[#This Row],[بدهی سررسید شده (کیلوگرم)]])</f>
        <v>0</v>
      </c>
      <c r="AE419" s="6">
        <f ca="1">IF(Main[[#This Row],[مانده در خط سررسید شده (کیلوگرم)]]&lt;&gt;0,Main[[#This Row],[تعداد کل روزهای بدهکار (روز)]],0)</f>
        <v>0</v>
      </c>
      <c r="AF419" s="6">
        <f ca="1">Main[[#This Row],[تعداد روزهای بدهکار سررسید شده (روز)]]*Main[[#This Row],[مانده در خط سررسید شده (کیلوگرم)]]</f>
        <v>0</v>
      </c>
    </row>
    <row r="420" spans="1:32" hidden="1" x14ac:dyDescent="0.35">
      <c r="A420" s="5">
        <f>ROW()-ROW(INDEX(Main[ردیف],1))+1</f>
        <v>418</v>
      </c>
      <c r="B420" s="31">
        <f>SUBTOTAL(2,INDEX(Main[ردیف],1):Main[[#This Row],[ردیف]])</f>
        <v>41</v>
      </c>
      <c r="C420" s="32" t="s">
        <v>548</v>
      </c>
      <c r="D420" s="32" t="str">
        <f>_xlfn.CONCAT("14",Main[[#This Row],[تاريخ]])</f>
        <v>1400/02/20</v>
      </c>
      <c r="E420" s="33">
        <v>44326</v>
      </c>
      <c r="F420" s="32">
        <v>30186</v>
      </c>
      <c r="G420" s="5" t="str">
        <f>INDEX(customer[عنوان],MATCH(Main[[#This Row],[کد ردیابی]],customer[کد],0))</f>
        <v>سارا گاز</v>
      </c>
      <c r="H420">
        <v>1788</v>
      </c>
      <c r="I420" s="6">
        <f ca="1">-Main[[#This Row],[بدهی تسویه شده (کیلوگرم)]]+Main[[#This Row],[بستانکار (کیلوگرم)]]</f>
        <v>1788</v>
      </c>
      <c r="J420" s="6">
        <f>IF(Main[[#This Row],[مقدار (کیلوگرم)]]&gt;0,Main[[#This Row],[مقدار (کیلوگرم)]],0)</f>
        <v>1788</v>
      </c>
      <c r="K420" s="6">
        <f>-IF(Main[[#This Row],[مقدار (کیلوگرم)]]&lt;0,Main[[#This Row],[مقدار (کیلوگرم)]],0)</f>
        <v>0</v>
      </c>
      <c r="L4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0" s="7">
        <f>-IF(AND(Main[[#This Row],[مقدار (کیلوگرم)]]&lt;0,Main[[#This Row],[تاريخ میلادی]]&gt;44276),Main[[#This Row],[مقدار (کیلوگرم)]],0)</f>
        <v>0</v>
      </c>
      <c r="N420" s="6">
        <f ca="1">Main[[#This Row],[بدهکار (کیلوگرم)]]-Main[[#This Row],[بدهی تسویه نشده (کیلوگرم)]]</f>
        <v>0</v>
      </c>
      <c r="O420" s="6">
        <f ca="1">Main[[#This Row],[تفکیک]]</f>
        <v>0</v>
      </c>
      <c r="P420" s="6">
        <f ca="1">IF(Main[[#This Row],[تاخیر از سررسید]]&gt;0,Main[[#This Row],[بدهی تسویه نشده (کیلوگرم)]],0)</f>
        <v>0</v>
      </c>
      <c r="Q420" s="6">
        <f ca="1">IF(Main[[#This Row],[بدهی تسویه نشده (کیلوگرم)]]&gt;0,'گزارش فردی'!$B$7-Main[[#This Row],[تاريخ میلادی]],0)</f>
        <v>0</v>
      </c>
      <c r="R420" s="6">
        <f ca="1">IF(Main[[#This Row],[بدهی تسویه نشده (کیلوگرم)]]&gt;0,'گزارش فردی'!$B$7-Main[[#This Row],[تاريخ میلادی]]-'گزارش فردی'!$B$8,0)</f>
        <v>0</v>
      </c>
      <c r="S420" s="6">
        <f ca="1">Main[[#This Row],[روز از ارسال سفارش]]*Main[[#This Row],[بدهی تسویه نشده (کیلوگرم)]]</f>
        <v>0</v>
      </c>
      <c r="T420" s="6">
        <f ca="1">Main[[#This Row],[بدهی سررسید شده (کیلوگرم)]]*Main[[#This Row],[روز از ارسال سفارش]]</f>
        <v>0</v>
      </c>
      <c r="U420" s="6">
        <f>-SUBTOTAL(9,INDEX(Main[مقدار (کیلوگرم)],1):Main[[#This Row],[مقدار (کیلوگرم)]])</f>
        <v>44379</v>
      </c>
      <c r="V4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20" s="6">
        <f>Main[[#This Row],[تعداد کل روزهای بدهکار (روز)]]*Main[[#This Row],[مانده در خط کل (کیلوگرم)]]</f>
        <v>44379</v>
      </c>
      <c r="X420" s="6">
        <f ca="1">-SUBTOTAL(9,INDEX(Main[مقدار تسویه شده (کیلوگرم)],1):Main[[#This Row],[مقدار تسویه شده (کیلوگرم)]])</f>
        <v>44379</v>
      </c>
      <c r="Y420" s="6">
        <f ca="1">IF(Main[[#This Row],[مانده در خط تسویه شده (کیلوگرم)]]&lt;&gt;0,Main[[#This Row],[تعداد کل روزهای بدهکار (روز)]],0)</f>
        <v>1</v>
      </c>
      <c r="Z420" s="6">
        <f ca="1">Main[[#This Row],[تعداد روزهای بدهکار تسویه شده (روز)]]*Main[[#This Row],[مانده در خط تسویه شده (کیلوگرم)]]</f>
        <v>44379</v>
      </c>
      <c r="AA420" s="6">
        <f ca="1">SUBTOTAL(9,INDEX(Main[بدهی تسویه نشده (کیلوگرم)],1):Main[[#This Row],[بدهی تسویه نشده (کیلوگرم)]])</f>
        <v>0</v>
      </c>
      <c r="AB420" s="6">
        <f ca="1">IF(Main[[#This Row],[مانده در خط تسویه نشده (کیلوگرم)]]&lt;&gt;0,Main[[#This Row],[تعداد کل روزهای بدهکار (روز)]],0)</f>
        <v>0</v>
      </c>
      <c r="AC420" s="6">
        <f ca="1">Main[[#This Row],[تعداد روزهای بدهکار  تسویه نشده (روز)]]*Main[[#This Row],[مانده در خط تسویه نشده (کیلوگرم)]]</f>
        <v>0</v>
      </c>
      <c r="AD420" s="6">
        <f ca="1">SUBTOTAL(9,INDEX(Main[بدهی سررسید شده (کیلوگرم)],1):Main[[#This Row],[بدهی سررسید شده (کیلوگرم)]])</f>
        <v>0</v>
      </c>
      <c r="AE420" s="6">
        <f ca="1">IF(Main[[#This Row],[مانده در خط سررسید شده (کیلوگرم)]]&lt;&gt;0,Main[[#This Row],[تعداد کل روزهای بدهکار (روز)]],0)</f>
        <v>0</v>
      </c>
      <c r="AF420" s="6">
        <f ca="1">Main[[#This Row],[تعداد روزهای بدهکار سررسید شده (روز)]]*Main[[#This Row],[مانده در خط سررسید شده (کیلوگرم)]]</f>
        <v>0</v>
      </c>
    </row>
    <row r="421" spans="1:32" hidden="1" x14ac:dyDescent="0.35">
      <c r="A421" s="5">
        <f>ROW()-ROW(INDEX(Main[ردیف],1))+1</f>
        <v>419</v>
      </c>
      <c r="B421" s="31">
        <f>SUBTOTAL(2,INDEX(Main[ردیف],1):Main[[#This Row],[ردیف]])</f>
        <v>41</v>
      </c>
      <c r="C421" s="32" t="s">
        <v>549</v>
      </c>
      <c r="D421" s="32" t="str">
        <f>_xlfn.CONCAT("14",Main[[#This Row],[تاريخ]])</f>
        <v>1400/02/21</v>
      </c>
      <c r="E421" s="33">
        <v>44327</v>
      </c>
      <c r="F421" s="32">
        <v>30099</v>
      </c>
      <c r="G421" s="5" t="str">
        <f>INDEX(customer[عنوان],MATCH(Main[[#This Row],[کد ردیابی]],customer[کد],0))</f>
        <v>ایران شرق نیشابور</v>
      </c>
      <c r="H421">
        <v>-1012</v>
      </c>
      <c r="I421" s="6">
        <f ca="1">-Main[[#This Row],[بدهی تسویه شده (کیلوگرم)]]+Main[[#This Row],[بستانکار (کیلوگرم)]]</f>
        <v>-1012</v>
      </c>
      <c r="J421" s="6">
        <f>IF(Main[[#This Row],[مقدار (کیلوگرم)]]&gt;0,Main[[#This Row],[مقدار (کیلوگرم)]],0)</f>
        <v>0</v>
      </c>
      <c r="K421" s="6">
        <f>-IF(Main[[#This Row],[مقدار (کیلوگرم)]]&lt;0,Main[[#This Row],[مقدار (کیلوگرم)]],0)</f>
        <v>1012</v>
      </c>
      <c r="L4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1" s="7">
        <f>-IF(AND(Main[[#This Row],[مقدار (کیلوگرم)]]&lt;0,Main[[#This Row],[تاريخ میلادی]]&gt;44276),Main[[#This Row],[مقدار (کیلوگرم)]],0)</f>
        <v>1012</v>
      </c>
      <c r="N421" s="6">
        <f ca="1">Main[[#This Row],[بدهکار (کیلوگرم)]]-Main[[#This Row],[بدهی تسویه نشده (کیلوگرم)]]</f>
        <v>1012</v>
      </c>
      <c r="O421" s="6">
        <f ca="1">Main[[#This Row],[تفکیک]]</f>
        <v>0</v>
      </c>
      <c r="P421" s="6">
        <f ca="1">IF(Main[[#This Row],[تاخیر از سررسید]]&gt;0,Main[[#This Row],[بدهی تسویه نشده (کیلوگرم)]],0)</f>
        <v>0</v>
      </c>
      <c r="Q421" s="6">
        <f ca="1">IF(Main[[#This Row],[بدهی تسویه نشده (کیلوگرم)]]&gt;0,'گزارش فردی'!$B$7-Main[[#This Row],[تاريخ میلادی]],0)</f>
        <v>0</v>
      </c>
      <c r="R421" s="6">
        <f ca="1">IF(Main[[#This Row],[بدهی تسویه نشده (کیلوگرم)]]&gt;0,'گزارش فردی'!$B$7-Main[[#This Row],[تاريخ میلادی]]-'گزارش فردی'!$B$8,0)</f>
        <v>0</v>
      </c>
      <c r="S421" s="6">
        <f ca="1">Main[[#This Row],[روز از ارسال سفارش]]*Main[[#This Row],[بدهی تسویه نشده (کیلوگرم)]]</f>
        <v>0</v>
      </c>
      <c r="T421" s="6">
        <f ca="1">Main[[#This Row],[بدهی سررسید شده (کیلوگرم)]]*Main[[#This Row],[روز از ارسال سفارش]]</f>
        <v>0</v>
      </c>
      <c r="U421" s="6">
        <f>-SUBTOTAL(9,INDEX(Main[مقدار (کیلوگرم)],1):Main[[#This Row],[مقدار (کیلوگرم)]])</f>
        <v>44379</v>
      </c>
      <c r="V4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1" s="6">
        <f>Main[[#This Row],[تعداد کل روزهای بدهکار (روز)]]*Main[[#This Row],[مانده در خط کل (کیلوگرم)]]</f>
        <v>0</v>
      </c>
      <c r="X421" s="6">
        <f ca="1">-SUBTOTAL(9,INDEX(Main[مقدار تسویه شده (کیلوگرم)],1):Main[[#This Row],[مقدار تسویه شده (کیلوگرم)]])</f>
        <v>44379</v>
      </c>
      <c r="Y421" s="6">
        <f ca="1">IF(Main[[#This Row],[مانده در خط تسویه شده (کیلوگرم)]]&lt;&gt;0,Main[[#This Row],[تعداد کل روزهای بدهکار (روز)]],0)</f>
        <v>0</v>
      </c>
      <c r="Z421" s="6">
        <f ca="1">Main[[#This Row],[تعداد روزهای بدهکار تسویه شده (روز)]]*Main[[#This Row],[مانده در خط تسویه شده (کیلوگرم)]]</f>
        <v>0</v>
      </c>
      <c r="AA421" s="6">
        <f ca="1">SUBTOTAL(9,INDEX(Main[بدهی تسویه نشده (کیلوگرم)],1):Main[[#This Row],[بدهی تسویه نشده (کیلوگرم)]])</f>
        <v>0</v>
      </c>
      <c r="AB421" s="6">
        <f ca="1">IF(Main[[#This Row],[مانده در خط تسویه نشده (کیلوگرم)]]&lt;&gt;0,Main[[#This Row],[تعداد کل روزهای بدهکار (روز)]],0)</f>
        <v>0</v>
      </c>
      <c r="AC421" s="6">
        <f ca="1">Main[[#This Row],[تعداد روزهای بدهکار  تسویه نشده (روز)]]*Main[[#This Row],[مانده در خط تسویه نشده (کیلوگرم)]]</f>
        <v>0</v>
      </c>
      <c r="AD421" s="6">
        <f ca="1">SUBTOTAL(9,INDEX(Main[بدهی سررسید شده (کیلوگرم)],1):Main[[#This Row],[بدهی سررسید شده (کیلوگرم)]])</f>
        <v>0</v>
      </c>
      <c r="AE421" s="6">
        <f ca="1">IF(Main[[#This Row],[مانده در خط سررسید شده (کیلوگرم)]]&lt;&gt;0,Main[[#This Row],[تعداد کل روزهای بدهکار (روز)]],0)</f>
        <v>0</v>
      </c>
      <c r="AF421" s="6">
        <f ca="1">Main[[#This Row],[تعداد روزهای بدهکار سررسید شده (روز)]]*Main[[#This Row],[مانده در خط سررسید شده (کیلوگرم)]]</f>
        <v>0</v>
      </c>
    </row>
    <row r="422" spans="1:32" x14ac:dyDescent="0.35">
      <c r="A422" s="5">
        <f>ROW()-ROW(INDEX(Main[ردیف],1))+1</f>
        <v>420</v>
      </c>
      <c r="B422" s="31">
        <f>SUBTOTAL(2,INDEX(Main[ردیف],1):Main[[#This Row],[ردیف]])</f>
        <v>42</v>
      </c>
      <c r="C422" s="32" t="s">
        <v>549</v>
      </c>
      <c r="D422" s="32" t="str">
        <f>_xlfn.CONCAT("14",Main[[#This Row],[تاريخ]])</f>
        <v>1400/02/21</v>
      </c>
      <c r="E422" s="33">
        <v>44327</v>
      </c>
      <c r="F422" s="32">
        <v>10003</v>
      </c>
      <c r="G422" s="5" t="str">
        <f>INDEX(customer[عنوان],MATCH(Main[[#This Row],[کد ردیابی]],customer[کد],0))</f>
        <v>اصغر نورعلی</v>
      </c>
      <c r="H422">
        <v>20000</v>
      </c>
      <c r="I422" s="6">
        <f ca="1">-Main[[#This Row],[بدهی تسویه شده (کیلوگرم)]]+Main[[#This Row],[بستانکار (کیلوگرم)]]</f>
        <v>20000</v>
      </c>
      <c r="J422" s="6">
        <f>IF(Main[[#This Row],[مقدار (کیلوگرم)]]&gt;0,Main[[#This Row],[مقدار (کیلوگرم)]],0)</f>
        <v>20000</v>
      </c>
      <c r="K422" s="6">
        <f>-IF(Main[[#This Row],[مقدار (کیلوگرم)]]&lt;0,Main[[#This Row],[مقدار (کیلوگرم)]],0)</f>
        <v>0</v>
      </c>
      <c r="L4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2" s="7">
        <f>-IF(AND(Main[[#This Row],[مقدار (کیلوگرم)]]&lt;0,Main[[#This Row],[تاريخ میلادی]]&gt;44276),Main[[#This Row],[مقدار (کیلوگرم)]],0)</f>
        <v>0</v>
      </c>
      <c r="N422" s="6">
        <f ca="1">Main[[#This Row],[بدهکار (کیلوگرم)]]-Main[[#This Row],[بدهی تسویه نشده (کیلوگرم)]]</f>
        <v>0</v>
      </c>
      <c r="O422" s="6">
        <f ca="1">Main[[#This Row],[تفکیک]]</f>
        <v>0</v>
      </c>
      <c r="P422" s="6">
        <f ca="1">IF(Main[[#This Row],[تاخیر از سررسید]]&gt;0,Main[[#This Row],[بدهی تسویه نشده (کیلوگرم)]],0)</f>
        <v>0</v>
      </c>
      <c r="Q422" s="6">
        <f ca="1">IF(Main[[#This Row],[بدهی تسویه نشده (کیلوگرم)]]&gt;0,'گزارش فردی'!$B$7-Main[[#This Row],[تاريخ میلادی]],0)</f>
        <v>0</v>
      </c>
      <c r="R422" s="6">
        <f ca="1">IF(Main[[#This Row],[بدهی تسویه نشده (کیلوگرم)]]&gt;0,'گزارش فردی'!$B$7-Main[[#This Row],[تاريخ میلادی]]-'گزارش فردی'!$B$8,0)</f>
        <v>0</v>
      </c>
      <c r="S422" s="6">
        <f ca="1">Main[[#This Row],[روز از ارسال سفارش]]*Main[[#This Row],[بدهی تسویه نشده (کیلوگرم)]]</f>
        <v>0</v>
      </c>
      <c r="T422" s="6">
        <f ca="1">Main[[#This Row],[بدهی سررسید شده (کیلوگرم)]]*Main[[#This Row],[روز از ارسال سفارش]]</f>
        <v>0</v>
      </c>
      <c r="U422" s="6">
        <f>-SUBTOTAL(9,INDEX(Main[مقدار (کیلوگرم)],1):Main[[#This Row],[مقدار (کیلوگرم)]])</f>
        <v>24379</v>
      </c>
      <c r="V4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2" s="6">
        <f>Main[[#This Row],[تعداد کل روزهای بدهکار (روز)]]*Main[[#This Row],[مانده در خط کل (کیلوگرم)]]</f>
        <v>0</v>
      </c>
      <c r="X422" s="6">
        <f ca="1">-SUBTOTAL(9,INDEX(Main[مقدار تسویه شده (کیلوگرم)],1):Main[[#This Row],[مقدار تسویه شده (کیلوگرم)]])</f>
        <v>24379</v>
      </c>
      <c r="Y422" s="6">
        <f ca="1">IF(Main[[#This Row],[مانده در خط تسویه شده (کیلوگرم)]]&lt;&gt;0,Main[[#This Row],[تعداد کل روزهای بدهکار (روز)]],0)</f>
        <v>0</v>
      </c>
      <c r="Z422" s="6">
        <f ca="1">Main[[#This Row],[تعداد روزهای بدهکار تسویه شده (روز)]]*Main[[#This Row],[مانده در خط تسویه شده (کیلوگرم)]]</f>
        <v>0</v>
      </c>
      <c r="AA422" s="6">
        <f ca="1">SUBTOTAL(9,INDEX(Main[بدهی تسویه نشده (کیلوگرم)],1):Main[[#This Row],[بدهی تسویه نشده (کیلوگرم)]])</f>
        <v>0</v>
      </c>
      <c r="AB422" s="6">
        <f ca="1">IF(Main[[#This Row],[مانده در خط تسویه نشده (کیلوگرم)]]&lt;&gt;0,Main[[#This Row],[تعداد کل روزهای بدهکار (روز)]],0)</f>
        <v>0</v>
      </c>
      <c r="AC422" s="6">
        <f ca="1">Main[[#This Row],[تعداد روزهای بدهکار  تسویه نشده (روز)]]*Main[[#This Row],[مانده در خط تسویه نشده (کیلوگرم)]]</f>
        <v>0</v>
      </c>
      <c r="AD422" s="6">
        <f ca="1">SUBTOTAL(9,INDEX(Main[بدهی سررسید شده (کیلوگرم)],1):Main[[#This Row],[بدهی سررسید شده (کیلوگرم)]])</f>
        <v>0</v>
      </c>
      <c r="AE422" s="6">
        <f ca="1">IF(Main[[#This Row],[مانده در خط سررسید شده (کیلوگرم)]]&lt;&gt;0,Main[[#This Row],[تعداد کل روزهای بدهکار (روز)]],0)</f>
        <v>0</v>
      </c>
      <c r="AF422" s="6">
        <f ca="1">Main[[#This Row],[تعداد روزهای بدهکار سررسید شده (روز)]]*Main[[#This Row],[مانده در خط سررسید شده (کیلوگرم)]]</f>
        <v>0</v>
      </c>
    </row>
    <row r="423" spans="1:32" hidden="1" x14ac:dyDescent="0.35">
      <c r="A423" s="5">
        <f>ROW()-ROW(INDEX(Main[ردیف],1))+1</f>
        <v>421</v>
      </c>
      <c r="B423" s="31">
        <f>SUBTOTAL(2,INDEX(Main[ردیف],1):Main[[#This Row],[ردیف]])</f>
        <v>42</v>
      </c>
      <c r="C423" s="32" t="s">
        <v>549</v>
      </c>
      <c r="D423" s="32" t="str">
        <f>_xlfn.CONCAT("14",Main[[#This Row],[تاريخ]])</f>
        <v>1400/02/21</v>
      </c>
      <c r="E423" s="33">
        <v>44327</v>
      </c>
      <c r="F423" s="32">
        <v>30081</v>
      </c>
      <c r="G423" s="5" t="str">
        <f>INDEX(customer[عنوان],MATCH(Main[[#This Row],[کد ردیابی]],customer[کد],0))</f>
        <v xml:space="preserve">شیرآلات بهداشتی راسان </v>
      </c>
      <c r="H423">
        <v>-4883</v>
      </c>
      <c r="I423" s="6">
        <f ca="1">-Main[[#This Row],[بدهی تسویه شده (کیلوگرم)]]+Main[[#This Row],[بستانکار (کیلوگرم)]]</f>
        <v>-4883</v>
      </c>
      <c r="J423" s="6">
        <f>IF(Main[[#This Row],[مقدار (کیلوگرم)]]&gt;0,Main[[#This Row],[مقدار (کیلوگرم)]],0)</f>
        <v>0</v>
      </c>
      <c r="K423" s="6">
        <f>-IF(Main[[#This Row],[مقدار (کیلوگرم)]]&lt;0,Main[[#This Row],[مقدار (کیلوگرم)]],0)</f>
        <v>4883</v>
      </c>
      <c r="L4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3" s="7">
        <f>-IF(AND(Main[[#This Row],[مقدار (کیلوگرم)]]&lt;0,Main[[#This Row],[تاريخ میلادی]]&gt;44276),Main[[#This Row],[مقدار (کیلوگرم)]],0)</f>
        <v>4883</v>
      </c>
      <c r="N423" s="6">
        <f ca="1">Main[[#This Row],[بدهکار (کیلوگرم)]]-Main[[#This Row],[بدهی تسویه نشده (کیلوگرم)]]</f>
        <v>4883</v>
      </c>
      <c r="O423" s="6">
        <f ca="1">Main[[#This Row],[تفکیک]]</f>
        <v>0</v>
      </c>
      <c r="P423" s="6">
        <f ca="1">IF(Main[[#This Row],[تاخیر از سررسید]]&gt;0,Main[[#This Row],[بدهی تسویه نشده (کیلوگرم)]],0)</f>
        <v>0</v>
      </c>
      <c r="Q423" s="6">
        <f ca="1">IF(Main[[#This Row],[بدهی تسویه نشده (کیلوگرم)]]&gt;0,'گزارش فردی'!$B$7-Main[[#This Row],[تاريخ میلادی]],0)</f>
        <v>0</v>
      </c>
      <c r="R423" s="6">
        <f ca="1">IF(Main[[#This Row],[بدهی تسویه نشده (کیلوگرم)]]&gt;0,'گزارش فردی'!$B$7-Main[[#This Row],[تاريخ میلادی]]-'گزارش فردی'!$B$8,0)</f>
        <v>0</v>
      </c>
      <c r="S423" s="6">
        <f ca="1">Main[[#This Row],[روز از ارسال سفارش]]*Main[[#This Row],[بدهی تسویه نشده (کیلوگرم)]]</f>
        <v>0</v>
      </c>
      <c r="T423" s="6">
        <f ca="1">Main[[#This Row],[بدهی سررسید شده (کیلوگرم)]]*Main[[#This Row],[روز از ارسال سفارش]]</f>
        <v>0</v>
      </c>
      <c r="U423" s="6">
        <f>-SUBTOTAL(9,INDEX(Main[مقدار (کیلوگرم)],1):Main[[#This Row],[مقدار (کیلوگرم)]])</f>
        <v>24379</v>
      </c>
      <c r="V4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3" s="6">
        <f>Main[[#This Row],[تعداد کل روزهای بدهکار (روز)]]*Main[[#This Row],[مانده در خط کل (کیلوگرم)]]</f>
        <v>0</v>
      </c>
      <c r="X423" s="6">
        <f ca="1">-SUBTOTAL(9,INDEX(Main[مقدار تسویه شده (کیلوگرم)],1):Main[[#This Row],[مقدار تسویه شده (کیلوگرم)]])</f>
        <v>24379</v>
      </c>
      <c r="Y423" s="6">
        <f ca="1">IF(Main[[#This Row],[مانده در خط تسویه شده (کیلوگرم)]]&lt;&gt;0,Main[[#This Row],[تعداد کل روزهای بدهکار (روز)]],0)</f>
        <v>0</v>
      </c>
      <c r="Z423" s="6">
        <f ca="1">Main[[#This Row],[تعداد روزهای بدهکار تسویه شده (روز)]]*Main[[#This Row],[مانده در خط تسویه شده (کیلوگرم)]]</f>
        <v>0</v>
      </c>
      <c r="AA423" s="6">
        <f ca="1">SUBTOTAL(9,INDEX(Main[بدهی تسویه نشده (کیلوگرم)],1):Main[[#This Row],[بدهی تسویه نشده (کیلوگرم)]])</f>
        <v>0</v>
      </c>
      <c r="AB423" s="6">
        <f ca="1">IF(Main[[#This Row],[مانده در خط تسویه نشده (کیلوگرم)]]&lt;&gt;0,Main[[#This Row],[تعداد کل روزهای بدهکار (روز)]],0)</f>
        <v>0</v>
      </c>
      <c r="AC423" s="6">
        <f ca="1">Main[[#This Row],[تعداد روزهای بدهکار  تسویه نشده (روز)]]*Main[[#This Row],[مانده در خط تسویه نشده (کیلوگرم)]]</f>
        <v>0</v>
      </c>
      <c r="AD423" s="6">
        <f ca="1">SUBTOTAL(9,INDEX(Main[بدهی سررسید شده (کیلوگرم)],1):Main[[#This Row],[بدهی سررسید شده (کیلوگرم)]])</f>
        <v>0</v>
      </c>
      <c r="AE423" s="6">
        <f ca="1">IF(Main[[#This Row],[مانده در خط سررسید شده (کیلوگرم)]]&lt;&gt;0,Main[[#This Row],[تعداد کل روزهای بدهکار (روز)]],0)</f>
        <v>0</v>
      </c>
      <c r="AF423" s="6">
        <f ca="1">Main[[#This Row],[تعداد روزهای بدهکار سررسید شده (روز)]]*Main[[#This Row],[مانده در خط سررسید شده (کیلوگرم)]]</f>
        <v>0</v>
      </c>
    </row>
    <row r="424" spans="1:32" hidden="1" x14ac:dyDescent="0.35">
      <c r="A424" s="5">
        <f>ROW()-ROW(INDEX(Main[ردیف],1))+1</f>
        <v>422</v>
      </c>
      <c r="B424" s="31">
        <f>SUBTOTAL(2,INDEX(Main[ردیف],1):Main[[#This Row],[ردیف]])</f>
        <v>42</v>
      </c>
      <c r="C424" s="32" t="s">
        <v>549</v>
      </c>
      <c r="D424" s="32" t="str">
        <f>_xlfn.CONCAT("14",Main[[#This Row],[تاريخ]])</f>
        <v>1400/02/21</v>
      </c>
      <c r="E424" s="33">
        <v>44327</v>
      </c>
      <c r="F424" s="32">
        <v>30081</v>
      </c>
      <c r="G424" s="5" t="str">
        <f>INDEX(customer[عنوان],MATCH(Main[[#This Row],[کد ردیابی]],customer[کد],0))</f>
        <v xml:space="preserve">شیرآلات بهداشتی راسان </v>
      </c>
      <c r="H424">
        <v>5008</v>
      </c>
      <c r="I424" s="6">
        <f ca="1">-Main[[#This Row],[بدهی تسویه شده (کیلوگرم)]]+Main[[#This Row],[بستانکار (کیلوگرم)]]</f>
        <v>5008</v>
      </c>
      <c r="J424" s="6">
        <f>IF(Main[[#This Row],[مقدار (کیلوگرم)]]&gt;0,Main[[#This Row],[مقدار (کیلوگرم)]],0)</f>
        <v>5008</v>
      </c>
      <c r="K424" s="6">
        <f>-IF(Main[[#This Row],[مقدار (کیلوگرم)]]&lt;0,Main[[#This Row],[مقدار (کیلوگرم)]],0)</f>
        <v>0</v>
      </c>
      <c r="L4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4" s="7">
        <f>-IF(AND(Main[[#This Row],[مقدار (کیلوگرم)]]&lt;0,Main[[#This Row],[تاريخ میلادی]]&gt;44276),Main[[#This Row],[مقدار (کیلوگرم)]],0)</f>
        <v>0</v>
      </c>
      <c r="N424" s="6">
        <f ca="1">Main[[#This Row],[بدهکار (کیلوگرم)]]-Main[[#This Row],[بدهی تسویه نشده (کیلوگرم)]]</f>
        <v>0</v>
      </c>
      <c r="O424" s="6">
        <f ca="1">Main[[#This Row],[تفکیک]]</f>
        <v>0</v>
      </c>
      <c r="P424" s="6">
        <f ca="1">IF(Main[[#This Row],[تاخیر از سررسید]]&gt;0,Main[[#This Row],[بدهی تسویه نشده (کیلوگرم)]],0)</f>
        <v>0</v>
      </c>
      <c r="Q424" s="6">
        <f ca="1">IF(Main[[#This Row],[بدهی تسویه نشده (کیلوگرم)]]&gt;0,'گزارش فردی'!$B$7-Main[[#This Row],[تاريخ میلادی]],0)</f>
        <v>0</v>
      </c>
      <c r="R424" s="6">
        <f ca="1">IF(Main[[#This Row],[بدهی تسویه نشده (کیلوگرم)]]&gt;0,'گزارش فردی'!$B$7-Main[[#This Row],[تاريخ میلادی]]-'گزارش فردی'!$B$8,0)</f>
        <v>0</v>
      </c>
      <c r="S424" s="6">
        <f ca="1">Main[[#This Row],[روز از ارسال سفارش]]*Main[[#This Row],[بدهی تسویه نشده (کیلوگرم)]]</f>
        <v>0</v>
      </c>
      <c r="T424" s="6">
        <f ca="1">Main[[#This Row],[بدهی سررسید شده (کیلوگرم)]]*Main[[#This Row],[روز از ارسال سفارش]]</f>
        <v>0</v>
      </c>
      <c r="U424" s="6">
        <f>-SUBTOTAL(9,INDEX(Main[مقدار (کیلوگرم)],1):Main[[#This Row],[مقدار (کیلوگرم)]])</f>
        <v>24379</v>
      </c>
      <c r="V4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4" s="6">
        <f>Main[[#This Row],[تعداد کل روزهای بدهکار (روز)]]*Main[[#This Row],[مانده در خط کل (کیلوگرم)]]</f>
        <v>0</v>
      </c>
      <c r="X424" s="6">
        <f ca="1">-SUBTOTAL(9,INDEX(Main[مقدار تسویه شده (کیلوگرم)],1):Main[[#This Row],[مقدار تسویه شده (کیلوگرم)]])</f>
        <v>24379</v>
      </c>
      <c r="Y424" s="6">
        <f ca="1">IF(Main[[#This Row],[مانده در خط تسویه شده (کیلوگرم)]]&lt;&gt;0,Main[[#This Row],[تعداد کل روزهای بدهکار (روز)]],0)</f>
        <v>0</v>
      </c>
      <c r="Z424" s="6">
        <f ca="1">Main[[#This Row],[تعداد روزهای بدهکار تسویه شده (روز)]]*Main[[#This Row],[مانده در خط تسویه شده (کیلوگرم)]]</f>
        <v>0</v>
      </c>
      <c r="AA424" s="6">
        <f ca="1">SUBTOTAL(9,INDEX(Main[بدهی تسویه نشده (کیلوگرم)],1):Main[[#This Row],[بدهی تسویه نشده (کیلوگرم)]])</f>
        <v>0</v>
      </c>
      <c r="AB424" s="6">
        <f ca="1">IF(Main[[#This Row],[مانده در خط تسویه نشده (کیلوگرم)]]&lt;&gt;0,Main[[#This Row],[تعداد کل روزهای بدهکار (روز)]],0)</f>
        <v>0</v>
      </c>
      <c r="AC424" s="6">
        <f ca="1">Main[[#This Row],[تعداد روزهای بدهکار  تسویه نشده (روز)]]*Main[[#This Row],[مانده در خط تسویه نشده (کیلوگرم)]]</f>
        <v>0</v>
      </c>
      <c r="AD424" s="6">
        <f ca="1">SUBTOTAL(9,INDEX(Main[بدهی سررسید شده (کیلوگرم)],1):Main[[#This Row],[بدهی سررسید شده (کیلوگرم)]])</f>
        <v>0</v>
      </c>
      <c r="AE424" s="6">
        <f ca="1">IF(Main[[#This Row],[مانده در خط سررسید شده (کیلوگرم)]]&lt;&gt;0,Main[[#This Row],[تعداد کل روزهای بدهکار (روز)]],0)</f>
        <v>0</v>
      </c>
      <c r="AF424" s="6">
        <f ca="1">Main[[#This Row],[تعداد روزهای بدهکار سررسید شده (روز)]]*Main[[#This Row],[مانده در خط سررسید شده (کیلوگرم)]]</f>
        <v>0</v>
      </c>
    </row>
    <row r="425" spans="1:32" hidden="1" x14ac:dyDescent="0.35">
      <c r="A425" s="5">
        <f>ROW()-ROW(INDEX(Main[ردیف],1))+1</f>
        <v>423</v>
      </c>
      <c r="B425" s="31">
        <f>SUBTOTAL(2,INDEX(Main[ردیف],1):Main[[#This Row],[ردیف]])</f>
        <v>42</v>
      </c>
      <c r="C425" s="32" t="s">
        <v>549</v>
      </c>
      <c r="D425" s="32" t="str">
        <f>_xlfn.CONCAT("14",Main[[#This Row],[تاريخ]])</f>
        <v>1400/02/21</v>
      </c>
      <c r="E425" s="33">
        <v>44327</v>
      </c>
      <c r="F425" s="32">
        <v>30066</v>
      </c>
      <c r="G425" s="5" t="str">
        <f>INDEX(customer[عنوان],MATCH(Main[[#This Row],[کد ردیابی]],customer[کد],0))</f>
        <v xml:space="preserve">شیر آلات بهداشتی قهرمان </v>
      </c>
      <c r="H425">
        <v>-2986</v>
      </c>
      <c r="I425" s="6">
        <f ca="1">-Main[[#This Row],[بدهی تسویه شده (کیلوگرم)]]+Main[[#This Row],[بستانکار (کیلوگرم)]]</f>
        <v>-2986</v>
      </c>
      <c r="J425" s="6">
        <f>IF(Main[[#This Row],[مقدار (کیلوگرم)]]&gt;0,Main[[#This Row],[مقدار (کیلوگرم)]],0)</f>
        <v>0</v>
      </c>
      <c r="K425" s="6">
        <f>-IF(Main[[#This Row],[مقدار (کیلوگرم)]]&lt;0,Main[[#This Row],[مقدار (کیلوگرم)]],0)</f>
        <v>2986</v>
      </c>
      <c r="L4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5" s="7">
        <f>-IF(AND(Main[[#This Row],[مقدار (کیلوگرم)]]&lt;0,Main[[#This Row],[تاريخ میلادی]]&gt;44276),Main[[#This Row],[مقدار (کیلوگرم)]],0)</f>
        <v>2986</v>
      </c>
      <c r="N425" s="6">
        <f ca="1">Main[[#This Row],[بدهکار (کیلوگرم)]]-Main[[#This Row],[بدهی تسویه نشده (کیلوگرم)]]</f>
        <v>2986</v>
      </c>
      <c r="O425" s="6">
        <f ca="1">Main[[#This Row],[تفکیک]]</f>
        <v>0</v>
      </c>
      <c r="P425" s="6">
        <f ca="1">IF(Main[[#This Row],[تاخیر از سررسید]]&gt;0,Main[[#This Row],[بدهی تسویه نشده (کیلوگرم)]],0)</f>
        <v>0</v>
      </c>
      <c r="Q425" s="6">
        <f ca="1">IF(Main[[#This Row],[بدهی تسویه نشده (کیلوگرم)]]&gt;0,'گزارش فردی'!$B$7-Main[[#This Row],[تاريخ میلادی]],0)</f>
        <v>0</v>
      </c>
      <c r="R425" s="6">
        <f ca="1">IF(Main[[#This Row],[بدهی تسویه نشده (کیلوگرم)]]&gt;0,'گزارش فردی'!$B$7-Main[[#This Row],[تاريخ میلادی]]-'گزارش فردی'!$B$8,0)</f>
        <v>0</v>
      </c>
      <c r="S425" s="6">
        <f ca="1">Main[[#This Row],[روز از ارسال سفارش]]*Main[[#This Row],[بدهی تسویه نشده (کیلوگرم)]]</f>
        <v>0</v>
      </c>
      <c r="T425" s="6">
        <f ca="1">Main[[#This Row],[بدهی سررسید شده (کیلوگرم)]]*Main[[#This Row],[روز از ارسال سفارش]]</f>
        <v>0</v>
      </c>
      <c r="U425" s="6">
        <f>-SUBTOTAL(9,INDEX(Main[مقدار (کیلوگرم)],1):Main[[#This Row],[مقدار (کیلوگرم)]])</f>
        <v>24379</v>
      </c>
      <c r="V4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5" s="6">
        <f>Main[[#This Row],[تعداد کل روزهای بدهکار (روز)]]*Main[[#This Row],[مانده در خط کل (کیلوگرم)]]</f>
        <v>0</v>
      </c>
      <c r="X425" s="6">
        <f ca="1">-SUBTOTAL(9,INDEX(Main[مقدار تسویه شده (کیلوگرم)],1):Main[[#This Row],[مقدار تسویه شده (کیلوگرم)]])</f>
        <v>24379</v>
      </c>
      <c r="Y425" s="6">
        <f ca="1">IF(Main[[#This Row],[مانده در خط تسویه شده (کیلوگرم)]]&lt;&gt;0,Main[[#This Row],[تعداد کل روزهای بدهکار (روز)]],0)</f>
        <v>0</v>
      </c>
      <c r="Z425" s="6">
        <f ca="1">Main[[#This Row],[تعداد روزهای بدهکار تسویه شده (روز)]]*Main[[#This Row],[مانده در خط تسویه شده (کیلوگرم)]]</f>
        <v>0</v>
      </c>
      <c r="AA425" s="6">
        <f ca="1">SUBTOTAL(9,INDEX(Main[بدهی تسویه نشده (کیلوگرم)],1):Main[[#This Row],[بدهی تسویه نشده (کیلوگرم)]])</f>
        <v>0</v>
      </c>
      <c r="AB425" s="6">
        <f ca="1">IF(Main[[#This Row],[مانده در خط تسویه نشده (کیلوگرم)]]&lt;&gt;0,Main[[#This Row],[تعداد کل روزهای بدهکار (روز)]],0)</f>
        <v>0</v>
      </c>
      <c r="AC425" s="6">
        <f ca="1">Main[[#This Row],[تعداد روزهای بدهکار  تسویه نشده (روز)]]*Main[[#This Row],[مانده در خط تسویه نشده (کیلوگرم)]]</f>
        <v>0</v>
      </c>
      <c r="AD425" s="6">
        <f ca="1">SUBTOTAL(9,INDEX(Main[بدهی سررسید شده (کیلوگرم)],1):Main[[#This Row],[بدهی سررسید شده (کیلوگرم)]])</f>
        <v>0</v>
      </c>
      <c r="AE425" s="6">
        <f ca="1">IF(Main[[#This Row],[مانده در خط سررسید شده (کیلوگرم)]]&lt;&gt;0,Main[[#This Row],[تعداد کل روزهای بدهکار (روز)]],0)</f>
        <v>0</v>
      </c>
      <c r="AF425" s="6">
        <f ca="1">Main[[#This Row],[تعداد روزهای بدهکار سررسید شده (روز)]]*Main[[#This Row],[مانده در خط سررسید شده (کیلوگرم)]]</f>
        <v>0</v>
      </c>
    </row>
    <row r="426" spans="1:32" hidden="1" x14ac:dyDescent="0.35">
      <c r="A426" s="5">
        <f>ROW()-ROW(INDEX(Main[ردیف],1))+1</f>
        <v>424</v>
      </c>
      <c r="B426" s="31">
        <f>SUBTOTAL(2,INDEX(Main[ردیف],1):Main[[#This Row],[ردیف]])</f>
        <v>42</v>
      </c>
      <c r="C426" s="32" t="s">
        <v>549</v>
      </c>
      <c r="D426" s="32" t="str">
        <f>_xlfn.CONCAT("14",Main[[#This Row],[تاريخ]])</f>
        <v>1400/02/21</v>
      </c>
      <c r="E426" s="33">
        <v>44327</v>
      </c>
      <c r="F426" s="32">
        <v>30066</v>
      </c>
      <c r="G426" s="5" t="str">
        <f>INDEX(customer[عنوان],MATCH(Main[[#This Row],[کد ردیابی]],customer[کد],0))</f>
        <v xml:space="preserve">شیر آلات بهداشتی قهرمان </v>
      </c>
      <c r="H426">
        <v>4203</v>
      </c>
      <c r="I426" s="6">
        <f ca="1">-Main[[#This Row],[بدهی تسویه شده (کیلوگرم)]]+Main[[#This Row],[بستانکار (کیلوگرم)]]</f>
        <v>4203</v>
      </c>
      <c r="J426" s="6">
        <f>IF(Main[[#This Row],[مقدار (کیلوگرم)]]&gt;0,Main[[#This Row],[مقدار (کیلوگرم)]],0)</f>
        <v>4203</v>
      </c>
      <c r="K426" s="6">
        <f>-IF(Main[[#This Row],[مقدار (کیلوگرم)]]&lt;0,Main[[#This Row],[مقدار (کیلوگرم)]],0)</f>
        <v>0</v>
      </c>
      <c r="L4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6" s="7">
        <f>-IF(AND(Main[[#This Row],[مقدار (کیلوگرم)]]&lt;0,Main[[#This Row],[تاريخ میلادی]]&gt;44276),Main[[#This Row],[مقدار (کیلوگرم)]],0)</f>
        <v>0</v>
      </c>
      <c r="N426" s="6">
        <f ca="1">Main[[#This Row],[بدهکار (کیلوگرم)]]-Main[[#This Row],[بدهی تسویه نشده (کیلوگرم)]]</f>
        <v>0</v>
      </c>
      <c r="O426" s="6">
        <f ca="1">Main[[#This Row],[تفکیک]]</f>
        <v>0</v>
      </c>
      <c r="P426" s="6">
        <f ca="1">IF(Main[[#This Row],[تاخیر از سررسید]]&gt;0,Main[[#This Row],[بدهی تسویه نشده (کیلوگرم)]],0)</f>
        <v>0</v>
      </c>
      <c r="Q426" s="6">
        <f ca="1">IF(Main[[#This Row],[بدهی تسویه نشده (کیلوگرم)]]&gt;0,'گزارش فردی'!$B$7-Main[[#This Row],[تاريخ میلادی]],0)</f>
        <v>0</v>
      </c>
      <c r="R426" s="6">
        <f ca="1">IF(Main[[#This Row],[بدهی تسویه نشده (کیلوگرم)]]&gt;0,'گزارش فردی'!$B$7-Main[[#This Row],[تاريخ میلادی]]-'گزارش فردی'!$B$8,0)</f>
        <v>0</v>
      </c>
      <c r="S426" s="6">
        <f ca="1">Main[[#This Row],[روز از ارسال سفارش]]*Main[[#This Row],[بدهی تسویه نشده (کیلوگرم)]]</f>
        <v>0</v>
      </c>
      <c r="T426" s="6">
        <f ca="1">Main[[#This Row],[بدهی سررسید شده (کیلوگرم)]]*Main[[#This Row],[روز از ارسال سفارش]]</f>
        <v>0</v>
      </c>
      <c r="U426" s="6">
        <f>-SUBTOTAL(9,INDEX(Main[مقدار (کیلوگرم)],1):Main[[#This Row],[مقدار (کیلوگرم)]])</f>
        <v>24379</v>
      </c>
      <c r="V4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6" s="6">
        <f>Main[[#This Row],[تعداد کل روزهای بدهکار (روز)]]*Main[[#This Row],[مانده در خط کل (کیلوگرم)]]</f>
        <v>0</v>
      </c>
      <c r="X426" s="6">
        <f ca="1">-SUBTOTAL(9,INDEX(Main[مقدار تسویه شده (کیلوگرم)],1):Main[[#This Row],[مقدار تسویه شده (کیلوگرم)]])</f>
        <v>24379</v>
      </c>
      <c r="Y426" s="6">
        <f ca="1">IF(Main[[#This Row],[مانده در خط تسویه شده (کیلوگرم)]]&lt;&gt;0,Main[[#This Row],[تعداد کل روزهای بدهکار (روز)]],0)</f>
        <v>0</v>
      </c>
      <c r="Z426" s="6">
        <f ca="1">Main[[#This Row],[تعداد روزهای بدهکار تسویه شده (روز)]]*Main[[#This Row],[مانده در خط تسویه شده (کیلوگرم)]]</f>
        <v>0</v>
      </c>
      <c r="AA426" s="6">
        <f ca="1">SUBTOTAL(9,INDEX(Main[بدهی تسویه نشده (کیلوگرم)],1):Main[[#This Row],[بدهی تسویه نشده (کیلوگرم)]])</f>
        <v>0</v>
      </c>
      <c r="AB426" s="6">
        <f ca="1">IF(Main[[#This Row],[مانده در خط تسویه نشده (کیلوگرم)]]&lt;&gt;0,Main[[#This Row],[تعداد کل روزهای بدهکار (روز)]],0)</f>
        <v>0</v>
      </c>
      <c r="AC426" s="6">
        <f ca="1">Main[[#This Row],[تعداد روزهای بدهکار  تسویه نشده (روز)]]*Main[[#This Row],[مانده در خط تسویه نشده (کیلوگرم)]]</f>
        <v>0</v>
      </c>
      <c r="AD426" s="6">
        <f ca="1">SUBTOTAL(9,INDEX(Main[بدهی سررسید شده (کیلوگرم)],1):Main[[#This Row],[بدهی سررسید شده (کیلوگرم)]])</f>
        <v>0</v>
      </c>
      <c r="AE426" s="6">
        <f ca="1">IF(Main[[#This Row],[مانده در خط سررسید شده (کیلوگرم)]]&lt;&gt;0,Main[[#This Row],[تعداد کل روزهای بدهکار (روز)]],0)</f>
        <v>0</v>
      </c>
      <c r="AF426" s="6">
        <f ca="1">Main[[#This Row],[تعداد روزهای بدهکار سررسید شده (روز)]]*Main[[#This Row],[مانده در خط سررسید شده (کیلوگرم)]]</f>
        <v>0</v>
      </c>
    </row>
    <row r="427" spans="1:32" hidden="1" x14ac:dyDescent="0.35">
      <c r="A427" s="5">
        <f>ROW()-ROW(INDEX(Main[ردیف],1))+1</f>
        <v>425</v>
      </c>
      <c r="B427" s="31">
        <f>SUBTOTAL(2,INDEX(Main[ردیف],1):Main[[#This Row],[ردیف]])</f>
        <v>42</v>
      </c>
      <c r="C427" s="32" t="s">
        <v>549</v>
      </c>
      <c r="D427" s="32" t="str">
        <f>_xlfn.CONCAT("14",Main[[#This Row],[تاريخ]])</f>
        <v>1400/02/21</v>
      </c>
      <c r="E427" s="33">
        <v>44327</v>
      </c>
      <c r="F427" s="32">
        <v>30030</v>
      </c>
      <c r="G427" s="5" t="str">
        <f>INDEX(customer[عنوان],MATCH(Main[[#This Row],[کد ردیابی]],customer[کد],0))</f>
        <v xml:space="preserve">تراش پارس </v>
      </c>
      <c r="H427">
        <v>-1496</v>
      </c>
      <c r="I427" s="6">
        <f ca="1">-Main[[#This Row],[بدهی تسویه شده (کیلوگرم)]]+Main[[#This Row],[بستانکار (کیلوگرم)]]</f>
        <v>-1496</v>
      </c>
      <c r="J427" s="6">
        <f>IF(Main[[#This Row],[مقدار (کیلوگرم)]]&gt;0,Main[[#This Row],[مقدار (کیلوگرم)]],0)</f>
        <v>0</v>
      </c>
      <c r="K427" s="6">
        <f>-IF(Main[[#This Row],[مقدار (کیلوگرم)]]&lt;0,Main[[#This Row],[مقدار (کیلوگرم)]],0)</f>
        <v>1496</v>
      </c>
      <c r="L4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7" s="7">
        <f>-IF(AND(Main[[#This Row],[مقدار (کیلوگرم)]]&lt;0,Main[[#This Row],[تاريخ میلادی]]&gt;44276),Main[[#This Row],[مقدار (کیلوگرم)]],0)</f>
        <v>1496</v>
      </c>
      <c r="N427" s="6">
        <f ca="1">Main[[#This Row],[بدهکار (کیلوگرم)]]-Main[[#This Row],[بدهی تسویه نشده (کیلوگرم)]]</f>
        <v>1496</v>
      </c>
      <c r="O427" s="6">
        <f ca="1">Main[[#This Row],[تفکیک]]</f>
        <v>0</v>
      </c>
      <c r="P427" s="6">
        <f ca="1">IF(Main[[#This Row],[تاخیر از سررسید]]&gt;0,Main[[#This Row],[بدهی تسویه نشده (کیلوگرم)]],0)</f>
        <v>0</v>
      </c>
      <c r="Q427" s="6">
        <f ca="1">IF(Main[[#This Row],[بدهی تسویه نشده (کیلوگرم)]]&gt;0,'گزارش فردی'!$B$7-Main[[#This Row],[تاريخ میلادی]],0)</f>
        <v>0</v>
      </c>
      <c r="R427" s="6">
        <f ca="1">IF(Main[[#This Row],[بدهی تسویه نشده (کیلوگرم)]]&gt;0,'گزارش فردی'!$B$7-Main[[#This Row],[تاريخ میلادی]]-'گزارش فردی'!$B$8,0)</f>
        <v>0</v>
      </c>
      <c r="S427" s="6">
        <f ca="1">Main[[#This Row],[روز از ارسال سفارش]]*Main[[#This Row],[بدهی تسویه نشده (کیلوگرم)]]</f>
        <v>0</v>
      </c>
      <c r="T427" s="6">
        <f ca="1">Main[[#This Row],[بدهی سررسید شده (کیلوگرم)]]*Main[[#This Row],[روز از ارسال سفارش]]</f>
        <v>0</v>
      </c>
      <c r="U427" s="6">
        <f>-SUBTOTAL(9,INDEX(Main[مقدار (کیلوگرم)],1):Main[[#This Row],[مقدار (کیلوگرم)]])</f>
        <v>24379</v>
      </c>
      <c r="V4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7" s="6">
        <f>Main[[#This Row],[تعداد کل روزهای بدهکار (روز)]]*Main[[#This Row],[مانده در خط کل (کیلوگرم)]]</f>
        <v>0</v>
      </c>
      <c r="X427" s="6">
        <f ca="1">-SUBTOTAL(9,INDEX(Main[مقدار تسویه شده (کیلوگرم)],1):Main[[#This Row],[مقدار تسویه شده (کیلوگرم)]])</f>
        <v>24379</v>
      </c>
      <c r="Y427" s="6">
        <f ca="1">IF(Main[[#This Row],[مانده در خط تسویه شده (کیلوگرم)]]&lt;&gt;0,Main[[#This Row],[تعداد کل روزهای بدهکار (روز)]],0)</f>
        <v>0</v>
      </c>
      <c r="Z427" s="6">
        <f ca="1">Main[[#This Row],[تعداد روزهای بدهکار تسویه شده (روز)]]*Main[[#This Row],[مانده در خط تسویه شده (کیلوگرم)]]</f>
        <v>0</v>
      </c>
      <c r="AA427" s="6">
        <f ca="1">SUBTOTAL(9,INDEX(Main[بدهی تسویه نشده (کیلوگرم)],1):Main[[#This Row],[بدهی تسویه نشده (کیلوگرم)]])</f>
        <v>0</v>
      </c>
      <c r="AB427" s="6">
        <f ca="1">IF(Main[[#This Row],[مانده در خط تسویه نشده (کیلوگرم)]]&lt;&gt;0,Main[[#This Row],[تعداد کل روزهای بدهکار (روز)]],0)</f>
        <v>0</v>
      </c>
      <c r="AC427" s="6">
        <f ca="1">Main[[#This Row],[تعداد روزهای بدهکار  تسویه نشده (روز)]]*Main[[#This Row],[مانده در خط تسویه نشده (کیلوگرم)]]</f>
        <v>0</v>
      </c>
      <c r="AD427" s="6">
        <f ca="1">SUBTOTAL(9,INDEX(Main[بدهی سررسید شده (کیلوگرم)],1):Main[[#This Row],[بدهی سررسید شده (کیلوگرم)]])</f>
        <v>0</v>
      </c>
      <c r="AE427" s="6">
        <f ca="1">IF(Main[[#This Row],[مانده در خط سررسید شده (کیلوگرم)]]&lt;&gt;0,Main[[#This Row],[تعداد کل روزهای بدهکار (روز)]],0)</f>
        <v>0</v>
      </c>
      <c r="AF427" s="6">
        <f ca="1">Main[[#This Row],[تعداد روزهای بدهکار سررسید شده (روز)]]*Main[[#This Row],[مانده در خط سررسید شده (کیلوگرم)]]</f>
        <v>0</v>
      </c>
    </row>
    <row r="428" spans="1:32" hidden="1" x14ac:dyDescent="0.35">
      <c r="A428" s="5">
        <f>ROW()-ROW(INDEX(Main[ردیف],1))+1</f>
        <v>426</v>
      </c>
      <c r="B428" s="31">
        <f>SUBTOTAL(2,INDEX(Main[ردیف],1):Main[[#This Row],[ردیف]])</f>
        <v>42</v>
      </c>
      <c r="C428" s="32" t="s">
        <v>549</v>
      </c>
      <c r="D428" s="32" t="str">
        <f>_xlfn.CONCAT("14",Main[[#This Row],[تاريخ]])</f>
        <v>1400/02/21</v>
      </c>
      <c r="E428" s="33">
        <v>44327</v>
      </c>
      <c r="F428" s="32">
        <v>30004</v>
      </c>
      <c r="G428" s="5" t="str">
        <f>INDEX(customer[عنوان],MATCH(Main[[#This Row],[کد ردیابی]],customer[کد],0))</f>
        <v>تولیدی صنعتی صفاشیر پارس</v>
      </c>
      <c r="H428">
        <v>4255</v>
      </c>
      <c r="I428" s="6">
        <f ca="1">-Main[[#This Row],[بدهی تسویه شده (کیلوگرم)]]+Main[[#This Row],[بستانکار (کیلوگرم)]]</f>
        <v>4255</v>
      </c>
      <c r="J428" s="6">
        <f>IF(Main[[#This Row],[مقدار (کیلوگرم)]]&gt;0,Main[[#This Row],[مقدار (کیلوگرم)]],0)</f>
        <v>4255</v>
      </c>
      <c r="K428" s="6">
        <f>-IF(Main[[#This Row],[مقدار (کیلوگرم)]]&lt;0,Main[[#This Row],[مقدار (کیلوگرم)]],0)</f>
        <v>0</v>
      </c>
      <c r="L4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8" s="7">
        <f>-IF(AND(Main[[#This Row],[مقدار (کیلوگرم)]]&lt;0,Main[[#This Row],[تاريخ میلادی]]&gt;44276),Main[[#This Row],[مقدار (کیلوگرم)]],0)</f>
        <v>0</v>
      </c>
      <c r="N428" s="6">
        <f ca="1">Main[[#This Row],[بدهکار (کیلوگرم)]]-Main[[#This Row],[بدهی تسویه نشده (کیلوگرم)]]</f>
        <v>0</v>
      </c>
      <c r="O428" s="6">
        <f ca="1">Main[[#This Row],[تفکیک]]</f>
        <v>0</v>
      </c>
      <c r="P428" s="6">
        <f ca="1">IF(Main[[#This Row],[تاخیر از سررسید]]&gt;0,Main[[#This Row],[بدهی تسویه نشده (کیلوگرم)]],0)</f>
        <v>0</v>
      </c>
      <c r="Q428" s="6">
        <f ca="1">IF(Main[[#This Row],[بدهی تسویه نشده (کیلوگرم)]]&gt;0,'گزارش فردی'!$B$7-Main[[#This Row],[تاريخ میلادی]],0)</f>
        <v>0</v>
      </c>
      <c r="R428" s="6">
        <f ca="1">IF(Main[[#This Row],[بدهی تسویه نشده (کیلوگرم)]]&gt;0,'گزارش فردی'!$B$7-Main[[#This Row],[تاريخ میلادی]]-'گزارش فردی'!$B$8,0)</f>
        <v>0</v>
      </c>
      <c r="S428" s="6">
        <f ca="1">Main[[#This Row],[روز از ارسال سفارش]]*Main[[#This Row],[بدهی تسویه نشده (کیلوگرم)]]</f>
        <v>0</v>
      </c>
      <c r="T428" s="6">
        <f ca="1">Main[[#This Row],[بدهی سررسید شده (کیلوگرم)]]*Main[[#This Row],[روز از ارسال سفارش]]</f>
        <v>0</v>
      </c>
      <c r="U428" s="6">
        <f>-SUBTOTAL(9,INDEX(Main[مقدار (کیلوگرم)],1):Main[[#This Row],[مقدار (کیلوگرم)]])</f>
        <v>24379</v>
      </c>
      <c r="V4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8" s="6">
        <f>Main[[#This Row],[تعداد کل روزهای بدهکار (روز)]]*Main[[#This Row],[مانده در خط کل (کیلوگرم)]]</f>
        <v>0</v>
      </c>
      <c r="X428" s="6">
        <f ca="1">-SUBTOTAL(9,INDEX(Main[مقدار تسویه شده (کیلوگرم)],1):Main[[#This Row],[مقدار تسویه شده (کیلوگرم)]])</f>
        <v>24379</v>
      </c>
      <c r="Y428" s="6">
        <f ca="1">IF(Main[[#This Row],[مانده در خط تسویه شده (کیلوگرم)]]&lt;&gt;0,Main[[#This Row],[تعداد کل روزهای بدهکار (روز)]],0)</f>
        <v>0</v>
      </c>
      <c r="Z428" s="6">
        <f ca="1">Main[[#This Row],[تعداد روزهای بدهکار تسویه شده (روز)]]*Main[[#This Row],[مانده در خط تسویه شده (کیلوگرم)]]</f>
        <v>0</v>
      </c>
      <c r="AA428" s="6">
        <f ca="1">SUBTOTAL(9,INDEX(Main[بدهی تسویه نشده (کیلوگرم)],1):Main[[#This Row],[بدهی تسویه نشده (کیلوگرم)]])</f>
        <v>0</v>
      </c>
      <c r="AB428" s="6">
        <f ca="1">IF(Main[[#This Row],[مانده در خط تسویه نشده (کیلوگرم)]]&lt;&gt;0,Main[[#This Row],[تعداد کل روزهای بدهکار (روز)]],0)</f>
        <v>0</v>
      </c>
      <c r="AC428" s="6">
        <f ca="1">Main[[#This Row],[تعداد روزهای بدهکار  تسویه نشده (روز)]]*Main[[#This Row],[مانده در خط تسویه نشده (کیلوگرم)]]</f>
        <v>0</v>
      </c>
      <c r="AD428" s="6">
        <f ca="1">SUBTOTAL(9,INDEX(Main[بدهی سررسید شده (کیلوگرم)],1):Main[[#This Row],[بدهی سررسید شده (کیلوگرم)]])</f>
        <v>0</v>
      </c>
      <c r="AE428" s="6">
        <f ca="1">IF(Main[[#This Row],[مانده در خط سررسید شده (کیلوگرم)]]&lt;&gt;0,Main[[#This Row],[تعداد کل روزهای بدهکار (روز)]],0)</f>
        <v>0</v>
      </c>
      <c r="AF428" s="6">
        <f ca="1">Main[[#This Row],[تعداد روزهای بدهکار سررسید شده (روز)]]*Main[[#This Row],[مانده در خط سررسید شده (کیلوگرم)]]</f>
        <v>0</v>
      </c>
    </row>
    <row r="429" spans="1:32" hidden="1" x14ac:dyDescent="0.35">
      <c r="A429" s="5">
        <f>ROW()-ROW(INDEX(Main[ردیف],1))+1</f>
        <v>427</v>
      </c>
      <c r="B429" s="31">
        <f>SUBTOTAL(2,INDEX(Main[ردیف],1):Main[[#This Row],[ردیف]])</f>
        <v>42</v>
      </c>
      <c r="C429" s="32" t="s">
        <v>549</v>
      </c>
      <c r="D429" s="32" t="str">
        <f>_xlfn.CONCAT("14",Main[[#This Row],[تاريخ]])</f>
        <v>1400/02/21</v>
      </c>
      <c r="E429" s="33">
        <v>44327</v>
      </c>
      <c r="F429" s="32">
        <v>30099</v>
      </c>
      <c r="G429" s="5" t="str">
        <f>INDEX(customer[عنوان],MATCH(Main[[#This Row],[کد ردیابی]],customer[کد],0))</f>
        <v>ایران شرق نیشابور</v>
      </c>
      <c r="H429">
        <v>-8504</v>
      </c>
      <c r="I429" s="6">
        <f ca="1">-Main[[#This Row],[بدهی تسویه شده (کیلوگرم)]]+Main[[#This Row],[بستانکار (کیلوگرم)]]</f>
        <v>-8504</v>
      </c>
      <c r="J429" s="6">
        <f>IF(Main[[#This Row],[مقدار (کیلوگرم)]]&gt;0,Main[[#This Row],[مقدار (کیلوگرم)]],0)</f>
        <v>0</v>
      </c>
      <c r="K429" s="6">
        <f>-IF(Main[[#This Row],[مقدار (کیلوگرم)]]&lt;0,Main[[#This Row],[مقدار (کیلوگرم)]],0)</f>
        <v>8504</v>
      </c>
      <c r="L4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9" s="7">
        <f>-IF(AND(Main[[#This Row],[مقدار (کیلوگرم)]]&lt;0,Main[[#This Row],[تاريخ میلادی]]&gt;44276),Main[[#This Row],[مقدار (کیلوگرم)]],0)</f>
        <v>8504</v>
      </c>
      <c r="N429" s="6">
        <f ca="1">Main[[#This Row],[بدهکار (کیلوگرم)]]-Main[[#This Row],[بدهی تسویه نشده (کیلوگرم)]]</f>
        <v>8504</v>
      </c>
      <c r="O429" s="6">
        <f ca="1">Main[[#This Row],[تفکیک]]</f>
        <v>0</v>
      </c>
      <c r="P429" s="6">
        <f ca="1">IF(Main[[#This Row],[تاخیر از سررسید]]&gt;0,Main[[#This Row],[بدهی تسویه نشده (کیلوگرم)]],0)</f>
        <v>0</v>
      </c>
      <c r="Q429" s="6">
        <f ca="1">IF(Main[[#This Row],[بدهی تسویه نشده (کیلوگرم)]]&gt;0,'گزارش فردی'!$B$7-Main[[#This Row],[تاريخ میلادی]],0)</f>
        <v>0</v>
      </c>
      <c r="R429" s="6">
        <f ca="1">IF(Main[[#This Row],[بدهی تسویه نشده (کیلوگرم)]]&gt;0,'گزارش فردی'!$B$7-Main[[#This Row],[تاريخ میلادی]]-'گزارش فردی'!$B$8,0)</f>
        <v>0</v>
      </c>
      <c r="S429" s="6">
        <f ca="1">Main[[#This Row],[روز از ارسال سفارش]]*Main[[#This Row],[بدهی تسویه نشده (کیلوگرم)]]</f>
        <v>0</v>
      </c>
      <c r="T429" s="6">
        <f ca="1">Main[[#This Row],[بدهی سررسید شده (کیلوگرم)]]*Main[[#This Row],[روز از ارسال سفارش]]</f>
        <v>0</v>
      </c>
      <c r="U429" s="6">
        <f>-SUBTOTAL(9,INDEX(Main[مقدار (کیلوگرم)],1):Main[[#This Row],[مقدار (کیلوگرم)]])</f>
        <v>24379</v>
      </c>
      <c r="V4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9" s="6">
        <f>Main[[#This Row],[تعداد کل روزهای بدهکار (روز)]]*Main[[#This Row],[مانده در خط کل (کیلوگرم)]]</f>
        <v>0</v>
      </c>
      <c r="X429" s="6">
        <f ca="1">-SUBTOTAL(9,INDEX(Main[مقدار تسویه شده (کیلوگرم)],1):Main[[#This Row],[مقدار تسویه شده (کیلوگرم)]])</f>
        <v>24379</v>
      </c>
      <c r="Y429" s="6">
        <f ca="1">IF(Main[[#This Row],[مانده در خط تسویه شده (کیلوگرم)]]&lt;&gt;0,Main[[#This Row],[تعداد کل روزهای بدهکار (روز)]],0)</f>
        <v>0</v>
      </c>
      <c r="Z429" s="6">
        <f ca="1">Main[[#This Row],[تعداد روزهای بدهکار تسویه شده (روز)]]*Main[[#This Row],[مانده در خط تسویه شده (کیلوگرم)]]</f>
        <v>0</v>
      </c>
      <c r="AA429" s="6">
        <f ca="1">SUBTOTAL(9,INDEX(Main[بدهی تسویه نشده (کیلوگرم)],1):Main[[#This Row],[بدهی تسویه نشده (کیلوگرم)]])</f>
        <v>0</v>
      </c>
      <c r="AB429" s="6">
        <f ca="1">IF(Main[[#This Row],[مانده در خط تسویه نشده (کیلوگرم)]]&lt;&gt;0,Main[[#This Row],[تعداد کل روزهای بدهکار (روز)]],0)</f>
        <v>0</v>
      </c>
      <c r="AC429" s="6">
        <f ca="1">Main[[#This Row],[تعداد روزهای بدهکار  تسویه نشده (روز)]]*Main[[#This Row],[مانده در خط تسویه نشده (کیلوگرم)]]</f>
        <v>0</v>
      </c>
      <c r="AD429" s="6">
        <f ca="1">SUBTOTAL(9,INDEX(Main[بدهی سررسید شده (کیلوگرم)],1):Main[[#This Row],[بدهی سررسید شده (کیلوگرم)]])</f>
        <v>0</v>
      </c>
      <c r="AE429" s="6">
        <f ca="1">IF(Main[[#This Row],[مانده در خط سررسید شده (کیلوگرم)]]&lt;&gt;0,Main[[#This Row],[تعداد کل روزهای بدهکار (روز)]],0)</f>
        <v>0</v>
      </c>
      <c r="AF429" s="6">
        <f ca="1">Main[[#This Row],[تعداد روزهای بدهکار سررسید شده (روز)]]*Main[[#This Row],[مانده در خط سررسید شده (کیلوگرم)]]</f>
        <v>0</v>
      </c>
    </row>
    <row r="430" spans="1:32" hidden="1" x14ac:dyDescent="0.35">
      <c r="A430" s="5">
        <f>ROW()-ROW(INDEX(Main[ردیف],1))+1</f>
        <v>428</v>
      </c>
      <c r="B430" s="31">
        <f>SUBTOTAL(2,INDEX(Main[ردیف],1):Main[[#This Row],[ردیف]])</f>
        <v>42</v>
      </c>
      <c r="C430" s="32" t="s">
        <v>549</v>
      </c>
      <c r="D430" s="32" t="str">
        <f>_xlfn.CONCAT("14",Main[[#This Row],[تاريخ]])</f>
        <v>1400/02/21</v>
      </c>
      <c r="E430" s="33">
        <v>44327</v>
      </c>
      <c r="F430" s="32">
        <v>30127</v>
      </c>
      <c r="G430" s="5" t="str">
        <f>INDEX(customer[عنوان],MATCH(Main[[#This Row],[کد ردیابی]],customer[کد],0))</f>
        <v>شیر گاز آذران</v>
      </c>
      <c r="H430">
        <v>14934</v>
      </c>
      <c r="I430" s="6">
        <f ca="1">-Main[[#This Row],[بدهی تسویه شده (کیلوگرم)]]+Main[[#This Row],[بستانکار (کیلوگرم)]]</f>
        <v>14934</v>
      </c>
      <c r="J430" s="6">
        <f>IF(Main[[#This Row],[مقدار (کیلوگرم)]]&gt;0,Main[[#This Row],[مقدار (کیلوگرم)]],0)</f>
        <v>14934</v>
      </c>
      <c r="K430" s="6">
        <f>-IF(Main[[#This Row],[مقدار (کیلوگرم)]]&lt;0,Main[[#This Row],[مقدار (کیلوگرم)]],0)</f>
        <v>0</v>
      </c>
      <c r="L4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0" s="7">
        <f>-IF(AND(Main[[#This Row],[مقدار (کیلوگرم)]]&lt;0,Main[[#This Row],[تاريخ میلادی]]&gt;44276),Main[[#This Row],[مقدار (کیلوگرم)]],0)</f>
        <v>0</v>
      </c>
      <c r="N430" s="6">
        <f ca="1">Main[[#This Row],[بدهکار (کیلوگرم)]]-Main[[#This Row],[بدهی تسویه نشده (کیلوگرم)]]</f>
        <v>0</v>
      </c>
      <c r="O430" s="6">
        <f ca="1">Main[[#This Row],[تفکیک]]</f>
        <v>0</v>
      </c>
      <c r="P430" s="6">
        <f ca="1">IF(Main[[#This Row],[تاخیر از سررسید]]&gt;0,Main[[#This Row],[بدهی تسویه نشده (کیلوگرم)]],0)</f>
        <v>0</v>
      </c>
      <c r="Q430" s="6">
        <f ca="1">IF(Main[[#This Row],[بدهی تسویه نشده (کیلوگرم)]]&gt;0,'گزارش فردی'!$B$7-Main[[#This Row],[تاريخ میلادی]],0)</f>
        <v>0</v>
      </c>
      <c r="R430" s="6">
        <f ca="1">IF(Main[[#This Row],[بدهی تسویه نشده (کیلوگرم)]]&gt;0,'گزارش فردی'!$B$7-Main[[#This Row],[تاريخ میلادی]]-'گزارش فردی'!$B$8,0)</f>
        <v>0</v>
      </c>
      <c r="S430" s="6">
        <f ca="1">Main[[#This Row],[روز از ارسال سفارش]]*Main[[#This Row],[بدهی تسویه نشده (کیلوگرم)]]</f>
        <v>0</v>
      </c>
      <c r="T430" s="6">
        <f ca="1">Main[[#This Row],[بدهی سررسید شده (کیلوگرم)]]*Main[[#This Row],[روز از ارسال سفارش]]</f>
        <v>0</v>
      </c>
      <c r="U430" s="6">
        <f>-SUBTOTAL(9,INDEX(Main[مقدار (کیلوگرم)],1):Main[[#This Row],[مقدار (کیلوگرم)]])</f>
        <v>24379</v>
      </c>
      <c r="V4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0" s="6">
        <f>Main[[#This Row],[تعداد کل روزهای بدهکار (روز)]]*Main[[#This Row],[مانده در خط کل (کیلوگرم)]]</f>
        <v>0</v>
      </c>
      <c r="X430" s="6">
        <f ca="1">-SUBTOTAL(9,INDEX(Main[مقدار تسویه شده (کیلوگرم)],1):Main[[#This Row],[مقدار تسویه شده (کیلوگرم)]])</f>
        <v>24379</v>
      </c>
      <c r="Y430" s="6">
        <f ca="1">IF(Main[[#This Row],[مانده در خط تسویه شده (کیلوگرم)]]&lt;&gt;0,Main[[#This Row],[تعداد کل روزهای بدهکار (روز)]],0)</f>
        <v>0</v>
      </c>
      <c r="Z430" s="6">
        <f ca="1">Main[[#This Row],[تعداد روزهای بدهکار تسویه شده (روز)]]*Main[[#This Row],[مانده در خط تسویه شده (کیلوگرم)]]</f>
        <v>0</v>
      </c>
      <c r="AA430" s="6">
        <f ca="1">SUBTOTAL(9,INDEX(Main[بدهی تسویه نشده (کیلوگرم)],1):Main[[#This Row],[بدهی تسویه نشده (کیلوگرم)]])</f>
        <v>0</v>
      </c>
      <c r="AB430" s="6">
        <f ca="1">IF(Main[[#This Row],[مانده در خط تسویه نشده (کیلوگرم)]]&lt;&gt;0,Main[[#This Row],[تعداد کل روزهای بدهکار (روز)]],0)</f>
        <v>0</v>
      </c>
      <c r="AC430" s="6">
        <f ca="1">Main[[#This Row],[تعداد روزهای بدهکار  تسویه نشده (روز)]]*Main[[#This Row],[مانده در خط تسویه نشده (کیلوگرم)]]</f>
        <v>0</v>
      </c>
      <c r="AD430" s="6">
        <f ca="1">SUBTOTAL(9,INDEX(Main[بدهی سررسید شده (کیلوگرم)],1):Main[[#This Row],[بدهی سررسید شده (کیلوگرم)]])</f>
        <v>0</v>
      </c>
      <c r="AE430" s="6">
        <f ca="1">IF(Main[[#This Row],[مانده در خط سررسید شده (کیلوگرم)]]&lt;&gt;0,Main[[#This Row],[تعداد کل روزهای بدهکار (روز)]],0)</f>
        <v>0</v>
      </c>
      <c r="AF430" s="6">
        <f ca="1">Main[[#This Row],[تعداد روزهای بدهکار سررسید شده (روز)]]*Main[[#This Row],[مانده در خط سررسید شده (کیلوگرم)]]</f>
        <v>0</v>
      </c>
    </row>
    <row r="431" spans="1:32" hidden="1" x14ac:dyDescent="0.35">
      <c r="A431" s="5">
        <f>ROW()-ROW(INDEX(Main[ردیف],1))+1</f>
        <v>429</v>
      </c>
      <c r="B431" s="31">
        <f>SUBTOTAL(2,INDEX(Main[ردیف],1):Main[[#This Row],[ردیف]])</f>
        <v>42</v>
      </c>
      <c r="C431" s="32" t="s">
        <v>549</v>
      </c>
      <c r="D431" s="32" t="str">
        <f>_xlfn.CONCAT("14",Main[[#This Row],[تاريخ]])</f>
        <v>1400/02/21</v>
      </c>
      <c r="E431" s="33">
        <v>44327</v>
      </c>
      <c r="F431" s="32">
        <v>30127</v>
      </c>
      <c r="G431" s="5" t="str">
        <f>INDEX(customer[عنوان],MATCH(Main[[#This Row],[کد ردیابی]],customer[کد],0))</f>
        <v>شیر گاز آذران</v>
      </c>
      <c r="H431">
        <v>-17022</v>
      </c>
      <c r="I431" s="6">
        <f ca="1">-Main[[#This Row],[بدهی تسویه شده (کیلوگرم)]]+Main[[#This Row],[بستانکار (کیلوگرم)]]</f>
        <v>-17022</v>
      </c>
      <c r="J431" s="6">
        <f>IF(Main[[#This Row],[مقدار (کیلوگرم)]]&gt;0,Main[[#This Row],[مقدار (کیلوگرم)]],0)</f>
        <v>0</v>
      </c>
      <c r="K431" s="6">
        <f>-IF(Main[[#This Row],[مقدار (کیلوگرم)]]&lt;0,Main[[#This Row],[مقدار (کیلوگرم)]],0)</f>
        <v>17022</v>
      </c>
      <c r="L4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1" s="7">
        <f>-IF(AND(Main[[#This Row],[مقدار (کیلوگرم)]]&lt;0,Main[[#This Row],[تاريخ میلادی]]&gt;44276),Main[[#This Row],[مقدار (کیلوگرم)]],0)</f>
        <v>17022</v>
      </c>
      <c r="N431" s="6">
        <f ca="1">Main[[#This Row],[بدهکار (کیلوگرم)]]-Main[[#This Row],[بدهی تسویه نشده (کیلوگرم)]]</f>
        <v>17022</v>
      </c>
      <c r="O431" s="6">
        <f ca="1">Main[[#This Row],[تفکیک]]</f>
        <v>0</v>
      </c>
      <c r="P431" s="6">
        <f ca="1">IF(Main[[#This Row],[تاخیر از سررسید]]&gt;0,Main[[#This Row],[بدهی تسویه نشده (کیلوگرم)]],0)</f>
        <v>0</v>
      </c>
      <c r="Q431" s="6">
        <f ca="1">IF(Main[[#This Row],[بدهی تسویه نشده (کیلوگرم)]]&gt;0,'گزارش فردی'!$B$7-Main[[#This Row],[تاريخ میلادی]],0)</f>
        <v>0</v>
      </c>
      <c r="R431" s="6">
        <f ca="1">IF(Main[[#This Row],[بدهی تسویه نشده (کیلوگرم)]]&gt;0,'گزارش فردی'!$B$7-Main[[#This Row],[تاريخ میلادی]]-'گزارش فردی'!$B$8,0)</f>
        <v>0</v>
      </c>
      <c r="S431" s="6">
        <f ca="1">Main[[#This Row],[روز از ارسال سفارش]]*Main[[#This Row],[بدهی تسویه نشده (کیلوگرم)]]</f>
        <v>0</v>
      </c>
      <c r="T431" s="6">
        <f ca="1">Main[[#This Row],[بدهی سررسید شده (کیلوگرم)]]*Main[[#This Row],[روز از ارسال سفارش]]</f>
        <v>0</v>
      </c>
      <c r="U431" s="6">
        <f>-SUBTOTAL(9,INDEX(Main[مقدار (کیلوگرم)],1):Main[[#This Row],[مقدار (کیلوگرم)]])</f>
        <v>24379</v>
      </c>
      <c r="V4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1" s="6">
        <f>Main[[#This Row],[تعداد کل روزهای بدهکار (روز)]]*Main[[#This Row],[مانده در خط کل (کیلوگرم)]]</f>
        <v>0</v>
      </c>
      <c r="X431" s="6">
        <f ca="1">-SUBTOTAL(9,INDEX(Main[مقدار تسویه شده (کیلوگرم)],1):Main[[#This Row],[مقدار تسویه شده (کیلوگرم)]])</f>
        <v>24379</v>
      </c>
      <c r="Y431" s="6">
        <f ca="1">IF(Main[[#This Row],[مانده در خط تسویه شده (کیلوگرم)]]&lt;&gt;0,Main[[#This Row],[تعداد کل روزهای بدهکار (روز)]],0)</f>
        <v>0</v>
      </c>
      <c r="Z431" s="6">
        <f ca="1">Main[[#This Row],[تعداد روزهای بدهکار تسویه شده (روز)]]*Main[[#This Row],[مانده در خط تسویه شده (کیلوگرم)]]</f>
        <v>0</v>
      </c>
      <c r="AA431" s="6">
        <f ca="1">SUBTOTAL(9,INDEX(Main[بدهی تسویه نشده (کیلوگرم)],1):Main[[#This Row],[بدهی تسویه نشده (کیلوگرم)]])</f>
        <v>0</v>
      </c>
      <c r="AB431" s="6">
        <f ca="1">IF(Main[[#This Row],[مانده در خط تسویه نشده (کیلوگرم)]]&lt;&gt;0,Main[[#This Row],[تعداد کل روزهای بدهکار (روز)]],0)</f>
        <v>0</v>
      </c>
      <c r="AC431" s="6">
        <f ca="1">Main[[#This Row],[تعداد روزهای بدهکار  تسویه نشده (روز)]]*Main[[#This Row],[مانده در خط تسویه نشده (کیلوگرم)]]</f>
        <v>0</v>
      </c>
      <c r="AD431" s="6">
        <f ca="1">SUBTOTAL(9,INDEX(Main[بدهی سررسید شده (کیلوگرم)],1):Main[[#This Row],[بدهی سررسید شده (کیلوگرم)]])</f>
        <v>0</v>
      </c>
      <c r="AE431" s="6">
        <f ca="1">IF(Main[[#This Row],[مانده در خط سررسید شده (کیلوگرم)]]&lt;&gt;0,Main[[#This Row],[تعداد کل روزهای بدهکار (روز)]],0)</f>
        <v>0</v>
      </c>
      <c r="AF431" s="6">
        <f ca="1">Main[[#This Row],[تعداد روزهای بدهکار سررسید شده (روز)]]*Main[[#This Row],[مانده در خط سررسید شده (کیلوگرم)]]</f>
        <v>0</v>
      </c>
    </row>
    <row r="432" spans="1:32" hidden="1" x14ac:dyDescent="0.35">
      <c r="A432" s="5">
        <f>ROW()-ROW(INDEX(Main[ردیف],1))+1</f>
        <v>430</v>
      </c>
      <c r="B432" s="31">
        <f>SUBTOTAL(2,INDEX(Main[ردیف],1):Main[[#This Row],[ردیف]])</f>
        <v>42</v>
      </c>
      <c r="C432" s="32" t="s">
        <v>549</v>
      </c>
      <c r="D432" s="32" t="str">
        <f>_xlfn.CONCAT("14",Main[[#This Row],[تاريخ]])</f>
        <v>1400/02/21</v>
      </c>
      <c r="E432" s="33">
        <v>44327</v>
      </c>
      <c r="F432" s="32">
        <v>10110</v>
      </c>
      <c r="G432" s="5" t="str">
        <f>INDEX(customer[عنوان],MATCH(Main[[#This Row],[کد ردیابی]],customer[کد],0))</f>
        <v>محمدی مسعود</v>
      </c>
      <c r="H432">
        <v>1955</v>
      </c>
      <c r="I432" s="6">
        <f ca="1">-Main[[#This Row],[بدهی تسویه شده (کیلوگرم)]]+Main[[#This Row],[بستانکار (کیلوگرم)]]</f>
        <v>1955</v>
      </c>
      <c r="J432" s="6">
        <f>IF(Main[[#This Row],[مقدار (کیلوگرم)]]&gt;0,Main[[#This Row],[مقدار (کیلوگرم)]],0)</f>
        <v>1955</v>
      </c>
      <c r="K432" s="6">
        <f>-IF(Main[[#This Row],[مقدار (کیلوگرم)]]&lt;0,Main[[#This Row],[مقدار (کیلوگرم)]],0)</f>
        <v>0</v>
      </c>
      <c r="L4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2" s="7">
        <f>-IF(AND(Main[[#This Row],[مقدار (کیلوگرم)]]&lt;0,Main[[#This Row],[تاريخ میلادی]]&gt;44276),Main[[#This Row],[مقدار (کیلوگرم)]],0)</f>
        <v>0</v>
      </c>
      <c r="N432" s="6">
        <f ca="1">Main[[#This Row],[بدهکار (کیلوگرم)]]-Main[[#This Row],[بدهی تسویه نشده (کیلوگرم)]]</f>
        <v>0</v>
      </c>
      <c r="O432" s="6">
        <f ca="1">Main[[#This Row],[تفکیک]]</f>
        <v>0</v>
      </c>
      <c r="P432" s="6">
        <f ca="1">IF(Main[[#This Row],[تاخیر از سررسید]]&gt;0,Main[[#This Row],[بدهی تسویه نشده (کیلوگرم)]],0)</f>
        <v>0</v>
      </c>
      <c r="Q432" s="6">
        <f ca="1">IF(Main[[#This Row],[بدهی تسویه نشده (کیلوگرم)]]&gt;0,'گزارش فردی'!$B$7-Main[[#This Row],[تاريخ میلادی]],0)</f>
        <v>0</v>
      </c>
      <c r="R432" s="6">
        <f ca="1">IF(Main[[#This Row],[بدهی تسویه نشده (کیلوگرم)]]&gt;0,'گزارش فردی'!$B$7-Main[[#This Row],[تاريخ میلادی]]-'گزارش فردی'!$B$8,0)</f>
        <v>0</v>
      </c>
      <c r="S432" s="6">
        <f ca="1">Main[[#This Row],[روز از ارسال سفارش]]*Main[[#This Row],[بدهی تسویه نشده (کیلوگرم)]]</f>
        <v>0</v>
      </c>
      <c r="T432" s="6">
        <f ca="1">Main[[#This Row],[بدهی سررسید شده (کیلوگرم)]]*Main[[#This Row],[روز از ارسال سفارش]]</f>
        <v>0</v>
      </c>
      <c r="U432" s="6">
        <f>-SUBTOTAL(9,INDEX(Main[مقدار (کیلوگرم)],1):Main[[#This Row],[مقدار (کیلوگرم)]])</f>
        <v>24379</v>
      </c>
      <c r="V4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2" s="6">
        <f>Main[[#This Row],[تعداد کل روزهای بدهکار (روز)]]*Main[[#This Row],[مانده در خط کل (کیلوگرم)]]</f>
        <v>0</v>
      </c>
      <c r="X432" s="6">
        <f ca="1">-SUBTOTAL(9,INDEX(Main[مقدار تسویه شده (کیلوگرم)],1):Main[[#This Row],[مقدار تسویه شده (کیلوگرم)]])</f>
        <v>24379</v>
      </c>
      <c r="Y432" s="6">
        <f ca="1">IF(Main[[#This Row],[مانده در خط تسویه شده (کیلوگرم)]]&lt;&gt;0,Main[[#This Row],[تعداد کل روزهای بدهکار (روز)]],0)</f>
        <v>0</v>
      </c>
      <c r="Z432" s="6">
        <f ca="1">Main[[#This Row],[تعداد روزهای بدهکار تسویه شده (روز)]]*Main[[#This Row],[مانده در خط تسویه شده (کیلوگرم)]]</f>
        <v>0</v>
      </c>
      <c r="AA432" s="6">
        <f ca="1">SUBTOTAL(9,INDEX(Main[بدهی تسویه نشده (کیلوگرم)],1):Main[[#This Row],[بدهی تسویه نشده (کیلوگرم)]])</f>
        <v>0</v>
      </c>
      <c r="AB432" s="6">
        <f ca="1">IF(Main[[#This Row],[مانده در خط تسویه نشده (کیلوگرم)]]&lt;&gt;0,Main[[#This Row],[تعداد کل روزهای بدهکار (روز)]],0)</f>
        <v>0</v>
      </c>
      <c r="AC432" s="6">
        <f ca="1">Main[[#This Row],[تعداد روزهای بدهکار  تسویه نشده (روز)]]*Main[[#This Row],[مانده در خط تسویه نشده (کیلوگرم)]]</f>
        <v>0</v>
      </c>
      <c r="AD432" s="6">
        <f ca="1">SUBTOTAL(9,INDEX(Main[بدهی سررسید شده (کیلوگرم)],1):Main[[#This Row],[بدهی سررسید شده (کیلوگرم)]])</f>
        <v>0</v>
      </c>
      <c r="AE432" s="6">
        <f ca="1">IF(Main[[#This Row],[مانده در خط سررسید شده (کیلوگرم)]]&lt;&gt;0,Main[[#This Row],[تعداد کل روزهای بدهکار (روز)]],0)</f>
        <v>0</v>
      </c>
      <c r="AF432" s="6">
        <f ca="1">Main[[#This Row],[تعداد روزهای بدهکار سررسید شده (روز)]]*Main[[#This Row],[مانده در خط سررسید شده (کیلوگرم)]]</f>
        <v>0</v>
      </c>
    </row>
    <row r="433" spans="1:32" hidden="1" x14ac:dyDescent="0.35">
      <c r="A433" s="5">
        <f>ROW()-ROW(INDEX(Main[ردیف],1))+1</f>
        <v>431</v>
      </c>
      <c r="B433" s="31">
        <f>SUBTOTAL(2,INDEX(Main[ردیف],1):Main[[#This Row],[ردیف]])</f>
        <v>42</v>
      </c>
      <c r="C433" s="32" t="s">
        <v>549</v>
      </c>
      <c r="D433" s="32" t="str">
        <f>_xlfn.CONCAT("14",Main[[#This Row],[تاريخ]])</f>
        <v>1400/02/21</v>
      </c>
      <c r="E433" s="33">
        <v>44327</v>
      </c>
      <c r="F433" s="32">
        <v>10079</v>
      </c>
      <c r="G433" s="5" t="str">
        <f>INDEX(customer[عنوان],MATCH(Main[[#This Row],[کد ردیابی]],customer[کد],0))</f>
        <v>حسینی حسن</v>
      </c>
      <c r="H433">
        <v>-994</v>
      </c>
      <c r="I433" s="6">
        <f ca="1">-Main[[#This Row],[بدهی تسویه شده (کیلوگرم)]]+Main[[#This Row],[بستانکار (کیلوگرم)]]</f>
        <v>-994</v>
      </c>
      <c r="J433" s="6">
        <f>IF(Main[[#This Row],[مقدار (کیلوگرم)]]&gt;0,Main[[#This Row],[مقدار (کیلوگرم)]],0)</f>
        <v>0</v>
      </c>
      <c r="K433" s="6">
        <f>-IF(Main[[#This Row],[مقدار (کیلوگرم)]]&lt;0,Main[[#This Row],[مقدار (کیلوگرم)]],0)</f>
        <v>994</v>
      </c>
      <c r="L4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3" s="7">
        <f>-IF(AND(Main[[#This Row],[مقدار (کیلوگرم)]]&lt;0,Main[[#This Row],[تاريخ میلادی]]&gt;44276),Main[[#This Row],[مقدار (کیلوگرم)]],0)</f>
        <v>994</v>
      </c>
      <c r="N433" s="6">
        <f ca="1">Main[[#This Row],[بدهکار (کیلوگرم)]]-Main[[#This Row],[بدهی تسویه نشده (کیلوگرم)]]</f>
        <v>994</v>
      </c>
      <c r="O433" s="6">
        <f ca="1">Main[[#This Row],[تفکیک]]</f>
        <v>0</v>
      </c>
      <c r="P433" s="6">
        <f ca="1">IF(Main[[#This Row],[تاخیر از سررسید]]&gt;0,Main[[#This Row],[بدهی تسویه نشده (کیلوگرم)]],0)</f>
        <v>0</v>
      </c>
      <c r="Q433" s="6">
        <f ca="1">IF(Main[[#This Row],[بدهی تسویه نشده (کیلوگرم)]]&gt;0,'گزارش فردی'!$B$7-Main[[#This Row],[تاريخ میلادی]],0)</f>
        <v>0</v>
      </c>
      <c r="R433" s="6">
        <f ca="1">IF(Main[[#This Row],[بدهی تسویه نشده (کیلوگرم)]]&gt;0,'گزارش فردی'!$B$7-Main[[#This Row],[تاريخ میلادی]]-'گزارش فردی'!$B$8,0)</f>
        <v>0</v>
      </c>
      <c r="S433" s="6">
        <f ca="1">Main[[#This Row],[روز از ارسال سفارش]]*Main[[#This Row],[بدهی تسویه نشده (کیلوگرم)]]</f>
        <v>0</v>
      </c>
      <c r="T433" s="6">
        <f ca="1">Main[[#This Row],[بدهی سررسید شده (کیلوگرم)]]*Main[[#This Row],[روز از ارسال سفارش]]</f>
        <v>0</v>
      </c>
      <c r="U433" s="6">
        <f>-SUBTOTAL(9,INDEX(Main[مقدار (کیلوگرم)],1):Main[[#This Row],[مقدار (کیلوگرم)]])</f>
        <v>24379</v>
      </c>
      <c r="V4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3" s="6">
        <f>Main[[#This Row],[تعداد کل روزهای بدهکار (روز)]]*Main[[#This Row],[مانده در خط کل (کیلوگرم)]]</f>
        <v>0</v>
      </c>
      <c r="X433" s="6">
        <f ca="1">-SUBTOTAL(9,INDEX(Main[مقدار تسویه شده (کیلوگرم)],1):Main[[#This Row],[مقدار تسویه شده (کیلوگرم)]])</f>
        <v>24379</v>
      </c>
      <c r="Y433" s="6">
        <f ca="1">IF(Main[[#This Row],[مانده در خط تسویه شده (کیلوگرم)]]&lt;&gt;0,Main[[#This Row],[تعداد کل روزهای بدهکار (روز)]],0)</f>
        <v>0</v>
      </c>
      <c r="Z433" s="6">
        <f ca="1">Main[[#This Row],[تعداد روزهای بدهکار تسویه شده (روز)]]*Main[[#This Row],[مانده در خط تسویه شده (کیلوگرم)]]</f>
        <v>0</v>
      </c>
      <c r="AA433" s="6">
        <f ca="1">SUBTOTAL(9,INDEX(Main[بدهی تسویه نشده (کیلوگرم)],1):Main[[#This Row],[بدهی تسویه نشده (کیلوگرم)]])</f>
        <v>0</v>
      </c>
      <c r="AB433" s="6">
        <f ca="1">IF(Main[[#This Row],[مانده در خط تسویه نشده (کیلوگرم)]]&lt;&gt;0,Main[[#This Row],[تعداد کل روزهای بدهکار (روز)]],0)</f>
        <v>0</v>
      </c>
      <c r="AC433" s="6">
        <f ca="1">Main[[#This Row],[تعداد روزهای بدهکار  تسویه نشده (روز)]]*Main[[#This Row],[مانده در خط تسویه نشده (کیلوگرم)]]</f>
        <v>0</v>
      </c>
      <c r="AD433" s="6">
        <f ca="1">SUBTOTAL(9,INDEX(Main[بدهی سررسید شده (کیلوگرم)],1):Main[[#This Row],[بدهی سررسید شده (کیلوگرم)]])</f>
        <v>0</v>
      </c>
      <c r="AE433" s="6">
        <f ca="1">IF(Main[[#This Row],[مانده در خط سررسید شده (کیلوگرم)]]&lt;&gt;0,Main[[#This Row],[تعداد کل روزهای بدهکار (روز)]],0)</f>
        <v>0</v>
      </c>
      <c r="AF433" s="6">
        <f ca="1">Main[[#This Row],[تعداد روزهای بدهکار سررسید شده (روز)]]*Main[[#This Row],[مانده در خط سررسید شده (کیلوگرم)]]</f>
        <v>0</v>
      </c>
    </row>
    <row r="434" spans="1:32" hidden="1" x14ac:dyDescent="0.35">
      <c r="A434" s="5">
        <f>ROW()-ROW(INDEX(Main[ردیف],1))+1</f>
        <v>432</v>
      </c>
      <c r="B434" s="31">
        <f>SUBTOTAL(2,INDEX(Main[ردیف],1):Main[[#This Row],[ردیف]])</f>
        <v>42</v>
      </c>
      <c r="C434" s="32" t="s">
        <v>549</v>
      </c>
      <c r="D434" s="32" t="str">
        <f>_xlfn.CONCAT("14",Main[[#This Row],[تاريخ]])</f>
        <v>1400/02/21</v>
      </c>
      <c r="E434" s="33">
        <v>44327</v>
      </c>
      <c r="F434" s="32">
        <v>30009</v>
      </c>
      <c r="G434" s="5" t="str">
        <f>INDEX(customer[عنوان],MATCH(Main[[#This Row],[کد ردیابی]],customer[کد],0))</f>
        <v>شرکت ایمن تک پیشرو</v>
      </c>
      <c r="H434">
        <v>2035</v>
      </c>
      <c r="I434" s="6">
        <f ca="1">-Main[[#This Row],[بدهی تسویه شده (کیلوگرم)]]+Main[[#This Row],[بستانکار (کیلوگرم)]]</f>
        <v>2035</v>
      </c>
      <c r="J434" s="6">
        <f>IF(Main[[#This Row],[مقدار (کیلوگرم)]]&gt;0,Main[[#This Row],[مقدار (کیلوگرم)]],0)</f>
        <v>2035</v>
      </c>
      <c r="K434" s="6">
        <f>-IF(Main[[#This Row],[مقدار (کیلوگرم)]]&lt;0,Main[[#This Row],[مقدار (کیلوگرم)]],0)</f>
        <v>0</v>
      </c>
      <c r="L4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4" s="7">
        <f>-IF(AND(Main[[#This Row],[مقدار (کیلوگرم)]]&lt;0,Main[[#This Row],[تاريخ میلادی]]&gt;44276),Main[[#This Row],[مقدار (کیلوگرم)]],0)</f>
        <v>0</v>
      </c>
      <c r="N434" s="6">
        <f ca="1">Main[[#This Row],[بدهکار (کیلوگرم)]]-Main[[#This Row],[بدهی تسویه نشده (کیلوگرم)]]</f>
        <v>0</v>
      </c>
      <c r="O434" s="6">
        <f ca="1">Main[[#This Row],[تفکیک]]</f>
        <v>0</v>
      </c>
      <c r="P434" s="6">
        <f ca="1">IF(Main[[#This Row],[تاخیر از سررسید]]&gt;0,Main[[#This Row],[بدهی تسویه نشده (کیلوگرم)]],0)</f>
        <v>0</v>
      </c>
      <c r="Q434" s="6">
        <f ca="1">IF(Main[[#This Row],[بدهی تسویه نشده (کیلوگرم)]]&gt;0,'گزارش فردی'!$B$7-Main[[#This Row],[تاريخ میلادی]],0)</f>
        <v>0</v>
      </c>
      <c r="R434" s="6">
        <f ca="1">IF(Main[[#This Row],[بدهی تسویه نشده (کیلوگرم)]]&gt;0,'گزارش فردی'!$B$7-Main[[#This Row],[تاريخ میلادی]]-'گزارش فردی'!$B$8,0)</f>
        <v>0</v>
      </c>
      <c r="S434" s="6">
        <f ca="1">Main[[#This Row],[روز از ارسال سفارش]]*Main[[#This Row],[بدهی تسویه نشده (کیلوگرم)]]</f>
        <v>0</v>
      </c>
      <c r="T434" s="6">
        <f ca="1">Main[[#This Row],[بدهی سررسید شده (کیلوگرم)]]*Main[[#This Row],[روز از ارسال سفارش]]</f>
        <v>0</v>
      </c>
      <c r="U434" s="6">
        <f>-SUBTOTAL(9,INDEX(Main[مقدار (کیلوگرم)],1):Main[[#This Row],[مقدار (کیلوگرم)]])</f>
        <v>24379</v>
      </c>
      <c r="V4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4" s="6">
        <f>Main[[#This Row],[تعداد کل روزهای بدهکار (روز)]]*Main[[#This Row],[مانده در خط کل (کیلوگرم)]]</f>
        <v>0</v>
      </c>
      <c r="X434" s="6">
        <f ca="1">-SUBTOTAL(9,INDEX(Main[مقدار تسویه شده (کیلوگرم)],1):Main[[#This Row],[مقدار تسویه شده (کیلوگرم)]])</f>
        <v>24379</v>
      </c>
      <c r="Y434" s="6">
        <f ca="1">IF(Main[[#This Row],[مانده در خط تسویه شده (کیلوگرم)]]&lt;&gt;0,Main[[#This Row],[تعداد کل روزهای بدهکار (روز)]],0)</f>
        <v>0</v>
      </c>
      <c r="Z434" s="6">
        <f ca="1">Main[[#This Row],[تعداد روزهای بدهکار تسویه شده (روز)]]*Main[[#This Row],[مانده در خط تسویه شده (کیلوگرم)]]</f>
        <v>0</v>
      </c>
      <c r="AA434" s="6">
        <f ca="1">SUBTOTAL(9,INDEX(Main[بدهی تسویه نشده (کیلوگرم)],1):Main[[#This Row],[بدهی تسویه نشده (کیلوگرم)]])</f>
        <v>0</v>
      </c>
      <c r="AB434" s="6">
        <f ca="1">IF(Main[[#This Row],[مانده در خط تسویه نشده (کیلوگرم)]]&lt;&gt;0,Main[[#This Row],[تعداد کل روزهای بدهکار (روز)]],0)</f>
        <v>0</v>
      </c>
      <c r="AC434" s="6">
        <f ca="1">Main[[#This Row],[تعداد روزهای بدهکار  تسویه نشده (روز)]]*Main[[#This Row],[مانده در خط تسویه نشده (کیلوگرم)]]</f>
        <v>0</v>
      </c>
      <c r="AD434" s="6">
        <f ca="1">SUBTOTAL(9,INDEX(Main[بدهی سررسید شده (کیلوگرم)],1):Main[[#This Row],[بدهی سررسید شده (کیلوگرم)]])</f>
        <v>0</v>
      </c>
      <c r="AE434" s="6">
        <f ca="1">IF(Main[[#This Row],[مانده در خط سررسید شده (کیلوگرم)]]&lt;&gt;0,Main[[#This Row],[تعداد کل روزهای بدهکار (روز)]],0)</f>
        <v>0</v>
      </c>
      <c r="AF434" s="6">
        <f ca="1">Main[[#This Row],[تعداد روزهای بدهکار سررسید شده (روز)]]*Main[[#This Row],[مانده در خط سررسید شده (کیلوگرم)]]</f>
        <v>0</v>
      </c>
    </row>
    <row r="435" spans="1:32" hidden="1" x14ac:dyDescent="0.35">
      <c r="A435" s="5">
        <f>ROW()-ROW(INDEX(Main[ردیف],1))+1</f>
        <v>433</v>
      </c>
      <c r="B435" s="31">
        <f>SUBTOTAL(2,INDEX(Main[ردیف],1):Main[[#This Row],[ردیف]])</f>
        <v>42</v>
      </c>
      <c r="C435" s="32" t="s">
        <v>549</v>
      </c>
      <c r="D435" s="32" t="str">
        <f>_xlfn.CONCAT("14",Main[[#This Row],[تاريخ]])</f>
        <v>1400/02/21</v>
      </c>
      <c r="E435" s="33">
        <v>44327</v>
      </c>
      <c r="F435" s="32">
        <v>10055</v>
      </c>
      <c r="G435" s="5" t="str">
        <f>INDEX(customer[عنوان],MATCH(Main[[#This Row],[کد ردیابی]],customer[کد],0))</f>
        <v xml:space="preserve">مریم فیض آبادی  </v>
      </c>
      <c r="H435">
        <v>-5088</v>
      </c>
      <c r="I435" s="6">
        <f ca="1">-Main[[#This Row],[بدهی تسویه شده (کیلوگرم)]]+Main[[#This Row],[بستانکار (کیلوگرم)]]</f>
        <v>-5088</v>
      </c>
      <c r="J435" s="6">
        <f>IF(Main[[#This Row],[مقدار (کیلوگرم)]]&gt;0,Main[[#This Row],[مقدار (کیلوگرم)]],0)</f>
        <v>0</v>
      </c>
      <c r="K435" s="6">
        <f>-IF(Main[[#This Row],[مقدار (کیلوگرم)]]&lt;0,Main[[#This Row],[مقدار (کیلوگرم)]],0)</f>
        <v>5088</v>
      </c>
      <c r="L4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5" s="7">
        <f>-IF(AND(Main[[#This Row],[مقدار (کیلوگرم)]]&lt;0,Main[[#This Row],[تاريخ میلادی]]&gt;44276),Main[[#This Row],[مقدار (کیلوگرم)]],0)</f>
        <v>5088</v>
      </c>
      <c r="N435" s="6">
        <f ca="1">Main[[#This Row],[بدهکار (کیلوگرم)]]-Main[[#This Row],[بدهی تسویه نشده (کیلوگرم)]]</f>
        <v>5088</v>
      </c>
      <c r="O435" s="6">
        <f ca="1">Main[[#This Row],[تفکیک]]</f>
        <v>0</v>
      </c>
      <c r="P435" s="6">
        <f ca="1">IF(Main[[#This Row],[تاخیر از سررسید]]&gt;0,Main[[#This Row],[بدهی تسویه نشده (کیلوگرم)]],0)</f>
        <v>0</v>
      </c>
      <c r="Q435" s="6">
        <f ca="1">IF(Main[[#This Row],[بدهی تسویه نشده (کیلوگرم)]]&gt;0,'گزارش فردی'!$B$7-Main[[#This Row],[تاريخ میلادی]],0)</f>
        <v>0</v>
      </c>
      <c r="R435" s="6">
        <f ca="1">IF(Main[[#This Row],[بدهی تسویه نشده (کیلوگرم)]]&gt;0,'گزارش فردی'!$B$7-Main[[#This Row],[تاريخ میلادی]]-'گزارش فردی'!$B$8,0)</f>
        <v>0</v>
      </c>
      <c r="S435" s="6">
        <f ca="1">Main[[#This Row],[روز از ارسال سفارش]]*Main[[#This Row],[بدهی تسویه نشده (کیلوگرم)]]</f>
        <v>0</v>
      </c>
      <c r="T435" s="6">
        <f ca="1">Main[[#This Row],[بدهی سررسید شده (کیلوگرم)]]*Main[[#This Row],[روز از ارسال سفارش]]</f>
        <v>0</v>
      </c>
      <c r="U435" s="6">
        <f>-SUBTOTAL(9,INDEX(Main[مقدار (کیلوگرم)],1):Main[[#This Row],[مقدار (کیلوگرم)]])</f>
        <v>24379</v>
      </c>
      <c r="V4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5" s="6">
        <f>Main[[#This Row],[تعداد کل روزهای بدهکار (روز)]]*Main[[#This Row],[مانده در خط کل (کیلوگرم)]]</f>
        <v>0</v>
      </c>
      <c r="X435" s="6">
        <f ca="1">-SUBTOTAL(9,INDEX(Main[مقدار تسویه شده (کیلوگرم)],1):Main[[#This Row],[مقدار تسویه شده (کیلوگرم)]])</f>
        <v>24379</v>
      </c>
      <c r="Y435" s="6">
        <f ca="1">IF(Main[[#This Row],[مانده در خط تسویه شده (کیلوگرم)]]&lt;&gt;0,Main[[#This Row],[تعداد کل روزهای بدهکار (روز)]],0)</f>
        <v>0</v>
      </c>
      <c r="Z435" s="6">
        <f ca="1">Main[[#This Row],[تعداد روزهای بدهکار تسویه شده (روز)]]*Main[[#This Row],[مانده در خط تسویه شده (کیلوگرم)]]</f>
        <v>0</v>
      </c>
      <c r="AA435" s="6">
        <f ca="1">SUBTOTAL(9,INDEX(Main[بدهی تسویه نشده (کیلوگرم)],1):Main[[#This Row],[بدهی تسویه نشده (کیلوگرم)]])</f>
        <v>0</v>
      </c>
      <c r="AB435" s="6">
        <f ca="1">IF(Main[[#This Row],[مانده در خط تسویه نشده (کیلوگرم)]]&lt;&gt;0,Main[[#This Row],[تعداد کل روزهای بدهکار (روز)]],0)</f>
        <v>0</v>
      </c>
      <c r="AC435" s="6">
        <f ca="1">Main[[#This Row],[تعداد روزهای بدهکار  تسویه نشده (روز)]]*Main[[#This Row],[مانده در خط تسویه نشده (کیلوگرم)]]</f>
        <v>0</v>
      </c>
      <c r="AD435" s="6">
        <f ca="1">SUBTOTAL(9,INDEX(Main[بدهی سررسید شده (کیلوگرم)],1):Main[[#This Row],[بدهی سررسید شده (کیلوگرم)]])</f>
        <v>0</v>
      </c>
      <c r="AE435" s="6">
        <f ca="1">IF(Main[[#This Row],[مانده در خط سررسید شده (کیلوگرم)]]&lt;&gt;0,Main[[#This Row],[تعداد کل روزهای بدهکار (روز)]],0)</f>
        <v>0</v>
      </c>
      <c r="AF435" s="6">
        <f ca="1">Main[[#This Row],[تعداد روزهای بدهکار سررسید شده (روز)]]*Main[[#This Row],[مانده در خط سررسید شده (کیلوگرم)]]</f>
        <v>0</v>
      </c>
    </row>
    <row r="436" spans="1:32" hidden="1" x14ac:dyDescent="0.35">
      <c r="A436" s="5">
        <f>ROW()-ROW(INDEX(Main[ردیف],1))+1</f>
        <v>434</v>
      </c>
      <c r="B436" s="31">
        <f>SUBTOTAL(2,INDEX(Main[ردیف],1):Main[[#This Row],[ردیف]])</f>
        <v>42</v>
      </c>
      <c r="C436" s="32" t="s">
        <v>549</v>
      </c>
      <c r="D436" s="32" t="str">
        <f>_xlfn.CONCAT("14",Main[[#This Row],[تاريخ]])</f>
        <v>1400/02/21</v>
      </c>
      <c r="E436" s="33">
        <v>44327</v>
      </c>
      <c r="F436" s="32">
        <v>30066</v>
      </c>
      <c r="G436" s="5" t="str">
        <f>INDEX(customer[عنوان],MATCH(Main[[#This Row],[کد ردیابی]],customer[کد],0))</f>
        <v xml:space="preserve">شیر آلات بهداشتی قهرمان </v>
      </c>
      <c r="H436">
        <v>4214</v>
      </c>
      <c r="I436" s="6">
        <f ca="1">-Main[[#This Row],[بدهی تسویه شده (کیلوگرم)]]+Main[[#This Row],[بستانکار (کیلوگرم)]]</f>
        <v>4214</v>
      </c>
      <c r="J436" s="6">
        <f>IF(Main[[#This Row],[مقدار (کیلوگرم)]]&gt;0,Main[[#This Row],[مقدار (کیلوگرم)]],0)</f>
        <v>4214</v>
      </c>
      <c r="K436" s="6">
        <f>-IF(Main[[#This Row],[مقدار (کیلوگرم)]]&lt;0,Main[[#This Row],[مقدار (کیلوگرم)]],0)</f>
        <v>0</v>
      </c>
      <c r="L4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6" s="7">
        <f>-IF(AND(Main[[#This Row],[مقدار (کیلوگرم)]]&lt;0,Main[[#This Row],[تاريخ میلادی]]&gt;44276),Main[[#This Row],[مقدار (کیلوگرم)]],0)</f>
        <v>0</v>
      </c>
      <c r="N436" s="6">
        <f ca="1">Main[[#This Row],[بدهکار (کیلوگرم)]]-Main[[#This Row],[بدهی تسویه نشده (کیلوگرم)]]</f>
        <v>0</v>
      </c>
      <c r="O436" s="6">
        <f ca="1">Main[[#This Row],[تفکیک]]</f>
        <v>0</v>
      </c>
      <c r="P436" s="6">
        <f ca="1">IF(Main[[#This Row],[تاخیر از سررسید]]&gt;0,Main[[#This Row],[بدهی تسویه نشده (کیلوگرم)]],0)</f>
        <v>0</v>
      </c>
      <c r="Q436" s="6">
        <f ca="1">IF(Main[[#This Row],[بدهی تسویه نشده (کیلوگرم)]]&gt;0,'گزارش فردی'!$B$7-Main[[#This Row],[تاريخ میلادی]],0)</f>
        <v>0</v>
      </c>
      <c r="R436" s="6">
        <f ca="1">IF(Main[[#This Row],[بدهی تسویه نشده (کیلوگرم)]]&gt;0,'گزارش فردی'!$B$7-Main[[#This Row],[تاريخ میلادی]]-'گزارش فردی'!$B$8,0)</f>
        <v>0</v>
      </c>
      <c r="S436" s="6">
        <f ca="1">Main[[#This Row],[روز از ارسال سفارش]]*Main[[#This Row],[بدهی تسویه نشده (کیلوگرم)]]</f>
        <v>0</v>
      </c>
      <c r="T436" s="6">
        <f ca="1">Main[[#This Row],[بدهی سررسید شده (کیلوگرم)]]*Main[[#This Row],[روز از ارسال سفارش]]</f>
        <v>0</v>
      </c>
      <c r="U436" s="6">
        <f>-SUBTOTAL(9,INDEX(Main[مقدار (کیلوگرم)],1):Main[[#This Row],[مقدار (کیلوگرم)]])</f>
        <v>24379</v>
      </c>
      <c r="V4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6" s="6">
        <f>Main[[#This Row],[تعداد کل روزهای بدهکار (روز)]]*Main[[#This Row],[مانده در خط کل (کیلوگرم)]]</f>
        <v>0</v>
      </c>
      <c r="X436" s="6">
        <f ca="1">-SUBTOTAL(9,INDEX(Main[مقدار تسویه شده (کیلوگرم)],1):Main[[#This Row],[مقدار تسویه شده (کیلوگرم)]])</f>
        <v>24379</v>
      </c>
      <c r="Y436" s="6">
        <f ca="1">IF(Main[[#This Row],[مانده در خط تسویه شده (کیلوگرم)]]&lt;&gt;0,Main[[#This Row],[تعداد کل روزهای بدهکار (روز)]],0)</f>
        <v>0</v>
      </c>
      <c r="Z436" s="6">
        <f ca="1">Main[[#This Row],[تعداد روزهای بدهکار تسویه شده (روز)]]*Main[[#This Row],[مانده در خط تسویه شده (کیلوگرم)]]</f>
        <v>0</v>
      </c>
      <c r="AA436" s="6">
        <f ca="1">SUBTOTAL(9,INDEX(Main[بدهی تسویه نشده (کیلوگرم)],1):Main[[#This Row],[بدهی تسویه نشده (کیلوگرم)]])</f>
        <v>0</v>
      </c>
      <c r="AB436" s="6">
        <f ca="1">IF(Main[[#This Row],[مانده در خط تسویه نشده (کیلوگرم)]]&lt;&gt;0,Main[[#This Row],[تعداد کل روزهای بدهکار (روز)]],0)</f>
        <v>0</v>
      </c>
      <c r="AC436" s="6">
        <f ca="1">Main[[#This Row],[تعداد روزهای بدهکار  تسویه نشده (روز)]]*Main[[#This Row],[مانده در خط تسویه نشده (کیلوگرم)]]</f>
        <v>0</v>
      </c>
      <c r="AD436" s="6">
        <f ca="1">SUBTOTAL(9,INDEX(Main[بدهی سررسید شده (کیلوگرم)],1):Main[[#This Row],[بدهی سررسید شده (کیلوگرم)]])</f>
        <v>0</v>
      </c>
      <c r="AE436" s="6">
        <f ca="1">IF(Main[[#This Row],[مانده در خط سررسید شده (کیلوگرم)]]&lt;&gt;0,Main[[#This Row],[تعداد کل روزهای بدهکار (روز)]],0)</f>
        <v>0</v>
      </c>
      <c r="AF436" s="6">
        <f ca="1">Main[[#This Row],[تعداد روزهای بدهکار سررسید شده (روز)]]*Main[[#This Row],[مانده در خط سررسید شده (کیلوگرم)]]</f>
        <v>0</v>
      </c>
    </row>
    <row r="437" spans="1:32" hidden="1" x14ac:dyDescent="0.35">
      <c r="A437" s="5">
        <f>ROW()-ROW(INDEX(Main[ردیف],1))+1</f>
        <v>435</v>
      </c>
      <c r="B437" s="31">
        <f>SUBTOTAL(2,INDEX(Main[ردیف],1):Main[[#This Row],[ردیف]])</f>
        <v>42</v>
      </c>
      <c r="C437" s="32" t="s">
        <v>549</v>
      </c>
      <c r="D437" s="32" t="str">
        <f>_xlfn.CONCAT("14",Main[[#This Row],[تاريخ]])</f>
        <v>1400/02/21</v>
      </c>
      <c r="E437" s="33">
        <v>44327</v>
      </c>
      <c r="F437" s="32">
        <v>10020</v>
      </c>
      <c r="G437" s="5" t="str">
        <f>INDEX(customer[عنوان],MATCH(Main[[#This Row],[کد ردیابی]],customer[کد],0))</f>
        <v>فرزاد اسماعیل زاده</v>
      </c>
      <c r="H437">
        <v>-184</v>
      </c>
      <c r="I437" s="6">
        <f ca="1">-Main[[#This Row],[بدهی تسویه شده (کیلوگرم)]]+Main[[#This Row],[بستانکار (کیلوگرم)]]</f>
        <v>-184</v>
      </c>
      <c r="J437" s="6">
        <f>IF(Main[[#This Row],[مقدار (کیلوگرم)]]&gt;0,Main[[#This Row],[مقدار (کیلوگرم)]],0)</f>
        <v>0</v>
      </c>
      <c r="K437" s="6">
        <f>-IF(Main[[#This Row],[مقدار (کیلوگرم)]]&lt;0,Main[[#This Row],[مقدار (کیلوگرم)]],0)</f>
        <v>184</v>
      </c>
      <c r="L4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7" s="7">
        <f>-IF(AND(Main[[#This Row],[مقدار (کیلوگرم)]]&lt;0,Main[[#This Row],[تاريخ میلادی]]&gt;44276),Main[[#This Row],[مقدار (کیلوگرم)]],0)</f>
        <v>184</v>
      </c>
      <c r="N437" s="6">
        <f ca="1">Main[[#This Row],[بدهکار (کیلوگرم)]]-Main[[#This Row],[بدهی تسویه نشده (کیلوگرم)]]</f>
        <v>184</v>
      </c>
      <c r="O437" s="6">
        <f ca="1">Main[[#This Row],[تفکیک]]</f>
        <v>0</v>
      </c>
      <c r="P437" s="6">
        <f ca="1">IF(Main[[#This Row],[تاخیر از سررسید]]&gt;0,Main[[#This Row],[بدهی تسویه نشده (کیلوگرم)]],0)</f>
        <v>0</v>
      </c>
      <c r="Q437" s="6">
        <f ca="1">IF(Main[[#This Row],[بدهی تسویه نشده (کیلوگرم)]]&gt;0,'گزارش فردی'!$B$7-Main[[#This Row],[تاريخ میلادی]],0)</f>
        <v>0</v>
      </c>
      <c r="R437" s="6">
        <f ca="1">IF(Main[[#This Row],[بدهی تسویه نشده (کیلوگرم)]]&gt;0,'گزارش فردی'!$B$7-Main[[#This Row],[تاريخ میلادی]]-'گزارش فردی'!$B$8,0)</f>
        <v>0</v>
      </c>
      <c r="S437" s="6">
        <f ca="1">Main[[#This Row],[روز از ارسال سفارش]]*Main[[#This Row],[بدهی تسویه نشده (کیلوگرم)]]</f>
        <v>0</v>
      </c>
      <c r="T437" s="6">
        <f ca="1">Main[[#This Row],[بدهی سررسید شده (کیلوگرم)]]*Main[[#This Row],[روز از ارسال سفارش]]</f>
        <v>0</v>
      </c>
      <c r="U437" s="6">
        <f>-SUBTOTAL(9,INDEX(Main[مقدار (کیلوگرم)],1):Main[[#This Row],[مقدار (کیلوگرم)]])</f>
        <v>24379</v>
      </c>
      <c r="V4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7" s="6">
        <f>Main[[#This Row],[تعداد کل روزهای بدهکار (روز)]]*Main[[#This Row],[مانده در خط کل (کیلوگرم)]]</f>
        <v>0</v>
      </c>
      <c r="X437" s="6">
        <f ca="1">-SUBTOTAL(9,INDEX(Main[مقدار تسویه شده (کیلوگرم)],1):Main[[#This Row],[مقدار تسویه شده (کیلوگرم)]])</f>
        <v>24379</v>
      </c>
      <c r="Y437" s="6">
        <f ca="1">IF(Main[[#This Row],[مانده در خط تسویه شده (کیلوگرم)]]&lt;&gt;0,Main[[#This Row],[تعداد کل روزهای بدهکار (روز)]],0)</f>
        <v>0</v>
      </c>
      <c r="Z437" s="6">
        <f ca="1">Main[[#This Row],[تعداد روزهای بدهکار تسویه شده (روز)]]*Main[[#This Row],[مانده در خط تسویه شده (کیلوگرم)]]</f>
        <v>0</v>
      </c>
      <c r="AA437" s="6">
        <f ca="1">SUBTOTAL(9,INDEX(Main[بدهی تسویه نشده (کیلوگرم)],1):Main[[#This Row],[بدهی تسویه نشده (کیلوگرم)]])</f>
        <v>0</v>
      </c>
      <c r="AB437" s="6">
        <f ca="1">IF(Main[[#This Row],[مانده در خط تسویه نشده (کیلوگرم)]]&lt;&gt;0,Main[[#This Row],[تعداد کل روزهای بدهکار (روز)]],0)</f>
        <v>0</v>
      </c>
      <c r="AC437" s="6">
        <f ca="1">Main[[#This Row],[تعداد روزهای بدهکار  تسویه نشده (روز)]]*Main[[#This Row],[مانده در خط تسویه نشده (کیلوگرم)]]</f>
        <v>0</v>
      </c>
      <c r="AD437" s="6">
        <f ca="1">SUBTOTAL(9,INDEX(Main[بدهی سررسید شده (کیلوگرم)],1):Main[[#This Row],[بدهی سررسید شده (کیلوگرم)]])</f>
        <v>0</v>
      </c>
      <c r="AE437" s="6">
        <f ca="1">IF(Main[[#This Row],[مانده در خط سررسید شده (کیلوگرم)]]&lt;&gt;0,Main[[#This Row],[تعداد کل روزهای بدهکار (روز)]],0)</f>
        <v>0</v>
      </c>
      <c r="AF437" s="6">
        <f ca="1">Main[[#This Row],[تعداد روزهای بدهکار سررسید شده (روز)]]*Main[[#This Row],[مانده در خط سررسید شده (کیلوگرم)]]</f>
        <v>0</v>
      </c>
    </row>
    <row r="438" spans="1:32" hidden="1" x14ac:dyDescent="0.35">
      <c r="A438" s="5">
        <f>ROW()-ROW(INDEX(Main[ردیف],1))+1</f>
        <v>436</v>
      </c>
      <c r="B438" s="31">
        <f>SUBTOTAL(2,INDEX(Main[ردیف],1):Main[[#This Row],[ردیف]])</f>
        <v>42</v>
      </c>
      <c r="C438" s="32" t="s">
        <v>549</v>
      </c>
      <c r="D438" s="32" t="str">
        <f>_xlfn.CONCAT("14",Main[[#This Row],[تاريخ]])</f>
        <v>1400/02/21</v>
      </c>
      <c r="E438" s="33">
        <v>44327</v>
      </c>
      <c r="F438" s="32">
        <v>10055</v>
      </c>
      <c r="G438" s="5" t="str">
        <f>INDEX(customer[عنوان],MATCH(Main[[#This Row],[کد ردیابی]],customer[کد],0))</f>
        <v xml:space="preserve">مریم فیض آبادی  </v>
      </c>
      <c r="H438">
        <v>4412</v>
      </c>
      <c r="I438" s="6">
        <f ca="1">-Main[[#This Row],[بدهی تسویه شده (کیلوگرم)]]+Main[[#This Row],[بستانکار (کیلوگرم)]]</f>
        <v>4412</v>
      </c>
      <c r="J438" s="6">
        <f>IF(Main[[#This Row],[مقدار (کیلوگرم)]]&gt;0,Main[[#This Row],[مقدار (کیلوگرم)]],0)</f>
        <v>4412</v>
      </c>
      <c r="K438" s="6">
        <f>-IF(Main[[#This Row],[مقدار (کیلوگرم)]]&lt;0,Main[[#This Row],[مقدار (کیلوگرم)]],0)</f>
        <v>0</v>
      </c>
      <c r="L4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8" s="7">
        <f>-IF(AND(Main[[#This Row],[مقدار (کیلوگرم)]]&lt;0,Main[[#This Row],[تاريخ میلادی]]&gt;44276),Main[[#This Row],[مقدار (کیلوگرم)]],0)</f>
        <v>0</v>
      </c>
      <c r="N438" s="6">
        <f ca="1">Main[[#This Row],[بدهکار (کیلوگرم)]]-Main[[#This Row],[بدهی تسویه نشده (کیلوگرم)]]</f>
        <v>0</v>
      </c>
      <c r="O438" s="6">
        <f ca="1">Main[[#This Row],[تفکیک]]</f>
        <v>0</v>
      </c>
      <c r="P438" s="6">
        <f ca="1">IF(Main[[#This Row],[تاخیر از سررسید]]&gt;0,Main[[#This Row],[بدهی تسویه نشده (کیلوگرم)]],0)</f>
        <v>0</v>
      </c>
      <c r="Q438" s="6">
        <f ca="1">IF(Main[[#This Row],[بدهی تسویه نشده (کیلوگرم)]]&gt;0,'گزارش فردی'!$B$7-Main[[#This Row],[تاريخ میلادی]],0)</f>
        <v>0</v>
      </c>
      <c r="R438" s="6">
        <f ca="1">IF(Main[[#This Row],[بدهی تسویه نشده (کیلوگرم)]]&gt;0,'گزارش فردی'!$B$7-Main[[#This Row],[تاريخ میلادی]]-'گزارش فردی'!$B$8,0)</f>
        <v>0</v>
      </c>
      <c r="S438" s="6">
        <f ca="1">Main[[#This Row],[روز از ارسال سفارش]]*Main[[#This Row],[بدهی تسویه نشده (کیلوگرم)]]</f>
        <v>0</v>
      </c>
      <c r="T438" s="6">
        <f ca="1">Main[[#This Row],[بدهی سررسید شده (کیلوگرم)]]*Main[[#This Row],[روز از ارسال سفارش]]</f>
        <v>0</v>
      </c>
      <c r="U438" s="6">
        <f>-SUBTOTAL(9,INDEX(Main[مقدار (کیلوگرم)],1):Main[[#This Row],[مقدار (کیلوگرم)]])</f>
        <v>24379</v>
      </c>
      <c r="V4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8" s="6">
        <f>Main[[#This Row],[تعداد کل روزهای بدهکار (روز)]]*Main[[#This Row],[مانده در خط کل (کیلوگرم)]]</f>
        <v>0</v>
      </c>
      <c r="X438" s="6">
        <f ca="1">-SUBTOTAL(9,INDEX(Main[مقدار تسویه شده (کیلوگرم)],1):Main[[#This Row],[مقدار تسویه شده (کیلوگرم)]])</f>
        <v>24379</v>
      </c>
      <c r="Y438" s="6">
        <f ca="1">IF(Main[[#This Row],[مانده در خط تسویه شده (کیلوگرم)]]&lt;&gt;0,Main[[#This Row],[تعداد کل روزهای بدهکار (روز)]],0)</f>
        <v>0</v>
      </c>
      <c r="Z438" s="6">
        <f ca="1">Main[[#This Row],[تعداد روزهای بدهکار تسویه شده (روز)]]*Main[[#This Row],[مانده در خط تسویه شده (کیلوگرم)]]</f>
        <v>0</v>
      </c>
      <c r="AA438" s="6">
        <f ca="1">SUBTOTAL(9,INDEX(Main[بدهی تسویه نشده (کیلوگرم)],1):Main[[#This Row],[بدهی تسویه نشده (کیلوگرم)]])</f>
        <v>0</v>
      </c>
      <c r="AB438" s="6">
        <f ca="1">IF(Main[[#This Row],[مانده در خط تسویه نشده (کیلوگرم)]]&lt;&gt;0,Main[[#This Row],[تعداد کل روزهای بدهکار (روز)]],0)</f>
        <v>0</v>
      </c>
      <c r="AC438" s="6">
        <f ca="1">Main[[#This Row],[تعداد روزهای بدهکار  تسویه نشده (روز)]]*Main[[#This Row],[مانده در خط تسویه نشده (کیلوگرم)]]</f>
        <v>0</v>
      </c>
      <c r="AD438" s="6">
        <f ca="1">SUBTOTAL(9,INDEX(Main[بدهی سررسید شده (کیلوگرم)],1):Main[[#This Row],[بدهی سررسید شده (کیلوگرم)]])</f>
        <v>0</v>
      </c>
      <c r="AE438" s="6">
        <f ca="1">IF(Main[[#This Row],[مانده در خط سررسید شده (کیلوگرم)]]&lt;&gt;0,Main[[#This Row],[تعداد کل روزهای بدهکار (روز)]],0)</f>
        <v>0</v>
      </c>
      <c r="AF438" s="6">
        <f ca="1">Main[[#This Row],[تعداد روزهای بدهکار سررسید شده (روز)]]*Main[[#This Row],[مانده در خط سررسید شده (کیلوگرم)]]</f>
        <v>0</v>
      </c>
    </row>
    <row r="439" spans="1:32" hidden="1" x14ac:dyDescent="0.35">
      <c r="A439" s="5">
        <f>ROW()-ROW(INDEX(Main[ردیف],1))+1</f>
        <v>437</v>
      </c>
      <c r="B439" s="31">
        <f>SUBTOTAL(2,INDEX(Main[ردیف],1):Main[[#This Row],[ردیف]])</f>
        <v>42</v>
      </c>
      <c r="C439" s="32" t="s">
        <v>549</v>
      </c>
      <c r="D439" s="32" t="str">
        <f>_xlfn.CONCAT("14",Main[[#This Row],[تاريخ]])</f>
        <v>1400/02/21</v>
      </c>
      <c r="E439" s="33">
        <v>44327</v>
      </c>
      <c r="F439" s="32">
        <v>30009</v>
      </c>
      <c r="G439" s="5" t="str">
        <f>INDEX(customer[عنوان],MATCH(Main[[#This Row],[کد ردیابی]],customer[کد],0))</f>
        <v>شرکت ایمن تک پیشرو</v>
      </c>
      <c r="H439">
        <v>-2004</v>
      </c>
      <c r="I439" s="6">
        <f ca="1">-Main[[#This Row],[بدهی تسویه شده (کیلوگرم)]]+Main[[#This Row],[بستانکار (کیلوگرم)]]</f>
        <v>-2004</v>
      </c>
      <c r="J439" s="6">
        <f>IF(Main[[#This Row],[مقدار (کیلوگرم)]]&gt;0,Main[[#This Row],[مقدار (کیلوگرم)]],0)</f>
        <v>0</v>
      </c>
      <c r="K439" s="6">
        <f>-IF(Main[[#This Row],[مقدار (کیلوگرم)]]&lt;0,Main[[#This Row],[مقدار (کیلوگرم)]],0)</f>
        <v>2004</v>
      </c>
      <c r="L4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9" s="7">
        <f>-IF(AND(Main[[#This Row],[مقدار (کیلوگرم)]]&lt;0,Main[[#This Row],[تاريخ میلادی]]&gt;44276),Main[[#This Row],[مقدار (کیلوگرم)]],0)</f>
        <v>2004</v>
      </c>
      <c r="N439" s="6">
        <f ca="1">Main[[#This Row],[بدهکار (کیلوگرم)]]-Main[[#This Row],[بدهی تسویه نشده (کیلوگرم)]]</f>
        <v>2004</v>
      </c>
      <c r="O439" s="6">
        <f ca="1">Main[[#This Row],[تفکیک]]</f>
        <v>0</v>
      </c>
      <c r="P439" s="6">
        <f ca="1">IF(Main[[#This Row],[تاخیر از سررسید]]&gt;0,Main[[#This Row],[بدهی تسویه نشده (کیلوگرم)]],0)</f>
        <v>0</v>
      </c>
      <c r="Q439" s="6">
        <f ca="1">IF(Main[[#This Row],[بدهی تسویه نشده (کیلوگرم)]]&gt;0,'گزارش فردی'!$B$7-Main[[#This Row],[تاريخ میلادی]],0)</f>
        <v>0</v>
      </c>
      <c r="R439" s="6">
        <f ca="1">IF(Main[[#This Row],[بدهی تسویه نشده (کیلوگرم)]]&gt;0,'گزارش فردی'!$B$7-Main[[#This Row],[تاريخ میلادی]]-'گزارش فردی'!$B$8,0)</f>
        <v>0</v>
      </c>
      <c r="S439" s="6">
        <f ca="1">Main[[#This Row],[روز از ارسال سفارش]]*Main[[#This Row],[بدهی تسویه نشده (کیلوگرم)]]</f>
        <v>0</v>
      </c>
      <c r="T439" s="6">
        <f ca="1">Main[[#This Row],[بدهی سررسید شده (کیلوگرم)]]*Main[[#This Row],[روز از ارسال سفارش]]</f>
        <v>0</v>
      </c>
      <c r="U439" s="6">
        <f>-SUBTOTAL(9,INDEX(Main[مقدار (کیلوگرم)],1):Main[[#This Row],[مقدار (کیلوگرم)]])</f>
        <v>24379</v>
      </c>
      <c r="V4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9" s="6">
        <f>Main[[#This Row],[تعداد کل روزهای بدهکار (روز)]]*Main[[#This Row],[مانده در خط کل (کیلوگرم)]]</f>
        <v>0</v>
      </c>
      <c r="X439" s="6">
        <f ca="1">-SUBTOTAL(9,INDEX(Main[مقدار تسویه شده (کیلوگرم)],1):Main[[#This Row],[مقدار تسویه شده (کیلوگرم)]])</f>
        <v>24379</v>
      </c>
      <c r="Y439" s="6">
        <f ca="1">IF(Main[[#This Row],[مانده در خط تسویه شده (کیلوگرم)]]&lt;&gt;0,Main[[#This Row],[تعداد کل روزهای بدهکار (روز)]],0)</f>
        <v>0</v>
      </c>
      <c r="Z439" s="6">
        <f ca="1">Main[[#This Row],[تعداد روزهای بدهکار تسویه شده (روز)]]*Main[[#This Row],[مانده در خط تسویه شده (کیلوگرم)]]</f>
        <v>0</v>
      </c>
      <c r="AA439" s="6">
        <f ca="1">SUBTOTAL(9,INDEX(Main[بدهی تسویه نشده (کیلوگرم)],1):Main[[#This Row],[بدهی تسویه نشده (کیلوگرم)]])</f>
        <v>0</v>
      </c>
      <c r="AB439" s="6">
        <f ca="1">IF(Main[[#This Row],[مانده در خط تسویه نشده (کیلوگرم)]]&lt;&gt;0,Main[[#This Row],[تعداد کل روزهای بدهکار (روز)]],0)</f>
        <v>0</v>
      </c>
      <c r="AC439" s="6">
        <f ca="1">Main[[#This Row],[تعداد روزهای بدهکار  تسویه نشده (روز)]]*Main[[#This Row],[مانده در خط تسویه نشده (کیلوگرم)]]</f>
        <v>0</v>
      </c>
      <c r="AD439" s="6">
        <f ca="1">SUBTOTAL(9,INDEX(Main[بدهی سررسید شده (کیلوگرم)],1):Main[[#This Row],[بدهی سررسید شده (کیلوگرم)]])</f>
        <v>0</v>
      </c>
      <c r="AE439" s="6">
        <f ca="1">IF(Main[[#This Row],[مانده در خط سررسید شده (کیلوگرم)]]&lt;&gt;0,Main[[#This Row],[تعداد کل روزهای بدهکار (روز)]],0)</f>
        <v>0</v>
      </c>
      <c r="AF439" s="6">
        <f ca="1">Main[[#This Row],[تعداد روزهای بدهکار سررسید شده (روز)]]*Main[[#This Row],[مانده در خط سررسید شده (کیلوگرم)]]</f>
        <v>0</v>
      </c>
    </row>
    <row r="440" spans="1:32" x14ac:dyDescent="0.35">
      <c r="A440" s="5">
        <f>ROW()-ROW(INDEX(Main[ردیف],1))+1</f>
        <v>438</v>
      </c>
      <c r="B440" s="31">
        <f>SUBTOTAL(2,INDEX(Main[ردیف],1):Main[[#This Row],[ردیف]])</f>
        <v>43</v>
      </c>
      <c r="C440" s="32" t="s">
        <v>549</v>
      </c>
      <c r="D440" s="32" t="str">
        <f>_xlfn.CONCAT("14",Main[[#This Row],[تاريخ]])</f>
        <v>1400/02/21</v>
      </c>
      <c r="E440" s="33">
        <v>44327</v>
      </c>
      <c r="F440" s="32">
        <v>10003</v>
      </c>
      <c r="G440" s="5" t="str">
        <f>INDEX(customer[عنوان],MATCH(Main[[#This Row],[کد ردیابی]],customer[کد],0))</f>
        <v>اصغر نورعلی</v>
      </c>
      <c r="H440">
        <v>2867</v>
      </c>
      <c r="I440" s="6">
        <f ca="1">-Main[[#This Row],[بدهی تسویه شده (کیلوگرم)]]+Main[[#This Row],[بستانکار (کیلوگرم)]]</f>
        <v>2867</v>
      </c>
      <c r="J440" s="6">
        <f>IF(Main[[#This Row],[مقدار (کیلوگرم)]]&gt;0,Main[[#This Row],[مقدار (کیلوگرم)]],0)</f>
        <v>2867</v>
      </c>
      <c r="K440" s="6">
        <f>-IF(Main[[#This Row],[مقدار (کیلوگرم)]]&lt;0,Main[[#This Row],[مقدار (کیلوگرم)]],0)</f>
        <v>0</v>
      </c>
      <c r="L4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0" s="7">
        <f>-IF(AND(Main[[#This Row],[مقدار (کیلوگرم)]]&lt;0,Main[[#This Row],[تاريخ میلادی]]&gt;44276),Main[[#This Row],[مقدار (کیلوگرم)]],0)</f>
        <v>0</v>
      </c>
      <c r="N440" s="6">
        <f ca="1">Main[[#This Row],[بدهکار (کیلوگرم)]]-Main[[#This Row],[بدهی تسویه نشده (کیلوگرم)]]</f>
        <v>0</v>
      </c>
      <c r="O440" s="6">
        <f ca="1">Main[[#This Row],[تفکیک]]</f>
        <v>0</v>
      </c>
      <c r="P440" s="6">
        <f ca="1">IF(Main[[#This Row],[تاخیر از سررسید]]&gt;0,Main[[#This Row],[بدهی تسویه نشده (کیلوگرم)]],0)</f>
        <v>0</v>
      </c>
      <c r="Q440" s="6">
        <f ca="1">IF(Main[[#This Row],[بدهی تسویه نشده (کیلوگرم)]]&gt;0,'گزارش فردی'!$B$7-Main[[#This Row],[تاريخ میلادی]],0)</f>
        <v>0</v>
      </c>
      <c r="R440" s="6">
        <f ca="1">IF(Main[[#This Row],[بدهی تسویه نشده (کیلوگرم)]]&gt;0,'گزارش فردی'!$B$7-Main[[#This Row],[تاريخ میلادی]]-'گزارش فردی'!$B$8,0)</f>
        <v>0</v>
      </c>
      <c r="S440" s="6">
        <f ca="1">Main[[#This Row],[روز از ارسال سفارش]]*Main[[#This Row],[بدهی تسویه نشده (کیلوگرم)]]</f>
        <v>0</v>
      </c>
      <c r="T440" s="6">
        <f ca="1">Main[[#This Row],[بدهی سررسید شده (کیلوگرم)]]*Main[[#This Row],[روز از ارسال سفارش]]</f>
        <v>0</v>
      </c>
      <c r="U440" s="6">
        <f>-SUBTOTAL(9,INDEX(Main[مقدار (کیلوگرم)],1):Main[[#This Row],[مقدار (کیلوگرم)]])</f>
        <v>21512</v>
      </c>
      <c r="V4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40" s="6">
        <f>Main[[#This Row],[تعداد کل روزهای بدهکار (روز)]]*Main[[#This Row],[مانده در خط کل (کیلوگرم)]]</f>
        <v>21512</v>
      </c>
      <c r="X440" s="6">
        <f ca="1">-SUBTOTAL(9,INDEX(Main[مقدار تسویه شده (کیلوگرم)],1):Main[[#This Row],[مقدار تسویه شده (کیلوگرم)]])</f>
        <v>21512</v>
      </c>
      <c r="Y440" s="6">
        <f ca="1">IF(Main[[#This Row],[مانده در خط تسویه شده (کیلوگرم)]]&lt;&gt;0,Main[[#This Row],[تعداد کل روزهای بدهکار (روز)]],0)</f>
        <v>1</v>
      </c>
      <c r="Z440" s="6">
        <f ca="1">Main[[#This Row],[تعداد روزهای بدهکار تسویه شده (روز)]]*Main[[#This Row],[مانده در خط تسویه شده (کیلوگرم)]]</f>
        <v>21512</v>
      </c>
      <c r="AA440" s="6">
        <f ca="1">SUBTOTAL(9,INDEX(Main[بدهی تسویه نشده (کیلوگرم)],1):Main[[#This Row],[بدهی تسویه نشده (کیلوگرم)]])</f>
        <v>0</v>
      </c>
      <c r="AB440" s="6">
        <f ca="1">IF(Main[[#This Row],[مانده در خط تسویه نشده (کیلوگرم)]]&lt;&gt;0,Main[[#This Row],[تعداد کل روزهای بدهکار (روز)]],0)</f>
        <v>0</v>
      </c>
      <c r="AC440" s="6">
        <f ca="1">Main[[#This Row],[تعداد روزهای بدهکار  تسویه نشده (روز)]]*Main[[#This Row],[مانده در خط تسویه نشده (کیلوگرم)]]</f>
        <v>0</v>
      </c>
      <c r="AD440" s="6">
        <f ca="1">SUBTOTAL(9,INDEX(Main[بدهی سررسید شده (کیلوگرم)],1):Main[[#This Row],[بدهی سررسید شده (کیلوگرم)]])</f>
        <v>0</v>
      </c>
      <c r="AE440" s="6">
        <f ca="1">IF(Main[[#This Row],[مانده در خط سررسید شده (کیلوگرم)]]&lt;&gt;0,Main[[#This Row],[تعداد کل روزهای بدهکار (روز)]],0)</f>
        <v>0</v>
      </c>
      <c r="AF440" s="6">
        <f ca="1">Main[[#This Row],[تعداد روزهای بدهکار سررسید شده (روز)]]*Main[[#This Row],[مانده در خط سررسید شده (کیلوگرم)]]</f>
        <v>0</v>
      </c>
    </row>
    <row r="441" spans="1:32" hidden="1" x14ac:dyDescent="0.35">
      <c r="A441" s="5">
        <f>ROW()-ROW(INDEX(Main[ردیف],1))+1</f>
        <v>439</v>
      </c>
      <c r="B441" s="31">
        <f>SUBTOTAL(2,INDEX(Main[ردیف],1):Main[[#This Row],[ردیف]])</f>
        <v>43</v>
      </c>
      <c r="C441" s="32" t="s">
        <v>549</v>
      </c>
      <c r="D441" s="32" t="str">
        <f>_xlfn.CONCAT("14",Main[[#This Row],[تاريخ]])</f>
        <v>1400/02/21</v>
      </c>
      <c r="E441" s="33">
        <v>44327</v>
      </c>
      <c r="F441" s="32">
        <v>30004</v>
      </c>
      <c r="G441" s="5" t="str">
        <f>INDEX(customer[عنوان],MATCH(Main[[#This Row],[کد ردیابی]],customer[کد],0))</f>
        <v>تولیدی صنعتی صفاشیر پارس</v>
      </c>
      <c r="H441">
        <v>-4084</v>
      </c>
      <c r="I441" s="6">
        <f ca="1">-Main[[#This Row],[بدهی تسویه شده (کیلوگرم)]]+Main[[#This Row],[بستانکار (کیلوگرم)]]</f>
        <v>-4084</v>
      </c>
      <c r="J441" s="6">
        <f>IF(Main[[#This Row],[مقدار (کیلوگرم)]]&gt;0,Main[[#This Row],[مقدار (کیلوگرم)]],0)</f>
        <v>0</v>
      </c>
      <c r="K441" s="6">
        <f>-IF(Main[[#This Row],[مقدار (کیلوگرم)]]&lt;0,Main[[#This Row],[مقدار (کیلوگرم)]],0)</f>
        <v>4084</v>
      </c>
      <c r="L4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1" s="7">
        <f>-IF(AND(Main[[#This Row],[مقدار (کیلوگرم)]]&lt;0,Main[[#This Row],[تاريخ میلادی]]&gt;44276),Main[[#This Row],[مقدار (کیلوگرم)]],0)</f>
        <v>4084</v>
      </c>
      <c r="N441" s="6">
        <f ca="1">Main[[#This Row],[بدهکار (کیلوگرم)]]-Main[[#This Row],[بدهی تسویه نشده (کیلوگرم)]]</f>
        <v>4084</v>
      </c>
      <c r="O441" s="6">
        <f ca="1">Main[[#This Row],[تفکیک]]</f>
        <v>0</v>
      </c>
      <c r="P441" s="6">
        <f ca="1">IF(Main[[#This Row],[تاخیر از سررسید]]&gt;0,Main[[#This Row],[بدهی تسویه نشده (کیلوگرم)]],0)</f>
        <v>0</v>
      </c>
      <c r="Q441" s="6">
        <f ca="1">IF(Main[[#This Row],[بدهی تسویه نشده (کیلوگرم)]]&gt;0,'گزارش فردی'!$B$7-Main[[#This Row],[تاريخ میلادی]],0)</f>
        <v>0</v>
      </c>
      <c r="R441" s="6">
        <f ca="1">IF(Main[[#This Row],[بدهی تسویه نشده (کیلوگرم)]]&gt;0,'گزارش فردی'!$B$7-Main[[#This Row],[تاريخ میلادی]]-'گزارش فردی'!$B$8,0)</f>
        <v>0</v>
      </c>
      <c r="S441" s="6">
        <f ca="1">Main[[#This Row],[روز از ارسال سفارش]]*Main[[#This Row],[بدهی تسویه نشده (کیلوگرم)]]</f>
        <v>0</v>
      </c>
      <c r="T441" s="6">
        <f ca="1">Main[[#This Row],[بدهی سررسید شده (کیلوگرم)]]*Main[[#This Row],[روز از ارسال سفارش]]</f>
        <v>0</v>
      </c>
      <c r="U441" s="6">
        <f>-SUBTOTAL(9,INDEX(Main[مقدار (کیلوگرم)],1):Main[[#This Row],[مقدار (کیلوگرم)]])</f>
        <v>21512</v>
      </c>
      <c r="V4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41" s="6">
        <f>Main[[#This Row],[تعداد کل روزهای بدهکار (روز)]]*Main[[#This Row],[مانده در خط کل (کیلوگرم)]]</f>
        <v>21512</v>
      </c>
      <c r="X441" s="6">
        <f ca="1">-SUBTOTAL(9,INDEX(Main[مقدار تسویه شده (کیلوگرم)],1):Main[[#This Row],[مقدار تسویه شده (کیلوگرم)]])</f>
        <v>21512</v>
      </c>
      <c r="Y441" s="6">
        <f ca="1">IF(Main[[#This Row],[مانده در خط تسویه شده (کیلوگرم)]]&lt;&gt;0,Main[[#This Row],[تعداد کل روزهای بدهکار (روز)]],0)</f>
        <v>1</v>
      </c>
      <c r="Z441" s="6">
        <f ca="1">Main[[#This Row],[تعداد روزهای بدهکار تسویه شده (روز)]]*Main[[#This Row],[مانده در خط تسویه شده (کیلوگرم)]]</f>
        <v>21512</v>
      </c>
      <c r="AA441" s="6">
        <f ca="1">SUBTOTAL(9,INDEX(Main[بدهی تسویه نشده (کیلوگرم)],1):Main[[#This Row],[بدهی تسویه نشده (کیلوگرم)]])</f>
        <v>0</v>
      </c>
      <c r="AB441" s="6">
        <f ca="1">IF(Main[[#This Row],[مانده در خط تسویه نشده (کیلوگرم)]]&lt;&gt;0,Main[[#This Row],[تعداد کل روزهای بدهکار (روز)]],0)</f>
        <v>0</v>
      </c>
      <c r="AC441" s="6">
        <f ca="1">Main[[#This Row],[تعداد روزهای بدهکار  تسویه نشده (روز)]]*Main[[#This Row],[مانده در خط تسویه نشده (کیلوگرم)]]</f>
        <v>0</v>
      </c>
      <c r="AD441" s="6">
        <f ca="1">SUBTOTAL(9,INDEX(Main[بدهی سررسید شده (کیلوگرم)],1):Main[[#This Row],[بدهی سررسید شده (کیلوگرم)]])</f>
        <v>0</v>
      </c>
      <c r="AE441" s="6">
        <f ca="1">IF(Main[[#This Row],[مانده در خط سررسید شده (کیلوگرم)]]&lt;&gt;0,Main[[#This Row],[تعداد کل روزهای بدهکار (روز)]],0)</f>
        <v>0</v>
      </c>
      <c r="AF441" s="6">
        <f ca="1">Main[[#This Row],[تعداد روزهای بدهکار سررسید شده (روز)]]*Main[[#This Row],[مانده در خط سررسید شده (کیلوگرم)]]</f>
        <v>0</v>
      </c>
    </row>
    <row r="442" spans="1:32" hidden="1" x14ac:dyDescent="0.35">
      <c r="A442" s="5">
        <f>ROW()-ROW(INDEX(Main[ردیف],1))+1</f>
        <v>440</v>
      </c>
      <c r="B442" s="31">
        <f>SUBTOTAL(2,INDEX(Main[ردیف],1):Main[[#This Row],[ردیف]])</f>
        <v>43</v>
      </c>
      <c r="C442" s="32" t="s">
        <v>549</v>
      </c>
      <c r="D442" s="32" t="str">
        <f>_xlfn.CONCAT("14",Main[[#This Row],[تاريخ]])</f>
        <v>1400/02/21</v>
      </c>
      <c r="E442" s="33">
        <v>44327</v>
      </c>
      <c r="F442" s="32">
        <v>10127</v>
      </c>
      <c r="G442" s="5" t="str">
        <f>INDEX(customer[عنوان],MATCH(Main[[#This Row],[کد ردیابی]],customer[کد],0))</f>
        <v xml:space="preserve">عماد هاشمی </v>
      </c>
      <c r="H442">
        <v>-500</v>
      </c>
      <c r="I442" s="6">
        <f ca="1">-Main[[#This Row],[بدهی تسویه شده (کیلوگرم)]]+Main[[#This Row],[بستانکار (کیلوگرم)]]</f>
        <v>-500</v>
      </c>
      <c r="J442" s="6">
        <f>IF(Main[[#This Row],[مقدار (کیلوگرم)]]&gt;0,Main[[#This Row],[مقدار (کیلوگرم)]],0)</f>
        <v>0</v>
      </c>
      <c r="K442" s="6">
        <f>-IF(Main[[#This Row],[مقدار (کیلوگرم)]]&lt;0,Main[[#This Row],[مقدار (کیلوگرم)]],0)</f>
        <v>500</v>
      </c>
      <c r="L4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2" s="7">
        <f>-IF(AND(Main[[#This Row],[مقدار (کیلوگرم)]]&lt;0,Main[[#This Row],[تاريخ میلادی]]&gt;44276),Main[[#This Row],[مقدار (کیلوگرم)]],0)</f>
        <v>500</v>
      </c>
      <c r="N442" s="6">
        <f ca="1">Main[[#This Row],[بدهکار (کیلوگرم)]]-Main[[#This Row],[بدهی تسویه نشده (کیلوگرم)]]</f>
        <v>500</v>
      </c>
      <c r="O442" s="6">
        <f ca="1">Main[[#This Row],[تفکیک]]</f>
        <v>0</v>
      </c>
      <c r="P442" s="6">
        <f ca="1">IF(Main[[#This Row],[تاخیر از سررسید]]&gt;0,Main[[#This Row],[بدهی تسویه نشده (کیلوگرم)]],0)</f>
        <v>0</v>
      </c>
      <c r="Q442" s="6">
        <f ca="1">IF(Main[[#This Row],[بدهی تسویه نشده (کیلوگرم)]]&gt;0,'گزارش فردی'!$B$7-Main[[#This Row],[تاريخ میلادی]],0)</f>
        <v>0</v>
      </c>
      <c r="R442" s="6">
        <f ca="1">IF(Main[[#This Row],[بدهی تسویه نشده (کیلوگرم)]]&gt;0,'گزارش فردی'!$B$7-Main[[#This Row],[تاريخ میلادی]]-'گزارش فردی'!$B$8,0)</f>
        <v>0</v>
      </c>
      <c r="S442" s="6">
        <f ca="1">Main[[#This Row],[روز از ارسال سفارش]]*Main[[#This Row],[بدهی تسویه نشده (کیلوگرم)]]</f>
        <v>0</v>
      </c>
      <c r="T442" s="6">
        <f ca="1">Main[[#This Row],[بدهی سررسید شده (کیلوگرم)]]*Main[[#This Row],[روز از ارسال سفارش]]</f>
        <v>0</v>
      </c>
      <c r="U442" s="6">
        <f>-SUBTOTAL(9,INDEX(Main[مقدار (کیلوگرم)],1):Main[[#This Row],[مقدار (کیلوگرم)]])</f>
        <v>21512</v>
      </c>
      <c r="V4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42" s="6">
        <f>Main[[#This Row],[تعداد کل روزهای بدهکار (روز)]]*Main[[#This Row],[مانده در خط کل (کیلوگرم)]]</f>
        <v>21512</v>
      </c>
      <c r="X442" s="6">
        <f ca="1">-SUBTOTAL(9,INDEX(Main[مقدار تسویه شده (کیلوگرم)],1):Main[[#This Row],[مقدار تسویه شده (کیلوگرم)]])</f>
        <v>21512</v>
      </c>
      <c r="Y442" s="6">
        <f ca="1">IF(Main[[#This Row],[مانده در خط تسویه شده (کیلوگرم)]]&lt;&gt;0,Main[[#This Row],[تعداد کل روزهای بدهکار (روز)]],0)</f>
        <v>1</v>
      </c>
      <c r="Z442" s="6">
        <f ca="1">Main[[#This Row],[تعداد روزهای بدهکار تسویه شده (روز)]]*Main[[#This Row],[مانده در خط تسویه شده (کیلوگرم)]]</f>
        <v>21512</v>
      </c>
      <c r="AA442" s="6">
        <f ca="1">SUBTOTAL(9,INDEX(Main[بدهی تسویه نشده (کیلوگرم)],1):Main[[#This Row],[بدهی تسویه نشده (کیلوگرم)]])</f>
        <v>0</v>
      </c>
      <c r="AB442" s="6">
        <f ca="1">IF(Main[[#This Row],[مانده در خط تسویه نشده (کیلوگرم)]]&lt;&gt;0,Main[[#This Row],[تعداد کل روزهای بدهکار (روز)]],0)</f>
        <v>0</v>
      </c>
      <c r="AC442" s="6">
        <f ca="1">Main[[#This Row],[تعداد روزهای بدهکار  تسویه نشده (روز)]]*Main[[#This Row],[مانده در خط تسویه نشده (کیلوگرم)]]</f>
        <v>0</v>
      </c>
      <c r="AD442" s="6">
        <f ca="1">SUBTOTAL(9,INDEX(Main[بدهی سررسید شده (کیلوگرم)],1):Main[[#This Row],[بدهی سررسید شده (کیلوگرم)]])</f>
        <v>0</v>
      </c>
      <c r="AE442" s="6">
        <f ca="1">IF(Main[[#This Row],[مانده در خط سررسید شده (کیلوگرم)]]&lt;&gt;0,Main[[#This Row],[تعداد کل روزهای بدهکار (روز)]],0)</f>
        <v>0</v>
      </c>
      <c r="AF442" s="6">
        <f ca="1">Main[[#This Row],[تعداد روزهای بدهکار سررسید شده (روز)]]*Main[[#This Row],[مانده در خط سررسید شده (کیلوگرم)]]</f>
        <v>0</v>
      </c>
    </row>
    <row r="443" spans="1:32" hidden="1" x14ac:dyDescent="0.35">
      <c r="A443" s="5">
        <f>ROW()-ROW(INDEX(Main[ردیف],1))+1</f>
        <v>441</v>
      </c>
      <c r="B443" s="31">
        <f>SUBTOTAL(2,INDEX(Main[ردیف],1):Main[[#This Row],[ردیف]])</f>
        <v>43</v>
      </c>
      <c r="C443" s="32" t="s">
        <v>551</v>
      </c>
      <c r="D443" s="32" t="str">
        <f>_xlfn.CONCAT("14",Main[[#This Row],[تاريخ]])</f>
        <v>1400/02/22</v>
      </c>
      <c r="E443" s="33">
        <v>44328</v>
      </c>
      <c r="F443" s="32">
        <v>10104</v>
      </c>
      <c r="G443" s="5" t="str">
        <f>INDEX(customer[عنوان],MATCH(Main[[#This Row],[کد ردیابی]],customer[کد],0))</f>
        <v>بهزادی فر اصغر</v>
      </c>
      <c r="H443">
        <v>164</v>
      </c>
      <c r="I443" s="6">
        <f ca="1">-Main[[#This Row],[بدهی تسویه شده (کیلوگرم)]]+Main[[#This Row],[بستانکار (کیلوگرم)]]</f>
        <v>164</v>
      </c>
      <c r="J443" s="6">
        <f>IF(Main[[#This Row],[مقدار (کیلوگرم)]]&gt;0,Main[[#This Row],[مقدار (کیلوگرم)]],0)</f>
        <v>164</v>
      </c>
      <c r="K443" s="6">
        <f>-IF(Main[[#This Row],[مقدار (کیلوگرم)]]&lt;0,Main[[#This Row],[مقدار (کیلوگرم)]],0)</f>
        <v>0</v>
      </c>
      <c r="L4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3" s="7">
        <f>-IF(AND(Main[[#This Row],[مقدار (کیلوگرم)]]&lt;0,Main[[#This Row],[تاريخ میلادی]]&gt;44276),Main[[#This Row],[مقدار (کیلوگرم)]],0)</f>
        <v>0</v>
      </c>
      <c r="N443" s="6">
        <f ca="1">Main[[#This Row],[بدهکار (کیلوگرم)]]-Main[[#This Row],[بدهی تسویه نشده (کیلوگرم)]]</f>
        <v>0</v>
      </c>
      <c r="O443" s="6">
        <f ca="1">Main[[#This Row],[تفکیک]]</f>
        <v>0</v>
      </c>
      <c r="P443" s="6">
        <f ca="1">IF(Main[[#This Row],[تاخیر از سررسید]]&gt;0,Main[[#This Row],[بدهی تسویه نشده (کیلوگرم)]],0)</f>
        <v>0</v>
      </c>
      <c r="Q443" s="6">
        <f ca="1">IF(Main[[#This Row],[بدهی تسویه نشده (کیلوگرم)]]&gt;0,'گزارش فردی'!$B$7-Main[[#This Row],[تاريخ میلادی]],0)</f>
        <v>0</v>
      </c>
      <c r="R443" s="6">
        <f ca="1">IF(Main[[#This Row],[بدهی تسویه نشده (کیلوگرم)]]&gt;0,'گزارش فردی'!$B$7-Main[[#This Row],[تاريخ میلادی]]-'گزارش فردی'!$B$8,0)</f>
        <v>0</v>
      </c>
      <c r="S443" s="6">
        <f ca="1">Main[[#This Row],[روز از ارسال سفارش]]*Main[[#This Row],[بدهی تسویه نشده (کیلوگرم)]]</f>
        <v>0</v>
      </c>
      <c r="T443" s="6">
        <f ca="1">Main[[#This Row],[بدهی سررسید شده (کیلوگرم)]]*Main[[#This Row],[روز از ارسال سفارش]]</f>
        <v>0</v>
      </c>
      <c r="U443" s="6">
        <f>-SUBTOTAL(9,INDEX(Main[مقدار (کیلوگرم)],1):Main[[#This Row],[مقدار (کیلوگرم)]])</f>
        <v>21512</v>
      </c>
      <c r="V4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3" s="6">
        <f>Main[[#This Row],[تعداد کل روزهای بدهکار (روز)]]*Main[[#This Row],[مانده در خط کل (کیلوگرم)]]</f>
        <v>0</v>
      </c>
      <c r="X443" s="6">
        <f ca="1">-SUBTOTAL(9,INDEX(Main[مقدار تسویه شده (کیلوگرم)],1):Main[[#This Row],[مقدار تسویه شده (کیلوگرم)]])</f>
        <v>21512</v>
      </c>
      <c r="Y443" s="6">
        <f ca="1">IF(Main[[#This Row],[مانده در خط تسویه شده (کیلوگرم)]]&lt;&gt;0,Main[[#This Row],[تعداد کل روزهای بدهکار (روز)]],0)</f>
        <v>0</v>
      </c>
      <c r="Z443" s="6">
        <f ca="1">Main[[#This Row],[تعداد روزهای بدهکار تسویه شده (روز)]]*Main[[#This Row],[مانده در خط تسویه شده (کیلوگرم)]]</f>
        <v>0</v>
      </c>
      <c r="AA443" s="6">
        <f ca="1">SUBTOTAL(9,INDEX(Main[بدهی تسویه نشده (کیلوگرم)],1):Main[[#This Row],[بدهی تسویه نشده (کیلوگرم)]])</f>
        <v>0</v>
      </c>
      <c r="AB443" s="6">
        <f ca="1">IF(Main[[#This Row],[مانده در خط تسویه نشده (کیلوگرم)]]&lt;&gt;0,Main[[#This Row],[تعداد کل روزهای بدهکار (روز)]],0)</f>
        <v>0</v>
      </c>
      <c r="AC443" s="6">
        <f ca="1">Main[[#This Row],[تعداد روزهای بدهکار  تسویه نشده (روز)]]*Main[[#This Row],[مانده در خط تسویه نشده (کیلوگرم)]]</f>
        <v>0</v>
      </c>
      <c r="AD443" s="6">
        <f ca="1">SUBTOTAL(9,INDEX(Main[بدهی سررسید شده (کیلوگرم)],1):Main[[#This Row],[بدهی سررسید شده (کیلوگرم)]])</f>
        <v>0</v>
      </c>
      <c r="AE443" s="6">
        <f ca="1">IF(Main[[#This Row],[مانده در خط سررسید شده (کیلوگرم)]]&lt;&gt;0,Main[[#This Row],[تعداد کل روزهای بدهکار (روز)]],0)</f>
        <v>0</v>
      </c>
      <c r="AF443" s="6">
        <f ca="1">Main[[#This Row],[تعداد روزهای بدهکار سررسید شده (روز)]]*Main[[#This Row],[مانده در خط سررسید شده (کیلوگرم)]]</f>
        <v>0</v>
      </c>
    </row>
    <row r="444" spans="1:32" hidden="1" x14ac:dyDescent="0.35">
      <c r="A444" s="5">
        <f>ROW()-ROW(INDEX(Main[ردیف],1))+1</f>
        <v>442</v>
      </c>
      <c r="B444" s="31">
        <f>SUBTOTAL(2,INDEX(Main[ردیف],1):Main[[#This Row],[ردیف]])</f>
        <v>43</v>
      </c>
      <c r="C444" s="32" t="s">
        <v>551</v>
      </c>
      <c r="D444" s="32" t="str">
        <f>_xlfn.CONCAT("14",Main[[#This Row],[تاريخ]])</f>
        <v>1400/02/22</v>
      </c>
      <c r="E444" s="33">
        <v>44328</v>
      </c>
      <c r="F444" s="32">
        <v>30162</v>
      </c>
      <c r="G444" s="5" t="str">
        <f>INDEX(customer[عنوان],MATCH(Main[[#This Row],[کد ردیابی]],customer[کد],0))</f>
        <v>شرکت الماس آریا</v>
      </c>
      <c r="H444">
        <v>-145</v>
      </c>
      <c r="I444" s="6">
        <f ca="1">-Main[[#This Row],[بدهی تسویه شده (کیلوگرم)]]+Main[[#This Row],[بستانکار (کیلوگرم)]]</f>
        <v>-145</v>
      </c>
      <c r="J444" s="6">
        <f>IF(Main[[#This Row],[مقدار (کیلوگرم)]]&gt;0,Main[[#This Row],[مقدار (کیلوگرم)]],0)</f>
        <v>0</v>
      </c>
      <c r="K444" s="6">
        <f>-IF(Main[[#This Row],[مقدار (کیلوگرم)]]&lt;0,Main[[#This Row],[مقدار (کیلوگرم)]],0)</f>
        <v>145</v>
      </c>
      <c r="L4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4" s="7">
        <f>-IF(AND(Main[[#This Row],[مقدار (کیلوگرم)]]&lt;0,Main[[#This Row],[تاريخ میلادی]]&gt;44276),Main[[#This Row],[مقدار (کیلوگرم)]],0)</f>
        <v>145</v>
      </c>
      <c r="N444" s="6">
        <f ca="1">Main[[#This Row],[بدهکار (کیلوگرم)]]-Main[[#This Row],[بدهی تسویه نشده (کیلوگرم)]]</f>
        <v>145</v>
      </c>
      <c r="O444" s="6">
        <f ca="1">Main[[#This Row],[تفکیک]]</f>
        <v>0</v>
      </c>
      <c r="P444" s="6">
        <f ca="1">IF(Main[[#This Row],[تاخیر از سررسید]]&gt;0,Main[[#This Row],[بدهی تسویه نشده (کیلوگرم)]],0)</f>
        <v>0</v>
      </c>
      <c r="Q444" s="6">
        <f ca="1">IF(Main[[#This Row],[بدهی تسویه نشده (کیلوگرم)]]&gt;0,'گزارش فردی'!$B$7-Main[[#This Row],[تاريخ میلادی]],0)</f>
        <v>0</v>
      </c>
      <c r="R444" s="6">
        <f ca="1">IF(Main[[#This Row],[بدهی تسویه نشده (کیلوگرم)]]&gt;0,'گزارش فردی'!$B$7-Main[[#This Row],[تاريخ میلادی]]-'گزارش فردی'!$B$8,0)</f>
        <v>0</v>
      </c>
      <c r="S444" s="6">
        <f ca="1">Main[[#This Row],[روز از ارسال سفارش]]*Main[[#This Row],[بدهی تسویه نشده (کیلوگرم)]]</f>
        <v>0</v>
      </c>
      <c r="T444" s="6">
        <f ca="1">Main[[#This Row],[بدهی سررسید شده (کیلوگرم)]]*Main[[#This Row],[روز از ارسال سفارش]]</f>
        <v>0</v>
      </c>
      <c r="U444" s="6">
        <f>-SUBTOTAL(9,INDEX(Main[مقدار (کیلوگرم)],1):Main[[#This Row],[مقدار (کیلوگرم)]])</f>
        <v>21512</v>
      </c>
      <c r="V4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4" s="6">
        <f>Main[[#This Row],[تعداد کل روزهای بدهکار (روز)]]*Main[[#This Row],[مانده در خط کل (کیلوگرم)]]</f>
        <v>0</v>
      </c>
      <c r="X444" s="6">
        <f ca="1">-SUBTOTAL(9,INDEX(Main[مقدار تسویه شده (کیلوگرم)],1):Main[[#This Row],[مقدار تسویه شده (کیلوگرم)]])</f>
        <v>21512</v>
      </c>
      <c r="Y444" s="6">
        <f ca="1">IF(Main[[#This Row],[مانده در خط تسویه شده (کیلوگرم)]]&lt;&gt;0,Main[[#This Row],[تعداد کل روزهای بدهکار (روز)]],0)</f>
        <v>0</v>
      </c>
      <c r="Z444" s="6">
        <f ca="1">Main[[#This Row],[تعداد روزهای بدهکار تسویه شده (روز)]]*Main[[#This Row],[مانده در خط تسویه شده (کیلوگرم)]]</f>
        <v>0</v>
      </c>
      <c r="AA444" s="6">
        <f ca="1">SUBTOTAL(9,INDEX(Main[بدهی تسویه نشده (کیلوگرم)],1):Main[[#This Row],[بدهی تسویه نشده (کیلوگرم)]])</f>
        <v>0</v>
      </c>
      <c r="AB444" s="6">
        <f ca="1">IF(Main[[#This Row],[مانده در خط تسویه نشده (کیلوگرم)]]&lt;&gt;0,Main[[#This Row],[تعداد کل روزهای بدهکار (روز)]],0)</f>
        <v>0</v>
      </c>
      <c r="AC444" s="6">
        <f ca="1">Main[[#This Row],[تعداد روزهای بدهکار  تسویه نشده (روز)]]*Main[[#This Row],[مانده در خط تسویه نشده (کیلوگرم)]]</f>
        <v>0</v>
      </c>
      <c r="AD444" s="6">
        <f ca="1">SUBTOTAL(9,INDEX(Main[بدهی سررسید شده (کیلوگرم)],1):Main[[#This Row],[بدهی سررسید شده (کیلوگرم)]])</f>
        <v>0</v>
      </c>
      <c r="AE444" s="6">
        <f ca="1">IF(Main[[#This Row],[مانده در خط سررسید شده (کیلوگرم)]]&lt;&gt;0,Main[[#This Row],[تعداد کل روزهای بدهکار (روز)]],0)</f>
        <v>0</v>
      </c>
      <c r="AF444" s="6">
        <f ca="1">Main[[#This Row],[تعداد روزهای بدهکار سررسید شده (روز)]]*Main[[#This Row],[مانده در خط سررسید شده (کیلوگرم)]]</f>
        <v>0</v>
      </c>
    </row>
    <row r="445" spans="1:32" hidden="1" x14ac:dyDescent="0.35">
      <c r="A445" s="5">
        <f>ROW()-ROW(INDEX(Main[ردیف],1))+1</f>
        <v>443</v>
      </c>
      <c r="B445" s="31">
        <f>SUBTOTAL(2,INDEX(Main[ردیف],1):Main[[#This Row],[ردیف]])</f>
        <v>43</v>
      </c>
      <c r="C445" s="32" t="s">
        <v>551</v>
      </c>
      <c r="D445" s="32" t="str">
        <f>_xlfn.CONCAT("14",Main[[#This Row],[تاريخ]])</f>
        <v>1400/02/22</v>
      </c>
      <c r="E445" s="33">
        <v>44328</v>
      </c>
      <c r="F445" s="32">
        <v>30124</v>
      </c>
      <c r="G445" s="5" t="str">
        <f>INDEX(customer[عنوان],MATCH(Main[[#This Row],[کد ردیابی]],customer[کد],0))</f>
        <v>شرکت لنگرمرواریدسبز</v>
      </c>
      <c r="H445">
        <v>1730</v>
      </c>
      <c r="I445" s="6">
        <f ca="1">-Main[[#This Row],[بدهی تسویه شده (کیلوگرم)]]+Main[[#This Row],[بستانکار (کیلوگرم)]]</f>
        <v>1730</v>
      </c>
      <c r="J445" s="6">
        <f>IF(Main[[#This Row],[مقدار (کیلوگرم)]]&gt;0,Main[[#This Row],[مقدار (کیلوگرم)]],0)</f>
        <v>1730</v>
      </c>
      <c r="K445" s="6">
        <f>-IF(Main[[#This Row],[مقدار (کیلوگرم)]]&lt;0,Main[[#This Row],[مقدار (کیلوگرم)]],0)</f>
        <v>0</v>
      </c>
      <c r="L4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5" s="7">
        <f>-IF(AND(Main[[#This Row],[مقدار (کیلوگرم)]]&lt;0,Main[[#This Row],[تاريخ میلادی]]&gt;44276),Main[[#This Row],[مقدار (کیلوگرم)]],0)</f>
        <v>0</v>
      </c>
      <c r="N445" s="6">
        <f ca="1">Main[[#This Row],[بدهکار (کیلوگرم)]]-Main[[#This Row],[بدهی تسویه نشده (کیلوگرم)]]</f>
        <v>0</v>
      </c>
      <c r="O445" s="6">
        <f ca="1">Main[[#This Row],[تفکیک]]</f>
        <v>0</v>
      </c>
      <c r="P445" s="6">
        <f ca="1">IF(Main[[#This Row],[تاخیر از سررسید]]&gt;0,Main[[#This Row],[بدهی تسویه نشده (کیلوگرم)]],0)</f>
        <v>0</v>
      </c>
      <c r="Q445" s="6">
        <f ca="1">IF(Main[[#This Row],[بدهی تسویه نشده (کیلوگرم)]]&gt;0,'گزارش فردی'!$B$7-Main[[#This Row],[تاريخ میلادی]],0)</f>
        <v>0</v>
      </c>
      <c r="R445" s="6">
        <f ca="1">IF(Main[[#This Row],[بدهی تسویه نشده (کیلوگرم)]]&gt;0,'گزارش فردی'!$B$7-Main[[#This Row],[تاريخ میلادی]]-'گزارش فردی'!$B$8,0)</f>
        <v>0</v>
      </c>
      <c r="S445" s="6">
        <f ca="1">Main[[#This Row],[روز از ارسال سفارش]]*Main[[#This Row],[بدهی تسویه نشده (کیلوگرم)]]</f>
        <v>0</v>
      </c>
      <c r="T445" s="6">
        <f ca="1">Main[[#This Row],[بدهی سررسید شده (کیلوگرم)]]*Main[[#This Row],[روز از ارسال سفارش]]</f>
        <v>0</v>
      </c>
      <c r="U445" s="6">
        <f>-SUBTOTAL(9,INDEX(Main[مقدار (کیلوگرم)],1):Main[[#This Row],[مقدار (کیلوگرم)]])</f>
        <v>21512</v>
      </c>
      <c r="V4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5" s="6">
        <f>Main[[#This Row],[تعداد کل روزهای بدهکار (روز)]]*Main[[#This Row],[مانده در خط کل (کیلوگرم)]]</f>
        <v>0</v>
      </c>
      <c r="X445" s="6">
        <f ca="1">-SUBTOTAL(9,INDEX(Main[مقدار تسویه شده (کیلوگرم)],1):Main[[#This Row],[مقدار تسویه شده (کیلوگرم)]])</f>
        <v>21512</v>
      </c>
      <c r="Y445" s="6">
        <f ca="1">IF(Main[[#This Row],[مانده در خط تسویه شده (کیلوگرم)]]&lt;&gt;0,Main[[#This Row],[تعداد کل روزهای بدهکار (روز)]],0)</f>
        <v>0</v>
      </c>
      <c r="Z445" s="6">
        <f ca="1">Main[[#This Row],[تعداد روزهای بدهکار تسویه شده (روز)]]*Main[[#This Row],[مانده در خط تسویه شده (کیلوگرم)]]</f>
        <v>0</v>
      </c>
      <c r="AA445" s="6">
        <f ca="1">SUBTOTAL(9,INDEX(Main[بدهی تسویه نشده (کیلوگرم)],1):Main[[#This Row],[بدهی تسویه نشده (کیلوگرم)]])</f>
        <v>0</v>
      </c>
      <c r="AB445" s="6">
        <f ca="1">IF(Main[[#This Row],[مانده در خط تسویه نشده (کیلوگرم)]]&lt;&gt;0,Main[[#This Row],[تعداد کل روزهای بدهکار (روز)]],0)</f>
        <v>0</v>
      </c>
      <c r="AC445" s="6">
        <f ca="1">Main[[#This Row],[تعداد روزهای بدهکار  تسویه نشده (روز)]]*Main[[#This Row],[مانده در خط تسویه نشده (کیلوگرم)]]</f>
        <v>0</v>
      </c>
      <c r="AD445" s="6">
        <f ca="1">SUBTOTAL(9,INDEX(Main[بدهی سررسید شده (کیلوگرم)],1):Main[[#This Row],[بدهی سررسید شده (کیلوگرم)]])</f>
        <v>0</v>
      </c>
      <c r="AE445" s="6">
        <f ca="1">IF(Main[[#This Row],[مانده در خط سررسید شده (کیلوگرم)]]&lt;&gt;0,Main[[#This Row],[تعداد کل روزهای بدهکار (روز)]],0)</f>
        <v>0</v>
      </c>
      <c r="AF445" s="6">
        <f ca="1">Main[[#This Row],[تعداد روزهای بدهکار سررسید شده (روز)]]*Main[[#This Row],[مانده در خط سررسید شده (کیلوگرم)]]</f>
        <v>0</v>
      </c>
    </row>
    <row r="446" spans="1:32" hidden="1" x14ac:dyDescent="0.35">
      <c r="A446" s="5">
        <f>ROW()-ROW(INDEX(Main[ردیف],1))+1</f>
        <v>444</v>
      </c>
      <c r="B446" s="31">
        <f>SUBTOTAL(2,INDEX(Main[ردیف],1):Main[[#This Row],[ردیف]])</f>
        <v>43</v>
      </c>
      <c r="C446" s="32" t="s">
        <v>551</v>
      </c>
      <c r="D446" s="32" t="str">
        <f>_xlfn.CONCAT("14",Main[[#This Row],[تاريخ]])</f>
        <v>1400/02/22</v>
      </c>
      <c r="E446" s="33">
        <v>44328</v>
      </c>
      <c r="F446" s="32">
        <v>30155</v>
      </c>
      <c r="G446" s="5" t="str">
        <f>INDEX(customer[عنوان],MATCH(Main[[#This Row],[کد ردیابی]],customer[کد],0))</f>
        <v>سری تراشی طاهری</v>
      </c>
      <c r="H446">
        <v>-2485</v>
      </c>
      <c r="I446" s="6">
        <f ca="1">-Main[[#This Row],[بدهی تسویه شده (کیلوگرم)]]+Main[[#This Row],[بستانکار (کیلوگرم)]]</f>
        <v>-2485</v>
      </c>
      <c r="J446" s="6">
        <f>IF(Main[[#This Row],[مقدار (کیلوگرم)]]&gt;0,Main[[#This Row],[مقدار (کیلوگرم)]],0)</f>
        <v>0</v>
      </c>
      <c r="K446" s="6">
        <f>-IF(Main[[#This Row],[مقدار (کیلوگرم)]]&lt;0,Main[[#This Row],[مقدار (کیلوگرم)]],0)</f>
        <v>2485</v>
      </c>
      <c r="L4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6" s="7">
        <f>-IF(AND(Main[[#This Row],[مقدار (کیلوگرم)]]&lt;0,Main[[#This Row],[تاريخ میلادی]]&gt;44276),Main[[#This Row],[مقدار (کیلوگرم)]],0)</f>
        <v>2485</v>
      </c>
      <c r="N446" s="6">
        <f ca="1">Main[[#This Row],[بدهکار (کیلوگرم)]]-Main[[#This Row],[بدهی تسویه نشده (کیلوگرم)]]</f>
        <v>2485</v>
      </c>
      <c r="O446" s="6">
        <f ca="1">Main[[#This Row],[تفکیک]]</f>
        <v>0</v>
      </c>
      <c r="P446" s="6">
        <f ca="1">IF(Main[[#This Row],[تاخیر از سررسید]]&gt;0,Main[[#This Row],[بدهی تسویه نشده (کیلوگرم)]],0)</f>
        <v>0</v>
      </c>
      <c r="Q446" s="6">
        <f ca="1">IF(Main[[#This Row],[بدهی تسویه نشده (کیلوگرم)]]&gt;0,'گزارش فردی'!$B$7-Main[[#This Row],[تاريخ میلادی]],0)</f>
        <v>0</v>
      </c>
      <c r="R446" s="6">
        <f ca="1">IF(Main[[#This Row],[بدهی تسویه نشده (کیلوگرم)]]&gt;0,'گزارش فردی'!$B$7-Main[[#This Row],[تاريخ میلادی]]-'گزارش فردی'!$B$8,0)</f>
        <v>0</v>
      </c>
      <c r="S446" s="6">
        <f ca="1">Main[[#This Row],[روز از ارسال سفارش]]*Main[[#This Row],[بدهی تسویه نشده (کیلوگرم)]]</f>
        <v>0</v>
      </c>
      <c r="T446" s="6">
        <f ca="1">Main[[#This Row],[بدهی سررسید شده (کیلوگرم)]]*Main[[#This Row],[روز از ارسال سفارش]]</f>
        <v>0</v>
      </c>
      <c r="U446" s="6">
        <f>-SUBTOTAL(9,INDEX(Main[مقدار (کیلوگرم)],1):Main[[#This Row],[مقدار (کیلوگرم)]])</f>
        <v>21512</v>
      </c>
      <c r="V4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6" s="6">
        <f>Main[[#This Row],[تعداد کل روزهای بدهکار (روز)]]*Main[[#This Row],[مانده در خط کل (کیلوگرم)]]</f>
        <v>0</v>
      </c>
      <c r="X446" s="6">
        <f ca="1">-SUBTOTAL(9,INDEX(Main[مقدار تسویه شده (کیلوگرم)],1):Main[[#This Row],[مقدار تسویه شده (کیلوگرم)]])</f>
        <v>21512</v>
      </c>
      <c r="Y446" s="6">
        <f ca="1">IF(Main[[#This Row],[مانده در خط تسویه شده (کیلوگرم)]]&lt;&gt;0,Main[[#This Row],[تعداد کل روزهای بدهکار (روز)]],0)</f>
        <v>0</v>
      </c>
      <c r="Z446" s="6">
        <f ca="1">Main[[#This Row],[تعداد روزهای بدهکار تسویه شده (روز)]]*Main[[#This Row],[مانده در خط تسویه شده (کیلوگرم)]]</f>
        <v>0</v>
      </c>
      <c r="AA446" s="6">
        <f ca="1">SUBTOTAL(9,INDEX(Main[بدهی تسویه نشده (کیلوگرم)],1):Main[[#This Row],[بدهی تسویه نشده (کیلوگرم)]])</f>
        <v>0</v>
      </c>
      <c r="AB446" s="6">
        <f ca="1">IF(Main[[#This Row],[مانده در خط تسویه نشده (کیلوگرم)]]&lt;&gt;0,Main[[#This Row],[تعداد کل روزهای بدهکار (روز)]],0)</f>
        <v>0</v>
      </c>
      <c r="AC446" s="6">
        <f ca="1">Main[[#This Row],[تعداد روزهای بدهکار  تسویه نشده (روز)]]*Main[[#This Row],[مانده در خط تسویه نشده (کیلوگرم)]]</f>
        <v>0</v>
      </c>
      <c r="AD446" s="6">
        <f ca="1">SUBTOTAL(9,INDEX(Main[بدهی سررسید شده (کیلوگرم)],1):Main[[#This Row],[بدهی سررسید شده (کیلوگرم)]])</f>
        <v>0</v>
      </c>
      <c r="AE446" s="6">
        <f ca="1">IF(Main[[#This Row],[مانده در خط سررسید شده (کیلوگرم)]]&lt;&gt;0,Main[[#This Row],[تعداد کل روزهای بدهکار (روز)]],0)</f>
        <v>0</v>
      </c>
      <c r="AF446" s="6">
        <f ca="1">Main[[#This Row],[تعداد روزهای بدهکار سررسید شده (روز)]]*Main[[#This Row],[مانده در خط سررسید شده (کیلوگرم)]]</f>
        <v>0</v>
      </c>
    </row>
    <row r="447" spans="1:32" hidden="1" x14ac:dyDescent="0.35">
      <c r="A447" s="5">
        <f>ROW()-ROW(INDEX(Main[ردیف],1))+1</f>
        <v>445</v>
      </c>
      <c r="B447" s="31">
        <f>SUBTOTAL(2,INDEX(Main[ردیف],1):Main[[#This Row],[ردیف]])</f>
        <v>43</v>
      </c>
      <c r="C447" s="32" t="s">
        <v>551</v>
      </c>
      <c r="D447" s="32" t="str">
        <f>_xlfn.CONCAT("14",Main[[#This Row],[تاريخ]])</f>
        <v>1400/02/22</v>
      </c>
      <c r="E447" s="33">
        <v>44328</v>
      </c>
      <c r="F447" s="32">
        <v>30004</v>
      </c>
      <c r="G447" s="5" t="str">
        <f>INDEX(customer[عنوان],MATCH(Main[[#This Row],[کد ردیابی]],customer[کد],0))</f>
        <v>تولیدی صنعتی صفاشیر پارس</v>
      </c>
      <c r="H447">
        <v>1360</v>
      </c>
      <c r="I447" s="6">
        <f ca="1">-Main[[#This Row],[بدهی تسویه شده (کیلوگرم)]]+Main[[#This Row],[بستانکار (کیلوگرم)]]</f>
        <v>1360</v>
      </c>
      <c r="J447" s="6">
        <f>IF(Main[[#This Row],[مقدار (کیلوگرم)]]&gt;0,Main[[#This Row],[مقدار (کیلوگرم)]],0)</f>
        <v>1360</v>
      </c>
      <c r="K447" s="6">
        <f>-IF(Main[[#This Row],[مقدار (کیلوگرم)]]&lt;0,Main[[#This Row],[مقدار (کیلوگرم)]],0)</f>
        <v>0</v>
      </c>
      <c r="L4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7" s="7">
        <f>-IF(AND(Main[[#This Row],[مقدار (کیلوگرم)]]&lt;0,Main[[#This Row],[تاريخ میلادی]]&gt;44276),Main[[#This Row],[مقدار (کیلوگرم)]],0)</f>
        <v>0</v>
      </c>
      <c r="N447" s="6">
        <f ca="1">Main[[#This Row],[بدهکار (کیلوگرم)]]-Main[[#This Row],[بدهی تسویه نشده (کیلوگرم)]]</f>
        <v>0</v>
      </c>
      <c r="O447" s="6">
        <f ca="1">Main[[#This Row],[تفکیک]]</f>
        <v>0</v>
      </c>
      <c r="P447" s="6">
        <f ca="1">IF(Main[[#This Row],[تاخیر از سررسید]]&gt;0,Main[[#This Row],[بدهی تسویه نشده (کیلوگرم)]],0)</f>
        <v>0</v>
      </c>
      <c r="Q447" s="6">
        <f ca="1">IF(Main[[#This Row],[بدهی تسویه نشده (کیلوگرم)]]&gt;0,'گزارش فردی'!$B$7-Main[[#This Row],[تاريخ میلادی]],0)</f>
        <v>0</v>
      </c>
      <c r="R447" s="6">
        <f ca="1">IF(Main[[#This Row],[بدهی تسویه نشده (کیلوگرم)]]&gt;0,'گزارش فردی'!$B$7-Main[[#This Row],[تاريخ میلادی]]-'گزارش فردی'!$B$8,0)</f>
        <v>0</v>
      </c>
      <c r="S447" s="6">
        <f ca="1">Main[[#This Row],[روز از ارسال سفارش]]*Main[[#This Row],[بدهی تسویه نشده (کیلوگرم)]]</f>
        <v>0</v>
      </c>
      <c r="T447" s="6">
        <f ca="1">Main[[#This Row],[بدهی سررسید شده (کیلوگرم)]]*Main[[#This Row],[روز از ارسال سفارش]]</f>
        <v>0</v>
      </c>
      <c r="U447" s="6">
        <f>-SUBTOTAL(9,INDEX(Main[مقدار (کیلوگرم)],1):Main[[#This Row],[مقدار (کیلوگرم)]])</f>
        <v>21512</v>
      </c>
      <c r="V4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7" s="6">
        <f>Main[[#This Row],[تعداد کل روزهای بدهکار (روز)]]*Main[[#This Row],[مانده در خط کل (کیلوگرم)]]</f>
        <v>0</v>
      </c>
      <c r="X447" s="6">
        <f ca="1">-SUBTOTAL(9,INDEX(Main[مقدار تسویه شده (کیلوگرم)],1):Main[[#This Row],[مقدار تسویه شده (کیلوگرم)]])</f>
        <v>21512</v>
      </c>
      <c r="Y447" s="6">
        <f ca="1">IF(Main[[#This Row],[مانده در خط تسویه شده (کیلوگرم)]]&lt;&gt;0,Main[[#This Row],[تعداد کل روزهای بدهکار (روز)]],0)</f>
        <v>0</v>
      </c>
      <c r="Z447" s="6">
        <f ca="1">Main[[#This Row],[تعداد روزهای بدهکار تسویه شده (روز)]]*Main[[#This Row],[مانده در خط تسویه شده (کیلوگرم)]]</f>
        <v>0</v>
      </c>
      <c r="AA447" s="6">
        <f ca="1">SUBTOTAL(9,INDEX(Main[بدهی تسویه نشده (کیلوگرم)],1):Main[[#This Row],[بدهی تسویه نشده (کیلوگرم)]])</f>
        <v>0</v>
      </c>
      <c r="AB447" s="6">
        <f ca="1">IF(Main[[#This Row],[مانده در خط تسویه نشده (کیلوگرم)]]&lt;&gt;0,Main[[#This Row],[تعداد کل روزهای بدهکار (روز)]],0)</f>
        <v>0</v>
      </c>
      <c r="AC447" s="6">
        <f ca="1">Main[[#This Row],[تعداد روزهای بدهکار  تسویه نشده (روز)]]*Main[[#This Row],[مانده در خط تسویه نشده (کیلوگرم)]]</f>
        <v>0</v>
      </c>
      <c r="AD447" s="6">
        <f ca="1">SUBTOTAL(9,INDEX(Main[بدهی سررسید شده (کیلوگرم)],1):Main[[#This Row],[بدهی سررسید شده (کیلوگرم)]])</f>
        <v>0</v>
      </c>
      <c r="AE447" s="6">
        <f ca="1">IF(Main[[#This Row],[مانده در خط سررسید شده (کیلوگرم)]]&lt;&gt;0,Main[[#This Row],[تعداد کل روزهای بدهکار (روز)]],0)</f>
        <v>0</v>
      </c>
      <c r="AF447" s="6">
        <f ca="1">Main[[#This Row],[تعداد روزهای بدهکار سررسید شده (روز)]]*Main[[#This Row],[مانده در خط سررسید شده (کیلوگرم)]]</f>
        <v>0</v>
      </c>
    </row>
    <row r="448" spans="1:32" hidden="1" x14ac:dyDescent="0.35">
      <c r="A448" s="5">
        <f>ROW()-ROW(INDEX(Main[ردیف],1))+1</f>
        <v>446</v>
      </c>
      <c r="B448" s="31">
        <f>SUBTOTAL(2,INDEX(Main[ردیف],1):Main[[#This Row],[ردیف]])</f>
        <v>43</v>
      </c>
      <c r="C448" s="32" t="s">
        <v>551</v>
      </c>
      <c r="D448" s="32" t="str">
        <f>_xlfn.CONCAT("14",Main[[#This Row],[تاريخ]])</f>
        <v>1400/02/22</v>
      </c>
      <c r="E448" s="33">
        <v>44328</v>
      </c>
      <c r="F448" s="32">
        <v>50016</v>
      </c>
      <c r="G448" s="5" t="str">
        <f>INDEX(customer[عنوان],MATCH(Main[[#This Row],[کد ردیابی]],customer[کد],0))</f>
        <v xml:space="preserve">مهدی یوسفی  </v>
      </c>
      <c r="H448">
        <v>-1128</v>
      </c>
      <c r="I448" s="6">
        <f ca="1">-Main[[#This Row],[بدهی تسویه شده (کیلوگرم)]]+Main[[#This Row],[بستانکار (کیلوگرم)]]</f>
        <v>-1128</v>
      </c>
      <c r="J448" s="6">
        <f>IF(Main[[#This Row],[مقدار (کیلوگرم)]]&gt;0,Main[[#This Row],[مقدار (کیلوگرم)]],0)</f>
        <v>0</v>
      </c>
      <c r="K448" s="6">
        <f>-IF(Main[[#This Row],[مقدار (کیلوگرم)]]&lt;0,Main[[#This Row],[مقدار (کیلوگرم)]],0)</f>
        <v>1128</v>
      </c>
      <c r="L4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8" s="7">
        <f>-IF(AND(Main[[#This Row],[مقدار (کیلوگرم)]]&lt;0,Main[[#This Row],[تاريخ میلادی]]&gt;44276),Main[[#This Row],[مقدار (کیلوگرم)]],0)</f>
        <v>1128</v>
      </c>
      <c r="N448" s="6">
        <f ca="1">Main[[#This Row],[بدهکار (کیلوگرم)]]-Main[[#This Row],[بدهی تسویه نشده (کیلوگرم)]]</f>
        <v>1128</v>
      </c>
      <c r="O448" s="6">
        <f ca="1">Main[[#This Row],[تفکیک]]</f>
        <v>0</v>
      </c>
      <c r="P448" s="6">
        <f ca="1">IF(Main[[#This Row],[تاخیر از سررسید]]&gt;0,Main[[#This Row],[بدهی تسویه نشده (کیلوگرم)]],0)</f>
        <v>0</v>
      </c>
      <c r="Q448" s="6">
        <f ca="1">IF(Main[[#This Row],[بدهی تسویه نشده (کیلوگرم)]]&gt;0,'گزارش فردی'!$B$7-Main[[#This Row],[تاريخ میلادی]],0)</f>
        <v>0</v>
      </c>
      <c r="R448" s="6">
        <f ca="1">IF(Main[[#This Row],[بدهی تسویه نشده (کیلوگرم)]]&gt;0,'گزارش فردی'!$B$7-Main[[#This Row],[تاريخ میلادی]]-'گزارش فردی'!$B$8,0)</f>
        <v>0</v>
      </c>
      <c r="S448" s="6">
        <f ca="1">Main[[#This Row],[روز از ارسال سفارش]]*Main[[#This Row],[بدهی تسویه نشده (کیلوگرم)]]</f>
        <v>0</v>
      </c>
      <c r="T448" s="6">
        <f ca="1">Main[[#This Row],[بدهی سررسید شده (کیلوگرم)]]*Main[[#This Row],[روز از ارسال سفارش]]</f>
        <v>0</v>
      </c>
      <c r="U448" s="6">
        <f>-SUBTOTAL(9,INDEX(Main[مقدار (کیلوگرم)],1):Main[[#This Row],[مقدار (کیلوگرم)]])</f>
        <v>21512</v>
      </c>
      <c r="V4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8" s="6">
        <f>Main[[#This Row],[تعداد کل روزهای بدهکار (روز)]]*Main[[#This Row],[مانده در خط کل (کیلوگرم)]]</f>
        <v>0</v>
      </c>
      <c r="X448" s="6">
        <f ca="1">-SUBTOTAL(9,INDEX(Main[مقدار تسویه شده (کیلوگرم)],1):Main[[#This Row],[مقدار تسویه شده (کیلوگرم)]])</f>
        <v>21512</v>
      </c>
      <c r="Y448" s="6">
        <f ca="1">IF(Main[[#This Row],[مانده در خط تسویه شده (کیلوگرم)]]&lt;&gt;0,Main[[#This Row],[تعداد کل روزهای بدهکار (روز)]],0)</f>
        <v>0</v>
      </c>
      <c r="Z448" s="6">
        <f ca="1">Main[[#This Row],[تعداد روزهای بدهکار تسویه شده (روز)]]*Main[[#This Row],[مانده در خط تسویه شده (کیلوگرم)]]</f>
        <v>0</v>
      </c>
      <c r="AA448" s="6">
        <f ca="1">SUBTOTAL(9,INDEX(Main[بدهی تسویه نشده (کیلوگرم)],1):Main[[#This Row],[بدهی تسویه نشده (کیلوگرم)]])</f>
        <v>0</v>
      </c>
      <c r="AB448" s="6">
        <f ca="1">IF(Main[[#This Row],[مانده در خط تسویه نشده (کیلوگرم)]]&lt;&gt;0,Main[[#This Row],[تعداد کل روزهای بدهکار (روز)]],0)</f>
        <v>0</v>
      </c>
      <c r="AC448" s="6">
        <f ca="1">Main[[#This Row],[تعداد روزهای بدهکار  تسویه نشده (روز)]]*Main[[#This Row],[مانده در خط تسویه نشده (کیلوگرم)]]</f>
        <v>0</v>
      </c>
      <c r="AD448" s="6">
        <f ca="1">SUBTOTAL(9,INDEX(Main[بدهی سررسید شده (کیلوگرم)],1):Main[[#This Row],[بدهی سررسید شده (کیلوگرم)]])</f>
        <v>0</v>
      </c>
      <c r="AE448" s="6">
        <f ca="1">IF(Main[[#This Row],[مانده در خط سررسید شده (کیلوگرم)]]&lt;&gt;0,Main[[#This Row],[تعداد کل روزهای بدهکار (روز)]],0)</f>
        <v>0</v>
      </c>
      <c r="AF448" s="6">
        <f ca="1">Main[[#This Row],[تعداد روزهای بدهکار سررسید شده (روز)]]*Main[[#This Row],[مانده در خط سررسید شده (کیلوگرم)]]</f>
        <v>0</v>
      </c>
    </row>
    <row r="449" spans="1:32" hidden="1" x14ac:dyDescent="0.35">
      <c r="A449" s="5">
        <f>ROW()-ROW(INDEX(Main[ردیف],1))+1</f>
        <v>447</v>
      </c>
      <c r="B449" s="31">
        <f>SUBTOTAL(2,INDEX(Main[ردیف],1):Main[[#This Row],[ردیف]])</f>
        <v>43</v>
      </c>
      <c r="C449" s="32" t="s">
        <v>551</v>
      </c>
      <c r="D449" s="32" t="str">
        <f>_xlfn.CONCAT("14",Main[[#This Row],[تاريخ]])</f>
        <v>1400/02/22</v>
      </c>
      <c r="E449" s="33">
        <v>44328</v>
      </c>
      <c r="F449" s="32">
        <v>10026</v>
      </c>
      <c r="G449" s="5" t="str">
        <f>INDEX(customer[عنوان],MATCH(Main[[#This Row],[کد ردیابی]],customer[کد],0))</f>
        <v xml:space="preserve">محسن فیاض بخش </v>
      </c>
      <c r="H449">
        <v>3192</v>
      </c>
      <c r="I449" s="6">
        <f ca="1">-Main[[#This Row],[بدهی تسویه شده (کیلوگرم)]]+Main[[#This Row],[بستانکار (کیلوگرم)]]</f>
        <v>3192</v>
      </c>
      <c r="J449" s="6">
        <f>IF(Main[[#This Row],[مقدار (کیلوگرم)]]&gt;0,Main[[#This Row],[مقدار (کیلوگرم)]],0)</f>
        <v>3192</v>
      </c>
      <c r="K449" s="6">
        <f>-IF(Main[[#This Row],[مقدار (کیلوگرم)]]&lt;0,Main[[#This Row],[مقدار (کیلوگرم)]],0)</f>
        <v>0</v>
      </c>
      <c r="L4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9" s="7">
        <f>-IF(AND(Main[[#This Row],[مقدار (کیلوگرم)]]&lt;0,Main[[#This Row],[تاريخ میلادی]]&gt;44276),Main[[#This Row],[مقدار (کیلوگرم)]],0)</f>
        <v>0</v>
      </c>
      <c r="N449" s="6">
        <f ca="1">Main[[#This Row],[بدهکار (کیلوگرم)]]-Main[[#This Row],[بدهی تسویه نشده (کیلوگرم)]]</f>
        <v>0</v>
      </c>
      <c r="O449" s="6">
        <f ca="1">Main[[#This Row],[تفکیک]]</f>
        <v>0</v>
      </c>
      <c r="P449" s="6">
        <f ca="1">IF(Main[[#This Row],[تاخیر از سررسید]]&gt;0,Main[[#This Row],[بدهی تسویه نشده (کیلوگرم)]],0)</f>
        <v>0</v>
      </c>
      <c r="Q449" s="6">
        <f ca="1">IF(Main[[#This Row],[بدهی تسویه نشده (کیلوگرم)]]&gt;0,'گزارش فردی'!$B$7-Main[[#This Row],[تاريخ میلادی]],0)</f>
        <v>0</v>
      </c>
      <c r="R449" s="6">
        <f ca="1">IF(Main[[#This Row],[بدهی تسویه نشده (کیلوگرم)]]&gt;0,'گزارش فردی'!$B$7-Main[[#This Row],[تاريخ میلادی]]-'گزارش فردی'!$B$8,0)</f>
        <v>0</v>
      </c>
      <c r="S449" s="6">
        <f ca="1">Main[[#This Row],[روز از ارسال سفارش]]*Main[[#This Row],[بدهی تسویه نشده (کیلوگرم)]]</f>
        <v>0</v>
      </c>
      <c r="T449" s="6">
        <f ca="1">Main[[#This Row],[بدهی سررسید شده (کیلوگرم)]]*Main[[#This Row],[روز از ارسال سفارش]]</f>
        <v>0</v>
      </c>
      <c r="U449" s="6">
        <f>-SUBTOTAL(9,INDEX(Main[مقدار (کیلوگرم)],1):Main[[#This Row],[مقدار (کیلوگرم)]])</f>
        <v>21512</v>
      </c>
      <c r="V4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9" s="6">
        <f>Main[[#This Row],[تعداد کل روزهای بدهکار (روز)]]*Main[[#This Row],[مانده در خط کل (کیلوگرم)]]</f>
        <v>0</v>
      </c>
      <c r="X449" s="6">
        <f ca="1">-SUBTOTAL(9,INDEX(Main[مقدار تسویه شده (کیلوگرم)],1):Main[[#This Row],[مقدار تسویه شده (کیلوگرم)]])</f>
        <v>21512</v>
      </c>
      <c r="Y449" s="6">
        <f ca="1">IF(Main[[#This Row],[مانده در خط تسویه شده (کیلوگرم)]]&lt;&gt;0,Main[[#This Row],[تعداد کل روزهای بدهکار (روز)]],0)</f>
        <v>0</v>
      </c>
      <c r="Z449" s="6">
        <f ca="1">Main[[#This Row],[تعداد روزهای بدهکار تسویه شده (روز)]]*Main[[#This Row],[مانده در خط تسویه شده (کیلوگرم)]]</f>
        <v>0</v>
      </c>
      <c r="AA449" s="6">
        <f ca="1">SUBTOTAL(9,INDEX(Main[بدهی تسویه نشده (کیلوگرم)],1):Main[[#This Row],[بدهی تسویه نشده (کیلوگرم)]])</f>
        <v>0</v>
      </c>
      <c r="AB449" s="6">
        <f ca="1">IF(Main[[#This Row],[مانده در خط تسویه نشده (کیلوگرم)]]&lt;&gt;0,Main[[#This Row],[تعداد کل روزهای بدهکار (روز)]],0)</f>
        <v>0</v>
      </c>
      <c r="AC449" s="6">
        <f ca="1">Main[[#This Row],[تعداد روزهای بدهکار  تسویه نشده (روز)]]*Main[[#This Row],[مانده در خط تسویه نشده (کیلوگرم)]]</f>
        <v>0</v>
      </c>
      <c r="AD449" s="6">
        <f ca="1">SUBTOTAL(9,INDEX(Main[بدهی سررسید شده (کیلوگرم)],1):Main[[#This Row],[بدهی سررسید شده (کیلوگرم)]])</f>
        <v>0</v>
      </c>
      <c r="AE449" s="6">
        <f ca="1">IF(Main[[#This Row],[مانده در خط سررسید شده (کیلوگرم)]]&lt;&gt;0,Main[[#This Row],[تعداد کل روزهای بدهکار (روز)]],0)</f>
        <v>0</v>
      </c>
      <c r="AF449" s="6">
        <f ca="1">Main[[#This Row],[تعداد روزهای بدهکار سررسید شده (روز)]]*Main[[#This Row],[مانده در خط سررسید شده (کیلوگرم)]]</f>
        <v>0</v>
      </c>
    </row>
    <row r="450" spans="1:32" hidden="1" x14ac:dyDescent="0.35">
      <c r="A450" s="5">
        <f>ROW()-ROW(INDEX(Main[ردیف],1))+1</f>
        <v>448</v>
      </c>
      <c r="B450" s="31">
        <f>SUBTOTAL(2,INDEX(Main[ردیف],1):Main[[#This Row],[ردیف]])</f>
        <v>43</v>
      </c>
      <c r="C450" s="32" t="s">
        <v>551</v>
      </c>
      <c r="D450" s="32" t="str">
        <f>_xlfn.CONCAT("14",Main[[#This Row],[تاريخ]])</f>
        <v>1400/02/22</v>
      </c>
      <c r="E450" s="33">
        <v>44328</v>
      </c>
      <c r="F450" s="32">
        <v>30186</v>
      </c>
      <c r="G450" s="5" t="str">
        <f>INDEX(customer[عنوان],MATCH(Main[[#This Row],[کد ردیابی]],customer[کد],0))</f>
        <v>سارا گاز</v>
      </c>
      <c r="H450">
        <v>-1923</v>
      </c>
      <c r="I450" s="6">
        <f ca="1">-Main[[#This Row],[بدهی تسویه شده (کیلوگرم)]]+Main[[#This Row],[بستانکار (کیلوگرم)]]</f>
        <v>-1923</v>
      </c>
      <c r="J450" s="6">
        <f>IF(Main[[#This Row],[مقدار (کیلوگرم)]]&gt;0,Main[[#This Row],[مقدار (کیلوگرم)]],0)</f>
        <v>0</v>
      </c>
      <c r="K450" s="6">
        <f>-IF(Main[[#This Row],[مقدار (کیلوگرم)]]&lt;0,Main[[#This Row],[مقدار (کیلوگرم)]],0)</f>
        <v>1923</v>
      </c>
      <c r="L4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0" s="7">
        <f>-IF(AND(Main[[#This Row],[مقدار (کیلوگرم)]]&lt;0,Main[[#This Row],[تاريخ میلادی]]&gt;44276),Main[[#This Row],[مقدار (کیلوگرم)]],0)</f>
        <v>1923</v>
      </c>
      <c r="N450" s="6">
        <f ca="1">Main[[#This Row],[بدهکار (کیلوگرم)]]-Main[[#This Row],[بدهی تسویه نشده (کیلوگرم)]]</f>
        <v>1923</v>
      </c>
      <c r="O450" s="6">
        <f ca="1">Main[[#This Row],[تفکیک]]</f>
        <v>0</v>
      </c>
      <c r="P450" s="6">
        <f ca="1">IF(Main[[#This Row],[تاخیر از سررسید]]&gt;0,Main[[#This Row],[بدهی تسویه نشده (کیلوگرم)]],0)</f>
        <v>0</v>
      </c>
      <c r="Q450" s="6">
        <f ca="1">IF(Main[[#This Row],[بدهی تسویه نشده (کیلوگرم)]]&gt;0,'گزارش فردی'!$B$7-Main[[#This Row],[تاريخ میلادی]],0)</f>
        <v>0</v>
      </c>
      <c r="R450" s="6">
        <f ca="1">IF(Main[[#This Row],[بدهی تسویه نشده (کیلوگرم)]]&gt;0,'گزارش فردی'!$B$7-Main[[#This Row],[تاريخ میلادی]]-'گزارش فردی'!$B$8,0)</f>
        <v>0</v>
      </c>
      <c r="S450" s="6">
        <f ca="1">Main[[#This Row],[روز از ارسال سفارش]]*Main[[#This Row],[بدهی تسویه نشده (کیلوگرم)]]</f>
        <v>0</v>
      </c>
      <c r="T450" s="6">
        <f ca="1">Main[[#This Row],[بدهی سررسید شده (کیلوگرم)]]*Main[[#This Row],[روز از ارسال سفارش]]</f>
        <v>0</v>
      </c>
      <c r="U450" s="6">
        <f>-SUBTOTAL(9,INDEX(Main[مقدار (کیلوگرم)],1):Main[[#This Row],[مقدار (کیلوگرم)]])</f>
        <v>21512</v>
      </c>
      <c r="V4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0" s="6">
        <f>Main[[#This Row],[تعداد کل روزهای بدهکار (روز)]]*Main[[#This Row],[مانده در خط کل (کیلوگرم)]]</f>
        <v>0</v>
      </c>
      <c r="X450" s="6">
        <f ca="1">-SUBTOTAL(9,INDEX(Main[مقدار تسویه شده (کیلوگرم)],1):Main[[#This Row],[مقدار تسویه شده (کیلوگرم)]])</f>
        <v>21512</v>
      </c>
      <c r="Y450" s="6">
        <f ca="1">IF(Main[[#This Row],[مانده در خط تسویه شده (کیلوگرم)]]&lt;&gt;0,Main[[#This Row],[تعداد کل روزهای بدهکار (روز)]],0)</f>
        <v>0</v>
      </c>
      <c r="Z450" s="6">
        <f ca="1">Main[[#This Row],[تعداد روزهای بدهکار تسویه شده (روز)]]*Main[[#This Row],[مانده در خط تسویه شده (کیلوگرم)]]</f>
        <v>0</v>
      </c>
      <c r="AA450" s="6">
        <f ca="1">SUBTOTAL(9,INDEX(Main[بدهی تسویه نشده (کیلوگرم)],1):Main[[#This Row],[بدهی تسویه نشده (کیلوگرم)]])</f>
        <v>0</v>
      </c>
      <c r="AB450" s="6">
        <f ca="1">IF(Main[[#This Row],[مانده در خط تسویه نشده (کیلوگرم)]]&lt;&gt;0,Main[[#This Row],[تعداد کل روزهای بدهکار (روز)]],0)</f>
        <v>0</v>
      </c>
      <c r="AC450" s="6">
        <f ca="1">Main[[#This Row],[تعداد روزهای بدهکار  تسویه نشده (روز)]]*Main[[#This Row],[مانده در خط تسویه نشده (کیلوگرم)]]</f>
        <v>0</v>
      </c>
      <c r="AD450" s="6">
        <f ca="1">SUBTOTAL(9,INDEX(Main[بدهی سررسید شده (کیلوگرم)],1):Main[[#This Row],[بدهی سررسید شده (کیلوگرم)]])</f>
        <v>0</v>
      </c>
      <c r="AE450" s="6">
        <f ca="1">IF(Main[[#This Row],[مانده در خط سررسید شده (کیلوگرم)]]&lt;&gt;0,Main[[#This Row],[تعداد کل روزهای بدهکار (روز)]],0)</f>
        <v>0</v>
      </c>
      <c r="AF450" s="6">
        <f ca="1">Main[[#This Row],[تعداد روزهای بدهکار سررسید شده (روز)]]*Main[[#This Row],[مانده در خط سررسید شده (کیلوگرم)]]</f>
        <v>0</v>
      </c>
    </row>
    <row r="451" spans="1:32" hidden="1" x14ac:dyDescent="0.35">
      <c r="A451" s="5">
        <f>ROW()-ROW(INDEX(Main[ردیف],1))+1</f>
        <v>449</v>
      </c>
      <c r="B451" s="31">
        <f>SUBTOTAL(2,INDEX(Main[ردیف],1):Main[[#This Row],[ردیف]])</f>
        <v>43</v>
      </c>
      <c r="C451" s="32" t="s">
        <v>551</v>
      </c>
      <c r="D451" s="32" t="str">
        <f>_xlfn.CONCAT("14",Main[[#This Row],[تاريخ]])</f>
        <v>1400/02/22</v>
      </c>
      <c r="E451" s="33">
        <v>44328</v>
      </c>
      <c r="F451" s="32">
        <v>30124</v>
      </c>
      <c r="G451" s="5" t="str">
        <f>INDEX(customer[عنوان],MATCH(Main[[#This Row],[کد ردیابی]],customer[کد],0))</f>
        <v>شرکت لنگرمرواریدسبز</v>
      </c>
      <c r="H451">
        <v>332</v>
      </c>
      <c r="I451" s="6">
        <f ca="1">-Main[[#This Row],[بدهی تسویه شده (کیلوگرم)]]+Main[[#This Row],[بستانکار (کیلوگرم)]]</f>
        <v>332</v>
      </c>
      <c r="J451" s="6">
        <f>IF(Main[[#This Row],[مقدار (کیلوگرم)]]&gt;0,Main[[#This Row],[مقدار (کیلوگرم)]],0)</f>
        <v>332</v>
      </c>
      <c r="K451" s="6">
        <f>-IF(Main[[#This Row],[مقدار (کیلوگرم)]]&lt;0,Main[[#This Row],[مقدار (کیلوگرم)]],0)</f>
        <v>0</v>
      </c>
      <c r="L4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1" s="7">
        <f>-IF(AND(Main[[#This Row],[مقدار (کیلوگرم)]]&lt;0,Main[[#This Row],[تاريخ میلادی]]&gt;44276),Main[[#This Row],[مقدار (کیلوگرم)]],0)</f>
        <v>0</v>
      </c>
      <c r="N451" s="6">
        <f ca="1">Main[[#This Row],[بدهکار (کیلوگرم)]]-Main[[#This Row],[بدهی تسویه نشده (کیلوگرم)]]</f>
        <v>0</v>
      </c>
      <c r="O451" s="6">
        <f ca="1">Main[[#This Row],[تفکیک]]</f>
        <v>0</v>
      </c>
      <c r="P451" s="6">
        <f ca="1">IF(Main[[#This Row],[تاخیر از سررسید]]&gt;0,Main[[#This Row],[بدهی تسویه نشده (کیلوگرم)]],0)</f>
        <v>0</v>
      </c>
      <c r="Q451" s="6">
        <f ca="1">IF(Main[[#This Row],[بدهی تسویه نشده (کیلوگرم)]]&gt;0,'گزارش فردی'!$B$7-Main[[#This Row],[تاريخ میلادی]],0)</f>
        <v>0</v>
      </c>
      <c r="R451" s="6">
        <f ca="1">IF(Main[[#This Row],[بدهی تسویه نشده (کیلوگرم)]]&gt;0,'گزارش فردی'!$B$7-Main[[#This Row],[تاريخ میلادی]]-'گزارش فردی'!$B$8,0)</f>
        <v>0</v>
      </c>
      <c r="S451" s="6">
        <f ca="1">Main[[#This Row],[روز از ارسال سفارش]]*Main[[#This Row],[بدهی تسویه نشده (کیلوگرم)]]</f>
        <v>0</v>
      </c>
      <c r="T451" s="6">
        <f ca="1">Main[[#This Row],[بدهی سررسید شده (کیلوگرم)]]*Main[[#This Row],[روز از ارسال سفارش]]</f>
        <v>0</v>
      </c>
      <c r="U451" s="6">
        <f>-SUBTOTAL(9,INDEX(Main[مقدار (کیلوگرم)],1):Main[[#This Row],[مقدار (کیلوگرم)]])</f>
        <v>21512</v>
      </c>
      <c r="V4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1" s="6">
        <f>Main[[#This Row],[تعداد کل روزهای بدهکار (روز)]]*Main[[#This Row],[مانده در خط کل (کیلوگرم)]]</f>
        <v>0</v>
      </c>
      <c r="X451" s="6">
        <f ca="1">-SUBTOTAL(9,INDEX(Main[مقدار تسویه شده (کیلوگرم)],1):Main[[#This Row],[مقدار تسویه شده (کیلوگرم)]])</f>
        <v>21512</v>
      </c>
      <c r="Y451" s="6">
        <f ca="1">IF(Main[[#This Row],[مانده در خط تسویه شده (کیلوگرم)]]&lt;&gt;0,Main[[#This Row],[تعداد کل روزهای بدهکار (روز)]],0)</f>
        <v>0</v>
      </c>
      <c r="Z451" s="6">
        <f ca="1">Main[[#This Row],[تعداد روزهای بدهکار تسویه شده (روز)]]*Main[[#This Row],[مانده در خط تسویه شده (کیلوگرم)]]</f>
        <v>0</v>
      </c>
      <c r="AA451" s="6">
        <f ca="1">SUBTOTAL(9,INDEX(Main[بدهی تسویه نشده (کیلوگرم)],1):Main[[#This Row],[بدهی تسویه نشده (کیلوگرم)]])</f>
        <v>0</v>
      </c>
      <c r="AB451" s="6">
        <f ca="1">IF(Main[[#This Row],[مانده در خط تسویه نشده (کیلوگرم)]]&lt;&gt;0,Main[[#This Row],[تعداد کل روزهای بدهکار (روز)]],0)</f>
        <v>0</v>
      </c>
      <c r="AC451" s="6">
        <f ca="1">Main[[#This Row],[تعداد روزهای بدهکار  تسویه نشده (روز)]]*Main[[#This Row],[مانده در خط تسویه نشده (کیلوگرم)]]</f>
        <v>0</v>
      </c>
      <c r="AD451" s="6">
        <f ca="1">SUBTOTAL(9,INDEX(Main[بدهی سررسید شده (کیلوگرم)],1):Main[[#This Row],[بدهی سررسید شده (کیلوگرم)]])</f>
        <v>0</v>
      </c>
      <c r="AE451" s="6">
        <f ca="1">IF(Main[[#This Row],[مانده در خط سررسید شده (کیلوگرم)]]&lt;&gt;0,Main[[#This Row],[تعداد کل روزهای بدهکار (روز)]],0)</f>
        <v>0</v>
      </c>
      <c r="AF451" s="6">
        <f ca="1">Main[[#This Row],[تعداد روزهای بدهکار سررسید شده (روز)]]*Main[[#This Row],[مانده در خط سررسید شده (کیلوگرم)]]</f>
        <v>0</v>
      </c>
    </row>
    <row r="452" spans="1:32" hidden="1" x14ac:dyDescent="0.35">
      <c r="A452" s="5">
        <f>ROW()-ROW(INDEX(Main[ردیف],1))+1</f>
        <v>450</v>
      </c>
      <c r="B452" s="31">
        <f>SUBTOTAL(2,INDEX(Main[ردیف],1):Main[[#This Row],[ردیف]])</f>
        <v>43</v>
      </c>
      <c r="C452" s="32" t="s">
        <v>551</v>
      </c>
      <c r="D452" s="32" t="str">
        <f>_xlfn.CONCAT("14",Main[[#This Row],[تاريخ]])</f>
        <v>1400/02/22</v>
      </c>
      <c r="E452" s="33">
        <v>44328</v>
      </c>
      <c r="F452" s="32">
        <v>10026</v>
      </c>
      <c r="G452" s="5" t="str">
        <f>INDEX(customer[عنوان],MATCH(Main[[#This Row],[کد ردیابی]],customer[کد],0))</f>
        <v xml:space="preserve">محسن فیاض بخش </v>
      </c>
      <c r="H452">
        <v>-1795</v>
      </c>
      <c r="I452" s="6">
        <f ca="1">-Main[[#This Row],[بدهی تسویه شده (کیلوگرم)]]+Main[[#This Row],[بستانکار (کیلوگرم)]]</f>
        <v>-1795</v>
      </c>
      <c r="J452" s="6">
        <f>IF(Main[[#This Row],[مقدار (کیلوگرم)]]&gt;0,Main[[#This Row],[مقدار (کیلوگرم)]],0)</f>
        <v>0</v>
      </c>
      <c r="K452" s="6">
        <f>-IF(Main[[#This Row],[مقدار (کیلوگرم)]]&lt;0,Main[[#This Row],[مقدار (کیلوگرم)]],0)</f>
        <v>1795</v>
      </c>
      <c r="L4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2" s="7">
        <f>-IF(AND(Main[[#This Row],[مقدار (کیلوگرم)]]&lt;0,Main[[#This Row],[تاريخ میلادی]]&gt;44276),Main[[#This Row],[مقدار (کیلوگرم)]],0)</f>
        <v>1795</v>
      </c>
      <c r="N452" s="6">
        <f ca="1">Main[[#This Row],[بدهکار (کیلوگرم)]]-Main[[#This Row],[بدهی تسویه نشده (کیلوگرم)]]</f>
        <v>1795</v>
      </c>
      <c r="O452" s="6">
        <f ca="1">Main[[#This Row],[تفکیک]]</f>
        <v>0</v>
      </c>
      <c r="P452" s="6">
        <f ca="1">IF(Main[[#This Row],[تاخیر از سررسید]]&gt;0,Main[[#This Row],[بدهی تسویه نشده (کیلوگرم)]],0)</f>
        <v>0</v>
      </c>
      <c r="Q452" s="6">
        <f ca="1">IF(Main[[#This Row],[بدهی تسویه نشده (کیلوگرم)]]&gt;0,'گزارش فردی'!$B$7-Main[[#This Row],[تاريخ میلادی]],0)</f>
        <v>0</v>
      </c>
      <c r="R452" s="6">
        <f ca="1">IF(Main[[#This Row],[بدهی تسویه نشده (کیلوگرم)]]&gt;0,'گزارش فردی'!$B$7-Main[[#This Row],[تاريخ میلادی]]-'گزارش فردی'!$B$8,0)</f>
        <v>0</v>
      </c>
      <c r="S452" s="6">
        <f ca="1">Main[[#This Row],[روز از ارسال سفارش]]*Main[[#This Row],[بدهی تسویه نشده (کیلوگرم)]]</f>
        <v>0</v>
      </c>
      <c r="T452" s="6">
        <f ca="1">Main[[#This Row],[بدهی سررسید شده (کیلوگرم)]]*Main[[#This Row],[روز از ارسال سفارش]]</f>
        <v>0</v>
      </c>
      <c r="U452" s="6">
        <f>-SUBTOTAL(9,INDEX(Main[مقدار (کیلوگرم)],1):Main[[#This Row],[مقدار (کیلوگرم)]])</f>
        <v>21512</v>
      </c>
      <c r="V4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2" s="6">
        <f>Main[[#This Row],[تعداد کل روزهای بدهکار (روز)]]*Main[[#This Row],[مانده در خط کل (کیلوگرم)]]</f>
        <v>0</v>
      </c>
      <c r="X452" s="6">
        <f ca="1">-SUBTOTAL(9,INDEX(Main[مقدار تسویه شده (کیلوگرم)],1):Main[[#This Row],[مقدار تسویه شده (کیلوگرم)]])</f>
        <v>21512</v>
      </c>
      <c r="Y452" s="6">
        <f ca="1">IF(Main[[#This Row],[مانده در خط تسویه شده (کیلوگرم)]]&lt;&gt;0,Main[[#This Row],[تعداد کل روزهای بدهکار (روز)]],0)</f>
        <v>0</v>
      </c>
      <c r="Z452" s="6">
        <f ca="1">Main[[#This Row],[تعداد روزهای بدهکار تسویه شده (روز)]]*Main[[#This Row],[مانده در خط تسویه شده (کیلوگرم)]]</f>
        <v>0</v>
      </c>
      <c r="AA452" s="6">
        <f ca="1">SUBTOTAL(9,INDEX(Main[بدهی تسویه نشده (کیلوگرم)],1):Main[[#This Row],[بدهی تسویه نشده (کیلوگرم)]])</f>
        <v>0</v>
      </c>
      <c r="AB452" s="6">
        <f ca="1">IF(Main[[#This Row],[مانده در خط تسویه نشده (کیلوگرم)]]&lt;&gt;0,Main[[#This Row],[تعداد کل روزهای بدهکار (روز)]],0)</f>
        <v>0</v>
      </c>
      <c r="AC452" s="6">
        <f ca="1">Main[[#This Row],[تعداد روزهای بدهکار  تسویه نشده (روز)]]*Main[[#This Row],[مانده در خط تسویه نشده (کیلوگرم)]]</f>
        <v>0</v>
      </c>
      <c r="AD452" s="6">
        <f ca="1">SUBTOTAL(9,INDEX(Main[بدهی سررسید شده (کیلوگرم)],1):Main[[#This Row],[بدهی سررسید شده (کیلوگرم)]])</f>
        <v>0</v>
      </c>
      <c r="AE452" s="6">
        <f ca="1">IF(Main[[#This Row],[مانده در خط سررسید شده (کیلوگرم)]]&lt;&gt;0,Main[[#This Row],[تعداد کل روزهای بدهکار (روز)]],0)</f>
        <v>0</v>
      </c>
      <c r="AF452" s="6">
        <f ca="1">Main[[#This Row],[تعداد روزهای بدهکار سررسید شده (روز)]]*Main[[#This Row],[مانده در خط سررسید شده (کیلوگرم)]]</f>
        <v>0</v>
      </c>
    </row>
    <row r="453" spans="1:32" hidden="1" x14ac:dyDescent="0.35">
      <c r="A453" s="5">
        <f>ROW()-ROW(INDEX(Main[ردیف],1))+1</f>
        <v>451</v>
      </c>
      <c r="B453" s="31">
        <f>SUBTOTAL(2,INDEX(Main[ردیف],1):Main[[#This Row],[ردیف]])</f>
        <v>43</v>
      </c>
      <c r="C453" s="32" t="s">
        <v>551</v>
      </c>
      <c r="D453" s="32" t="str">
        <f>_xlfn.CONCAT("14",Main[[#This Row],[تاريخ]])</f>
        <v>1400/02/22</v>
      </c>
      <c r="E453" s="33">
        <v>44328</v>
      </c>
      <c r="F453" s="32">
        <v>30066</v>
      </c>
      <c r="G453" s="5" t="str">
        <f>INDEX(customer[عنوان],MATCH(Main[[#This Row],[کد ردیابی]],customer[کد],0))</f>
        <v xml:space="preserve">شیر آلات بهداشتی قهرمان </v>
      </c>
      <c r="H453">
        <v>100000</v>
      </c>
      <c r="I453" s="6">
        <f ca="1">-Main[[#This Row],[بدهی تسویه شده (کیلوگرم)]]+Main[[#This Row],[بستانکار (کیلوگرم)]]</f>
        <v>100000</v>
      </c>
      <c r="J453" s="6">
        <f>IF(Main[[#This Row],[مقدار (کیلوگرم)]]&gt;0,Main[[#This Row],[مقدار (کیلوگرم)]],0)</f>
        <v>100000</v>
      </c>
      <c r="K453" s="6">
        <f>-IF(Main[[#This Row],[مقدار (کیلوگرم)]]&lt;0,Main[[#This Row],[مقدار (کیلوگرم)]],0)</f>
        <v>0</v>
      </c>
      <c r="L4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3" s="7">
        <f>-IF(AND(Main[[#This Row],[مقدار (کیلوگرم)]]&lt;0,Main[[#This Row],[تاريخ میلادی]]&gt;44276),Main[[#This Row],[مقدار (کیلوگرم)]],0)</f>
        <v>0</v>
      </c>
      <c r="N453" s="6">
        <f ca="1">Main[[#This Row],[بدهکار (کیلوگرم)]]-Main[[#This Row],[بدهی تسویه نشده (کیلوگرم)]]</f>
        <v>0</v>
      </c>
      <c r="O453" s="6">
        <f ca="1">Main[[#This Row],[تفکیک]]</f>
        <v>0</v>
      </c>
      <c r="P453" s="6">
        <f ca="1">IF(Main[[#This Row],[تاخیر از سررسید]]&gt;0,Main[[#This Row],[بدهی تسویه نشده (کیلوگرم)]],0)</f>
        <v>0</v>
      </c>
      <c r="Q453" s="6">
        <f ca="1">IF(Main[[#This Row],[بدهی تسویه نشده (کیلوگرم)]]&gt;0,'گزارش فردی'!$B$7-Main[[#This Row],[تاريخ میلادی]],0)</f>
        <v>0</v>
      </c>
      <c r="R453" s="6">
        <f ca="1">IF(Main[[#This Row],[بدهی تسویه نشده (کیلوگرم)]]&gt;0,'گزارش فردی'!$B$7-Main[[#This Row],[تاريخ میلادی]]-'گزارش فردی'!$B$8,0)</f>
        <v>0</v>
      </c>
      <c r="S453" s="6">
        <f ca="1">Main[[#This Row],[روز از ارسال سفارش]]*Main[[#This Row],[بدهی تسویه نشده (کیلوگرم)]]</f>
        <v>0</v>
      </c>
      <c r="T453" s="6">
        <f ca="1">Main[[#This Row],[بدهی سررسید شده (کیلوگرم)]]*Main[[#This Row],[روز از ارسال سفارش]]</f>
        <v>0</v>
      </c>
      <c r="U453" s="6">
        <f>-SUBTOTAL(9,INDEX(Main[مقدار (کیلوگرم)],1):Main[[#This Row],[مقدار (کیلوگرم)]])</f>
        <v>21512</v>
      </c>
      <c r="V4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3" s="6">
        <f>Main[[#This Row],[تعداد کل روزهای بدهکار (روز)]]*Main[[#This Row],[مانده در خط کل (کیلوگرم)]]</f>
        <v>0</v>
      </c>
      <c r="X453" s="6">
        <f ca="1">-SUBTOTAL(9,INDEX(Main[مقدار تسویه شده (کیلوگرم)],1):Main[[#This Row],[مقدار تسویه شده (کیلوگرم)]])</f>
        <v>21512</v>
      </c>
      <c r="Y453" s="6">
        <f ca="1">IF(Main[[#This Row],[مانده در خط تسویه شده (کیلوگرم)]]&lt;&gt;0,Main[[#This Row],[تعداد کل روزهای بدهکار (روز)]],0)</f>
        <v>0</v>
      </c>
      <c r="Z453" s="6">
        <f ca="1">Main[[#This Row],[تعداد روزهای بدهکار تسویه شده (روز)]]*Main[[#This Row],[مانده در خط تسویه شده (کیلوگرم)]]</f>
        <v>0</v>
      </c>
      <c r="AA453" s="6">
        <f ca="1">SUBTOTAL(9,INDEX(Main[بدهی تسویه نشده (کیلوگرم)],1):Main[[#This Row],[بدهی تسویه نشده (کیلوگرم)]])</f>
        <v>0</v>
      </c>
      <c r="AB453" s="6">
        <f ca="1">IF(Main[[#This Row],[مانده در خط تسویه نشده (کیلوگرم)]]&lt;&gt;0,Main[[#This Row],[تعداد کل روزهای بدهکار (روز)]],0)</f>
        <v>0</v>
      </c>
      <c r="AC453" s="6">
        <f ca="1">Main[[#This Row],[تعداد روزهای بدهکار  تسویه نشده (روز)]]*Main[[#This Row],[مانده در خط تسویه نشده (کیلوگرم)]]</f>
        <v>0</v>
      </c>
      <c r="AD453" s="6">
        <f ca="1">SUBTOTAL(9,INDEX(Main[بدهی سررسید شده (کیلوگرم)],1):Main[[#This Row],[بدهی سررسید شده (کیلوگرم)]])</f>
        <v>0</v>
      </c>
      <c r="AE453" s="6">
        <f ca="1">IF(Main[[#This Row],[مانده در خط سررسید شده (کیلوگرم)]]&lt;&gt;0,Main[[#This Row],[تعداد کل روزهای بدهکار (روز)]],0)</f>
        <v>0</v>
      </c>
      <c r="AF453" s="6">
        <f ca="1">Main[[#This Row],[تعداد روزهای بدهکار سررسید شده (روز)]]*Main[[#This Row],[مانده در خط سررسید شده (کیلوگرم)]]</f>
        <v>0</v>
      </c>
    </row>
    <row r="454" spans="1:32" x14ac:dyDescent="0.35">
      <c r="A454" s="5">
        <f>ROW()-ROW(INDEX(Main[ردیف],1))+1</f>
        <v>452</v>
      </c>
      <c r="B454" s="31">
        <f>SUBTOTAL(2,INDEX(Main[ردیف],1):Main[[#This Row],[ردیف]])</f>
        <v>44</v>
      </c>
      <c r="C454" s="32" t="s">
        <v>551</v>
      </c>
      <c r="D454" s="32" t="str">
        <f>_xlfn.CONCAT("14",Main[[#This Row],[تاريخ]])</f>
        <v>1400/02/22</v>
      </c>
      <c r="E454" s="33">
        <v>44328</v>
      </c>
      <c r="F454" s="32">
        <v>10003</v>
      </c>
      <c r="G454" s="5" t="str">
        <f>INDEX(customer[عنوان],MATCH(Main[[#This Row],[کد ردیابی]],customer[کد],0))</f>
        <v>اصغر نورعلی</v>
      </c>
      <c r="H454">
        <v>-2247</v>
      </c>
      <c r="I454" s="6">
        <f ca="1">-Main[[#This Row],[بدهی تسویه شده (کیلوگرم)]]+Main[[#This Row],[بستانکار (کیلوگرم)]]</f>
        <v>-2247</v>
      </c>
      <c r="J454" s="6">
        <f>IF(Main[[#This Row],[مقدار (کیلوگرم)]]&gt;0,Main[[#This Row],[مقدار (کیلوگرم)]],0)</f>
        <v>0</v>
      </c>
      <c r="K454" s="6">
        <f>-IF(Main[[#This Row],[مقدار (کیلوگرم)]]&lt;0,Main[[#This Row],[مقدار (کیلوگرم)]],0)</f>
        <v>2247</v>
      </c>
      <c r="L4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4" s="7">
        <f>-IF(AND(Main[[#This Row],[مقدار (کیلوگرم)]]&lt;0,Main[[#This Row],[تاريخ میلادی]]&gt;44276),Main[[#This Row],[مقدار (کیلوگرم)]],0)</f>
        <v>2247</v>
      </c>
      <c r="N454" s="6">
        <f ca="1">Main[[#This Row],[بدهکار (کیلوگرم)]]-Main[[#This Row],[بدهی تسویه نشده (کیلوگرم)]]</f>
        <v>2247</v>
      </c>
      <c r="O454" s="6">
        <f ca="1">Main[[#This Row],[تفکیک]]</f>
        <v>0</v>
      </c>
      <c r="P454" s="6">
        <f ca="1">IF(Main[[#This Row],[تاخیر از سررسید]]&gt;0,Main[[#This Row],[بدهی تسویه نشده (کیلوگرم)]],0)</f>
        <v>0</v>
      </c>
      <c r="Q454" s="6">
        <f ca="1">IF(Main[[#This Row],[بدهی تسویه نشده (کیلوگرم)]]&gt;0,'گزارش فردی'!$B$7-Main[[#This Row],[تاريخ میلادی]],0)</f>
        <v>0</v>
      </c>
      <c r="R454" s="6">
        <f ca="1">IF(Main[[#This Row],[بدهی تسویه نشده (کیلوگرم)]]&gt;0,'گزارش فردی'!$B$7-Main[[#This Row],[تاريخ میلادی]]-'گزارش فردی'!$B$8,0)</f>
        <v>0</v>
      </c>
      <c r="S454" s="6">
        <f ca="1">Main[[#This Row],[روز از ارسال سفارش]]*Main[[#This Row],[بدهی تسویه نشده (کیلوگرم)]]</f>
        <v>0</v>
      </c>
      <c r="T454" s="6">
        <f ca="1">Main[[#This Row],[بدهی سررسید شده (کیلوگرم)]]*Main[[#This Row],[روز از ارسال سفارش]]</f>
        <v>0</v>
      </c>
      <c r="U454" s="6">
        <f>-SUBTOTAL(9,INDEX(Main[مقدار (کیلوگرم)],1):Main[[#This Row],[مقدار (کیلوگرم)]])</f>
        <v>23759</v>
      </c>
      <c r="V4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4" s="6">
        <f>Main[[#This Row],[تعداد کل روزهای بدهکار (روز)]]*Main[[#This Row],[مانده در خط کل (کیلوگرم)]]</f>
        <v>0</v>
      </c>
      <c r="X454" s="6">
        <f ca="1">-SUBTOTAL(9,INDEX(Main[مقدار تسویه شده (کیلوگرم)],1):Main[[#This Row],[مقدار تسویه شده (کیلوگرم)]])</f>
        <v>23759</v>
      </c>
      <c r="Y454" s="6">
        <f ca="1">IF(Main[[#This Row],[مانده در خط تسویه شده (کیلوگرم)]]&lt;&gt;0,Main[[#This Row],[تعداد کل روزهای بدهکار (روز)]],0)</f>
        <v>0</v>
      </c>
      <c r="Z454" s="6">
        <f ca="1">Main[[#This Row],[تعداد روزهای بدهکار تسویه شده (روز)]]*Main[[#This Row],[مانده در خط تسویه شده (کیلوگرم)]]</f>
        <v>0</v>
      </c>
      <c r="AA454" s="6">
        <f ca="1">SUBTOTAL(9,INDEX(Main[بدهی تسویه نشده (کیلوگرم)],1):Main[[#This Row],[بدهی تسویه نشده (کیلوگرم)]])</f>
        <v>0</v>
      </c>
      <c r="AB454" s="6">
        <f ca="1">IF(Main[[#This Row],[مانده در خط تسویه نشده (کیلوگرم)]]&lt;&gt;0,Main[[#This Row],[تعداد کل روزهای بدهکار (روز)]],0)</f>
        <v>0</v>
      </c>
      <c r="AC454" s="6">
        <f ca="1">Main[[#This Row],[تعداد روزهای بدهکار  تسویه نشده (روز)]]*Main[[#This Row],[مانده در خط تسویه نشده (کیلوگرم)]]</f>
        <v>0</v>
      </c>
      <c r="AD454" s="6">
        <f ca="1">SUBTOTAL(9,INDEX(Main[بدهی سررسید شده (کیلوگرم)],1):Main[[#This Row],[بدهی سررسید شده (کیلوگرم)]])</f>
        <v>0</v>
      </c>
      <c r="AE454" s="6">
        <f ca="1">IF(Main[[#This Row],[مانده در خط سررسید شده (کیلوگرم)]]&lt;&gt;0,Main[[#This Row],[تعداد کل روزهای بدهکار (روز)]],0)</f>
        <v>0</v>
      </c>
      <c r="AF454" s="6">
        <f ca="1">Main[[#This Row],[تعداد روزهای بدهکار سررسید شده (روز)]]*Main[[#This Row],[مانده در خط سررسید شده (کیلوگرم)]]</f>
        <v>0</v>
      </c>
    </row>
    <row r="455" spans="1:32" hidden="1" x14ac:dyDescent="0.35">
      <c r="A455" s="5">
        <f>ROW()-ROW(INDEX(Main[ردیف],1))+1</f>
        <v>453</v>
      </c>
      <c r="B455" s="31">
        <f>SUBTOTAL(2,INDEX(Main[ردیف],1):Main[[#This Row],[ردیف]])</f>
        <v>44</v>
      </c>
      <c r="C455" s="32" t="s">
        <v>551</v>
      </c>
      <c r="D455" s="32" t="str">
        <f>_xlfn.CONCAT("14",Main[[#This Row],[تاريخ]])</f>
        <v>1400/02/22</v>
      </c>
      <c r="E455" s="33">
        <v>44328</v>
      </c>
      <c r="F455" s="32">
        <v>10110</v>
      </c>
      <c r="G455" s="5" t="str">
        <f>INDEX(customer[عنوان],MATCH(Main[[#This Row],[کد ردیابی]],customer[کد],0))</f>
        <v>محمدی مسعود</v>
      </c>
      <c r="H455">
        <v>248</v>
      </c>
      <c r="I455" s="6">
        <f ca="1">-Main[[#This Row],[بدهی تسویه شده (کیلوگرم)]]+Main[[#This Row],[بستانکار (کیلوگرم)]]</f>
        <v>248</v>
      </c>
      <c r="J455" s="6">
        <f>IF(Main[[#This Row],[مقدار (کیلوگرم)]]&gt;0,Main[[#This Row],[مقدار (کیلوگرم)]],0)</f>
        <v>248</v>
      </c>
      <c r="K455" s="6">
        <f>-IF(Main[[#This Row],[مقدار (کیلوگرم)]]&lt;0,Main[[#This Row],[مقدار (کیلوگرم)]],0)</f>
        <v>0</v>
      </c>
      <c r="L4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5" s="7">
        <f>-IF(AND(Main[[#This Row],[مقدار (کیلوگرم)]]&lt;0,Main[[#This Row],[تاريخ میلادی]]&gt;44276),Main[[#This Row],[مقدار (کیلوگرم)]],0)</f>
        <v>0</v>
      </c>
      <c r="N455" s="6">
        <f ca="1">Main[[#This Row],[بدهکار (کیلوگرم)]]-Main[[#This Row],[بدهی تسویه نشده (کیلوگرم)]]</f>
        <v>0</v>
      </c>
      <c r="O455" s="6">
        <f ca="1">Main[[#This Row],[تفکیک]]</f>
        <v>0</v>
      </c>
      <c r="P455" s="6">
        <f ca="1">IF(Main[[#This Row],[تاخیر از سررسید]]&gt;0,Main[[#This Row],[بدهی تسویه نشده (کیلوگرم)]],0)</f>
        <v>0</v>
      </c>
      <c r="Q455" s="6">
        <f ca="1">IF(Main[[#This Row],[بدهی تسویه نشده (کیلوگرم)]]&gt;0,'گزارش فردی'!$B$7-Main[[#This Row],[تاريخ میلادی]],0)</f>
        <v>0</v>
      </c>
      <c r="R455" s="6">
        <f ca="1">IF(Main[[#This Row],[بدهی تسویه نشده (کیلوگرم)]]&gt;0,'گزارش فردی'!$B$7-Main[[#This Row],[تاريخ میلادی]]-'گزارش فردی'!$B$8,0)</f>
        <v>0</v>
      </c>
      <c r="S455" s="6">
        <f ca="1">Main[[#This Row],[روز از ارسال سفارش]]*Main[[#This Row],[بدهی تسویه نشده (کیلوگرم)]]</f>
        <v>0</v>
      </c>
      <c r="T455" s="6">
        <f ca="1">Main[[#This Row],[بدهی سررسید شده (کیلوگرم)]]*Main[[#This Row],[روز از ارسال سفارش]]</f>
        <v>0</v>
      </c>
      <c r="U455" s="6">
        <f>-SUBTOTAL(9,INDEX(Main[مقدار (کیلوگرم)],1):Main[[#This Row],[مقدار (کیلوگرم)]])</f>
        <v>23759</v>
      </c>
      <c r="V4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5" s="6">
        <f>Main[[#This Row],[تعداد کل روزهای بدهکار (روز)]]*Main[[#This Row],[مانده در خط کل (کیلوگرم)]]</f>
        <v>0</v>
      </c>
      <c r="X455" s="6">
        <f ca="1">-SUBTOTAL(9,INDEX(Main[مقدار تسویه شده (کیلوگرم)],1):Main[[#This Row],[مقدار تسویه شده (کیلوگرم)]])</f>
        <v>23759</v>
      </c>
      <c r="Y455" s="6">
        <f ca="1">IF(Main[[#This Row],[مانده در خط تسویه شده (کیلوگرم)]]&lt;&gt;0,Main[[#This Row],[تعداد کل روزهای بدهکار (روز)]],0)</f>
        <v>0</v>
      </c>
      <c r="Z455" s="6">
        <f ca="1">Main[[#This Row],[تعداد روزهای بدهکار تسویه شده (روز)]]*Main[[#This Row],[مانده در خط تسویه شده (کیلوگرم)]]</f>
        <v>0</v>
      </c>
      <c r="AA455" s="6">
        <f ca="1">SUBTOTAL(9,INDEX(Main[بدهی تسویه نشده (کیلوگرم)],1):Main[[#This Row],[بدهی تسویه نشده (کیلوگرم)]])</f>
        <v>0</v>
      </c>
      <c r="AB455" s="6">
        <f ca="1">IF(Main[[#This Row],[مانده در خط تسویه نشده (کیلوگرم)]]&lt;&gt;0,Main[[#This Row],[تعداد کل روزهای بدهکار (روز)]],0)</f>
        <v>0</v>
      </c>
      <c r="AC455" s="6">
        <f ca="1">Main[[#This Row],[تعداد روزهای بدهکار  تسویه نشده (روز)]]*Main[[#This Row],[مانده در خط تسویه نشده (کیلوگرم)]]</f>
        <v>0</v>
      </c>
      <c r="AD455" s="6">
        <f ca="1">SUBTOTAL(9,INDEX(Main[بدهی سررسید شده (کیلوگرم)],1):Main[[#This Row],[بدهی سررسید شده (کیلوگرم)]])</f>
        <v>0</v>
      </c>
      <c r="AE455" s="6">
        <f ca="1">IF(Main[[#This Row],[مانده در خط سررسید شده (کیلوگرم)]]&lt;&gt;0,Main[[#This Row],[تعداد کل روزهای بدهکار (روز)]],0)</f>
        <v>0</v>
      </c>
      <c r="AF455" s="6">
        <f ca="1">Main[[#This Row],[تعداد روزهای بدهکار سررسید شده (روز)]]*Main[[#This Row],[مانده در خط سررسید شده (کیلوگرم)]]</f>
        <v>0</v>
      </c>
    </row>
    <row r="456" spans="1:32" hidden="1" x14ac:dyDescent="0.35">
      <c r="A456" s="5">
        <f>ROW()-ROW(INDEX(Main[ردیف],1))+1</f>
        <v>454</v>
      </c>
      <c r="B456" s="31">
        <f>SUBTOTAL(2,INDEX(Main[ردیف],1):Main[[#This Row],[ردیف]])</f>
        <v>44</v>
      </c>
      <c r="C456" s="32" t="s">
        <v>551</v>
      </c>
      <c r="D456" s="32" t="str">
        <f>_xlfn.CONCAT("14",Main[[#This Row],[تاريخ]])</f>
        <v>1400/02/22</v>
      </c>
      <c r="E456" s="33">
        <v>44328</v>
      </c>
      <c r="F456" s="32">
        <v>10055</v>
      </c>
      <c r="G456" s="5" t="str">
        <f>INDEX(customer[عنوان],MATCH(Main[[#This Row],[کد ردیابی]],customer[کد],0))</f>
        <v xml:space="preserve">مریم فیض آبادی  </v>
      </c>
      <c r="H456">
        <v>-4992</v>
      </c>
      <c r="I456" s="6">
        <f ca="1">-Main[[#This Row],[بدهی تسویه شده (کیلوگرم)]]+Main[[#This Row],[بستانکار (کیلوگرم)]]</f>
        <v>-4992</v>
      </c>
      <c r="J456" s="6">
        <f>IF(Main[[#This Row],[مقدار (کیلوگرم)]]&gt;0,Main[[#This Row],[مقدار (کیلوگرم)]],0)</f>
        <v>0</v>
      </c>
      <c r="K456" s="6">
        <f>-IF(Main[[#This Row],[مقدار (کیلوگرم)]]&lt;0,Main[[#This Row],[مقدار (کیلوگرم)]],0)</f>
        <v>4992</v>
      </c>
      <c r="L4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6" s="7">
        <f>-IF(AND(Main[[#This Row],[مقدار (کیلوگرم)]]&lt;0,Main[[#This Row],[تاريخ میلادی]]&gt;44276),Main[[#This Row],[مقدار (کیلوگرم)]],0)</f>
        <v>4992</v>
      </c>
      <c r="N456" s="6">
        <f ca="1">Main[[#This Row],[بدهکار (کیلوگرم)]]-Main[[#This Row],[بدهی تسویه نشده (کیلوگرم)]]</f>
        <v>4992</v>
      </c>
      <c r="O456" s="6">
        <f ca="1">Main[[#This Row],[تفکیک]]</f>
        <v>0</v>
      </c>
      <c r="P456" s="6">
        <f ca="1">IF(Main[[#This Row],[تاخیر از سررسید]]&gt;0,Main[[#This Row],[بدهی تسویه نشده (کیلوگرم)]],0)</f>
        <v>0</v>
      </c>
      <c r="Q456" s="6">
        <f ca="1">IF(Main[[#This Row],[بدهی تسویه نشده (کیلوگرم)]]&gt;0,'گزارش فردی'!$B$7-Main[[#This Row],[تاريخ میلادی]],0)</f>
        <v>0</v>
      </c>
      <c r="R456" s="6">
        <f ca="1">IF(Main[[#This Row],[بدهی تسویه نشده (کیلوگرم)]]&gt;0,'گزارش فردی'!$B$7-Main[[#This Row],[تاريخ میلادی]]-'گزارش فردی'!$B$8,0)</f>
        <v>0</v>
      </c>
      <c r="S456" s="6">
        <f ca="1">Main[[#This Row],[روز از ارسال سفارش]]*Main[[#This Row],[بدهی تسویه نشده (کیلوگرم)]]</f>
        <v>0</v>
      </c>
      <c r="T456" s="6">
        <f ca="1">Main[[#This Row],[بدهی سررسید شده (کیلوگرم)]]*Main[[#This Row],[روز از ارسال سفارش]]</f>
        <v>0</v>
      </c>
      <c r="U456" s="6">
        <f>-SUBTOTAL(9,INDEX(Main[مقدار (کیلوگرم)],1):Main[[#This Row],[مقدار (کیلوگرم)]])</f>
        <v>23759</v>
      </c>
      <c r="V4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6" s="6">
        <f>Main[[#This Row],[تعداد کل روزهای بدهکار (روز)]]*Main[[#This Row],[مانده در خط کل (کیلوگرم)]]</f>
        <v>0</v>
      </c>
      <c r="X456" s="6">
        <f ca="1">-SUBTOTAL(9,INDEX(Main[مقدار تسویه شده (کیلوگرم)],1):Main[[#This Row],[مقدار تسویه شده (کیلوگرم)]])</f>
        <v>23759</v>
      </c>
      <c r="Y456" s="6">
        <f ca="1">IF(Main[[#This Row],[مانده در خط تسویه شده (کیلوگرم)]]&lt;&gt;0,Main[[#This Row],[تعداد کل روزهای بدهکار (روز)]],0)</f>
        <v>0</v>
      </c>
      <c r="Z456" s="6">
        <f ca="1">Main[[#This Row],[تعداد روزهای بدهکار تسویه شده (روز)]]*Main[[#This Row],[مانده در خط تسویه شده (کیلوگرم)]]</f>
        <v>0</v>
      </c>
      <c r="AA456" s="6">
        <f ca="1">SUBTOTAL(9,INDEX(Main[بدهی تسویه نشده (کیلوگرم)],1):Main[[#This Row],[بدهی تسویه نشده (کیلوگرم)]])</f>
        <v>0</v>
      </c>
      <c r="AB456" s="6">
        <f ca="1">IF(Main[[#This Row],[مانده در خط تسویه نشده (کیلوگرم)]]&lt;&gt;0,Main[[#This Row],[تعداد کل روزهای بدهکار (روز)]],0)</f>
        <v>0</v>
      </c>
      <c r="AC456" s="6">
        <f ca="1">Main[[#This Row],[تعداد روزهای بدهکار  تسویه نشده (روز)]]*Main[[#This Row],[مانده در خط تسویه نشده (کیلوگرم)]]</f>
        <v>0</v>
      </c>
      <c r="AD456" s="6">
        <f ca="1">SUBTOTAL(9,INDEX(Main[بدهی سررسید شده (کیلوگرم)],1):Main[[#This Row],[بدهی سررسید شده (کیلوگرم)]])</f>
        <v>0</v>
      </c>
      <c r="AE456" s="6">
        <f ca="1">IF(Main[[#This Row],[مانده در خط سررسید شده (کیلوگرم)]]&lt;&gt;0,Main[[#This Row],[تعداد کل روزهای بدهکار (روز)]],0)</f>
        <v>0</v>
      </c>
      <c r="AF456" s="6">
        <f ca="1">Main[[#This Row],[تعداد روزهای بدهکار سررسید شده (روز)]]*Main[[#This Row],[مانده در خط سررسید شده (کیلوگرم)]]</f>
        <v>0</v>
      </c>
    </row>
    <row r="457" spans="1:32" hidden="1" x14ac:dyDescent="0.35">
      <c r="A457" s="5">
        <f>ROW()-ROW(INDEX(Main[ردیف],1))+1</f>
        <v>455</v>
      </c>
      <c r="B457" s="31">
        <f>SUBTOTAL(2,INDEX(Main[ردیف],1):Main[[#This Row],[ردیف]])</f>
        <v>44</v>
      </c>
      <c r="C457" s="32" t="s">
        <v>551</v>
      </c>
      <c r="D457" s="32" t="str">
        <f>_xlfn.CONCAT("14",Main[[#This Row],[تاريخ]])</f>
        <v>1400/02/22</v>
      </c>
      <c r="E457" s="33">
        <v>44328</v>
      </c>
      <c r="F457" s="32">
        <v>10104</v>
      </c>
      <c r="G457" s="5" t="str">
        <f>INDEX(customer[عنوان],MATCH(Main[[#This Row],[کد ردیابی]],customer[کد],0))</f>
        <v>بهزادی فر اصغر</v>
      </c>
      <c r="H457">
        <v>654</v>
      </c>
      <c r="I457" s="6">
        <f ca="1">-Main[[#This Row],[بدهی تسویه شده (کیلوگرم)]]+Main[[#This Row],[بستانکار (کیلوگرم)]]</f>
        <v>654</v>
      </c>
      <c r="J457" s="6">
        <f>IF(Main[[#This Row],[مقدار (کیلوگرم)]]&gt;0,Main[[#This Row],[مقدار (کیلوگرم)]],0)</f>
        <v>654</v>
      </c>
      <c r="K457" s="6">
        <f>-IF(Main[[#This Row],[مقدار (کیلوگرم)]]&lt;0,Main[[#This Row],[مقدار (کیلوگرم)]],0)</f>
        <v>0</v>
      </c>
      <c r="L4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7" s="7">
        <f>-IF(AND(Main[[#This Row],[مقدار (کیلوگرم)]]&lt;0,Main[[#This Row],[تاريخ میلادی]]&gt;44276),Main[[#This Row],[مقدار (کیلوگرم)]],0)</f>
        <v>0</v>
      </c>
      <c r="N457" s="6">
        <f ca="1">Main[[#This Row],[بدهکار (کیلوگرم)]]-Main[[#This Row],[بدهی تسویه نشده (کیلوگرم)]]</f>
        <v>0</v>
      </c>
      <c r="O457" s="6">
        <f ca="1">Main[[#This Row],[تفکیک]]</f>
        <v>0</v>
      </c>
      <c r="P457" s="6">
        <f ca="1">IF(Main[[#This Row],[تاخیر از سررسید]]&gt;0,Main[[#This Row],[بدهی تسویه نشده (کیلوگرم)]],0)</f>
        <v>0</v>
      </c>
      <c r="Q457" s="6">
        <f ca="1">IF(Main[[#This Row],[بدهی تسویه نشده (کیلوگرم)]]&gt;0,'گزارش فردی'!$B$7-Main[[#This Row],[تاريخ میلادی]],0)</f>
        <v>0</v>
      </c>
      <c r="R457" s="6">
        <f ca="1">IF(Main[[#This Row],[بدهی تسویه نشده (کیلوگرم)]]&gt;0,'گزارش فردی'!$B$7-Main[[#This Row],[تاريخ میلادی]]-'گزارش فردی'!$B$8,0)</f>
        <v>0</v>
      </c>
      <c r="S457" s="6">
        <f ca="1">Main[[#This Row],[روز از ارسال سفارش]]*Main[[#This Row],[بدهی تسویه نشده (کیلوگرم)]]</f>
        <v>0</v>
      </c>
      <c r="T457" s="6">
        <f ca="1">Main[[#This Row],[بدهی سررسید شده (کیلوگرم)]]*Main[[#This Row],[روز از ارسال سفارش]]</f>
        <v>0</v>
      </c>
      <c r="U457" s="6">
        <f>-SUBTOTAL(9,INDEX(Main[مقدار (کیلوگرم)],1):Main[[#This Row],[مقدار (کیلوگرم)]])</f>
        <v>23759</v>
      </c>
      <c r="V4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7" s="6">
        <f>Main[[#This Row],[تعداد کل روزهای بدهکار (روز)]]*Main[[#This Row],[مانده در خط کل (کیلوگرم)]]</f>
        <v>0</v>
      </c>
      <c r="X457" s="6">
        <f ca="1">-SUBTOTAL(9,INDEX(Main[مقدار تسویه شده (کیلوگرم)],1):Main[[#This Row],[مقدار تسویه شده (کیلوگرم)]])</f>
        <v>23759</v>
      </c>
      <c r="Y457" s="6">
        <f ca="1">IF(Main[[#This Row],[مانده در خط تسویه شده (کیلوگرم)]]&lt;&gt;0,Main[[#This Row],[تعداد کل روزهای بدهکار (روز)]],0)</f>
        <v>0</v>
      </c>
      <c r="Z457" s="6">
        <f ca="1">Main[[#This Row],[تعداد روزهای بدهکار تسویه شده (روز)]]*Main[[#This Row],[مانده در خط تسویه شده (کیلوگرم)]]</f>
        <v>0</v>
      </c>
      <c r="AA457" s="6">
        <f ca="1">SUBTOTAL(9,INDEX(Main[بدهی تسویه نشده (کیلوگرم)],1):Main[[#This Row],[بدهی تسویه نشده (کیلوگرم)]])</f>
        <v>0</v>
      </c>
      <c r="AB457" s="6">
        <f ca="1">IF(Main[[#This Row],[مانده در خط تسویه نشده (کیلوگرم)]]&lt;&gt;0,Main[[#This Row],[تعداد کل روزهای بدهکار (روز)]],0)</f>
        <v>0</v>
      </c>
      <c r="AC457" s="6">
        <f ca="1">Main[[#This Row],[تعداد روزهای بدهکار  تسویه نشده (روز)]]*Main[[#This Row],[مانده در خط تسویه نشده (کیلوگرم)]]</f>
        <v>0</v>
      </c>
      <c r="AD457" s="6">
        <f ca="1">SUBTOTAL(9,INDEX(Main[بدهی سررسید شده (کیلوگرم)],1):Main[[#This Row],[بدهی سررسید شده (کیلوگرم)]])</f>
        <v>0</v>
      </c>
      <c r="AE457" s="6">
        <f ca="1">IF(Main[[#This Row],[مانده در خط سررسید شده (کیلوگرم)]]&lt;&gt;0,Main[[#This Row],[تعداد کل روزهای بدهکار (روز)]],0)</f>
        <v>0</v>
      </c>
      <c r="AF457" s="6">
        <f ca="1">Main[[#This Row],[تعداد روزهای بدهکار سررسید شده (روز)]]*Main[[#This Row],[مانده در خط سررسید شده (کیلوگرم)]]</f>
        <v>0</v>
      </c>
    </row>
    <row r="458" spans="1:32" hidden="1" x14ac:dyDescent="0.35">
      <c r="A458" s="5">
        <f>ROW()-ROW(INDEX(Main[ردیف],1))+1</f>
        <v>456</v>
      </c>
      <c r="B458" s="31">
        <f>SUBTOTAL(2,INDEX(Main[ردیف],1):Main[[#This Row],[ردیف]])</f>
        <v>44</v>
      </c>
      <c r="C458" s="32" t="s">
        <v>551</v>
      </c>
      <c r="D458" s="32" t="str">
        <f>_xlfn.CONCAT("14",Main[[#This Row],[تاريخ]])</f>
        <v>1400/02/22</v>
      </c>
      <c r="E458" s="33">
        <v>44328</v>
      </c>
      <c r="F458" s="32">
        <v>30124</v>
      </c>
      <c r="G458" s="5" t="str">
        <f>INDEX(customer[عنوان],MATCH(Main[[#This Row],[کد ردیابی]],customer[کد],0))</f>
        <v>شرکت لنگرمرواریدسبز</v>
      </c>
      <c r="H458">
        <v>-1559</v>
      </c>
      <c r="I458" s="6">
        <f ca="1">-Main[[#This Row],[بدهی تسویه شده (کیلوگرم)]]+Main[[#This Row],[بستانکار (کیلوگرم)]]</f>
        <v>-1559</v>
      </c>
      <c r="J458" s="6">
        <f>IF(Main[[#This Row],[مقدار (کیلوگرم)]]&gt;0,Main[[#This Row],[مقدار (کیلوگرم)]],0)</f>
        <v>0</v>
      </c>
      <c r="K458" s="6">
        <f>-IF(Main[[#This Row],[مقدار (کیلوگرم)]]&lt;0,Main[[#This Row],[مقدار (کیلوگرم)]],0)</f>
        <v>1559</v>
      </c>
      <c r="L4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8" s="7">
        <f>-IF(AND(Main[[#This Row],[مقدار (کیلوگرم)]]&lt;0,Main[[#This Row],[تاريخ میلادی]]&gt;44276),Main[[#This Row],[مقدار (کیلوگرم)]],0)</f>
        <v>1559</v>
      </c>
      <c r="N458" s="6">
        <f ca="1">Main[[#This Row],[بدهکار (کیلوگرم)]]-Main[[#This Row],[بدهی تسویه نشده (کیلوگرم)]]</f>
        <v>1559</v>
      </c>
      <c r="O458" s="6">
        <f ca="1">Main[[#This Row],[تفکیک]]</f>
        <v>0</v>
      </c>
      <c r="P458" s="6">
        <f ca="1">IF(Main[[#This Row],[تاخیر از سررسید]]&gt;0,Main[[#This Row],[بدهی تسویه نشده (کیلوگرم)]],0)</f>
        <v>0</v>
      </c>
      <c r="Q458" s="6">
        <f ca="1">IF(Main[[#This Row],[بدهی تسویه نشده (کیلوگرم)]]&gt;0,'گزارش فردی'!$B$7-Main[[#This Row],[تاريخ میلادی]],0)</f>
        <v>0</v>
      </c>
      <c r="R458" s="6">
        <f ca="1">IF(Main[[#This Row],[بدهی تسویه نشده (کیلوگرم)]]&gt;0,'گزارش فردی'!$B$7-Main[[#This Row],[تاريخ میلادی]]-'گزارش فردی'!$B$8,0)</f>
        <v>0</v>
      </c>
      <c r="S458" s="6">
        <f ca="1">Main[[#This Row],[روز از ارسال سفارش]]*Main[[#This Row],[بدهی تسویه نشده (کیلوگرم)]]</f>
        <v>0</v>
      </c>
      <c r="T458" s="6">
        <f ca="1">Main[[#This Row],[بدهی سررسید شده (کیلوگرم)]]*Main[[#This Row],[روز از ارسال سفارش]]</f>
        <v>0</v>
      </c>
      <c r="U458" s="6">
        <f>-SUBTOTAL(9,INDEX(Main[مقدار (کیلوگرم)],1):Main[[#This Row],[مقدار (کیلوگرم)]])</f>
        <v>23759</v>
      </c>
      <c r="V4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8" s="6">
        <f>Main[[#This Row],[تعداد کل روزهای بدهکار (روز)]]*Main[[#This Row],[مانده در خط کل (کیلوگرم)]]</f>
        <v>0</v>
      </c>
      <c r="X458" s="6">
        <f ca="1">-SUBTOTAL(9,INDEX(Main[مقدار تسویه شده (کیلوگرم)],1):Main[[#This Row],[مقدار تسویه شده (کیلوگرم)]])</f>
        <v>23759</v>
      </c>
      <c r="Y458" s="6">
        <f ca="1">IF(Main[[#This Row],[مانده در خط تسویه شده (کیلوگرم)]]&lt;&gt;0,Main[[#This Row],[تعداد کل روزهای بدهکار (روز)]],0)</f>
        <v>0</v>
      </c>
      <c r="Z458" s="6">
        <f ca="1">Main[[#This Row],[تعداد روزهای بدهکار تسویه شده (روز)]]*Main[[#This Row],[مانده در خط تسویه شده (کیلوگرم)]]</f>
        <v>0</v>
      </c>
      <c r="AA458" s="6">
        <f ca="1">SUBTOTAL(9,INDEX(Main[بدهی تسویه نشده (کیلوگرم)],1):Main[[#This Row],[بدهی تسویه نشده (کیلوگرم)]])</f>
        <v>0</v>
      </c>
      <c r="AB458" s="6">
        <f ca="1">IF(Main[[#This Row],[مانده در خط تسویه نشده (کیلوگرم)]]&lt;&gt;0,Main[[#This Row],[تعداد کل روزهای بدهکار (روز)]],0)</f>
        <v>0</v>
      </c>
      <c r="AC458" s="6">
        <f ca="1">Main[[#This Row],[تعداد روزهای بدهکار  تسویه نشده (روز)]]*Main[[#This Row],[مانده در خط تسویه نشده (کیلوگرم)]]</f>
        <v>0</v>
      </c>
      <c r="AD458" s="6">
        <f ca="1">SUBTOTAL(9,INDEX(Main[بدهی سررسید شده (کیلوگرم)],1):Main[[#This Row],[بدهی سررسید شده (کیلوگرم)]])</f>
        <v>0</v>
      </c>
      <c r="AE458" s="6">
        <f ca="1">IF(Main[[#This Row],[مانده در خط سررسید شده (کیلوگرم)]]&lt;&gt;0,Main[[#This Row],[تعداد کل روزهای بدهکار (روز)]],0)</f>
        <v>0</v>
      </c>
      <c r="AF458" s="6">
        <f ca="1">Main[[#This Row],[تعداد روزهای بدهکار سررسید شده (روز)]]*Main[[#This Row],[مانده در خط سررسید شده (کیلوگرم)]]</f>
        <v>0</v>
      </c>
    </row>
    <row r="459" spans="1:32" hidden="1" x14ac:dyDescent="0.35">
      <c r="A459" s="5">
        <f>ROW()-ROW(INDEX(Main[ردیف],1))+1</f>
        <v>457</v>
      </c>
      <c r="B459" s="31">
        <f>SUBTOTAL(2,INDEX(Main[ردیف],1):Main[[#This Row],[ردیف]])</f>
        <v>44</v>
      </c>
      <c r="C459" s="32" t="s">
        <v>551</v>
      </c>
      <c r="D459" s="32" t="str">
        <f>_xlfn.CONCAT("14",Main[[#This Row],[تاريخ]])</f>
        <v>1400/02/22</v>
      </c>
      <c r="E459" s="33">
        <v>44328</v>
      </c>
      <c r="F459" s="32">
        <v>30017</v>
      </c>
      <c r="G459" s="5" t="str">
        <f>INDEX(customer[عنوان],MATCH(Main[[#This Row],[کد ردیابی]],customer[کد],0))</f>
        <v xml:space="preserve">البرز یدک </v>
      </c>
      <c r="H459">
        <v>2867</v>
      </c>
      <c r="I459" s="6">
        <f ca="1">-Main[[#This Row],[بدهی تسویه شده (کیلوگرم)]]+Main[[#This Row],[بستانکار (کیلوگرم)]]</f>
        <v>2867</v>
      </c>
      <c r="J459" s="6">
        <f>IF(Main[[#This Row],[مقدار (کیلوگرم)]]&gt;0,Main[[#This Row],[مقدار (کیلوگرم)]],0)</f>
        <v>2867</v>
      </c>
      <c r="K459" s="6">
        <f>-IF(Main[[#This Row],[مقدار (کیلوگرم)]]&lt;0,Main[[#This Row],[مقدار (کیلوگرم)]],0)</f>
        <v>0</v>
      </c>
      <c r="L4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9" s="7">
        <f>-IF(AND(Main[[#This Row],[مقدار (کیلوگرم)]]&lt;0,Main[[#This Row],[تاريخ میلادی]]&gt;44276),Main[[#This Row],[مقدار (کیلوگرم)]],0)</f>
        <v>0</v>
      </c>
      <c r="N459" s="6">
        <f ca="1">Main[[#This Row],[بدهکار (کیلوگرم)]]-Main[[#This Row],[بدهی تسویه نشده (کیلوگرم)]]</f>
        <v>0</v>
      </c>
      <c r="O459" s="6">
        <f ca="1">Main[[#This Row],[تفکیک]]</f>
        <v>0</v>
      </c>
      <c r="P459" s="6">
        <f ca="1">IF(Main[[#This Row],[تاخیر از سررسید]]&gt;0,Main[[#This Row],[بدهی تسویه نشده (کیلوگرم)]],0)</f>
        <v>0</v>
      </c>
      <c r="Q459" s="6">
        <f ca="1">IF(Main[[#This Row],[بدهی تسویه نشده (کیلوگرم)]]&gt;0,'گزارش فردی'!$B$7-Main[[#This Row],[تاريخ میلادی]],0)</f>
        <v>0</v>
      </c>
      <c r="R459" s="6">
        <f ca="1">IF(Main[[#This Row],[بدهی تسویه نشده (کیلوگرم)]]&gt;0,'گزارش فردی'!$B$7-Main[[#This Row],[تاريخ میلادی]]-'گزارش فردی'!$B$8,0)</f>
        <v>0</v>
      </c>
      <c r="S459" s="6">
        <f ca="1">Main[[#This Row],[روز از ارسال سفارش]]*Main[[#This Row],[بدهی تسویه نشده (کیلوگرم)]]</f>
        <v>0</v>
      </c>
      <c r="T459" s="6">
        <f ca="1">Main[[#This Row],[بدهی سررسید شده (کیلوگرم)]]*Main[[#This Row],[روز از ارسال سفارش]]</f>
        <v>0</v>
      </c>
      <c r="U459" s="6">
        <f>-SUBTOTAL(9,INDEX(Main[مقدار (کیلوگرم)],1):Main[[#This Row],[مقدار (کیلوگرم)]])</f>
        <v>23759</v>
      </c>
      <c r="V4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9" s="6">
        <f>Main[[#This Row],[تعداد کل روزهای بدهکار (روز)]]*Main[[#This Row],[مانده در خط کل (کیلوگرم)]]</f>
        <v>0</v>
      </c>
      <c r="X459" s="6">
        <f ca="1">-SUBTOTAL(9,INDEX(Main[مقدار تسویه شده (کیلوگرم)],1):Main[[#This Row],[مقدار تسویه شده (کیلوگرم)]])</f>
        <v>23759</v>
      </c>
      <c r="Y459" s="6">
        <f ca="1">IF(Main[[#This Row],[مانده در خط تسویه شده (کیلوگرم)]]&lt;&gt;0,Main[[#This Row],[تعداد کل روزهای بدهکار (روز)]],0)</f>
        <v>0</v>
      </c>
      <c r="Z459" s="6">
        <f ca="1">Main[[#This Row],[تعداد روزهای بدهکار تسویه شده (روز)]]*Main[[#This Row],[مانده در خط تسویه شده (کیلوگرم)]]</f>
        <v>0</v>
      </c>
      <c r="AA459" s="6">
        <f ca="1">SUBTOTAL(9,INDEX(Main[بدهی تسویه نشده (کیلوگرم)],1):Main[[#This Row],[بدهی تسویه نشده (کیلوگرم)]])</f>
        <v>0</v>
      </c>
      <c r="AB459" s="6">
        <f ca="1">IF(Main[[#This Row],[مانده در خط تسویه نشده (کیلوگرم)]]&lt;&gt;0,Main[[#This Row],[تعداد کل روزهای بدهکار (روز)]],0)</f>
        <v>0</v>
      </c>
      <c r="AC459" s="6">
        <f ca="1">Main[[#This Row],[تعداد روزهای بدهکار  تسویه نشده (روز)]]*Main[[#This Row],[مانده در خط تسویه نشده (کیلوگرم)]]</f>
        <v>0</v>
      </c>
      <c r="AD459" s="6">
        <f ca="1">SUBTOTAL(9,INDEX(Main[بدهی سررسید شده (کیلوگرم)],1):Main[[#This Row],[بدهی سررسید شده (کیلوگرم)]])</f>
        <v>0</v>
      </c>
      <c r="AE459" s="6">
        <f ca="1">IF(Main[[#This Row],[مانده در خط سررسید شده (کیلوگرم)]]&lt;&gt;0,Main[[#This Row],[تعداد کل روزهای بدهکار (روز)]],0)</f>
        <v>0</v>
      </c>
      <c r="AF459" s="6">
        <f ca="1">Main[[#This Row],[تعداد روزهای بدهکار سررسید شده (روز)]]*Main[[#This Row],[مانده در خط سررسید شده (کیلوگرم)]]</f>
        <v>0</v>
      </c>
    </row>
    <row r="460" spans="1:32" hidden="1" x14ac:dyDescent="0.35">
      <c r="A460" s="5">
        <f>ROW()-ROW(INDEX(Main[ردیف],1))+1</f>
        <v>458</v>
      </c>
      <c r="B460" s="31">
        <f>SUBTOTAL(2,INDEX(Main[ردیف],1):Main[[#This Row],[ردیف]])</f>
        <v>44</v>
      </c>
      <c r="C460" s="32" t="s">
        <v>551</v>
      </c>
      <c r="D460" s="32" t="str">
        <f>_xlfn.CONCAT("14",Main[[#This Row],[تاريخ]])</f>
        <v>1400/02/22</v>
      </c>
      <c r="E460" s="33">
        <v>44328</v>
      </c>
      <c r="F460" s="32">
        <v>10126</v>
      </c>
      <c r="G460" s="5" t="str">
        <f>INDEX(customer[عنوان],MATCH(Main[[#This Row],[کد ردیابی]],customer[کد],0))</f>
        <v xml:space="preserve">کریم اسمعیلی </v>
      </c>
      <c r="H460">
        <v>-798</v>
      </c>
      <c r="I460" s="6">
        <f ca="1">-Main[[#This Row],[بدهی تسویه شده (کیلوگرم)]]+Main[[#This Row],[بستانکار (کیلوگرم)]]</f>
        <v>-798</v>
      </c>
      <c r="J460" s="6">
        <f>IF(Main[[#This Row],[مقدار (کیلوگرم)]]&gt;0,Main[[#This Row],[مقدار (کیلوگرم)]],0)</f>
        <v>0</v>
      </c>
      <c r="K460" s="6">
        <f>-IF(Main[[#This Row],[مقدار (کیلوگرم)]]&lt;0,Main[[#This Row],[مقدار (کیلوگرم)]],0)</f>
        <v>798</v>
      </c>
      <c r="L4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0" s="7">
        <f>-IF(AND(Main[[#This Row],[مقدار (کیلوگرم)]]&lt;0,Main[[#This Row],[تاريخ میلادی]]&gt;44276),Main[[#This Row],[مقدار (کیلوگرم)]],0)</f>
        <v>798</v>
      </c>
      <c r="N460" s="6">
        <f ca="1">Main[[#This Row],[بدهکار (کیلوگرم)]]-Main[[#This Row],[بدهی تسویه نشده (کیلوگرم)]]</f>
        <v>798</v>
      </c>
      <c r="O460" s="6">
        <f ca="1">Main[[#This Row],[تفکیک]]</f>
        <v>0</v>
      </c>
      <c r="P460" s="6">
        <f ca="1">IF(Main[[#This Row],[تاخیر از سررسید]]&gt;0,Main[[#This Row],[بدهی تسویه نشده (کیلوگرم)]],0)</f>
        <v>0</v>
      </c>
      <c r="Q460" s="6">
        <f ca="1">IF(Main[[#This Row],[بدهی تسویه نشده (کیلوگرم)]]&gt;0,'گزارش فردی'!$B$7-Main[[#This Row],[تاريخ میلادی]],0)</f>
        <v>0</v>
      </c>
      <c r="R460" s="6">
        <f ca="1">IF(Main[[#This Row],[بدهی تسویه نشده (کیلوگرم)]]&gt;0,'گزارش فردی'!$B$7-Main[[#This Row],[تاريخ میلادی]]-'گزارش فردی'!$B$8,0)</f>
        <v>0</v>
      </c>
      <c r="S460" s="6">
        <f ca="1">Main[[#This Row],[روز از ارسال سفارش]]*Main[[#This Row],[بدهی تسویه نشده (کیلوگرم)]]</f>
        <v>0</v>
      </c>
      <c r="T460" s="6">
        <f ca="1">Main[[#This Row],[بدهی سررسید شده (کیلوگرم)]]*Main[[#This Row],[روز از ارسال سفارش]]</f>
        <v>0</v>
      </c>
      <c r="U460" s="6">
        <f>-SUBTOTAL(9,INDEX(Main[مقدار (کیلوگرم)],1):Main[[#This Row],[مقدار (کیلوگرم)]])</f>
        <v>23759</v>
      </c>
      <c r="V4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60" s="6">
        <f>Main[[#This Row],[تعداد کل روزهای بدهکار (روز)]]*Main[[#This Row],[مانده در خط کل (کیلوگرم)]]</f>
        <v>0</v>
      </c>
      <c r="X460" s="6">
        <f ca="1">-SUBTOTAL(9,INDEX(Main[مقدار تسویه شده (کیلوگرم)],1):Main[[#This Row],[مقدار تسویه شده (کیلوگرم)]])</f>
        <v>23759</v>
      </c>
      <c r="Y460" s="6">
        <f ca="1">IF(Main[[#This Row],[مانده در خط تسویه شده (کیلوگرم)]]&lt;&gt;0,Main[[#This Row],[تعداد کل روزهای بدهکار (روز)]],0)</f>
        <v>0</v>
      </c>
      <c r="Z460" s="6">
        <f ca="1">Main[[#This Row],[تعداد روزهای بدهکار تسویه شده (روز)]]*Main[[#This Row],[مانده در خط تسویه شده (کیلوگرم)]]</f>
        <v>0</v>
      </c>
      <c r="AA460" s="6">
        <f ca="1">SUBTOTAL(9,INDEX(Main[بدهی تسویه نشده (کیلوگرم)],1):Main[[#This Row],[بدهی تسویه نشده (کیلوگرم)]])</f>
        <v>0</v>
      </c>
      <c r="AB460" s="6">
        <f ca="1">IF(Main[[#This Row],[مانده در خط تسویه نشده (کیلوگرم)]]&lt;&gt;0,Main[[#This Row],[تعداد کل روزهای بدهکار (روز)]],0)</f>
        <v>0</v>
      </c>
      <c r="AC460" s="6">
        <f ca="1">Main[[#This Row],[تعداد روزهای بدهکار  تسویه نشده (روز)]]*Main[[#This Row],[مانده در خط تسویه نشده (کیلوگرم)]]</f>
        <v>0</v>
      </c>
      <c r="AD460" s="6">
        <f ca="1">SUBTOTAL(9,INDEX(Main[بدهی سررسید شده (کیلوگرم)],1):Main[[#This Row],[بدهی سررسید شده (کیلوگرم)]])</f>
        <v>0</v>
      </c>
      <c r="AE460" s="6">
        <f ca="1">IF(Main[[#This Row],[مانده در خط سررسید شده (کیلوگرم)]]&lt;&gt;0,Main[[#This Row],[تعداد کل روزهای بدهکار (روز)]],0)</f>
        <v>0</v>
      </c>
      <c r="AF460" s="6">
        <f ca="1">Main[[#This Row],[تعداد روزهای بدهکار سررسید شده (روز)]]*Main[[#This Row],[مانده در خط سررسید شده (کیلوگرم)]]</f>
        <v>0</v>
      </c>
    </row>
    <row r="461" spans="1:32" hidden="1" x14ac:dyDescent="0.35">
      <c r="A461" s="5">
        <f>ROW()-ROW(INDEX(Main[ردیف],1))+1</f>
        <v>459</v>
      </c>
      <c r="B461" s="31">
        <f>SUBTOTAL(2,INDEX(Main[ردیف],1):Main[[#This Row],[ردیف]])</f>
        <v>44</v>
      </c>
      <c r="C461" s="32" t="s">
        <v>551</v>
      </c>
      <c r="D461" s="32" t="str">
        <f>_xlfn.CONCAT("14",Main[[#This Row],[تاريخ]])</f>
        <v>1400/02/22</v>
      </c>
      <c r="E461" s="33">
        <v>44328</v>
      </c>
      <c r="F461" s="32">
        <v>30066</v>
      </c>
      <c r="G461" s="5" t="str">
        <f>INDEX(customer[عنوان],MATCH(Main[[#This Row],[کد ردیابی]],customer[کد],0))</f>
        <v xml:space="preserve">شیر آلات بهداشتی قهرمان </v>
      </c>
      <c r="H461">
        <v>4060</v>
      </c>
      <c r="I461" s="6">
        <f ca="1">-Main[[#This Row],[بدهی تسویه شده (کیلوگرم)]]+Main[[#This Row],[بستانکار (کیلوگرم)]]</f>
        <v>4060</v>
      </c>
      <c r="J461" s="6">
        <f>IF(Main[[#This Row],[مقدار (کیلوگرم)]]&gt;0,Main[[#This Row],[مقدار (کیلوگرم)]],0)</f>
        <v>4060</v>
      </c>
      <c r="K461" s="6">
        <f>-IF(Main[[#This Row],[مقدار (کیلوگرم)]]&lt;0,Main[[#This Row],[مقدار (کیلوگرم)]],0)</f>
        <v>0</v>
      </c>
      <c r="L4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1" s="7">
        <f>-IF(AND(Main[[#This Row],[مقدار (کیلوگرم)]]&lt;0,Main[[#This Row],[تاريخ میلادی]]&gt;44276),Main[[#This Row],[مقدار (کیلوگرم)]],0)</f>
        <v>0</v>
      </c>
      <c r="N461" s="6">
        <f ca="1">Main[[#This Row],[بدهکار (کیلوگرم)]]-Main[[#This Row],[بدهی تسویه نشده (کیلوگرم)]]</f>
        <v>0</v>
      </c>
      <c r="O461" s="6">
        <f ca="1">Main[[#This Row],[تفکیک]]</f>
        <v>0</v>
      </c>
      <c r="P461" s="6">
        <f ca="1">IF(Main[[#This Row],[تاخیر از سررسید]]&gt;0,Main[[#This Row],[بدهی تسویه نشده (کیلوگرم)]],0)</f>
        <v>0</v>
      </c>
      <c r="Q461" s="6">
        <f ca="1">IF(Main[[#This Row],[بدهی تسویه نشده (کیلوگرم)]]&gt;0,'گزارش فردی'!$B$7-Main[[#This Row],[تاريخ میلادی]],0)</f>
        <v>0</v>
      </c>
      <c r="R461" s="6">
        <f ca="1">IF(Main[[#This Row],[بدهی تسویه نشده (کیلوگرم)]]&gt;0,'گزارش فردی'!$B$7-Main[[#This Row],[تاريخ میلادی]]-'گزارش فردی'!$B$8,0)</f>
        <v>0</v>
      </c>
      <c r="S461" s="6">
        <f ca="1">Main[[#This Row],[روز از ارسال سفارش]]*Main[[#This Row],[بدهی تسویه نشده (کیلوگرم)]]</f>
        <v>0</v>
      </c>
      <c r="T461" s="6">
        <f ca="1">Main[[#This Row],[بدهی سررسید شده (کیلوگرم)]]*Main[[#This Row],[روز از ارسال سفارش]]</f>
        <v>0</v>
      </c>
      <c r="U461" s="6">
        <f>-SUBTOTAL(9,INDEX(Main[مقدار (کیلوگرم)],1):Main[[#This Row],[مقدار (کیلوگرم)]])</f>
        <v>23759</v>
      </c>
      <c r="V4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61" s="6">
        <f>Main[[#This Row],[تعداد کل روزهای بدهکار (روز)]]*Main[[#This Row],[مانده در خط کل (کیلوگرم)]]</f>
        <v>0</v>
      </c>
      <c r="X461" s="6">
        <f ca="1">-SUBTOTAL(9,INDEX(Main[مقدار تسویه شده (کیلوگرم)],1):Main[[#This Row],[مقدار تسویه شده (کیلوگرم)]])</f>
        <v>23759</v>
      </c>
      <c r="Y461" s="6">
        <f ca="1">IF(Main[[#This Row],[مانده در خط تسویه شده (کیلوگرم)]]&lt;&gt;0,Main[[#This Row],[تعداد کل روزهای بدهکار (روز)]],0)</f>
        <v>0</v>
      </c>
      <c r="Z461" s="6">
        <f ca="1">Main[[#This Row],[تعداد روزهای بدهکار تسویه شده (روز)]]*Main[[#This Row],[مانده در خط تسویه شده (کیلوگرم)]]</f>
        <v>0</v>
      </c>
      <c r="AA461" s="6">
        <f ca="1">SUBTOTAL(9,INDEX(Main[بدهی تسویه نشده (کیلوگرم)],1):Main[[#This Row],[بدهی تسویه نشده (کیلوگرم)]])</f>
        <v>0</v>
      </c>
      <c r="AB461" s="6">
        <f ca="1">IF(Main[[#This Row],[مانده در خط تسویه نشده (کیلوگرم)]]&lt;&gt;0,Main[[#This Row],[تعداد کل روزهای بدهکار (روز)]],0)</f>
        <v>0</v>
      </c>
      <c r="AC461" s="6">
        <f ca="1">Main[[#This Row],[تعداد روزهای بدهکار  تسویه نشده (روز)]]*Main[[#This Row],[مانده در خط تسویه نشده (کیلوگرم)]]</f>
        <v>0</v>
      </c>
      <c r="AD461" s="6">
        <f ca="1">SUBTOTAL(9,INDEX(Main[بدهی سررسید شده (کیلوگرم)],1):Main[[#This Row],[بدهی سررسید شده (کیلوگرم)]])</f>
        <v>0</v>
      </c>
      <c r="AE461" s="6">
        <f ca="1">IF(Main[[#This Row],[مانده در خط سررسید شده (کیلوگرم)]]&lt;&gt;0,Main[[#This Row],[تعداد کل روزهای بدهکار (روز)]],0)</f>
        <v>0</v>
      </c>
      <c r="AF461" s="6">
        <f ca="1">Main[[#This Row],[تعداد روزهای بدهکار سررسید شده (روز)]]*Main[[#This Row],[مانده در خط سررسید شده (کیلوگرم)]]</f>
        <v>0</v>
      </c>
    </row>
    <row r="462" spans="1:32" x14ac:dyDescent="0.35">
      <c r="A462" s="5">
        <f>ROW()-ROW(INDEX(Main[ردیف],1))+1</f>
        <v>460</v>
      </c>
      <c r="B462" s="31">
        <f>SUBTOTAL(2,INDEX(Main[ردیف],1):Main[[#This Row],[ردیف]])</f>
        <v>45</v>
      </c>
      <c r="C462" s="32" t="s">
        <v>551</v>
      </c>
      <c r="D462" s="32" t="str">
        <f>_xlfn.CONCAT("14",Main[[#This Row],[تاريخ]])</f>
        <v>1400/02/22</v>
      </c>
      <c r="E462" s="33">
        <v>44328</v>
      </c>
      <c r="F462" s="32">
        <v>10003</v>
      </c>
      <c r="G462" s="5" t="str">
        <f>INDEX(customer[عنوان],MATCH(Main[[#This Row],[کد ردیابی]],customer[کد],0))</f>
        <v>اصغر نورعلی</v>
      </c>
      <c r="H462">
        <v>2843</v>
      </c>
      <c r="I462" s="6">
        <f ca="1">-Main[[#This Row],[بدهی تسویه شده (کیلوگرم)]]+Main[[#This Row],[بستانکار (کیلوگرم)]]</f>
        <v>2843</v>
      </c>
      <c r="J462" s="6">
        <f>IF(Main[[#This Row],[مقدار (کیلوگرم)]]&gt;0,Main[[#This Row],[مقدار (کیلوگرم)]],0)</f>
        <v>2843</v>
      </c>
      <c r="K462" s="6">
        <f>-IF(Main[[#This Row],[مقدار (کیلوگرم)]]&lt;0,Main[[#This Row],[مقدار (کیلوگرم)]],0)</f>
        <v>0</v>
      </c>
      <c r="L4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2" s="7">
        <f>-IF(AND(Main[[#This Row],[مقدار (کیلوگرم)]]&lt;0,Main[[#This Row],[تاريخ میلادی]]&gt;44276),Main[[#This Row],[مقدار (کیلوگرم)]],0)</f>
        <v>0</v>
      </c>
      <c r="N462" s="6">
        <f ca="1">Main[[#This Row],[بدهکار (کیلوگرم)]]-Main[[#This Row],[بدهی تسویه نشده (کیلوگرم)]]</f>
        <v>0</v>
      </c>
      <c r="O462" s="6">
        <f ca="1">Main[[#This Row],[تفکیک]]</f>
        <v>0</v>
      </c>
      <c r="P462" s="6">
        <f ca="1">IF(Main[[#This Row],[تاخیر از سررسید]]&gt;0,Main[[#This Row],[بدهی تسویه نشده (کیلوگرم)]],0)</f>
        <v>0</v>
      </c>
      <c r="Q462" s="6">
        <f ca="1">IF(Main[[#This Row],[بدهی تسویه نشده (کیلوگرم)]]&gt;0,'گزارش فردی'!$B$7-Main[[#This Row],[تاريخ میلادی]],0)</f>
        <v>0</v>
      </c>
      <c r="R462" s="6">
        <f ca="1">IF(Main[[#This Row],[بدهی تسویه نشده (کیلوگرم)]]&gt;0,'گزارش فردی'!$B$7-Main[[#This Row],[تاريخ میلادی]]-'گزارش فردی'!$B$8,0)</f>
        <v>0</v>
      </c>
      <c r="S462" s="6">
        <f ca="1">Main[[#This Row],[روز از ارسال سفارش]]*Main[[#This Row],[بدهی تسویه نشده (کیلوگرم)]]</f>
        <v>0</v>
      </c>
      <c r="T462" s="6">
        <f ca="1">Main[[#This Row],[بدهی سررسید شده (کیلوگرم)]]*Main[[#This Row],[روز از ارسال سفارش]]</f>
        <v>0</v>
      </c>
      <c r="U462" s="6">
        <f>-SUBTOTAL(9,INDEX(Main[مقدار (کیلوگرم)],1):Main[[#This Row],[مقدار (کیلوگرم)]])</f>
        <v>20916</v>
      </c>
      <c r="V46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2" s="6">
        <f>Main[[#This Row],[تعداد کل روزهای بدهکار (روز)]]*Main[[#This Row],[مانده در خط کل (کیلوگرم)]]</f>
        <v>83664</v>
      </c>
      <c r="X462" s="6">
        <f ca="1">-SUBTOTAL(9,INDEX(Main[مقدار تسویه شده (کیلوگرم)],1):Main[[#This Row],[مقدار تسویه شده (کیلوگرم)]])</f>
        <v>20916</v>
      </c>
      <c r="Y462" s="6">
        <f ca="1">IF(Main[[#This Row],[مانده در خط تسویه شده (کیلوگرم)]]&lt;&gt;0,Main[[#This Row],[تعداد کل روزهای بدهکار (روز)]],0)</f>
        <v>4</v>
      </c>
      <c r="Z462" s="6">
        <f ca="1">Main[[#This Row],[تعداد روزهای بدهکار تسویه شده (روز)]]*Main[[#This Row],[مانده در خط تسویه شده (کیلوگرم)]]</f>
        <v>83664</v>
      </c>
      <c r="AA462" s="6">
        <f ca="1">SUBTOTAL(9,INDEX(Main[بدهی تسویه نشده (کیلوگرم)],1):Main[[#This Row],[بدهی تسویه نشده (کیلوگرم)]])</f>
        <v>0</v>
      </c>
      <c r="AB462" s="6">
        <f ca="1">IF(Main[[#This Row],[مانده در خط تسویه نشده (کیلوگرم)]]&lt;&gt;0,Main[[#This Row],[تعداد کل روزهای بدهکار (روز)]],0)</f>
        <v>0</v>
      </c>
      <c r="AC462" s="6">
        <f ca="1">Main[[#This Row],[تعداد روزهای بدهکار  تسویه نشده (روز)]]*Main[[#This Row],[مانده در خط تسویه نشده (کیلوگرم)]]</f>
        <v>0</v>
      </c>
      <c r="AD462" s="6">
        <f ca="1">SUBTOTAL(9,INDEX(Main[بدهی سررسید شده (کیلوگرم)],1):Main[[#This Row],[بدهی سررسید شده (کیلوگرم)]])</f>
        <v>0</v>
      </c>
      <c r="AE462" s="6">
        <f ca="1">IF(Main[[#This Row],[مانده در خط سررسید شده (کیلوگرم)]]&lt;&gt;0,Main[[#This Row],[تعداد کل روزهای بدهکار (روز)]],0)</f>
        <v>0</v>
      </c>
      <c r="AF462" s="6">
        <f ca="1">Main[[#This Row],[تعداد روزهای بدهکار سررسید شده (روز)]]*Main[[#This Row],[مانده در خط سررسید شده (کیلوگرم)]]</f>
        <v>0</v>
      </c>
    </row>
    <row r="463" spans="1:32" hidden="1" x14ac:dyDescent="0.35">
      <c r="A463" s="5">
        <f>ROW()-ROW(INDEX(Main[ردیف],1))+1</f>
        <v>461</v>
      </c>
      <c r="B463" s="31">
        <f>SUBTOTAL(2,INDEX(Main[ردیف],1):Main[[#This Row],[ردیف]])</f>
        <v>45</v>
      </c>
      <c r="C463" s="32" t="s">
        <v>551</v>
      </c>
      <c r="D463" s="32" t="str">
        <f>_xlfn.CONCAT("14",Main[[#This Row],[تاريخ]])</f>
        <v>1400/02/22</v>
      </c>
      <c r="E463" s="33">
        <v>44328</v>
      </c>
      <c r="F463" s="32">
        <v>30155</v>
      </c>
      <c r="G463" s="5" t="str">
        <f>INDEX(customer[عنوان],MATCH(Main[[#This Row],[کد ردیابی]],customer[کد],0))</f>
        <v>سری تراشی طاهری</v>
      </c>
      <c r="H463">
        <v>2308</v>
      </c>
      <c r="I463" s="6">
        <f ca="1">-Main[[#This Row],[بدهی تسویه شده (کیلوگرم)]]+Main[[#This Row],[بستانکار (کیلوگرم)]]</f>
        <v>2308</v>
      </c>
      <c r="J463" s="6">
        <f>IF(Main[[#This Row],[مقدار (کیلوگرم)]]&gt;0,Main[[#This Row],[مقدار (کیلوگرم)]],0)</f>
        <v>2308</v>
      </c>
      <c r="K463" s="6">
        <f>-IF(Main[[#This Row],[مقدار (کیلوگرم)]]&lt;0,Main[[#This Row],[مقدار (کیلوگرم)]],0)</f>
        <v>0</v>
      </c>
      <c r="L4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3" s="7">
        <f>-IF(AND(Main[[#This Row],[مقدار (کیلوگرم)]]&lt;0,Main[[#This Row],[تاريخ میلادی]]&gt;44276),Main[[#This Row],[مقدار (کیلوگرم)]],0)</f>
        <v>0</v>
      </c>
      <c r="N463" s="6">
        <f ca="1">Main[[#This Row],[بدهکار (کیلوگرم)]]-Main[[#This Row],[بدهی تسویه نشده (کیلوگرم)]]</f>
        <v>0</v>
      </c>
      <c r="O463" s="6">
        <f ca="1">Main[[#This Row],[تفکیک]]</f>
        <v>0</v>
      </c>
      <c r="P463" s="6">
        <f ca="1">IF(Main[[#This Row],[تاخیر از سررسید]]&gt;0,Main[[#This Row],[بدهی تسویه نشده (کیلوگرم)]],0)</f>
        <v>0</v>
      </c>
      <c r="Q463" s="6">
        <f ca="1">IF(Main[[#This Row],[بدهی تسویه نشده (کیلوگرم)]]&gt;0,'گزارش فردی'!$B$7-Main[[#This Row],[تاريخ میلادی]],0)</f>
        <v>0</v>
      </c>
      <c r="R463" s="6">
        <f ca="1">IF(Main[[#This Row],[بدهی تسویه نشده (کیلوگرم)]]&gt;0,'گزارش فردی'!$B$7-Main[[#This Row],[تاريخ میلادی]]-'گزارش فردی'!$B$8,0)</f>
        <v>0</v>
      </c>
      <c r="S463" s="6">
        <f ca="1">Main[[#This Row],[روز از ارسال سفارش]]*Main[[#This Row],[بدهی تسویه نشده (کیلوگرم)]]</f>
        <v>0</v>
      </c>
      <c r="T463" s="6">
        <f ca="1">Main[[#This Row],[بدهی سررسید شده (کیلوگرم)]]*Main[[#This Row],[روز از ارسال سفارش]]</f>
        <v>0</v>
      </c>
      <c r="U463" s="6">
        <f>-SUBTOTAL(9,INDEX(Main[مقدار (کیلوگرم)],1):Main[[#This Row],[مقدار (کیلوگرم)]])</f>
        <v>20916</v>
      </c>
      <c r="V463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3" s="6">
        <f>Main[[#This Row],[تعداد کل روزهای بدهکار (روز)]]*Main[[#This Row],[مانده در خط کل (کیلوگرم)]]</f>
        <v>83664</v>
      </c>
      <c r="X463" s="6">
        <f ca="1">-SUBTOTAL(9,INDEX(Main[مقدار تسویه شده (کیلوگرم)],1):Main[[#This Row],[مقدار تسویه شده (کیلوگرم)]])</f>
        <v>20916</v>
      </c>
      <c r="Y463" s="6">
        <f ca="1">IF(Main[[#This Row],[مانده در خط تسویه شده (کیلوگرم)]]&lt;&gt;0,Main[[#This Row],[تعداد کل روزهای بدهکار (روز)]],0)</f>
        <v>4</v>
      </c>
      <c r="Z463" s="6">
        <f ca="1">Main[[#This Row],[تعداد روزهای بدهکار تسویه شده (روز)]]*Main[[#This Row],[مانده در خط تسویه شده (کیلوگرم)]]</f>
        <v>83664</v>
      </c>
      <c r="AA463" s="6">
        <f ca="1">SUBTOTAL(9,INDEX(Main[بدهی تسویه نشده (کیلوگرم)],1):Main[[#This Row],[بدهی تسویه نشده (کیلوگرم)]])</f>
        <v>0</v>
      </c>
      <c r="AB463" s="6">
        <f ca="1">IF(Main[[#This Row],[مانده در خط تسویه نشده (کیلوگرم)]]&lt;&gt;0,Main[[#This Row],[تعداد کل روزهای بدهکار (روز)]],0)</f>
        <v>0</v>
      </c>
      <c r="AC463" s="6">
        <f ca="1">Main[[#This Row],[تعداد روزهای بدهکار  تسویه نشده (روز)]]*Main[[#This Row],[مانده در خط تسویه نشده (کیلوگرم)]]</f>
        <v>0</v>
      </c>
      <c r="AD463" s="6">
        <f ca="1">SUBTOTAL(9,INDEX(Main[بدهی سررسید شده (کیلوگرم)],1):Main[[#This Row],[بدهی سررسید شده (کیلوگرم)]])</f>
        <v>0</v>
      </c>
      <c r="AE463" s="6">
        <f ca="1">IF(Main[[#This Row],[مانده در خط سررسید شده (کیلوگرم)]]&lt;&gt;0,Main[[#This Row],[تعداد کل روزهای بدهکار (روز)]],0)</f>
        <v>0</v>
      </c>
      <c r="AF463" s="6">
        <f ca="1">Main[[#This Row],[تعداد روزهای بدهکار سررسید شده (روز)]]*Main[[#This Row],[مانده در خط سررسید شده (کیلوگرم)]]</f>
        <v>0</v>
      </c>
    </row>
    <row r="464" spans="1:32" hidden="1" x14ac:dyDescent="0.35">
      <c r="A464" s="5">
        <f>ROW()-ROW(INDEX(Main[ردیف],1))+1</f>
        <v>462</v>
      </c>
      <c r="B464" s="31">
        <f>SUBTOTAL(2,INDEX(Main[ردیف],1):Main[[#This Row],[ردیف]])</f>
        <v>45</v>
      </c>
      <c r="C464" s="32" t="s">
        <v>551</v>
      </c>
      <c r="D464" s="32" t="str">
        <f>_xlfn.CONCAT("14",Main[[#This Row],[تاريخ]])</f>
        <v>1400/02/22</v>
      </c>
      <c r="E464" s="33">
        <v>44328</v>
      </c>
      <c r="F464" s="32">
        <v>30030</v>
      </c>
      <c r="G464" s="5" t="str">
        <f>INDEX(customer[عنوان],MATCH(Main[[#This Row],[کد ردیابی]],customer[کد],0))</f>
        <v xml:space="preserve">تراش پارس </v>
      </c>
      <c r="H464">
        <v>927</v>
      </c>
      <c r="I464" s="6">
        <f ca="1">-Main[[#This Row],[بدهی تسویه شده (کیلوگرم)]]+Main[[#This Row],[بستانکار (کیلوگرم)]]</f>
        <v>927</v>
      </c>
      <c r="J464" s="6">
        <f>IF(Main[[#This Row],[مقدار (کیلوگرم)]]&gt;0,Main[[#This Row],[مقدار (کیلوگرم)]],0)</f>
        <v>927</v>
      </c>
      <c r="K464" s="6">
        <f>-IF(Main[[#This Row],[مقدار (کیلوگرم)]]&lt;0,Main[[#This Row],[مقدار (کیلوگرم)]],0)</f>
        <v>0</v>
      </c>
      <c r="L4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4" s="7">
        <f>-IF(AND(Main[[#This Row],[مقدار (کیلوگرم)]]&lt;0,Main[[#This Row],[تاريخ میلادی]]&gt;44276),Main[[#This Row],[مقدار (کیلوگرم)]],0)</f>
        <v>0</v>
      </c>
      <c r="N464" s="6">
        <f ca="1">Main[[#This Row],[بدهکار (کیلوگرم)]]-Main[[#This Row],[بدهی تسویه نشده (کیلوگرم)]]</f>
        <v>0</v>
      </c>
      <c r="O464" s="6">
        <f ca="1">Main[[#This Row],[تفکیک]]</f>
        <v>0</v>
      </c>
      <c r="P464" s="6">
        <f ca="1">IF(Main[[#This Row],[تاخیر از سررسید]]&gt;0,Main[[#This Row],[بدهی تسویه نشده (کیلوگرم)]],0)</f>
        <v>0</v>
      </c>
      <c r="Q464" s="6">
        <f ca="1">IF(Main[[#This Row],[بدهی تسویه نشده (کیلوگرم)]]&gt;0,'گزارش فردی'!$B$7-Main[[#This Row],[تاريخ میلادی]],0)</f>
        <v>0</v>
      </c>
      <c r="R464" s="6">
        <f ca="1">IF(Main[[#This Row],[بدهی تسویه نشده (کیلوگرم)]]&gt;0,'گزارش فردی'!$B$7-Main[[#This Row],[تاريخ میلادی]]-'گزارش فردی'!$B$8,0)</f>
        <v>0</v>
      </c>
      <c r="S464" s="6">
        <f ca="1">Main[[#This Row],[روز از ارسال سفارش]]*Main[[#This Row],[بدهی تسویه نشده (کیلوگرم)]]</f>
        <v>0</v>
      </c>
      <c r="T464" s="6">
        <f ca="1">Main[[#This Row],[بدهی سررسید شده (کیلوگرم)]]*Main[[#This Row],[روز از ارسال سفارش]]</f>
        <v>0</v>
      </c>
      <c r="U464" s="6">
        <f>-SUBTOTAL(9,INDEX(Main[مقدار (کیلوگرم)],1):Main[[#This Row],[مقدار (کیلوگرم)]])</f>
        <v>20916</v>
      </c>
      <c r="V46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4" s="6">
        <f>Main[[#This Row],[تعداد کل روزهای بدهکار (روز)]]*Main[[#This Row],[مانده در خط کل (کیلوگرم)]]</f>
        <v>83664</v>
      </c>
      <c r="X464" s="6">
        <f ca="1">-SUBTOTAL(9,INDEX(Main[مقدار تسویه شده (کیلوگرم)],1):Main[[#This Row],[مقدار تسویه شده (کیلوگرم)]])</f>
        <v>20916</v>
      </c>
      <c r="Y464" s="6">
        <f ca="1">IF(Main[[#This Row],[مانده در خط تسویه شده (کیلوگرم)]]&lt;&gt;0,Main[[#This Row],[تعداد کل روزهای بدهکار (روز)]],0)</f>
        <v>4</v>
      </c>
      <c r="Z464" s="6">
        <f ca="1">Main[[#This Row],[تعداد روزهای بدهکار تسویه شده (روز)]]*Main[[#This Row],[مانده در خط تسویه شده (کیلوگرم)]]</f>
        <v>83664</v>
      </c>
      <c r="AA464" s="6">
        <f ca="1">SUBTOTAL(9,INDEX(Main[بدهی تسویه نشده (کیلوگرم)],1):Main[[#This Row],[بدهی تسویه نشده (کیلوگرم)]])</f>
        <v>0</v>
      </c>
      <c r="AB464" s="6">
        <f ca="1">IF(Main[[#This Row],[مانده در خط تسویه نشده (کیلوگرم)]]&lt;&gt;0,Main[[#This Row],[تعداد کل روزهای بدهکار (روز)]],0)</f>
        <v>0</v>
      </c>
      <c r="AC464" s="6">
        <f ca="1">Main[[#This Row],[تعداد روزهای بدهکار  تسویه نشده (روز)]]*Main[[#This Row],[مانده در خط تسویه نشده (کیلوگرم)]]</f>
        <v>0</v>
      </c>
      <c r="AD464" s="6">
        <f ca="1">SUBTOTAL(9,INDEX(Main[بدهی سررسید شده (کیلوگرم)],1):Main[[#This Row],[بدهی سررسید شده (کیلوگرم)]])</f>
        <v>0</v>
      </c>
      <c r="AE464" s="6">
        <f ca="1">IF(Main[[#This Row],[مانده در خط سررسید شده (کیلوگرم)]]&lt;&gt;0,Main[[#This Row],[تعداد کل روزهای بدهکار (روز)]],0)</f>
        <v>0</v>
      </c>
      <c r="AF464" s="6">
        <f ca="1">Main[[#This Row],[تعداد روزهای بدهکار سررسید شده (روز)]]*Main[[#This Row],[مانده در خط سررسید شده (کیلوگرم)]]</f>
        <v>0</v>
      </c>
    </row>
    <row r="465" spans="1:32" hidden="1" x14ac:dyDescent="0.35">
      <c r="A465" s="5">
        <f>ROW()-ROW(INDEX(Main[ردیف],1))+1</f>
        <v>463</v>
      </c>
      <c r="B465" s="31">
        <f>SUBTOTAL(2,INDEX(Main[ردیف],1):Main[[#This Row],[ردیف]])</f>
        <v>45</v>
      </c>
      <c r="C465" s="32" t="s">
        <v>551</v>
      </c>
      <c r="D465" s="32" t="str">
        <f>_xlfn.CONCAT("14",Main[[#This Row],[تاريخ]])</f>
        <v>1400/02/22</v>
      </c>
      <c r="E465" s="33">
        <v>44328</v>
      </c>
      <c r="F465" s="32">
        <v>30030</v>
      </c>
      <c r="G465" s="5" t="str">
        <f>INDEX(customer[عنوان],MATCH(Main[[#This Row],[کد ردیابی]],customer[کد],0))</f>
        <v xml:space="preserve">تراش پارس </v>
      </c>
      <c r="H465">
        <v>544</v>
      </c>
      <c r="I465" s="6">
        <f ca="1">-Main[[#This Row],[بدهی تسویه شده (کیلوگرم)]]+Main[[#This Row],[بستانکار (کیلوگرم)]]</f>
        <v>544</v>
      </c>
      <c r="J465" s="6">
        <f>IF(Main[[#This Row],[مقدار (کیلوگرم)]]&gt;0,Main[[#This Row],[مقدار (کیلوگرم)]],0)</f>
        <v>544</v>
      </c>
      <c r="K465" s="6">
        <f>-IF(Main[[#This Row],[مقدار (کیلوگرم)]]&lt;0,Main[[#This Row],[مقدار (کیلوگرم)]],0)</f>
        <v>0</v>
      </c>
      <c r="L4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5" s="7">
        <f>-IF(AND(Main[[#This Row],[مقدار (کیلوگرم)]]&lt;0,Main[[#This Row],[تاريخ میلادی]]&gt;44276),Main[[#This Row],[مقدار (کیلوگرم)]],0)</f>
        <v>0</v>
      </c>
      <c r="N465" s="6">
        <f ca="1">Main[[#This Row],[بدهکار (کیلوگرم)]]-Main[[#This Row],[بدهی تسویه نشده (کیلوگرم)]]</f>
        <v>0</v>
      </c>
      <c r="O465" s="6">
        <f ca="1">Main[[#This Row],[تفکیک]]</f>
        <v>0</v>
      </c>
      <c r="P465" s="6">
        <f ca="1">IF(Main[[#This Row],[تاخیر از سررسید]]&gt;0,Main[[#This Row],[بدهی تسویه نشده (کیلوگرم)]],0)</f>
        <v>0</v>
      </c>
      <c r="Q465" s="6">
        <f ca="1">IF(Main[[#This Row],[بدهی تسویه نشده (کیلوگرم)]]&gt;0,'گزارش فردی'!$B$7-Main[[#This Row],[تاريخ میلادی]],0)</f>
        <v>0</v>
      </c>
      <c r="R465" s="6">
        <f ca="1">IF(Main[[#This Row],[بدهی تسویه نشده (کیلوگرم)]]&gt;0,'گزارش فردی'!$B$7-Main[[#This Row],[تاريخ میلادی]]-'گزارش فردی'!$B$8,0)</f>
        <v>0</v>
      </c>
      <c r="S465" s="6">
        <f ca="1">Main[[#This Row],[روز از ارسال سفارش]]*Main[[#This Row],[بدهی تسویه نشده (کیلوگرم)]]</f>
        <v>0</v>
      </c>
      <c r="T465" s="6">
        <f ca="1">Main[[#This Row],[بدهی سررسید شده (کیلوگرم)]]*Main[[#This Row],[روز از ارسال سفارش]]</f>
        <v>0</v>
      </c>
      <c r="U465" s="6">
        <f>-SUBTOTAL(9,INDEX(Main[مقدار (کیلوگرم)],1):Main[[#This Row],[مقدار (کیلوگرم)]])</f>
        <v>20916</v>
      </c>
      <c r="V465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5" s="6">
        <f>Main[[#This Row],[تعداد کل روزهای بدهکار (روز)]]*Main[[#This Row],[مانده در خط کل (کیلوگرم)]]</f>
        <v>83664</v>
      </c>
      <c r="X465" s="6">
        <f ca="1">-SUBTOTAL(9,INDEX(Main[مقدار تسویه شده (کیلوگرم)],1):Main[[#This Row],[مقدار تسویه شده (کیلوگرم)]])</f>
        <v>20916</v>
      </c>
      <c r="Y465" s="6">
        <f ca="1">IF(Main[[#This Row],[مانده در خط تسویه شده (کیلوگرم)]]&lt;&gt;0,Main[[#This Row],[تعداد کل روزهای بدهکار (روز)]],0)</f>
        <v>4</v>
      </c>
      <c r="Z465" s="6">
        <f ca="1">Main[[#This Row],[تعداد روزهای بدهکار تسویه شده (روز)]]*Main[[#This Row],[مانده در خط تسویه شده (کیلوگرم)]]</f>
        <v>83664</v>
      </c>
      <c r="AA465" s="6">
        <f ca="1">SUBTOTAL(9,INDEX(Main[بدهی تسویه نشده (کیلوگرم)],1):Main[[#This Row],[بدهی تسویه نشده (کیلوگرم)]])</f>
        <v>0</v>
      </c>
      <c r="AB465" s="6">
        <f ca="1">IF(Main[[#This Row],[مانده در خط تسویه نشده (کیلوگرم)]]&lt;&gt;0,Main[[#This Row],[تعداد کل روزهای بدهکار (روز)]],0)</f>
        <v>0</v>
      </c>
      <c r="AC465" s="6">
        <f ca="1">Main[[#This Row],[تعداد روزهای بدهکار  تسویه نشده (روز)]]*Main[[#This Row],[مانده در خط تسویه نشده (کیلوگرم)]]</f>
        <v>0</v>
      </c>
      <c r="AD465" s="6">
        <f ca="1">SUBTOTAL(9,INDEX(Main[بدهی سررسید شده (کیلوگرم)],1):Main[[#This Row],[بدهی سررسید شده (کیلوگرم)]])</f>
        <v>0</v>
      </c>
      <c r="AE465" s="6">
        <f ca="1">IF(Main[[#This Row],[مانده در خط سررسید شده (کیلوگرم)]]&lt;&gt;0,Main[[#This Row],[تعداد کل روزهای بدهکار (روز)]],0)</f>
        <v>0</v>
      </c>
      <c r="AF465" s="6">
        <f ca="1">Main[[#This Row],[تعداد روزهای بدهکار سررسید شده (روز)]]*Main[[#This Row],[مانده در خط سررسید شده (کیلوگرم)]]</f>
        <v>0</v>
      </c>
    </row>
    <row r="466" spans="1:32" hidden="1" x14ac:dyDescent="0.35">
      <c r="A466" s="5">
        <f>ROW()-ROW(INDEX(Main[ردیف],1))+1</f>
        <v>464</v>
      </c>
      <c r="B466" s="31">
        <f>SUBTOTAL(2,INDEX(Main[ردیف],1):Main[[#This Row],[ردیف]])</f>
        <v>45</v>
      </c>
      <c r="C466" s="32" t="s">
        <v>551</v>
      </c>
      <c r="D466" s="32" t="str">
        <f>_xlfn.CONCAT("14",Main[[#This Row],[تاريخ]])</f>
        <v>1400/02/22</v>
      </c>
      <c r="E466" s="33">
        <v>44328</v>
      </c>
      <c r="F466" s="32">
        <v>30140</v>
      </c>
      <c r="G466" s="5" t="str">
        <f>INDEX(customer[عنوان],MATCH(Main[[#This Row],[کد ردیابی]],customer[کد],0))</f>
        <v>شرکت سیتکو</v>
      </c>
      <c r="H466">
        <v>562</v>
      </c>
      <c r="I466" s="6">
        <f ca="1">-Main[[#This Row],[بدهی تسویه شده (کیلوگرم)]]+Main[[#This Row],[بستانکار (کیلوگرم)]]</f>
        <v>562</v>
      </c>
      <c r="J466" s="6">
        <f>IF(Main[[#This Row],[مقدار (کیلوگرم)]]&gt;0,Main[[#This Row],[مقدار (کیلوگرم)]],0)</f>
        <v>562</v>
      </c>
      <c r="K466" s="6">
        <f>-IF(Main[[#This Row],[مقدار (کیلوگرم)]]&lt;0,Main[[#This Row],[مقدار (کیلوگرم)]],0)</f>
        <v>0</v>
      </c>
      <c r="L4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6" s="7">
        <f>-IF(AND(Main[[#This Row],[مقدار (کیلوگرم)]]&lt;0,Main[[#This Row],[تاريخ میلادی]]&gt;44276),Main[[#This Row],[مقدار (کیلوگرم)]],0)</f>
        <v>0</v>
      </c>
      <c r="N466" s="6">
        <f ca="1">Main[[#This Row],[بدهکار (کیلوگرم)]]-Main[[#This Row],[بدهی تسویه نشده (کیلوگرم)]]</f>
        <v>0</v>
      </c>
      <c r="O466" s="6">
        <f ca="1">Main[[#This Row],[تفکیک]]</f>
        <v>0</v>
      </c>
      <c r="P466" s="6">
        <f ca="1">IF(Main[[#This Row],[تاخیر از سررسید]]&gt;0,Main[[#This Row],[بدهی تسویه نشده (کیلوگرم)]],0)</f>
        <v>0</v>
      </c>
      <c r="Q466" s="6">
        <f ca="1">IF(Main[[#This Row],[بدهی تسویه نشده (کیلوگرم)]]&gt;0,'گزارش فردی'!$B$7-Main[[#This Row],[تاريخ میلادی]],0)</f>
        <v>0</v>
      </c>
      <c r="R466" s="6">
        <f ca="1">IF(Main[[#This Row],[بدهی تسویه نشده (کیلوگرم)]]&gt;0,'گزارش فردی'!$B$7-Main[[#This Row],[تاريخ میلادی]]-'گزارش فردی'!$B$8,0)</f>
        <v>0</v>
      </c>
      <c r="S466" s="6">
        <f ca="1">Main[[#This Row],[روز از ارسال سفارش]]*Main[[#This Row],[بدهی تسویه نشده (کیلوگرم)]]</f>
        <v>0</v>
      </c>
      <c r="T466" s="6">
        <f ca="1">Main[[#This Row],[بدهی سررسید شده (کیلوگرم)]]*Main[[#This Row],[روز از ارسال سفارش]]</f>
        <v>0</v>
      </c>
      <c r="U466" s="6">
        <f>-SUBTOTAL(9,INDEX(Main[مقدار (کیلوگرم)],1):Main[[#This Row],[مقدار (کیلوگرم)]])</f>
        <v>20916</v>
      </c>
      <c r="V466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6" s="6">
        <f>Main[[#This Row],[تعداد کل روزهای بدهکار (روز)]]*Main[[#This Row],[مانده در خط کل (کیلوگرم)]]</f>
        <v>83664</v>
      </c>
      <c r="X466" s="6">
        <f ca="1">-SUBTOTAL(9,INDEX(Main[مقدار تسویه شده (کیلوگرم)],1):Main[[#This Row],[مقدار تسویه شده (کیلوگرم)]])</f>
        <v>20916</v>
      </c>
      <c r="Y466" s="6">
        <f ca="1">IF(Main[[#This Row],[مانده در خط تسویه شده (کیلوگرم)]]&lt;&gt;0,Main[[#This Row],[تعداد کل روزهای بدهکار (روز)]],0)</f>
        <v>4</v>
      </c>
      <c r="Z466" s="6">
        <f ca="1">Main[[#This Row],[تعداد روزهای بدهکار تسویه شده (روز)]]*Main[[#This Row],[مانده در خط تسویه شده (کیلوگرم)]]</f>
        <v>83664</v>
      </c>
      <c r="AA466" s="6">
        <f ca="1">SUBTOTAL(9,INDEX(Main[بدهی تسویه نشده (کیلوگرم)],1):Main[[#This Row],[بدهی تسویه نشده (کیلوگرم)]])</f>
        <v>0</v>
      </c>
      <c r="AB466" s="6">
        <f ca="1">IF(Main[[#This Row],[مانده در خط تسویه نشده (کیلوگرم)]]&lt;&gt;0,Main[[#This Row],[تعداد کل روزهای بدهکار (روز)]],0)</f>
        <v>0</v>
      </c>
      <c r="AC466" s="6">
        <f ca="1">Main[[#This Row],[تعداد روزهای بدهکار  تسویه نشده (روز)]]*Main[[#This Row],[مانده در خط تسویه نشده (کیلوگرم)]]</f>
        <v>0</v>
      </c>
      <c r="AD466" s="6">
        <f ca="1">SUBTOTAL(9,INDEX(Main[بدهی سررسید شده (کیلوگرم)],1):Main[[#This Row],[بدهی سررسید شده (کیلوگرم)]])</f>
        <v>0</v>
      </c>
      <c r="AE466" s="6">
        <f ca="1">IF(Main[[#This Row],[مانده در خط سررسید شده (کیلوگرم)]]&lt;&gt;0,Main[[#This Row],[تعداد کل روزهای بدهکار (روز)]],0)</f>
        <v>0</v>
      </c>
      <c r="AF466" s="6">
        <f ca="1">Main[[#This Row],[تعداد روزهای بدهکار سررسید شده (روز)]]*Main[[#This Row],[مانده در خط سررسید شده (کیلوگرم)]]</f>
        <v>0</v>
      </c>
    </row>
    <row r="467" spans="1:32" hidden="1" x14ac:dyDescent="0.35">
      <c r="A467" s="5">
        <f>ROW()-ROW(INDEX(Main[ردیف],1))+1</f>
        <v>465</v>
      </c>
      <c r="B467" s="31">
        <f>SUBTOTAL(2,INDEX(Main[ردیف],1):Main[[#This Row],[ردیف]])</f>
        <v>45</v>
      </c>
      <c r="C467" s="32" t="s">
        <v>551</v>
      </c>
      <c r="D467" s="32" t="str">
        <f>_xlfn.CONCAT("14",Main[[#This Row],[تاريخ]])</f>
        <v>1400/02/22</v>
      </c>
      <c r="E467" s="33">
        <v>44328</v>
      </c>
      <c r="F467" s="32">
        <v>30004</v>
      </c>
      <c r="G467" s="5" t="str">
        <f>INDEX(customer[عنوان],MATCH(Main[[#This Row],[کد ردیابی]],customer[کد],0))</f>
        <v>تولیدی صنعتی صفاشیر پارس</v>
      </c>
      <c r="H467">
        <v>2000</v>
      </c>
      <c r="I467" s="6">
        <f ca="1">-Main[[#This Row],[بدهی تسویه شده (کیلوگرم)]]+Main[[#This Row],[بستانکار (کیلوگرم)]]</f>
        <v>2000</v>
      </c>
      <c r="J467" s="6">
        <f>IF(Main[[#This Row],[مقدار (کیلوگرم)]]&gt;0,Main[[#This Row],[مقدار (کیلوگرم)]],0)</f>
        <v>2000</v>
      </c>
      <c r="K467" s="6">
        <f>-IF(Main[[#This Row],[مقدار (کیلوگرم)]]&lt;0,Main[[#This Row],[مقدار (کیلوگرم)]],0)</f>
        <v>0</v>
      </c>
      <c r="L4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7" s="7">
        <f>-IF(AND(Main[[#This Row],[مقدار (کیلوگرم)]]&lt;0,Main[[#This Row],[تاريخ میلادی]]&gt;44276),Main[[#This Row],[مقدار (کیلوگرم)]],0)</f>
        <v>0</v>
      </c>
      <c r="N467" s="6">
        <f ca="1">Main[[#This Row],[بدهکار (کیلوگرم)]]-Main[[#This Row],[بدهی تسویه نشده (کیلوگرم)]]</f>
        <v>0</v>
      </c>
      <c r="O467" s="6">
        <f ca="1">Main[[#This Row],[تفکیک]]</f>
        <v>0</v>
      </c>
      <c r="P467" s="6">
        <f ca="1">IF(Main[[#This Row],[تاخیر از سررسید]]&gt;0,Main[[#This Row],[بدهی تسویه نشده (کیلوگرم)]],0)</f>
        <v>0</v>
      </c>
      <c r="Q467" s="6">
        <f ca="1">IF(Main[[#This Row],[بدهی تسویه نشده (کیلوگرم)]]&gt;0,'گزارش فردی'!$B$7-Main[[#This Row],[تاريخ میلادی]],0)</f>
        <v>0</v>
      </c>
      <c r="R467" s="6">
        <f ca="1">IF(Main[[#This Row],[بدهی تسویه نشده (کیلوگرم)]]&gt;0,'گزارش فردی'!$B$7-Main[[#This Row],[تاريخ میلادی]]-'گزارش فردی'!$B$8,0)</f>
        <v>0</v>
      </c>
      <c r="S467" s="6">
        <f ca="1">Main[[#This Row],[روز از ارسال سفارش]]*Main[[#This Row],[بدهی تسویه نشده (کیلوگرم)]]</f>
        <v>0</v>
      </c>
      <c r="T467" s="6">
        <f ca="1">Main[[#This Row],[بدهی سررسید شده (کیلوگرم)]]*Main[[#This Row],[روز از ارسال سفارش]]</f>
        <v>0</v>
      </c>
      <c r="U467" s="6">
        <f>-SUBTOTAL(9,INDEX(Main[مقدار (کیلوگرم)],1):Main[[#This Row],[مقدار (کیلوگرم)]])</f>
        <v>20916</v>
      </c>
      <c r="V46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7" s="6">
        <f>Main[[#This Row],[تعداد کل روزهای بدهکار (روز)]]*Main[[#This Row],[مانده در خط کل (کیلوگرم)]]</f>
        <v>83664</v>
      </c>
      <c r="X467" s="6">
        <f ca="1">-SUBTOTAL(9,INDEX(Main[مقدار تسویه شده (کیلوگرم)],1):Main[[#This Row],[مقدار تسویه شده (کیلوگرم)]])</f>
        <v>20916</v>
      </c>
      <c r="Y467" s="6">
        <f ca="1">IF(Main[[#This Row],[مانده در خط تسویه شده (کیلوگرم)]]&lt;&gt;0,Main[[#This Row],[تعداد کل روزهای بدهکار (روز)]],0)</f>
        <v>4</v>
      </c>
      <c r="Z467" s="6">
        <f ca="1">Main[[#This Row],[تعداد روزهای بدهکار تسویه شده (روز)]]*Main[[#This Row],[مانده در خط تسویه شده (کیلوگرم)]]</f>
        <v>83664</v>
      </c>
      <c r="AA467" s="6">
        <f ca="1">SUBTOTAL(9,INDEX(Main[بدهی تسویه نشده (کیلوگرم)],1):Main[[#This Row],[بدهی تسویه نشده (کیلوگرم)]])</f>
        <v>0</v>
      </c>
      <c r="AB467" s="6">
        <f ca="1">IF(Main[[#This Row],[مانده در خط تسویه نشده (کیلوگرم)]]&lt;&gt;0,Main[[#This Row],[تعداد کل روزهای بدهکار (روز)]],0)</f>
        <v>0</v>
      </c>
      <c r="AC467" s="6">
        <f ca="1">Main[[#This Row],[تعداد روزهای بدهکار  تسویه نشده (روز)]]*Main[[#This Row],[مانده در خط تسویه نشده (کیلوگرم)]]</f>
        <v>0</v>
      </c>
      <c r="AD467" s="6">
        <f ca="1">SUBTOTAL(9,INDEX(Main[بدهی سررسید شده (کیلوگرم)],1):Main[[#This Row],[بدهی سررسید شده (کیلوگرم)]])</f>
        <v>0</v>
      </c>
      <c r="AE467" s="6">
        <f ca="1">IF(Main[[#This Row],[مانده در خط سررسید شده (کیلوگرم)]]&lt;&gt;0,Main[[#This Row],[تعداد کل روزهای بدهکار (روز)]],0)</f>
        <v>0</v>
      </c>
      <c r="AF467" s="6">
        <f ca="1">Main[[#This Row],[تعداد روزهای بدهکار سررسید شده (روز)]]*Main[[#This Row],[مانده در خط سررسید شده (کیلوگرم)]]</f>
        <v>0</v>
      </c>
    </row>
    <row r="468" spans="1:32" hidden="1" x14ac:dyDescent="0.35">
      <c r="A468" s="5">
        <f>ROW()-ROW(INDEX(Main[ردیف],1))+1</f>
        <v>466</v>
      </c>
      <c r="B468" s="31">
        <f>SUBTOTAL(2,INDEX(Main[ردیف],1):Main[[#This Row],[ردیف]])</f>
        <v>45</v>
      </c>
      <c r="C468" s="32" t="s">
        <v>551</v>
      </c>
      <c r="D468" s="32" t="str">
        <f>_xlfn.CONCAT("14",Main[[#This Row],[تاريخ]])</f>
        <v>1400/02/22</v>
      </c>
      <c r="E468" s="33">
        <v>44328</v>
      </c>
      <c r="F468" s="32">
        <v>30155</v>
      </c>
      <c r="G468" s="5" t="str">
        <f>INDEX(customer[عنوان],MATCH(Main[[#This Row],[کد ردیابی]],customer[کد],0))</f>
        <v>سری تراشی طاهری</v>
      </c>
      <c r="H468">
        <v>177</v>
      </c>
      <c r="I468" s="6">
        <f ca="1">-Main[[#This Row],[بدهی تسویه شده (کیلوگرم)]]+Main[[#This Row],[بستانکار (کیلوگرم)]]</f>
        <v>177</v>
      </c>
      <c r="J468" s="6">
        <f>IF(Main[[#This Row],[مقدار (کیلوگرم)]]&gt;0,Main[[#This Row],[مقدار (کیلوگرم)]],0)</f>
        <v>177</v>
      </c>
      <c r="K468" s="6">
        <f>-IF(Main[[#This Row],[مقدار (کیلوگرم)]]&lt;0,Main[[#This Row],[مقدار (کیلوگرم)]],0)</f>
        <v>0</v>
      </c>
      <c r="L4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8" s="7">
        <f>-IF(AND(Main[[#This Row],[مقدار (کیلوگرم)]]&lt;0,Main[[#This Row],[تاريخ میلادی]]&gt;44276),Main[[#This Row],[مقدار (کیلوگرم)]],0)</f>
        <v>0</v>
      </c>
      <c r="N468" s="6">
        <f ca="1">Main[[#This Row],[بدهکار (کیلوگرم)]]-Main[[#This Row],[بدهی تسویه نشده (کیلوگرم)]]</f>
        <v>0</v>
      </c>
      <c r="O468" s="6">
        <f ca="1">Main[[#This Row],[تفکیک]]</f>
        <v>0</v>
      </c>
      <c r="P468" s="6">
        <f ca="1">IF(Main[[#This Row],[تاخیر از سررسید]]&gt;0,Main[[#This Row],[بدهی تسویه نشده (کیلوگرم)]],0)</f>
        <v>0</v>
      </c>
      <c r="Q468" s="6">
        <f ca="1">IF(Main[[#This Row],[بدهی تسویه نشده (کیلوگرم)]]&gt;0,'گزارش فردی'!$B$7-Main[[#This Row],[تاريخ میلادی]],0)</f>
        <v>0</v>
      </c>
      <c r="R468" s="6">
        <f ca="1">IF(Main[[#This Row],[بدهی تسویه نشده (کیلوگرم)]]&gt;0,'گزارش فردی'!$B$7-Main[[#This Row],[تاريخ میلادی]]-'گزارش فردی'!$B$8,0)</f>
        <v>0</v>
      </c>
      <c r="S468" s="6">
        <f ca="1">Main[[#This Row],[روز از ارسال سفارش]]*Main[[#This Row],[بدهی تسویه نشده (کیلوگرم)]]</f>
        <v>0</v>
      </c>
      <c r="T468" s="6">
        <f ca="1">Main[[#This Row],[بدهی سررسید شده (کیلوگرم)]]*Main[[#This Row],[روز از ارسال سفارش]]</f>
        <v>0</v>
      </c>
      <c r="U468" s="6">
        <f>-SUBTOTAL(9,INDEX(Main[مقدار (کیلوگرم)],1):Main[[#This Row],[مقدار (کیلوگرم)]])</f>
        <v>20916</v>
      </c>
      <c r="V46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8" s="6">
        <f>Main[[#This Row],[تعداد کل روزهای بدهکار (روز)]]*Main[[#This Row],[مانده در خط کل (کیلوگرم)]]</f>
        <v>83664</v>
      </c>
      <c r="X468" s="6">
        <f ca="1">-SUBTOTAL(9,INDEX(Main[مقدار تسویه شده (کیلوگرم)],1):Main[[#This Row],[مقدار تسویه شده (کیلوگرم)]])</f>
        <v>20916</v>
      </c>
      <c r="Y468" s="6">
        <f ca="1">IF(Main[[#This Row],[مانده در خط تسویه شده (کیلوگرم)]]&lt;&gt;0,Main[[#This Row],[تعداد کل روزهای بدهکار (روز)]],0)</f>
        <v>4</v>
      </c>
      <c r="Z468" s="6">
        <f ca="1">Main[[#This Row],[تعداد روزهای بدهکار تسویه شده (روز)]]*Main[[#This Row],[مانده در خط تسویه شده (کیلوگرم)]]</f>
        <v>83664</v>
      </c>
      <c r="AA468" s="6">
        <f ca="1">SUBTOTAL(9,INDEX(Main[بدهی تسویه نشده (کیلوگرم)],1):Main[[#This Row],[بدهی تسویه نشده (کیلوگرم)]])</f>
        <v>0</v>
      </c>
      <c r="AB468" s="6">
        <f ca="1">IF(Main[[#This Row],[مانده در خط تسویه نشده (کیلوگرم)]]&lt;&gt;0,Main[[#This Row],[تعداد کل روزهای بدهکار (روز)]],0)</f>
        <v>0</v>
      </c>
      <c r="AC468" s="6">
        <f ca="1">Main[[#This Row],[تعداد روزهای بدهکار  تسویه نشده (روز)]]*Main[[#This Row],[مانده در خط تسویه نشده (کیلوگرم)]]</f>
        <v>0</v>
      </c>
      <c r="AD468" s="6">
        <f ca="1">SUBTOTAL(9,INDEX(Main[بدهی سررسید شده (کیلوگرم)],1):Main[[#This Row],[بدهی سررسید شده (کیلوگرم)]])</f>
        <v>0</v>
      </c>
      <c r="AE468" s="6">
        <f ca="1">IF(Main[[#This Row],[مانده در خط سررسید شده (کیلوگرم)]]&lt;&gt;0,Main[[#This Row],[تعداد کل روزهای بدهکار (روز)]],0)</f>
        <v>0</v>
      </c>
      <c r="AF468" s="6">
        <f ca="1">Main[[#This Row],[تعداد روزهای بدهکار سررسید شده (روز)]]*Main[[#This Row],[مانده در خط سررسید شده (کیلوگرم)]]</f>
        <v>0</v>
      </c>
    </row>
    <row r="469" spans="1:32" hidden="1" x14ac:dyDescent="0.35">
      <c r="A469" s="5">
        <f>ROW()-ROW(INDEX(Main[ردیف],1))+1</f>
        <v>467</v>
      </c>
      <c r="B469" s="31">
        <f>SUBTOTAL(2,INDEX(Main[ردیف],1):Main[[#This Row],[ردیف]])</f>
        <v>45</v>
      </c>
      <c r="C469" s="32" t="s">
        <v>551</v>
      </c>
      <c r="D469" s="32" t="str">
        <f>_xlfn.CONCAT("14",Main[[#This Row],[تاريخ]])</f>
        <v>1400/02/22</v>
      </c>
      <c r="E469" s="33">
        <v>44328</v>
      </c>
      <c r="F469" s="32">
        <v>30186</v>
      </c>
      <c r="G469" s="5" t="str">
        <f>INDEX(customer[عنوان],MATCH(Main[[#This Row],[کد ردیابی]],customer[کد],0))</f>
        <v>سارا گاز</v>
      </c>
      <c r="H469">
        <v>1142</v>
      </c>
      <c r="I469" s="6">
        <f ca="1">-Main[[#This Row],[بدهی تسویه شده (کیلوگرم)]]+Main[[#This Row],[بستانکار (کیلوگرم)]]</f>
        <v>1142</v>
      </c>
      <c r="J469" s="6">
        <f>IF(Main[[#This Row],[مقدار (کیلوگرم)]]&gt;0,Main[[#This Row],[مقدار (کیلوگرم)]],0)</f>
        <v>1142</v>
      </c>
      <c r="K469" s="6">
        <f>-IF(Main[[#This Row],[مقدار (کیلوگرم)]]&lt;0,Main[[#This Row],[مقدار (کیلوگرم)]],0)</f>
        <v>0</v>
      </c>
      <c r="L4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9" s="7">
        <f>-IF(AND(Main[[#This Row],[مقدار (کیلوگرم)]]&lt;0,Main[[#This Row],[تاريخ میلادی]]&gt;44276),Main[[#This Row],[مقدار (کیلوگرم)]],0)</f>
        <v>0</v>
      </c>
      <c r="N469" s="6">
        <f ca="1">Main[[#This Row],[بدهکار (کیلوگرم)]]-Main[[#This Row],[بدهی تسویه نشده (کیلوگرم)]]</f>
        <v>0</v>
      </c>
      <c r="O469" s="6">
        <f ca="1">Main[[#This Row],[تفکیک]]</f>
        <v>0</v>
      </c>
      <c r="P469" s="6">
        <f ca="1">IF(Main[[#This Row],[تاخیر از سررسید]]&gt;0,Main[[#This Row],[بدهی تسویه نشده (کیلوگرم)]],0)</f>
        <v>0</v>
      </c>
      <c r="Q469" s="6">
        <f ca="1">IF(Main[[#This Row],[بدهی تسویه نشده (کیلوگرم)]]&gt;0,'گزارش فردی'!$B$7-Main[[#This Row],[تاريخ میلادی]],0)</f>
        <v>0</v>
      </c>
      <c r="R469" s="6">
        <f ca="1">IF(Main[[#This Row],[بدهی تسویه نشده (کیلوگرم)]]&gt;0,'گزارش فردی'!$B$7-Main[[#This Row],[تاريخ میلادی]]-'گزارش فردی'!$B$8,0)</f>
        <v>0</v>
      </c>
      <c r="S469" s="6">
        <f ca="1">Main[[#This Row],[روز از ارسال سفارش]]*Main[[#This Row],[بدهی تسویه نشده (کیلوگرم)]]</f>
        <v>0</v>
      </c>
      <c r="T469" s="6">
        <f ca="1">Main[[#This Row],[بدهی سررسید شده (کیلوگرم)]]*Main[[#This Row],[روز از ارسال سفارش]]</f>
        <v>0</v>
      </c>
      <c r="U469" s="6">
        <f>-SUBTOTAL(9,INDEX(Main[مقدار (کیلوگرم)],1):Main[[#This Row],[مقدار (کیلوگرم)]])</f>
        <v>20916</v>
      </c>
      <c r="V46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9" s="6">
        <f>Main[[#This Row],[تعداد کل روزهای بدهکار (روز)]]*Main[[#This Row],[مانده در خط کل (کیلوگرم)]]</f>
        <v>83664</v>
      </c>
      <c r="X469" s="6">
        <f ca="1">-SUBTOTAL(9,INDEX(Main[مقدار تسویه شده (کیلوگرم)],1):Main[[#This Row],[مقدار تسویه شده (کیلوگرم)]])</f>
        <v>20916</v>
      </c>
      <c r="Y469" s="6">
        <f ca="1">IF(Main[[#This Row],[مانده در خط تسویه شده (کیلوگرم)]]&lt;&gt;0,Main[[#This Row],[تعداد کل روزهای بدهکار (روز)]],0)</f>
        <v>4</v>
      </c>
      <c r="Z469" s="6">
        <f ca="1">Main[[#This Row],[تعداد روزهای بدهکار تسویه شده (روز)]]*Main[[#This Row],[مانده در خط تسویه شده (کیلوگرم)]]</f>
        <v>83664</v>
      </c>
      <c r="AA469" s="6">
        <f ca="1">SUBTOTAL(9,INDEX(Main[بدهی تسویه نشده (کیلوگرم)],1):Main[[#This Row],[بدهی تسویه نشده (کیلوگرم)]])</f>
        <v>0</v>
      </c>
      <c r="AB469" s="6">
        <f ca="1">IF(Main[[#This Row],[مانده در خط تسویه نشده (کیلوگرم)]]&lt;&gt;0,Main[[#This Row],[تعداد کل روزهای بدهکار (روز)]],0)</f>
        <v>0</v>
      </c>
      <c r="AC469" s="6">
        <f ca="1">Main[[#This Row],[تعداد روزهای بدهکار  تسویه نشده (روز)]]*Main[[#This Row],[مانده در خط تسویه نشده (کیلوگرم)]]</f>
        <v>0</v>
      </c>
      <c r="AD469" s="6">
        <f ca="1">SUBTOTAL(9,INDEX(Main[بدهی سررسید شده (کیلوگرم)],1):Main[[#This Row],[بدهی سررسید شده (کیلوگرم)]])</f>
        <v>0</v>
      </c>
      <c r="AE469" s="6">
        <f ca="1">IF(Main[[#This Row],[مانده در خط سررسید شده (کیلوگرم)]]&lt;&gt;0,Main[[#This Row],[تعداد کل روزهای بدهکار (روز)]],0)</f>
        <v>0</v>
      </c>
      <c r="AF469" s="6">
        <f ca="1">Main[[#This Row],[تعداد روزهای بدهکار سررسید شده (روز)]]*Main[[#This Row],[مانده در خط سررسید شده (کیلوگرم)]]</f>
        <v>0</v>
      </c>
    </row>
    <row r="470" spans="1:32" hidden="1" x14ac:dyDescent="0.35">
      <c r="A470" s="5">
        <f>ROW()-ROW(INDEX(Main[ردیف],1))+1</f>
        <v>468</v>
      </c>
      <c r="B470" s="31">
        <f>SUBTOTAL(2,INDEX(Main[ردیف],1):Main[[#This Row],[ردیف]])</f>
        <v>45</v>
      </c>
      <c r="C470" s="32" t="s">
        <v>551</v>
      </c>
      <c r="D470" s="32" t="str">
        <f>_xlfn.CONCAT("14",Main[[#This Row],[تاريخ]])</f>
        <v>1400/02/22</v>
      </c>
      <c r="E470" s="33">
        <v>44328</v>
      </c>
      <c r="F470" s="32">
        <v>30009</v>
      </c>
      <c r="G470" s="5" t="str">
        <f>INDEX(customer[عنوان],MATCH(Main[[#This Row],[کد ردیابی]],customer[کد],0))</f>
        <v>شرکت ایمن تک پیشرو</v>
      </c>
      <c r="H470">
        <v>1313</v>
      </c>
      <c r="I470" s="6">
        <f ca="1">-Main[[#This Row],[بدهی تسویه شده (کیلوگرم)]]+Main[[#This Row],[بستانکار (کیلوگرم)]]</f>
        <v>1313</v>
      </c>
      <c r="J470" s="6">
        <f>IF(Main[[#This Row],[مقدار (کیلوگرم)]]&gt;0,Main[[#This Row],[مقدار (کیلوگرم)]],0)</f>
        <v>1313</v>
      </c>
      <c r="K470" s="6">
        <f>-IF(Main[[#This Row],[مقدار (کیلوگرم)]]&lt;0,Main[[#This Row],[مقدار (کیلوگرم)]],0)</f>
        <v>0</v>
      </c>
      <c r="L4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0" s="7">
        <f>-IF(AND(Main[[#This Row],[مقدار (کیلوگرم)]]&lt;0,Main[[#This Row],[تاريخ میلادی]]&gt;44276),Main[[#This Row],[مقدار (کیلوگرم)]],0)</f>
        <v>0</v>
      </c>
      <c r="N470" s="6">
        <f ca="1">Main[[#This Row],[بدهکار (کیلوگرم)]]-Main[[#This Row],[بدهی تسویه نشده (کیلوگرم)]]</f>
        <v>0</v>
      </c>
      <c r="O470" s="6">
        <f ca="1">Main[[#This Row],[تفکیک]]</f>
        <v>0</v>
      </c>
      <c r="P470" s="6">
        <f ca="1">IF(Main[[#This Row],[تاخیر از سررسید]]&gt;0,Main[[#This Row],[بدهی تسویه نشده (کیلوگرم)]],0)</f>
        <v>0</v>
      </c>
      <c r="Q470" s="6">
        <f ca="1">IF(Main[[#This Row],[بدهی تسویه نشده (کیلوگرم)]]&gt;0,'گزارش فردی'!$B$7-Main[[#This Row],[تاريخ میلادی]],0)</f>
        <v>0</v>
      </c>
      <c r="R470" s="6">
        <f ca="1">IF(Main[[#This Row],[بدهی تسویه نشده (کیلوگرم)]]&gt;0,'گزارش فردی'!$B$7-Main[[#This Row],[تاريخ میلادی]]-'گزارش فردی'!$B$8,0)</f>
        <v>0</v>
      </c>
      <c r="S470" s="6">
        <f ca="1">Main[[#This Row],[روز از ارسال سفارش]]*Main[[#This Row],[بدهی تسویه نشده (کیلوگرم)]]</f>
        <v>0</v>
      </c>
      <c r="T470" s="6">
        <f ca="1">Main[[#This Row],[بدهی سررسید شده (کیلوگرم)]]*Main[[#This Row],[روز از ارسال سفارش]]</f>
        <v>0</v>
      </c>
      <c r="U470" s="6">
        <f>-SUBTOTAL(9,INDEX(Main[مقدار (کیلوگرم)],1):Main[[#This Row],[مقدار (کیلوگرم)]])</f>
        <v>20916</v>
      </c>
      <c r="V47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70" s="6">
        <f>Main[[#This Row],[تعداد کل روزهای بدهکار (روز)]]*Main[[#This Row],[مانده در خط کل (کیلوگرم)]]</f>
        <v>83664</v>
      </c>
      <c r="X470" s="6">
        <f ca="1">-SUBTOTAL(9,INDEX(Main[مقدار تسویه شده (کیلوگرم)],1):Main[[#This Row],[مقدار تسویه شده (کیلوگرم)]])</f>
        <v>20916</v>
      </c>
      <c r="Y470" s="6">
        <f ca="1">IF(Main[[#This Row],[مانده در خط تسویه شده (کیلوگرم)]]&lt;&gt;0,Main[[#This Row],[تعداد کل روزهای بدهکار (روز)]],0)</f>
        <v>4</v>
      </c>
      <c r="Z470" s="6">
        <f ca="1">Main[[#This Row],[تعداد روزهای بدهکار تسویه شده (روز)]]*Main[[#This Row],[مانده در خط تسویه شده (کیلوگرم)]]</f>
        <v>83664</v>
      </c>
      <c r="AA470" s="6">
        <f ca="1">SUBTOTAL(9,INDEX(Main[بدهی تسویه نشده (کیلوگرم)],1):Main[[#This Row],[بدهی تسویه نشده (کیلوگرم)]])</f>
        <v>0</v>
      </c>
      <c r="AB470" s="6">
        <f ca="1">IF(Main[[#This Row],[مانده در خط تسویه نشده (کیلوگرم)]]&lt;&gt;0,Main[[#This Row],[تعداد کل روزهای بدهکار (روز)]],0)</f>
        <v>0</v>
      </c>
      <c r="AC470" s="6">
        <f ca="1">Main[[#This Row],[تعداد روزهای بدهکار  تسویه نشده (روز)]]*Main[[#This Row],[مانده در خط تسویه نشده (کیلوگرم)]]</f>
        <v>0</v>
      </c>
      <c r="AD470" s="6">
        <f ca="1">SUBTOTAL(9,INDEX(Main[بدهی سررسید شده (کیلوگرم)],1):Main[[#This Row],[بدهی سررسید شده (کیلوگرم)]])</f>
        <v>0</v>
      </c>
      <c r="AE470" s="6">
        <f ca="1">IF(Main[[#This Row],[مانده در خط سررسید شده (کیلوگرم)]]&lt;&gt;0,Main[[#This Row],[تعداد کل روزهای بدهکار (روز)]],0)</f>
        <v>0</v>
      </c>
      <c r="AF470" s="6">
        <f ca="1">Main[[#This Row],[تعداد روزهای بدهکار سررسید شده (روز)]]*Main[[#This Row],[مانده در خط سررسید شده (کیلوگرم)]]</f>
        <v>0</v>
      </c>
    </row>
    <row r="471" spans="1:32" hidden="1" x14ac:dyDescent="0.35">
      <c r="A471" s="5">
        <f>ROW()-ROW(INDEX(Main[ردیف],1))+1</f>
        <v>469</v>
      </c>
      <c r="B471" s="31">
        <f>SUBTOTAL(2,INDEX(Main[ردیف],1):Main[[#This Row],[ردیف]])</f>
        <v>45</v>
      </c>
      <c r="C471" s="32" t="s">
        <v>556</v>
      </c>
      <c r="D471" s="32" t="str">
        <f>_xlfn.CONCAT("14",Main[[#This Row],[تاريخ]])</f>
        <v>1400/02/25</v>
      </c>
      <c r="E471" s="33">
        <v>44331</v>
      </c>
      <c r="F471" s="32">
        <v>10084</v>
      </c>
      <c r="G471" s="5" t="str">
        <f>INDEX(customer[عنوان],MATCH(Main[[#This Row],[کد ردیابی]],customer[کد],0))</f>
        <v xml:space="preserve">سیدحمید کاظمی </v>
      </c>
      <c r="H471">
        <v>-1454</v>
      </c>
      <c r="I471" s="6">
        <f ca="1">-Main[[#This Row],[بدهی تسویه شده (کیلوگرم)]]+Main[[#This Row],[بستانکار (کیلوگرم)]]</f>
        <v>-1454</v>
      </c>
      <c r="J471" s="6">
        <f>IF(Main[[#This Row],[مقدار (کیلوگرم)]]&gt;0,Main[[#This Row],[مقدار (کیلوگرم)]],0)</f>
        <v>0</v>
      </c>
      <c r="K471" s="6">
        <f>-IF(Main[[#This Row],[مقدار (کیلوگرم)]]&lt;0,Main[[#This Row],[مقدار (کیلوگرم)]],0)</f>
        <v>1454</v>
      </c>
      <c r="L4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1" s="7">
        <f>-IF(AND(Main[[#This Row],[مقدار (کیلوگرم)]]&lt;0,Main[[#This Row],[تاريخ میلادی]]&gt;44276),Main[[#This Row],[مقدار (کیلوگرم)]],0)</f>
        <v>1454</v>
      </c>
      <c r="N471" s="6">
        <f ca="1">Main[[#This Row],[بدهکار (کیلوگرم)]]-Main[[#This Row],[بدهی تسویه نشده (کیلوگرم)]]</f>
        <v>1454</v>
      </c>
      <c r="O471" s="6">
        <f ca="1">Main[[#This Row],[تفکیک]]</f>
        <v>0</v>
      </c>
      <c r="P471" s="6">
        <f ca="1">IF(Main[[#This Row],[تاخیر از سررسید]]&gt;0,Main[[#This Row],[بدهی تسویه نشده (کیلوگرم)]],0)</f>
        <v>0</v>
      </c>
      <c r="Q471" s="6">
        <f ca="1">IF(Main[[#This Row],[بدهی تسویه نشده (کیلوگرم)]]&gt;0,'گزارش فردی'!$B$7-Main[[#This Row],[تاريخ میلادی]],0)</f>
        <v>0</v>
      </c>
      <c r="R471" s="6">
        <f ca="1">IF(Main[[#This Row],[بدهی تسویه نشده (کیلوگرم)]]&gt;0,'گزارش فردی'!$B$7-Main[[#This Row],[تاريخ میلادی]]-'گزارش فردی'!$B$8,0)</f>
        <v>0</v>
      </c>
      <c r="S471" s="6">
        <f ca="1">Main[[#This Row],[روز از ارسال سفارش]]*Main[[#This Row],[بدهی تسویه نشده (کیلوگرم)]]</f>
        <v>0</v>
      </c>
      <c r="T471" s="6">
        <f ca="1">Main[[#This Row],[بدهی سررسید شده (کیلوگرم)]]*Main[[#This Row],[روز از ارسال سفارش]]</f>
        <v>0</v>
      </c>
      <c r="U471" s="6">
        <f>-SUBTOTAL(9,INDEX(Main[مقدار (کیلوگرم)],1):Main[[#This Row],[مقدار (کیلوگرم)]])</f>
        <v>20916</v>
      </c>
      <c r="V4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1" s="6">
        <f>Main[[#This Row],[تعداد کل روزهای بدهکار (روز)]]*Main[[#This Row],[مانده در خط کل (کیلوگرم)]]</f>
        <v>20916</v>
      </c>
      <c r="X471" s="6">
        <f ca="1">-SUBTOTAL(9,INDEX(Main[مقدار تسویه شده (کیلوگرم)],1):Main[[#This Row],[مقدار تسویه شده (کیلوگرم)]])</f>
        <v>20916</v>
      </c>
      <c r="Y471" s="6">
        <f ca="1">IF(Main[[#This Row],[مانده در خط تسویه شده (کیلوگرم)]]&lt;&gt;0,Main[[#This Row],[تعداد کل روزهای بدهکار (روز)]],0)</f>
        <v>1</v>
      </c>
      <c r="Z471" s="6">
        <f ca="1">Main[[#This Row],[تعداد روزهای بدهکار تسویه شده (روز)]]*Main[[#This Row],[مانده در خط تسویه شده (کیلوگرم)]]</f>
        <v>20916</v>
      </c>
      <c r="AA471" s="6">
        <f ca="1">SUBTOTAL(9,INDEX(Main[بدهی تسویه نشده (کیلوگرم)],1):Main[[#This Row],[بدهی تسویه نشده (کیلوگرم)]])</f>
        <v>0</v>
      </c>
      <c r="AB471" s="6">
        <f ca="1">IF(Main[[#This Row],[مانده در خط تسویه نشده (کیلوگرم)]]&lt;&gt;0,Main[[#This Row],[تعداد کل روزهای بدهکار (روز)]],0)</f>
        <v>0</v>
      </c>
      <c r="AC471" s="6">
        <f ca="1">Main[[#This Row],[تعداد روزهای بدهکار  تسویه نشده (روز)]]*Main[[#This Row],[مانده در خط تسویه نشده (کیلوگرم)]]</f>
        <v>0</v>
      </c>
      <c r="AD471" s="6">
        <f ca="1">SUBTOTAL(9,INDEX(Main[بدهی سررسید شده (کیلوگرم)],1):Main[[#This Row],[بدهی سررسید شده (کیلوگرم)]])</f>
        <v>0</v>
      </c>
      <c r="AE471" s="6">
        <f ca="1">IF(Main[[#This Row],[مانده در خط سررسید شده (کیلوگرم)]]&lt;&gt;0,Main[[#This Row],[تعداد کل روزهای بدهکار (روز)]],0)</f>
        <v>0</v>
      </c>
      <c r="AF471" s="6">
        <f ca="1">Main[[#This Row],[تعداد روزهای بدهکار سررسید شده (روز)]]*Main[[#This Row],[مانده در خط سررسید شده (کیلوگرم)]]</f>
        <v>0</v>
      </c>
    </row>
    <row r="472" spans="1:32" hidden="1" x14ac:dyDescent="0.35">
      <c r="A472" s="5">
        <f>ROW()-ROW(INDEX(Main[ردیف],1))+1</f>
        <v>470</v>
      </c>
      <c r="B472" s="31">
        <f>SUBTOTAL(2,INDEX(Main[ردیف],1):Main[[#This Row],[ردیف]])</f>
        <v>45</v>
      </c>
      <c r="C472" s="32" t="s">
        <v>556</v>
      </c>
      <c r="D472" s="32" t="str">
        <f>_xlfn.CONCAT("14",Main[[#This Row],[تاريخ]])</f>
        <v>1400/02/25</v>
      </c>
      <c r="E472" s="33">
        <v>44331</v>
      </c>
      <c r="F472" s="32">
        <v>10055</v>
      </c>
      <c r="G472" s="5" t="str">
        <f>INDEX(customer[عنوان],MATCH(Main[[#This Row],[کد ردیابی]],customer[کد],0))</f>
        <v xml:space="preserve">مریم فیض آبادی  </v>
      </c>
      <c r="H472">
        <v>4674</v>
      </c>
      <c r="I472" s="6">
        <f ca="1">-Main[[#This Row],[بدهی تسویه شده (کیلوگرم)]]+Main[[#This Row],[بستانکار (کیلوگرم)]]</f>
        <v>4674</v>
      </c>
      <c r="J472" s="6">
        <f>IF(Main[[#This Row],[مقدار (کیلوگرم)]]&gt;0,Main[[#This Row],[مقدار (کیلوگرم)]],0)</f>
        <v>4674</v>
      </c>
      <c r="K472" s="6">
        <f>-IF(Main[[#This Row],[مقدار (کیلوگرم)]]&lt;0,Main[[#This Row],[مقدار (کیلوگرم)]],0)</f>
        <v>0</v>
      </c>
      <c r="L4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2" s="7">
        <f>-IF(AND(Main[[#This Row],[مقدار (کیلوگرم)]]&lt;0,Main[[#This Row],[تاريخ میلادی]]&gt;44276),Main[[#This Row],[مقدار (کیلوگرم)]],0)</f>
        <v>0</v>
      </c>
      <c r="N472" s="6">
        <f ca="1">Main[[#This Row],[بدهکار (کیلوگرم)]]-Main[[#This Row],[بدهی تسویه نشده (کیلوگرم)]]</f>
        <v>0</v>
      </c>
      <c r="O472" s="6">
        <f ca="1">Main[[#This Row],[تفکیک]]</f>
        <v>0</v>
      </c>
      <c r="P472" s="6">
        <f ca="1">IF(Main[[#This Row],[تاخیر از سررسید]]&gt;0,Main[[#This Row],[بدهی تسویه نشده (کیلوگرم)]],0)</f>
        <v>0</v>
      </c>
      <c r="Q472" s="6">
        <f ca="1">IF(Main[[#This Row],[بدهی تسویه نشده (کیلوگرم)]]&gt;0,'گزارش فردی'!$B$7-Main[[#This Row],[تاريخ میلادی]],0)</f>
        <v>0</v>
      </c>
      <c r="R472" s="6">
        <f ca="1">IF(Main[[#This Row],[بدهی تسویه نشده (کیلوگرم)]]&gt;0,'گزارش فردی'!$B$7-Main[[#This Row],[تاريخ میلادی]]-'گزارش فردی'!$B$8,0)</f>
        <v>0</v>
      </c>
      <c r="S472" s="6">
        <f ca="1">Main[[#This Row],[روز از ارسال سفارش]]*Main[[#This Row],[بدهی تسویه نشده (کیلوگرم)]]</f>
        <v>0</v>
      </c>
      <c r="T472" s="6">
        <f ca="1">Main[[#This Row],[بدهی سررسید شده (کیلوگرم)]]*Main[[#This Row],[روز از ارسال سفارش]]</f>
        <v>0</v>
      </c>
      <c r="U472" s="6">
        <f>-SUBTOTAL(9,INDEX(Main[مقدار (کیلوگرم)],1):Main[[#This Row],[مقدار (کیلوگرم)]])</f>
        <v>20916</v>
      </c>
      <c r="V4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2" s="6">
        <f>Main[[#This Row],[تعداد کل روزهای بدهکار (روز)]]*Main[[#This Row],[مانده در خط کل (کیلوگرم)]]</f>
        <v>20916</v>
      </c>
      <c r="X472" s="6">
        <f ca="1">-SUBTOTAL(9,INDEX(Main[مقدار تسویه شده (کیلوگرم)],1):Main[[#This Row],[مقدار تسویه شده (کیلوگرم)]])</f>
        <v>20916</v>
      </c>
      <c r="Y472" s="6">
        <f ca="1">IF(Main[[#This Row],[مانده در خط تسویه شده (کیلوگرم)]]&lt;&gt;0,Main[[#This Row],[تعداد کل روزهای بدهکار (روز)]],0)</f>
        <v>1</v>
      </c>
      <c r="Z472" s="6">
        <f ca="1">Main[[#This Row],[تعداد روزهای بدهکار تسویه شده (روز)]]*Main[[#This Row],[مانده در خط تسویه شده (کیلوگرم)]]</f>
        <v>20916</v>
      </c>
      <c r="AA472" s="6">
        <f ca="1">SUBTOTAL(9,INDEX(Main[بدهی تسویه نشده (کیلوگرم)],1):Main[[#This Row],[بدهی تسویه نشده (کیلوگرم)]])</f>
        <v>0</v>
      </c>
      <c r="AB472" s="6">
        <f ca="1">IF(Main[[#This Row],[مانده در خط تسویه نشده (کیلوگرم)]]&lt;&gt;0,Main[[#This Row],[تعداد کل روزهای بدهکار (روز)]],0)</f>
        <v>0</v>
      </c>
      <c r="AC472" s="6">
        <f ca="1">Main[[#This Row],[تعداد روزهای بدهکار  تسویه نشده (روز)]]*Main[[#This Row],[مانده در خط تسویه نشده (کیلوگرم)]]</f>
        <v>0</v>
      </c>
      <c r="AD472" s="6">
        <f ca="1">SUBTOTAL(9,INDEX(Main[بدهی سررسید شده (کیلوگرم)],1):Main[[#This Row],[بدهی سررسید شده (کیلوگرم)]])</f>
        <v>0</v>
      </c>
      <c r="AE472" s="6">
        <f ca="1">IF(Main[[#This Row],[مانده در خط سررسید شده (کیلوگرم)]]&lt;&gt;0,Main[[#This Row],[تعداد کل روزهای بدهکار (روز)]],0)</f>
        <v>0</v>
      </c>
      <c r="AF472" s="6">
        <f ca="1">Main[[#This Row],[تعداد روزهای بدهکار سررسید شده (روز)]]*Main[[#This Row],[مانده در خط سررسید شده (کیلوگرم)]]</f>
        <v>0</v>
      </c>
    </row>
    <row r="473" spans="1:32" hidden="1" x14ac:dyDescent="0.35">
      <c r="A473" s="5">
        <f>ROW()-ROW(INDEX(Main[ردیف],1))+1</f>
        <v>471</v>
      </c>
      <c r="B473" s="31">
        <f>SUBTOTAL(2,INDEX(Main[ردیف],1):Main[[#This Row],[ردیف]])</f>
        <v>45</v>
      </c>
      <c r="C473" s="32" t="s">
        <v>556</v>
      </c>
      <c r="D473" s="32" t="str">
        <f>_xlfn.CONCAT("14",Main[[#This Row],[تاريخ]])</f>
        <v>1400/02/25</v>
      </c>
      <c r="E473" s="33">
        <v>44331</v>
      </c>
      <c r="F473" s="32">
        <v>30066</v>
      </c>
      <c r="G473" s="5" t="str">
        <f>INDEX(customer[عنوان],MATCH(Main[[#This Row],[کد ردیابی]],customer[کد],0))</f>
        <v xml:space="preserve">شیر آلات بهداشتی قهرمان </v>
      </c>
      <c r="H473">
        <v>-1976</v>
      </c>
      <c r="I473" s="6">
        <f ca="1">-Main[[#This Row],[بدهی تسویه شده (کیلوگرم)]]+Main[[#This Row],[بستانکار (کیلوگرم)]]</f>
        <v>-1976</v>
      </c>
      <c r="J473" s="6">
        <f>IF(Main[[#This Row],[مقدار (کیلوگرم)]]&gt;0,Main[[#This Row],[مقدار (کیلوگرم)]],0)</f>
        <v>0</v>
      </c>
      <c r="K473" s="6">
        <f>-IF(Main[[#This Row],[مقدار (کیلوگرم)]]&lt;0,Main[[#This Row],[مقدار (کیلوگرم)]],0)</f>
        <v>1976</v>
      </c>
      <c r="L4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3" s="7">
        <f>-IF(AND(Main[[#This Row],[مقدار (کیلوگرم)]]&lt;0,Main[[#This Row],[تاريخ میلادی]]&gt;44276),Main[[#This Row],[مقدار (کیلوگرم)]],0)</f>
        <v>1976</v>
      </c>
      <c r="N473" s="6">
        <f ca="1">Main[[#This Row],[بدهکار (کیلوگرم)]]-Main[[#This Row],[بدهی تسویه نشده (کیلوگرم)]]</f>
        <v>1976</v>
      </c>
      <c r="O473" s="6">
        <f ca="1">Main[[#This Row],[تفکیک]]</f>
        <v>0</v>
      </c>
      <c r="P473" s="6">
        <f ca="1">IF(Main[[#This Row],[تاخیر از سررسید]]&gt;0,Main[[#This Row],[بدهی تسویه نشده (کیلوگرم)]],0)</f>
        <v>0</v>
      </c>
      <c r="Q473" s="6">
        <f ca="1">IF(Main[[#This Row],[بدهی تسویه نشده (کیلوگرم)]]&gt;0,'گزارش فردی'!$B$7-Main[[#This Row],[تاريخ میلادی]],0)</f>
        <v>0</v>
      </c>
      <c r="R473" s="6">
        <f ca="1">IF(Main[[#This Row],[بدهی تسویه نشده (کیلوگرم)]]&gt;0,'گزارش فردی'!$B$7-Main[[#This Row],[تاريخ میلادی]]-'گزارش فردی'!$B$8,0)</f>
        <v>0</v>
      </c>
      <c r="S473" s="6">
        <f ca="1">Main[[#This Row],[روز از ارسال سفارش]]*Main[[#This Row],[بدهی تسویه نشده (کیلوگرم)]]</f>
        <v>0</v>
      </c>
      <c r="T473" s="6">
        <f ca="1">Main[[#This Row],[بدهی سررسید شده (کیلوگرم)]]*Main[[#This Row],[روز از ارسال سفارش]]</f>
        <v>0</v>
      </c>
      <c r="U473" s="6">
        <f>-SUBTOTAL(9,INDEX(Main[مقدار (کیلوگرم)],1):Main[[#This Row],[مقدار (کیلوگرم)]])</f>
        <v>20916</v>
      </c>
      <c r="V4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3" s="6">
        <f>Main[[#This Row],[تعداد کل روزهای بدهکار (روز)]]*Main[[#This Row],[مانده در خط کل (کیلوگرم)]]</f>
        <v>20916</v>
      </c>
      <c r="X473" s="6">
        <f ca="1">-SUBTOTAL(9,INDEX(Main[مقدار تسویه شده (کیلوگرم)],1):Main[[#This Row],[مقدار تسویه شده (کیلوگرم)]])</f>
        <v>20916</v>
      </c>
      <c r="Y473" s="6">
        <f ca="1">IF(Main[[#This Row],[مانده در خط تسویه شده (کیلوگرم)]]&lt;&gt;0,Main[[#This Row],[تعداد کل روزهای بدهکار (روز)]],0)</f>
        <v>1</v>
      </c>
      <c r="Z473" s="6">
        <f ca="1">Main[[#This Row],[تعداد روزهای بدهکار تسویه شده (روز)]]*Main[[#This Row],[مانده در خط تسویه شده (کیلوگرم)]]</f>
        <v>20916</v>
      </c>
      <c r="AA473" s="6">
        <f ca="1">SUBTOTAL(9,INDEX(Main[بدهی تسویه نشده (کیلوگرم)],1):Main[[#This Row],[بدهی تسویه نشده (کیلوگرم)]])</f>
        <v>0</v>
      </c>
      <c r="AB473" s="6">
        <f ca="1">IF(Main[[#This Row],[مانده در خط تسویه نشده (کیلوگرم)]]&lt;&gt;0,Main[[#This Row],[تعداد کل روزهای بدهکار (روز)]],0)</f>
        <v>0</v>
      </c>
      <c r="AC473" s="6">
        <f ca="1">Main[[#This Row],[تعداد روزهای بدهکار  تسویه نشده (روز)]]*Main[[#This Row],[مانده در خط تسویه نشده (کیلوگرم)]]</f>
        <v>0</v>
      </c>
      <c r="AD473" s="6">
        <f ca="1">SUBTOTAL(9,INDEX(Main[بدهی سررسید شده (کیلوگرم)],1):Main[[#This Row],[بدهی سررسید شده (کیلوگرم)]])</f>
        <v>0</v>
      </c>
      <c r="AE473" s="6">
        <f ca="1">IF(Main[[#This Row],[مانده در خط سررسید شده (کیلوگرم)]]&lt;&gt;0,Main[[#This Row],[تعداد کل روزهای بدهکار (روز)]],0)</f>
        <v>0</v>
      </c>
      <c r="AF473" s="6">
        <f ca="1">Main[[#This Row],[تعداد روزهای بدهکار سررسید شده (روز)]]*Main[[#This Row],[مانده در خط سررسید شده (کیلوگرم)]]</f>
        <v>0</v>
      </c>
    </row>
    <row r="474" spans="1:32" hidden="1" x14ac:dyDescent="0.35">
      <c r="A474" s="5">
        <f>ROW()-ROW(INDEX(Main[ردیف],1))+1</f>
        <v>472</v>
      </c>
      <c r="B474" s="31">
        <f>SUBTOTAL(2,INDEX(Main[ردیف],1):Main[[#This Row],[ردیف]])</f>
        <v>45</v>
      </c>
      <c r="C474" s="32" t="s">
        <v>556</v>
      </c>
      <c r="D474" s="32" t="str">
        <f>_xlfn.CONCAT("14",Main[[#This Row],[تاريخ]])</f>
        <v>1400/02/25</v>
      </c>
      <c r="E474" s="33">
        <v>44331</v>
      </c>
      <c r="F474" s="32">
        <v>10084</v>
      </c>
      <c r="G474" s="5" t="str">
        <f>INDEX(customer[عنوان],MATCH(Main[[#This Row],[کد ردیابی]],customer[کد],0))</f>
        <v xml:space="preserve">سیدحمید کاظمی </v>
      </c>
      <c r="H474">
        <v>500</v>
      </c>
      <c r="I474" s="6">
        <f ca="1">-Main[[#This Row],[بدهی تسویه شده (کیلوگرم)]]+Main[[#This Row],[بستانکار (کیلوگرم)]]</f>
        <v>500</v>
      </c>
      <c r="J474" s="6">
        <f>IF(Main[[#This Row],[مقدار (کیلوگرم)]]&gt;0,Main[[#This Row],[مقدار (کیلوگرم)]],0)</f>
        <v>500</v>
      </c>
      <c r="K474" s="6">
        <f>-IF(Main[[#This Row],[مقدار (کیلوگرم)]]&lt;0,Main[[#This Row],[مقدار (کیلوگرم)]],0)</f>
        <v>0</v>
      </c>
      <c r="L4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4" s="7">
        <f>-IF(AND(Main[[#This Row],[مقدار (کیلوگرم)]]&lt;0,Main[[#This Row],[تاريخ میلادی]]&gt;44276),Main[[#This Row],[مقدار (کیلوگرم)]],0)</f>
        <v>0</v>
      </c>
      <c r="N474" s="6">
        <f ca="1">Main[[#This Row],[بدهکار (کیلوگرم)]]-Main[[#This Row],[بدهی تسویه نشده (کیلوگرم)]]</f>
        <v>0</v>
      </c>
      <c r="O474" s="6">
        <f ca="1">Main[[#This Row],[تفکیک]]</f>
        <v>0</v>
      </c>
      <c r="P474" s="6">
        <f ca="1">IF(Main[[#This Row],[تاخیر از سررسید]]&gt;0,Main[[#This Row],[بدهی تسویه نشده (کیلوگرم)]],0)</f>
        <v>0</v>
      </c>
      <c r="Q474" s="6">
        <f ca="1">IF(Main[[#This Row],[بدهی تسویه نشده (کیلوگرم)]]&gt;0,'گزارش فردی'!$B$7-Main[[#This Row],[تاريخ میلادی]],0)</f>
        <v>0</v>
      </c>
      <c r="R474" s="6">
        <f ca="1">IF(Main[[#This Row],[بدهی تسویه نشده (کیلوگرم)]]&gt;0,'گزارش فردی'!$B$7-Main[[#This Row],[تاريخ میلادی]]-'گزارش فردی'!$B$8,0)</f>
        <v>0</v>
      </c>
      <c r="S474" s="6">
        <f ca="1">Main[[#This Row],[روز از ارسال سفارش]]*Main[[#This Row],[بدهی تسویه نشده (کیلوگرم)]]</f>
        <v>0</v>
      </c>
      <c r="T474" s="6">
        <f ca="1">Main[[#This Row],[بدهی سررسید شده (کیلوگرم)]]*Main[[#This Row],[روز از ارسال سفارش]]</f>
        <v>0</v>
      </c>
      <c r="U474" s="6">
        <f>-SUBTOTAL(9,INDEX(Main[مقدار (کیلوگرم)],1):Main[[#This Row],[مقدار (کیلوگرم)]])</f>
        <v>20916</v>
      </c>
      <c r="V4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4" s="6">
        <f>Main[[#This Row],[تعداد کل روزهای بدهکار (روز)]]*Main[[#This Row],[مانده در خط کل (کیلوگرم)]]</f>
        <v>20916</v>
      </c>
      <c r="X474" s="6">
        <f ca="1">-SUBTOTAL(9,INDEX(Main[مقدار تسویه شده (کیلوگرم)],1):Main[[#This Row],[مقدار تسویه شده (کیلوگرم)]])</f>
        <v>20916</v>
      </c>
      <c r="Y474" s="6">
        <f ca="1">IF(Main[[#This Row],[مانده در خط تسویه شده (کیلوگرم)]]&lt;&gt;0,Main[[#This Row],[تعداد کل روزهای بدهکار (روز)]],0)</f>
        <v>1</v>
      </c>
      <c r="Z474" s="6">
        <f ca="1">Main[[#This Row],[تعداد روزهای بدهکار تسویه شده (روز)]]*Main[[#This Row],[مانده در خط تسویه شده (کیلوگرم)]]</f>
        <v>20916</v>
      </c>
      <c r="AA474" s="6">
        <f ca="1">SUBTOTAL(9,INDEX(Main[بدهی تسویه نشده (کیلوگرم)],1):Main[[#This Row],[بدهی تسویه نشده (کیلوگرم)]])</f>
        <v>0</v>
      </c>
      <c r="AB474" s="6">
        <f ca="1">IF(Main[[#This Row],[مانده در خط تسویه نشده (کیلوگرم)]]&lt;&gt;0,Main[[#This Row],[تعداد کل روزهای بدهکار (روز)]],0)</f>
        <v>0</v>
      </c>
      <c r="AC474" s="6">
        <f ca="1">Main[[#This Row],[تعداد روزهای بدهکار  تسویه نشده (روز)]]*Main[[#This Row],[مانده در خط تسویه نشده (کیلوگرم)]]</f>
        <v>0</v>
      </c>
      <c r="AD474" s="6">
        <f ca="1">SUBTOTAL(9,INDEX(Main[بدهی سررسید شده (کیلوگرم)],1):Main[[#This Row],[بدهی سررسید شده (کیلوگرم)]])</f>
        <v>0</v>
      </c>
      <c r="AE474" s="6">
        <f ca="1">IF(Main[[#This Row],[مانده در خط سررسید شده (کیلوگرم)]]&lt;&gt;0,Main[[#This Row],[تعداد کل روزهای بدهکار (روز)]],0)</f>
        <v>0</v>
      </c>
      <c r="AF474" s="6">
        <f ca="1">Main[[#This Row],[تعداد روزهای بدهکار سررسید شده (روز)]]*Main[[#This Row],[مانده در خط سررسید شده (کیلوگرم)]]</f>
        <v>0</v>
      </c>
    </row>
    <row r="475" spans="1:32" hidden="1" x14ac:dyDescent="0.35">
      <c r="A475" s="5">
        <f>ROW()-ROW(INDEX(Main[ردیف],1))+1</f>
        <v>473</v>
      </c>
      <c r="B475" s="31">
        <f>SUBTOTAL(2,INDEX(Main[ردیف],1):Main[[#This Row],[ردیف]])</f>
        <v>45</v>
      </c>
      <c r="C475" s="32" t="s">
        <v>556</v>
      </c>
      <c r="D475" s="32" t="str">
        <f>_xlfn.CONCAT("14",Main[[#This Row],[تاريخ]])</f>
        <v>1400/02/25</v>
      </c>
      <c r="E475" s="33">
        <v>44331</v>
      </c>
      <c r="F475" s="32">
        <v>10020</v>
      </c>
      <c r="G475" s="5" t="str">
        <f>INDEX(customer[عنوان],MATCH(Main[[#This Row],[کد ردیابی]],customer[کد],0))</f>
        <v>فرزاد اسماعیل زاده</v>
      </c>
      <c r="H475">
        <v>-1456</v>
      </c>
      <c r="I475" s="6">
        <f ca="1">-Main[[#This Row],[بدهی تسویه شده (کیلوگرم)]]+Main[[#This Row],[بستانکار (کیلوگرم)]]</f>
        <v>-1456</v>
      </c>
      <c r="J475" s="6">
        <f>IF(Main[[#This Row],[مقدار (کیلوگرم)]]&gt;0,Main[[#This Row],[مقدار (کیلوگرم)]],0)</f>
        <v>0</v>
      </c>
      <c r="K475" s="6">
        <f>-IF(Main[[#This Row],[مقدار (کیلوگرم)]]&lt;0,Main[[#This Row],[مقدار (کیلوگرم)]],0)</f>
        <v>1456</v>
      </c>
      <c r="L4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5" s="7">
        <f>-IF(AND(Main[[#This Row],[مقدار (کیلوگرم)]]&lt;0,Main[[#This Row],[تاريخ میلادی]]&gt;44276),Main[[#This Row],[مقدار (کیلوگرم)]],0)</f>
        <v>1456</v>
      </c>
      <c r="N475" s="6">
        <f ca="1">Main[[#This Row],[بدهکار (کیلوگرم)]]-Main[[#This Row],[بدهی تسویه نشده (کیلوگرم)]]</f>
        <v>1456</v>
      </c>
      <c r="O475" s="6">
        <f ca="1">Main[[#This Row],[تفکیک]]</f>
        <v>0</v>
      </c>
      <c r="P475" s="6">
        <f ca="1">IF(Main[[#This Row],[تاخیر از سررسید]]&gt;0,Main[[#This Row],[بدهی تسویه نشده (کیلوگرم)]],0)</f>
        <v>0</v>
      </c>
      <c r="Q475" s="6">
        <f ca="1">IF(Main[[#This Row],[بدهی تسویه نشده (کیلوگرم)]]&gt;0,'گزارش فردی'!$B$7-Main[[#This Row],[تاريخ میلادی]],0)</f>
        <v>0</v>
      </c>
      <c r="R475" s="6">
        <f ca="1">IF(Main[[#This Row],[بدهی تسویه نشده (کیلوگرم)]]&gt;0,'گزارش فردی'!$B$7-Main[[#This Row],[تاريخ میلادی]]-'گزارش فردی'!$B$8,0)</f>
        <v>0</v>
      </c>
      <c r="S475" s="6">
        <f ca="1">Main[[#This Row],[روز از ارسال سفارش]]*Main[[#This Row],[بدهی تسویه نشده (کیلوگرم)]]</f>
        <v>0</v>
      </c>
      <c r="T475" s="6">
        <f ca="1">Main[[#This Row],[بدهی سررسید شده (کیلوگرم)]]*Main[[#This Row],[روز از ارسال سفارش]]</f>
        <v>0</v>
      </c>
      <c r="U475" s="6">
        <f>-SUBTOTAL(9,INDEX(Main[مقدار (کیلوگرم)],1):Main[[#This Row],[مقدار (کیلوگرم)]])</f>
        <v>20916</v>
      </c>
      <c r="V4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5" s="6">
        <f>Main[[#This Row],[تعداد کل روزهای بدهکار (روز)]]*Main[[#This Row],[مانده در خط کل (کیلوگرم)]]</f>
        <v>20916</v>
      </c>
      <c r="X475" s="6">
        <f ca="1">-SUBTOTAL(9,INDEX(Main[مقدار تسویه شده (کیلوگرم)],1):Main[[#This Row],[مقدار تسویه شده (کیلوگرم)]])</f>
        <v>20916</v>
      </c>
      <c r="Y475" s="6">
        <f ca="1">IF(Main[[#This Row],[مانده در خط تسویه شده (کیلوگرم)]]&lt;&gt;0,Main[[#This Row],[تعداد کل روزهای بدهکار (روز)]],0)</f>
        <v>1</v>
      </c>
      <c r="Z475" s="6">
        <f ca="1">Main[[#This Row],[تعداد روزهای بدهکار تسویه شده (روز)]]*Main[[#This Row],[مانده در خط تسویه شده (کیلوگرم)]]</f>
        <v>20916</v>
      </c>
      <c r="AA475" s="6">
        <f ca="1">SUBTOTAL(9,INDEX(Main[بدهی تسویه نشده (کیلوگرم)],1):Main[[#This Row],[بدهی تسویه نشده (کیلوگرم)]])</f>
        <v>0</v>
      </c>
      <c r="AB475" s="6">
        <f ca="1">IF(Main[[#This Row],[مانده در خط تسویه نشده (کیلوگرم)]]&lt;&gt;0,Main[[#This Row],[تعداد کل روزهای بدهکار (روز)]],0)</f>
        <v>0</v>
      </c>
      <c r="AC475" s="6">
        <f ca="1">Main[[#This Row],[تعداد روزهای بدهکار  تسویه نشده (روز)]]*Main[[#This Row],[مانده در خط تسویه نشده (کیلوگرم)]]</f>
        <v>0</v>
      </c>
      <c r="AD475" s="6">
        <f ca="1">SUBTOTAL(9,INDEX(Main[بدهی سررسید شده (کیلوگرم)],1):Main[[#This Row],[بدهی سررسید شده (کیلوگرم)]])</f>
        <v>0</v>
      </c>
      <c r="AE475" s="6">
        <f ca="1">IF(Main[[#This Row],[مانده در خط سررسید شده (کیلوگرم)]]&lt;&gt;0,Main[[#This Row],[تعداد کل روزهای بدهکار (روز)]],0)</f>
        <v>0</v>
      </c>
      <c r="AF475" s="6">
        <f ca="1">Main[[#This Row],[تعداد روزهای بدهکار سررسید شده (روز)]]*Main[[#This Row],[مانده در خط سررسید شده (کیلوگرم)]]</f>
        <v>0</v>
      </c>
    </row>
    <row r="476" spans="1:32" hidden="1" x14ac:dyDescent="0.35">
      <c r="A476" s="5">
        <f>ROW()-ROW(INDEX(Main[ردیف],1))+1</f>
        <v>474</v>
      </c>
      <c r="B476" s="31">
        <f>SUBTOTAL(2,INDEX(Main[ردیف],1):Main[[#This Row],[ردیف]])</f>
        <v>45</v>
      </c>
      <c r="C476" s="32" t="s">
        <v>556</v>
      </c>
      <c r="D476" s="32" t="str">
        <f>_xlfn.CONCAT("14",Main[[#This Row],[تاريخ]])</f>
        <v>1400/02/25</v>
      </c>
      <c r="E476" s="33">
        <v>44331</v>
      </c>
      <c r="F476" s="32">
        <v>10084</v>
      </c>
      <c r="G476" s="5" t="str">
        <f>INDEX(customer[عنوان],MATCH(Main[[#This Row],[کد ردیابی]],customer[کد],0))</f>
        <v xml:space="preserve">سیدحمید کاظمی </v>
      </c>
      <c r="H476">
        <v>900</v>
      </c>
      <c r="I476" s="6">
        <f ca="1">-Main[[#This Row],[بدهی تسویه شده (کیلوگرم)]]+Main[[#This Row],[بستانکار (کیلوگرم)]]</f>
        <v>900</v>
      </c>
      <c r="J476" s="6">
        <f>IF(Main[[#This Row],[مقدار (کیلوگرم)]]&gt;0,Main[[#This Row],[مقدار (کیلوگرم)]],0)</f>
        <v>900</v>
      </c>
      <c r="K476" s="6">
        <f>-IF(Main[[#This Row],[مقدار (کیلوگرم)]]&lt;0,Main[[#This Row],[مقدار (کیلوگرم)]],0)</f>
        <v>0</v>
      </c>
      <c r="L4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6" s="7">
        <f>-IF(AND(Main[[#This Row],[مقدار (کیلوگرم)]]&lt;0,Main[[#This Row],[تاريخ میلادی]]&gt;44276),Main[[#This Row],[مقدار (کیلوگرم)]],0)</f>
        <v>0</v>
      </c>
      <c r="N476" s="6">
        <f ca="1">Main[[#This Row],[بدهکار (کیلوگرم)]]-Main[[#This Row],[بدهی تسویه نشده (کیلوگرم)]]</f>
        <v>0</v>
      </c>
      <c r="O476" s="6">
        <f ca="1">Main[[#This Row],[تفکیک]]</f>
        <v>0</v>
      </c>
      <c r="P476" s="6">
        <f ca="1">IF(Main[[#This Row],[تاخیر از سررسید]]&gt;0,Main[[#This Row],[بدهی تسویه نشده (کیلوگرم)]],0)</f>
        <v>0</v>
      </c>
      <c r="Q476" s="6">
        <f ca="1">IF(Main[[#This Row],[بدهی تسویه نشده (کیلوگرم)]]&gt;0,'گزارش فردی'!$B$7-Main[[#This Row],[تاريخ میلادی]],0)</f>
        <v>0</v>
      </c>
      <c r="R476" s="6">
        <f ca="1">IF(Main[[#This Row],[بدهی تسویه نشده (کیلوگرم)]]&gt;0,'گزارش فردی'!$B$7-Main[[#This Row],[تاريخ میلادی]]-'گزارش فردی'!$B$8,0)</f>
        <v>0</v>
      </c>
      <c r="S476" s="6">
        <f ca="1">Main[[#This Row],[روز از ارسال سفارش]]*Main[[#This Row],[بدهی تسویه نشده (کیلوگرم)]]</f>
        <v>0</v>
      </c>
      <c r="T476" s="6">
        <f ca="1">Main[[#This Row],[بدهی سررسید شده (کیلوگرم)]]*Main[[#This Row],[روز از ارسال سفارش]]</f>
        <v>0</v>
      </c>
      <c r="U476" s="6">
        <f>-SUBTOTAL(9,INDEX(Main[مقدار (کیلوگرم)],1):Main[[#This Row],[مقدار (کیلوگرم)]])</f>
        <v>20916</v>
      </c>
      <c r="V4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6" s="6">
        <f>Main[[#This Row],[تعداد کل روزهای بدهکار (روز)]]*Main[[#This Row],[مانده در خط کل (کیلوگرم)]]</f>
        <v>20916</v>
      </c>
      <c r="X476" s="6">
        <f ca="1">-SUBTOTAL(9,INDEX(Main[مقدار تسویه شده (کیلوگرم)],1):Main[[#This Row],[مقدار تسویه شده (کیلوگرم)]])</f>
        <v>20916</v>
      </c>
      <c r="Y476" s="6">
        <f ca="1">IF(Main[[#This Row],[مانده در خط تسویه شده (کیلوگرم)]]&lt;&gt;0,Main[[#This Row],[تعداد کل روزهای بدهکار (روز)]],0)</f>
        <v>1</v>
      </c>
      <c r="Z476" s="6">
        <f ca="1">Main[[#This Row],[تعداد روزهای بدهکار تسویه شده (روز)]]*Main[[#This Row],[مانده در خط تسویه شده (کیلوگرم)]]</f>
        <v>20916</v>
      </c>
      <c r="AA476" s="6">
        <f ca="1">SUBTOTAL(9,INDEX(Main[بدهی تسویه نشده (کیلوگرم)],1):Main[[#This Row],[بدهی تسویه نشده (کیلوگرم)]])</f>
        <v>0</v>
      </c>
      <c r="AB476" s="6">
        <f ca="1">IF(Main[[#This Row],[مانده در خط تسویه نشده (کیلوگرم)]]&lt;&gt;0,Main[[#This Row],[تعداد کل روزهای بدهکار (روز)]],0)</f>
        <v>0</v>
      </c>
      <c r="AC476" s="6">
        <f ca="1">Main[[#This Row],[تعداد روزهای بدهکار  تسویه نشده (روز)]]*Main[[#This Row],[مانده در خط تسویه نشده (کیلوگرم)]]</f>
        <v>0</v>
      </c>
      <c r="AD476" s="6">
        <f ca="1">SUBTOTAL(9,INDEX(Main[بدهی سررسید شده (کیلوگرم)],1):Main[[#This Row],[بدهی سررسید شده (کیلوگرم)]])</f>
        <v>0</v>
      </c>
      <c r="AE476" s="6">
        <f ca="1">IF(Main[[#This Row],[مانده در خط سررسید شده (کیلوگرم)]]&lt;&gt;0,Main[[#This Row],[تعداد کل روزهای بدهکار (روز)]],0)</f>
        <v>0</v>
      </c>
      <c r="AF476" s="6">
        <f ca="1">Main[[#This Row],[تعداد روزهای بدهکار سررسید شده (روز)]]*Main[[#This Row],[مانده در خط سررسید شده (کیلوگرم)]]</f>
        <v>0</v>
      </c>
    </row>
    <row r="477" spans="1:32" hidden="1" x14ac:dyDescent="0.35">
      <c r="A477" s="5">
        <f>ROW()-ROW(INDEX(Main[ردیف],1))+1</f>
        <v>475</v>
      </c>
      <c r="B477" s="31">
        <f>SUBTOTAL(2,INDEX(Main[ردیف],1):Main[[#This Row],[ردیف]])</f>
        <v>45</v>
      </c>
      <c r="C477" s="32" t="s">
        <v>556</v>
      </c>
      <c r="D477" s="32" t="str">
        <f>_xlfn.CONCAT("14",Main[[#This Row],[تاريخ]])</f>
        <v>1400/02/25</v>
      </c>
      <c r="E477" s="33">
        <v>44331</v>
      </c>
      <c r="F477" s="32">
        <v>10048</v>
      </c>
      <c r="G477" s="5" t="str">
        <f>INDEX(customer[عنوان],MATCH(Main[[#This Row],[کد ردیابی]],customer[کد],0))</f>
        <v xml:space="preserve">حسام کریمان  </v>
      </c>
      <c r="H477">
        <v>-1703</v>
      </c>
      <c r="I477" s="6">
        <f ca="1">-Main[[#This Row],[بدهی تسویه شده (کیلوگرم)]]+Main[[#This Row],[بستانکار (کیلوگرم)]]</f>
        <v>-1703</v>
      </c>
      <c r="J477" s="6">
        <f>IF(Main[[#This Row],[مقدار (کیلوگرم)]]&gt;0,Main[[#This Row],[مقدار (کیلوگرم)]],0)</f>
        <v>0</v>
      </c>
      <c r="K477" s="6">
        <f>-IF(Main[[#This Row],[مقدار (کیلوگرم)]]&lt;0,Main[[#This Row],[مقدار (کیلوگرم)]],0)</f>
        <v>1703</v>
      </c>
      <c r="L4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7" s="7">
        <f>-IF(AND(Main[[#This Row],[مقدار (کیلوگرم)]]&lt;0,Main[[#This Row],[تاريخ میلادی]]&gt;44276),Main[[#This Row],[مقدار (کیلوگرم)]],0)</f>
        <v>1703</v>
      </c>
      <c r="N477" s="6">
        <f ca="1">Main[[#This Row],[بدهکار (کیلوگرم)]]-Main[[#This Row],[بدهی تسویه نشده (کیلوگرم)]]</f>
        <v>1703</v>
      </c>
      <c r="O477" s="6">
        <f ca="1">Main[[#This Row],[تفکیک]]</f>
        <v>0</v>
      </c>
      <c r="P477" s="6">
        <f ca="1">IF(Main[[#This Row],[تاخیر از سررسید]]&gt;0,Main[[#This Row],[بدهی تسویه نشده (کیلوگرم)]],0)</f>
        <v>0</v>
      </c>
      <c r="Q477" s="6">
        <f ca="1">IF(Main[[#This Row],[بدهی تسویه نشده (کیلوگرم)]]&gt;0,'گزارش فردی'!$B$7-Main[[#This Row],[تاريخ میلادی]],0)</f>
        <v>0</v>
      </c>
      <c r="R477" s="6">
        <f ca="1">IF(Main[[#This Row],[بدهی تسویه نشده (کیلوگرم)]]&gt;0,'گزارش فردی'!$B$7-Main[[#This Row],[تاريخ میلادی]]-'گزارش فردی'!$B$8,0)</f>
        <v>0</v>
      </c>
      <c r="S477" s="6">
        <f ca="1">Main[[#This Row],[روز از ارسال سفارش]]*Main[[#This Row],[بدهی تسویه نشده (کیلوگرم)]]</f>
        <v>0</v>
      </c>
      <c r="T477" s="6">
        <f ca="1">Main[[#This Row],[بدهی سررسید شده (کیلوگرم)]]*Main[[#This Row],[روز از ارسال سفارش]]</f>
        <v>0</v>
      </c>
      <c r="U477" s="6">
        <f>-SUBTOTAL(9,INDEX(Main[مقدار (کیلوگرم)],1):Main[[#This Row],[مقدار (کیلوگرم)]])</f>
        <v>20916</v>
      </c>
      <c r="V4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7" s="6">
        <f>Main[[#This Row],[تعداد کل روزهای بدهکار (روز)]]*Main[[#This Row],[مانده در خط کل (کیلوگرم)]]</f>
        <v>20916</v>
      </c>
      <c r="X477" s="6">
        <f ca="1">-SUBTOTAL(9,INDEX(Main[مقدار تسویه شده (کیلوگرم)],1):Main[[#This Row],[مقدار تسویه شده (کیلوگرم)]])</f>
        <v>20916</v>
      </c>
      <c r="Y477" s="6">
        <f ca="1">IF(Main[[#This Row],[مانده در خط تسویه شده (کیلوگرم)]]&lt;&gt;0,Main[[#This Row],[تعداد کل روزهای بدهکار (روز)]],0)</f>
        <v>1</v>
      </c>
      <c r="Z477" s="6">
        <f ca="1">Main[[#This Row],[تعداد روزهای بدهکار تسویه شده (روز)]]*Main[[#This Row],[مانده در خط تسویه شده (کیلوگرم)]]</f>
        <v>20916</v>
      </c>
      <c r="AA477" s="6">
        <f ca="1">SUBTOTAL(9,INDEX(Main[بدهی تسویه نشده (کیلوگرم)],1):Main[[#This Row],[بدهی تسویه نشده (کیلوگرم)]])</f>
        <v>0</v>
      </c>
      <c r="AB477" s="6">
        <f ca="1">IF(Main[[#This Row],[مانده در خط تسویه نشده (کیلوگرم)]]&lt;&gt;0,Main[[#This Row],[تعداد کل روزهای بدهکار (روز)]],0)</f>
        <v>0</v>
      </c>
      <c r="AC477" s="6">
        <f ca="1">Main[[#This Row],[تعداد روزهای بدهکار  تسویه نشده (روز)]]*Main[[#This Row],[مانده در خط تسویه نشده (کیلوگرم)]]</f>
        <v>0</v>
      </c>
      <c r="AD477" s="6">
        <f ca="1">SUBTOTAL(9,INDEX(Main[بدهی سررسید شده (کیلوگرم)],1):Main[[#This Row],[بدهی سررسید شده (کیلوگرم)]])</f>
        <v>0</v>
      </c>
      <c r="AE477" s="6">
        <f ca="1">IF(Main[[#This Row],[مانده در خط سررسید شده (کیلوگرم)]]&lt;&gt;0,Main[[#This Row],[تعداد کل روزهای بدهکار (روز)]],0)</f>
        <v>0</v>
      </c>
      <c r="AF477" s="6">
        <f ca="1">Main[[#This Row],[تعداد روزهای بدهکار سررسید شده (روز)]]*Main[[#This Row],[مانده در خط سررسید شده (کیلوگرم)]]</f>
        <v>0</v>
      </c>
    </row>
    <row r="478" spans="1:32" hidden="1" x14ac:dyDescent="0.35">
      <c r="A478" s="5">
        <f>ROW()-ROW(INDEX(Main[ردیف],1))+1</f>
        <v>476</v>
      </c>
      <c r="B478" s="31">
        <f>SUBTOTAL(2,INDEX(Main[ردیف],1):Main[[#This Row],[ردیف]])</f>
        <v>45</v>
      </c>
      <c r="C478" s="32" t="s">
        <v>556</v>
      </c>
      <c r="D478" s="32" t="str">
        <f>_xlfn.CONCAT("14",Main[[#This Row],[تاريخ]])</f>
        <v>1400/02/25</v>
      </c>
      <c r="E478" s="33">
        <v>44331</v>
      </c>
      <c r="F478" s="32">
        <v>10084</v>
      </c>
      <c r="G478" s="5" t="str">
        <f>INDEX(customer[عنوان],MATCH(Main[[#This Row],[کد ردیابی]],customer[کد],0))</f>
        <v xml:space="preserve">سیدحمید کاظمی </v>
      </c>
      <c r="H478">
        <v>92</v>
      </c>
      <c r="I478" s="6">
        <f ca="1">-Main[[#This Row],[بدهی تسویه شده (کیلوگرم)]]+Main[[#This Row],[بستانکار (کیلوگرم)]]</f>
        <v>92</v>
      </c>
      <c r="J478" s="6">
        <f>IF(Main[[#This Row],[مقدار (کیلوگرم)]]&gt;0,Main[[#This Row],[مقدار (کیلوگرم)]],0)</f>
        <v>92</v>
      </c>
      <c r="K478" s="6">
        <f>-IF(Main[[#This Row],[مقدار (کیلوگرم)]]&lt;0,Main[[#This Row],[مقدار (کیلوگرم)]],0)</f>
        <v>0</v>
      </c>
      <c r="L4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8" s="7">
        <f>-IF(AND(Main[[#This Row],[مقدار (کیلوگرم)]]&lt;0,Main[[#This Row],[تاريخ میلادی]]&gt;44276),Main[[#This Row],[مقدار (کیلوگرم)]],0)</f>
        <v>0</v>
      </c>
      <c r="N478" s="6">
        <f ca="1">Main[[#This Row],[بدهکار (کیلوگرم)]]-Main[[#This Row],[بدهی تسویه نشده (کیلوگرم)]]</f>
        <v>0</v>
      </c>
      <c r="O478" s="6">
        <f ca="1">Main[[#This Row],[تفکیک]]</f>
        <v>0</v>
      </c>
      <c r="P478" s="6">
        <f ca="1">IF(Main[[#This Row],[تاخیر از سررسید]]&gt;0,Main[[#This Row],[بدهی تسویه نشده (کیلوگرم)]],0)</f>
        <v>0</v>
      </c>
      <c r="Q478" s="6">
        <f ca="1">IF(Main[[#This Row],[بدهی تسویه نشده (کیلوگرم)]]&gt;0,'گزارش فردی'!$B$7-Main[[#This Row],[تاريخ میلادی]],0)</f>
        <v>0</v>
      </c>
      <c r="R478" s="6">
        <f ca="1">IF(Main[[#This Row],[بدهی تسویه نشده (کیلوگرم)]]&gt;0,'گزارش فردی'!$B$7-Main[[#This Row],[تاريخ میلادی]]-'گزارش فردی'!$B$8,0)</f>
        <v>0</v>
      </c>
      <c r="S478" s="6">
        <f ca="1">Main[[#This Row],[روز از ارسال سفارش]]*Main[[#This Row],[بدهی تسویه نشده (کیلوگرم)]]</f>
        <v>0</v>
      </c>
      <c r="T478" s="6">
        <f ca="1">Main[[#This Row],[بدهی سررسید شده (کیلوگرم)]]*Main[[#This Row],[روز از ارسال سفارش]]</f>
        <v>0</v>
      </c>
      <c r="U478" s="6">
        <f>-SUBTOTAL(9,INDEX(Main[مقدار (کیلوگرم)],1):Main[[#This Row],[مقدار (کیلوگرم)]])</f>
        <v>20916</v>
      </c>
      <c r="V4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8" s="6">
        <f>Main[[#This Row],[تعداد کل روزهای بدهکار (روز)]]*Main[[#This Row],[مانده در خط کل (کیلوگرم)]]</f>
        <v>20916</v>
      </c>
      <c r="X478" s="6">
        <f ca="1">-SUBTOTAL(9,INDEX(Main[مقدار تسویه شده (کیلوگرم)],1):Main[[#This Row],[مقدار تسویه شده (کیلوگرم)]])</f>
        <v>20916</v>
      </c>
      <c r="Y478" s="6">
        <f ca="1">IF(Main[[#This Row],[مانده در خط تسویه شده (کیلوگرم)]]&lt;&gt;0,Main[[#This Row],[تعداد کل روزهای بدهکار (روز)]],0)</f>
        <v>1</v>
      </c>
      <c r="Z478" s="6">
        <f ca="1">Main[[#This Row],[تعداد روزهای بدهکار تسویه شده (روز)]]*Main[[#This Row],[مانده در خط تسویه شده (کیلوگرم)]]</f>
        <v>20916</v>
      </c>
      <c r="AA478" s="6">
        <f ca="1">SUBTOTAL(9,INDEX(Main[بدهی تسویه نشده (کیلوگرم)],1):Main[[#This Row],[بدهی تسویه نشده (کیلوگرم)]])</f>
        <v>0</v>
      </c>
      <c r="AB478" s="6">
        <f ca="1">IF(Main[[#This Row],[مانده در خط تسویه نشده (کیلوگرم)]]&lt;&gt;0,Main[[#This Row],[تعداد کل روزهای بدهکار (روز)]],0)</f>
        <v>0</v>
      </c>
      <c r="AC478" s="6">
        <f ca="1">Main[[#This Row],[تعداد روزهای بدهکار  تسویه نشده (روز)]]*Main[[#This Row],[مانده در خط تسویه نشده (کیلوگرم)]]</f>
        <v>0</v>
      </c>
      <c r="AD478" s="6">
        <f ca="1">SUBTOTAL(9,INDEX(Main[بدهی سررسید شده (کیلوگرم)],1):Main[[#This Row],[بدهی سررسید شده (کیلوگرم)]])</f>
        <v>0</v>
      </c>
      <c r="AE478" s="6">
        <f ca="1">IF(Main[[#This Row],[مانده در خط سررسید شده (کیلوگرم)]]&lt;&gt;0,Main[[#This Row],[تعداد کل روزهای بدهکار (روز)]],0)</f>
        <v>0</v>
      </c>
      <c r="AF478" s="6">
        <f ca="1">Main[[#This Row],[تعداد روزهای بدهکار سررسید شده (روز)]]*Main[[#This Row],[مانده در خط سررسید شده (کیلوگرم)]]</f>
        <v>0</v>
      </c>
    </row>
    <row r="479" spans="1:32" hidden="1" x14ac:dyDescent="0.35">
      <c r="A479" s="5">
        <f>ROW()-ROW(INDEX(Main[ردیف],1))+1</f>
        <v>477</v>
      </c>
      <c r="B479" s="31">
        <f>SUBTOTAL(2,INDEX(Main[ردیف],1):Main[[#This Row],[ردیف]])</f>
        <v>45</v>
      </c>
      <c r="C479" s="32" t="s">
        <v>556</v>
      </c>
      <c r="D479" s="32" t="str">
        <f>_xlfn.CONCAT("14",Main[[#This Row],[تاريخ]])</f>
        <v>1400/02/25</v>
      </c>
      <c r="E479" s="33">
        <v>44331</v>
      </c>
      <c r="F479" s="32">
        <v>10048</v>
      </c>
      <c r="G479" s="5" t="str">
        <f>INDEX(customer[عنوان],MATCH(Main[[#This Row],[کد ردیابی]],customer[کد],0))</f>
        <v xml:space="preserve">حسام کریمان  </v>
      </c>
      <c r="H479">
        <v>835</v>
      </c>
      <c r="I479" s="6">
        <f ca="1">-Main[[#This Row],[بدهی تسویه شده (کیلوگرم)]]+Main[[#This Row],[بستانکار (کیلوگرم)]]</f>
        <v>835</v>
      </c>
      <c r="J479" s="6">
        <f>IF(Main[[#This Row],[مقدار (کیلوگرم)]]&gt;0,Main[[#This Row],[مقدار (کیلوگرم)]],0)</f>
        <v>835</v>
      </c>
      <c r="K479" s="6">
        <f>-IF(Main[[#This Row],[مقدار (کیلوگرم)]]&lt;0,Main[[#This Row],[مقدار (کیلوگرم)]],0)</f>
        <v>0</v>
      </c>
      <c r="L4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9" s="7">
        <f>-IF(AND(Main[[#This Row],[مقدار (کیلوگرم)]]&lt;0,Main[[#This Row],[تاريخ میلادی]]&gt;44276),Main[[#This Row],[مقدار (کیلوگرم)]],0)</f>
        <v>0</v>
      </c>
      <c r="N479" s="6">
        <f ca="1">Main[[#This Row],[بدهکار (کیلوگرم)]]-Main[[#This Row],[بدهی تسویه نشده (کیلوگرم)]]</f>
        <v>0</v>
      </c>
      <c r="O479" s="6">
        <f ca="1">Main[[#This Row],[تفکیک]]</f>
        <v>0</v>
      </c>
      <c r="P479" s="6">
        <f ca="1">IF(Main[[#This Row],[تاخیر از سررسید]]&gt;0,Main[[#This Row],[بدهی تسویه نشده (کیلوگرم)]],0)</f>
        <v>0</v>
      </c>
      <c r="Q479" s="6">
        <f ca="1">IF(Main[[#This Row],[بدهی تسویه نشده (کیلوگرم)]]&gt;0,'گزارش فردی'!$B$7-Main[[#This Row],[تاريخ میلادی]],0)</f>
        <v>0</v>
      </c>
      <c r="R479" s="6">
        <f ca="1">IF(Main[[#This Row],[بدهی تسویه نشده (کیلوگرم)]]&gt;0,'گزارش فردی'!$B$7-Main[[#This Row],[تاريخ میلادی]]-'گزارش فردی'!$B$8,0)</f>
        <v>0</v>
      </c>
      <c r="S479" s="6">
        <f ca="1">Main[[#This Row],[روز از ارسال سفارش]]*Main[[#This Row],[بدهی تسویه نشده (کیلوگرم)]]</f>
        <v>0</v>
      </c>
      <c r="T479" s="6">
        <f ca="1">Main[[#This Row],[بدهی سررسید شده (کیلوگرم)]]*Main[[#This Row],[روز از ارسال سفارش]]</f>
        <v>0</v>
      </c>
      <c r="U479" s="6">
        <f>-SUBTOTAL(9,INDEX(Main[مقدار (کیلوگرم)],1):Main[[#This Row],[مقدار (کیلوگرم)]])</f>
        <v>20916</v>
      </c>
      <c r="V4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9" s="6">
        <f>Main[[#This Row],[تعداد کل روزهای بدهکار (روز)]]*Main[[#This Row],[مانده در خط کل (کیلوگرم)]]</f>
        <v>20916</v>
      </c>
      <c r="X479" s="6">
        <f ca="1">-SUBTOTAL(9,INDEX(Main[مقدار تسویه شده (کیلوگرم)],1):Main[[#This Row],[مقدار تسویه شده (کیلوگرم)]])</f>
        <v>20916</v>
      </c>
      <c r="Y479" s="6">
        <f ca="1">IF(Main[[#This Row],[مانده در خط تسویه شده (کیلوگرم)]]&lt;&gt;0,Main[[#This Row],[تعداد کل روزهای بدهکار (روز)]],0)</f>
        <v>1</v>
      </c>
      <c r="Z479" s="6">
        <f ca="1">Main[[#This Row],[تعداد روزهای بدهکار تسویه شده (روز)]]*Main[[#This Row],[مانده در خط تسویه شده (کیلوگرم)]]</f>
        <v>20916</v>
      </c>
      <c r="AA479" s="6">
        <f ca="1">SUBTOTAL(9,INDEX(Main[بدهی تسویه نشده (کیلوگرم)],1):Main[[#This Row],[بدهی تسویه نشده (کیلوگرم)]])</f>
        <v>0</v>
      </c>
      <c r="AB479" s="6">
        <f ca="1">IF(Main[[#This Row],[مانده در خط تسویه نشده (کیلوگرم)]]&lt;&gt;0,Main[[#This Row],[تعداد کل روزهای بدهکار (روز)]],0)</f>
        <v>0</v>
      </c>
      <c r="AC479" s="6">
        <f ca="1">Main[[#This Row],[تعداد روزهای بدهکار  تسویه نشده (روز)]]*Main[[#This Row],[مانده در خط تسویه نشده (کیلوگرم)]]</f>
        <v>0</v>
      </c>
      <c r="AD479" s="6">
        <f ca="1">SUBTOTAL(9,INDEX(Main[بدهی سررسید شده (کیلوگرم)],1):Main[[#This Row],[بدهی سررسید شده (کیلوگرم)]])</f>
        <v>0</v>
      </c>
      <c r="AE479" s="6">
        <f ca="1">IF(Main[[#This Row],[مانده در خط سررسید شده (کیلوگرم)]]&lt;&gt;0,Main[[#This Row],[تعداد کل روزهای بدهکار (روز)]],0)</f>
        <v>0</v>
      </c>
      <c r="AF479" s="6">
        <f ca="1">Main[[#This Row],[تعداد روزهای بدهکار سررسید شده (روز)]]*Main[[#This Row],[مانده در خط سررسید شده (کیلوگرم)]]</f>
        <v>0</v>
      </c>
    </row>
    <row r="480" spans="1:32" hidden="1" x14ac:dyDescent="0.35">
      <c r="A480" s="5">
        <f>ROW()-ROW(INDEX(Main[ردیف],1))+1</f>
        <v>478</v>
      </c>
      <c r="B480" s="31">
        <f>SUBTOTAL(2,INDEX(Main[ردیف],1):Main[[#This Row],[ردیف]])</f>
        <v>45</v>
      </c>
      <c r="C480" s="32" t="s">
        <v>556</v>
      </c>
      <c r="D480" s="32" t="str">
        <f>_xlfn.CONCAT("14",Main[[#This Row],[تاريخ]])</f>
        <v>1400/02/25</v>
      </c>
      <c r="E480" s="33">
        <v>44331</v>
      </c>
      <c r="F480" s="32">
        <v>30127</v>
      </c>
      <c r="G480" s="5" t="str">
        <f>INDEX(customer[عنوان],MATCH(Main[[#This Row],[کد ردیابی]],customer[کد],0))</f>
        <v>شیر گاز آذران</v>
      </c>
      <c r="H480">
        <v>1880</v>
      </c>
      <c r="I480" s="6">
        <f ca="1">-Main[[#This Row],[بدهی تسویه شده (کیلوگرم)]]+Main[[#This Row],[بستانکار (کیلوگرم)]]</f>
        <v>1880</v>
      </c>
      <c r="J480" s="6">
        <f>IF(Main[[#This Row],[مقدار (کیلوگرم)]]&gt;0,Main[[#This Row],[مقدار (کیلوگرم)]],0)</f>
        <v>1880</v>
      </c>
      <c r="K480" s="6">
        <f>-IF(Main[[#This Row],[مقدار (کیلوگرم)]]&lt;0,Main[[#This Row],[مقدار (کیلوگرم)]],0)</f>
        <v>0</v>
      </c>
      <c r="L4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0" s="7">
        <f>-IF(AND(Main[[#This Row],[مقدار (کیلوگرم)]]&lt;0,Main[[#This Row],[تاريخ میلادی]]&gt;44276),Main[[#This Row],[مقدار (کیلوگرم)]],0)</f>
        <v>0</v>
      </c>
      <c r="N480" s="6">
        <f ca="1">Main[[#This Row],[بدهکار (کیلوگرم)]]-Main[[#This Row],[بدهی تسویه نشده (کیلوگرم)]]</f>
        <v>0</v>
      </c>
      <c r="O480" s="6">
        <f ca="1">Main[[#This Row],[تفکیک]]</f>
        <v>0</v>
      </c>
      <c r="P480" s="6">
        <f ca="1">IF(Main[[#This Row],[تاخیر از سررسید]]&gt;0,Main[[#This Row],[بدهی تسویه نشده (کیلوگرم)]],0)</f>
        <v>0</v>
      </c>
      <c r="Q480" s="6">
        <f ca="1">IF(Main[[#This Row],[بدهی تسویه نشده (کیلوگرم)]]&gt;0,'گزارش فردی'!$B$7-Main[[#This Row],[تاريخ میلادی]],0)</f>
        <v>0</v>
      </c>
      <c r="R480" s="6">
        <f ca="1">IF(Main[[#This Row],[بدهی تسویه نشده (کیلوگرم)]]&gt;0,'گزارش فردی'!$B$7-Main[[#This Row],[تاريخ میلادی]]-'گزارش فردی'!$B$8,0)</f>
        <v>0</v>
      </c>
      <c r="S480" s="6">
        <f ca="1">Main[[#This Row],[روز از ارسال سفارش]]*Main[[#This Row],[بدهی تسویه نشده (کیلوگرم)]]</f>
        <v>0</v>
      </c>
      <c r="T480" s="6">
        <f ca="1">Main[[#This Row],[بدهی سررسید شده (کیلوگرم)]]*Main[[#This Row],[روز از ارسال سفارش]]</f>
        <v>0</v>
      </c>
      <c r="U480" s="6">
        <f>-SUBTOTAL(9,INDEX(Main[مقدار (کیلوگرم)],1):Main[[#This Row],[مقدار (کیلوگرم)]])</f>
        <v>20916</v>
      </c>
      <c r="V4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0" s="6">
        <f>Main[[#This Row],[تعداد کل روزهای بدهکار (روز)]]*Main[[#This Row],[مانده در خط کل (کیلوگرم)]]</f>
        <v>20916</v>
      </c>
      <c r="X480" s="6">
        <f ca="1">-SUBTOTAL(9,INDEX(Main[مقدار تسویه شده (کیلوگرم)],1):Main[[#This Row],[مقدار تسویه شده (کیلوگرم)]])</f>
        <v>20916</v>
      </c>
      <c r="Y480" s="6">
        <f ca="1">IF(Main[[#This Row],[مانده در خط تسویه شده (کیلوگرم)]]&lt;&gt;0,Main[[#This Row],[تعداد کل روزهای بدهکار (روز)]],0)</f>
        <v>1</v>
      </c>
      <c r="Z480" s="6">
        <f ca="1">Main[[#This Row],[تعداد روزهای بدهکار تسویه شده (روز)]]*Main[[#This Row],[مانده در خط تسویه شده (کیلوگرم)]]</f>
        <v>20916</v>
      </c>
      <c r="AA480" s="6">
        <f ca="1">SUBTOTAL(9,INDEX(Main[بدهی تسویه نشده (کیلوگرم)],1):Main[[#This Row],[بدهی تسویه نشده (کیلوگرم)]])</f>
        <v>0</v>
      </c>
      <c r="AB480" s="6">
        <f ca="1">IF(Main[[#This Row],[مانده در خط تسویه نشده (کیلوگرم)]]&lt;&gt;0,Main[[#This Row],[تعداد کل روزهای بدهکار (روز)]],0)</f>
        <v>0</v>
      </c>
      <c r="AC480" s="6">
        <f ca="1">Main[[#This Row],[تعداد روزهای بدهکار  تسویه نشده (روز)]]*Main[[#This Row],[مانده در خط تسویه نشده (کیلوگرم)]]</f>
        <v>0</v>
      </c>
      <c r="AD480" s="6">
        <f ca="1">SUBTOTAL(9,INDEX(Main[بدهی سررسید شده (کیلوگرم)],1):Main[[#This Row],[بدهی سررسید شده (کیلوگرم)]])</f>
        <v>0</v>
      </c>
      <c r="AE480" s="6">
        <f ca="1">IF(Main[[#This Row],[مانده در خط سررسید شده (کیلوگرم)]]&lt;&gt;0,Main[[#This Row],[تعداد کل روزهای بدهکار (روز)]],0)</f>
        <v>0</v>
      </c>
      <c r="AF480" s="6">
        <f ca="1">Main[[#This Row],[تعداد روزهای بدهکار سررسید شده (روز)]]*Main[[#This Row],[مانده در خط سررسید شده (کیلوگرم)]]</f>
        <v>0</v>
      </c>
    </row>
    <row r="481" spans="1:32" hidden="1" x14ac:dyDescent="0.35">
      <c r="A481" s="5">
        <f>ROW()-ROW(INDEX(Main[ردیف],1))+1</f>
        <v>479</v>
      </c>
      <c r="B481" s="31">
        <f>SUBTOTAL(2,INDEX(Main[ردیف],1):Main[[#This Row],[ردیف]])</f>
        <v>45</v>
      </c>
      <c r="C481" s="32" t="s">
        <v>556</v>
      </c>
      <c r="D481" s="32" t="str">
        <f>_xlfn.CONCAT("14",Main[[#This Row],[تاريخ]])</f>
        <v>1400/02/25</v>
      </c>
      <c r="E481" s="33">
        <v>44331</v>
      </c>
      <c r="F481" s="32">
        <v>10020</v>
      </c>
      <c r="G481" s="5" t="str">
        <f>INDEX(customer[عنوان],MATCH(Main[[#This Row],[کد ردیابی]],customer[کد],0))</f>
        <v>فرزاد اسماعیل زاده</v>
      </c>
      <c r="H481">
        <v>2222</v>
      </c>
      <c r="I481" s="6">
        <f ca="1">-Main[[#This Row],[بدهی تسویه شده (کیلوگرم)]]+Main[[#This Row],[بستانکار (کیلوگرم)]]</f>
        <v>2222</v>
      </c>
      <c r="J481" s="6">
        <f>IF(Main[[#This Row],[مقدار (کیلوگرم)]]&gt;0,Main[[#This Row],[مقدار (کیلوگرم)]],0)</f>
        <v>2222</v>
      </c>
      <c r="K481" s="6">
        <f>-IF(Main[[#This Row],[مقدار (کیلوگرم)]]&lt;0,Main[[#This Row],[مقدار (کیلوگرم)]],0)</f>
        <v>0</v>
      </c>
      <c r="L4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1" s="7">
        <f>-IF(AND(Main[[#This Row],[مقدار (کیلوگرم)]]&lt;0,Main[[#This Row],[تاريخ میلادی]]&gt;44276),Main[[#This Row],[مقدار (کیلوگرم)]],0)</f>
        <v>0</v>
      </c>
      <c r="N481" s="6">
        <f ca="1">Main[[#This Row],[بدهکار (کیلوگرم)]]-Main[[#This Row],[بدهی تسویه نشده (کیلوگرم)]]</f>
        <v>0</v>
      </c>
      <c r="O481" s="6">
        <f ca="1">Main[[#This Row],[تفکیک]]</f>
        <v>0</v>
      </c>
      <c r="P481" s="6">
        <f ca="1">IF(Main[[#This Row],[تاخیر از سررسید]]&gt;0,Main[[#This Row],[بدهی تسویه نشده (کیلوگرم)]],0)</f>
        <v>0</v>
      </c>
      <c r="Q481" s="6">
        <f ca="1">IF(Main[[#This Row],[بدهی تسویه نشده (کیلوگرم)]]&gt;0,'گزارش فردی'!$B$7-Main[[#This Row],[تاريخ میلادی]],0)</f>
        <v>0</v>
      </c>
      <c r="R481" s="6">
        <f ca="1">IF(Main[[#This Row],[بدهی تسویه نشده (کیلوگرم)]]&gt;0,'گزارش فردی'!$B$7-Main[[#This Row],[تاريخ میلادی]]-'گزارش فردی'!$B$8,0)</f>
        <v>0</v>
      </c>
      <c r="S481" s="6">
        <f ca="1">Main[[#This Row],[روز از ارسال سفارش]]*Main[[#This Row],[بدهی تسویه نشده (کیلوگرم)]]</f>
        <v>0</v>
      </c>
      <c r="T481" s="6">
        <f ca="1">Main[[#This Row],[بدهی سررسید شده (کیلوگرم)]]*Main[[#This Row],[روز از ارسال سفارش]]</f>
        <v>0</v>
      </c>
      <c r="U481" s="6">
        <f>-SUBTOTAL(9,INDEX(Main[مقدار (کیلوگرم)],1):Main[[#This Row],[مقدار (کیلوگرم)]])</f>
        <v>20916</v>
      </c>
      <c r="V4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1" s="6">
        <f>Main[[#This Row],[تعداد کل روزهای بدهکار (روز)]]*Main[[#This Row],[مانده در خط کل (کیلوگرم)]]</f>
        <v>20916</v>
      </c>
      <c r="X481" s="6">
        <f ca="1">-SUBTOTAL(9,INDEX(Main[مقدار تسویه شده (کیلوگرم)],1):Main[[#This Row],[مقدار تسویه شده (کیلوگرم)]])</f>
        <v>20916</v>
      </c>
      <c r="Y481" s="6">
        <f ca="1">IF(Main[[#This Row],[مانده در خط تسویه شده (کیلوگرم)]]&lt;&gt;0,Main[[#This Row],[تعداد کل روزهای بدهکار (روز)]],0)</f>
        <v>1</v>
      </c>
      <c r="Z481" s="6">
        <f ca="1">Main[[#This Row],[تعداد روزهای بدهکار تسویه شده (روز)]]*Main[[#This Row],[مانده در خط تسویه شده (کیلوگرم)]]</f>
        <v>20916</v>
      </c>
      <c r="AA481" s="6">
        <f ca="1">SUBTOTAL(9,INDEX(Main[بدهی تسویه نشده (کیلوگرم)],1):Main[[#This Row],[بدهی تسویه نشده (کیلوگرم)]])</f>
        <v>0</v>
      </c>
      <c r="AB481" s="6">
        <f ca="1">IF(Main[[#This Row],[مانده در خط تسویه نشده (کیلوگرم)]]&lt;&gt;0,Main[[#This Row],[تعداد کل روزهای بدهکار (روز)]],0)</f>
        <v>0</v>
      </c>
      <c r="AC481" s="6">
        <f ca="1">Main[[#This Row],[تعداد روزهای بدهکار  تسویه نشده (روز)]]*Main[[#This Row],[مانده در خط تسویه نشده (کیلوگرم)]]</f>
        <v>0</v>
      </c>
      <c r="AD481" s="6">
        <f ca="1">SUBTOTAL(9,INDEX(Main[بدهی سررسید شده (کیلوگرم)],1):Main[[#This Row],[بدهی سررسید شده (کیلوگرم)]])</f>
        <v>0</v>
      </c>
      <c r="AE481" s="6">
        <f ca="1">IF(Main[[#This Row],[مانده در خط سررسید شده (کیلوگرم)]]&lt;&gt;0,Main[[#This Row],[تعداد کل روزهای بدهکار (روز)]],0)</f>
        <v>0</v>
      </c>
      <c r="AF481" s="6">
        <f ca="1">Main[[#This Row],[تعداد روزهای بدهکار سررسید شده (روز)]]*Main[[#This Row],[مانده در خط سررسید شده (کیلوگرم)]]</f>
        <v>0</v>
      </c>
    </row>
    <row r="482" spans="1:32" hidden="1" x14ac:dyDescent="0.35">
      <c r="A482" s="5">
        <f>ROW()-ROW(INDEX(Main[ردیف],1))+1</f>
        <v>480</v>
      </c>
      <c r="B482" s="31">
        <f>SUBTOTAL(2,INDEX(Main[ردیف],1):Main[[#This Row],[ردیف]])</f>
        <v>45</v>
      </c>
      <c r="C482" s="32" t="s">
        <v>556</v>
      </c>
      <c r="D482" s="32" t="str">
        <f>_xlfn.CONCAT("14",Main[[#This Row],[تاريخ]])</f>
        <v>1400/02/25</v>
      </c>
      <c r="E482" s="33">
        <v>44331</v>
      </c>
      <c r="F482" s="32">
        <v>30066</v>
      </c>
      <c r="G482" s="5" t="str">
        <f>INDEX(customer[عنوان],MATCH(Main[[#This Row],[کد ردیابی]],customer[کد],0))</f>
        <v xml:space="preserve">شیر آلات بهداشتی قهرمان </v>
      </c>
      <c r="H482">
        <v>3871</v>
      </c>
      <c r="I482" s="6">
        <f ca="1">-Main[[#This Row],[بدهی تسویه شده (کیلوگرم)]]+Main[[#This Row],[بستانکار (کیلوگرم)]]</f>
        <v>3871</v>
      </c>
      <c r="J482" s="6">
        <f>IF(Main[[#This Row],[مقدار (کیلوگرم)]]&gt;0,Main[[#This Row],[مقدار (کیلوگرم)]],0)</f>
        <v>3871</v>
      </c>
      <c r="K482" s="6">
        <f>-IF(Main[[#This Row],[مقدار (کیلوگرم)]]&lt;0,Main[[#This Row],[مقدار (کیلوگرم)]],0)</f>
        <v>0</v>
      </c>
      <c r="L4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2" s="7">
        <f>-IF(AND(Main[[#This Row],[مقدار (کیلوگرم)]]&lt;0,Main[[#This Row],[تاريخ میلادی]]&gt;44276),Main[[#This Row],[مقدار (کیلوگرم)]],0)</f>
        <v>0</v>
      </c>
      <c r="N482" s="6">
        <f ca="1">Main[[#This Row],[بدهکار (کیلوگرم)]]-Main[[#This Row],[بدهی تسویه نشده (کیلوگرم)]]</f>
        <v>0</v>
      </c>
      <c r="O482" s="6">
        <f ca="1">Main[[#This Row],[تفکیک]]</f>
        <v>0</v>
      </c>
      <c r="P482" s="6">
        <f ca="1">IF(Main[[#This Row],[تاخیر از سررسید]]&gt;0,Main[[#This Row],[بدهی تسویه نشده (کیلوگرم)]],0)</f>
        <v>0</v>
      </c>
      <c r="Q482" s="6">
        <f ca="1">IF(Main[[#This Row],[بدهی تسویه نشده (کیلوگرم)]]&gt;0,'گزارش فردی'!$B$7-Main[[#This Row],[تاريخ میلادی]],0)</f>
        <v>0</v>
      </c>
      <c r="R482" s="6">
        <f ca="1">IF(Main[[#This Row],[بدهی تسویه نشده (کیلوگرم)]]&gt;0,'گزارش فردی'!$B$7-Main[[#This Row],[تاريخ میلادی]]-'گزارش فردی'!$B$8,0)</f>
        <v>0</v>
      </c>
      <c r="S482" s="6">
        <f ca="1">Main[[#This Row],[روز از ارسال سفارش]]*Main[[#This Row],[بدهی تسویه نشده (کیلوگرم)]]</f>
        <v>0</v>
      </c>
      <c r="T482" s="6">
        <f ca="1">Main[[#This Row],[بدهی سررسید شده (کیلوگرم)]]*Main[[#This Row],[روز از ارسال سفارش]]</f>
        <v>0</v>
      </c>
      <c r="U482" s="6">
        <f>-SUBTOTAL(9,INDEX(Main[مقدار (کیلوگرم)],1):Main[[#This Row],[مقدار (کیلوگرم)]])</f>
        <v>20916</v>
      </c>
      <c r="V48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2" s="6">
        <f>Main[[#This Row],[تعداد کل روزهای بدهکار (روز)]]*Main[[#This Row],[مانده در خط کل (کیلوگرم)]]</f>
        <v>20916</v>
      </c>
      <c r="X482" s="6">
        <f ca="1">-SUBTOTAL(9,INDEX(Main[مقدار تسویه شده (کیلوگرم)],1):Main[[#This Row],[مقدار تسویه شده (کیلوگرم)]])</f>
        <v>20916</v>
      </c>
      <c r="Y482" s="6">
        <f ca="1">IF(Main[[#This Row],[مانده در خط تسویه شده (کیلوگرم)]]&lt;&gt;0,Main[[#This Row],[تعداد کل روزهای بدهکار (روز)]],0)</f>
        <v>1</v>
      </c>
      <c r="Z482" s="6">
        <f ca="1">Main[[#This Row],[تعداد روزهای بدهکار تسویه شده (روز)]]*Main[[#This Row],[مانده در خط تسویه شده (کیلوگرم)]]</f>
        <v>20916</v>
      </c>
      <c r="AA482" s="6">
        <f ca="1">SUBTOTAL(9,INDEX(Main[بدهی تسویه نشده (کیلوگرم)],1):Main[[#This Row],[بدهی تسویه نشده (کیلوگرم)]])</f>
        <v>0</v>
      </c>
      <c r="AB482" s="6">
        <f ca="1">IF(Main[[#This Row],[مانده در خط تسویه نشده (کیلوگرم)]]&lt;&gt;0,Main[[#This Row],[تعداد کل روزهای بدهکار (روز)]],0)</f>
        <v>0</v>
      </c>
      <c r="AC482" s="6">
        <f ca="1">Main[[#This Row],[تعداد روزهای بدهکار  تسویه نشده (روز)]]*Main[[#This Row],[مانده در خط تسویه نشده (کیلوگرم)]]</f>
        <v>0</v>
      </c>
      <c r="AD482" s="6">
        <f ca="1">SUBTOTAL(9,INDEX(Main[بدهی سررسید شده (کیلوگرم)],1):Main[[#This Row],[بدهی سررسید شده (کیلوگرم)]])</f>
        <v>0</v>
      </c>
      <c r="AE482" s="6">
        <f ca="1">IF(Main[[#This Row],[مانده در خط سررسید شده (کیلوگرم)]]&lt;&gt;0,Main[[#This Row],[تعداد کل روزهای بدهکار (روز)]],0)</f>
        <v>0</v>
      </c>
      <c r="AF482" s="6">
        <f ca="1">Main[[#This Row],[تعداد روزهای بدهکار سررسید شده (روز)]]*Main[[#This Row],[مانده در خط سررسید شده (کیلوگرم)]]</f>
        <v>0</v>
      </c>
    </row>
    <row r="483" spans="1:32" hidden="1" x14ac:dyDescent="0.35">
      <c r="A483" s="5">
        <f>ROW()-ROW(INDEX(Main[ردیف],1))+1</f>
        <v>481</v>
      </c>
      <c r="B483" s="31">
        <f>SUBTOTAL(2,INDEX(Main[ردیف],1):Main[[#This Row],[ردیف]])</f>
        <v>45</v>
      </c>
      <c r="C483" s="32" t="s">
        <v>556</v>
      </c>
      <c r="D483" s="32" t="str">
        <f>_xlfn.CONCAT("14",Main[[#This Row],[تاريخ]])</f>
        <v>1400/02/25</v>
      </c>
      <c r="E483" s="33">
        <v>44331</v>
      </c>
      <c r="F483" s="32">
        <v>30127</v>
      </c>
      <c r="G483" s="5" t="str">
        <f>INDEX(customer[عنوان],MATCH(Main[[#This Row],[کد ردیابی]],customer[کد],0))</f>
        <v>شیر گاز آذران</v>
      </c>
      <c r="H483">
        <v>1976</v>
      </c>
      <c r="I483" s="6">
        <f ca="1">-Main[[#This Row],[بدهی تسویه شده (کیلوگرم)]]+Main[[#This Row],[بستانکار (کیلوگرم)]]</f>
        <v>1976</v>
      </c>
      <c r="J483" s="6">
        <f>IF(Main[[#This Row],[مقدار (کیلوگرم)]]&gt;0,Main[[#This Row],[مقدار (کیلوگرم)]],0)</f>
        <v>1976</v>
      </c>
      <c r="K483" s="6">
        <f>-IF(Main[[#This Row],[مقدار (کیلوگرم)]]&lt;0,Main[[#This Row],[مقدار (کیلوگرم)]],0)</f>
        <v>0</v>
      </c>
      <c r="L4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3" s="7">
        <f>-IF(AND(Main[[#This Row],[مقدار (کیلوگرم)]]&lt;0,Main[[#This Row],[تاريخ میلادی]]&gt;44276),Main[[#This Row],[مقدار (کیلوگرم)]],0)</f>
        <v>0</v>
      </c>
      <c r="N483" s="6">
        <f ca="1">Main[[#This Row],[بدهکار (کیلوگرم)]]-Main[[#This Row],[بدهی تسویه نشده (کیلوگرم)]]</f>
        <v>0</v>
      </c>
      <c r="O483" s="6">
        <f ca="1">Main[[#This Row],[تفکیک]]</f>
        <v>0</v>
      </c>
      <c r="P483" s="6">
        <f ca="1">IF(Main[[#This Row],[تاخیر از سررسید]]&gt;0,Main[[#This Row],[بدهی تسویه نشده (کیلوگرم)]],0)</f>
        <v>0</v>
      </c>
      <c r="Q483" s="6">
        <f ca="1">IF(Main[[#This Row],[بدهی تسویه نشده (کیلوگرم)]]&gt;0,'گزارش فردی'!$B$7-Main[[#This Row],[تاريخ میلادی]],0)</f>
        <v>0</v>
      </c>
      <c r="R483" s="6">
        <f ca="1">IF(Main[[#This Row],[بدهی تسویه نشده (کیلوگرم)]]&gt;0,'گزارش فردی'!$B$7-Main[[#This Row],[تاريخ میلادی]]-'گزارش فردی'!$B$8,0)</f>
        <v>0</v>
      </c>
      <c r="S483" s="6">
        <f ca="1">Main[[#This Row],[روز از ارسال سفارش]]*Main[[#This Row],[بدهی تسویه نشده (کیلوگرم)]]</f>
        <v>0</v>
      </c>
      <c r="T483" s="6">
        <f ca="1">Main[[#This Row],[بدهی سررسید شده (کیلوگرم)]]*Main[[#This Row],[روز از ارسال سفارش]]</f>
        <v>0</v>
      </c>
      <c r="U483" s="6">
        <f>-SUBTOTAL(9,INDEX(Main[مقدار (کیلوگرم)],1):Main[[#This Row],[مقدار (کیلوگرم)]])</f>
        <v>20916</v>
      </c>
      <c r="V4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3" s="6">
        <f>Main[[#This Row],[تعداد کل روزهای بدهکار (روز)]]*Main[[#This Row],[مانده در خط کل (کیلوگرم)]]</f>
        <v>20916</v>
      </c>
      <c r="X483" s="6">
        <f ca="1">-SUBTOTAL(9,INDEX(Main[مقدار تسویه شده (کیلوگرم)],1):Main[[#This Row],[مقدار تسویه شده (کیلوگرم)]])</f>
        <v>20916</v>
      </c>
      <c r="Y483" s="6">
        <f ca="1">IF(Main[[#This Row],[مانده در خط تسویه شده (کیلوگرم)]]&lt;&gt;0,Main[[#This Row],[تعداد کل روزهای بدهکار (روز)]],0)</f>
        <v>1</v>
      </c>
      <c r="Z483" s="6">
        <f ca="1">Main[[#This Row],[تعداد روزهای بدهکار تسویه شده (روز)]]*Main[[#This Row],[مانده در خط تسویه شده (کیلوگرم)]]</f>
        <v>20916</v>
      </c>
      <c r="AA483" s="6">
        <f ca="1">SUBTOTAL(9,INDEX(Main[بدهی تسویه نشده (کیلوگرم)],1):Main[[#This Row],[بدهی تسویه نشده (کیلوگرم)]])</f>
        <v>0</v>
      </c>
      <c r="AB483" s="6">
        <f ca="1">IF(Main[[#This Row],[مانده در خط تسویه نشده (کیلوگرم)]]&lt;&gt;0,Main[[#This Row],[تعداد کل روزهای بدهکار (روز)]],0)</f>
        <v>0</v>
      </c>
      <c r="AC483" s="6">
        <f ca="1">Main[[#This Row],[تعداد روزهای بدهکار  تسویه نشده (روز)]]*Main[[#This Row],[مانده در خط تسویه نشده (کیلوگرم)]]</f>
        <v>0</v>
      </c>
      <c r="AD483" s="6">
        <f ca="1">SUBTOTAL(9,INDEX(Main[بدهی سررسید شده (کیلوگرم)],1):Main[[#This Row],[بدهی سررسید شده (کیلوگرم)]])</f>
        <v>0</v>
      </c>
      <c r="AE483" s="6">
        <f ca="1">IF(Main[[#This Row],[مانده در خط سررسید شده (کیلوگرم)]]&lt;&gt;0,Main[[#This Row],[تعداد کل روزهای بدهکار (روز)]],0)</f>
        <v>0</v>
      </c>
      <c r="AF483" s="6">
        <f ca="1">Main[[#This Row],[تعداد روزهای بدهکار سررسید شده (روز)]]*Main[[#This Row],[مانده در خط سررسید شده (کیلوگرم)]]</f>
        <v>0</v>
      </c>
    </row>
    <row r="484" spans="1:32" hidden="1" x14ac:dyDescent="0.35">
      <c r="A484" s="5">
        <f>ROW()-ROW(INDEX(Main[ردیف],1))+1</f>
        <v>482</v>
      </c>
      <c r="B484" s="31">
        <f>SUBTOTAL(2,INDEX(Main[ردیف],1):Main[[#This Row],[ردیف]])</f>
        <v>45</v>
      </c>
      <c r="C484" s="32" t="s">
        <v>557</v>
      </c>
      <c r="D484" s="32" t="str">
        <f>_xlfn.CONCAT("14",Main[[#This Row],[تاريخ]])</f>
        <v>1400/02/26</v>
      </c>
      <c r="E484" s="33">
        <v>44332</v>
      </c>
      <c r="F484" s="32">
        <v>30070</v>
      </c>
      <c r="G484" s="5" t="str">
        <f>INDEX(customer[عنوان],MATCH(Main[[#This Row],[کد ردیابی]],customer[کد],0))</f>
        <v xml:space="preserve">تکنو تراش یادگار </v>
      </c>
      <c r="H484">
        <v>-1998</v>
      </c>
      <c r="I484" s="6">
        <f ca="1">-Main[[#This Row],[بدهی تسویه شده (کیلوگرم)]]+Main[[#This Row],[بستانکار (کیلوگرم)]]</f>
        <v>-1998</v>
      </c>
      <c r="J484" s="6">
        <f>IF(Main[[#This Row],[مقدار (کیلوگرم)]]&gt;0,Main[[#This Row],[مقدار (کیلوگرم)]],0)</f>
        <v>0</v>
      </c>
      <c r="K484" s="6">
        <f>-IF(Main[[#This Row],[مقدار (کیلوگرم)]]&lt;0,Main[[#This Row],[مقدار (کیلوگرم)]],0)</f>
        <v>1998</v>
      </c>
      <c r="L4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4" s="7">
        <f>-IF(AND(Main[[#This Row],[مقدار (کیلوگرم)]]&lt;0,Main[[#This Row],[تاريخ میلادی]]&gt;44276),Main[[#This Row],[مقدار (کیلوگرم)]],0)</f>
        <v>1998</v>
      </c>
      <c r="N484" s="6">
        <f ca="1">Main[[#This Row],[بدهکار (کیلوگرم)]]-Main[[#This Row],[بدهی تسویه نشده (کیلوگرم)]]</f>
        <v>1998</v>
      </c>
      <c r="O484" s="6">
        <f ca="1">Main[[#This Row],[تفکیک]]</f>
        <v>0</v>
      </c>
      <c r="P484" s="6">
        <f ca="1">IF(Main[[#This Row],[تاخیر از سررسید]]&gt;0,Main[[#This Row],[بدهی تسویه نشده (کیلوگرم)]],0)</f>
        <v>0</v>
      </c>
      <c r="Q484" s="6">
        <f ca="1">IF(Main[[#This Row],[بدهی تسویه نشده (کیلوگرم)]]&gt;0,'گزارش فردی'!$B$7-Main[[#This Row],[تاريخ میلادی]],0)</f>
        <v>0</v>
      </c>
      <c r="R484" s="6">
        <f ca="1">IF(Main[[#This Row],[بدهی تسویه نشده (کیلوگرم)]]&gt;0,'گزارش فردی'!$B$7-Main[[#This Row],[تاريخ میلادی]]-'گزارش فردی'!$B$8,0)</f>
        <v>0</v>
      </c>
      <c r="S484" s="6">
        <f ca="1">Main[[#This Row],[روز از ارسال سفارش]]*Main[[#This Row],[بدهی تسویه نشده (کیلوگرم)]]</f>
        <v>0</v>
      </c>
      <c r="T484" s="6">
        <f ca="1">Main[[#This Row],[بدهی سررسید شده (کیلوگرم)]]*Main[[#This Row],[روز از ارسال سفارش]]</f>
        <v>0</v>
      </c>
      <c r="U484" s="6">
        <f>-SUBTOTAL(9,INDEX(Main[مقدار (کیلوگرم)],1):Main[[#This Row],[مقدار (کیلوگرم)]])</f>
        <v>20916</v>
      </c>
      <c r="V4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4" s="6">
        <f>Main[[#This Row],[تعداد کل روزهای بدهکار (روز)]]*Main[[#This Row],[مانده در خط کل (کیلوگرم)]]</f>
        <v>0</v>
      </c>
      <c r="X484" s="6">
        <f ca="1">-SUBTOTAL(9,INDEX(Main[مقدار تسویه شده (کیلوگرم)],1):Main[[#This Row],[مقدار تسویه شده (کیلوگرم)]])</f>
        <v>20916</v>
      </c>
      <c r="Y484" s="6">
        <f ca="1">IF(Main[[#This Row],[مانده در خط تسویه شده (کیلوگرم)]]&lt;&gt;0,Main[[#This Row],[تعداد کل روزهای بدهکار (روز)]],0)</f>
        <v>0</v>
      </c>
      <c r="Z484" s="6">
        <f ca="1">Main[[#This Row],[تعداد روزهای بدهکار تسویه شده (روز)]]*Main[[#This Row],[مانده در خط تسویه شده (کیلوگرم)]]</f>
        <v>0</v>
      </c>
      <c r="AA484" s="6">
        <f ca="1">SUBTOTAL(9,INDEX(Main[بدهی تسویه نشده (کیلوگرم)],1):Main[[#This Row],[بدهی تسویه نشده (کیلوگرم)]])</f>
        <v>0</v>
      </c>
      <c r="AB484" s="6">
        <f ca="1">IF(Main[[#This Row],[مانده در خط تسویه نشده (کیلوگرم)]]&lt;&gt;0,Main[[#This Row],[تعداد کل روزهای بدهکار (روز)]],0)</f>
        <v>0</v>
      </c>
      <c r="AC484" s="6">
        <f ca="1">Main[[#This Row],[تعداد روزهای بدهکار  تسویه نشده (روز)]]*Main[[#This Row],[مانده در خط تسویه نشده (کیلوگرم)]]</f>
        <v>0</v>
      </c>
      <c r="AD484" s="6">
        <f ca="1">SUBTOTAL(9,INDEX(Main[بدهی سررسید شده (کیلوگرم)],1):Main[[#This Row],[بدهی سررسید شده (کیلوگرم)]])</f>
        <v>0</v>
      </c>
      <c r="AE484" s="6">
        <f ca="1">IF(Main[[#This Row],[مانده در خط سررسید شده (کیلوگرم)]]&lt;&gt;0,Main[[#This Row],[تعداد کل روزهای بدهکار (روز)]],0)</f>
        <v>0</v>
      </c>
      <c r="AF484" s="6">
        <f ca="1">Main[[#This Row],[تعداد روزهای بدهکار سررسید شده (روز)]]*Main[[#This Row],[مانده در خط سررسید شده (کیلوگرم)]]</f>
        <v>0</v>
      </c>
    </row>
    <row r="485" spans="1:32" hidden="1" x14ac:dyDescent="0.35">
      <c r="A485" s="5">
        <f>ROW()-ROW(INDEX(Main[ردیف],1))+1</f>
        <v>483</v>
      </c>
      <c r="B485" s="31">
        <f>SUBTOTAL(2,INDEX(Main[ردیف],1):Main[[#This Row],[ردیف]])</f>
        <v>45</v>
      </c>
      <c r="C485" s="32" t="s">
        <v>557</v>
      </c>
      <c r="D485" s="32" t="str">
        <f>_xlfn.CONCAT("14",Main[[#This Row],[تاريخ]])</f>
        <v>1400/02/26</v>
      </c>
      <c r="E485" s="33">
        <v>44332</v>
      </c>
      <c r="F485" s="32">
        <v>10048</v>
      </c>
      <c r="G485" s="5" t="str">
        <f>INDEX(customer[عنوان],MATCH(Main[[#This Row],[کد ردیابی]],customer[کد],0))</f>
        <v xml:space="preserve">حسام کریمان  </v>
      </c>
      <c r="H485">
        <v>480</v>
      </c>
      <c r="I485" s="6">
        <f ca="1">-Main[[#This Row],[بدهی تسویه شده (کیلوگرم)]]+Main[[#This Row],[بستانکار (کیلوگرم)]]</f>
        <v>480</v>
      </c>
      <c r="J485" s="6">
        <f>IF(Main[[#This Row],[مقدار (کیلوگرم)]]&gt;0,Main[[#This Row],[مقدار (کیلوگرم)]],0)</f>
        <v>480</v>
      </c>
      <c r="K485" s="6">
        <f>-IF(Main[[#This Row],[مقدار (کیلوگرم)]]&lt;0,Main[[#This Row],[مقدار (کیلوگرم)]],0)</f>
        <v>0</v>
      </c>
      <c r="L4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5" s="7">
        <f>-IF(AND(Main[[#This Row],[مقدار (کیلوگرم)]]&lt;0,Main[[#This Row],[تاريخ میلادی]]&gt;44276),Main[[#This Row],[مقدار (کیلوگرم)]],0)</f>
        <v>0</v>
      </c>
      <c r="N485" s="6">
        <f ca="1">Main[[#This Row],[بدهکار (کیلوگرم)]]-Main[[#This Row],[بدهی تسویه نشده (کیلوگرم)]]</f>
        <v>0</v>
      </c>
      <c r="O485" s="6">
        <f ca="1">Main[[#This Row],[تفکیک]]</f>
        <v>0</v>
      </c>
      <c r="P485" s="6">
        <f ca="1">IF(Main[[#This Row],[تاخیر از سررسید]]&gt;0,Main[[#This Row],[بدهی تسویه نشده (کیلوگرم)]],0)</f>
        <v>0</v>
      </c>
      <c r="Q485" s="6">
        <f ca="1">IF(Main[[#This Row],[بدهی تسویه نشده (کیلوگرم)]]&gt;0,'گزارش فردی'!$B$7-Main[[#This Row],[تاريخ میلادی]],0)</f>
        <v>0</v>
      </c>
      <c r="R485" s="6">
        <f ca="1">IF(Main[[#This Row],[بدهی تسویه نشده (کیلوگرم)]]&gt;0,'گزارش فردی'!$B$7-Main[[#This Row],[تاريخ میلادی]]-'گزارش فردی'!$B$8,0)</f>
        <v>0</v>
      </c>
      <c r="S485" s="6">
        <f ca="1">Main[[#This Row],[روز از ارسال سفارش]]*Main[[#This Row],[بدهی تسویه نشده (کیلوگرم)]]</f>
        <v>0</v>
      </c>
      <c r="T485" s="6">
        <f ca="1">Main[[#This Row],[بدهی سررسید شده (کیلوگرم)]]*Main[[#This Row],[روز از ارسال سفارش]]</f>
        <v>0</v>
      </c>
      <c r="U485" s="6">
        <f>-SUBTOTAL(9,INDEX(Main[مقدار (کیلوگرم)],1):Main[[#This Row],[مقدار (کیلوگرم)]])</f>
        <v>20916</v>
      </c>
      <c r="V4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5" s="6">
        <f>Main[[#This Row],[تعداد کل روزهای بدهکار (روز)]]*Main[[#This Row],[مانده در خط کل (کیلوگرم)]]</f>
        <v>0</v>
      </c>
      <c r="X485" s="6">
        <f ca="1">-SUBTOTAL(9,INDEX(Main[مقدار تسویه شده (کیلوگرم)],1):Main[[#This Row],[مقدار تسویه شده (کیلوگرم)]])</f>
        <v>20916</v>
      </c>
      <c r="Y485" s="6">
        <f ca="1">IF(Main[[#This Row],[مانده در خط تسویه شده (کیلوگرم)]]&lt;&gt;0,Main[[#This Row],[تعداد کل روزهای بدهکار (روز)]],0)</f>
        <v>0</v>
      </c>
      <c r="Z485" s="6">
        <f ca="1">Main[[#This Row],[تعداد روزهای بدهکار تسویه شده (روز)]]*Main[[#This Row],[مانده در خط تسویه شده (کیلوگرم)]]</f>
        <v>0</v>
      </c>
      <c r="AA485" s="6">
        <f ca="1">SUBTOTAL(9,INDEX(Main[بدهی تسویه نشده (کیلوگرم)],1):Main[[#This Row],[بدهی تسویه نشده (کیلوگرم)]])</f>
        <v>0</v>
      </c>
      <c r="AB485" s="6">
        <f ca="1">IF(Main[[#This Row],[مانده در خط تسویه نشده (کیلوگرم)]]&lt;&gt;0,Main[[#This Row],[تعداد کل روزهای بدهکار (روز)]],0)</f>
        <v>0</v>
      </c>
      <c r="AC485" s="6">
        <f ca="1">Main[[#This Row],[تعداد روزهای بدهکار  تسویه نشده (روز)]]*Main[[#This Row],[مانده در خط تسویه نشده (کیلوگرم)]]</f>
        <v>0</v>
      </c>
      <c r="AD485" s="6">
        <f ca="1">SUBTOTAL(9,INDEX(Main[بدهی سررسید شده (کیلوگرم)],1):Main[[#This Row],[بدهی سررسید شده (کیلوگرم)]])</f>
        <v>0</v>
      </c>
      <c r="AE485" s="6">
        <f ca="1">IF(Main[[#This Row],[مانده در خط سررسید شده (کیلوگرم)]]&lt;&gt;0,Main[[#This Row],[تعداد کل روزهای بدهکار (روز)]],0)</f>
        <v>0</v>
      </c>
      <c r="AF485" s="6">
        <f ca="1">Main[[#This Row],[تعداد روزهای بدهکار سررسید شده (روز)]]*Main[[#This Row],[مانده در خط سررسید شده (کیلوگرم)]]</f>
        <v>0</v>
      </c>
    </row>
    <row r="486" spans="1:32" hidden="1" x14ac:dyDescent="0.35">
      <c r="A486" s="5">
        <f>ROW()-ROW(INDEX(Main[ردیف],1))+1</f>
        <v>484</v>
      </c>
      <c r="B486" s="31">
        <f>SUBTOTAL(2,INDEX(Main[ردیف],1):Main[[#This Row],[ردیف]])</f>
        <v>45</v>
      </c>
      <c r="C486" s="32" t="s">
        <v>557</v>
      </c>
      <c r="D486" s="32" t="str">
        <f>_xlfn.CONCAT("14",Main[[#This Row],[تاريخ]])</f>
        <v>1400/02/26</v>
      </c>
      <c r="E486" s="33">
        <v>44332</v>
      </c>
      <c r="F486" s="32">
        <v>30018</v>
      </c>
      <c r="G486" s="5" t="str">
        <f>INDEX(customer[عنوان],MATCH(Main[[#This Row],[کد ردیابی]],customer[کد],0))</f>
        <v xml:space="preserve">تولیدی شیر سازی غریب پویا </v>
      </c>
      <c r="H486">
        <v>-1530</v>
      </c>
      <c r="I486" s="6">
        <f ca="1">-Main[[#This Row],[بدهی تسویه شده (کیلوگرم)]]+Main[[#This Row],[بستانکار (کیلوگرم)]]</f>
        <v>-1530</v>
      </c>
      <c r="J486" s="6">
        <f>IF(Main[[#This Row],[مقدار (کیلوگرم)]]&gt;0,Main[[#This Row],[مقدار (کیلوگرم)]],0)</f>
        <v>0</v>
      </c>
      <c r="K486" s="6">
        <f>-IF(Main[[#This Row],[مقدار (کیلوگرم)]]&lt;0,Main[[#This Row],[مقدار (کیلوگرم)]],0)</f>
        <v>1530</v>
      </c>
      <c r="L4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6" s="7">
        <f>-IF(AND(Main[[#This Row],[مقدار (کیلوگرم)]]&lt;0,Main[[#This Row],[تاريخ میلادی]]&gt;44276),Main[[#This Row],[مقدار (کیلوگرم)]],0)</f>
        <v>1530</v>
      </c>
      <c r="N486" s="6">
        <f ca="1">Main[[#This Row],[بدهکار (کیلوگرم)]]-Main[[#This Row],[بدهی تسویه نشده (کیلوگرم)]]</f>
        <v>1530</v>
      </c>
      <c r="O486" s="6">
        <f ca="1">Main[[#This Row],[تفکیک]]</f>
        <v>0</v>
      </c>
      <c r="P486" s="6">
        <f ca="1">IF(Main[[#This Row],[تاخیر از سررسید]]&gt;0,Main[[#This Row],[بدهی تسویه نشده (کیلوگرم)]],0)</f>
        <v>0</v>
      </c>
      <c r="Q486" s="6">
        <f ca="1">IF(Main[[#This Row],[بدهی تسویه نشده (کیلوگرم)]]&gt;0,'گزارش فردی'!$B$7-Main[[#This Row],[تاريخ میلادی]],0)</f>
        <v>0</v>
      </c>
      <c r="R486" s="6">
        <f ca="1">IF(Main[[#This Row],[بدهی تسویه نشده (کیلوگرم)]]&gt;0,'گزارش فردی'!$B$7-Main[[#This Row],[تاريخ میلادی]]-'گزارش فردی'!$B$8,0)</f>
        <v>0</v>
      </c>
      <c r="S486" s="6">
        <f ca="1">Main[[#This Row],[روز از ارسال سفارش]]*Main[[#This Row],[بدهی تسویه نشده (کیلوگرم)]]</f>
        <v>0</v>
      </c>
      <c r="T486" s="6">
        <f ca="1">Main[[#This Row],[بدهی سررسید شده (کیلوگرم)]]*Main[[#This Row],[روز از ارسال سفارش]]</f>
        <v>0</v>
      </c>
      <c r="U486" s="6">
        <f>-SUBTOTAL(9,INDEX(Main[مقدار (کیلوگرم)],1):Main[[#This Row],[مقدار (کیلوگرم)]])</f>
        <v>20916</v>
      </c>
      <c r="V4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6" s="6">
        <f>Main[[#This Row],[تعداد کل روزهای بدهکار (روز)]]*Main[[#This Row],[مانده در خط کل (کیلوگرم)]]</f>
        <v>0</v>
      </c>
      <c r="X486" s="6">
        <f ca="1">-SUBTOTAL(9,INDEX(Main[مقدار تسویه شده (کیلوگرم)],1):Main[[#This Row],[مقدار تسویه شده (کیلوگرم)]])</f>
        <v>20916</v>
      </c>
      <c r="Y486" s="6">
        <f ca="1">IF(Main[[#This Row],[مانده در خط تسویه شده (کیلوگرم)]]&lt;&gt;0,Main[[#This Row],[تعداد کل روزهای بدهکار (روز)]],0)</f>
        <v>0</v>
      </c>
      <c r="Z486" s="6">
        <f ca="1">Main[[#This Row],[تعداد روزهای بدهکار تسویه شده (روز)]]*Main[[#This Row],[مانده در خط تسویه شده (کیلوگرم)]]</f>
        <v>0</v>
      </c>
      <c r="AA486" s="6">
        <f ca="1">SUBTOTAL(9,INDEX(Main[بدهی تسویه نشده (کیلوگرم)],1):Main[[#This Row],[بدهی تسویه نشده (کیلوگرم)]])</f>
        <v>0</v>
      </c>
      <c r="AB486" s="6">
        <f ca="1">IF(Main[[#This Row],[مانده در خط تسویه نشده (کیلوگرم)]]&lt;&gt;0,Main[[#This Row],[تعداد کل روزهای بدهکار (روز)]],0)</f>
        <v>0</v>
      </c>
      <c r="AC486" s="6">
        <f ca="1">Main[[#This Row],[تعداد روزهای بدهکار  تسویه نشده (روز)]]*Main[[#This Row],[مانده در خط تسویه نشده (کیلوگرم)]]</f>
        <v>0</v>
      </c>
      <c r="AD486" s="6">
        <f ca="1">SUBTOTAL(9,INDEX(Main[بدهی سررسید شده (کیلوگرم)],1):Main[[#This Row],[بدهی سررسید شده (کیلوگرم)]])</f>
        <v>0</v>
      </c>
      <c r="AE486" s="6">
        <f ca="1">IF(Main[[#This Row],[مانده در خط سررسید شده (کیلوگرم)]]&lt;&gt;0,Main[[#This Row],[تعداد کل روزهای بدهکار (روز)]],0)</f>
        <v>0</v>
      </c>
      <c r="AF486" s="6">
        <f ca="1">Main[[#This Row],[تعداد روزهای بدهکار سررسید شده (روز)]]*Main[[#This Row],[مانده در خط سررسید شده (کیلوگرم)]]</f>
        <v>0</v>
      </c>
    </row>
    <row r="487" spans="1:32" hidden="1" x14ac:dyDescent="0.35">
      <c r="A487" s="5">
        <f>ROW()-ROW(INDEX(Main[ردیف],1))+1</f>
        <v>485</v>
      </c>
      <c r="B487" s="31">
        <f>SUBTOTAL(2,INDEX(Main[ردیف],1):Main[[#This Row],[ردیف]])</f>
        <v>45</v>
      </c>
      <c r="C487" s="32" t="s">
        <v>557</v>
      </c>
      <c r="D487" s="32" t="str">
        <f>_xlfn.CONCAT("14",Main[[#This Row],[تاريخ]])</f>
        <v>1400/02/26</v>
      </c>
      <c r="E487" s="33">
        <v>44332</v>
      </c>
      <c r="F487" s="32">
        <v>30004</v>
      </c>
      <c r="G487" s="5" t="str">
        <f>INDEX(customer[عنوان],MATCH(Main[[#This Row],[کد ردیابی]],customer[کد],0))</f>
        <v>تولیدی صنعتی صفاشیر پارس</v>
      </c>
      <c r="H487">
        <v>1891</v>
      </c>
      <c r="I487" s="6">
        <f ca="1">-Main[[#This Row],[بدهی تسویه شده (کیلوگرم)]]+Main[[#This Row],[بستانکار (کیلوگرم)]]</f>
        <v>1891</v>
      </c>
      <c r="J487" s="6">
        <f>IF(Main[[#This Row],[مقدار (کیلوگرم)]]&gt;0,Main[[#This Row],[مقدار (کیلوگرم)]],0)</f>
        <v>1891</v>
      </c>
      <c r="K487" s="6">
        <f>-IF(Main[[#This Row],[مقدار (کیلوگرم)]]&lt;0,Main[[#This Row],[مقدار (کیلوگرم)]],0)</f>
        <v>0</v>
      </c>
      <c r="L4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7" s="7">
        <f>-IF(AND(Main[[#This Row],[مقدار (کیلوگرم)]]&lt;0,Main[[#This Row],[تاريخ میلادی]]&gt;44276),Main[[#This Row],[مقدار (کیلوگرم)]],0)</f>
        <v>0</v>
      </c>
      <c r="N487" s="6">
        <f ca="1">Main[[#This Row],[بدهکار (کیلوگرم)]]-Main[[#This Row],[بدهی تسویه نشده (کیلوگرم)]]</f>
        <v>0</v>
      </c>
      <c r="O487" s="6">
        <f ca="1">Main[[#This Row],[تفکیک]]</f>
        <v>0</v>
      </c>
      <c r="P487" s="6">
        <f ca="1">IF(Main[[#This Row],[تاخیر از سررسید]]&gt;0,Main[[#This Row],[بدهی تسویه نشده (کیلوگرم)]],0)</f>
        <v>0</v>
      </c>
      <c r="Q487" s="6">
        <f ca="1">IF(Main[[#This Row],[بدهی تسویه نشده (کیلوگرم)]]&gt;0,'گزارش فردی'!$B$7-Main[[#This Row],[تاريخ میلادی]],0)</f>
        <v>0</v>
      </c>
      <c r="R487" s="6">
        <f ca="1">IF(Main[[#This Row],[بدهی تسویه نشده (کیلوگرم)]]&gt;0,'گزارش فردی'!$B$7-Main[[#This Row],[تاريخ میلادی]]-'گزارش فردی'!$B$8,0)</f>
        <v>0</v>
      </c>
      <c r="S487" s="6">
        <f ca="1">Main[[#This Row],[روز از ارسال سفارش]]*Main[[#This Row],[بدهی تسویه نشده (کیلوگرم)]]</f>
        <v>0</v>
      </c>
      <c r="T487" s="6">
        <f ca="1">Main[[#This Row],[بدهی سررسید شده (کیلوگرم)]]*Main[[#This Row],[روز از ارسال سفارش]]</f>
        <v>0</v>
      </c>
      <c r="U487" s="6">
        <f>-SUBTOTAL(9,INDEX(Main[مقدار (کیلوگرم)],1):Main[[#This Row],[مقدار (کیلوگرم)]])</f>
        <v>20916</v>
      </c>
      <c r="V4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7" s="6">
        <f>Main[[#This Row],[تعداد کل روزهای بدهکار (روز)]]*Main[[#This Row],[مانده در خط کل (کیلوگرم)]]</f>
        <v>0</v>
      </c>
      <c r="X487" s="6">
        <f ca="1">-SUBTOTAL(9,INDEX(Main[مقدار تسویه شده (کیلوگرم)],1):Main[[#This Row],[مقدار تسویه شده (کیلوگرم)]])</f>
        <v>20916</v>
      </c>
      <c r="Y487" s="6">
        <f ca="1">IF(Main[[#This Row],[مانده در خط تسویه شده (کیلوگرم)]]&lt;&gt;0,Main[[#This Row],[تعداد کل روزهای بدهکار (روز)]],0)</f>
        <v>0</v>
      </c>
      <c r="Z487" s="6">
        <f ca="1">Main[[#This Row],[تعداد روزهای بدهکار تسویه شده (روز)]]*Main[[#This Row],[مانده در خط تسویه شده (کیلوگرم)]]</f>
        <v>0</v>
      </c>
      <c r="AA487" s="6">
        <f ca="1">SUBTOTAL(9,INDEX(Main[بدهی تسویه نشده (کیلوگرم)],1):Main[[#This Row],[بدهی تسویه نشده (کیلوگرم)]])</f>
        <v>0</v>
      </c>
      <c r="AB487" s="6">
        <f ca="1">IF(Main[[#This Row],[مانده در خط تسویه نشده (کیلوگرم)]]&lt;&gt;0,Main[[#This Row],[تعداد کل روزهای بدهکار (روز)]],0)</f>
        <v>0</v>
      </c>
      <c r="AC487" s="6">
        <f ca="1">Main[[#This Row],[تعداد روزهای بدهکار  تسویه نشده (روز)]]*Main[[#This Row],[مانده در خط تسویه نشده (کیلوگرم)]]</f>
        <v>0</v>
      </c>
      <c r="AD487" s="6">
        <f ca="1">SUBTOTAL(9,INDEX(Main[بدهی سررسید شده (کیلوگرم)],1):Main[[#This Row],[بدهی سررسید شده (کیلوگرم)]])</f>
        <v>0</v>
      </c>
      <c r="AE487" s="6">
        <f ca="1">IF(Main[[#This Row],[مانده در خط سررسید شده (کیلوگرم)]]&lt;&gt;0,Main[[#This Row],[تعداد کل روزهای بدهکار (روز)]],0)</f>
        <v>0</v>
      </c>
      <c r="AF487" s="6">
        <f ca="1">Main[[#This Row],[تعداد روزهای بدهکار سررسید شده (روز)]]*Main[[#This Row],[مانده در خط سررسید شده (کیلوگرم)]]</f>
        <v>0</v>
      </c>
    </row>
    <row r="488" spans="1:32" hidden="1" x14ac:dyDescent="0.35">
      <c r="A488" s="5">
        <f>ROW()-ROW(INDEX(Main[ردیف],1))+1</f>
        <v>486</v>
      </c>
      <c r="B488" s="31">
        <f>SUBTOTAL(2,INDEX(Main[ردیف],1):Main[[#This Row],[ردیف]])</f>
        <v>45</v>
      </c>
      <c r="C488" s="32" t="s">
        <v>557</v>
      </c>
      <c r="D488" s="32" t="str">
        <f>_xlfn.CONCAT("14",Main[[#This Row],[تاريخ]])</f>
        <v>1400/02/26</v>
      </c>
      <c r="E488" s="33">
        <v>44332</v>
      </c>
      <c r="F488" s="32">
        <v>30009</v>
      </c>
      <c r="G488" s="5" t="str">
        <f>INDEX(customer[عنوان],MATCH(Main[[#This Row],[کد ردیابی]],customer[کد],0))</f>
        <v>شرکت ایمن تک پیشرو</v>
      </c>
      <c r="H488">
        <v>-1064</v>
      </c>
      <c r="I488" s="6">
        <f ca="1">-Main[[#This Row],[بدهی تسویه شده (کیلوگرم)]]+Main[[#This Row],[بستانکار (کیلوگرم)]]</f>
        <v>-1064</v>
      </c>
      <c r="J488" s="6">
        <f>IF(Main[[#This Row],[مقدار (کیلوگرم)]]&gt;0,Main[[#This Row],[مقدار (کیلوگرم)]],0)</f>
        <v>0</v>
      </c>
      <c r="K488" s="6">
        <f>-IF(Main[[#This Row],[مقدار (کیلوگرم)]]&lt;0,Main[[#This Row],[مقدار (کیلوگرم)]],0)</f>
        <v>1064</v>
      </c>
      <c r="L4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8" s="7">
        <f>-IF(AND(Main[[#This Row],[مقدار (کیلوگرم)]]&lt;0,Main[[#This Row],[تاريخ میلادی]]&gt;44276),Main[[#This Row],[مقدار (کیلوگرم)]],0)</f>
        <v>1064</v>
      </c>
      <c r="N488" s="6">
        <f ca="1">Main[[#This Row],[بدهکار (کیلوگرم)]]-Main[[#This Row],[بدهی تسویه نشده (کیلوگرم)]]</f>
        <v>1064</v>
      </c>
      <c r="O488" s="6">
        <f ca="1">Main[[#This Row],[تفکیک]]</f>
        <v>0</v>
      </c>
      <c r="P488" s="6">
        <f ca="1">IF(Main[[#This Row],[تاخیر از سررسید]]&gt;0,Main[[#This Row],[بدهی تسویه نشده (کیلوگرم)]],0)</f>
        <v>0</v>
      </c>
      <c r="Q488" s="6">
        <f ca="1">IF(Main[[#This Row],[بدهی تسویه نشده (کیلوگرم)]]&gt;0,'گزارش فردی'!$B$7-Main[[#This Row],[تاريخ میلادی]],0)</f>
        <v>0</v>
      </c>
      <c r="R488" s="6">
        <f ca="1">IF(Main[[#This Row],[بدهی تسویه نشده (کیلوگرم)]]&gt;0,'گزارش فردی'!$B$7-Main[[#This Row],[تاريخ میلادی]]-'گزارش فردی'!$B$8,0)</f>
        <v>0</v>
      </c>
      <c r="S488" s="6">
        <f ca="1">Main[[#This Row],[روز از ارسال سفارش]]*Main[[#This Row],[بدهی تسویه نشده (کیلوگرم)]]</f>
        <v>0</v>
      </c>
      <c r="T488" s="6">
        <f ca="1">Main[[#This Row],[بدهی سررسید شده (کیلوگرم)]]*Main[[#This Row],[روز از ارسال سفارش]]</f>
        <v>0</v>
      </c>
      <c r="U488" s="6">
        <f>-SUBTOTAL(9,INDEX(Main[مقدار (کیلوگرم)],1):Main[[#This Row],[مقدار (کیلوگرم)]])</f>
        <v>20916</v>
      </c>
      <c r="V4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8" s="6">
        <f>Main[[#This Row],[تعداد کل روزهای بدهکار (روز)]]*Main[[#This Row],[مانده در خط کل (کیلوگرم)]]</f>
        <v>0</v>
      </c>
      <c r="X488" s="6">
        <f ca="1">-SUBTOTAL(9,INDEX(Main[مقدار تسویه شده (کیلوگرم)],1):Main[[#This Row],[مقدار تسویه شده (کیلوگرم)]])</f>
        <v>20916</v>
      </c>
      <c r="Y488" s="6">
        <f ca="1">IF(Main[[#This Row],[مانده در خط تسویه شده (کیلوگرم)]]&lt;&gt;0,Main[[#This Row],[تعداد کل روزهای بدهکار (روز)]],0)</f>
        <v>0</v>
      </c>
      <c r="Z488" s="6">
        <f ca="1">Main[[#This Row],[تعداد روزهای بدهکار تسویه شده (روز)]]*Main[[#This Row],[مانده در خط تسویه شده (کیلوگرم)]]</f>
        <v>0</v>
      </c>
      <c r="AA488" s="6">
        <f ca="1">SUBTOTAL(9,INDEX(Main[بدهی تسویه نشده (کیلوگرم)],1):Main[[#This Row],[بدهی تسویه نشده (کیلوگرم)]])</f>
        <v>0</v>
      </c>
      <c r="AB488" s="6">
        <f ca="1">IF(Main[[#This Row],[مانده در خط تسویه نشده (کیلوگرم)]]&lt;&gt;0,Main[[#This Row],[تعداد کل روزهای بدهکار (روز)]],0)</f>
        <v>0</v>
      </c>
      <c r="AC488" s="6">
        <f ca="1">Main[[#This Row],[تعداد روزهای بدهکار  تسویه نشده (روز)]]*Main[[#This Row],[مانده در خط تسویه نشده (کیلوگرم)]]</f>
        <v>0</v>
      </c>
      <c r="AD488" s="6">
        <f ca="1">SUBTOTAL(9,INDEX(Main[بدهی سررسید شده (کیلوگرم)],1):Main[[#This Row],[بدهی سررسید شده (کیلوگرم)]])</f>
        <v>0</v>
      </c>
      <c r="AE488" s="6">
        <f ca="1">IF(Main[[#This Row],[مانده در خط سررسید شده (کیلوگرم)]]&lt;&gt;0,Main[[#This Row],[تعداد کل روزهای بدهکار (روز)]],0)</f>
        <v>0</v>
      </c>
      <c r="AF488" s="6">
        <f ca="1">Main[[#This Row],[تعداد روزهای بدهکار سررسید شده (روز)]]*Main[[#This Row],[مانده در خط سررسید شده (کیلوگرم)]]</f>
        <v>0</v>
      </c>
    </row>
    <row r="489" spans="1:32" hidden="1" x14ac:dyDescent="0.35">
      <c r="A489" s="5">
        <f>ROW()-ROW(INDEX(Main[ردیف],1))+1</f>
        <v>487</v>
      </c>
      <c r="B489" s="31">
        <f>SUBTOTAL(2,INDEX(Main[ردیف],1):Main[[#This Row],[ردیف]])</f>
        <v>45</v>
      </c>
      <c r="C489" s="32" t="s">
        <v>557</v>
      </c>
      <c r="D489" s="32" t="str">
        <f>_xlfn.CONCAT("14",Main[[#This Row],[تاريخ]])</f>
        <v>1400/02/26</v>
      </c>
      <c r="E489" s="33">
        <v>44332</v>
      </c>
      <c r="F489" s="32">
        <v>30009</v>
      </c>
      <c r="G489" s="5" t="str">
        <f>INDEX(customer[عنوان],MATCH(Main[[#This Row],[کد ردیابی]],customer[کد],0))</f>
        <v>شرکت ایمن تک پیشرو</v>
      </c>
      <c r="H489">
        <v>1799</v>
      </c>
      <c r="I489" s="6">
        <f ca="1">-Main[[#This Row],[بدهی تسویه شده (کیلوگرم)]]+Main[[#This Row],[بستانکار (کیلوگرم)]]</f>
        <v>1799</v>
      </c>
      <c r="J489" s="6">
        <f>IF(Main[[#This Row],[مقدار (کیلوگرم)]]&gt;0,Main[[#This Row],[مقدار (کیلوگرم)]],0)</f>
        <v>1799</v>
      </c>
      <c r="K489" s="6">
        <f>-IF(Main[[#This Row],[مقدار (کیلوگرم)]]&lt;0,Main[[#This Row],[مقدار (کیلوگرم)]],0)</f>
        <v>0</v>
      </c>
      <c r="L4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9" s="7">
        <f>-IF(AND(Main[[#This Row],[مقدار (کیلوگرم)]]&lt;0,Main[[#This Row],[تاريخ میلادی]]&gt;44276),Main[[#This Row],[مقدار (کیلوگرم)]],0)</f>
        <v>0</v>
      </c>
      <c r="N489" s="6">
        <f ca="1">Main[[#This Row],[بدهکار (کیلوگرم)]]-Main[[#This Row],[بدهی تسویه نشده (کیلوگرم)]]</f>
        <v>0</v>
      </c>
      <c r="O489" s="6">
        <f ca="1">Main[[#This Row],[تفکیک]]</f>
        <v>0</v>
      </c>
      <c r="P489" s="6">
        <f ca="1">IF(Main[[#This Row],[تاخیر از سررسید]]&gt;0,Main[[#This Row],[بدهی تسویه نشده (کیلوگرم)]],0)</f>
        <v>0</v>
      </c>
      <c r="Q489" s="6">
        <f ca="1">IF(Main[[#This Row],[بدهی تسویه نشده (کیلوگرم)]]&gt;0,'گزارش فردی'!$B$7-Main[[#This Row],[تاريخ میلادی]],0)</f>
        <v>0</v>
      </c>
      <c r="R489" s="6">
        <f ca="1">IF(Main[[#This Row],[بدهی تسویه نشده (کیلوگرم)]]&gt;0,'گزارش فردی'!$B$7-Main[[#This Row],[تاريخ میلادی]]-'گزارش فردی'!$B$8,0)</f>
        <v>0</v>
      </c>
      <c r="S489" s="6">
        <f ca="1">Main[[#This Row],[روز از ارسال سفارش]]*Main[[#This Row],[بدهی تسویه نشده (کیلوگرم)]]</f>
        <v>0</v>
      </c>
      <c r="T489" s="6">
        <f ca="1">Main[[#This Row],[بدهی سررسید شده (کیلوگرم)]]*Main[[#This Row],[روز از ارسال سفارش]]</f>
        <v>0</v>
      </c>
      <c r="U489" s="6">
        <f>-SUBTOTAL(9,INDEX(Main[مقدار (کیلوگرم)],1):Main[[#This Row],[مقدار (کیلوگرم)]])</f>
        <v>20916</v>
      </c>
      <c r="V4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9" s="6">
        <f>Main[[#This Row],[تعداد کل روزهای بدهکار (روز)]]*Main[[#This Row],[مانده در خط کل (کیلوگرم)]]</f>
        <v>0</v>
      </c>
      <c r="X489" s="6">
        <f ca="1">-SUBTOTAL(9,INDEX(Main[مقدار تسویه شده (کیلوگرم)],1):Main[[#This Row],[مقدار تسویه شده (کیلوگرم)]])</f>
        <v>20916</v>
      </c>
      <c r="Y489" s="6">
        <f ca="1">IF(Main[[#This Row],[مانده در خط تسویه شده (کیلوگرم)]]&lt;&gt;0,Main[[#This Row],[تعداد کل روزهای بدهکار (روز)]],0)</f>
        <v>0</v>
      </c>
      <c r="Z489" s="6">
        <f ca="1">Main[[#This Row],[تعداد روزهای بدهکار تسویه شده (روز)]]*Main[[#This Row],[مانده در خط تسویه شده (کیلوگرم)]]</f>
        <v>0</v>
      </c>
      <c r="AA489" s="6">
        <f ca="1">SUBTOTAL(9,INDEX(Main[بدهی تسویه نشده (کیلوگرم)],1):Main[[#This Row],[بدهی تسویه نشده (کیلوگرم)]])</f>
        <v>0</v>
      </c>
      <c r="AB489" s="6">
        <f ca="1">IF(Main[[#This Row],[مانده در خط تسویه نشده (کیلوگرم)]]&lt;&gt;0,Main[[#This Row],[تعداد کل روزهای بدهکار (روز)]],0)</f>
        <v>0</v>
      </c>
      <c r="AC489" s="6">
        <f ca="1">Main[[#This Row],[تعداد روزهای بدهکار  تسویه نشده (روز)]]*Main[[#This Row],[مانده در خط تسویه نشده (کیلوگرم)]]</f>
        <v>0</v>
      </c>
      <c r="AD489" s="6">
        <f ca="1">SUBTOTAL(9,INDEX(Main[بدهی سررسید شده (کیلوگرم)],1):Main[[#This Row],[بدهی سررسید شده (کیلوگرم)]])</f>
        <v>0</v>
      </c>
      <c r="AE489" s="6">
        <f ca="1">IF(Main[[#This Row],[مانده در خط سررسید شده (کیلوگرم)]]&lt;&gt;0,Main[[#This Row],[تعداد کل روزهای بدهکار (روز)]],0)</f>
        <v>0</v>
      </c>
      <c r="AF489" s="6">
        <f ca="1">Main[[#This Row],[تعداد روزهای بدهکار سررسید شده (روز)]]*Main[[#This Row],[مانده در خط سررسید شده (کیلوگرم)]]</f>
        <v>0</v>
      </c>
    </row>
    <row r="490" spans="1:32" hidden="1" x14ac:dyDescent="0.35">
      <c r="A490" s="5">
        <f>ROW()-ROW(INDEX(Main[ردیف],1))+1</f>
        <v>488</v>
      </c>
      <c r="B490" s="31">
        <f>SUBTOTAL(2,INDEX(Main[ردیف],1):Main[[#This Row],[ردیف]])</f>
        <v>45</v>
      </c>
      <c r="C490" s="32" t="s">
        <v>557</v>
      </c>
      <c r="D490" s="32" t="str">
        <f>_xlfn.CONCAT("14",Main[[#This Row],[تاريخ]])</f>
        <v>1400/02/26</v>
      </c>
      <c r="E490" s="33">
        <v>44332</v>
      </c>
      <c r="F490" s="32">
        <v>30174</v>
      </c>
      <c r="G490" s="5" t="str">
        <f>INDEX(customer[عنوان],MATCH(Main[[#This Row],[کد ردیابی]],customer[کد],0))</f>
        <v>شیرآلات مهرآرا</v>
      </c>
      <c r="H490">
        <v>-135</v>
      </c>
      <c r="I490" s="6">
        <f ca="1">-Main[[#This Row],[بدهی تسویه شده (کیلوگرم)]]+Main[[#This Row],[بستانکار (کیلوگرم)]]</f>
        <v>-135</v>
      </c>
      <c r="J490" s="6">
        <f>IF(Main[[#This Row],[مقدار (کیلوگرم)]]&gt;0,Main[[#This Row],[مقدار (کیلوگرم)]],0)</f>
        <v>0</v>
      </c>
      <c r="K490" s="6">
        <f>-IF(Main[[#This Row],[مقدار (کیلوگرم)]]&lt;0,Main[[#This Row],[مقدار (کیلوگرم)]],0)</f>
        <v>135</v>
      </c>
      <c r="L4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0" s="7">
        <f>-IF(AND(Main[[#This Row],[مقدار (کیلوگرم)]]&lt;0,Main[[#This Row],[تاريخ میلادی]]&gt;44276),Main[[#This Row],[مقدار (کیلوگرم)]],0)</f>
        <v>135</v>
      </c>
      <c r="N490" s="6">
        <f ca="1">Main[[#This Row],[بدهکار (کیلوگرم)]]-Main[[#This Row],[بدهی تسویه نشده (کیلوگرم)]]</f>
        <v>135</v>
      </c>
      <c r="O490" s="6">
        <f ca="1">Main[[#This Row],[تفکیک]]</f>
        <v>0</v>
      </c>
      <c r="P490" s="6">
        <f ca="1">IF(Main[[#This Row],[تاخیر از سررسید]]&gt;0,Main[[#This Row],[بدهی تسویه نشده (کیلوگرم)]],0)</f>
        <v>0</v>
      </c>
      <c r="Q490" s="6">
        <f ca="1">IF(Main[[#This Row],[بدهی تسویه نشده (کیلوگرم)]]&gt;0,'گزارش فردی'!$B$7-Main[[#This Row],[تاريخ میلادی]],0)</f>
        <v>0</v>
      </c>
      <c r="R490" s="6">
        <f ca="1">IF(Main[[#This Row],[بدهی تسویه نشده (کیلوگرم)]]&gt;0,'گزارش فردی'!$B$7-Main[[#This Row],[تاريخ میلادی]]-'گزارش فردی'!$B$8,0)</f>
        <v>0</v>
      </c>
      <c r="S490" s="6">
        <f ca="1">Main[[#This Row],[روز از ارسال سفارش]]*Main[[#This Row],[بدهی تسویه نشده (کیلوگرم)]]</f>
        <v>0</v>
      </c>
      <c r="T490" s="6">
        <f ca="1">Main[[#This Row],[بدهی سررسید شده (کیلوگرم)]]*Main[[#This Row],[روز از ارسال سفارش]]</f>
        <v>0</v>
      </c>
      <c r="U490" s="6">
        <f>-SUBTOTAL(9,INDEX(Main[مقدار (کیلوگرم)],1):Main[[#This Row],[مقدار (کیلوگرم)]])</f>
        <v>20916</v>
      </c>
      <c r="V4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0" s="6">
        <f>Main[[#This Row],[تعداد کل روزهای بدهکار (روز)]]*Main[[#This Row],[مانده در خط کل (کیلوگرم)]]</f>
        <v>0</v>
      </c>
      <c r="X490" s="6">
        <f ca="1">-SUBTOTAL(9,INDEX(Main[مقدار تسویه شده (کیلوگرم)],1):Main[[#This Row],[مقدار تسویه شده (کیلوگرم)]])</f>
        <v>20916</v>
      </c>
      <c r="Y490" s="6">
        <f ca="1">IF(Main[[#This Row],[مانده در خط تسویه شده (کیلوگرم)]]&lt;&gt;0,Main[[#This Row],[تعداد کل روزهای بدهکار (روز)]],0)</f>
        <v>0</v>
      </c>
      <c r="Z490" s="6">
        <f ca="1">Main[[#This Row],[تعداد روزهای بدهکار تسویه شده (روز)]]*Main[[#This Row],[مانده در خط تسویه شده (کیلوگرم)]]</f>
        <v>0</v>
      </c>
      <c r="AA490" s="6">
        <f ca="1">SUBTOTAL(9,INDEX(Main[بدهی تسویه نشده (کیلوگرم)],1):Main[[#This Row],[بدهی تسویه نشده (کیلوگرم)]])</f>
        <v>0</v>
      </c>
      <c r="AB490" s="6">
        <f ca="1">IF(Main[[#This Row],[مانده در خط تسویه نشده (کیلوگرم)]]&lt;&gt;0,Main[[#This Row],[تعداد کل روزهای بدهکار (روز)]],0)</f>
        <v>0</v>
      </c>
      <c r="AC490" s="6">
        <f ca="1">Main[[#This Row],[تعداد روزهای بدهکار  تسویه نشده (روز)]]*Main[[#This Row],[مانده در خط تسویه نشده (کیلوگرم)]]</f>
        <v>0</v>
      </c>
      <c r="AD490" s="6">
        <f ca="1">SUBTOTAL(9,INDEX(Main[بدهی سررسید شده (کیلوگرم)],1):Main[[#This Row],[بدهی سررسید شده (کیلوگرم)]])</f>
        <v>0</v>
      </c>
      <c r="AE490" s="6">
        <f ca="1">IF(Main[[#This Row],[مانده در خط سررسید شده (کیلوگرم)]]&lt;&gt;0,Main[[#This Row],[تعداد کل روزهای بدهکار (روز)]],0)</f>
        <v>0</v>
      </c>
      <c r="AF490" s="6">
        <f ca="1">Main[[#This Row],[تعداد روزهای بدهکار سررسید شده (روز)]]*Main[[#This Row],[مانده در خط سررسید شده (کیلوگرم)]]</f>
        <v>0</v>
      </c>
    </row>
    <row r="491" spans="1:32" hidden="1" x14ac:dyDescent="0.35">
      <c r="A491" s="5">
        <f>ROW()-ROW(INDEX(Main[ردیف],1))+1</f>
        <v>489</v>
      </c>
      <c r="B491" s="31">
        <f>SUBTOTAL(2,INDEX(Main[ردیف],1):Main[[#This Row],[ردیف]])</f>
        <v>45</v>
      </c>
      <c r="C491" s="32" t="s">
        <v>557</v>
      </c>
      <c r="D491" s="32" t="str">
        <f>_xlfn.CONCAT("14",Main[[#This Row],[تاريخ]])</f>
        <v>1400/02/26</v>
      </c>
      <c r="E491" s="33">
        <v>44332</v>
      </c>
      <c r="F491" s="32">
        <v>30066</v>
      </c>
      <c r="G491" s="5" t="str">
        <f>INDEX(customer[عنوان],MATCH(Main[[#This Row],[کد ردیابی]],customer[کد],0))</f>
        <v xml:space="preserve">شیر آلات بهداشتی قهرمان </v>
      </c>
      <c r="H491">
        <v>4252</v>
      </c>
      <c r="I491" s="6">
        <f ca="1">-Main[[#This Row],[بدهی تسویه شده (کیلوگرم)]]+Main[[#This Row],[بستانکار (کیلوگرم)]]</f>
        <v>4252</v>
      </c>
      <c r="J491" s="6">
        <f>IF(Main[[#This Row],[مقدار (کیلوگرم)]]&gt;0,Main[[#This Row],[مقدار (کیلوگرم)]],0)</f>
        <v>4252</v>
      </c>
      <c r="K491" s="6">
        <f>-IF(Main[[#This Row],[مقدار (کیلوگرم)]]&lt;0,Main[[#This Row],[مقدار (کیلوگرم)]],0)</f>
        <v>0</v>
      </c>
      <c r="L4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1" s="7">
        <f>-IF(AND(Main[[#This Row],[مقدار (کیلوگرم)]]&lt;0,Main[[#This Row],[تاريخ میلادی]]&gt;44276),Main[[#This Row],[مقدار (کیلوگرم)]],0)</f>
        <v>0</v>
      </c>
      <c r="N491" s="6">
        <f ca="1">Main[[#This Row],[بدهکار (کیلوگرم)]]-Main[[#This Row],[بدهی تسویه نشده (کیلوگرم)]]</f>
        <v>0</v>
      </c>
      <c r="O491" s="6">
        <f ca="1">Main[[#This Row],[تفکیک]]</f>
        <v>0</v>
      </c>
      <c r="P491" s="6">
        <f ca="1">IF(Main[[#This Row],[تاخیر از سررسید]]&gt;0,Main[[#This Row],[بدهی تسویه نشده (کیلوگرم)]],0)</f>
        <v>0</v>
      </c>
      <c r="Q491" s="6">
        <f ca="1">IF(Main[[#This Row],[بدهی تسویه نشده (کیلوگرم)]]&gt;0,'گزارش فردی'!$B$7-Main[[#This Row],[تاريخ میلادی]],0)</f>
        <v>0</v>
      </c>
      <c r="R491" s="6">
        <f ca="1">IF(Main[[#This Row],[بدهی تسویه نشده (کیلوگرم)]]&gt;0,'گزارش فردی'!$B$7-Main[[#This Row],[تاريخ میلادی]]-'گزارش فردی'!$B$8,0)</f>
        <v>0</v>
      </c>
      <c r="S491" s="6">
        <f ca="1">Main[[#This Row],[روز از ارسال سفارش]]*Main[[#This Row],[بدهی تسویه نشده (کیلوگرم)]]</f>
        <v>0</v>
      </c>
      <c r="T491" s="6">
        <f ca="1">Main[[#This Row],[بدهی سررسید شده (کیلوگرم)]]*Main[[#This Row],[روز از ارسال سفارش]]</f>
        <v>0</v>
      </c>
      <c r="U491" s="6">
        <f>-SUBTOTAL(9,INDEX(Main[مقدار (کیلوگرم)],1):Main[[#This Row],[مقدار (کیلوگرم)]])</f>
        <v>20916</v>
      </c>
      <c r="V4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1" s="6">
        <f>Main[[#This Row],[تعداد کل روزهای بدهکار (روز)]]*Main[[#This Row],[مانده در خط کل (کیلوگرم)]]</f>
        <v>0</v>
      </c>
      <c r="X491" s="6">
        <f ca="1">-SUBTOTAL(9,INDEX(Main[مقدار تسویه شده (کیلوگرم)],1):Main[[#This Row],[مقدار تسویه شده (کیلوگرم)]])</f>
        <v>20916</v>
      </c>
      <c r="Y491" s="6">
        <f ca="1">IF(Main[[#This Row],[مانده در خط تسویه شده (کیلوگرم)]]&lt;&gt;0,Main[[#This Row],[تعداد کل روزهای بدهکار (روز)]],0)</f>
        <v>0</v>
      </c>
      <c r="Z491" s="6">
        <f ca="1">Main[[#This Row],[تعداد روزهای بدهکار تسویه شده (روز)]]*Main[[#This Row],[مانده در خط تسویه شده (کیلوگرم)]]</f>
        <v>0</v>
      </c>
      <c r="AA491" s="6">
        <f ca="1">SUBTOTAL(9,INDEX(Main[بدهی تسویه نشده (کیلوگرم)],1):Main[[#This Row],[بدهی تسویه نشده (کیلوگرم)]])</f>
        <v>0</v>
      </c>
      <c r="AB491" s="6">
        <f ca="1">IF(Main[[#This Row],[مانده در خط تسویه نشده (کیلوگرم)]]&lt;&gt;0,Main[[#This Row],[تعداد کل روزهای بدهکار (روز)]],0)</f>
        <v>0</v>
      </c>
      <c r="AC491" s="6">
        <f ca="1">Main[[#This Row],[تعداد روزهای بدهکار  تسویه نشده (روز)]]*Main[[#This Row],[مانده در خط تسویه نشده (کیلوگرم)]]</f>
        <v>0</v>
      </c>
      <c r="AD491" s="6">
        <f ca="1">SUBTOTAL(9,INDEX(Main[بدهی سررسید شده (کیلوگرم)],1):Main[[#This Row],[بدهی سررسید شده (کیلوگرم)]])</f>
        <v>0</v>
      </c>
      <c r="AE491" s="6">
        <f ca="1">IF(Main[[#This Row],[مانده در خط سررسید شده (کیلوگرم)]]&lt;&gt;0,Main[[#This Row],[تعداد کل روزهای بدهکار (روز)]],0)</f>
        <v>0</v>
      </c>
      <c r="AF491" s="6">
        <f ca="1">Main[[#This Row],[تعداد روزهای بدهکار سررسید شده (روز)]]*Main[[#This Row],[مانده در خط سررسید شده (کیلوگرم)]]</f>
        <v>0</v>
      </c>
    </row>
    <row r="492" spans="1:32" hidden="1" x14ac:dyDescent="0.35">
      <c r="A492" s="5">
        <f>ROW()-ROW(INDEX(Main[ردیف],1))+1</f>
        <v>490</v>
      </c>
      <c r="B492" s="31">
        <f>SUBTOTAL(2,INDEX(Main[ردیف],1):Main[[#This Row],[ردیف]])</f>
        <v>45</v>
      </c>
      <c r="C492" s="32" t="s">
        <v>557</v>
      </c>
      <c r="D492" s="32" t="str">
        <f>_xlfn.CONCAT("14",Main[[#This Row],[تاريخ]])</f>
        <v>1400/02/26</v>
      </c>
      <c r="E492" s="33">
        <v>44332</v>
      </c>
      <c r="F492" s="32">
        <v>10055</v>
      </c>
      <c r="G492" s="5" t="str">
        <f>INDEX(customer[عنوان],MATCH(Main[[#This Row],[کد ردیابی]],customer[کد],0))</f>
        <v xml:space="preserve">مریم فیض آبادی  </v>
      </c>
      <c r="H492">
        <v>-5214</v>
      </c>
      <c r="I492" s="6">
        <f ca="1">-Main[[#This Row],[بدهی تسویه شده (کیلوگرم)]]+Main[[#This Row],[بستانکار (کیلوگرم)]]</f>
        <v>-5214</v>
      </c>
      <c r="J492" s="6">
        <f>IF(Main[[#This Row],[مقدار (کیلوگرم)]]&gt;0,Main[[#This Row],[مقدار (کیلوگرم)]],0)</f>
        <v>0</v>
      </c>
      <c r="K492" s="6">
        <f>-IF(Main[[#This Row],[مقدار (کیلوگرم)]]&lt;0,Main[[#This Row],[مقدار (کیلوگرم)]],0)</f>
        <v>5214</v>
      </c>
      <c r="L4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2" s="7">
        <f>-IF(AND(Main[[#This Row],[مقدار (کیلوگرم)]]&lt;0,Main[[#This Row],[تاريخ میلادی]]&gt;44276),Main[[#This Row],[مقدار (کیلوگرم)]],0)</f>
        <v>5214</v>
      </c>
      <c r="N492" s="6">
        <f ca="1">Main[[#This Row],[بدهکار (کیلوگرم)]]-Main[[#This Row],[بدهی تسویه نشده (کیلوگرم)]]</f>
        <v>5214</v>
      </c>
      <c r="O492" s="6">
        <f ca="1">Main[[#This Row],[تفکیک]]</f>
        <v>0</v>
      </c>
      <c r="P492" s="6">
        <f ca="1">IF(Main[[#This Row],[تاخیر از سررسید]]&gt;0,Main[[#This Row],[بدهی تسویه نشده (کیلوگرم)]],0)</f>
        <v>0</v>
      </c>
      <c r="Q492" s="6">
        <f ca="1">IF(Main[[#This Row],[بدهی تسویه نشده (کیلوگرم)]]&gt;0,'گزارش فردی'!$B$7-Main[[#This Row],[تاريخ میلادی]],0)</f>
        <v>0</v>
      </c>
      <c r="R492" s="6">
        <f ca="1">IF(Main[[#This Row],[بدهی تسویه نشده (کیلوگرم)]]&gt;0,'گزارش فردی'!$B$7-Main[[#This Row],[تاريخ میلادی]]-'گزارش فردی'!$B$8,0)</f>
        <v>0</v>
      </c>
      <c r="S492" s="6">
        <f ca="1">Main[[#This Row],[روز از ارسال سفارش]]*Main[[#This Row],[بدهی تسویه نشده (کیلوگرم)]]</f>
        <v>0</v>
      </c>
      <c r="T492" s="6">
        <f ca="1">Main[[#This Row],[بدهی سررسید شده (کیلوگرم)]]*Main[[#This Row],[روز از ارسال سفارش]]</f>
        <v>0</v>
      </c>
      <c r="U492" s="6">
        <f>-SUBTOTAL(9,INDEX(Main[مقدار (کیلوگرم)],1):Main[[#This Row],[مقدار (کیلوگرم)]])</f>
        <v>20916</v>
      </c>
      <c r="V4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2" s="6">
        <f>Main[[#This Row],[تعداد کل روزهای بدهکار (روز)]]*Main[[#This Row],[مانده در خط کل (کیلوگرم)]]</f>
        <v>0</v>
      </c>
      <c r="X492" s="6">
        <f ca="1">-SUBTOTAL(9,INDEX(Main[مقدار تسویه شده (کیلوگرم)],1):Main[[#This Row],[مقدار تسویه شده (کیلوگرم)]])</f>
        <v>20916</v>
      </c>
      <c r="Y492" s="6">
        <f ca="1">IF(Main[[#This Row],[مانده در خط تسویه شده (کیلوگرم)]]&lt;&gt;0,Main[[#This Row],[تعداد کل روزهای بدهکار (روز)]],0)</f>
        <v>0</v>
      </c>
      <c r="Z492" s="6">
        <f ca="1">Main[[#This Row],[تعداد روزهای بدهکار تسویه شده (روز)]]*Main[[#This Row],[مانده در خط تسویه شده (کیلوگرم)]]</f>
        <v>0</v>
      </c>
      <c r="AA492" s="6">
        <f ca="1">SUBTOTAL(9,INDEX(Main[بدهی تسویه نشده (کیلوگرم)],1):Main[[#This Row],[بدهی تسویه نشده (کیلوگرم)]])</f>
        <v>0</v>
      </c>
      <c r="AB492" s="6">
        <f ca="1">IF(Main[[#This Row],[مانده در خط تسویه نشده (کیلوگرم)]]&lt;&gt;0,Main[[#This Row],[تعداد کل روزهای بدهکار (روز)]],0)</f>
        <v>0</v>
      </c>
      <c r="AC492" s="6">
        <f ca="1">Main[[#This Row],[تعداد روزهای بدهکار  تسویه نشده (روز)]]*Main[[#This Row],[مانده در خط تسویه نشده (کیلوگرم)]]</f>
        <v>0</v>
      </c>
      <c r="AD492" s="6">
        <f ca="1">SUBTOTAL(9,INDEX(Main[بدهی سررسید شده (کیلوگرم)],1):Main[[#This Row],[بدهی سررسید شده (کیلوگرم)]])</f>
        <v>0</v>
      </c>
      <c r="AE492" s="6">
        <f ca="1">IF(Main[[#This Row],[مانده در خط سررسید شده (کیلوگرم)]]&lt;&gt;0,Main[[#This Row],[تعداد کل روزهای بدهکار (روز)]],0)</f>
        <v>0</v>
      </c>
      <c r="AF492" s="6">
        <f ca="1">Main[[#This Row],[تعداد روزهای بدهکار سررسید شده (روز)]]*Main[[#This Row],[مانده در خط سررسید شده (کیلوگرم)]]</f>
        <v>0</v>
      </c>
    </row>
    <row r="493" spans="1:32" hidden="1" x14ac:dyDescent="0.35">
      <c r="A493" s="5">
        <f>ROW()-ROW(INDEX(Main[ردیف],1))+1</f>
        <v>491</v>
      </c>
      <c r="B493" s="31">
        <f>SUBTOTAL(2,INDEX(Main[ردیف],1):Main[[#This Row],[ردیف]])</f>
        <v>45</v>
      </c>
      <c r="C493" s="32" t="s">
        <v>557</v>
      </c>
      <c r="D493" s="32" t="str">
        <f>_xlfn.CONCAT("14",Main[[#This Row],[تاريخ]])</f>
        <v>1400/02/26</v>
      </c>
      <c r="E493" s="33">
        <v>44332</v>
      </c>
      <c r="F493" s="32">
        <v>30009</v>
      </c>
      <c r="G493" s="5" t="str">
        <f>INDEX(customer[عنوان],MATCH(Main[[#This Row],[کد ردیابی]],customer[کد],0))</f>
        <v>شرکت ایمن تک پیشرو</v>
      </c>
      <c r="H493">
        <v>1820</v>
      </c>
      <c r="I493" s="6">
        <f ca="1">-Main[[#This Row],[بدهی تسویه شده (کیلوگرم)]]+Main[[#This Row],[بستانکار (کیلوگرم)]]</f>
        <v>1820</v>
      </c>
      <c r="J493" s="6">
        <f>IF(Main[[#This Row],[مقدار (کیلوگرم)]]&gt;0,Main[[#This Row],[مقدار (کیلوگرم)]],0)</f>
        <v>1820</v>
      </c>
      <c r="K493" s="6">
        <f>-IF(Main[[#This Row],[مقدار (کیلوگرم)]]&lt;0,Main[[#This Row],[مقدار (کیلوگرم)]],0)</f>
        <v>0</v>
      </c>
      <c r="L4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3" s="7">
        <f>-IF(AND(Main[[#This Row],[مقدار (کیلوگرم)]]&lt;0,Main[[#This Row],[تاريخ میلادی]]&gt;44276),Main[[#This Row],[مقدار (کیلوگرم)]],0)</f>
        <v>0</v>
      </c>
      <c r="N493" s="6">
        <f ca="1">Main[[#This Row],[بدهکار (کیلوگرم)]]-Main[[#This Row],[بدهی تسویه نشده (کیلوگرم)]]</f>
        <v>0</v>
      </c>
      <c r="O493" s="6">
        <f ca="1">Main[[#This Row],[تفکیک]]</f>
        <v>0</v>
      </c>
      <c r="P493" s="6">
        <f ca="1">IF(Main[[#This Row],[تاخیر از سررسید]]&gt;0,Main[[#This Row],[بدهی تسویه نشده (کیلوگرم)]],0)</f>
        <v>0</v>
      </c>
      <c r="Q493" s="6">
        <f ca="1">IF(Main[[#This Row],[بدهی تسویه نشده (کیلوگرم)]]&gt;0,'گزارش فردی'!$B$7-Main[[#This Row],[تاريخ میلادی]],0)</f>
        <v>0</v>
      </c>
      <c r="R493" s="6">
        <f ca="1">IF(Main[[#This Row],[بدهی تسویه نشده (کیلوگرم)]]&gt;0,'گزارش فردی'!$B$7-Main[[#This Row],[تاريخ میلادی]]-'گزارش فردی'!$B$8,0)</f>
        <v>0</v>
      </c>
      <c r="S493" s="6">
        <f ca="1">Main[[#This Row],[روز از ارسال سفارش]]*Main[[#This Row],[بدهی تسویه نشده (کیلوگرم)]]</f>
        <v>0</v>
      </c>
      <c r="T493" s="6">
        <f ca="1">Main[[#This Row],[بدهی سررسید شده (کیلوگرم)]]*Main[[#This Row],[روز از ارسال سفارش]]</f>
        <v>0</v>
      </c>
      <c r="U493" s="6">
        <f>-SUBTOTAL(9,INDEX(Main[مقدار (کیلوگرم)],1):Main[[#This Row],[مقدار (کیلوگرم)]])</f>
        <v>20916</v>
      </c>
      <c r="V4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3" s="6">
        <f>Main[[#This Row],[تعداد کل روزهای بدهکار (روز)]]*Main[[#This Row],[مانده در خط کل (کیلوگرم)]]</f>
        <v>0</v>
      </c>
      <c r="X493" s="6">
        <f ca="1">-SUBTOTAL(9,INDEX(Main[مقدار تسویه شده (کیلوگرم)],1):Main[[#This Row],[مقدار تسویه شده (کیلوگرم)]])</f>
        <v>20916</v>
      </c>
      <c r="Y493" s="6">
        <f ca="1">IF(Main[[#This Row],[مانده در خط تسویه شده (کیلوگرم)]]&lt;&gt;0,Main[[#This Row],[تعداد کل روزهای بدهکار (روز)]],0)</f>
        <v>0</v>
      </c>
      <c r="Z493" s="6">
        <f ca="1">Main[[#This Row],[تعداد روزهای بدهکار تسویه شده (روز)]]*Main[[#This Row],[مانده در خط تسویه شده (کیلوگرم)]]</f>
        <v>0</v>
      </c>
      <c r="AA493" s="6">
        <f ca="1">SUBTOTAL(9,INDEX(Main[بدهی تسویه نشده (کیلوگرم)],1):Main[[#This Row],[بدهی تسویه نشده (کیلوگرم)]])</f>
        <v>0</v>
      </c>
      <c r="AB493" s="6">
        <f ca="1">IF(Main[[#This Row],[مانده در خط تسویه نشده (کیلوگرم)]]&lt;&gt;0,Main[[#This Row],[تعداد کل روزهای بدهکار (روز)]],0)</f>
        <v>0</v>
      </c>
      <c r="AC493" s="6">
        <f ca="1">Main[[#This Row],[تعداد روزهای بدهکار  تسویه نشده (روز)]]*Main[[#This Row],[مانده در خط تسویه نشده (کیلوگرم)]]</f>
        <v>0</v>
      </c>
      <c r="AD493" s="6">
        <f ca="1">SUBTOTAL(9,INDEX(Main[بدهی سررسید شده (کیلوگرم)],1):Main[[#This Row],[بدهی سررسید شده (کیلوگرم)]])</f>
        <v>0</v>
      </c>
      <c r="AE493" s="6">
        <f ca="1">IF(Main[[#This Row],[مانده در خط سررسید شده (کیلوگرم)]]&lt;&gt;0,Main[[#This Row],[تعداد کل روزهای بدهکار (روز)]],0)</f>
        <v>0</v>
      </c>
      <c r="AF493" s="6">
        <f ca="1">Main[[#This Row],[تعداد روزهای بدهکار سررسید شده (روز)]]*Main[[#This Row],[مانده در خط سررسید شده (کیلوگرم)]]</f>
        <v>0</v>
      </c>
    </row>
    <row r="494" spans="1:32" x14ac:dyDescent="0.35">
      <c r="A494" s="5">
        <f>ROW()-ROW(INDEX(Main[ردیف],1))+1</f>
        <v>492</v>
      </c>
      <c r="B494" s="31">
        <f>SUBTOTAL(2,INDEX(Main[ردیف],1):Main[[#This Row],[ردیف]])</f>
        <v>46</v>
      </c>
      <c r="C494" s="32" t="s">
        <v>557</v>
      </c>
      <c r="D494" s="32" t="str">
        <f>_xlfn.CONCAT("14",Main[[#This Row],[تاريخ]])</f>
        <v>1400/02/26</v>
      </c>
      <c r="E494" s="33">
        <v>44332</v>
      </c>
      <c r="F494" s="32">
        <v>10003</v>
      </c>
      <c r="G494" s="5" t="str">
        <f>INDEX(customer[عنوان],MATCH(Main[[#This Row],[کد ردیابی]],customer[کد],0))</f>
        <v>اصغر نورعلی</v>
      </c>
      <c r="H494">
        <v>-3492</v>
      </c>
      <c r="I494" s="6">
        <f ca="1">-Main[[#This Row],[بدهی تسویه شده (کیلوگرم)]]+Main[[#This Row],[بستانکار (کیلوگرم)]]</f>
        <v>-3492</v>
      </c>
      <c r="J494" s="6">
        <f>IF(Main[[#This Row],[مقدار (کیلوگرم)]]&gt;0,Main[[#This Row],[مقدار (کیلوگرم)]],0)</f>
        <v>0</v>
      </c>
      <c r="K494" s="6">
        <f>-IF(Main[[#This Row],[مقدار (کیلوگرم)]]&lt;0,Main[[#This Row],[مقدار (کیلوگرم)]],0)</f>
        <v>3492</v>
      </c>
      <c r="L4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4" s="7">
        <f>-IF(AND(Main[[#This Row],[مقدار (کیلوگرم)]]&lt;0,Main[[#This Row],[تاريخ میلادی]]&gt;44276),Main[[#This Row],[مقدار (کیلوگرم)]],0)</f>
        <v>3492</v>
      </c>
      <c r="N494" s="6">
        <f ca="1">Main[[#This Row],[بدهکار (کیلوگرم)]]-Main[[#This Row],[بدهی تسویه نشده (کیلوگرم)]]</f>
        <v>3492</v>
      </c>
      <c r="O494" s="6">
        <f ca="1">Main[[#This Row],[تفکیک]]</f>
        <v>0</v>
      </c>
      <c r="P494" s="6">
        <f ca="1">IF(Main[[#This Row],[تاخیر از سررسید]]&gt;0,Main[[#This Row],[بدهی تسویه نشده (کیلوگرم)]],0)</f>
        <v>0</v>
      </c>
      <c r="Q494" s="6">
        <f ca="1">IF(Main[[#This Row],[بدهی تسویه نشده (کیلوگرم)]]&gt;0,'گزارش فردی'!$B$7-Main[[#This Row],[تاريخ میلادی]],0)</f>
        <v>0</v>
      </c>
      <c r="R494" s="6">
        <f ca="1">IF(Main[[#This Row],[بدهی تسویه نشده (کیلوگرم)]]&gt;0,'گزارش فردی'!$B$7-Main[[#This Row],[تاريخ میلادی]]-'گزارش فردی'!$B$8,0)</f>
        <v>0</v>
      </c>
      <c r="S494" s="6">
        <f ca="1">Main[[#This Row],[روز از ارسال سفارش]]*Main[[#This Row],[بدهی تسویه نشده (کیلوگرم)]]</f>
        <v>0</v>
      </c>
      <c r="T494" s="6">
        <f ca="1">Main[[#This Row],[بدهی سررسید شده (کیلوگرم)]]*Main[[#This Row],[روز از ارسال سفارش]]</f>
        <v>0</v>
      </c>
      <c r="U494" s="6">
        <f>-SUBTOTAL(9,INDEX(Main[مقدار (کیلوگرم)],1):Main[[#This Row],[مقدار (کیلوگرم)]])</f>
        <v>24408</v>
      </c>
      <c r="V4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4" s="6">
        <f>Main[[#This Row],[تعداد کل روزهای بدهکار (روز)]]*Main[[#This Row],[مانده در خط کل (کیلوگرم)]]</f>
        <v>0</v>
      </c>
      <c r="X494" s="6">
        <f ca="1">-SUBTOTAL(9,INDEX(Main[مقدار تسویه شده (کیلوگرم)],1):Main[[#This Row],[مقدار تسویه شده (کیلوگرم)]])</f>
        <v>24408</v>
      </c>
      <c r="Y494" s="6">
        <f ca="1">IF(Main[[#This Row],[مانده در خط تسویه شده (کیلوگرم)]]&lt;&gt;0,Main[[#This Row],[تعداد کل روزهای بدهکار (روز)]],0)</f>
        <v>0</v>
      </c>
      <c r="Z494" s="6">
        <f ca="1">Main[[#This Row],[تعداد روزهای بدهکار تسویه شده (روز)]]*Main[[#This Row],[مانده در خط تسویه شده (کیلوگرم)]]</f>
        <v>0</v>
      </c>
      <c r="AA494" s="6">
        <f ca="1">SUBTOTAL(9,INDEX(Main[بدهی تسویه نشده (کیلوگرم)],1):Main[[#This Row],[بدهی تسویه نشده (کیلوگرم)]])</f>
        <v>0</v>
      </c>
      <c r="AB494" s="6">
        <f ca="1">IF(Main[[#This Row],[مانده در خط تسویه نشده (کیلوگرم)]]&lt;&gt;0,Main[[#This Row],[تعداد کل روزهای بدهکار (روز)]],0)</f>
        <v>0</v>
      </c>
      <c r="AC494" s="6">
        <f ca="1">Main[[#This Row],[تعداد روزهای بدهکار  تسویه نشده (روز)]]*Main[[#This Row],[مانده در خط تسویه نشده (کیلوگرم)]]</f>
        <v>0</v>
      </c>
      <c r="AD494" s="6">
        <f ca="1">SUBTOTAL(9,INDEX(Main[بدهی سررسید شده (کیلوگرم)],1):Main[[#This Row],[بدهی سررسید شده (کیلوگرم)]])</f>
        <v>0</v>
      </c>
      <c r="AE494" s="6">
        <f ca="1">IF(Main[[#This Row],[مانده در خط سررسید شده (کیلوگرم)]]&lt;&gt;0,Main[[#This Row],[تعداد کل روزهای بدهکار (روز)]],0)</f>
        <v>0</v>
      </c>
      <c r="AF494" s="6">
        <f ca="1">Main[[#This Row],[تعداد روزهای بدهکار سررسید شده (روز)]]*Main[[#This Row],[مانده در خط سررسید شده (کیلوگرم)]]</f>
        <v>0</v>
      </c>
    </row>
    <row r="495" spans="1:32" hidden="1" x14ac:dyDescent="0.35">
      <c r="A495" s="5">
        <f>ROW()-ROW(INDEX(Main[ردیف],1))+1</f>
        <v>493</v>
      </c>
      <c r="B495" s="31">
        <f>SUBTOTAL(2,INDEX(Main[ردیف],1):Main[[#This Row],[ردیف]])</f>
        <v>46</v>
      </c>
      <c r="C495" s="32" t="s">
        <v>557</v>
      </c>
      <c r="D495" s="32" t="str">
        <f>_xlfn.CONCAT("14",Main[[#This Row],[تاريخ]])</f>
        <v>1400/02/26</v>
      </c>
      <c r="E495" s="33">
        <v>44332</v>
      </c>
      <c r="F495" s="32">
        <v>30174</v>
      </c>
      <c r="G495" s="5" t="str">
        <f>INDEX(customer[عنوان],MATCH(Main[[#This Row],[کد ردیابی]],customer[کد],0))</f>
        <v>شیرآلات مهرآرا</v>
      </c>
      <c r="H495">
        <v>135</v>
      </c>
      <c r="I495" s="6">
        <f ca="1">-Main[[#This Row],[بدهی تسویه شده (کیلوگرم)]]+Main[[#This Row],[بستانکار (کیلوگرم)]]</f>
        <v>135</v>
      </c>
      <c r="J495" s="6">
        <f>IF(Main[[#This Row],[مقدار (کیلوگرم)]]&gt;0,Main[[#This Row],[مقدار (کیلوگرم)]],0)</f>
        <v>135</v>
      </c>
      <c r="K495" s="6">
        <f>-IF(Main[[#This Row],[مقدار (کیلوگرم)]]&lt;0,Main[[#This Row],[مقدار (کیلوگرم)]],0)</f>
        <v>0</v>
      </c>
      <c r="L4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5" s="7">
        <f>-IF(AND(Main[[#This Row],[مقدار (کیلوگرم)]]&lt;0,Main[[#This Row],[تاريخ میلادی]]&gt;44276),Main[[#This Row],[مقدار (کیلوگرم)]],0)</f>
        <v>0</v>
      </c>
      <c r="N495" s="6">
        <f ca="1">Main[[#This Row],[بدهکار (کیلوگرم)]]-Main[[#This Row],[بدهی تسویه نشده (کیلوگرم)]]</f>
        <v>0</v>
      </c>
      <c r="O495" s="6">
        <f ca="1">Main[[#This Row],[تفکیک]]</f>
        <v>0</v>
      </c>
      <c r="P495" s="6">
        <f ca="1">IF(Main[[#This Row],[تاخیر از سررسید]]&gt;0,Main[[#This Row],[بدهی تسویه نشده (کیلوگرم)]],0)</f>
        <v>0</v>
      </c>
      <c r="Q495" s="6">
        <f ca="1">IF(Main[[#This Row],[بدهی تسویه نشده (کیلوگرم)]]&gt;0,'گزارش فردی'!$B$7-Main[[#This Row],[تاريخ میلادی]],0)</f>
        <v>0</v>
      </c>
      <c r="R495" s="6">
        <f ca="1">IF(Main[[#This Row],[بدهی تسویه نشده (کیلوگرم)]]&gt;0,'گزارش فردی'!$B$7-Main[[#This Row],[تاريخ میلادی]]-'گزارش فردی'!$B$8,0)</f>
        <v>0</v>
      </c>
      <c r="S495" s="6">
        <f ca="1">Main[[#This Row],[روز از ارسال سفارش]]*Main[[#This Row],[بدهی تسویه نشده (کیلوگرم)]]</f>
        <v>0</v>
      </c>
      <c r="T495" s="6">
        <f ca="1">Main[[#This Row],[بدهی سررسید شده (کیلوگرم)]]*Main[[#This Row],[روز از ارسال سفارش]]</f>
        <v>0</v>
      </c>
      <c r="U495" s="6">
        <f>-SUBTOTAL(9,INDEX(Main[مقدار (کیلوگرم)],1):Main[[#This Row],[مقدار (کیلوگرم)]])</f>
        <v>24408</v>
      </c>
      <c r="V4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5" s="6">
        <f>Main[[#This Row],[تعداد کل روزهای بدهکار (روز)]]*Main[[#This Row],[مانده در خط کل (کیلوگرم)]]</f>
        <v>0</v>
      </c>
      <c r="X495" s="6">
        <f ca="1">-SUBTOTAL(9,INDEX(Main[مقدار تسویه شده (کیلوگرم)],1):Main[[#This Row],[مقدار تسویه شده (کیلوگرم)]])</f>
        <v>24408</v>
      </c>
      <c r="Y495" s="6">
        <f ca="1">IF(Main[[#This Row],[مانده در خط تسویه شده (کیلوگرم)]]&lt;&gt;0,Main[[#This Row],[تعداد کل روزهای بدهکار (روز)]],0)</f>
        <v>0</v>
      </c>
      <c r="Z495" s="6">
        <f ca="1">Main[[#This Row],[تعداد روزهای بدهکار تسویه شده (روز)]]*Main[[#This Row],[مانده در خط تسویه شده (کیلوگرم)]]</f>
        <v>0</v>
      </c>
      <c r="AA495" s="6">
        <f ca="1">SUBTOTAL(9,INDEX(Main[بدهی تسویه نشده (کیلوگرم)],1):Main[[#This Row],[بدهی تسویه نشده (کیلوگرم)]])</f>
        <v>0</v>
      </c>
      <c r="AB495" s="6">
        <f ca="1">IF(Main[[#This Row],[مانده در خط تسویه نشده (کیلوگرم)]]&lt;&gt;0,Main[[#This Row],[تعداد کل روزهای بدهکار (روز)]],0)</f>
        <v>0</v>
      </c>
      <c r="AC495" s="6">
        <f ca="1">Main[[#This Row],[تعداد روزهای بدهکار  تسویه نشده (روز)]]*Main[[#This Row],[مانده در خط تسویه نشده (کیلوگرم)]]</f>
        <v>0</v>
      </c>
      <c r="AD495" s="6">
        <f ca="1">SUBTOTAL(9,INDEX(Main[بدهی سررسید شده (کیلوگرم)],1):Main[[#This Row],[بدهی سررسید شده (کیلوگرم)]])</f>
        <v>0</v>
      </c>
      <c r="AE495" s="6">
        <f ca="1">IF(Main[[#This Row],[مانده در خط سررسید شده (کیلوگرم)]]&lt;&gt;0,Main[[#This Row],[تعداد کل روزهای بدهکار (روز)]],0)</f>
        <v>0</v>
      </c>
      <c r="AF495" s="6">
        <f ca="1">Main[[#This Row],[تعداد روزهای بدهکار سررسید شده (روز)]]*Main[[#This Row],[مانده در خط سررسید شده (کیلوگرم)]]</f>
        <v>0</v>
      </c>
    </row>
    <row r="496" spans="1:32" hidden="1" x14ac:dyDescent="0.35">
      <c r="A496" s="5">
        <f>ROW()-ROW(INDEX(Main[ردیف],1))+1</f>
        <v>494</v>
      </c>
      <c r="B496" s="31">
        <f>SUBTOTAL(2,INDEX(Main[ردیف],1):Main[[#This Row],[ردیف]])</f>
        <v>46</v>
      </c>
      <c r="C496" s="32" t="s">
        <v>557</v>
      </c>
      <c r="D496" s="32" t="str">
        <f>_xlfn.CONCAT("14",Main[[#This Row],[تاريخ]])</f>
        <v>1400/02/26</v>
      </c>
      <c r="E496" s="33">
        <v>44332</v>
      </c>
      <c r="F496" s="32">
        <v>30004</v>
      </c>
      <c r="G496" s="5" t="str">
        <f>INDEX(customer[عنوان],MATCH(Main[[#This Row],[کد ردیابی]],customer[کد],0))</f>
        <v>تولیدی صنعتی صفاشیر پارس</v>
      </c>
      <c r="H496">
        <v>-2128</v>
      </c>
      <c r="I496" s="6">
        <f ca="1">-Main[[#This Row],[بدهی تسویه شده (کیلوگرم)]]+Main[[#This Row],[بستانکار (کیلوگرم)]]</f>
        <v>-2128</v>
      </c>
      <c r="J496" s="6">
        <f>IF(Main[[#This Row],[مقدار (کیلوگرم)]]&gt;0,Main[[#This Row],[مقدار (کیلوگرم)]],0)</f>
        <v>0</v>
      </c>
      <c r="K496" s="6">
        <f>-IF(Main[[#This Row],[مقدار (کیلوگرم)]]&lt;0,Main[[#This Row],[مقدار (کیلوگرم)]],0)</f>
        <v>2128</v>
      </c>
      <c r="L4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6" s="7">
        <f>-IF(AND(Main[[#This Row],[مقدار (کیلوگرم)]]&lt;0,Main[[#This Row],[تاريخ میلادی]]&gt;44276),Main[[#This Row],[مقدار (کیلوگرم)]],0)</f>
        <v>2128</v>
      </c>
      <c r="N496" s="6">
        <f ca="1">Main[[#This Row],[بدهکار (کیلوگرم)]]-Main[[#This Row],[بدهی تسویه نشده (کیلوگرم)]]</f>
        <v>2128</v>
      </c>
      <c r="O496" s="6">
        <f ca="1">Main[[#This Row],[تفکیک]]</f>
        <v>0</v>
      </c>
      <c r="P496" s="6">
        <f ca="1">IF(Main[[#This Row],[تاخیر از سررسید]]&gt;0,Main[[#This Row],[بدهی تسویه نشده (کیلوگرم)]],0)</f>
        <v>0</v>
      </c>
      <c r="Q496" s="6">
        <f ca="1">IF(Main[[#This Row],[بدهی تسویه نشده (کیلوگرم)]]&gt;0,'گزارش فردی'!$B$7-Main[[#This Row],[تاريخ میلادی]],0)</f>
        <v>0</v>
      </c>
      <c r="R496" s="6">
        <f ca="1">IF(Main[[#This Row],[بدهی تسویه نشده (کیلوگرم)]]&gt;0,'گزارش فردی'!$B$7-Main[[#This Row],[تاريخ میلادی]]-'گزارش فردی'!$B$8,0)</f>
        <v>0</v>
      </c>
      <c r="S496" s="6">
        <f ca="1">Main[[#This Row],[روز از ارسال سفارش]]*Main[[#This Row],[بدهی تسویه نشده (کیلوگرم)]]</f>
        <v>0</v>
      </c>
      <c r="T496" s="6">
        <f ca="1">Main[[#This Row],[بدهی سررسید شده (کیلوگرم)]]*Main[[#This Row],[روز از ارسال سفارش]]</f>
        <v>0</v>
      </c>
      <c r="U496" s="6">
        <f>-SUBTOTAL(9,INDEX(Main[مقدار (کیلوگرم)],1):Main[[#This Row],[مقدار (کیلوگرم)]])</f>
        <v>24408</v>
      </c>
      <c r="V4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6" s="6">
        <f>Main[[#This Row],[تعداد کل روزهای بدهکار (روز)]]*Main[[#This Row],[مانده در خط کل (کیلوگرم)]]</f>
        <v>0</v>
      </c>
      <c r="X496" s="6">
        <f ca="1">-SUBTOTAL(9,INDEX(Main[مقدار تسویه شده (کیلوگرم)],1):Main[[#This Row],[مقدار تسویه شده (کیلوگرم)]])</f>
        <v>24408</v>
      </c>
      <c r="Y496" s="6">
        <f ca="1">IF(Main[[#This Row],[مانده در خط تسویه شده (کیلوگرم)]]&lt;&gt;0,Main[[#This Row],[تعداد کل روزهای بدهکار (روز)]],0)</f>
        <v>0</v>
      </c>
      <c r="Z496" s="6">
        <f ca="1">Main[[#This Row],[تعداد روزهای بدهکار تسویه شده (روز)]]*Main[[#This Row],[مانده در خط تسویه شده (کیلوگرم)]]</f>
        <v>0</v>
      </c>
      <c r="AA496" s="6">
        <f ca="1">SUBTOTAL(9,INDEX(Main[بدهی تسویه نشده (کیلوگرم)],1):Main[[#This Row],[بدهی تسویه نشده (کیلوگرم)]])</f>
        <v>0</v>
      </c>
      <c r="AB496" s="6">
        <f ca="1">IF(Main[[#This Row],[مانده در خط تسویه نشده (کیلوگرم)]]&lt;&gt;0,Main[[#This Row],[تعداد کل روزهای بدهکار (روز)]],0)</f>
        <v>0</v>
      </c>
      <c r="AC496" s="6">
        <f ca="1">Main[[#This Row],[تعداد روزهای بدهکار  تسویه نشده (روز)]]*Main[[#This Row],[مانده در خط تسویه نشده (کیلوگرم)]]</f>
        <v>0</v>
      </c>
      <c r="AD496" s="6">
        <f ca="1">SUBTOTAL(9,INDEX(Main[بدهی سررسید شده (کیلوگرم)],1):Main[[#This Row],[بدهی سررسید شده (کیلوگرم)]])</f>
        <v>0</v>
      </c>
      <c r="AE496" s="6">
        <f ca="1">IF(Main[[#This Row],[مانده در خط سررسید شده (کیلوگرم)]]&lt;&gt;0,Main[[#This Row],[تعداد کل روزهای بدهکار (روز)]],0)</f>
        <v>0</v>
      </c>
      <c r="AF496" s="6">
        <f ca="1">Main[[#This Row],[تعداد روزهای بدهکار سررسید شده (روز)]]*Main[[#This Row],[مانده در خط سررسید شده (کیلوگرم)]]</f>
        <v>0</v>
      </c>
    </row>
    <row r="497" spans="1:32" hidden="1" x14ac:dyDescent="0.35">
      <c r="A497" s="5">
        <f>ROW()-ROW(INDEX(Main[ردیف],1))+1</f>
        <v>495</v>
      </c>
      <c r="B497" s="31">
        <f>SUBTOTAL(2,INDEX(Main[ردیف],1):Main[[#This Row],[ردیف]])</f>
        <v>46</v>
      </c>
      <c r="C497" s="32" t="s">
        <v>557</v>
      </c>
      <c r="D497" s="32" t="str">
        <f>_xlfn.CONCAT("14",Main[[#This Row],[تاريخ]])</f>
        <v>1400/02/26</v>
      </c>
      <c r="E497" s="33">
        <v>44332</v>
      </c>
      <c r="F497" s="32">
        <v>30127</v>
      </c>
      <c r="G497" s="5" t="str">
        <f>INDEX(customer[عنوان],MATCH(Main[[#This Row],[کد ردیابی]],customer[کد],0))</f>
        <v>شیر گاز آذران</v>
      </c>
      <c r="H497">
        <v>1085</v>
      </c>
      <c r="I497" s="6">
        <f ca="1">-Main[[#This Row],[بدهی تسویه شده (کیلوگرم)]]+Main[[#This Row],[بستانکار (کیلوگرم)]]</f>
        <v>1085</v>
      </c>
      <c r="J497" s="6">
        <f>IF(Main[[#This Row],[مقدار (کیلوگرم)]]&gt;0,Main[[#This Row],[مقدار (کیلوگرم)]],0)</f>
        <v>1085</v>
      </c>
      <c r="K497" s="6">
        <f>-IF(Main[[#This Row],[مقدار (کیلوگرم)]]&lt;0,Main[[#This Row],[مقدار (کیلوگرم)]],0)</f>
        <v>0</v>
      </c>
      <c r="L4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7" s="7">
        <f>-IF(AND(Main[[#This Row],[مقدار (کیلوگرم)]]&lt;0,Main[[#This Row],[تاريخ میلادی]]&gt;44276),Main[[#This Row],[مقدار (کیلوگرم)]],0)</f>
        <v>0</v>
      </c>
      <c r="N497" s="6">
        <f ca="1">Main[[#This Row],[بدهکار (کیلوگرم)]]-Main[[#This Row],[بدهی تسویه نشده (کیلوگرم)]]</f>
        <v>0</v>
      </c>
      <c r="O497" s="6">
        <f ca="1">Main[[#This Row],[تفکیک]]</f>
        <v>0</v>
      </c>
      <c r="P497" s="6">
        <f ca="1">IF(Main[[#This Row],[تاخیر از سررسید]]&gt;0,Main[[#This Row],[بدهی تسویه نشده (کیلوگرم)]],0)</f>
        <v>0</v>
      </c>
      <c r="Q497" s="6">
        <f ca="1">IF(Main[[#This Row],[بدهی تسویه نشده (کیلوگرم)]]&gt;0,'گزارش فردی'!$B$7-Main[[#This Row],[تاريخ میلادی]],0)</f>
        <v>0</v>
      </c>
      <c r="R497" s="6">
        <f ca="1">IF(Main[[#This Row],[بدهی تسویه نشده (کیلوگرم)]]&gt;0,'گزارش فردی'!$B$7-Main[[#This Row],[تاريخ میلادی]]-'گزارش فردی'!$B$8,0)</f>
        <v>0</v>
      </c>
      <c r="S497" s="6">
        <f ca="1">Main[[#This Row],[روز از ارسال سفارش]]*Main[[#This Row],[بدهی تسویه نشده (کیلوگرم)]]</f>
        <v>0</v>
      </c>
      <c r="T497" s="6">
        <f ca="1">Main[[#This Row],[بدهی سررسید شده (کیلوگرم)]]*Main[[#This Row],[روز از ارسال سفارش]]</f>
        <v>0</v>
      </c>
      <c r="U497" s="6">
        <f>-SUBTOTAL(9,INDEX(Main[مقدار (کیلوگرم)],1):Main[[#This Row],[مقدار (کیلوگرم)]])</f>
        <v>24408</v>
      </c>
      <c r="V4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7" s="6">
        <f>Main[[#This Row],[تعداد کل روزهای بدهکار (روز)]]*Main[[#This Row],[مانده در خط کل (کیلوگرم)]]</f>
        <v>0</v>
      </c>
      <c r="X497" s="6">
        <f ca="1">-SUBTOTAL(9,INDEX(Main[مقدار تسویه شده (کیلوگرم)],1):Main[[#This Row],[مقدار تسویه شده (کیلوگرم)]])</f>
        <v>24408</v>
      </c>
      <c r="Y497" s="6">
        <f ca="1">IF(Main[[#This Row],[مانده در خط تسویه شده (کیلوگرم)]]&lt;&gt;0,Main[[#This Row],[تعداد کل روزهای بدهکار (روز)]],0)</f>
        <v>0</v>
      </c>
      <c r="Z497" s="6">
        <f ca="1">Main[[#This Row],[تعداد روزهای بدهکار تسویه شده (روز)]]*Main[[#This Row],[مانده در خط تسویه شده (کیلوگرم)]]</f>
        <v>0</v>
      </c>
      <c r="AA497" s="6">
        <f ca="1">SUBTOTAL(9,INDEX(Main[بدهی تسویه نشده (کیلوگرم)],1):Main[[#This Row],[بدهی تسویه نشده (کیلوگرم)]])</f>
        <v>0</v>
      </c>
      <c r="AB497" s="6">
        <f ca="1">IF(Main[[#This Row],[مانده در خط تسویه نشده (کیلوگرم)]]&lt;&gt;0,Main[[#This Row],[تعداد کل روزهای بدهکار (روز)]],0)</f>
        <v>0</v>
      </c>
      <c r="AC497" s="6">
        <f ca="1">Main[[#This Row],[تعداد روزهای بدهکار  تسویه نشده (روز)]]*Main[[#This Row],[مانده در خط تسویه نشده (کیلوگرم)]]</f>
        <v>0</v>
      </c>
      <c r="AD497" s="6">
        <f ca="1">SUBTOTAL(9,INDEX(Main[بدهی سررسید شده (کیلوگرم)],1):Main[[#This Row],[بدهی سررسید شده (کیلوگرم)]])</f>
        <v>0</v>
      </c>
      <c r="AE497" s="6">
        <f ca="1">IF(Main[[#This Row],[مانده در خط سررسید شده (کیلوگرم)]]&lt;&gt;0,Main[[#This Row],[تعداد کل روزهای بدهکار (روز)]],0)</f>
        <v>0</v>
      </c>
      <c r="AF497" s="6">
        <f ca="1">Main[[#This Row],[تعداد روزهای بدهکار سررسید شده (روز)]]*Main[[#This Row],[مانده در خط سررسید شده (کیلوگرم)]]</f>
        <v>0</v>
      </c>
    </row>
    <row r="498" spans="1:32" hidden="1" x14ac:dyDescent="0.35">
      <c r="A498" s="5">
        <f>ROW()-ROW(INDEX(Main[ردیف],1))+1</f>
        <v>496</v>
      </c>
      <c r="B498" s="31">
        <f>SUBTOTAL(2,INDEX(Main[ردیف],1):Main[[#This Row],[ردیف]])</f>
        <v>46</v>
      </c>
      <c r="C498" s="32" t="s">
        <v>557</v>
      </c>
      <c r="D498" s="32" t="str">
        <f>_xlfn.CONCAT("14",Main[[#This Row],[تاريخ]])</f>
        <v>1400/02/26</v>
      </c>
      <c r="E498" s="33">
        <v>44332</v>
      </c>
      <c r="F498" s="32">
        <v>10104</v>
      </c>
      <c r="G498" s="5" t="str">
        <f>INDEX(customer[عنوان],MATCH(Main[[#This Row],[کد ردیابی]],customer[کد],0))</f>
        <v>بهزادی فر اصغر</v>
      </c>
      <c r="H498">
        <v>-1548</v>
      </c>
      <c r="I498" s="6">
        <f ca="1">-Main[[#This Row],[بدهی تسویه شده (کیلوگرم)]]+Main[[#This Row],[بستانکار (کیلوگرم)]]</f>
        <v>-1548</v>
      </c>
      <c r="J498" s="6">
        <f>IF(Main[[#This Row],[مقدار (کیلوگرم)]]&gt;0,Main[[#This Row],[مقدار (کیلوگرم)]],0)</f>
        <v>0</v>
      </c>
      <c r="K498" s="6">
        <f>-IF(Main[[#This Row],[مقدار (کیلوگرم)]]&lt;0,Main[[#This Row],[مقدار (کیلوگرم)]],0)</f>
        <v>1548</v>
      </c>
      <c r="L4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8" s="7">
        <f>-IF(AND(Main[[#This Row],[مقدار (کیلوگرم)]]&lt;0,Main[[#This Row],[تاريخ میلادی]]&gt;44276),Main[[#This Row],[مقدار (کیلوگرم)]],0)</f>
        <v>1548</v>
      </c>
      <c r="N498" s="6">
        <f ca="1">Main[[#This Row],[بدهکار (کیلوگرم)]]-Main[[#This Row],[بدهی تسویه نشده (کیلوگرم)]]</f>
        <v>1548</v>
      </c>
      <c r="O498" s="6">
        <f ca="1">Main[[#This Row],[تفکیک]]</f>
        <v>0</v>
      </c>
      <c r="P498" s="6">
        <f ca="1">IF(Main[[#This Row],[تاخیر از سررسید]]&gt;0,Main[[#This Row],[بدهی تسویه نشده (کیلوگرم)]],0)</f>
        <v>0</v>
      </c>
      <c r="Q498" s="6">
        <f ca="1">IF(Main[[#This Row],[بدهی تسویه نشده (کیلوگرم)]]&gt;0,'گزارش فردی'!$B$7-Main[[#This Row],[تاريخ میلادی]],0)</f>
        <v>0</v>
      </c>
      <c r="R498" s="6">
        <f ca="1">IF(Main[[#This Row],[بدهی تسویه نشده (کیلوگرم)]]&gt;0,'گزارش فردی'!$B$7-Main[[#This Row],[تاريخ میلادی]]-'گزارش فردی'!$B$8,0)</f>
        <v>0</v>
      </c>
      <c r="S498" s="6">
        <f ca="1">Main[[#This Row],[روز از ارسال سفارش]]*Main[[#This Row],[بدهی تسویه نشده (کیلوگرم)]]</f>
        <v>0</v>
      </c>
      <c r="T498" s="6">
        <f ca="1">Main[[#This Row],[بدهی سررسید شده (کیلوگرم)]]*Main[[#This Row],[روز از ارسال سفارش]]</f>
        <v>0</v>
      </c>
      <c r="U498" s="6">
        <f>-SUBTOTAL(9,INDEX(Main[مقدار (کیلوگرم)],1):Main[[#This Row],[مقدار (کیلوگرم)]])</f>
        <v>24408</v>
      </c>
      <c r="V4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8" s="6">
        <f>Main[[#This Row],[تعداد کل روزهای بدهکار (روز)]]*Main[[#This Row],[مانده در خط کل (کیلوگرم)]]</f>
        <v>0</v>
      </c>
      <c r="X498" s="6">
        <f ca="1">-SUBTOTAL(9,INDEX(Main[مقدار تسویه شده (کیلوگرم)],1):Main[[#This Row],[مقدار تسویه شده (کیلوگرم)]])</f>
        <v>24408</v>
      </c>
      <c r="Y498" s="6">
        <f ca="1">IF(Main[[#This Row],[مانده در خط تسویه شده (کیلوگرم)]]&lt;&gt;0,Main[[#This Row],[تعداد کل روزهای بدهکار (روز)]],0)</f>
        <v>0</v>
      </c>
      <c r="Z498" s="6">
        <f ca="1">Main[[#This Row],[تعداد روزهای بدهکار تسویه شده (روز)]]*Main[[#This Row],[مانده در خط تسویه شده (کیلوگرم)]]</f>
        <v>0</v>
      </c>
      <c r="AA498" s="6">
        <f ca="1">SUBTOTAL(9,INDEX(Main[بدهی تسویه نشده (کیلوگرم)],1):Main[[#This Row],[بدهی تسویه نشده (کیلوگرم)]])</f>
        <v>0</v>
      </c>
      <c r="AB498" s="6">
        <f ca="1">IF(Main[[#This Row],[مانده در خط تسویه نشده (کیلوگرم)]]&lt;&gt;0,Main[[#This Row],[تعداد کل روزهای بدهکار (روز)]],0)</f>
        <v>0</v>
      </c>
      <c r="AC498" s="6">
        <f ca="1">Main[[#This Row],[تعداد روزهای بدهکار  تسویه نشده (روز)]]*Main[[#This Row],[مانده در خط تسویه نشده (کیلوگرم)]]</f>
        <v>0</v>
      </c>
      <c r="AD498" s="6">
        <f ca="1">SUBTOTAL(9,INDEX(Main[بدهی سررسید شده (کیلوگرم)],1):Main[[#This Row],[بدهی سررسید شده (کیلوگرم)]])</f>
        <v>0</v>
      </c>
      <c r="AE498" s="6">
        <f ca="1">IF(Main[[#This Row],[مانده در خط سررسید شده (کیلوگرم)]]&lt;&gt;0,Main[[#This Row],[تعداد کل روزهای بدهکار (روز)]],0)</f>
        <v>0</v>
      </c>
      <c r="AF498" s="6">
        <f ca="1">Main[[#This Row],[تعداد روزهای بدهکار سررسید شده (روز)]]*Main[[#This Row],[مانده در خط سررسید شده (کیلوگرم)]]</f>
        <v>0</v>
      </c>
    </row>
    <row r="499" spans="1:32" hidden="1" x14ac:dyDescent="0.35">
      <c r="A499" s="5">
        <f>ROW()-ROW(INDEX(Main[ردیف],1))+1</f>
        <v>497</v>
      </c>
      <c r="B499" s="31">
        <f>SUBTOTAL(2,INDEX(Main[ردیف],1):Main[[#This Row],[ردیف]])</f>
        <v>46</v>
      </c>
      <c r="C499" s="32" t="s">
        <v>557</v>
      </c>
      <c r="D499" s="32" t="str">
        <f>_xlfn.CONCAT("14",Main[[#This Row],[تاريخ]])</f>
        <v>1400/02/26</v>
      </c>
      <c r="E499" s="33">
        <v>44332</v>
      </c>
      <c r="F499" s="32">
        <v>30186</v>
      </c>
      <c r="G499" s="5" t="str">
        <f>INDEX(customer[عنوان],MATCH(Main[[#This Row],[کد ردیابی]],customer[کد],0))</f>
        <v>سارا گاز</v>
      </c>
      <c r="H499">
        <v>1198</v>
      </c>
      <c r="I499" s="6">
        <f ca="1">-Main[[#This Row],[بدهی تسویه شده (کیلوگرم)]]+Main[[#This Row],[بستانکار (کیلوگرم)]]</f>
        <v>1198</v>
      </c>
      <c r="J499" s="6">
        <f>IF(Main[[#This Row],[مقدار (کیلوگرم)]]&gt;0,Main[[#This Row],[مقدار (کیلوگرم)]],0)</f>
        <v>1198</v>
      </c>
      <c r="K499" s="6">
        <f>-IF(Main[[#This Row],[مقدار (کیلوگرم)]]&lt;0,Main[[#This Row],[مقدار (کیلوگرم)]],0)</f>
        <v>0</v>
      </c>
      <c r="L4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9" s="7">
        <f>-IF(AND(Main[[#This Row],[مقدار (کیلوگرم)]]&lt;0,Main[[#This Row],[تاريخ میلادی]]&gt;44276),Main[[#This Row],[مقدار (کیلوگرم)]],0)</f>
        <v>0</v>
      </c>
      <c r="N499" s="6">
        <f ca="1">Main[[#This Row],[بدهکار (کیلوگرم)]]-Main[[#This Row],[بدهی تسویه نشده (کیلوگرم)]]</f>
        <v>0</v>
      </c>
      <c r="O499" s="6">
        <f ca="1">Main[[#This Row],[تفکیک]]</f>
        <v>0</v>
      </c>
      <c r="P499" s="6">
        <f ca="1">IF(Main[[#This Row],[تاخیر از سررسید]]&gt;0,Main[[#This Row],[بدهی تسویه نشده (کیلوگرم)]],0)</f>
        <v>0</v>
      </c>
      <c r="Q499" s="6">
        <f ca="1">IF(Main[[#This Row],[بدهی تسویه نشده (کیلوگرم)]]&gt;0,'گزارش فردی'!$B$7-Main[[#This Row],[تاريخ میلادی]],0)</f>
        <v>0</v>
      </c>
      <c r="R499" s="6">
        <f ca="1">IF(Main[[#This Row],[بدهی تسویه نشده (کیلوگرم)]]&gt;0,'گزارش فردی'!$B$7-Main[[#This Row],[تاريخ میلادی]]-'گزارش فردی'!$B$8,0)</f>
        <v>0</v>
      </c>
      <c r="S499" s="6">
        <f ca="1">Main[[#This Row],[روز از ارسال سفارش]]*Main[[#This Row],[بدهی تسویه نشده (کیلوگرم)]]</f>
        <v>0</v>
      </c>
      <c r="T499" s="6">
        <f ca="1">Main[[#This Row],[بدهی سررسید شده (کیلوگرم)]]*Main[[#This Row],[روز از ارسال سفارش]]</f>
        <v>0</v>
      </c>
      <c r="U499" s="6">
        <f>-SUBTOTAL(9,INDEX(Main[مقدار (کیلوگرم)],1):Main[[#This Row],[مقدار (کیلوگرم)]])</f>
        <v>24408</v>
      </c>
      <c r="V4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9" s="6">
        <f>Main[[#This Row],[تعداد کل روزهای بدهکار (روز)]]*Main[[#This Row],[مانده در خط کل (کیلوگرم)]]</f>
        <v>0</v>
      </c>
      <c r="X499" s="6">
        <f ca="1">-SUBTOTAL(9,INDEX(Main[مقدار تسویه شده (کیلوگرم)],1):Main[[#This Row],[مقدار تسویه شده (کیلوگرم)]])</f>
        <v>24408</v>
      </c>
      <c r="Y499" s="6">
        <f ca="1">IF(Main[[#This Row],[مانده در خط تسویه شده (کیلوگرم)]]&lt;&gt;0,Main[[#This Row],[تعداد کل روزهای بدهکار (روز)]],0)</f>
        <v>0</v>
      </c>
      <c r="Z499" s="6">
        <f ca="1">Main[[#This Row],[تعداد روزهای بدهکار تسویه شده (روز)]]*Main[[#This Row],[مانده در خط تسویه شده (کیلوگرم)]]</f>
        <v>0</v>
      </c>
      <c r="AA499" s="6">
        <f ca="1">SUBTOTAL(9,INDEX(Main[بدهی تسویه نشده (کیلوگرم)],1):Main[[#This Row],[بدهی تسویه نشده (کیلوگرم)]])</f>
        <v>0</v>
      </c>
      <c r="AB499" s="6">
        <f ca="1">IF(Main[[#This Row],[مانده در خط تسویه نشده (کیلوگرم)]]&lt;&gt;0,Main[[#This Row],[تعداد کل روزهای بدهکار (روز)]],0)</f>
        <v>0</v>
      </c>
      <c r="AC499" s="6">
        <f ca="1">Main[[#This Row],[تعداد روزهای بدهکار  تسویه نشده (روز)]]*Main[[#This Row],[مانده در خط تسویه نشده (کیلوگرم)]]</f>
        <v>0</v>
      </c>
      <c r="AD499" s="6">
        <f ca="1">SUBTOTAL(9,INDEX(Main[بدهی سررسید شده (کیلوگرم)],1):Main[[#This Row],[بدهی سررسید شده (کیلوگرم)]])</f>
        <v>0</v>
      </c>
      <c r="AE499" s="6">
        <f ca="1">IF(Main[[#This Row],[مانده در خط سررسید شده (کیلوگرم)]]&lt;&gt;0,Main[[#This Row],[تعداد کل روزهای بدهکار (روز)]],0)</f>
        <v>0</v>
      </c>
      <c r="AF499" s="6">
        <f ca="1">Main[[#This Row],[تعداد روزهای بدهکار سررسید شده (روز)]]*Main[[#This Row],[مانده در خط سررسید شده (کیلوگرم)]]</f>
        <v>0</v>
      </c>
    </row>
    <row r="500" spans="1:32" hidden="1" x14ac:dyDescent="0.35">
      <c r="A500" s="5">
        <f>ROW()-ROW(INDEX(Main[ردیف],1))+1</f>
        <v>498</v>
      </c>
      <c r="B500" s="31">
        <f>SUBTOTAL(2,INDEX(Main[ردیف],1):Main[[#This Row],[ردیف]])</f>
        <v>46</v>
      </c>
      <c r="C500" s="32" t="s">
        <v>557</v>
      </c>
      <c r="D500" s="32" t="str">
        <f>_xlfn.CONCAT("14",Main[[#This Row],[تاريخ]])</f>
        <v>1400/02/26</v>
      </c>
      <c r="E500" s="33">
        <v>44332</v>
      </c>
      <c r="F500" s="32">
        <v>10026</v>
      </c>
      <c r="G500" s="5" t="str">
        <f>INDEX(customer[عنوان],MATCH(Main[[#This Row],[کد ردیابی]],customer[کد],0))</f>
        <v xml:space="preserve">محسن فیاض بخش </v>
      </c>
      <c r="H500">
        <v>6903</v>
      </c>
      <c r="I500" s="6">
        <f ca="1">-Main[[#This Row],[بدهی تسویه شده (کیلوگرم)]]+Main[[#This Row],[بستانکار (کیلوگرم)]]</f>
        <v>6903</v>
      </c>
      <c r="J500" s="6">
        <f>IF(Main[[#This Row],[مقدار (کیلوگرم)]]&gt;0,Main[[#This Row],[مقدار (کیلوگرم)]],0)</f>
        <v>6903</v>
      </c>
      <c r="K500" s="6">
        <f>-IF(Main[[#This Row],[مقدار (کیلوگرم)]]&lt;0,Main[[#This Row],[مقدار (کیلوگرم)]],0)</f>
        <v>0</v>
      </c>
      <c r="L5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0" s="7">
        <f>-IF(AND(Main[[#This Row],[مقدار (کیلوگرم)]]&lt;0,Main[[#This Row],[تاريخ میلادی]]&gt;44276),Main[[#This Row],[مقدار (کیلوگرم)]],0)</f>
        <v>0</v>
      </c>
      <c r="N500" s="6">
        <f ca="1">Main[[#This Row],[بدهکار (کیلوگرم)]]-Main[[#This Row],[بدهی تسویه نشده (کیلوگرم)]]</f>
        <v>0</v>
      </c>
      <c r="O500" s="6">
        <f ca="1">Main[[#This Row],[تفکیک]]</f>
        <v>0</v>
      </c>
      <c r="P500" s="6">
        <f ca="1">IF(Main[[#This Row],[تاخیر از سررسید]]&gt;0,Main[[#This Row],[بدهی تسویه نشده (کیلوگرم)]],0)</f>
        <v>0</v>
      </c>
      <c r="Q500" s="6">
        <f ca="1">IF(Main[[#This Row],[بدهی تسویه نشده (کیلوگرم)]]&gt;0,'گزارش فردی'!$B$7-Main[[#This Row],[تاريخ میلادی]],0)</f>
        <v>0</v>
      </c>
      <c r="R500" s="6">
        <f ca="1">IF(Main[[#This Row],[بدهی تسویه نشده (کیلوگرم)]]&gt;0,'گزارش فردی'!$B$7-Main[[#This Row],[تاريخ میلادی]]-'گزارش فردی'!$B$8,0)</f>
        <v>0</v>
      </c>
      <c r="S500" s="6">
        <f ca="1">Main[[#This Row],[روز از ارسال سفارش]]*Main[[#This Row],[بدهی تسویه نشده (کیلوگرم)]]</f>
        <v>0</v>
      </c>
      <c r="T500" s="6">
        <f ca="1">Main[[#This Row],[بدهی سررسید شده (کیلوگرم)]]*Main[[#This Row],[روز از ارسال سفارش]]</f>
        <v>0</v>
      </c>
      <c r="U500" s="6">
        <f>-SUBTOTAL(9,INDEX(Main[مقدار (کیلوگرم)],1):Main[[#This Row],[مقدار (کیلوگرم)]])</f>
        <v>24408</v>
      </c>
      <c r="V5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00" s="6">
        <f>Main[[#This Row],[تعداد کل روزهای بدهکار (روز)]]*Main[[#This Row],[مانده در خط کل (کیلوگرم)]]</f>
        <v>0</v>
      </c>
      <c r="X500" s="6">
        <f ca="1">-SUBTOTAL(9,INDEX(Main[مقدار تسویه شده (کیلوگرم)],1):Main[[#This Row],[مقدار تسویه شده (کیلوگرم)]])</f>
        <v>24408</v>
      </c>
      <c r="Y500" s="6">
        <f ca="1">IF(Main[[#This Row],[مانده در خط تسویه شده (کیلوگرم)]]&lt;&gt;0,Main[[#This Row],[تعداد کل روزهای بدهکار (روز)]],0)</f>
        <v>0</v>
      </c>
      <c r="Z500" s="6">
        <f ca="1">Main[[#This Row],[تعداد روزهای بدهکار تسویه شده (روز)]]*Main[[#This Row],[مانده در خط تسویه شده (کیلوگرم)]]</f>
        <v>0</v>
      </c>
      <c r="AA500" s="6">
        <f ca="1">SUBTOTAL(9,INDEX(Main[بدهی تسویه نشده (کیلوگرم)],1):Main[[#This Row],[بدهی تسویه نشده (کیلوگرم)]])</f>
        <v>0</v>
      </c>
      <c r="AB500" s="6">
        <f ca="1">IF(Main[[#This Row],[مانده در خط تسویه نشده (کیلوگرم)]]&lt;&gt;0,Main[[#This Row],[تعداد کل روزهای بدهکار (روز)]],0)</f>
        <v>0</v>
      </c>
      <c r="AC500" s="6">
        <f ca="1">Main[[#This Row],[تعداد روزهای بدهکار  تسویه نشده (روز)]]*Main[[#This Row],[مانده در خط تسویه نشده (کیلوگرم)]]</f>
        <v>0</v>
      </c>
      <c r="AD500" s="6">
        <f ca="1">SUBTOTAL(9,INDEX(Main[بدهی سررسید شده (کیلوگرم)],1):Main[[#This Row],[بدهی سررسید شده (کیلوگرم)]])</f>
        <v>0</v>
      </c>
      <c r="AE500" s="6">
        <f ca="1">IF(Main[[#This Row],[مانده در خط سررسید شده (کیلوگرم)]]&lt;&gt;0,Main[[#This Row],[تعداد کل روزهای بدهکار (روز)]],0)</f>
        <v>0</v>
      </c>
      <c r="AF500" s="6">
        <f ca="1">Main[[#This Row],[تعداد روزهای بدهکار سررسید شده (روز)]]*Main[[#This Row],[مانده در خط سررسید شده (کیلوگرم)]]</f>
        <v>0</v>
      </c>
    </row>
    <row r="501" spans="1:32" x14ac:dyDescent="0.35">
      <c r="A501" s="5">
        <f>ROW()-ROW(INDEX(Main[ردیف],1))+1</f>
        <v>499</v>
      </c>
      <c r="B501" s="31">
        <f>SUBTOTAL(2,INDEX(Main[ردیف],1):Main[[#This Row],[ردیف]])</f>
        <v>47</v>
      </c>
      <c r="C501" s="32" t="s">
        <v>557</v>
      </c>
      <c r="D501" s="32" t="str">
        <f>_xlfn.CONCAT("14",Main[[#This Row],[تاريخ]])</f>
        <v>1400/02/26</v>
      </c>
      <c r="E501" s="33">
        <v>44332</v>
      </c>
      <c r="F501" s="32">
        <v>10003</v>
      </c>
      <c r="G501" s="5" t="str">
        <f>INDEX(customer[عنوان],MATCH(Main[[#This Row],[کد ردیابی]],customer[کد],0))</f>
        <v>اصغر نورعلی</v>
      </c>
      <c r="H501">
        <v>2549</v>
      </c>
      <c r="I501" s="6">
        <f ca="1">-Main[[#This Row],[بدهی تسویه شده (کیلوگرم)]]+Main[[#This Row],[بستانکار (کیلوگرم)]]</f>
        <v>2549</v>
      </c>
      <c r="J501" s="6">
        <f>IF(Main[[#This Row],[مقدار (کیلوگرم)]]&gt;0,Main[[#This Row],[مقدار (کیلوگرم)]],0)</f>
        <v>2549</v>
      </c>
      <c r="K501" s="6">
        <f>-IF(Main[[#This Row],[مقدار (کیلوگرم)]]&lt;0,Main[[#This Row],[مقدار (کیلوگرم)]],0)</f>
        <v>0</v>
      </c>
      <c r="L5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1" s="7">
        <f>-IF(AND(Main[[#This Row],[مقدار (کیلوگرم)]]&lt;0,Main[[#This Row],[تاريخ میلادی]]&gt;44276),Main[[#This Row],[مقدار (کیلوگرم)]],0)</f>
        <v>0</v>
      </c>
      <c r="N501" s="6">
        <f ca="1">Main[[#This Row],[بدهکار (کیلوگرم)]]-Main[[#This Row],[بدهی تسویه نشده (کیلوگرم)]]</f>
        <v>0</v>
      </c>
      <c r="O501" s="6">
        <f ca="1">Main[[#This Row],[تفکیک]]</f>
        <v>0</v>
      </c>
      <c r="P501" s="6">
        <f ca="1">IF(Main[[#This Row],[تاخیر از سررسید]]&gt;0,Main[[#This Row],[بدهی تسویه نشده (کیلوگرم)]],0)</f>
        <v>0</v>
      </c>
      <c r="Q501" s="6">
        <f ca="1">IF(Main[[#This Row],[بدهی تسویه نشده (کیلوگرم)]]&gt;0,'گزارش فردی'!$B$7-Main[[#This Row],[تاريخ میلادی]],0)</f>
        <v>0</v>
      </c>
      <c r="R501" s="6">
        <f ca="1">IF(Main[[#This Row],[بدهی تسویه نشده (کیلوگرم)]]&gt;0,'گزارش فردی'!$B$7-Main[[#This Row],[تاريخ میلادی]]-'گزارش فردی'!$B$8,0)</f>
        <v>0</v>
      </c>
      <c r="S501" s="6">
        <f ca="1">Main[[#This Row],[روز از ارسال سفارش]]*Main[[#This Row],[بدهی تسویه نشده (کیلوگرم)]]</f>
        <v>0</v>
      </c>
      <c r="T501" s="6">
        <f ca="1">Main[[#This Row],[بدهی سررسید شده (کیلوگرم)]]*Main[[#This Row],[روز از ارسال سفارش]]</f>
        <v>0</v>
      </c>
      <c r="U501" s="6">
        <f>-SUBTOTAL(9,INDEX(Main[مقدار (کیلوگرم)],1):Main[[#This Row],[مقدار (کیلوگرم)]])</f>
        <v>21859</v>
      </c>
      <c r="V5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01" s="6">
        <f>Main[[#This Row],[تعداد کل روزهای بدهکار (روز)]]*Main[[#This Row],[مانده در خط کل (کیلوگرم)]]</f>
        <v>43718</v>
      </c>
      <c r="X501" s="6">
        <f ca="1">-SUBTOTAL(9,INDEX(Main[مقدار تسویه شده (کیلوگرم)],1):Main[[#This Row],[مقدار تسویه شده (کیلوگرم)]])</f>
        <v>21859</v>
      </c>
      <c r="Y501" s="6">
        <f ca="1">IF(Main[[#This Row],[مانده در خط تسویه شده (کیلوگرم)]]&lt;&gt;0,Main[[#This Row],[تعداد کل روزهای بدهکار (روز)]],0)</f>
        <v>2</v>
      </c>
      <c r="Z501" s="6">
        <f ca="1">Main[[#This Row],[تعداد روزهای بدهکار تسویه شده (روز)]]*Main[[#This Row],[مانده در خط تسویه شده (کیلوگرم)]]</f>
        <v>43718</v>
      </c>
      <c r="AA501" s="6">
        <f ca="1">SUBTOTAL(9,INDEX(Main[بدهی تسویه نشده (کیلوگرم)],1):Main[[#This Row],[بدهی تسویه نشده (کیلوگرم)]])</f>
        <v>0</v>
      </c>
      <c r="AB501" s="6">
        <f ca="1">IF(Main[[#This Row],[مانده در خط تسویه نشده (کیلوگرم)]]&lt;&gt;0,Main[[#This Row],[تعداد کل روزهای بدهکار (روز)]],0)</f>
        <v>0</v>
      </c>
      <c r="AC501" s="6">
        <f ca="1">Main[[#This Row],[تعداد روزهای بدهکار  تسویه نشده (روز)]]*Main[[#This Row],[مانده در خط تسویه نشده (کیلوگرم)]]</f>
        <v>0</v>
      </c>
      <c r="AD501" s="6">
        <f ca="1">SUBTOTAL(9,INDEX(Main[بدهی سررسید شده (کیلوگرم)],1):Main[[#This Row],[بدهی سررسید شده (کیلوگرم)]])</f>
        <v>0</v>
      </c>
      <c r="AE501" s="6">
        <f ca="1">IF(Main[[#This Row],[مانده در خط سررسید شده (کیلوگرم)]]&lt;&gt;0,Main[[#This Row],[تعداد کل روزهای بدهکار (روز)]],0)</f>
        <v>0</v>
      </c>
      <c r="AF501" s="6">
        <f ca="1">Main[[#This Row],[تعداد روزهای بدهکار سررسید شده (روز)]]*Main[[#This Row],[مانده در خط سررسید شده (کیلوگرم)]]</f>
        <v>0</v>
      </c>
    </row>
    <row r="502" spans="1:32" hidden="1" x14ac:dyDescent="0.35">
      <c r="A502" s="5">
        <f>ROW()-ROW(INDEX(Main[ردیف],1))+1</f>
        <v>500</v>
      </c>
      <c r="B502" s="31">
        <f>SUBTOTAL(2,INDEX(Main[ردیف],1):Main[[#This Row],[ردیف]])</f>
        <v>47</v>
      </c>
      <c r="C502" s="32" t="s">
        <v>558</v>
      </c>
      <c r="D502" s="32" t="str">
        <f>_xlfn.CONCAT("14",Main[[#This Row],[تاريخ]])</f>
        <v>1400/02/27</v>
      </c>
      <c r="E502" s="33">
        <v>44333</v>
      </c>
      <c r="F502" s="32">
        <v>30127</v>
      </c>
      <c r="G502" s="5" t="str">
        <f>INDEX(customer[عنوان],MATCH(Main[[#This Row],[کد ردیابی]],customer[کد],0))</f>
        <v>شیر گاز آذران</v>
      </c>
      <c r="H502">
        <v>-15610</v>
      </c>
      <c r="I502" s="6">
        <f ca="1">-Main[[#This Row],[بدهی تسویه شده (کیلوگرم)]]+Main[[#This Row],[بستانکار (کیلوگرم)]]</f>
        <v>-15610</v>
      </c>
      <c r="J502" s="6">
        <f>IF(Main[[#This Row],[مقدار (کیلوگرم)]]&gt;0,Main[[#This Row],[مقدار (کیلوگرم)]],0)</f>
        <v>0</v>
      </c>
      <c r="K502" s="6">
        <f>-IF(Main[[#This Row],[مقدار (کیلوگرم)]]&lt;0,Main[[#This Row],[مقدار (کیلوگرم)]],0)</f>
        <v>15610</v>
      </c>
      <c r="L5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2" s="7">
        <f>-IF(AND(Main[[#This Row],[مقدار (کیلوگرم)]]&lt;0,Main[[#This Row],[تاريخ میلادی]]&gt;44276),Main[[#This Row],[مقدار (کیلوگرم)]],0)</f>
        <v>15610</v>
      </c>
      <c r="N502" s="6">
        <f ca="1">Main[[#This Row],[بدهکار (کیلوگرم)]]-Main[[#This Row],[بدهی تسویه نشده (کیلوگرم)]]</f>
        <v>15610</v>
      </c>
      <c r="O502" s="6">
        <f ca="1">Main[[#This Row],[تفکیک]]</f>
        <v>0</v>
      </c>
      <c r="P502" s="6">
        <f ca="1">IF(Main[[#This Row],[تاخیر از سررسید]]&gt;0,Main[[#This Row],[بدهی تسویه نشده (کیلوگرم)]],0)</f>
        <v>0</v>
      </c>
      <c r="Q502" s="6">
        <f ca="1">IF(Main[[#This Row],[بدهی تسویه نشده (کیلوگرم)]]&gt;0,'گزارش فردی'!$B$7-Main[[#This Row],[تاريخ میلادی]],0)</f>
        <v>0</v>
      </c>
      <c r="R502" s="6">
        <f ca="1">IF(Main[[#This Row],[بدهی تسویه نشده (کیلوگرم)]]&gt;0,'گزارش فردی'!$B$7-Main[[#This Row],[تاريخ میلادی]]-'گزارش فردی'!$B$8,0)</f>
        <v>0</v>
      </c>
      <c r="S502" s="6">
        <f ca="1">Main[[#This Row],[روز از ارسال سفارش]]*Main[[#This Row],[بدهی تسویه نشده (کیلوگرم)]]</f>
        <v>0</v>
      </c>
      <c r="T502" s="6">
        <f ca="1">Main[[#This Row],[بدهی سررسید شده (کیلوگرم)]]*Main[[#This Row],[روز از ارسال سفارش]]</f>
        <v>0</v>
      </c>
      <c r="U502" s="6">
        <f>-SUBTOTAL(9,INDEX(Main[مقدار (کیلوگرم)],1):Main[[#This Row],[مقدار (کیلوگرم)]])</f>
        <v>21859</v>
      </c>
      <c r="V5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2" s="6">
        <f>Main[[#This Row],[تعداد کل روزهای بدهکار (روز)]]*Main[[#This Row],[مانده در خط کل (کیلوگرم)]]</f>
        <v>21859</v>
      </c>
      <c r="X502" s="6">
        <f ca="1">-SUBTOTAL(9,INDEX(Main[مقدار تسویه شده (کیلوگرم)],1):Main[[#This Row],[مقدار تسویه شده (کیلوگرم)]])</f>
        <v>21859</v>
      </c>
      <c r="Y502" s="6">
        <f ca="1">IF(Main[[#This Row],[مانده در خط تسویه شده (کیلوگرم)]]&lt;&gt;0,Main[[#This Row],[تعداد کل روزهای بدهکار (روز)]],0)</f>
        <v>1</v>
      </c>
      <c r="Z502" s="6">
        <f ca="1">Main[[#This Row],[تعداد روزهای بدهکار تسویه شده (روز)]]*Main[[#This Row],[مانده در خط تسویه شده (کیلوگرم)]]</f>
        <v>21859</v>
      </c>
      <c r="AA502" s="6">
        <f ca="1">SUBTOTAL(9,INDEX(Main[بدهی تسویه نشده (کیلوگرم)],1):Main[[#This Row],[بدهی تسویه نشده (کیلوگرم)]])</f>
        <v>0</v>
      </c>
      <c r="AB502" s="6">
        <f ca="1">IF(Main[[#This Row],[مانده در خط تسویه نشده (کیلوگرم)]]&lt;&gt;0,Main[[#This Row],[تعداد کل روزهای بدهکار (روز)]],0)</f>
        <v>0</v>
      </c>
      <c r="AC502" s="6">
        <f ca="1">Main[[#This Row],[تعداد روزهای بدهکار  تسویه نشده (روز)]]*Main[[#This Row],[مانده در خط تسویه نشده (کیلوگرم)]]</f>
        <v>0</v>
      </c>
      <c r="AD502" s="6">
        <f ca="1">SUBTOTAL(9,INDEX(Main[بدهی سررسید شده (کیلوگرم)],1):Main[[#This Row],[بدهی سررسید شده (کیلوگرم)]])</f>
        <v>0</v>
      </c>
      <c r="AE502" s="6">
        <f ca="1">IF(Main[[#This Row],[مانده در خط سررسید شده (کیلوگرم)]]&lt;&gt;0,Main[[#This Row],[تعداد کل روزهای بدهکار (روز)]],0)</f>
        <v>0</v>
      </c>
      <c r="AF502" s="6">
        <f ca="1">Main[[#This Row],[تعداد روزهای بدهکار سررسید شده (روز)]]*Main[[#This Row],[مانده در خط سررسید شده (کیلوگرم)]]</f>
        <v>0</v>
      </c>
    </row>
    <row r="503" spans="1:32" hidden="1" x14ac:dyDescent="0.35">
      <c r="A503" s="5">
        <f>ROW()-ROW(INDEX(Main[ردیف],1))+1</f>
        <v>501</v>
      </c>
      <c r="B503" s="31">
        <f>SUBTOTAL(2,INDEX(Main[ردیف],1):Main[[#This Row],[ردیف]])</f>
        <v>47</v>
      </c>
      <c r="C503" s="32" t="s">
        <v>558</v>
      </c>
      <c r="D503" s="32" t="str">
        <f>_xlfn.CONCAT("14",Main[[#This Row],[تاريخ]])</f>
        <v>1400/02/27</v>
      </c>
      <c r="E503" s="33">
        <v>44333</v>
      </c>
      <c r="F503" s="32">
        <v>10055</v>
      </c>
      <c r="G503" s="5" t="str">
        <f>INDEX(customer[عنوان],MATCH(Main[[#This Row],[کد ردیابی]],customer[کد],0))</f>
        <v xml:space="preserve">مریم فیض آبادی  </v>
      </c>
      <c r="H503">
        <v>5249</v>
      </c>
      <c r="I503" s="6">
        <f ca="1">-Main[[#This Row],[بدهی تسویه شده (کیلوگرم)]]+Main[[#This Row],[بستانکار (کیلوگرم)]]</f>
        <v>5249</v>
      </c>
      <c r="J503" s="6">
        <f>IF(Main[[#This Row],[مقدار (کیلوگرم)]]&gt;0,Main[[#This Row],[مقدار (کیلوگرم)]],0)</f>
        <v>5249</v>
      </c>
      <c r="K503" s="6">
        <f>-IF(Main[[#This Row],[مقدار (کیلوگرم)]]&lt;0,Main[[#This Row],[مقدار (کیلوگرم)]],0)</f>
        <v>0</v>
      </c>
      <c r="L5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3" s="7">
        <f>-IF(AND(Main[[#This Row],[مقدار (کیلوگرم)]]&lt;0,Main[[#This Row],[تاريخ میلادی]]&gt;44276),Main[[#This Row],[مقدار (کیلوگرم)]],0)</f>
        <v>0</v>
      </c>
      <c r="N503" s="6">
        <f ca="1">Main[[#This Row],[بدهکار (کیلوگرم)]]-Main[[#This Row],[بدهی تسویه نشده (کیلوگرم)]]</f>
        <v>0</v>
      </c>
      <c r="O503" s="6">
        <f ca="1">Main[[#This Row],[تفکیک]]</f>
        <v>0</v>
      </c>
      <c r="P503" s="6">
        <f ca="1">IF(Main[[#This Row],[تاخیر از سررسید]]&gt;0,Main[[#This Row],[بدهی تسویه نشده (کیلوگرم)]],0)</f>
        <v>0</v>
      </c>
      <c r="Q503" s="6">
        <f ca="1">IF(Main[[#This Row],[بدهی تسویه نشده (کیلوگرم)]]&gt;0,'گزارش فردی'!$B$7-Main[[#This Row],[تاريخ میلادی]],0)</f>
        <v>0</v>
      </c>
      <c r="R503" s="6">
        <f ca="1">IF(Main[[#This Row],[بدهی تسویه نشده (کیلوگرم)]]&gt;0,'گزارش فردی'!$B$7-Main[[#This Row],[تاريخ میلادی]]-'گزارش فردی'!$B$8,0)</f>
        <v>0</v>
      </c>
      <c r="S503" s="6">
        <f ca="1">Main[[#This Row],[روز از ارسال سفارش]]*Main[[#This Row],[بدهی تسویه نشده (کیلوگرم)]]</f>
        <v>0</v>
      </c>
      <c r="T503" s="6">
        <f ca="1">Main[[#This Row],[بدهی سررسید شده (کیلوگرم)]]*Main[[#This Row],[روز از ارسال سفارش]]</f>
        <v>0</v>
      </c>
      <c r="U503" s="6">
        <f>-SUBTOTAL(9,INDEX(Main[مقدار (کیلوگرم)],1):Main[[#This Row],[مقدار (کیلوگرم)]])</f>
        <v>21859</v>
      </c>
      <c r="V5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3" s="6">
        <f>Main[[#This Row],[تعداد کل روزهای بدهکار (روز)]]*Main[[#This Row],[مانده در خط کل (کیلوگرم)]]</f>
        <v>21859</v>
      </c>
      <c r="X503" s="6">
        <f ca="1">-SUBTOTAL(9,INDEX(Main[مقدار تسویه شده (کیلوگرم)],1):Main[[#This Row],[مقدار تسویه شده (کیلوگرم)]])</f>
        <v>21859</v>
      </c>
      <c r="Y503" s="6">
        <f ca="1">IF(Main[[#This Row],[مانده در خط تسویه شده (کیلوگرم)]]&lt;&gt;0,Main[[#This Row],[تعداد کل روزهای بدهکار (روز)]],0)</f>
        <v>1</v>
      </c>
      <c r="Z503" s="6">
        <f ca="1">Main[[#This Row],[تعداد روزهای بدهکار تسویه شده (روز)]]*Main[[#This Row],[مانده در خط تسویه شده (کیلوگرم)]]</f>
        <v>21859</v>
      </c>
      <c r="AA503" s="6">
        <f ca="1">SUBTOTAL(9,INDEX(Main[بدهی تسویه نشده (کیلوگرم)],1):Main[[#This Row],[بدهی تسویه نشده (کیلوگرم)]])</f>
        <v>0</v>
      </c>
      <c r="AB503" s="6">
        <f ca="1">IF(Main[[#This Row],[مانده در خط تسویه نشده (کیلوگرم)]]&lt;&gt;0,Main[[#This Row],[تعداد کل روزهای بدهکار (روز)]],0)</f>
        <v>0</v>
      </c>
      <c r="AC503" s="6">
        <f ca="1">Main[[#This Row],[تعداد روزهای بدهکار  تسویه نشده (روز)]]*Main[[#This Row],[مانده در خط تسویه نشده (کیلوگرم)]]</f>
        <v>0</v>
      </c>
      <c r="AD503" s="6">
        <f ca="1">SUBTOTAL(9,INDEX(Main[بدهی سررسید شده (کیلوگرم)],1):Main[[#This Row],[بدهی سررسید شده (کیلوگرم)]])</f>
        <v>0</v>
      </c>
      <c r="AE503" s="6">
        <f ca="1">IF(Main[[#This Row],[مانده در خط سررسید شده (کیلوگرم)]]&lt;&gt;0,Main[[#This Row],[تعداد کل روزهای بدهکار (روز)]],0)</f>
        <v>0</v>
      </c>
      <c r="AF503" s="6">
        <f ca="1">Main[[#This Row],[تعداد روزهای بدهکار سررسید شده (روز)]]*Main[[#This Row],[مانده در خط سررسید شده (کیلوگرم)]]</f>
        <v>0</v>
      </c>
    </row>
    <row r="504" spans="1:32" hidden="1" x14ac:dyDescent="0.35">
      <c r="A504" s="5">
        <f>ROW()-ROW(INDEX(Main[ردیف],1))+1</f>
        <v>502</v>
      </c>
      <c r="B504" s="31">
        <f>SUBTOTAL(2,INDEX(Main[ردیف],1):Main[[#This Row],[ردیف]])</f>
        <v>47</v>
      </c>
      <c r="C504" s="32" t="s">
        <v>558</v>
      </c>
      <c r="D504" s="32" t="str">
        <f>_xlfn.CONCAT("14",Main[[#This Row],[تاريخ]])</f>
        <v>1400/02/27</v>
      </c>
      <c r="E504" s="33">
        <v>44333</v>
      </c>
      <c r="F504" s="32">
        <v>30186</v>
      </c>
      <c r="G504" s="5" t="str">
        <f>INDEX(customer[عنوان],MATCH(Main[[#This Row],[کد ردیابی]],customer[کد],0))</f>
        <v>سارا گاز</v>
      </c>
      <c r="H504">
        <v>-2342</v>
      </c>
      <c r="I504" s="6">
        <f ca="1">-Main[[#This Row],[بدهی تسویه شده (کیلوگرم)]]+Main[[#This Row],[بستانکار (کیلوگرم)]]</f>
        <v>-2342</v>
      </c>
      <c r="J504" s="6">
        <f>IF(Main[[#This Row],[مقدار (کیلوگرم)]]&gt;0,Main[[#This Row],[مقدار (کیلوگرم)]],0)</f>
        <v>0</v>
      </c>
      <c r="K504" s="6">
        <f>-IF(Main[[#This Row],[مقدار (کیلوگرم)]]&lt;0,Main[[#This Row],[مقدار (کیلوگرم)]],0)</f>
        <v>2342</v>
      </c>
      <c r="L5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4" s="7">
        <f>-IF(AND(Main[[#This Row],[مقدار (کیلوگرم)]]&lt;0,Main[[#This Row],[تاريخ میلادی]]&gt;44276),Main[[#This Row],[مقدار (کیلوگرم)]],0)</f>
        <v>2342</v>
      </c>
      <c r="N504" s="6">
        <f ca="1">Main[[#This Row],[بدهکار (کیلوگرم)]]-Main[[#This Row],[بدهی تسویه نشده (کیلوگرم)]]</f>
        <v>2342</v>
      </c>
      <c r="O504" s="6">
        <f ca="1">Main[[#This Row],[تفکیک]]</f>
        <v>0</v>
      </c>
      <c r="P504" s="6">
        <f ca="1">IF(Main[[#This Row],[تاخیر از سررسید]]&gt;0,Main[[#This Row],[بدهی تسویه نشده (کیلوگرم)]],0)</f>
        <v>0</v>
      </c>
      <c r="Q504" s="6">
        <f ca="1">IF(Main[[#This Row],[بدهی تسویه نشده (کیلوگرم)]]&gt;0,'گزارش فردی'!$B$7-Main[[#This Row],[تاريخ میلادی]],0)</f>
        <v>0</v>
      </c>
      <c r="R504" s="6">
        <f ca="1">IF(Main[[#This Row],[بدهی تسویه نشده (کیلوگرم)]]&gt;0,'گزارش فردی'!$B$7-Main[[#This Row],[تاريخ میلادی]]-'گزارش فردی'!$B$8,0)</f>
        <v>0</v>
      </c>
      <c r="S504" s="6">
        <f ca="1">Main[[#This Row],[روز از ارسال سفارش]]*Main[[#This Row],[بدهی تسویه نشده (کیلوگرم)]]</f>
        <v>0</v>
      </c>
      <c r="T504" s="6">
        <f ca="1">Main[[#This Row],[بدهی سررسید شده (کیلوگرم)]]*Main[[#This Row],[روز از ارسال سفارش]]</f>
        <v>0</v>
      </c>
      <c r="U504" s="6">
        <f>-SUBTOTAL(9,INDEX(Main[مقدار (کیلوگرم)],1):Main[[#This Row],[مقدار (کیلوگرم)]])</f>
        <v>21859</v>
      </c>
      <c r="V5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4" s="6">
        <f>Main[[#This Row],[تعداد کل روزهای بدهکار (روز)]]*Main[[#This Row],[مانده در خط کل (کیلوگرم)]]</f>
        <v>21859</v>
      </c>
      <c r="X504" s="6">
        <f ca="1">-SUBTOTAL(9,INDEX(Main[مقدار تسویه شده (کیلوگرم)],1):Main[[#This Row],[مقدار تسویه شده (کیلوگرم)]])</f>
        <v>21859</v>
      </c>
      <c r="Y504" s="6">
        <f ca="1">IF(Main[[#This Row],[مانده در خط تسویه شده (کیلوگرم)]]&lt;&gt;0,Main[[#This Row],[تعداد کل روزهای بدهکار (روز)]],0)</f>
        <v>1</v>
      </c>
      <c r="Z504" s="6">
        <f ca="1">Main[[#This Row],[تعداد روزهای بدهکار تسویه شده (روز)]]*Main[[#This Row],[مانده در خط تسویه شده (کیلوگرم)]]</f>
        <v>21859</v>
      </c>
      <c r="AA504" s="6">
        <f ca="1">SUBTOTAL(9,INDEX(Main[بدهی تسویه نشده (کیلوگرم)],1):Main[[#This Row],[بدهی تسویه نشده (کیلوگرم)]])</f>
        <v>0</v>
      </c>
      <c r="AB504" s="6">
        <f ca="1">IF(Main[[#This Row],[مانده در خط تسویه نشده (کیلوگرم)]]&lt;&gt;0,Main[[#This Row],[تعداد کل روزهای بدهکار (روز)]],0)</f>
        <v>0</v>
      </c>
      <c r="AC504" s="6">
        <f ca="1">Main[[#This Row],[تعداد روزهای بدهکار  تسویه نشده (روز)]]*Main[[#This Row],[مانده در خط تسویه نشده (کیلوگرم)]]</f>
        <v>0</v>
      </c>
      <c r="AD504" s="6">
        <f ca="1">SUBTOTAL(9,INDEX(Main[بدهی سررسید شده (کیلوگرم)],1):Main[[#This Row],[بدهی سررسید شده (کیلوگرم)]])</f>
        <v>0</v>
      </c>
      <c r="AE504" s="6">
        <f ca="1">IF(Main[[#This Row],[مانده در خط سررسید شده (کیلوگرم)]]&lt;&gt;0,Main[[#This Row],[تعداد کل روزهای بدهکار (روز)]],0)</f>
        <v>0</v>
      </c>
      <c r="AF504" s="6">
        <f ca="1">Main[[#This Row],[تعداد روزهای بدهکار سررسید شده (روز)]]*Main[[#This Row],[مانده در خط سررسید شده (کیلوگرم)]]</f>
        <v>0</v>
      </c>
    </row>
    <row r="505" spans="1:32" hidden="1" x14ac:dyDescent="0.35">
      <c r="A505" s="5">
        <f>ROW()-ROW(INDEX(Main[ردیف],1))+1</f>
        <v>503</v>
      </c>
      <c r="B505" s="31">
        <f>SUBTOTAL(2,INDEX(Main[ردیف],1):Main[[#This Row],[ردیف]])</f>
        <v>47</v>
      </c>
      <c r="C505" s="32" t="s">
        <v>558</v>
      </c>
      <c r="D505" s="32" t="str">
        <f>_xlfn.CONCAT("14",Main[[#This Row],[تاريخ]])</f>
        <v>1400/02/27</v>
      </c>
      <c r="E505" s="33">
        <v>44333</v>
      </c>
      <c r="F505" s="32">
        <v>10048</v>
      </c>
      <c r="G505" s="5" t="str">
        <f>INDEX(customer[عنوان],MATCH(Main[[#This Row],[کد ردیابی]],customer[کد],0))</f>
        <v xml:space="preserve">حسام کریمان  </v>
      </c>
      <c r="H505">
        <v>158</v>
      </c>
      <c r="I505" s="6">
        <f ca="1">-Main[[#This Row],[بدهی تسویه شده (کیلوگرم)]]+Main[[#This Row],[بستانکار (کیلوگرم)]]</f>
        <v>158</v>
      </c>
      <c r="J505" s="6">
        <f>IF(Main[[#This Row],[مقدار (کیلوگرم)]]&gt;0,Main[[#This Row],[مقدار (کیلوگرم)]],0)</f>
        <v>158</v>
      </c>
      <c r="K505" s="6">
        <f>-IF(Main[[#This Row],[مقدار (کیلوگرم)]]&lt;0,Main[[#This Row],[مقدار (کیلوگرم)]],0)</f>
        <v>0</v>
      </c>
      <c r="L5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5" s="7">
        <f>-IF(AND(Main[[#This Row],[مقدار (کیلوگرم)]]&lt;0,Main[[#This Row],[تاريخ میلادی]]&gt;44276),Main[[#This Row],[مقدار (کیلوگرم)]],0)</f>
        <v>0</v>
      </c>
      <c r="N505" s="6">
        <f ca="1">Main[[#This Row],[بدهکار (کیلوگرم)]]-Main[[#This Row],[بدهی تسویه نشده (کیلوگرم)]]</f>
        <v>0</v>
      </c>
      <c r="O505" s="6">
        <f ca="1">Main[[#This Row],[تفکیک]]</f>
        <v>0</v>
      </c>
      <c r="P505" s="6">
        <f ca="1">IF(Main[[#This Row],[تاخیر از سررسید]]&gt;0,Main[[#This Row],[بدهی تسویه نشده (کیلوگرم)]],0)</f>
        <v>0</v>
      </c>
      <c r="Q505" s="6">
        <f ca="1">IF(Main[[#This Row],[بدهی تسویه نشده (کیلوگرم)]]&gt;0,'گزارش فردی'!$B$7-Main[[#This Row],[تاريخ میلادی]],0)</f>
        <v>0</v>
      </c>
      <c r="R505" s="6">
        <f ca="1">IF(Main[[#This Row],[بدهی تسویه نشده (کیلوگرم)]]&gt;0,'گزارش فردی'!$B$7-Main[[#This Row],[تاريخ میلادی]]-'گزارش فردی'!$B$8,0)</f>
        <v>0</v>
      </c>
      <c r="S505" s="6">
        <f ca="1">Main[[#This Row],[روز از ارسال سفارش]]*Main[[#This Row],[بدهی تسویه نشده (کیلوگرم)]]</f>
        <v>0</v>
      </c>
      <c r="T505" s="6">
        <f ca="1">Main[[#This Row],[بدهی سررسید شده (کیلوگرم)]]*Main[[#This Row],[روز از ارسال سفارش]]</f>
        <v>0</v>
      </c>
      <c r="U505" s="6">
        <f>-SUBTOTAL(9,INDEX(Main[مقدار (کیلوگرم)],1):Main[[#This Row],[مقدار (کیلوگرم)]])</f>
        <v>21859</v>
      </c>
      <c r="V5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5" s="6">
        <f>Main[[#This Row],[تعداد کل روزهای بدهکار (روز)]]*Main[[#This Row],[مانده در خط کل (کیلوگرم)]]</f>
        <v>21859</v>
      </c>
      <c r="X505" s="6">
        <f ca="1">-SUBTOTAL(9,INDEX(Main[مقدار تسویه شده (کیلوگرم)],1):Main[[#This Row],[مقدار تسویه شده (کیلوگرم)]])</f>
        <v>21859</v>
      </c>
      <c r="Y505" s="6">
        <f ca="1">IF(Main[[#This Row],[مانده در خط تسویه شده (کیلوگرم)]]&lt;&gt;0,Main[[#This Row],[تعداد کل روزهای بدهکار (روز)]],0)</f>
        <v>1</v>
      </c>
      <c r="Z505" s="6">
        <f ca="1">Main[[#This Row],[تعداد روزهای بدهکار تسویه شده (روز)]]*Main[[#This Row],[مانده در خط تسویه شده (کیلوگرم)]]</f>
        <v>21859</v>
      </c>
      <c r="AA505" s="6">
        <f ca="1">SUBTOTAL(9,INDEX(Main[بدهی تسویه نشده (کیلوگرم)],1):Main[[#This Row],[بدهی تسویه نشده (کیلوگرم)]])</f>
        <v>0</v>
      </c>
      <c r="AB505" s="6">
        <f ca="1">IF(Main[[#This Row],[مانده در خط تسویه نشده (کیلوگرم)]]&lt;&gt;0,Main[[#This Row],[تعداد کل روزهای بدهکار (روز)]],0)</f>
        <v>0</v>
      </c>
      <c r="AC505" s="6">
        <f ca="1">Main[[#This Row],[تعداد روزهای بدهکار  تسویه نشده (روز)]]*Main[[#This Row],[مانده در خط تسویه نشده (کیلوگرم)]]</f>
        <v>0</v>
      </c>
      <c r="AD505" s="6">
        <f ca="1">SUBTOTAL(9,INDEX(Main[بدهی سررسید شده (کیلوگرم)],1):Main[[#This Row],[بدهی سررسید شده (کیلوگرم)]])</f>
        <v>0</v>
      </c>
      <c r="AE505" s="6">
        <f ca="1">IF(Main[[#This Row],[مانده در خط سررسید شده (کیلوگرم)]]&lt;&gt;0,Main[[#This Row],[تعداد کل روزهای بدهکار (روز)]],0)</f>
        <v>0</v>
      </c>
      <c r="AF505" s="6">
        <f ca="1">Main[[#This Row],[تعداد روزهای بدهکار سررسید شده (روز)]]*Main[[#This Row],[مانده در خط سررسید شده (کیلوگرم)]]</f>
        <v>0</v>
      </c>
    </row>
    <row r="506" spans="1:32" hidden="1" x14ac:dyDescent="0.35">
      <c r="A506" s="5">
        <f>ROW()-ROW(INDEX(Main[ردیف],1))+1</f>
        <v>504</v>
      </c>
      <c r="B506" s="31">
        <f>SUBTOTAL(2,INDEX(Main[ردیف],1):Main[[#This Row],[ردیف]])</f>
        <v>47</v>
      </c>
      <c r="C506" s="32" t="s">
        <v>558</v>
      </c>
      <c r="D506" s="32" t="str">
        <f>_xlfn.CONCAT("14",Main[[#This Row],[تاريخ]])</f>
        <v>1400/02/27</v>
      </c>
      <c r="E506" s="33">
        <v>44333</v>
      </c>
      <c r="F506" s="32">
        <v>30066</v>
      </c>
      <c r="G506" s="5" t="str">
        <f>INDEX(customer[عنوان],MATCH(Main[[#This Row],[کد ردیابی]],customer[کد],0))</f>
        <v xml:space="preserve">شیر آلات بهداشتی قهرمان </v>
      </c>
      <c r="H506">
        <v>-3591</v>
      </c>
      <c r="I506" s="6">
        <f ca="1">-Main[[#This Row],[بدهی تسویه شده (کیلوگرم)]]+Main[[#This Row],[بستانکار (کیلوگرم)]]</f>
        <v>-3591</v>
      </c>
      <c r="J506" s="6">
        <f>IF(Main[[#This Row],[مقدار (کیلوگرم)]]&gt;0,Main[[#This Row],[مقدار (کیلوگرم)]],0)</f>
        <v>0</v>
      </c>
      <c r="K506" s="6">
        <f>-IF(Main[[#This Row],[مقدار (کیلوگرم)]]&lt;0,Main[[#This Row],[مقدار (کیلوگرم)]],0)</f>
        <v>3591</v>
      </c>
      <c r="L5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6" s="7">
        <f>-IF(AND(Main[[#This Row],[مقدار (کیلوگرم)]]&lt;0,Main[[#This Row],[تاريخ میلادی]]&gt;44276),Main[[#This Row],[مقدار (کیلوگرم)]],0)</f>
        <v>3591</v>
      </c>
      <c r="N506" s="6">
        <f ca="1">Main[[#This Row],[بدهکار (کیلوگرم)]]-Main[[#This Row],[بدهی تسویه نشده (کیلوگرم)]]</f>
        <v>3591</v>
      </c>
      <c r="O506" s="6">
        <f ca="1">Main[[#This Row],[تفکیک]]</f>
        <v>0</v>
      </c>
      <c r="P506" s="6">
        <f ca="1">IF(Main[[#This Row],[تاخیر از سررسید]]&gt;0,Main[[#This Row],[بدهی تسویه نشده (کیلوگرم)]],0)</f>
        <v>0</v>
      </c>
      <c r="Q506" s="6">
        <f ca="1">IF(Main[[#This Row],[بدهی تسویه نشده (کیلوگرم)]]&gt;0,'گزارش فردی'!$B$7-Main[[#This Row],[تاريخ میلادی]],0)</f>
        <v>0</v>
      </c>
      <c r="R506" s="6">
        <f ca="1">IF(Main[[#This Row],[بدهی تسویه نشده (کیلوگرم)]]&gt;0,'گزارش فردی'!$B$7-Main[[#This Row],[تاريخ میلادی]]-'گزارش فردی'!$B$8,0)</f>
        <v>0</v>
      </c>
      <c r="S506" s="6">
        <f ca="1">Main[[#This Row],[روز از ارسال سفارش]]*Main[[#This Row],[بدهی تسویه نشده (کیلوگرم)]]</f>
        <v>0</v>
      </c>
      <c r="T506" s="6">
        <f ca="1">Main[[#This Row],[بدهی سررسید شده (کیلوگرم)]]*Main[[#This Row],[روز از ارسال سفارش]]</f>
        <v>0</v>
      </c>
      <c r="U506" s="6">
        <f>-SUBTOTAL(9,INDEX(Main[مقدار (کیلوگرم)],1):Main[[#This Row],[مقدار (کیلوگرم)]])</f>
        <v>21859</v>
      </c>
      <c r="V5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6" s="6">
        <f>Main[[#This Row],[تعداد کل روزهای بدهکار (روز)]]*Main[[#This Row],[مانده در خط کل (کیلوگرم)]]</f>
        <v>21859</v>
      </c>
      <c r="X506" s="6">
        <f ca="1">-SUBTOTAL(9,INDEX(Main[مقدار تسویه شده (کیلوگرم)],1):Main[[#This Row],[مقدار تسویه شده (کیلوگرم)]])</f>
        <v>21859</v>
      </c>
      <c r="Y506" s="6">
        <f ca="1">IF(Main[[#This Row],[مانده در خط تسویه شده (کیلوگرم)]]&lt;&gt;0,Main[[#This Row],[تعداد کل روزهای بدهکار (روز)]],0)</f>
        <v>1</v>
      </c>
      <c r="Z506" s="6">
        <f ca="1">Main[[#This Row],[تعداد روزهای بدهکار تسویه شده (روز)]]*Main[[#This Row],[مانده در خط تسویه شده (کیلوگرم)]]</f>
        <v>21859</v>
      </c>
      <c r="AA506" s="6">
        <f ca="1">SUBTOTAL(9,INDEX(Main[بدهی تسویه نشده (کیلوگرم)],1):Main[[#This Row],[بدهی تسویه نشده (کیلوگرم)]])</f>
        <v>0</v>
      </c>
      <c r="AB506" s="6">
        <f ca="1">IF(Main[[#This Row],[مانده در خط تسویه نشده (کیلوگرم)]]&lt;&gt;0,Main[[#This Row],[تعداد کل روزهای بدهکار (روز)]],0)</f>
        <v>0</v>
      </c>
      <c r="AC506" s="6">
        <f ca="1">Main[[#This Row],[تعداد روزهای بدهکار  تسویه نشده (روز)]]*Main[[#This Row],[مانده در خط تسویه نشده (کیلوگرم)]]</f>
        <v>0</v>
      </c>
      <c r="AD506" s="6">
        <f ca="1">SUBTOTAL(9,INDEX(Main[بدهی سررسید شده (کیلوگرم)],1):Main[[#This Row],[بدهی سررسید شده (کیلوگرم)]])</f>
        <v>0</v>
      </c>
      <c r="AE506" s="6">
        <f ca="1">IF(Main[[#This Row],[مانده در خط سررسید شده (کیلوگرم)]]&lt;&gt;0,Main[[#This Row],[تعداد کل روزهای بدهکار (روز)]],0)</f>
        <v>0</v>
      </c>
      <c r="AF506" s="6">
        <f ca="1">Main[[#This Row],[تعداد روزهای بدهکار سررسید شده (روز)]]*Main[[#This Row],[مانده در خط سررسید شده (کیلوگرم)]]</f>
        <v>0</v>
      </c>
    </row>
    <row r="507" spans="1:32" hidden="1" x14ac:dyDescent="0.35">
      <c r="A507" s="5">
        <f>ROW()-ROW(INDEX(Main[ردیف],1))+1</f>
        <v>505</v>
      </c>
      <c r="B507" s="31">
        <f>SUBTOTAL(2,INDEX(Main[ردیف],1):Main[[#This Row],[ردیف]])</f>
        <v>47</v>
      </c>
      <c r="C507" s="32" t="s">
        <v>558</v>
      </c>
      <c r="D507" s="32" t="str">
        <f>_xlfn.CONCAT("14",Main[[#This Row],[تاريخ]])</f>
        <v>1400/02/27</v>
      </c>
      <c r="E507" s="33">
        <v>44333</v>
      </c>
      <c r="F507" s="32">
        <v>30186</v>
      </c>
      <c r="G507" s="5" t="str">
        <f>INDEX(customer[عنوان],MATCH(Main[[#This Row],[کد ردیابی]],customer[کد],0))</f>
        <v>سارا گاز</v>
      </c>
      <c r="H507">
        <v>838</v>
      </c>
      <c r="I507" s="6">
        <f ca="1">-Main[[#This Row],[بدهی تسویه شده (کیلوگرم)]]+Main[[#This Row],[بستانکار (کیلوگرم)]]</f>
        <v>838</v>
      </c>
      <c r="J507" s="6">
        <f>IF(Main[[#This Row],[مقدار (کیلوگرم)]]&gt;0,Main[[#This Row],[مقدار (کیلوگرم)]],0)</f>
        <v>838</v>
      </c>
      <c r="K507" s="6">
        <f>-IF(Main[[#This Row],[مقدار (کیلوگرم)]]&lt;0,Main[[#This Row],[مقدار (کیلوگرم)]],0)</f>
        <v>0</v>
      </c>
      <c r="L5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7" s="7">
        <f>-IF(AND(Main[[#This Row],[مقدار (کیلوگرم)]]&lt;0,Main[[#This Row],[تاريخ میلادی]]&gt;44276),Main[[#This Row],[مقدار (کیلوگرم)]],0)</f>
        <v>0</v>
      </c>
      <c r="N507" s="6">
        <f ca="1">Main[[#This Row],[بدهکار (کیلوگرم)]]-Main[[#This Row],[بدهی تسویه نشده (کیلوگرم)]]</f>
        <v>0</v>
      </c>
      <c r="O507" s="6">
        <f ca="1">Main[[#This Row],[تفکیک]]</f>
        <v>0</v>
      </c>
      <c r="P507" s="6">
        <f ca="1">IF(Main[[#This Row],[تاخیر از سررسید]]&gt;0,Main[[#This Row],[بدهی تسویه نشده (کیلوگرم)]],0)</f>
        <v>0</v>
      </c>
      <c r="Q507" s="6">
        <f ca="1">IF(Main[[#This Row],[بدهی تسویه نشده (کیلوگرم)]]&gt;0,'گزارش فردی'!$B$7-Main[[#This Row],[تاريخ میلادی]],0)</f>
        <v>0</v>
      </c>
      <c r="R507" s="6">
        <f ca="1">IF(Main[[#This Row],[بدهی تسویه نشده (کیلوگرم)]]&gt;0,'گزارش فردی'!$B$7-Main[[#This Row],[تاريخ میلادی]]-'گزارش فردی'!$B$8,0)</f>
        <v>0</v>
      </c>
      <c r="S507" s="6">
        <f ca="1">Main[[#This Row],[روز از ارسال سفارش]]*Main[[#This Row],[بدهی تسویه نشده (کیلوگرم)]]</f>
        <v>0</v>
      </c>
      <c r="T507" s="6">
        <f ca="1">Main[[#This Row],[بدهی سررسید شده (کیلوگرم)]]*Main[[#This Row],[روز از ارسال سفارش]]</f>
        <v>0</v>
      </c>
      <c r="U507" s="6">
        <f>-SUBTOTAL(9,INDEX(Main[مقدار (کیلوگرم)],1):Main[[#This Row],[مقدار (کیلوگرم)]])</f>
        <v>21859</v>
      </c>
      <c r="V5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7" s="6">
        <f>Main[[#This Row],[تعداد کل روزهای بدهکار (روز)]]*Main[[#This Row],[مانده در خط کل (کیلوگرم)]]</f>
        <v>21859</v>
      </c>
      <c r="X507" s="6">
        <f ca="1">-SUBTOTAL(9,INDEX(Main[مقدار تسویه شده (کیلوگرم)],1):Main[[#This Row],[مقدار تسویه شده (کیلوگرم)]])</f>
        <v>21859</v>
      </c>
      <c r="Y507" s="6">
        <f ca="1">IF(Main[[#This Row],[مانده در خط تسویه شده (کیلوگرم)]]&lt;&gt;0,Main[[#This Row],[تعداد کل روزهای بدهکار (روز)]],0)</f>
        <v>1</v>
      </c>
      <c r="Z507" s="6">
        <f ca="1">Main[[#This Row],[تعداد روزهای بدهکار تسویه شده (روز)]]*Main[[#This Row],[مانده در خط تسویه شده (کیلوگرم)]]</f>
        <v>21859</v>
      </c>
      <c r="AA507" s="6">
        <f ca="1">SUBTOTAL(9,INDEX(Main[بدهی تسویه نشده (کیلوگرم)],1):Main[[#This Row],[بدهی تسویه نشده (کیلوگرم)]])</f>
        <v>0</v>
      </c>
      <c r="AB507" s="6">
        <f ca="1">IF(Main[[#This Row],[مانده در خط تسویه نشده (کیلوگرم)]]&lt;&gt;0,Main[[#This Row],[تعداد کل روزهای بدهکار (روز)]],0)</f>
        <v>0</v>
      </c>
      <c r="AC507" s="6">
        <f ca="1">Main[[#This Row],[تعداد روزهای بدهکار  تسویه نشده (روز)]]*Main[[#This Row],[مانده در خط تسویه نشده (کیلوگرم)]]</f>
        <v>0</v>
      </c>
      <c r="AD507" s="6">
        <f ca="1">SUBTOTAL(9,INDEX(Main[بدهی سررسید شده (کیلوگرم)],1):Main[[#This Row],[بدهی سررسید شده (کیلوگرم)]])</f>
        <v>0</v>
      </c>
      <c r="AE507" s="6">
        <f ca="1">IF(Main[[#This Row],[مانده در خط سررسید شده (کیلوگرم)]]&lt;&gt;0,Main[[#This Row],[تعداد کل روزهای بدهکار (روز)]],0)</f>
        <v>0</v>
      </c>
      <c r="AF507" s="6">
        <f ca="1">Main[[#This Row],[تعداد روزهای بدهکار سررسید شده (روز)]]*Main[[#This Row],[مانده در خط سررسید شده (کیلوگرم)]]</f>
        <v>0</v>
      </c>
    </row>
    <row r="508" spans="1:32" hidden="1" x14ac:dyDescent="0.35">
      <c r="A508" s="5">
        <f>ROW()-ROW(INDEX(Main[ردیف],1))+1</f>
        <v>506</v>
      </c>
      <c r="B508" s="31">
        <f>SUBTOTAL(2,INDEX(Main[ردیف],1):Main[[#This Row],[ردیف]])</f>
        <v>47</v>
      </c>
      <c r="C508" s="32" t="s">
        <v>558</v>
      </c>
      <c r="D508" s="32" t="str">
        <f>_xlfn.CONCAT("14",Main[[#This Row],[تاريخ]])</f>
        <v>1400/02/27</v>
      </c>
      <c r="E508" s="33">
        <v>44333</v>
      </c>
      <c r="F508" s="32">
        <v>30018</v>
      </c>
      <c r="G508" s="5" t="str">
        <f>INDEX(customer[عنوان],MATCH(Main[[#This Row],[کد ردیابی]],customer[کد],0))</f>
        <v xml:space="preserve">تولیدی شیر سازی غریب پویا </v>
      </c>
      <c r="H508">
        <v>-146</v>
      </c>
      <c r="I508" s="6">
        <f ca="1">-Main[[#This Row],[بدهی تسویه شده (کیلوگرم)]]+Main[[#This Row],[بستانکار (کیلوگرم)]]</f>
        <v>-146</v>
      </c>
      <c r="J508" s="6">
        <f>IF(Main[[#This Row],[مقدار (کیلوگرم)]]&gt;0,Main[[#This Row],[مقدار (کیلوگرم)]],0)</f>
        <v>0</v>
      </c>
      <c r="K508" s="6">
        <f>-IF(Main[[#This Row],[مقدار (کیلوگرم)]]&lt;0,Main[[#This Row],[مقدار (کیلوگرم)]],0)</f>
        <v>146</v>
      </c>
      <c r="L5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8" s="7">
        <f>-IF(AND(Main[[#This Row],[مقدار (کیلوگرم)]]&lt;0,Main[[#This Row],[تاريخ میلادی]]&gt;44276),Main[[#This Row],[مقدار (کیلوگرم)]],0)</f>
        <v>146</v>
      </c>
      <c r="N508" s="6">
        <f ca="1">Main[[#This Row],[بدهکار (کیلوگرم)]]-Main[[#This Row],[بدهی تسویه نشده (کیلوگرم)]]</f>
        <v>146</v>
      </c>
      <c r="O508" s="6">
        <f ca="1">Main[[#This Row],[تفکیک]]</f>
        <v>0</v>
      </c>
      <c r="P508" s="6">
        <f ca="1">IF(Main[[#This Row],[تاخیر از سررسید]]&gt;0,Main[[#This Row],[بدهی تسویه نشده (کیلوگرم)]],0)</f>
        <v>0</v>
      </c>
      <c r="Q508" s="6">
        <f ca="1">IF(Main[[#This Row],[بدهی تسویه نشده (کیلوگرم)]]&gt;0,'گزارش فردی'!$B$7-Main[[#This Row],[تاريخ میلادی]],0)</f>
        <v>0</v>
      </c>
      <c r="R508" s="6">
        <f ca="1">IF(Main[[#This Row],[بدهی تسویه نشده (کیلوگرم)]]&gt;0,'گزارش فردی'!$B$7-Main[[#This Row],[تاريخ میلادی]]-'گزارش فردی'!$B$8,0)</f>
        <v>0</v>
      </c>
      <c r="S508" s="6">
        <f ca="1">Main[[#This Row],[روز از ارسال سفارش]]*Main[[#This Row],[بدهی تسویه نشده (کیلوگرم)]]</f>
        <v>0</v>
      </c>
      <c r="T508" s="6">
        <f ca="1">Main[[#This Row],[بدهی سررسید شده (کیلوگرم)]]*Main[[#This Row],[روز از ارسال سفارش]]</f>
        <v>0</v>
      </c>
      <c r="U508" s="6">
        <f>-SUBTOTAL(9,INDEX(Main[مقدار (کیلوگرم)],1):Main[[#This Row],[مقدار (کیلوگرم)]])</f>
        <v>21859</v>
      </c>
      <c r="V5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8" s="6">
        <f>Main[[#This Row],[تعداد کل روزهای بدهکار (روز)]]*Main[[#This Row],[مانده در خط کل (کیلوگرم)]]</f>
        <v>21859</v>
      </c>
      <c r="X508" s="6">
        <f ca="1">-SUBTOTAL(9,INDEX(Main[مقدار تسویه شده (کیلوگرم)],1):Main[[#This Row],[مقدار تسویه شده (کیلوگرم)]])</f>
        <v>21859</v>
      </c>
      <c r="Y508" s="6">
        <f ca="1">IF(Main[[#This Row],[مانده در خط تسویه شده (کیلوگرم)]]&lt;&gt;0,Main[[#This Row],[تعداد کل روزهای بدهکار (روز)]],0)</f>
        <v>1</v>
      </c>
      <c r="Z508" s="6">
        <f ca="1">Main[[#This Row],[تعداد روزهای بدهکار تسویه شده (روز)]]*Main[[#This Row],[مانده در خط تسویه شده (کیلوگرم)]]</f>
        <v>21859</v>
      </c>
      <c r="AA508" s="6">
        <f ca="1">SUBTOTAL(9,INDEX(Main[بدهی تسویه نشده (کیلوگرم)],1):Main[[#This Row],[بدهی تسویه نشده (کیلوگرم)]])</f>
        <v>0</v>
      </c>
      <c r="AB508" s="6">
        <f ca="1">IF(Main[[#This Row],[مانده در خط تسویه نشده (کیلوگرم)]]&lt;&gt;0,Main[[#This Row],[تعداد کل روزهای بدهکار (روز)]],0)</f>
        <v>0</v>
      </c>
      <c r="AC508" s="6">
        <f ca="1">Main[[#This Row],[تعداد روزهای بدهکار  تسویه نشده (روز)]]*Main[[#This Row],[مانده در خط تسویه نشده (کیلوگرم)]]</f>
        <v>0</v>
      </c>
      <c r="AD508" s="6">
        <f ca="1">SUBTOTAL(9,INDEX(Main[بدهی سررسید شده (کیلوگرم)],1):Main[[#This Row],[بدهی سررسید شده (کیلوگرم)]])</f>
        <v>0</v>
      </c>
      <c r="AE508" s="6">
        <f ca="1">IF(Main[[#This Row],[مانده در خط سررسید شده (کیلوگرم)]]&lt;&gt;0,Main[[#This Row],[تعداد کل روزهای بدهکار (روز)]],0)</f>
        <v>0</v>
      </c>
      <c r="AF508" s="6">
        <f ca="1">Main[[#This Row],[تعداد روزهای بدهکار سررسید شده (روز)]]*Main[[#This Row],[مانده در خط سررسید شده (کیلوگرم)]]</f>
        <v>0</v>
      </c>
    </row>
    <row r="509" spans="1:32" hidden="1" x14ac:dyDescent="0.35">
      <c r="A509" s="5">
        <f>ROW()-ROW(INDEX(Main[ردیف],1))+1</f>
        <v>507</v>
      </c>
      <c r="B509" s="31">
        <f>SUBTOTAL(2,INDEX(Main[ردیف],1):Main[[#This Row],[ردیف]])</f>
        <v>47</v>
      </c>
      <c r="C509" s="32" t="s">
        <v>558</v>
      </c>
      <c r="D509" s="32" t="str">
        <f>_xlfn.CONCAT("14",Main[[#This Row],[تاريخ]])</f>
        <v>1400/02/27</v>
      </c>
      <c r="E509" s="33">
        <v>44333</v>
      </c>
      <c r="F509" s="32">
        <v>30009</v>
      </c>
      <c r="G509" s="5" t="str">
        <f>INDEX(customer[عنوان],MATCH(Main[[#This Row],[کد ردیابی]],customer[کد],0))</f>
        <v>شرکت ایمن تک پیشرو</v>
      </c>
      <c r="H509">
        <v>1926</v>
      </c>
      <c r="I509" s="6">
        <f ca="1">-Main[[#This Row],[بدهی تسویه شده (کیلوگرم)]]+Main[[#This Row],[بستانکار (کیلوگرم)]]</f>
        <v>1926</v>
      </c>
      <c r="J509" s="6">
        <f>IF(Main[[#This Row],[مقدار (کیلوگرم)]]&gt;0,Main[[#This Row],[مقدار (کیلوگرم)]],0)</f>
        <v>1926</v>
      </c>
      <c r="K509" s="6">
        <f>-IF(Main[[#This Row],[مقدار (کیلوگرم)]]&lt;0,Main[[#This Row],[مقدار (کیلوگرم)]],0)</f>
        <v>0</v>
      </c>
      <c r="L5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9" s="7">
        <f>-IF(AND(Main[[#This Row],[مقدار (کیلوگرم)]]&lt;0,Main[[#This Row],[تاريخ میلادی]]&gt;44276),Main[[#This Row],[مقدار (کیلوگرم)]],0)</f>
        <v>0</v>
      </c>
      <c r="N509" s="6">
        <f ca="1">Main[[#This Row],[بدهکار (کیلوگرم)]]-Main[[#This Row],[بدهی تسویه نشده (کیلوگرم)]]</f>
        <v>0</v>
      </c>
      <c r="O509" s="6">
        <f ca="1">Main[[#This Row],[تفکیک]]</f>
        <v>0</v>
      </c>
      <c r="P509" s="6">
        <f ca="1">IF(Main[[#This Row],[تاخیر از سررسید]]&gt;0,Main[[#This Row],[بدهی تسویه نشده (کیلوگرم)]],0)</f>
        <v>0</v>
      </c>
      <c r="Q509" s="6">
        <f ca="1">IF(Main[[#This Row],[بدهی تسویه نشده (کیلوگرم)]]&gt;0,'گزارش فردی'!$B$7-Main[[#This Row],[تاريخ میلادی]],0)</f>
        <v>0</v>
      </c>
      <c r="R509" s="6">
        <f ca="1">IF(Main[[#This Row],[بدهی تسویه نشده (کیلوگرم)]]&gt;0,'گزارش فردی'!$B$7-Main[[#This Row],[تاريخ میلادی]]-'گزارش فردی'!$B$8,0)</f>
        <v>0</v>
      </c>
      <c r="S509" s="6">
        <f ca="1">Main[[#This Row],[روز از ارسال سفارش]]*Main[[#This Row],[بدهی تسویه نشده (کیلوگرم)]]</f>
        <v>0</v>
      </c>
      <c r="T509" s="6">
        <f ca="1">Main[[#This Row],[بدهی سررسید شده (کیلوگرم)]]*Main[[#This Row],[روز از ارسال سفارش]]</f>
        <v>0</v>
      </c>
      <c r="U509" s="6">
        <f>-SUBTOTAL(9,INDEX(Main[مقدار (کیلوگرم)],1):Main[[#This Row],[مقدار (کیلوگرم)]])</f>
        <v>21859</v>
      </c>
      <c r="V5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9" s="6">
        <f>Main[[#This Row],[تعداد کل روزهای بدهکار (روز)]]*Main[[#This Row],[مانده در خط کل (کیلوگرم)]]</f>
        <v>21859</v>
      </c>
      <c r="X509" s="6">
        <f ca="1">-SUBTOTAL(9,INDEX(Main[مقدار تسویه شده (کیلوگرم)],1):Main[[#This Row],[مقدار تسویه شده (کیلوگرم)]])</f>
        <v>21859</v>
      </c>
      <c r="Y509" s="6">
        <f ca="1">IF(Main[[#This Row],[مانده در خط تسویه شده (کیلوگرم)]]&lt;&gt;0,Main[[#This Row],[تعداد کل روزهای بدهکار (روز)]],0)</f>
        <v>1</v>
      </c>
      <c r="Z509" s="6">
        <f ca="1">Main[[#This Row],[تعداد روزهای بدهکار تسویه شده (روز)]]*Main[[#This Row],[مانده در خط تسویه شده (کیلوگرم)]]</f>
        <v>21859</v>
      </c>
      <c r="AA509" s="6">
        <f ca="1">SUBTOTAL(9,INDEX(Main[بدهی تسویه نشده (کیلوگرم)],1):Main[[#This Row],[بدهی تسویه نشده (کیلوگرم)]])</f>
        <v>0</v>
      </c>
      <c r="AB509" s="6">
        <f ca="1">IF(Main[[#This Row],[مانده در خط تسویه نشده (کیلوگرم)]]&lt;&gt;0,Main[[#This Row],[تعداد کل روزهای بدهکار (روز)]],0)</f>
        <v>0</v>
      </c>
      <c r="AC509" s="6">
        <f ca="1">Main[[#This Row],[تعداد روزهای بدهکار  تسویه نشده (روز)]]*Main[[#This Row],[مانده در خط تسویه نشده (کیلوگرم)]]</f>
        <v>0</v>
      </c>
      <c r="AD509" s="6">
        <f ca="1">SUBTOTAL(9,INDEX(Main[بدهی سررسید شده (کیلوگرم)],1):Main[[#This Row],[بدهی سررسید شده (کیلوگرم)]])</f>
        <v>0</v>
      </c>
      <c r="AE509" s="6">
        <f ca="1">IF(Main[[#This Row],[مانده در خط سررسید شده (کیلوگرم)]]&lt;&gt;0,Main[[#This Row],[تعداد کل روزهای بدهکار (روز)]],0)</f>
        <v>0</v>
      </c>
      <c r="AF509" s="6">
        <f ca="1">Main[[#This Row],[تعداد روزهای بدهکار سررسید شده (روز)]]*Main[[#This Row],[مانده در خط سررسید شده (کیلوگرم)]]</f>
        <v>0</v>
      </c>
    </row>
    <row r="510" spans="1:32" hidden="1" x14ac:dyDescent="0.35">
      <c r="A510" s="5">
        <f>ROW()-ROW(INDEX(Main[ردیف],1))+1</f>
        <v>508</v>
      </c>
      <c r="B510" s="31">
        <f>SUBTOTAL(2,INDEX(Main[ردیف],1):Main[[#This Row],[ردیف]])</f>
        <v>47</v>
      </c>
      <c r="C510" s="32" t="s">
        <v>558</v>
      </c>
      <c r="D510" s="32" t="str">
        <f>_xlfn.CONCAT("14",Main[[#This Row],[تاريخ]])</f>
        <v>1400/02/27</v>
      </c>
      <c r="E510" s="33">
        <v>44333</v>
      </c>
      <c r="F510" s="32">
        <v>10026</v>
      </c>
      <c r="G510" s="5" t="str">
        <f>INDEX(customer[عنوان],MATCH(Main[[#This Row],[کد ردیابی]],customer[کد],0))</f>
        <v xml:space="preserve">محسن فیاض بخش </v>
      </c>
      <c r="H510">
        <v>-1757</v>
      </c>
      <c r="I510" s="6">
        <f ca="1">-Main[[#This Row],[بدهی تسویه شده (کیلوگرم)]]+Main[[#This Row],[بستانکار (کیلوگرم)]]</f>
        <v>-1757</v>
      </c>
      <c r="J510" s="6">
        <f>IF(Main[[#This Row],[مقدار (کیلوگرم)]]&gt;0,Main[[#This Row],[مقدار (کیلوگرم)]],0)</f>
        <v>0</v>
      </c>
      <c r="K510" s="6">
        <f>-IF(Main[[#This Row],[مقدار (کیلوگرم)]]&lt;0,Main[[#This Row],[مقدار (کیلوگرم)]],0)</f>
        <v>1757</v>
      </c>
      <c r="L5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0" s="7">
        <f>-IF(AND(Main[[#This Row],[مقدار (کیلوگرم)]]&lt;0,Main[[#This Row],[تاريخ میلادی]]&gt;44276),Main[[#This Row],[مقدار (کیلوگرم)]],0)</f>
        <v>1757</v>
      </c>
      <c r="N510" s="6">
        <f ca="1">Main[[#This Row],[بدهکار (کیلوگرم)]]-Main[[#This Row],[بدهی تسویه نشده (کیلوگرم)]]</f>
        <v>1757</v>
      </c>
      <c r="O510" s="6">
        <f ca="1">Main[[#This Row],[تفکیک]]</f>
        <v>0</v>
      </c>
      <c r="P510" s="6">
        <f ca="1">IF(Main[[#This Row],[تاخیر از سررسید]]&gt;0,Main[[#This Row],[بدهی تسویه نشده (کیلوگرم)]],0)</f>
        <v>0</v>
      </c>
      <c r="Q510" s="6">
        <f ca="1">IF(Main[[#This Row],[بدهی تسویه نشده (کیلوگرم)]]&gt;0,'گزارش فردی'!$B$7-Main[[#This Row],[تاريخ میلادی]],0)</f>
        <v>0</v>
      </c>
      <c r="R510" s="6">
        <f ca="1">IF(Main[[#This Row],[بدهی تسویه نشده (کیلوگرم)]]&gt;0,'گزارش فردی'!$B$7-Main[[#This Row],[تاريخ میلادی]]-'گزارش فردی'!$B$8,0)</f>
        <v>0</v>
      </c>
      <c r="S510" s="6">
        <f ca="1">Main[[#This Row],[روز از ارسال سفارش]]*Main[[#This Row],[بدهی تسویه نشده (کیلوگرم)]]</f>
        <v>0</v>
      </c>
      <c r="T510" s="6">
        <f ca="1">Main[[#This Row],[بدهی سررسید شده (کیلوگرم)]]*Main[[#This Row],[روز از ارسال سفارش]]</f>
        <v>0</v>
      </c>
      <c r="U510" s="6">
        <f>-SUBTOTAL(9,INDEX(Main[مقدار (کیلوگرم)],1):Main[[#This Row],[مقدار (کیلوگرم)]])</f>
        <v>21859</v>
      </c>
      <c r="V5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0" s="6">
        <f>Main[[#This Row],[تعداد کل روزهای بدهکار (روز)]]*Main[[#This Row],[مانده در خط کل (کیلوگرم)]]</f>
        <v>21859</v>
      </c>
      <c r="X510" s="6">
        <f ca="1">-SUBTOTAL(9,INDEX(Main[مقدار تسویه شده (کیلوگرم)],1):Main[[#This Row],[مقدار تسویه شده (کیلوگرم)]])</f>
        <v>21859</v>
      </c>
      <c r="Y510" s="6">
        <f ca="1">IF(Main[[#This Row],[مانده در خط تسویه شده (کیلوگرم)]]&lt;&gt;0,Main[[#This Row],[تعداد کل روزهای بدهکار (روز)]],0)</f>
        <v>1</v>
      </c>
      <c r="Z510" s="6">
        <f ca="1">Main[[#This Row],[تعداد روزهای بدهکار تسویه شده (روز)]]*Main[[#This Row],[مانده در خط تسویه شده (کیلوگرم)]]</f>
        <v>21859</v>
      </c>
      <c r="AA510" s="6">
        <f ca="1">SUBTOTAL(9,INDEX(Main[بدهی تسویه نشده (کیلوگرم)],1):Main[[#This Row],[بدهی تسویه نشده (کیلوگرم)]])</f>
        <v>0</v>
      </c>
      <c r="AB510" s="6">
        <f ca="1">IF(Main[[#This Row],[مانده در خط تسویه نشده (کیلوگرم)]]&lt;&gt;0,Main[[#This Row],[تعداد کل روزهای بدهکار (روز)]],0)</f>
        <v>0</v>
      </c>
      <c r="AC510" s="6">
        <f ca="1">Main[[#This Row],[تعداد روزهای بدهکار  تسویه نشده (روز)]]*Main[[#This Row],[مانده در خط تسویه نشده (کیلوگرم)]]</f>
        <v>0</v>
      </c>
      <c r="AD510" s="6">
        <f ca="1">SUBTOTAL(9,INDEX(Main[بدهی سررسید شده (کیلوگرم)],1):Main[[#This Row],[بدهی سررسید شده (کیلوگرم)]])</f>
        <v>0</v>
      </c>
      <c r="AE510" s="6">
        <f ca="1">IF(Main[[#This Row],[مانده در خط سررسید شده (کیلوگرم)]]&lt;&gt;0,Main[[#This Row],[تعداد کل روزهای بدهکار (روز)]],0)</f>
        <v>0</v>
      </c>
      <c r="AF510" s="6">
        <f ca="1">Main[[#This Row],[تعداد روزهای بدهکار سررسید شده (روز)]]*Main[[#This Row],[مانده در خط سررسید شده (کیلوگرم)]]</f>
        <v>0</v>
      </c>
    </row>
    <row r="511" spans="1:32" hidden="1" x14ac:dyDescent="0.35">
      <c r="A511" s="5">
        <f>ROW()-ROW(INDEX(Main[ردیف],1))+1</f>
        <v>509</v>
      </c>
      <c r="B511" s="31">
        <f>SUBTOTAL(2,INDEX(Main[ردیف],1):Main[[#This Row],[ردیف]])</f>
        <v>47</v>
      </c>
      <c r="C511" s="32" t="s">
        <v>558</v>
      </c>
      <c r="D511" s="32" t="str">
        <f>_xlfn.CONCAT("14",Main[[#This Row],[تاريخ]])</f>
        <v>1400/02/27</v>
      </c>
      <c r="E511" s="33">
        <v>44333</v>
      </c>
      <c r="F511" s="32">
        <v>10027</v>
      </c>
      <c r="G511" s="5" t="str">
        <f>INDEX(customer[عنوان],MATCH(Main[[#This Row],[کد ردیابی]],customer[کد],0))</f>
        <v xml:space="preserve">مصطفی نورعلی </v>
      </c>
      <c r="H511">
        <v>2812</v>
      </c>
      <c r="I511" s="6">
        <f ca="1">-Main[[#This Row],[بدهی تسویه شده (کیلوگرم)]]+Main[[#This Row],[بستانکار (کیلوگرم)]]</f>
        <v>2812</v>
      </c>
      <c r="J511" s="6">
        <f>IF(Main[[#This Row],[مقدار (کیلوگرم)]]&gt;0,Main[[#This Row],[مقدار (کیلوگرم)]],0)</f>
        <v>2812</v>
      </c>
      <c r="K511" s="6">
        <f>-IF(Main[[#This Row],[مقدار (کیلوگرم)]]&lt;0,Main[[#This Row],[مقدار (کیلوگرم)]],0)</f>
        <v>0</v>
      </c>
      <c r="L5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1" s="7">
        <f>-IF(AND(Main[[#This Row],[مقدار (کیلوگرم)]]&lt;0,Main[[#This Row],[تاريخ میلادی]]&gt;44276),Main[[#This Row],[مقدار (کیلوگرم)]],0)</f>
        <v>0</v>
      </c>
      <c r="N511" s="6">
        <f ca="1">Main[[#This Row],[بدهکار (کیلوگرم)]]-Main[[#This Row],[بدهی تسویه نشده (کیلوگرم)]]</f>
        <v>0</v>
      </c>
      <c r="O511" s="6">
        <f ca="1">Main[[#This Row],[تفکیک]]</f>
        <v>0</v>
      </c>
      <c r="P511" s="6">
        <f ca="1">IF(Main[[#This Row],[تاخیر از سررسید]]&gt;0,Main[[#This Row],[بدهی تسویه نشده (کیلوگرم)]],0)</f>
        <v>0</v>
      </c>
      <c r="Q511" s="6">
        <f ca="1">IF(Main[[#This Row],[بدهی تسویه نشده (کیلوگرم)]]&gt;0,'گزارش فردی'!$B$7-Main[[#This Row],[تاريخ میلادی]],0)</f>
        <v>0</v>
      </c>
      <c r="R511" s="6">
        <f ca="1">IF(Main[[#This Row],[بدهی تسویه نشده (کیلوگرم)]]&gt;0,'گزارش فردی'!$B$7-Main[[#This Row],[تاريخ میلادی]]-'گزارش فردی'!$B$8,0)</f>
        <v>0</v>
      </c>
      <c r="S511" s="6">
        <f ca="1">Main[[#This Row],[روز از ارسال سفارش]]*Main[[#This Row],[بدهی تسویه نشده (کیلوگرم)]]</f>
        <v>0</v>
      </c>
      <c r="T511" s="6">
        <f ca="1">Main[[#This Row],[بدهی سررسید شده (کیلوگرم)]]*Main[[#This Row],[روز از ارسال سفارش]]</f>
        <v>0</v>
      </c>
      <c r="U511" s="6">
        <f>-SUBTOTAL(9,INDEX(Main[مقدار (کیلوگرم)],1):Main[[#This Row],[مقدار (کیلوگرم)]])</f>
        <v>21859</v>
      </c>
      <c r="V5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1" s="6">
        <f>Main[[#This Row],[تعداد کل روزهای بدهکار (روز)]]*Main[[#This Row],[مانده در خط کل (کیلوگرم)]]</f>
        <v>21859</v>
      </c>
      <c r="X511" s="6">
        <f ca="1">-SUBTOTAL(9,INDEX(Main[مقدار تسویه شده (کیلوگرم)],1):Main[[#This Row],[مقدار تسویه شده (کیلوگرم)]])</f>
        <v>21859</v>
      </c>
      <c r="Y511" s="6">
        <f ca="1">IF(Main[[#This Row],[مانده در خط تسویه شده (کیلوگرم)]]&lt;&gt;0,Main[[#This Row],[تعداد کل روزهای بدهکار (روز)]],0)</f>
        <v>1</v>
      </c>
      <c r="Z511" s="6">
        <f ca="1">Main[[#This Row],[تعداد روزهای بدهکار تسویه شده (روز)]]*Main[[#This Row],[مانده در خط تسویه شده (کیلوگرم)]]</f>
        <v>21859</v>
      </c>
      <c r="AA511" s="6">
        <f ca="1">SUBTOTAL(9,INDEX(Main[بدهی تسویه نشده (کیلوگرم)],1):Main[[#This Row],[بدهی تسویه نشده (کیلوگرم)]])</f>
        <v>0</v>
      </c>
      <c r="AB511" s="6">
        <f ca="1">IF(Main[[#This Row],[مانده در خط تسویه نشده (کیلوگرم)]]&lt;&gt;0,Main[[#This Row],[تعداد کل روزهای بدهکار (روز)]],0)</f>
        <v>0</v>
      </c>
      <c r="AC511" s="6">
        <f ca="1">Main[[#This Row],[تعداد روزهای بدهکار  تسویه نشده (روز)]]*Main[[#This Row],[مانده در خط تسویه نشده (کیلوگرم)]]</f>
        <v>0</v>
      </c>
      <c r="AD511" s="6">
        <f ca="1">SUBTOTAL(9,INDEX(Main[بدهی سررسید شده (کیلوگرم)],1):Main[[#This Row],[بدهی سررسید شده (کیلوگرم)]])</f>
        <v>0</v>
      </c>
      <c r="AE511" s="6">
        <f ca="1">IF(Main[[#This Row],[مانده در خط سررسید شده (کیلوگرم)]]&lt;&gt;0,Main[[#This Row],[تعداد کل روزهای بدهکار (روز)]],0)</f>
        <v>0</v>
      </c>
      <c r="AF511" s="6">
        <f ca="1">Main[[#This Row],[تعداد روزهای بدهکار سررسید شده (روز)]]*Main[[#This Row],[مانده در خط سررسید شده (کیلوگرم)]]</f>
        <v>0</v>
      </c>
    </row>
    <row r="512" spans="1:32" hidden="1" x14ac:dyDescent="0.35">
      <c r="A512" s="5">
        <f>ROW()-ROW(INDEX(Main[ردیف],1))+1</f>
        <v>510</v>
      </c>
      <c r="B512" s="31">
        <f>SUBTOTAL(2,INDEX(Main[ردیف],1):Main[[#This Row],[ردیف]])</f>
        <v>47</v>
      </c>
      <c r="C512" s="32" t="s">
        <v>558</v>
      </c>
      <c r="D512" s="32" t="str">
        <f>_xlfn.CONCAT("14",Main[[#This Row],[تاريخ]])</f>
        <v>1400/02/27</v>
      </c>
      <c r="E512" s="33">
        <v>44333</v>
      </c>
      <c r="F512" s="32">
        <v>10055</v>
      </c>
      <c r="G512" s="5" t="str">
        <f>INDEX(customer[عنوان],MATCH(Main[[#This Row],[کد ردیابی]],customer[کد],0))</f>
        <v xml:space="preserve">مریم فیض آبادی  </v>
      </c>
      <c r="H512">
        <v>-4982</v>
      </c>
      <c r="I512" s="6">
        <f ca="1">-Main[[#This Row],[بدهی تسویه شده (کیلوگرم)]]+Main[[#This Row],[بستانکار (کیلوگرم)]]</f>
        <v>-4982</v>
      </c>
      <c r="J512" s="6">
        <f>IF(Main[[#This Row],[مقدار (کیلوگرم)]]&gt;0,Main[[#This Row],[مقدار (کیلوگرم)]],0)</f>
        <v>0</v>
      </c>
      <c r="K512" s="6">
        <f>-IF(Main[[#This Row],[مقدار (کیلوگرم)]]&lt;0,Main[[#This Row],[مقدار (کیلوگرم)]],0)</f>
        <v>4982</v>
      </c>
      <c r="L5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2" s="7">
        <f>-IF(AND(Main[[#This Row],[مقدار (کیلوگرم)]]&lt;0,Main[[#This Row],[تاريخ میلادی]]&gt;44276),Main[[#This Row],[مقدار (کیلوگرم)]],0)</f>
        <v>4982</v>
      </c>
      <c r="N512" s="6">
        <f ca="1">Main[[#This Row],[بدهکار (کیلوگرم)]]-Main[[#This Row],[بدهی تسویه نشده (کیلوگرم)]]</f>
        <v>4982</v>
      </c>
      <c r="O512" s="6">
        <f ca="1">Main[[#This Row],[تفکیک]]</f>
        <v>0</v>
      </c>
      <c r="P512" s="6">
        <f ca="1">IF(Main[[#This Row],[تاخیر از سررسید]]&gt;0,Main[[#This Row],[بدهی تسویه نشده (کیلوگرم)]],0)</f>
        <v>0</v>
      </c>
      <c r="Q512" s="6">
        <f ca="1">IF(Main[[#This Row],[بدهی تسویه نشده (کیلوگرم)]]&gt;0,'گزارش فردی'!$B$7-Main[[#This Row],[تاريخ میلادی]],0)</f>
        <v>0</v>
      </c>
      <c r="R512" s="6">
        <f ca="1">IF(Main[[#This Row],[بدهی تسویه نشده (کیلوگرم)]]&gt;0,'گزارش فردی'!$B$7-Main[[#This Row],[تاريخ میلادی]]-'گزارش فردی'!$B$8,0)</f>
        <v>0</v>
      </c>
      <c r="S512" s="6">
        <f ca="1">Main[[#This Row],[روز از ارسال سفارش]]*Main[[#This Row],[بدهی تسویه نشده (کیلوگرم)]]</f>
        <v>0</v>
      </c>
      <c r="T512" s="6">
        <f ca="1">Main[[#This Row],[بدهی سررسید شده (کیلوگرم)]]*Main[[#This Row],[روز از ارسال سفارش]]</f>
        <v>0</v>
      </c>
      <c r="U512" s="6">
        <f>-SUBTOTAL(9,INDEX(Main[مقدار (کیلوگرم)],1):Main[[#This Row],[مقدار (کیلوگرم)]])</f>
        <v>21859</v>
      </c>
      <c r="V5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2" s="6">
        <f>Main[[#This Row],[تعداد کل روزهای بدهکار (روز)]]*Main[[#This Row],[مانده در خط کل (کیلوگرم)]]</f>
        <v>21859</v>
      </c>
      <c r="X512" s="6">
        <f ca="1">-SUBTOTAL(9,INDEX(Main[مقدار تسویه شده (کیلوگرم)],1):Main[[#This Row],[مقدار تسویه شده (کیلوگرم)]])</f>
        <v>21859</v>
      </c>
      <c r="Y512" s="6">
        <f ca="1">IF(Main[[#This Row],[مانده در خط تسویه شده (کیلوگرم)]]&lt;&gt;0,Main[[#This Row],[تعداد کل روزهای بدهکار (روز)]],0)</f>
        <v>1</v>
      </c>
      <c r="Z512" s="6">
        <f ca="1">Main[[#This Row],[تعداد روزهای بدهکار تسویه شده (روز)]]*Main[[#This Row],[مانده در خط تسویه شده (کیلوگرم)]]</f>
        <v>21859</v>
      </c>
      <c r="AA512" s="6">
        <f ca="1">SUBTOTAL(9,INDEX(Main[بدهی تسویه نشده (کیلوگرم)],1):Main[[#This Row],[بدهی تسویه نشده (کیلوگرم)]])</f>
        <v>0</v>
      </c>
      <c r="AB512" s="6">
        <f ca="1">IF(Main[[#This Row],[مانده در خط تسویه نشده (کیلوگرم)]]&lt;&gt;0,Main[[#This Row],[تعداد کل روزهای بدهکار (روز)]],0)</f>
        <v>0</v>
      </c>
      <c r="AC512" s="6">
        <f ca="1">Main[[#This Row],[تعداد روزهای بدهکار  تسویه نشده (روز)]]*Main[[#This Row],[مانده در خط تسویه نشده (کیلوگرم)]]</f>
        <v>0</v>
      </c>
      <c r="AD512" s="6">
        <f ca="1">SUBTOTAL(9,INDEX(Main[بدهی سررسید شده (کیلوگرم)],1):Main[[#This Row],[بدهی سررسید شده (کیلوگرم)]])</f>
        <v>0</v>
      </c>
      <c r="AE512" s="6">
        <f ca="1">IF(Main[[#This Row],[مانده در خط سررسید شده (کیلوگرم)]]&lt;&gt;0,Main[[#This Row],[تعداد کل روزهای بدهکار (روز)]],0)</f>
        <v>0</v>
      </c>
      <c r="AF512" s="6">
        <f ca="1">Main[[#This Row],[تعداد روزهای بدهکار سررسید شده (روز)]]*Main[[#This Row],[مانده در خط سررسید شده (کیلوگرم)]]</f>
        <v>0</v>
      </c>
    </row>
    <row r="513" spans="1:32" hidden="1" x14ac:dyDescent="0.35">
      <c r="A513" s="5">
        <f>ROW()-ROW(INDEX(Main[ردیف],1))+1</f>
        <v>511</v>
      </c>
      <c r="B513" s="31">
        <f>SUBTOTAL(2,INDEX(Main[ردیف],1):Main[[#This Row],[ردیف]])</f>
        <v>47</v>
      </c>
      <c r="C513" s="32" t="s">
        <v>558</v>
      </c>
      <c r="D513" s="32" t="str">
        <f>_xlfn.CONCAT("14",Main[[#This Row],[تاريخ]])</f>
        <v>1400/02/27</v>
      </c>
      <c r="E513" s="33">
        <v>44333</v>
      </c>
      <c r="F513" s="32">
        <v>10089</v>
      </c>
      <c r="G513" s="5" t="str">
        <f>INDEX(customer[عنوان],MATCH(Main[[#This Row],[کد ردیابی]],customer[کد],0))</f>
        <v>خسروآبادی مهدی</v>
      </c>
      <c r="H513">
        <v>-1014</v>
      </c>
      <c r="I513" s="6">
        <f ca="1">-Main[[#This Row],[بدهی تسویه شده (کیلوگرم)]]+Main[[#This Row],[بستانکار (کیلوگرم)]]</f>
        <v>-1014</v>
      </c>
      <c r="J513" s="6">
        <f>IF(Main[[#This Row],[مقدار (کیلوگرم)]]&gt;0,Main[[#This Row],[مقدار (کیلوگرم)]],0)</f>
        <v>0</v>
      </c>
      <c r="K513" s="6">
        <f>-IF(Main[[#This Row],[مقدار (کیلوگرم)]]&lt;0,Main[[#This Row],[مقدار (کیلوگرم)]],0)</f>
        <v>1014</v>
      </c>
      <c r="L5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3" s="7">
        <f>-IF(AND(Main[[#This Row],[مقدار (کیلوگرم)]]&lt;0,Main[[#This Row],[تاريخ میلادی]]&gt;44276),Main[[#This Row],[مقدار (کیلوگرم)]],0)</f>
        <v>1014</v>
      </c>
      <c r="N513" s="6">
        <f ca="1">Main[[#This Row],[بدهکار (کیلوگرم)]]-Main[[#This Row],[بدهی تسویه نشده (کیلوگرم)]]</f>
        <v>1014</v>
      </c>
      <c r="O513" s="6">
        <f ca="1">Main[[#This Row],[تفکیک]]</f>
        <v>0</v>
      </c>
      <c r="P513" s="6">
        <f ca="1">IF(Main[[#This Row],[تاخیر از سررسید]]&gt;0,Main[[#This Row],[بدهی تسویه نشده (کیلوگرم)]],0)</f>
        <v>0</v>
      </c>
      <c r="Q513" s="6">
        <f ca="1">IF(Main[[#This Row],[بدهی تسویه نشده (کیلوگرم)]]&gt;0,'گزارش فردی'!$B$7-Main[[#This Row],[تاريخ میلادی]],0)</f>
        <v>0</v>
      </c>
      <c r="R513" s="6">
        <f ca="1">IF(Main[[#This Row],[بدهی تسویه نشده (کیلوگرم)]]&gt;0,'گزارش فردی'!$B$7-Main[[#This Row],[تاريخ میلادی]]-'گزارش فردی'!$B$8,0)</f>
        <v>0</v>
      </c>
      <c r="S513" s="6">
        <f ca="1">Main[[#This Row],[روز از ارسال سفارش]]*Main[[#This Row],[بدهی تسویه نشده (کیلوگرم)]]</f>
        <v>0</v>
      </c>
      <c r="T513" s="6">
        <f ca="1">Main[[#This Row],[بدهی سررسید شده (کیلوگرم)]]*Main[[#This Row],[روز از ارسال سفارش]]</f>
        <v>0</v>
      </c>
      <c r="U513" s="6">
        <f>-SUBTOTAL(9,INDEX(Main[مقدار (کیلوگرم)],1):Main[[#This Row],[مقدار (کیلوگرم)]])</f>
        <v>21859</v>
      </c>
      <c r="V5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3" s="6">
        <f>Main[[#This Row],[تعداد کل روزهای بدهکار (روز)]]*Main[[#This Row],[مانده در خط کل (کیلوگرم)]]</f>
        <v>21859</v>
      </c>
      <c r="X513" s="6">
        <f ca="1">-SUBTOTAL(9,INDEX(Main[مقدار تسویه شده (کیلوگرم)],1):Main[[#This Row],[مقدار تسویه شده (کیلوگرم)]])</f>
        <v>21859</v>
      </c>
      <c r="Y513" s="6">
        <f ca="1">IF(Main[[#This Row],[مانده در خط تسویه شده (کیلوگرم)]]&lt;&gt;0,Main[[#This Row],[تعداد کل روزهای بدهکار (روز)]],0)</f>
        <v>1</v>
      </c>
      <c r="Z513" s="6">
        <f ca="1">Main[[#This Row],[تعداد روزهای بدهکار تسویه شده (روز)]]*Main[[#This Row],[مانده در خط تسویه شده (کیلوگرم)]]</f>
        <v>21859</v>
      </c>
      <c r="AA513" s="6">
        <f ca="1">SUBTOTAL(9,INDEX(Main[بدهی تسویه نشده (کیلوگرم)],1):Main[[#This Row],[بدهی تسویه نشده (کیلوگرم)]])</f>
        <v>0</v>
      </c>
      <c r="AB513" s="6">
        <f ca="1">IF(Main[[#This Row],[مانده در خط تسویه نشده (کیلوگرم)]]&lt;&gt;0,Main[[#This Row],[تعداد کل روزهای بدهکار (روز)]],0)</f>
        <v>0</v>
      </c>
      <c r="AC513" s="6">
        <f ca="1">Main[[#This Row],[تعداد روزهای بدهکار  تسویه نشده (روز)]]*Main[[#This Row],[مانده در خط تسویه نشده (کیلوگرم)]]</f>
        <v>0</v>
      </c>
      <c r="AD513" s="6">
        <f ca="1">SUBTOTAL(9,INDEX(Main[بدهی سررسید شده (کیلوگرم)],1):Main[[#This Row],[بدهی سررسید شده (کیلوگرم)]])</f>
        <v>0</v>
      </c>
      <c r="AE513" s="6">
        <f ca="1">IF(Main[[#This Row],[مانده در خط سررسید شده (کیلوگرم)]]&lt;&gt;0,Main[[#This Row],[تعداد کل روزهای بدهکار (روز)]],0)</f>
        <v>0</v>
      </c>
      <c r="AF513" s="6">
        <f ca="1">Main[[#This Row],[تعداد روزهای بدهکار سررسید شده (روز)]]*Main[[#This Row],[مانده در خط سررسید شده (کیلوگرم)]]</f>
        <v>0</v>
      </c>
    </row>
    <row r="514" spans="1:32" hidden="1" x14ac:dyDescent="0.35">
      <c r="A514" s="5">
        <f>ROW()-ROW(INDEX(Main[ردیف],1))+1</f>
        <v>512</v>
      </c>
      <c r="B514" s="31">
        <f>SUBTOTAL(2,INDEX(Main[ردیف],1):Main[[#This Row],[ردیف]])</f>
        <v>47</v>
      </c>
      <c r="C514" s="32" t="s">
        <v>559</v>
      </c>
      <c r="D514" s="32" t="str">
        <f>_xlfn.CONCAT("14",Main[[#This Row],[تاريخ]])</f>
        <v>1400/02/28</v>
      </c>
      <c r="E514" s="33">
        <v>44334</v>
      </c>
      <c r="F514" s="32">
        <v>10026</v>
      </c>
      <c r="G514" s="5" t="str">
        <f>INDEX(customer[عنوان],MATCH(Main[[#This Row],[کد ردیابی]],customer[کد],0))</f>
        <v xml:space="preserve">محسن فیاض بخش </v>
      </c>
      <c r="H514">
        <v>888</v>
      </c>
      <c r="I514" s="6">
        <f ca="1">-Main[[#This Row],[بدهی تسویه شده (کیلوگرم)]]+Main[[#This Row],[بستانکار (کیلوگرم)]]</f>
        <v>888</v>
      </c>
      <c r="J514" s="6">
        <f>IF(Main[[#This Row],[مقدار (کیلوگرم)]]&gt;0,Main[[#This Row],[مقدار (کیلوگرم)]],0)</f>
        <v>888</v>
      </c>
      <c r="K514" s="6">
        <f>-IF(Main[[#This Row],[مقدار (کیلوگرم)]]&lt;0,Main[[#This Row],[مقدار (کیلوگرم)]],0)</f>
        <v>0</v>
      </c>
      <c r="L5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4" s="7">
        <f>-IF(AND(Main[[#This Row],[مقدار (کیلوگرم)]]&lt;0,Main[[#This Row],[تاريخ میلادی]]&gt;44276),Main[[#This Row],[مقدار (کیلوگرم)]],0)</f>
        <v>0</v>
      </c>
      <c r="N514" s="6">
        <f ca="1">Main[[#This Row],[بدهکار (کیلوگرم)]]-Main[[#This Row],[بدهی تسویه نشده (کیلوگرم)]]</f>
        <v>0</v>
      </c>
      <c r="O514" s="6">
        <f ca="1">Main[[#This Row],[تفکیک]]</f>
        <v>0</v>
      </c>
      <c r="P514" s="6">
        <f ca="1">IF(Main[[#This Row],[تاخیر از سررسید]]&gt;0,Main[[#This Row],[بدهی تسویه نشده (کیلوگرم)]],0)</f>
        <v>0</v>
      </c>
      <c r="Q514" s="6">
        <f ca="1">IF(Main[[#This Row],[بدهی تسویه نشده (کیلوگرم)]]&gt;0,'گزارش فردی'!$B$7-Main[[#This Row],[تاريخ میلادی]],0)</f>
        <v>0</v>
      </c>
      <c r="R514" s="6">
        <f ca="1">IF(Main[[#This Row],[بدهی تسویه نشده (کیلوگرم)]]&gt;0,'گزارش فردی'!$B$7-Main[[#This Row],[تاريخ میلادی]]-'گزارش فردی'!$B$8,0)</f>
        <v>0</v>
      </c>
      <c r="S514" s="6">
        <f ca="1">Main[[#This Row],[روز از ارسال سفارش]]*Main[[#This Row],[بدهی تسویه نشده (کیلوگرم)]]</f>
        <v>0</v>
      </c>
      <c r="T514" s="6">
        <f ca="1">Main[[#This Row],[بدهی سررسید شده (کیلوگرم)]]*Main[[#This Row],[روز از ارسال سفارش]]</f>
        <v>0</v>
      </c>
      <c r="U514" s="6">
        <f>-SUBTOTAL(9,INDEX(Main[مقدار (کیلوگرم)],1):Main[[#This Row],[مقدار (کیلوگرم)]])</f>
        <v>21859</v>
      </c>
      <c r="V5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4" s="6">
        <f>Main[[#This Row],[تعداد کل روزهای بدهکار (روز)]]*Main[[#This Row],[مانده در خط کل (کیلوگرم)]]</f>
        <v>0</v>
      </c>
      <c r="X514" s="6">
        <f ca="1">-SUBTOTAL(9,INDEX(Main[مقدار تسویه شده (کیلوگرم)],1):Main[[#This Row],[مقدار تسویه شده (کیلوگرم)]])</f>
        <v>21859</v>
      </c>
      <c r="Y514" s="6">
        <f ca="1">IF(Main[[#This Row],[مانده در خط تسویه شده (کیلوگرم)]]&lt;&gt;0,Main[[#This Row],[تعداد کل روزهای بدهکار (روز)]],0)</f>
        <v>0</v>
      </c>
      <c r="Z514" s="6">
        <f ca="1">Main[[#This Row],[تعداد روزهای بدهکار تسویه شده (روز)]]*Main[[#This Row],[مانده در خط تسویه شده (کیلوگرم)]]</f>
        <v>0</v>
      </c>
      <c r="AA514" s="6">
        <f ca="1">SUBTOTAL(9,INDEX(Main[بدهی تسویه نشده (کیلوگرم)],1):Main[[#This Row],[بدهی تسویه نشده (کیلوگرم)]])</f>
        <v>0</v>
      </c>
      <c r="AB514" s="6">
        <f ca="1">IF(Main[[#This Row],[مانده در خط تسویه نشده (کیلوگرم)]]&lt;&gt;0,Main[[#This Row],[تعداد کل روزهای بدهکار (روز)]],0)</f>
        <v>0</v>
      </c>
      <c r="AC514" s="6">
        <f ca="1">Main[[#This Row],[تعداد روزهای بدهکار  تسویه نشده (روز)]]*Main[[#This Row],[مانده در خط تسویه نشده (کیلوگرم)]]</f>
        <v>0</v>
      </c>
      <c r="AD514" s="6">
        <f ca="1">SUBTOTAL(9,INDEX(Main[بدهی سررسید شده (کیلوگرم)],1):Main[[#This Row],[بدهی سررسید شده (کیلوگرم)]])</f>
        <v>0</v>
      </c>
      <c r="AE514" s="6">
        <f ca="1">IF(Main[[#This Row],[مانده در خط سررسید شده (کیلوگرم)]]&lt;&gt;0,Main[[#This Row],[تعداد کل روزهای بدهکار (روز)]],0)</f>
        <v>0</v>
      </c>
      <c r="AF514" s="6">
        <f ca="1">Main[[#This Row],[تعداد روزهای بدهکار سررسید شده (روز)]]*Main[[#This Row],[مانده در خط سررسید شده (کیلوگرم)]]</f>
        <v>0</v>
      </c>
    </row>
    <row r="515" spans="1:32" hidden="1" x14ac:dyDescent="0.35">
      <c r="A515" s="5">
        <f>ROW()-ROW(INDEX(Main[ردیف],1))+1</f>
        <v>513</v>
      </c>
      <c r="B515" s="31">
        <f>SUBTOTAL(2,INDEX(Main[ردیف],1):Main[[#This Row],[ردیف]])</f>
        <v>47</v>
      </c>
      <c r="C515" s="32" t="s">
        <v>559</v>
      </c>
      <c r="D515" s="32" t="str">
        <f>_xlfn.CONCAT("14",Main[[#This Row],[تاريخ]])</f>
        <v>1400/02/28</v>
      </c>
      <c r="E515" s="33">
        <v>44334</v>
      </c>
      <c r="F515" s="32">
        <v>10110</v>
      </c>
      <c r="G515" s="5" t="str">
        <f>INDEX(customer[عنوان],MATCH(Main[[#This Row],[کد ردیابی]],customer[کد],0))</f>
        <v>محمدی مسعود</v>
      </c>
      <c r="H515">
        <v>-2196</v>
      </c>
      <c r="I515" s="6">
        <f ca="1">-Main[[#This Row],[بدهی تسویه شده (کیلوگرم)]]+Main[[#This Row],[بستانکار (کیلوگرم)]]</f>
        <v>-2196</v>
      </c>
      <c r="J515" s="6">
        <f>IF(Main[[#This Row],[مقدار (کیلوگرم)]]&gt;0,Main[[#This Row],[مقدار (کیلوگرم)]],0)</f>
        <v>0</v>
      </c>
      <c r="K515" s="6">
        <f>-IF(Main[[#This Row],[مقدار (کیلوگرم)]]&lt;0,Main[[#This Row],[مقدار (کیلوگرم)]],0)</f>
        <v>2196</v>
      </c>
      <c r="L5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5" s="7">
        <f>-IF(AND(Main[[#This Row],[مقدار (کیلوگرم)]]&lt;0,Main[[#This Row],[تاريخ میلادی]]&gt;44276),Main[[#This Row],[مقدار (کیلوگرم)]],0)</f>
        <v>2196</v>
      </c>
      <c r="N515" s="6">
        <f ca="1">Main[[#This Row],[بدهکار (کیلوگرم)]]-Main[[#This Row],[بدهی تسویه نشده (کیلوگرم)]]</f>
        <v>2196</v>
      </c>
      <c r="O515" s="6">
        <f ca="1">Main[[#This Row],[تفکیک]]</f>
        <v>0</v>
      </c>
      <c r="P515" s="6">
        <f ca="1">IF(Main[[#This Row],[تاخیر از سررسید]]&gt;0,Main[[#This Row],[بدهی تسویه نشده (کیلوگرم)]],0)</f>
        <v>0</v>
      </c>
      <c r="Q515" s="6">
        <f ca="1">IF(Main[[#This Row],[بدهی تسویه نشده (کیلوگرم)]]&gt;0,'گزارش فردی'!$B$7-Main[[#This Row],[تاريخ میلادی]],0)</f>
        <v>0</v>
      </c>
      <c r="R515" s="6">
        <f ca="1">IF(Main[[#This Row],[بدهی تسویه نشده (کیلوگرم)]]&gt;0,'گزارش فردی'!$B$7-Main[[#This Row],[تاريخ میلادی]]-'گزارش فردی'!$B$8,0)</f>
        <v>0</v>
      </c>
      <c r="S515" s="6">
        <f ca="1">Main[[#This Row],[روز از ارسال سفارش]]*Main[[#This Row],[بدهی تسویه نشده (کیلوگرم)]]</f>
        <v>0</v>
      </c>
      <c r="T515" s="6">
        <f ca="1">Main[[#This Row],[بدهی سررسید شده (کیلوگرم)]]*Main[[#This Row],[روز از ارسال سفارش]]</f>
        <v>0</v>
      </c>
      <c r="U515" s="6">
        <f>-SUBTOTAL(9,INDEX(Main[مقدار (کیلوگرم)],1):Main[[#This Row],[مقدار (کیلوگرم)]])</f>
        <v>21859</v>
      </c>
      <c r="V5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5" s="6">
        <f>Main[[#This Row],[تعداد کل روزهای بدهکار (روز)]]*Main[[#This Row],[مانده در خط کل (کیلوگرم)]]</f>
        <v>0</v>
      </c>
      <c r="X515" s="6">
        <f ca="1">-SUBTOTAL(9,INDEX(Main[مقدار تسویه شده (کیلوگرم)],1):Main[[#This Row],[مقدار تسویه شده (کیلوگرم)]])</f>
        <v>21859</v>
      </c>
      <c r="Y515" s="6">
        <f ca="1">IF(Main[[#This Row],[مانده در خط تسویه شده (کیلوگرم)]]&lt;&gt;0,Main[[#This Row],[تعداد کل روزهای بدهکار (روز)]],0)</f>
        <v>0</v>
      </c>
      <c r="Z515" s="6">
        <f ca="1">Main[[#This Row],[تعداد روزهای بدهکار تسویه شده (روز)]]*Main[[#This Row],[مانده در خط تسویه شده (کیلوگرم)]]</f>
        <v>0</v>
      </c>
      <c r="AA515" s="6">
        <f ca="1">SUBTOTAL(9,INDEX(Main[بدهی تسویه نشده (کیلوگرم)],1):Main[[#This Row],[بدهی تسویه نشده (کیلوگرم)]])</f>
        <v>0</v>
      </c>
      <c r="AB515" s="6">
        <f ca="1">IF(Main[[#This Row],[مانده در خط تسویه نشده (کیلوگرم)]]&lt;&gt;0,Main[[#This Row],[تعداد کل روزهای بدهکار (روز)]],0)</f>
        <v>0</v>
      </c>
      <c r="AC515" s="6">
        <f ca="1">Main[[#This Row],[تعداد روزهای بدهکار  تسویه نشده (روز)]]*Main[[#This Row],[مانده در خط تسویه نشده (کیلوگرم)]]</f>
        <v>0</v>
      </c>
      <c r="AD515" s="6">
        <f ca="1">SUBTOTAL(9,INDEX(Main[بدهی سررسید شده (کیلوگرم)],1):Main[[#This Row],[بدهی سررسید شده (کیلوگرم)]])</f>
        <v>0</v>
      </c>
      <c r="AE515" s="6">
        <f ca="1">IF(Main[[#This Row],[مانده در خط سررسید شده (کیلوگرم)]]&lt;&gt;0,Main[[#This Row],[تعداد کل روزهای بدهکار (روز)]],0)</f>
        <v>0</v>
      </c>
      <c r="AF515" s="6">
        <f ca="1">Main[[#This Row],[تعداد روزهای بدهکار سررسید شده (روز)]]*Main[[#This Row],[مانده در خط سررسید شده (کیلوگرم)]]</f>
        <v>0</v>
      </c>
    </row>
    <row r="516" spans="1:32" hidden="1" x14ac:dyDescent="0.35">
      <c r="A516" s="5">
        <f>ROW()-ROW(INDEX(Main[ردیف],1))+1</f>
        <v>514</v>
      </c>
      <c r="B516" s="31">
        <f>SUBTOTAL(2,INDEX(Main[ردیف],1):Main[[#This Row],[ردیف]])</f>
        <v>47</v>
      </c>
      <c r="C516" s="32" t="s">
        <v>559</v>
      </c>
      <c r="D516" s="32" t="str">
        <f>_xlfn.CONCAT("14",Main[[#This Row],[تاريخ]])</f>
        <v>1400/02/28</v>
      </c>
      <c r="E516" s="33">
        <v>44334</v>
      </c>
      <c r="F516" s="32">
        <v>30009</v>
      </c>
      <c r="G516" s="5" t="str">
        <f>INDEX(customer[عنوان],MATCH(Main[[#This Row],[کد ردیابی]],customer[کد],0))</f>
        <v>شرکت ایمن تک پیشرو</v>
      </c>
      <c r="H516">
        <v>1758</v>
      </c>
      <c r="I516" s="6">
        <f ca="1">-Main[[#This Row],[بدهی تسویه شده (کیلوگرم)]]+Main[[#This Row],[بستانکار (کیلوگرم)]]</f>
        <v>1758</v>
      </c>
      <c r="J516" s="6">
        <f>IF(Main[[#This Row],[مقدار (کیلوگرم)]]&gt;0,Main[[#This Row],[مقدار (کیلوگرم)]],0)</f>
        <v>1758</v>
      </c>
      <c r="K516" s="6">
        <f>-IF(Main[[#This Row],[مقدار (کیلوگرم)]]&lt;0,Main[[#This Row],[مقدار (کیلوگرم)]],0)</f>
        <v>0</v>
      </c>
      <c r="L5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6" s="7">
        <f>-IF(AND(Main[[#This Row],[مقدار (کیلوگرم)]]&lt;0,Main[[#This Row],[تاريخ میلادی]]&gt;44276),Main[[#This Row],[مقدار (کیلوگرم)]],0)</f>
        <v>0</v>
      </c>
      <c r="N516" s="6">
        <f ca="1">Main[[#This Row],[بدهکار (کیلوگرم)]]-Main[[#This Row],[بدهی تسویه نشده (کیلوگرم)]]</f>
        <v>0</v>
      </c>
      <c r="O516" s="6">
        <f ca="1">Main[[#This Row],[تفکیک]]</f>
        <v>0</v>
      </c>
      <c r="P516" s="6">
        <f ca="1">IF(Main[[#This Row],[تاخیر از سررسید]]&gt;0,Main[[#This Row],[بدهی تسویه نشده (کیلوگرم)]],0)</f>
        <v>0</v>
      </c>
      <c r="Q516" s="6">
        <f ca="1">IF(Main[[#This Row],[بدهی تسویه نشده (کیلوگرم)]]&gt;0,'گزارش فردی'!$B$7-Main[[#This Row],[تاريخ میلادی]],0)</f>
        <v>0</v>
      </c>
      <c r="R516" s="6">
        <f ca="1">IF(Main[[#This Row],[بدهی تسویه نشده (کیلوگرم)]]&gt;0,'گزارش فردی'!$B$7-Main[[#This Row],[تاريخ میلادی]]-'گزارش فردی'!$B$8,0)</f>
        <v>0</v>
      </c>
      <c r="S516" s="6">
        <f ca="1">Main[[#This Row],[روز از ارسال سفارش]]*Main[[#This Row],[بدهی تسویه نشده (کیلوگرم)]]</f>
        <v>0</v>
      </c>
      <c r="T516" s="6">
        <f ca="1">Main[[#This Row],[بدهی سررسید شده (کیلوگرم)]]*Main[[#This Row],[روز از ارسال سفارش]]</f>
        <v>0</v>
      </c>
      <c r="U516" s="6">
        <f>-SUBTOTAL(9,INDEX(Main[مقدار (کیلوگرم)],1):Main[[#This Row],[مقدار (کیلوگرم)]])</f>
        <v>21859</v>
      </c>
      <c r="V5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6" s="6">
        <f>Main[[#This Row],[تعداد کل روزهای بدهکار (روز)]]*Main[[#This Row],[مانده در خط کل (کیلوگرم)]]</f>
        <v>0</v>
      </c>
      <c r="X516" s="6">
        <f ca="1">-SUBTOTAL(9,INDEX(Main[مقدار تسویه شده (کیلوگرم)],1):Main[[#This Row],[مقدار تسویه شده (کیلوگرم)]])</f>
        <v>21859</v>
      </c>
      <c r="Y516" s="6">
        <f ca="1">IF(Main[[#This Row],[مانده در خط تسویه شده (کیلوگرم)]]&lt;&gt;0,Main[[#This Row],[تعداد کل روزهای بدهکار (روز)]],0)</f>
        <v>0</v>
      </c>
      <c r="Z516" s="6">
        <f ca="1">Main[[#This Row],[تعداد روزهای بدهکار تسویه شده (روز)]]*Main[[#This Row],[مانده در خط تسویه شده (کیلوگرم)]]</f>
        <v>0</v>
      </c>
      <c r="AA516" s="6">
        <f ca="1">SUBTOTAL(9,INDEX(Main[بدهی تسویه نشده (کیلوگرم)],1):Main[[#This Row],[بدهی تسویه نشده (کیلوگرم)]])</f>
        <v>0</v>
      </c>
      <c r="AB516" s="6">
        <f ca="1">IF(Main[[#This Row],[مانده در خط تسویه نشده (کیلوگرم)]]&lt;&gt;0,Main[[#This Row],[تعداد کل روزهای بدهکار (روز)]],0)</f>
        <v>0</v>
      </c>
      <c r="AC516" s="6">
        <f ca="1">Main[[#This Row],[تعداد روزهای بدهکار  تسویه نشده (روز)]]*Main[[#This Row],[مانده در خط تسویه نشده (کیلوگرم)]]</f>
        <v>0</v>
      </c>
      <c r="AD516" s="6">
        <f ca="1">SUBTOTAL(9,INDEX(Main[بدهی سررسید شده (کیلوگرم)],1):Main[[#This Row],[بدهی سررسید شده (کیلوگرم)]])</f>
        <v>0</v>
      </c>
      <c r="AE516" s="6">
        <f ca="1">IF(Main[[#This Row],[مانده در خط سررسید شده (کیلوگرم)]]&lt;&gt;0,Main[[#This Row],[تعداد کل روزهای بدهکار (روز)]],0)</f>
        <v>0</v>
      </c>
      <c r="AF516" s="6">
        <f ca="1">Main[[#This Row],[تعداد روزهای بدهکار سررسید شده (روز)]]*Main[[#This Row],[مانده در خط سررسید شده (کیلوگرم)]]</f>
        <v>0</v>
      </c>
    </row>
    <row r="517" spans="1:32" hidden="1" x14ac:dyDescent="0.35">
      <c r="A517" s="5">
        <f>ROW()-ROW(INDEX(Main[ردیف],1))+1</f>
        <v>515</v>
      </c>
      <c r="B517" s="31">
        <f>SUBTOTAL(2,INDEX(Main[ردیف],1):Main[[#This Row],[ردیف]])</f>
        <v>47</v>
      </c>
      <c r="C517" s="32" t="s">
        <v>559</v>
      </c>
      <c r="D517" s="32" t="str">
        <f>_xlfn.CONCAT("14",Main[[#This Row],[تاريخ]])</f>
        <v>1400/02/28</v>
      </c>
      <c r="E517" s="33">
        <v>44334</v>
      </c>
      <c r="F517" s="32">
        <v>30140</v>
      </c>
      <c r="G517" s="5" t="str">
        <f>INDEX(customer[عنوان],MATCH(Main[[#This Row],[کد ردیابی]],customer[کد],0))</f>
        <v>شرکت سیتکو</v>
      </c>
      <c r="H517">
        <v>-1090</v>
      </c>
      <c r="I517" s="6">
        <f ca="1">-Main[[#This Row],[بدهی تسویه شده (کیلوگرم)]]+Main[[#This Row],[بستانکار (کیلوگرم)]]</f>
        <v>-1090</v>
      </c>
      <c r="J517" s="6">
        <f>IF(Main[[#This Row],[مقدار (کیلوگرم)]]&gt;0,Main[[#This Row],[مقدار (کیلوگرم)]],0)</f>
        <v>0</v>
      </c>
      <c r="K517" s="6">
        <f>-IF(Main[[#This Row],[مقدار (کیلوگرم)]]&lt;0,Main[[#This Row],[مقدار (کیلوگرم)]],0)</f>
        <v>1090</v>
      </c>
      <c r="L5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7" s="7">
        <f>-IF(AND(Main[[#This Row],[مقدار (کیلوگرم)]]&lt;0,Main[[#This Row],[تاريخ میلادی]]&gt;44276),Main[[#This Row],[مقدار (کیلوگرم)]],0)</f>
        <v>1090</v>
      </c>
      <c r="N517" s="6">
        <f ca="1">Main[[#This Row],[بدهکار (کیلوگرم)]]-Main[[#This Row],[بدهی تسویه نشده (کیلوگرم)]]</f>
        <v>1090</v>
      </c>
      <c r="O517" s="6">
        <f ca="1">Main[[#This Row],[تفکیک]]</f>
        <v>0</v>
      </c>
      <c r="P517" s="6">
        <f ca="1">IF(Main[[#This Row],[تاخیر از سررسید]]&gt;0,Main[[#This Row],[بدهی تسویه نشده (کیلوگرم)]],0)</f>
        <v>0</v>
      </c>
      <c r="Q517" s="6">
        <f ca="1">IF(Main[[#This Row],[بدهی تسویه نشده (کیلوگرم)]]&gt;0,'گزارش فردی'!$B$7-Main[[#This Row],[تاريخ میلادی]],0)</f>
        <v>0</v>
      </c>
      <c r="R517" s="6">
        <f ca="1">IF(Main[[#This Row],[بدهی تسویه نشده (کیلوگرم)]]&gt;0,'گزارش فردی'!$B$7-Main[[#This Row],[تاريخ میلادی]]-'گزارش فردی'!$B$8,0)</f>
        <v>0</v>
      </c>
      <c r="S517" s="6">
        <f ca="1">Main[[#This Row],[روز از ارسال سفارش]]*Main[[#This Row],[بدهی تسویه نشده (کیلوگرم)]]</f>
        <v>0</v>
      </c>
      <c r="T517" s="6">
        <f ca="1">Main[[#This Row],[بدهی سررسید شده (کیلوگرم)]]*Main[[#This Row],[روز از ارسال سفارش]]</f>
        <v>0</v>
      </c>
      <c r="U517" s="6">
        <f>-SUBTOTAL(9,INDEX(Main[مقدار (کیلوگرم)],1):Main[[#This Row],[مقدار (کیلوگرم)]])</f>
        <v>21859</v>
      </c>
      <c r="V5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7" s="6">
        <f>Main[[#This Row],[تعداد کل روزهای بدهکار (روز)]]*Main[[#This Row],[مانده در خط کل (کیلوگرم)]]</f>
        <v>0</v>
      </c>
      <c r="X517" s="6">
        <f ca="1">-SUBTOTAL(9,INDEX(Main[مقدار تسویه شده (کیلوگرم)],1):Main[[#This Row],[مقدار تسویه شده (کیلوگرم)]])</f>
        <v>21859</v>
      </c>
      <c r="Y517" s="6">
        <f ca="1">IF(Main[[#This Row],[مانده در خط تسویه شده (کیلوگرم)]]&lt;&gt;0,Main[[#This Row],[تعداد کل روزهای بدهکار (روز)]],0)</f>
        <v>0</v>
      </c>
      <c r="Z517" s="6">
        <f ca="1">Main[[#This Row],[تعداد روزهای بدهکار تسویه شده (روز)]]*Main[[#This Row],[مانده در خط تسویه شده (کیلوگرم)]]</f>
        <v>0</v>
      </c>
      <c r="AA517" s="6">
        <f ca="1">SUBTOTAL(9,INDEX(Main[بدهی تسویه نشده (کیلوگرم)],1):Main[[#This Row],[بدهی تسویه نشده (کیلوگرم)]])</f>
        <v>0</v>
      </c>
      <c r="AB517" s="6">
        <f ca="1">IF(Main[[#This Row],[مانده در خط تسویه نشده (کیلوگرم)]]&lt;&gt;0,Main[[#This Row],[تعداد کل روزهای بدهکار (روز)]],0)</f>
        <v>0</v>
      </c>
      <c r="AC517" s="6">
        <f ca="1">Main[[#This Row],[تعداد روزهای بدهکار  تسویه نشده (روز)]]*Main[[#This Row],[مانده در خط تسویه نشده (کیلوگرم)]]</f>
        <v>0</v>
      </c>
      <c r="AD517" s="6">
        <f ca="1">SUBTOTAL(9,INDEX(Main[بدهی سررسید شده (کیلوگرم)],1):Main[[#This Row],[بدهی سررسید شده (کیلوگرم)]])</f>
        <v>0</v>
      </c>
      <c r="AE517" s="6">
        <f ca="1">IF(Main[[#This Row],[مانده در خط سررسید شده (کیلوگرم)]]&lt;&gt;0,Main[[#This Row],[تعداد کل روزهای بدهکار (روز)]],0)</f>
        <v>0</v>
      </c>
      <c r="AF517" s="6">
        <f ca="1">Main[[#This Row],[تعداد روزهای بدهکار سررسید شده (روز)]]*Main[[#This Row],[مانده در خط سررسید شده (کیلوگرم)]]</f>
        <v>0</v>
      </c>
    </row>
    <row r="518" spans="1:32" hidden="1" x14ac:dyDescent="0.35">
      <c r="A518" s="5">
        <f>ROW()-ROW(INDEX(Main[ردیف],1))+1</f>
        <v>516</v>
      </c>
      <c r="B518" s="31">
        <f>SUBTOTAL(2,INDEX(Main[ردیف],1):Main[[#This Row],[ردیف]])</f>
        <v>47</v>
      </c>
      <c r="C518" s="32" t="s">
        <v>559</v>
      </c>
      <c r="D518" s="32" t="str">
        <f>_xlfn.CONCAT("14",Main[[#This Row],[تاريخ]])</f>
        <v>1400/02/28</v>
      </c>
      <c r="E518" s="33">
        <v>44334</v>
      </c>
      <c r="F518" s="32">
        <v>30004</v>
      </c>
      <c r="G518" s="5" t="str">
        <f>INDEX(customer[عنوان],MATCH(Main[[#This Row],[کد ردیابی]],customer[کد],0))</f>
        <v>تولیدی صنعتی صفاشیر پارس</v>
      </c>
      <c r="H518">
        <v>2612</v>
      </c>
      <c r="I518" s="6">
        <f ca="1">-Main[[#This Row],[بدهی تسویه شده (کیلوگرم)]]+Main[[#This Row],[بستانکار (کیلوگرم)]]</f>
        <v>2612</v>
      </c>
      <c r="J518" s="6">
        <f>IF(Main[[#This Row],[مقدار (کیلوگرم)]]&gt;0,Main[[#This Row],[مقدار (کیلوگرم)]],0)</f>
        <v>2612</v>
      </c>
      <c r="K518" s="6">
        <f>-IF(Main[[#This Row],[مقدار (کیلوگرم)]]&lt;0,Main[[#This Row],[مقدار (کیلوگرم)]],0)</f>
        <v>0</v>
      </c>
      <c r="L5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8" s="7">
        <f>-IF(AND(Main[[#This Row],[مقدار (کیلوگرم)]]&lt;0,Main[[#This Row],[تاريخ میلادی]]&gt;44276),Main[[#This Row],[مقدار (کیلوگرم)]],0)</f>
        <v>0</v>
      </c>
      <c r="N518" s="6">
        <f ca="1">Main[[#This Row],[بدهکار (کیلوگرم)]]-Main[[#This Row],[بدهی تسویه نشده (کیلوگرم)]]</f>
        <v>0</v>
      </c>
      <c r="O518" s="6">
        <f ca="1">Main[[#This Row],[تفکیک]]</f>
        <v>0</v>
      </c>
      <c r="P518" s="6">
        <f ca="1">IF(Main[[#This Row],[تاخیر از سررسید]]&gt;0,Main[[#This Row],[بدهی تسویه نشده (کیلوگرم)]],0)</f>
        <v>0</v>
      </c>
      <c r="Q518" s="6">
        <f ca="1">IF(Main[[#This Row],[بدهی تسویه نشده (کیلوگرم)]]&gt;0,'گزارش فردی'!$B$7-Main[[#This Row],[تاريخ میلادی]],0)</f>
        <v>0</v>
      </c>
      <c r="R518" s="6">
        <f ca="1">IF(Main[[#This Row],[بدهی تسویه نشده (کیلوگرم)]]&gt;0,'گزارش فردی'!$B$7-Main[[#This Row],[تاريخ میلادی]]-'گزارش فردی'!$B$8,0)</f>
        <v>0</v>
      </c>
      <c r="S518" s="6">
        <f ca="1">Main[[#This Row],[روز از ارسال سفارش]]*Main[[#This Row],[بدهی تسویه نشده (کیلوگرم)]]</f>
        <v>0</v>
      </c>
      <c r="T518" s="6">
        <f ca="1">Main[[#This Row],[بدهی سررسید شده (کیلوگرم)]]*Main[[#This Row],[روز از ارسال سفارش]]</f>
        <v>0</v>
      </c>
      <c r="U518" s="6">
        <f>-SUBTOTAL(9,INDEX(Main[مقدار (کیلوگرم)],1):Main[[#This Row],[مقدار (کیلوگرم)]])</f>
        <v>21859</v>
      </c>
      <c r="V5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8" s="6">
        <f>Main[[#This Row],[تعداد کل روزهای بدهکار (روز)]]*Main[[#This Row],[مانده در خط کل (کیلوگرم)]]</f>
        <v>0</v>
      </c>
      <c r="X518" s="6">
        <f ca="1">-SUBTOTAL(9,INDEX(Main[مقدار تسویه شده (کیلوگرم)],1):Main[[#This Row],[مقدار تسویه شده (کیلوگرم)]])</f>
        <v>21859</v>
      </c>
      <c r="Y518" s="6">
        <f ca="1">IF(Main[[#This Row],[مانده در خط تسویه شده (کیلوگرم)]]&lt;&gt;0,Main[[#This Row],[تعداد کل روزهای بدهکار (روز)]],0)</f>
        <v>0</v>
      </c>
      <c r="Z518" s="6">
        <f ca="1">Main[[#This Row],[تعداد روزهای بدهکار تسویه شده (روز)]]*Main[[#This Row],[مانده در خط تسویه شده (کیلوگرم)]]</f>
        <v>0</v>
      </c>
      <c r="AA518" s="6">
        <f ca="1">SUBTOTAL(9,INDEX(Main[بدهی تسویه نشده (کیلوگرم)],1):Main[[#This Row],[بدهی تسویه نشده (کیلوگرم)]])</f>
        <v>0</v>
      </c>
      <c r="AB518" s="6">
        <f ca="1">IF(Main[[#This Row],[مانده در خط تسویه نشده (کیلوگرم)]]&lt;&gt;0,Main[[#This Row],[تعداد کل روزهای بدهکار (روز)]],0)</f>
        <v>0</v>
      </c>
      <c r="AC518" s="6">
        <f ca="1">Main[[#This Row],[تعداد روزهای بدهکار  تسویه نشده (روز)]]*Main[[#This Row],[مانده در خط تسویه نشده (کیلوگرم)]]</f>
        <v>0</v>
      </c>
      <c r="AD518" s="6">
        <f ca="1">SUBTOTAL(9,INDEX(Main[بدهی سررسید شده (کیلوگرم)],1):Main[[#This Row],[بدهی سررسید شده (کیلوگرم)]])</f>
        <v>0</v>
      </c>
      <c r="AE518" s="6">
        <f ca="1">IF(Main[[#This Row],[مانده در خط سررسید شده (کیلوگرم)]]&lt;&gt;0,Main[[#This Row],[تعداد کل روزهای بدهکار (روز)]],0)</f>
        <v>0</v>
      </c>
      <c r="AF518" s="6">
        <f ca="1">Main[[#This Row],[تعداد روزهای بدهکار سررسید شده (روز)]]*Main[[#This Row],[مانده در خط سررسید شده (کیلوگرم)]]</f>
        <v>0</v>
      </c>
    </row>
    <row r="519" spans="1:32" x14ac:dyDescent="0.35">
      <c r="A519" s="5">
        <f>ROW()-ROW(INDEX(Main[ردیف],1))+1</f>
        <v>517</v>
      </c>
      <c r="B519" s="31">
        <f>SUBTOTAL(2,INDEX(Main[ردیف],1):Main[[#This Row],[ردیف]])</f>
        <v>48</v>
      </c>
      <c r="C519" s="32" t="s">
        <v>559</v>
      </c>
      <c r="D519" s="32" t="str">
        <f>_xlfn.CONCAT("14",Main[[#This Row],[تاريخ]])</f>
        <v>1400/02/28</v>
      </c>
      <c r="E519" s="33">
        <v>44334</v>
      </c>
      <c r="F519" s="32">
        <v>10003</v>
      </c>
      <c r="G519" s="5" t="str">
        <f>INDEX(customer[عنوان],MATCH(Main[[#This Row],[کد ردیابی]],customer[کد],0))</f>
        <v>اصغر نورعلی</v>
      </c>
      <c r="H519">
        <v>-4224</v>
      </c>
      <c r="I519" s="6">
        <f ca="1">-Main[[#This Row],[بدهی تسویه شده (کیلوگرم)]]+Main[[#This Row],[بستانکار (کیلوگرم)]]</f>
        <v>-4224</v>
      </c>
      <c r="J519" s="6">
        <f>IF(Main[[#This Row],[مقدار (کیلوگرم)]]&gt;0,Main[[#This Row],[مقدار (کیلوگرم)]],0)</f>
        <v>0</v>
      </c>
      <c r="K519" s="6">
        <f>-IF(Main[[#This Row],[مقدار (کیلوگرم)]]&lt;0,Main[[#This Row],[مقدار (کیلوگرم)]],0)</f>
        <v>4224</v>
      </c>
      <c r="L5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9" s="7">
        <f>-IF(AND(Main[[#This Row],[مقدار (کیلوگرم)]]&lt;0,Main[[#This Row],[تاريخ میلادی]]&gt;44276),Main[[#This Row],[مقدار (کیلوگرم)]],0)</f>
        <v>4224</v>
      </c>
      <c r="N519" s="6">
        <f ca="1">Main[[#This Row],[بدهکار (کیلوگرم)]]-Main[[#This Row],[بدهی تسویه نشده (کیلوگرم)]]</f>
        <v>4224</v>
      </c>
      <c r="O519" s="6">
        <f ca="1">Main[[#This Row],[تفکیک]]</f>
        <v>0</v>
      </c>
      <c r="P519" s="6">
        <f ca="1">IF(Main[[#This Row],[تاخیر از سررسید]]&gt;0,Main[[#This Row],[بدهی تسویه نشده (کیلوگرم)]],0)</f>
        <v>0</v>
      </c>
      <c r="Q519" s="6">
        <f ca="1">IF(Main[[#This Row],[بدهی تسویه نشده (کیلوگرم)]]&gt;0,'گزارش فردی'!$B$7-Main[[#This Row],[تاريخ میلادی]],0)</f>
        <v>0</v>
      </c>
      <c r="R519" s="6">
        <f ca="1">IF(Main[[#This Row],[بدهی تسویه نشده (کیلوگرم)]]&gt;0,'گزارش فردی'!$B$7-Main[[#This Row],[تاريخ میلادی]]-'گزارش فردی'!$B$8,0)</f>
        <v>0</v>
      </c>
      <c r="S519" s="6">
        <f ca="1">Main[[#This Row],[روز از ارسال سفارش]]*Main[[#This Row],[بدهی تسویه نشده (کیلوگرم)]]</f>
        <v>0</v>
      </c>
      <c r="T519" s="6">
        <f ca="1">Main[[#This Row],[بدهی سررسید شده (کیلوگرم)]]*Main[[#This Row],[روز از ارسال سفارش]]</f>
        <v>0</v>
      </c>
      <c r="U519" s="6">
        <f>-SUBTOTAL(9,INDEX(Main[مقدار (کیلوگرم)],1):Main[[#This Row],[مقدار (کیلوگرم)]])</f>
        <v>26083</v>
      </c>
      <c r="V5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9" s="6">
        <f>Main[[#This Row],[تعداد کل روزهای بدهکار (روز)]]*Main[[#This Row],[مانده در خط کل (کیلوگرم)]]</f>
        <v>26083</v>
      </c>
      <c r="X519" s="6">
        <f ca="1">-SUBTOTAL(9,INDEX(Main[مقدار تسویه شده (کیلوگرم)],1):Main[[#This Row],[مقدار تسویه شده (کیلوگرم)]])</f>
        <v>26083</v>
      </c>
      <c r="Y519" s="6">
        <f ca="1">IF(Main[[#This Row],[مانده در خط تسویه شده (کیلوگرم)]]&lt;&gt;0,Main[[#This Row],[تعداد کل روزهای بدهکار (روز)]],0)</f>
        <v>1</v>
      </c>
      <c r="Z519" s="6">
        <f ca="1">Main[[#This Row],[تعداد روزهای بدهکار تسویه شده (روز)]]*Main[[#This Row],[مانده در خط تسویه شده (کیلوگرم)]]</f>
        <v>26083</v>
      </c>
      <c r="AA519" s="6">
        <f ca="1">SUBTOTAL(9,INDEX(Main[بدهی تسویه نشده (کیلوگرم)],1):Main[[#This Row],[بدهی تسویه نشده (کیلوگرم)]])</f>
        <v>0</v>
      </c>
      <c r="AB519" s="6">
        <f ca="1">IF(Main[[#This Row],[مانده در خط تسویه نشده (کیلوگرم)]]&lt;&gt;0,Main[[#This Row],[تعداد کل روزهای بدهکار (روز)]],0)</f>
        <v>0</v>
      </c>
      <c r="AC519" s="6">
        <f ca="1">Main[[#This Row],[تعداد روزهای بدهکار  تسویه نشده (روز)]]*Main[[#This Row],[مانده در خط تسویه نشده (کیلوگرم)]]</f>
        <v>0</v>
      </c>
      <c r="AD519" s="6">
        <f ca="1">SUBTOTAL(9,INDEX(Main[بدهی سررسید شده (کیلوگرم)],1):Main[[#This Row],[بدهی سررسید شده (کیلوگرم)]])</f>
        <v>0</v>
      </c>
      <c r="AE519" s="6">
        <f ca="1">IF(Main[[#This Row],[مانده در خط سررسید شده (کیلوگرم)]]&lt;&gt;0,Main[[#This Row],[تعداد کل روزهای بدهکار (روز)]],0)</f>
        <v>0</v>
      </c>
      <c r="AF519" s="6">
        <f ca="1">Main[[#This Row],[تعداد روزهای بدهکار سررسید شده (روز)]]*Main[[#This Row],[مانده در خط سررسید شده (کیلوگرم)]]</f>
        <v>0</v>
      </c>
    </row>
    <row r="520" spans="1:32" hidden="1" x14ac:dyDescent="0.35">
      <c r="A520" s="5">
        <f>ROW()-ROW(INDEX(Main[ردیف],1))+1</f>
        <v>518</v>
      </c>
      <c r="B520" s="31">
        <f>SUBTOTAL(2,INDEX(Main[ردیف],1):Main[[#This Row],[ردیف]])</f>
        <v>48</v>
      </c>
      <c r="C520" s="32" t="s">
        <v>559</v>
      </c>
      <c r="D520" s="32" t="str">
        <f>_xlfn.CONCAT("14",Main[[#This Row],[تاريخ]])</f>
        <v>1400/02/28</v>
      </c>
      <c r="E520" s="33">
        <v>44334</v>
      </c>
      <c r="F520" s="32">
        <v>30066</v>
      </c>
      <c r="G520" s="5" t="str">
        <f>INDEX(customer[عنوان],MATCH(Main[[#This Row],[کد ردیابی]],customer[کد],0))</f>
        <v xml:space="preserve">شیر آلات بهداشتی قهرمان </v>
      </c>
      <c r="H520">
        <v>2018</v>
      </c>
      <c r="I520" s="6">
        <f ca="1">-Main[[#This Row],[بدهی تسویه شده (کیلوگرم)]]+Main[[#This Row],[بستانکار (کیلوگرم)]]</f>
        <v>2018</v>
      </c>
      <c r="J520" s="6">
        <f>IF(Main[[#This Row],[مقدار (کیلوگرم)]]&gt;0,Main[[#This Row],[مقدار (کیلوگرم)]],0)</f>
        <v>2018</v>
      </c>
      <c r="K520" s="6">
        <f>-IF(Main[[#This Row],[مقدار (کیلوگرم)]]&lt;0,Main[[#This Row],[مقدار (کیلوگرم)]],0)</f>
        <v>0</v>
      </c>
      <c r="L5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0" s="7">
        <f>-IF(AND(Main[[#This Row],[مقدار (کیلوگرم)]]&lt;0,Main[[#This Row],[تاريخ میلادی]]&gt;44276),Main[[#This Row],[مقدار (کیلوگرم)]],0)</f>
        <v>0</v>
      </c>
      <c r="N520" s="6">
        <f ca="1">Main[[#This Row],[بدهکار (کیلوگرم)]]-Main[[#This Row],[بدهی تسویه نشده (کیلوگرم)]]</f>
        <v>0</v>
      </c>
      <c r="O520" s="6">
        <f ca="1">Main[[#This Row],[تفکیک]]</f>
        <v>0</v>
      </c>
      <c r="P520" s="6">
        <f ca="1">IF(Main[[#This Row],[تاخیر از سررسید]]&gt;0,Main[[#This Row],[بدهی تسویه نشده (کیلوگرم)]],0)</f>
        <v>0</v>
      </c>
      <c r="Q520" s="6">
        <f ca="1">IF(Main[[#This Row],[بدهی تسویه نشده (کیلوگرم)]]&gt;0,'گزارش فردی'!$B$7-Main[[#This Row],[تاريخ میلادی]],0)</f>
        <v>0</v>
      </c>
      <c r="R520" s="6">
        <f ca="1">IF(Main[[#This Row],[بدهی تسویه نشده (کیلوگرم)]]&gt;0,'گزارش فردی'!$B$7-Main[[#This Row],[تاريخ میلادی]]-'گزارش فردی'!$B$8,0)</f>
        <v>0</v>
      </c>
      <c r="S520" s="6">
        <f ca="1">Main[[#This Row],[روز از ارسال سفارش]]*Main[[#This Row],[بدهی تسویه نشده (کیلوگرم)]]</f>
        <v>0</v>
      </c>
      <c r="T520" s="6">
        <f ca="1">Main[[#This Row],[بدهی سررسید شده (کیلوگرم)]]*Main[[#This Row],[روز از ارسال سفارش]]</f>
        <v>0</v>
      </c>
      <c r="U520" s="6">
        <f>-SUBTOTAL(9,INDEX(Main[مقدار (کیلوگرم)],1):Main[[#This Row],[مقدار (کیلوگرم)]])</f>
        <v>26083</v>
      </c>
      <c r="V5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0" s="6">
        <f>Main[[#This Row],[تعداد کل روزهای بدهکار (روز)]]*Main[[#This Row],[مانده در خط کل (کیلوگرم)]]</f>
        <v>26083</v>
      </c>
      <c r="X520" s="6">
        <f ca="1">-SUBTOTAL(9,INDEX(Main[مقدار تسویه شده (کیلوگرم)],1):Main[[#This Row],[مقدار تسویه شده (کیلوگرم)]])</f>
        <v>26083</v>
      </c>
      <c r="Y520" s="6">
        <f ca="1">IF(Main[[#This Row],[مانده در خط تسویه شده (کیلوگرم)]]&lt;&gt;0,Main[[#This Row],[تعداد کل روزهای بدهکار (روز)]],0)</f>
        <v>1</v>
      </c>
      <c r="Z520" s="6">
        <f ca="1">Main[[#This Row],[تعداد روزهای بدهکار تسویه شده (روز)]]*Main[[#This Row],[مانده در خط تسویه شده (کیلوگرم)]]</f>
        <v>26083</v>
      </c>
      <c r="AA520" s="6">
        <f ca="1">SUBTOTAL(9,INDEX(Main[بدهی تسویه نشده (کیلوگرم)],1):Main[[#This Row],[بدهی تسویه نشده (کیلوگرم)]])</f>
        <v>0</v>
      </c>
      <c r="AB520" s="6">
        <f ca="1">IF(Main[[#This Row],[مانده در خط تسویه نشده (کیلوگرم)]]&lt;&gt;0,Main[[#This Row],[تعداد کل روزهای بدهکار (روز)]],0)</f>
        <v>0</v>
      </c>
      <c r="AC520" s="6">
        <f ca="1">Main[[#This Row],[تعداد روزهای بدهکار  تسویه نشده (روز)]]*Main[[#This Row],[مانده در خط تسویه نشده (کیلوگرم)]]</f>
        <v>0</v>
      </c>
      <c r="AD520" s="6">
        <f ca="1">SUBTOTAL(9,INDEX(Main[بدهی سررسید شده (کیلوگرم)],1):Main[[#This Row],[بدهی سررسید شده (کیلوگرم)]])</f>
        <v>0</v>
      </c>
      <c r="AE520" s="6">
        <f ca="1">IF(Main[[#This Row],[مانده در خط سررسید شده (کیلوگرم)]]&lt;&gt;0,Main[[#This Row],[تعداد کل روزهای بدهکار (روز)]],0)</f>
        <v>0</v>
      </c>
      <c r="AF520" s="6">
        <f ca="1">Main[[#This Row],[تعداد روزهای بدهکار سررسید شده (روز)]]*Main[[#This Row],[مانده در خط سررسید شده (کیلوگرم)]]</f>
        <v>0</v>
      </c>
    </row>
    <row r="521" spans="1:32" hidden="1" x14ac:dyDescent="0.35">
      <c r="A521" s="5">
        <f>ROW()-ROW(INDEX(Main[ردیف],1))+1</f>
        <v>519</v>
      </c>
      <c r="B521" s="31">
        <f>SUBTOTAL(2,INDEX(Main[ردیف],1):Main[[#This Row],[ردیف]])</f>
        <v>48</v>
      </c>
      <c r="C521" s="32" t="s">
        <v>559</v>
      </c>
      <c r="D521" s="32" t="str">
        <f>_xlfn.CONCAT("14",Main[[#This Row],[تاريخ]])</f>
        <v>1400/02/28</v>
      </c>
      <c r="E521" s="33">
        <v>44334</v>
      </c>
      <c r="F521" s="32">
        <v>10026</v>
      </c>
      <c r="G521" s="5" t="str">
        <f>INDEX(customer[عنوان],MATCH(Main[[#This Row],[کد ردیابی]],customer[کد],0))</f>
        <v xml:space="preserve">محسن فیاض بخش </v>
      </c>
      <c r="H521">
        <v>-2032</v>
      </c>
      <c r="I521" s="6">
        <f ca="1">-Main[[#This Row],[بدهی تسویه شده (کیلوگرم)]]+Main[[#This Row],[بستانکار (کیلوگرم)]]</f>
        <v>-2032</v>
      </c>
      <c r="J521" s="6">
        <f>IF(Main[[#This Row],[مقدار (کیلوگرم)]]&gt;0,Main[[#This Row],[مقدار (کیلوگرم)]],0)</f>
        <v>0</v>
      </c>
      <c r="K521" s="6">
        <f>-IF(Main[[#This Row],[مقدار (کیلوگرم)]]&lt;0,Main[[#This Row],[مقدار (کیلوگرم)]],0)</f>
        <v>2032</v>
      </c>
      <c r="L5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1" s="7">
        <f>-IF(AND(Main[[#This Row],[مقدار (کیلوگرم)]]&lt;0,Main[[#This Row],[تاريخ میلادی]]&gt;44276),Main[[#This Row],[مقدار (کیلوگرم)]],0)</f>
        <v>2032</v>
      </c>
      <c r="N521" s="6">
        <f ca="1">Main[[#This Row],[بدهکار (کیلوگرم)]]-Main[[#This Row],[بدهی تسویه نشده (کیلوگرم)]]</f>
        <v>2032</v>
      </c>
      <c r="O521" s="6">
        <f ca="1">Main[[#This Row],[تفکیک]]</f>
        <v>0</v>
      </c>
      <c r="P521" s="6">
        <f ca="1">IF(Main[[#This Row],[تاخیر از سررسید]]&gt;0,Main[[#This Row],[بدهی تسویه نشده (کیلوگرم)]],0)</f>
        <v>0</v>
      </c>
      <c r="Q521" s="6">
        <f ca="1">IF(Main[[#This Row],[بدهی تسویه نشده (کیلوگرم)]]&gt;0,'گزارش فردی'!$B$7-Main[[#This Row],[تاريخ میلادی]],0)</f>
        <v>0</v>
      </c>
      <c r="R521" s="6">
        <f ca="1">IF(Main[[#This Row],[بدهی تسویه نشده (کیلوگرم)]]&gt;0,'گزارش فردی'!$B$7-Main[[#This Row],[تاريخ میلادی]]-'گزارش فردی'!$B$8,0)</f>
        <v>0</v>
      </c>
      <c r="S521" s="6">
        <f ca="1">Main[[#This Row],[روز از ارسال سفارش]]*Main[[#This Row],[بدهی تسویه نشده (کیلوگرم)]]</f>
        <v>0</v>
      </c>
      <c r="T521" s="6">
        <f ca="1">Main[[#This Row],[بدهی سررسید شده (کیلوگرم)]]*Main[[#This Row],[روز از ارسال سفارش]]</f>
        <v>0</v>
      </c>
      <c r="U521" s="6">
        <f>-SUBTOTAL(9,INDEX(Main[مقدار (کیلوگرم)],1):Main[[#This Row],[مقدار (کیلوگرم)]])</f>
        <v>26083</v>
      </c>
      <c r="V5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1" s="6">
        <f>Main[[#This Row],[تعداد کل روزهای بدهکار (روز)]]*Main[[#This Row],[مانده در خط کل (کیلوگرم)]]</f>
        <v>26083</v>
      </c>
      <c r="X521" s="6">
        <f ca="1">-SUBTOTAL(9,INDEX(Main[مقدار تسویه شده (کیلوگرم)],1):Main[[#This Row],[مقدار تسویه شده (کیلوگرم)]])</f>
        <v>26083</v>
      </c>
      <c r="Y521" s="6">
        <f ca="1">IF(Main[[#This Row],[مانده در خط تسویه شده (کیلوگرم)]]&lt;&gt;0,Main[[#This Row],[تعداد کل روزهای بدهکار (روز)]],0)</f>
        <v>1</v>
      </c>
      <c r="Z521" s="6">
        <f ca="1">Main[[#This Row],[تعداد روزهای بدهکار تسویه شده (روز)]]*Main[[#This Row],[مانده در خط تسویه شده (کیلوگرم)]]</f>
        <v>26083</v>
      </c>
      <c r="AA521" s="6">
        <f ca="1">SUBTOTAL(9,INDEX(Main[بدهی تسویه نشده (کیلوگرم)],1):Main[[#This Row],[بدهی تسویه نشده (کیلوگرم)]])</f>
        <v>0</v>
      </c>
      <c r="AB521" s="6">
        <f ca="1">IF(Main[[#This Row],[مانده در خط تسویه نشده (کیلوگرم)]]&lt;&gt;0,Main[[#This Row],[تعداد کل روزهای بدهکار (روز)]],0)</f>
        <v>0</v>
      </c>
      <c r="AC521" s="6">
        <f ca="1">Main[[#This Row],[تعداد روزهای بدهکار  تسویه نشده (روز)]]*Main[[#This Row],[مانده در خط تسویه نشده (کیلوگرم)]]</f>
        <v>0</v>
      </c>
      <c r="AD521" s="6">
        <f ca="1">SUBTOTAL(9,INDEX(Main[بدهی سررسید شده (کیلوگرم)],1):Main[[#This Row],[بدهی سررسید شده (کیلوگرم)]])</f>
        <v>0</v>
      </c>
      <c r="AE521" s="6">
        <f ca="1">IF(Main[[#This Row],[مانده در خط سررسید شده (کیلوگرم)]]&lt;&gt;0,Main[[#This Row],[تعداد کل روزهای بدهکار (روز)]],0)</f>
        <v>0</v>
      </c>
      <c r="AF521" s="6">
        <f ca="1">Main[[#This Row],[تعداد روزهای بدهکار سررسید شده (روز)]]*Main[[#This Row],[مانده در خط سررسید شده (کیلوگرم)]]</f>
        <v>0</v>
      </c>
    </row>
    <row r="522" spans="1:32" hidden="1" x14ac:dyDescent="0.35">
      <c r="A522" s="5">
        <f>ROW()-ROW(INDEX(Main[ردیف],1))+1</f>
        <v>520</v>
      </c>
      <c r="B522" s="31">
        <f>SUBTOTAL(2,INDEX(Main[ردیف],1):Main[[#This Row],[ردیف]])</f>
        <v>48</v>
      </c>
      <c r="C522" s="32" t="s">
        <v>559</v>
      </c>
      <c r="D522" s="32" t="str">
        <f>_xlfn.CONCAT("14",Main[[#This Row],[تاريخ]])</f>
        <v>1400/02/28</v>
      </c>
      <c r="E522" s="33">
        <v>44334</v>
      </c>
      <c r="F522" s="32">
        <v>30184</v>
      </c>
      <c r="G522" s="5" t="str">
        <f>INDEX(customer[عنوان],MATCH(Main[[#This Row],[کد ردیابی]],customer[کد],0))</f>
        <v>شرکت هوم کو (هوشمند مبین کوشا)</v>
      </c>
      <c r="H522">
        <v>2968</v>
      </c>
      <c r="I522" s="6">
        <f ca="1">-Main[[#This Row],[بدهی تسویه شده (کیلوگرم)]]+Main[[#This Row],[بستانکار (کیلوگرم)]]</f>
        <v>2968</v>
      </c>
      <c r="J522" s="6">
        <f>IF(Main[[#This Row],[مقدار (کیلوگرم)]]&gt;0,Main[[#This Row],[مقدار (کیلوگرم)]],0)</f>
        <v>2968</v>
      </c>
      <c r="K522" s="6">
        <f>-IF(Main[[#This Row],[مقدار (کیلوگرم)]]&lt;0,Main[[#This Row],[مقدار (کیلوگرم)]],0)</f>
        <v>0</v>
      </c>
      <c r="L5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2" s="7">
        <f>-IF(AND(Main[[#This Row],[مقدار (کیلوگرم)]]&lt;0,Main[[#This Row],[تاريخ میلادی]]&gt;44276),Main[[#This Row],[مقدار (کیلوگرم)]],0)</f>
        <v>0</v>
      </c>
      <c r="N522" s="6">
        <f ca="1">Main[[#This Row],[بدهکار (کیلوگرم)]]-Main[[#This Row],[بدهی تسویه نشده (کیلوگرم)]]</f>
        <v>0</v>
      </c>
      <c r="O522" s="6">
        <f ca="1">Main[[#This Row],[تفکیک]]</f>
        <v>0</v>
      </c>
      <c r="P522" s="6">
        <f ca="1">IF(Main[[#This Row],[تاخیر از سررسید]]&gt;0,Main[[#This Row],[بدهی تسویه نشده (کیلوگرم)]],0)</f>
        <v>0</v>
      </c>
      <c r="Q522" s="6">
        <f ca="1">IF(Main[[#This Row],[بدهی تسویه نشده (کیلوگرم)]]&gt;0,'گزارش فردی'!$B$7-Main[[#This Row],[تاريخ میلادی]],0)</f>
        <v>0</v>
      </c>
      <c r="R522" s="6">
        <f ca="1">IF(Main[[#This Row],[بدهی تسویه نشده (کیلوگرم)]]&gt;0,'گزارش فردی'!$B$7-Main[[#This Row],[تاريخ میلادی]]-'گزارش فردی'!$B$8,0)</f>
        <v>0</v>
      </c>
      <c r="S522" s="6">
        <f ca="1">Main[[#This Row],[روز از ارسال سفارش]]*Main[[#This Row],[بدهی تسویه نشده (کیلوگرم)]]</f>
        <v>0</v>
      </c>
      <c r="T522" s="6">
        <f ca="1">Main[[#This Row],[بدهی سررسید شده (کیلوگرم)]]*Main[[#This Row],[روز از ارسال سفارش]]</f>
        <v>0</v>
      </c>
      <c r="U522" s="6">
        <f>-SUBTOTAL(9,INDEX(Main[مقدار (کیلوگرم)],1):Main[[#This Row],[مقدار (کیلوگرم)]])</f>
        <v>26083</v>
      </c>
      <c r="V5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2" s="6">
        <f>Main[[#This Row],[تعداد کل روزهای بدهکار (روز)]]*Main[[#This Row],[مانده در خط کل (کیلوگرم)]]</f>
        <v>26083</v>
      </c>
      <c r="X522" s="6">
        <f ca="1">-SUBTOTAL(9,INDEX(Main[مقدار تسویه شده (کیلوگرم)],1):Main[[#This Row],[مقدار تسویه شده (کیلوگرم)]])</f>
        <v>26083</v>
      </c>
      <c r="Y522" s="6">
        <f ca="1">IF(Main[[#This Row],[مانده در خط تسویه شده (کیلوگرم)]]&lt;&gt;0,Main[[#This Row],[تعداد کل روزهای بدهکار (روز)]],0)</f>
        <v>1</v>
      </c>
      <c r="Z522" s="6">
        <f ca="1">Main[[#This Row],[تعداد روزهای بدهکار تسویه شده (روز)]]*Main[[#This Row],[مانده در خط تسویه شده (کیلوگرم)]]</f>
        <v>26083</v>
      </c>
      <c r="AA522" s="6">
        <f ca="1">SUBTOTAL(9,INDEX(Main[بدهی تسویه نشده (کیلوگرم)],1):Main[[#This Row],[بدهی تسویه نشده (کیلوگرم)]])</f>
        <v>0</v>
      </c>
      <c r="AB522" s="6">
        <f ca="1">IF(Main[[#This Row],[مانده در خط تسویه نشده (کیلوگرم)]]&lt;&gt;0,Main[[#This Row],[تعداد کل روزهای بدهکار (روز)]],0)</f>
        <v>0</v>
      </c>
      <c r="AC522" s="6">
        <f ca="1">Main[[#This Row],[تعداد روزهای بدهکار  تسویه نشده (روز)]]*Main[[#This Row],[مانده در خط تسویه نشده (کیلوگرم)]]</f>
        <v>0</v>
      </c>
      <c r="AD522" s="6">
        <f ca="1">SUBTOTAL(9,INDEX(Main[بدهی سررسید شده (کیلوگرم)],1):Main[[#This Row],[بدهی سررسید شده (کیلوگرم)]])</f>
        <v>0</v>
      </c>
      <c r="AE522" s="6">
        <f ca="1">IF(Main[[#This Row],[مانده در خط سررسید شده (کیلوگرم)]]&lt;&gt;0,Main[[#This Row],[تعداد کل روزهای بدهکار (روز)]],0)</f>
        <v>0</v>
      </c>
      <c r="AF522" s="6">
        <f ca="1">Main[[#This Row],[تعداد روزهای بدهکار سررسید شده (روز)]]*Main[[#This Row],[مانده در خط سررسید شده (کیلوگرم)]]</f>
        <v>0</v>
      </c>
    </row>
    <row r="523" spans="1:32" hidden="1" x14ac:dyDescent="0.35">
      <c r="A523" s="5">
        <f>ROW()-ROW(INDEX(Main[ردیف],1))+1</f>
        <v>521</v>
      </c>
      <c r="B523" s="31">
        <f>SUBTOTAL(2,INDEX(Main[ردیف],1):Main[[#This Row],[ردیف]])</f>
        <v>48</v>
      </c>
      <c r="C523" s="32" t="s">
        <v>559</v>
      </c>
      <c r="D523" s="32" t="str">
        <f>_xlfn.CONCAT("14",Main[[#This Row],[تاريخ]])</f>
        <v>1400/02/28</v>
      </c>
      <c r="E523" s="33">
        <v>44334</v>
      </c>
      <c r="F523" s="32">
        <v>30009</v>
      </c>
      <c r="G523" s="5" t="str">
        <f>INDEX(customer[عنوان],MATCH(Main[[#This Row],[کد ردیابی]],customer[کد],0))</f>
        <v>شرکت ایمن تک پیشرو</v>
      </c>
      <c r="H523">
        <v>892</v>
      </c>
      <c r="I523" s="6">
        <f ca="1">-Main[[#This Row],[بدهی تسویه شده (کیلوگرم)]]+Main[[#This Row],[بستانکار (کیلوگرم)]]</f>
        <v>892</v>
      </c>
      <c r="J523" s="6">
        <f>IF(Main[[#This Row],[مقدار (کیلوگرم)]]&gt;0,Main[[#This Row],[مقدار (کیلوگرم)]],0)</f>
        <v>892</v>
      </c>
      <c r="K523" s="6">
        <f>-IF(Main[[#This Row],[مقدار (کیلوگرم)]]&lt;0,Main[[#This Row],[مقدار (کیلوگرم)]],0)</f>
        <v>0</v>
      </c>
      <c r="L5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3" s="7">
        <f>-IF(AND(Main[[#This Row],[مقدار (کیلوگرم)]]&lt;0,Main[[#This Row],[تاريخ میلادی]]&gt;44276),Main[[#This Row],[مقدار (کیلوگرم)]],0)</f>
        <v>0</v>
      </c>
      <c r="N523" s="6">
        <f ca="1">Main[[#This Row],[بدهکار (کیلوگرم)]]-Main[[#This Row],[بدهی تسویه نشده (کیلوگرم)]]</f>
        <v>0</v>
      </c>
      <c r="O523" s="6">
        <f ca="1">Main[[#This Row],[تفکیک]]</f>
        <v>0</v>
      </c>
      <c r="P523" s="6">
        <f ca="1">IF(Main[[#This Row],[تاخیر از سررسید]]&gt;0,Main[[#This Row],[بدهی تسویه نشده (کیلوگرم)]],0)</f>
        <v>0</v>
      </c>
      <c r="Q523" s="6">
        <f ca="1">IF(Main[[#This Row],[بدهی تسویه نشده (کیلوگرم)]]&gt;0,'گزارش فردی'!$B$7-Main[[#This Row],[تاريخ میلادی]],0)</f>
        <v>0</v>
      </c>
      <c r="R523" s="6">
        <f ca="1">IF(Main[[#This Row],[بدهی تسویه نشده (کیلوگرم)]]&gt;0,'گزارش فردی'!$B$7-Main[[#This Row],[تاريخ میلادی]]-'گزارش فردی'!$B$8,0)</f>
        <v>0</v>
      </c>
      <c r="S523" s="6">
        <f ca="1">Main[[#This Row],[روز از ارسال سفارش]]*Main[[#This Row],[بدهی تسویه نشده (کیلوگرم)]]</f>
        <v>0</v>
      </c>
      <c r="T523" s="6">
        <f ca="1">Main[[#This Row],[بدهی سررسید شده (کیلوگرم)]]*Main[[#This Row],[روز از ارسال سفارش]]</f>
        <v>0</v>
      </c>
      <c r="U523" s="6">
        <f>-SUBTOTAL(9,INDEX(Main[مقدار (کیلوگرم)],1):Main[[#This Row],[مقدار (کیلوگرم)]])</f>
        <v>26083</v>
      </c>
      <c r="V5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3" s="6">
        <f>Main[[#This Row],[تعداد کل روزهای بدهکار (روز)]]*Main[[#This Row],[مانده در خط کل (کیلوگرم)]]</f>
        <v>26083</v>
      </c>
      <c r="X523" s="6">
        <f ca="1">-SUBTOTAL(9,INDEX(Main[مقدار تسویه شده (کیلوگرم)],1):Main[[#This Row],[مقدار تسویه شده (کیلوگرم)]])</f>
        <v>26083</v>
      </c>
      <c r="Y523" s="6">
        <f ca="1">IF(Main[[#This Row],[مانده در خط تسویه شده (کیلوگرم)]]&lt;&gt;0,Main[[#This Row],[تعداد کل روزهای بدهکار (روز)]],0)</f>
        <v>1</v>
      </c>
      <c r="Z523" s="6">
        <f ca="1">Main[[#This Row],[تعداد روزهای بدهکار تسویه شده (روز)]]*Main[[#This Row],[مانده در خط تسویه شده (کیلوگرم)]]</f>
        <v>26083</v>
      </c>
      <c r="AA523" s="6">
        <f ca="1">SUBTOTAL(9,INDEX(Main[بدهی تسویه نشده (کیلوگرم)],1):Main[[#This Row],[بدهی تسویه نشده (کیلوگرم)]])</f>
        <v>0</v>
      </c>
      <c r="AB523" s="6">
        <f ca="1">IF(Main[[#This Row],[مانده در خط تسویه نشده (کیلوگرم)]]&lt;&gt;0,Main[[#This Row],[تعداد کل روزهای بدهکار (روز)]],0)</f>
        <v>0</v>
      </c>
      <c r="AC523" s="6">
        <f ca="1">Main[[#This Row],[تعداد روزهای بدهکار  تسویه نشده (روز)]]*Main[[#This Row],[مانده در خط تسویه نشده (کیلوگرم)]]</f>
        <v>0</v>
      </c>
      <c r="AD523" s="6">
        <f ca="1">SUBTOTAL(9,INDEX(Main[بدهی سررسید شده (کیلوگرم)],1):Main[[#This Row],[بدهی سررسید شده (کیلوگرم)]])</f>
        <v>0</v>
      </c>
      <c r="AE523" s="6">
        <f ca="1">IF(Main[[#This Row],[مانده در خط سررسید شده (کیلوگرم)]]&lt;&gt;0,Main[[#This Row],[تعداد کل روزهای بدهکار (روز)]],0)</f>
        <v>0</v>
      </c>
      <c r="AF523" s="6">
        <f ca="1">Main[[#This Row],[تعداد روزهای بدهکار سررسید شده (روز)]]*Main[[#This Row],[مانده در خط سررسید شده (کیلوگرم)]]</f>
        <v>0</v>
      </c>
    </row>
    <row r="524" spans="1:32" hidden="1" x14ac:dyDescent="0.35">
      <c r="A524" s="5">
        <f>ROW()-ROW(INDEX(Main[ردیف],1))+1</f>
        <v>522</v>
      </c>
      <c r="B524" s="31">
        <f>SUBTOTAL(2,INDEX(Main[ردیف],1):Main[[#This Row],[ردیف]])</f>
        <v>48</v>
      </c>
      <c r="C524" s="32" t="s">
        <v>559</v>
      </c>
      <c r="D524" s="32" t="str">
        <f>_xlfn.CONCAT("14",Main[[#This Row],[تاريخ]])</f>
        <v>1400/02/28</v>
      </c>
      <c r="E524" s="33">
        <v>44334</v>
      </c>
      <c r="F524" s="32">
        <v>30186</v>
      </c>
      <c r="G524" s="5" t="str">
        <f>INDEX(customer[عنوان],MATCH(Main[[#This Row],[کد ردیابی]],customer[کد],0))</f>
        <v>سارا گاز</v>
      </c>
      <c r="H524">
        <v>1998</v>
      </c>
      <c r="I524" s="6">
        <f ca="1">-Main[[#This Row],[بدهی تسویه شده (کیلوگرم)]]+Main[[#This Row],[بستانکار (کیلوگرم)]]</f>
        <v>1998</v>
      </c>
      <c r="J524" s="6">
        <f>IF(Main[[#This Row],[مقدار (کیلوگرم)]]&gt;0,Main[[#This Row],[مقدار (کیلوگرم)]],0)</f>
        <v>1998</v>
      </c>
      <c r="K524" s="6">
        <f>-IF(Main[[#This Row],[مقدار (کیلوگرم)]]&lt;0,Main[[#This Row],[مقدار (کیلوگرم)]],0)</f>
        <v>0</v>
      </c>
      <c r="L5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4" s="7">
        <f>-IF(AND(Main[[#This Row],[مقدار (کیلوگرم)]]&lt;0,Main[[#This Row],[تاريخ میلادی]]&gt;44276),Main[[#This Row],[مقدار (کیلوگرم)]],0)</f>
        <v>0</v>
      </c>
      <c r="N524" s="6">
        <f ca="1">Main[[#This Row],[بدهکار (کیلوگرم)]]-Main[[#This Row],[بدهی تسویه نشده (کیلوگرم)]]</f>
        <v>0</v>
      </c>
      <c r="O524" s="6">
        <f ca="1">Main[[#This Row],[تفکیک]]</f>
        <v>0</v>
      </c>
      <c r="P524" s="6">
        <f ca="1">IF(Main[[#This Row],[تاخیر از سررسید]]&gt;0,Main[[#This Row],[بدهی تسویه نشده (کیلوگرم)]],0)</f>
        <v>0</v>
      </c>
      <c r="Q524" s="6">
        <f ca="1">IF(Main[[#This Row],[بدهی تسویه نشده (کیلوگرم)]]&gt;0,'گزارش فردی'!$B$7-Main[[#This Row],[تاريخ میلادی]],0)</f>
        <v>0</v>
      </c>
      <c r="R524" s="6">
        <f ca="1">IF(Main[[#This Row],[بدهی تسویه نشده (کیلوگرم)]]&gt;0,'گزارش فردی'!$B$7-Main[[#This Row],[تاريخ میلادی]]-'گزارش فردی'!$B$8,0)</f>
        <v>0</v>
      </c>
      <c r="S524" s="6">
        <f ca="1">Main[[#This Row],[روز از ارسال سفارش]]*Main[[#This Row],[بدهی تسویه نشده (کیلوگرم)]]</f>
        <v>0</v>
      </c>
      <c r="T524" s="6">
        <f ca="1">Main[[#This Row],[بدهی سررسید شده (کیلوگرم)]]*Main[[#This Row],[روز از ارسال سفارش]]</f>
        <v>0</v>
      </c>
      <c r="U524" s="6">
        <f>-SUBTOTAL(9,INDEX(Main[مقدار (کیلوگرم)],1):Main[[#This Row],[مقدار (کیلوگرم)]])</f>
        <v>26083</v>
      </c>
      <c r="V5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4" s="6">
        <f>Main[[#This Row],[تعداد کل روزهای بدهکار (روز)]]*Main[[#This Row],[مانده در خط کل (کیلوگرم)]]</f>
        <v>26083</v>
      </c>
      <c r="X524" s="6">
        <f ca="1">-SUBTOTAL(9,INDEX(Main[مقدار تسویه شده (کیلوگرم)],1):Main[[#This Row],[مقدار تسویه شده (کیلوگرم)]])</f>
        <v>26083</v>
      </c>
      <c r="Y524" s="6">
        <f ca="1">IF(Main[[#This Row],[مانده در خط تسویه شده (کیلوگرم)]]&lt;&gt;0,Main[[#This Row],[تعداد کل روزهای بدهکار (روز)]],0)</f>
        <v>1</v>
      </c>
      <c r="Z524" s="6">
        <f ca="1">Main[[#This Row],[تعداد روزهای بدهکار تسویه شده (روز)]]*Main[[#This Row],[مانده در خط تسویه شده (کیلوگرم)]]</f>
        <v>26083</v>
      </c>
      <c r="AA524" s="6">
        <f ca="1">SUBTOTAL(9,INDEX(Main[بدهی تسویه نشده (کیلوگرم)],1):Main[[#This Row],[بدهی تسویه نشده (کیلوگرم)]])</f>
        <v>0</v>
      </c>
      <c r="AB524" s="6">
        <f ca="1">IF(Main[[#This Row],[مانده در خط تسویه نشده (کیلوگرم)]]&lt;&gt;0,Main[[#This Row],[تعداد کل روزهای بدهکار (روز)]],0)</f>
        <v>0</v>
      </c>
      <c r="AC524" s="6">
        <f ca="1">Main[[#This Row],[تعداد روزهای بدهکار  تسویه نشده (روز)]]*Main[[#This Row],[مانده در خط تسویه نشده (کیلوگرم)]]</f>
        <v>0</v>
      </c>
      <c r="AD524" s="6">
        <f ca="1">SUBTOTAL(9,INDEX(Main[بدهی سررسید شده (کیلوگرم)],1):Main[[#This Row],[بدهی سررسید شده (کیلوگرم)]])</f>
        <v>0</v>
      </c>
      <c r="AE524" s="6">
        <f ca="1">IF(Main[[#This Row],[مانده در خط سررسید شده (کیلوگرم)]]&lt;&gt;0,Main[[#This Row],[تعداد کل روزهای بدهکار (روز)]],0)</f>
        <v>0</v>
      </c>
      <c r="AF524" s="6">
        <f ca="1">Main[[#This Row],[تعداد روزهای بدهکار سررسید شده (روز)]]*Main[[#This Row],[مانده در خط سررسید شده (کیلوگرم)]]</f>
        <v>0</v>
      </c>
    </row>
    <row r="525" spans="1:32" hidden="1" x14ac:dyDescent="0.35">
      <c r="A525" s="5">
        <f>ROW()-ROW(INDEX(Main[ردیف],1))+1</f>
        <v>523</v>
      </c>
      <c r="B525" s="31">
        <f>SUBTOTAL(2,INDEX(Main[ردیف],1):Main[[#This Row],[ردیف]])</f>
        <v>48</v>
      </c>
      <c r="C525" s="32" t="s">
        <v>561</v>
      </c>
      <c r="D525" s="32" t="str">
        <f>_xlfn.CONCAT("14",Main[[#This Row],[تاريخ]])</f>
        <v>1400/02/29</v>
      </c>
      <c r="E525" s="33">
        <v>44335</v>
      </c>
      <c r="F525" s="32">
        <v>30066</v>
      </c>
      <c r="G525" s="5" t="str">
        <f>INDEX(customer[عنوان],MATCH(Main[[#This Row],[کد ردیابی]],customer[کد],0))</f>
        <v xml:space="preserve">شیر آلات بهداشتی قهرمان </v>
      </c>
      <c r="H525">
        <v>-5082</v>
      </c>
      <c r="I525" s="6">
        <f ca="1">-Main[[#This Row],[بدهی تسویه شده (کیلوگرم)]]+Main[[#This Row],[بستانکار (کیلوگرم)]]</f>
        <v>-5082</v>
      </c>
      <c r="J525" s="6">
        <f>IF(Main[[#This Row],[مقدار (کیلوگرم)]]&gt;0,Main[[#This Row],[مقدار (کیلوگرم)]],0)</f>
        <v>0</v>
      </c>
      <c r="K525" s="6">
        <f>-IF(Main[[#This Row],[مقدار (کیلوگرم)]]&lt;0,Main[[#This Row],[مقدار (کیلوگرم)]],0)</f>
        <v>5082</v>
      </c>
      <c r="L5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5" s="7">
        <f>-IF(AND(Main[[#This Row],[مقدار (کیلوگرم)]]&lt;0,Main[[#This Row],[تاريخ میلادی]]&gt;44276),Main[[#This Row],[مقدار (کیلوگرم)]],0)</f>
        <v>5082</v>
      </c>
      <c r="N525" s="6">
        <f ca="1">Main[[#This Row],[بدهکار (کیلوگرم)]]-Main[[#This Row],[بدهی تسویه نشده (کیلوگرم)]]</f>
        <v>5082</v>
      </c>
      <c r="O525" s="6">
        <f ca="1">Main[[#This Row],[تفکیک]]</f>
        <v>0</v>
      </c>
      <c r="P525" s="6">
        <f ca="1">IF(Main[[#This Row],[تاخیر از سررسید]]&gt;0,Main[[#This Row],[بدهی تسویه نشده (کیلوگرم)]],0)</f>
        <v>0</v>
      </c>
      <c r="Q525" s="6">
        <f ca="1">IF(Main[[#This Row],[بدهی تسویه نشده (کیلوگرم)]]&gt;0,'گزارش فردی'!$B$7-Main[[#This Row],[تاريخ میلادی]],0)</f>
        <v>0</v>
      </c>
      <c r="R525" s="6">
        <f ca="1">IF(Main[[#This Row],[بدهی تسویه نشده (کیلوگرم)]]&gt;0,'گزارش فردی'!$B$7-Main[[#This Row],[تاريخ میلادی]]-'گزارش فردی'!$B$8,0)</f>
        <v>0</v>
      </c>
      <c r="S525" s="6">
        <f ca="1">Main[[#This Row],[روز از ارسال سفارش]]*Main[[#This Row],[بدهی تسویه نشده (کیلوگرم)]]</f>
        <v>0</v>
      </c>
      <c r="T525" s="6">
        <f ca="1">Main[[#This Row],[بدهی سررسید شده (کیلوگرم)]]*Main[[#This Row],[روز از ارسال سفارش]]</f>
        <v>0</v>
      </c>
      <c r="U525" s="6">
        <f>-SUBTOTAL(9,INDEX(Main[مقدار (کیلوگرم)],1):Main[[#This Row],[مقدار (کیلوگرم)]])</f>
        <v>26083</v>
      </c>
      <c r="V5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5" s="6">
        <f>Main[[#This Row],[تعداد کل روزهای بدهکار (روز)]]*Main[[#This Row],[مانده در خط کل (کیلوگرم)]]</f>
        <v>0</v>
      </c>
      <c r="X525" s="6">
        <f ca="1">-SUBTOTAL(9,INDEX(Main[مقدار تسویه شده (کیلوگرم)],1):Main[[#This Row],[مقدار تسویه شده (کیلوگرم)]])</f>
        <v>26083</v>
      </c>
      <c r="Y525" s="6">
        <f ca="1">IF(Main[[#This Row],[مانده در خط تسویه شده (کیلوگرم)]]&lt;&gt;0,Main[[#This Row],[تعداد کل روزهای بدهکار (روز)]],0)</f>
        <v>0</v>
      </c>
      <c r="Z525" s="6">
        <f ca="1">Main[[#This Row],[تعداد روزهای بدهکار تسویه شده (روز)]]*Main[[#This Row],[مانده در خط تسویه شده (کیلوگرم)]]</f>
        <v>0</v>
      </c>
      <c r="AA525" s="6">
        <f ca="1">SUBTOTAL(9,INDEX(Main[بدهی تسویه نشده (کیلوگرم)],1):Main[[#This Row],[بدهی تسویه نشده (کیلوگرم)]])</f>
        <v>0</v>
      </c>
      <c r="AB525" s="6">
        <f ca="1">IF(Main[[#This Row],[مانده در خط تسویه نشده (کیلوگرم)]]&lt;&gt;0,Main[[#This Row],[تعداد کل روزهای بدهکار (روز)]],0)</f>
        <v>0</v>
      </c>
      <c r="AC525" s="6">
        <f ca="1">Main[[#This Row],[تعداد روزهای بدهکار  تسویه نشده (روز)]]*Main[[#This Row],[مانده در خط تسویه نشده (کیلوگرم)]]</f>
        <v>0</v>
      </c>
      <c r="AD525" s="6">
        <f ca="1">SUBTOTAL(9,INDEX(Main[بدهی سررسید شده (کیلوگرم)],1):Main[[#This Row],[بدهی سررسید شده (کیلوگرم)]])</f>
        <v>0</v>
      </c>
      <c r="AE525" s="6">
        <f ca="1">IF(Main[[#This Row],[مانده در خط سررسید شده (کیلوگرم)]]&lt;&gt;0,Main[[#This Row],[تعداد کل روزهای بدهکار (روز)]],0)</f>
        <v>0</v>
      </c>
      <c r="AF525" s="6">
        <f ca="1">Main[[#This Row],[تعداد روزهای بدهکار سررسید شده (روز)]]*Main[[#This Row],[مانده در خط سررسید شده (کیلوگرم)]]</f>
        <v>0</v>
      </c>
    </row>
    <row r="526" spans="1:32" hidden="1" x14ac:dyDescent="0.35">
      <c r="A526" s="5">
        <f>ROW()-ROW(INDEX(Main[ردیف],1))+1</f>
        <v>524</v>
      </c>
      <c r="B526" s="31">
        <f>SUBTOTAL(2,INDEX(Main[ردیف],1):Main[[#This Row],[ردیف]])</f>
        <v>48</v>
      </c>
      <c r="C526" s="32" t="s">
        <v>561</v>
      </c>
      <c r="D526" s="32" t="str">
        <f>_xlfn.CONCAT("14",Main[[#This Row],[تاريخ]])</f>
        <v>1400/02/29</v>
      </c>
      <c r="E526" s="33">
        <v>44335</v>
      </c>
      <c r="F526" s="32">
        <v>10079</v>
      </c>
      <c r="G526" s="5" t="str">
        <f>INDEX(customer[عنوان],MATCH(Main[[#This Row],[کد ردیابی]],customer[کد],0))</f>
        <v>حسینی حسن</v>
      </c>
      <c r="H526">
        <v>974</v>
      </c>
      <c r="I526" s="6">
        <f ca="1">-Main[[#This Row],[بدهی تسویه شده (کیلوگرم)]]+Main[[#This Row],[بستانکار (کیلوگرم)]]</f>
        <v>974</v>
      </c>
      <c r="J526" s="6">
        <f>IF(Main[[#This Row],[مقدار (کیلوگرم)]]&gt;0,Main[[#This Row],[مقدار (کیلوگرم)]],0)</f>
        <v>974</v>
      </c>
      <c r="K526" s="6">
        <f>-IF(Main[[#This Row],[مقدار (کیلوگرم)]]&lt;0,Main[[#This Row],[مقدار (کیلوگرم)]],0)</f>
        <v>0</v>
      </c>
      <c r="L5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6" s="7">
        <f>-IF(AND(Main[[#This Row],[مقدار (کیلوگرم)]]&lt;0,Main[[#This Row],[تاريخ میلادی]]&gt;44276),Main[[#This Row],[مقدار (کیلوگرم)]],0)</f>
        <v>0</v>
      </c>
      <c r="N526" s="6">
        <f ca="1">Main[[#This Row],[بدهکار (کیلوگرم)]]-Main[[#This Row],[بدهی تسویه نشده (کیلوگرم)]]</f>
        <v>0</v>
      </c>
      <c r="O526" s="6">
        <f ca="1">Main[[#This Row],[تفکیک]]</f>
        <v>0</v>
      </c>
      <c r="P526" s="6">
        <f ca="1">IF(Main[[#This Row],[تاخیر از سررسید]]&gt;0,Main[[#This Row],[بدهی تسویه نشده (کیلوگرم)]],0)</f>
        <v>0</v>
      </c>
      <c r="Q526" s="6">
        <f ca="1">IF(Main[[#This Row],[بدهی تسویه نشده (کیلوگرم)]]&gt;0,'گزارش فردی'!$B$7-Main[[#This Row],[تاريخ میلادی]],0)</f>
        <v>0</v>
      </c>
      <c r="R526" s="6">
        <f ca="1">IF(Main[[#This Row],[بدهی تسویه نشده (کیلوگرم)]]&gt;0,'گزارش فردی'!$B$7-Main[[#This Row],[تاريخ میلادی]]-'گزارش فردی'!$B$8,0)</f>
        <v>0</v>
      </c>
      <c r="S526" s="6">
        <f ca="1">Main[[#This Row],[روز از ارسال سفارش]]*Main[[#This Row],[بدهی تسویه نشده (کیلوگرم)]]</f>
        <v>0</v>
      </c>
      <c r="T526" s="6">
        <f ca="1">Main[[#This Row],[بدهی سررسید شده (کیلوگرم)]]*Main[[#This Row],[روز از ارسال سفارش]]</f>
        <v>0</v>
      </c>
      <c r="U526" s="6">
        <f>-SUBTOTAL(9,INDEX(Main[مقدار (کیلوگرم)],1):Main[[#This Row],[مقدار (کیلوگرم)]])</f>
        <v>26083</v>
      </c>
      <c r="V5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6" s="6">
        <f>Main[[#This Row],[تعداد کل روزهای بدهکار (روز)]]*Main[[#This Row],[مانده در خط کل (کیلوگرم)]]</f>
        <v>0</v>
      </c>
      <c r="X526" s="6">
        <f ca="1">-SUBTOTAL(9,INDEX(Main[مقدار تسویه شده (کیلوگرم)],1):Main[[#This Row],[مقدار تسویه شده (کیلوگرم)]])</f>
        <v>26083</v>
      </c>
      <c r="Y526" s="6">
        <f ca="1">IF(Main[[#This Row],[مانده در خط تسویه شده (کیلوگرم)]]&lt;&gt;0,Main[[#This Row],[تعداد کل روزهای بدهکار (روز)]],0)</f>
        <v>0</v>
      </c>
      <c r="Z526" s="6">
        <f ca="1">Main[[#This Row],[تعداد روزهای بدهکار تسویه شده (روز)]]*Main[[#This Row],[مانده در خط تسویه شده (کیلوگرم)]]</f>
        <v>0</v>
      </c>
      <c r="AA526" s="6">
        <f ca="1">SUBTOTAL(9,INDEX(Main[بدهی تسویه نشده (کیلوگرم)],1):Main[[#This Row],[بدهی تسویه نشده (کیلوگرم)]])</f>
        <v>0</v>
      </c>
      <c r="AB526" s="6">
        <f ca="1">IF(Main[[#This Row],[مانده در خط تسویه نشده (کیلوگرم)]]&lt;&gt;0,Main[[#This Row],[تعداد کل روزهای بدهکار (روز)]],0)</f>
        <v>0</v>
      </c>
      <c r="AC526" s="6">
        <f ca="1">Main[[#This Row],[تعداد روزهای بدهکار  تسویه نشده (روز)]]*Main[[#This Row],[مانده در خط تسویه نشده (کیلوگرم)]]</f>
        <v>0</v>
      </c>
      <c r="AD526" s="6">
        <f ca="1">SUBTOTAL(9,INDEX(Main[بدهی سررسید شده (کیلوگرم)],1):Main[[#This Row],[بدهی سررسید شده (کیلوگرم)]])</f>
        <v>0</v>
      </c>
      <c r="AE526" s="6">
        <f ca="1">IF(Main[[#This Row],[مانده در خط سررسید شده (کیلوگرم)]]&lt;&gt;0,Main[[#This Row],[تعداد کل روزهای بدهکار (روز)]],0)</f>
        <v>0</v>
      </c>
      <c r="AF526" s="6">
        <f ca="1">Main[[#This Row],[تعداد روزهای بدهکار سررسید شده (روز)]]*Main[[#This Row],[مانده در خط سررسید شده (کیلوگرم)]]</f>
        <v>0</v>
      </c>
    </row>
    <row r="527" spans="1:32" hidden="1" x14ac:dyDescent="0.35">
      <c r="A527" s="5">
        <f>ROW()-ROW(INDEX(Main[ردیف],1))+1</f>
        <v>525</v>
      </c>
      <c r="B527" s="31">
        <f>SUBTOTAL(2,INDEX(Main[ردیف],1):Main[[#This Row],[ردیف]])</f>
        <v>48</v>
      </c>
      <c r="C527" s="32" t="s">
        <v>561</v>
      </c>
      <c r="D527" s="32" t="str">
        <f>_xlfn.CONCAT("14",Main[[#This Row],[تاريخ]])</f>
        <v>1400/02/29</v>
      </c>
      <c r="E527" s="33">
        <v>44335</v>
      </c>
      <c r="F527" s="32">
        <v>30066</v>
      </c>
      <c r="G527" s="5" t="str">
        <f>INDEX(customer[عنوان],MATCH(Main[[#This Row],[کد ردیابی]],customer[کد],0))</f>
        <v xml:space="preserve">شیر آلات بهداشتی قهرمان </v>
      </c>
      <c r="H527">
        <v>-2442</v>
      </c>
      <c r="I527" s="6">
        <f ca="1">-Main[[#This Row],[بدهی تسویه شده (کیلوگرم)]]+Main[[#This Row],[بستانکار (کیلوگرم)]]</f>
        <v>-2442</v>
      </c>
      <c r="J527" s="6">
        <f>IF(Main[[#This Row],[مقدار (کیلوگرم)]]&gt;0,Main[[#This Row],[مقدار (کیلوگرم)]],0)</f>
        <v>0</v>
      </c>
      <c r="K527" s="6">
        <f>-IF(Main[[#This Row],[مقدار (کیلوگرم)]]&lt;0,Main[[#This Row],[مقدار (کیلوگرم)]],0)</f>
        <v>2442</v>
      </c>
      <c r="L5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7" s="7">
        <f>-IF(AND(Main[[#This Row],[مقدار (کیلوگرم)]]&lt;0,Main[[#This Row],[تاريخ میلادی]]&gt;44276),Main[[#This Row],[مقدار (کیلوگرم)]],0)</f>
        <v>2442</v>
      </c>
      <c r="N527" s="6">
        <f ca="1">Main[[#This Row],[بدهکار (کیلوگرم)]]-Main[[#This Row],[بدهی تسویه نشده (کیلوگرم)]]</f>
        <v>2442</v>
      </c>
      <c r="O527" s="6">
        <f ca="1">Main[[#This Row],[تفکیک]]</f>
        <v>0</v>
      </c>
      <c r="P527" s="6">
        <f ca="1">IF(Main[[#This Row],[تاخیر از سررسید]]&gt;0,Main[[#This Row],[بدهی تسویه نشده (کیلوگرم)]],0)</f>
        <v>0</v>
      </c>
      <c r="Q527" s="6">
        <f ca="1">IF(Main[[#This Row],[بدهی تسویه نشده (کیلوگرم)]]&gt;0,'گزارش فردی'!$B$7-Main[[#This Row],[تاريخ میلادی]],0)</f>
        <v>0</v>
      </c>
      <c r="R527" s="6">
        <f ca="1">IF(Main[[#This Row],[بدهی تسویه نشده (کیلوگرم)]]&gt;0,'گزارش فردی'!$B$7-Main[[#This Row],[تاريخ میلادی]]-'گزارش فردی'!$B$8,0)</f>
        <v>0</v>
      </c>
      <c r="S527" s="6">
        <f ca="1">Main[[#This Row],[روز از ارسال سفارش]]*Main[[#This Row],[بدهی تسویه نشده (کیلوگرم)]]</f>
        <v>0</v>
      </c>
      <c r="T527" s="6">
        <f ca="1">Main[[#This Row],[بدهی سررسید شده (کیلوگرم)]]*Main[[#This Row],[روز از ارسال سفارش]]</f>
        <v>0</v>
      </c>
      <c r="U527" s="6">
        <f>-SUBTOTAL(9,INDEX(Main[مقدار (کیلوگرم)],1):Main[[#This Row],[مقدار (کیلوگرم)]])</f>
        <v>26083</v>
      </c>
      <c r="V5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7" s="6">
        <f>Main[[#This Row],[تعداد کل روزهای بدهکار (روز)]]*Main[[#This Row],[مانده در خط کل (کیلوگرم)]]</f>
        <v>0</v>
      </c>
      <c r="X527" s="6">
        <f ca="1">-SUBTOTAL(9,INDEX(Main[مقدار تسویه شده (کیلوگرم)],1):Main[[#This Row],[مقدار تسویه شده (کیلوگرم)]])</f>
        <v>26083</v>
      </c>
      <c r="Y527" s="6">
        <f ca="1">IF(Main[[#This Row],[مانده در خط تسویه شده (کیلوگرم)]]&lt;&gt;0,Main[[#This Row],[تعداد کل روزهای بدهکار (روز)]],0)</f>
        <v>0</v>
      </c>
      <c r="Z527" s="6">
        <f ca="1">Main[[#This Row],[تعداد روزهای بدهکار تسویه شده (روز)]]*Main[[#This Row],[مانده در خط تسویه شده (کیلوگرم)]]</f>
        <v>0</v>
      </c>
      <c r="AA527" s="6">
        <f ca="1">SUBTOTAL(9,INDEX(Main[بدهی تسویه نشده (کیلوگرم)],1):Main[[#This Row],[بدهی تسویه نشده (کیلوگرم)]])</f>
        <v>0</v>
      </c>
      <c r="AB527" s="6">
        <f ca="1">IF(Main[[#This Row],[مانده در خط تسویه نشده (کیلوگرم)]]&lt;&gt;0,Main[[#This Row],[تعداد کل روزهای بدهکار (روز)]],0)</f>
        <v>0</v>
      </c>
      <c r="AC527" s="6">
        <f ca="1">Main[[#This Row],[تعداد روزهای بدهکار  تسویه نشده (روز)]]*Main[[#This Row],[مانده در خط تسویه نشده (کیلوگرم)]]</f>
        <v>0</v>
      </c>
      <c r="AD527" s="6">
        <f ca="1">SUBTOTAL(9,INDEX(Main[بدهی سررسید شده (کیلوگرم)],1):Main[[#This Row],[بدهی سررسید شده (کیلوگرم)]])</f>
        <v>0</v>
      </c>
      <c r="AE527" s="6">
        <f ca="1">IF(Main[[#This Row],[مانده در خط سررسید شده (کیلوگرم)]]&lt;&gt;0,Main[[#This Row],[تعداد کل روزهای بدهکار (روز)]],0)</f>
        <v>0</v>
      </c>
      <c r="AF527" s="6">
        <f ca="1">Main[[#This Row],[تعداد روزهای بدهکار سررسید شده (روز)]]*Main[[#This Row],[مانده در خط سررسید شده (کیلوگرم)]]</f>
        <v>0</v>
      </c>
    </row>
    <row r="528" spans="1:32" hidden="1" x14ac:dyDescent="0.35">
      <c r="A528" s="5">
        <f>ROW()-ROW(INDEX(Main[ردیف],1))+1</f>
        <v>526</v>
      </c>
      <c r="B528" s="31">
        <f>SUBTOTAL(2,INDEX(Main[ردیف],1):Main[[#This Row],[ردیف]])</f>
        <v>48</v>
      </c>
      <c r="C528" s="32" t="s">
        <v>561</v>
      </c>
      <c r="D528" s="32" t="str">
        <f>_xlfn.CONCAT("14",Main[[#This Row],[تاريخ]])</f>
        <v>1400/02/29</v>
      </c>
      <c r="E528" s="33">
        <v>44335</v>
      </c>
      <c r="F528" s="32">
        <v>30004</v>
      </c>
      <c r="G528" s="5" t="str">
        <f>INDEX(customer[عنوان],MATCH(Main[[#This Row],[کد ردیابی]],customer[کد],0))</f>
        <v>تولیدی صنعتی صفاشیر پارس</v>
      </c>
      <c r="H528">
        <v>842</v>
      </c>
      <c r="I528" s="6">
        <f ca="1">-Main[[#This Row],[بدهی تسویه شده (کیلوگرم)]]+Main[[#This Row],[بستانکار (کیلوگرم)]]</f>
        <v>842</v>
      </c>
      <c r="J528" s="6">
        <f>IF(Main[[#This Row],[مقدار (کیلوگرم)]]&gt;0,Main[[#This Row],[مقدار (کیلوگرم)]],0)</f>
        <v>842</v>
      </c>
      <c r="K528" s="6">
        <f>-IF(Main[[#This Row],[مقدار (کیلوگرم)]]&lt;0,Main[[#This Row],[مقدار (کیلوگرم)]],0)</f>
        <v>0</v>
      </c>
      <c r="L5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8" s="7">
        <f>-IF(AND(Main[[#This Row],[مقدار (کیلوگرم)]]&lt;0,Main[[#This Row],[تاريخ میلادی]]&gt;44276),Main[[#This Row],[مقدار (کیلوگرم)]],0)</f>
        <v>0</v>
      </c>
      <c r="N528" s="6">
        <f ca="1">Main[[#This Row],[بدهکار (کیلوگرم)]]-Main[[#This Row],[بدهی تسویه نشده (کیلوگرم)]]</f>
        <v>0</v>
      </c>
      <c r="O528" s="6">
        <f ca="1">Main[[#This Row],[تفکیک]]</f>
        <v>0</v>
      </c>
      <c r="P528" s="6">
        <f ca="1">IF(Main[[#This Row],[تاخیر از سررسید]]&gt;0,Main[[#This Row],[بدهی تسویه نشده (کیلوگرم)]],0)</f>
        <v>0</v>
      </c>
      <c r="Q528" s="6">
        <f ca="1">IF(Main[[#This Row],[بدهی تسویه نشده (کیلوگرم)]]&gt;0,'گزارش فردی'!$B$7-Main[[#This Row],[تاريخ میلادی]],0)</f>
        <v>0</v>
      </c>
      <c r="R528" s="6">
        <f ca="1">IF(Main[[#This Row],[بدهی تسویه نشده (کیلوگرم)]]&gt;0,'گزارش فردی'!$B$7-Main[[#This Row],[تاريخ میلادی]]-'گزارش فردی'!$B$8,0)</f>
        <v>0</v>
      </c>
      <c r="S528" s="6">
        <f ca="1">Main[[#This Row],[روز از ارسال سفارش]]*Main[[#This Row],[بدهی تسویه نشده (کیلوگرم)]]</f>
        <v>0</v>
      </c>
      <c r="T528" s="6">
        <f ca="1">Main[[#This Row],[بدهی سررسید شده (کیلوگرم)]]*Main[[#This Row],[روز از ارسال سفارش]]</f>
        <v>0</v>
      </c>
      <c r="U528" s="6">
        <f>-SUBTOTAL(9,INDEX(Main[مقدار (کیلوگرم)],1):Main[[#This Row],[مقدار (کیلوگرم)]])</f>
        <v>26083</v>
      </c>
      <c r="V5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8" s="6">
        <f>Main[[#This Row],[تعداد کل روزهای بدهکار (روز)]]*Main[[#This Row],[مانده در خط کل (کیلوگرم)]]</f>
        <v>0</v>
      </c>
      <c r="X528" s="6">
        <f ca="1">-SUBTOTAL(9,INDEX(Main[مقدار تسویه شده (کیلوگرم)],1):Main[[#This Row],[مقدار تسویه شده (کیلوگرم)]])</f>
        <v>26083</v>
      </c>
      <c r="Y528" s="6">
        <f ca="1">IF(Main[[#This Row],[مانده در خط تسویه شده (کیلوگرم)]]&lt;&gt;0,Main[[#This Row],[تعداد کل روزهای بدهکار (روز)]],0)</f>
        <v>0</v>
      </c>
      <c r="Z528" s="6">
        <f ca="1">Main[[#This Row],[تعداد روزهای بدهکار تسویه شده (روز)]]*Main[[#This Row],[مانده در خط تسویه شده (کیلوگرم)]]</f>
        <v>0</v>
      </c>
      <c r="AA528" s="6">
        <f ca="1">SUBTOTAL(9,INDEX(Main[بدهی تسویه نشده (کیلوگرم)],1):Main[[#This Row],[بدهی تسویه نشده (کیلوگرم)]])</f>
        <v>0</v>
      </c>
      <c r="AB528" s="6">
        <f ca="1">IF(Main[[#This Row],[مانده در خط تسویه نشده (کیلوگرم)]]&lt;&gt;0,Main[[#This Row],[تعداد کل روزهای بدهکار (روز)]],0)</f>
        <v>0</v>
      </c>
      <c r="AC528" s="6">
        <f ca="1">Main[[#This Row],[تعداد روزهای بدهکار  تسویه نشده (روز)]]*Main[[#This Row],[مانده در خط تسویه نشده (کیلوگرم)]]</f>
        <v>0</v>
      </c>
      <c r="AD528" s="6">
        <f ca="1">SUBTOTAL(9,INDEX(Main[بدهی سررسید شده (کیلوگرم)],1):Main[[#This Row],[بدهی سررسید شده (کیلوگرم)]])</f>
        <v>0</v>
      </c>
      <c r="AE528" s="6">
        <f ca="1">IF(Main[[#This Row],[مانده در خط سررسید شده (کیلوگرم)]]&lt;&gt;0,Main[[#This Row],[تعداد کل روزهای بدهکار (روز)]],0)</f>
        <v>0</v>
      </c>
      <c r="AF528" s="6">
        <f ca="1">Main[[#This Row],[تعداد روزهای بدهکار سررسید شده (روز)]]*Main[[#This Row],[مانده در خط سررسید شده (کیلوگرم)]]</f>
        <v>0</v>
      </c>
    </row>
    <row r="529" spans="1:32" hidden="1" x14ac:dyDescent="0.35">
      <c r="A529" s="5">
        <f>ROW()-ROW(INDEX(Main[ردیف],1))+1</f>
        <v>527</v>
      </c>
      <c r="B529" s="31">
        <f>SUBTOTAL(2,INDEX(Main[ردیف],1):Main[[#This Row],[ردیف]])</f>
        <v>48</v>
      </c>
      <c r="C529" s="32" t="s">
        <v>561</v>
      </c>
      <c r="D529" s="32" t="str">
        <f>_xlfn.CONCAT("14",Main[[#This Row],[تاريخ]])</f>
        <v>1400/02/29</v>
      </c>
      <c r="E529" s="33">
        <v>44335</v>
      </c>
      <c r="F529" s="32">
        <v>30113</v>
      </c>
      <c r="G529" s="5" t="str">
        <f>INDEX(customer[عنوان],MATCH(Main[[#This Row],[کد ردیابی]],customer[کد],0))</f>
        <v>مهارمشعل</v>
      </c>
      <c r="H529">
        <v>-206</v>
      </c>
      <c r="I529" s="6">
        <f ca="1">-Main[[#This Row],[بدهی تسویه شده (کیلوگرم)]]+Main[[#This Row],[بستانکار (کیلوگرم)]]</f>
        <v>-206</v>
      </c>
      <c r="J529" s="6">
        <f>IF(Main[[#This Row],[مقدار (کیلوگرم)]]&gt;0,Main[[#This Row],[مقدار (کیلوگرم)]],0)</f>
        <v>0</v>
      </c>
      <c r="K529" s="6">
        <f>-IF(Main[[#This Row],[مقدار (کیلوگرم)]]&lt;0,Main[[#This Row],[مقدار (کیلوگرم)]],0)</f>
        <v>206</v>
      </c>
      <c r="L5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9" s="7">
        <f>-IF(AND(Main[[#This Row],[مقدار (کیلوگرم)]]&lt;0,Main[[#This Row],[تاريخ میلادی]]&gt;44276),Main[[#This Row],[مقدار (کیلوگرم)]],0)</f>
        <v>206</v>
      </c>
      <c r="N529" s="6">
        <f ca="1">Main[[#This Row],[بدهکار (کیلوگرم)]]-Main[[#This Row],[بدهی تسویه نشده (کیلوگرم)]]</f>
        <v>206</v>
      </c>
      <c r="O529" s="6">
        <f ca="1">Main[[#This Row],[تفکیک]]</f>
        <v>0</v>
      </c>
      <c r="P529" s="6">
        <f ca="1">IF(Main[[#This Row],[تاخیر از سررسید]]&gt;0,Main[[#This Row],[بدهی تسویه نشده (کیلوگرم)]],0)</f>
        <v>0</v>
      </c>
      <c r="Q529" s="6">
        <f ca="1">IF(Main[[#This Row],[بدهی تسویه نشده (کیلوگرم)]]&gt;0,'گزارش فردی'!$B$7-Main[[#This Row],[تاريخ میلادی]],0)</f>
        <v>0</v>
      </c>
      <c r="R529" s="6">
        <f ca="1">IF(Main[[#This Row],[بدهی تسویه نشده (کیلوگرم)]]&gt;0,'گزارش فردی'!$B$7-Main[[#This Row],[تاريخ میلادی]]-'گزارش فردی'!$B$8,0)</f>
        <v>0</v>
      </c>
      <c r="S529" s="6">
        <f ca="1">Main[[#This Row],[روز از ارسال سفارش]]*Main[[#This Row],[بدهی تسویه نشده (کیلوگرم)]]</f>
        <v>0</v>
      </c>
      <c r="T529" s="6">
        <f ca="1">Main[[#This Row],[بدهی سررسید شده (کیلوگرم)]]*Main[[#This Row],[روز از ارسال سفارش]]</f>
        <v>0</v>
      </c>
      <c r="U529" s="6">
        <f>-SUBTOTAL(9,INDEX(Main[مقدار (کیلوگرم)],1):Main[[#This Row],[مقدار (کیلوگرم)]])</f>
        <v>26083</v>
      </c>
      <c r="V5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9" s="6">
        <f>Main[[#This Row],[تعداد کل روزهای بدهکار (روز)]]*Main[[#This Row],[مانده در خط کل (کیلوگرم)]]</f>
        <v>0</v>
      </c>
      <c r="X529" s="6">
        <f ca="1">-SUBTOTAL(9,INDEX(Main[مقدار تسویه شده (کیلوگرم)],1):Main[[#This Row],[مقدار تسویه شده (کیلوگرم)]])</f>
        <v>26083</v>
      </c>
      <c r="Y529" s="6">
        <f ca="1">IF(Main[[#This Row],[مانده در خط تسویه شده (کیلوگرم)]]&lt;&gt;0,Main[[#This Row],[تعداد کل روزهای بدهکار (روز)]],0)</f>
        <v>0</v>
      </c>
      <c r="Z529" s="6">
        <f ca="1">Main[[#This Row],[تعداد روزهای بدهکار تسویه شده (روز)]]*Main[[#This Row],[مانده در خط تسویه شده (کیلوگرم)]]</f>
        <v>0</v>
      </c>
      <c r="AA529" s="6">
        <f ca="1">SUBTOTAL(9,INDEX(Main[بدهی تسویه نشده (کیلوگرم)],1):Main[[#This Row],[بدهی تسویه نشده (کیلوگرم)]])</f>
        <v>0</v>
      </c>
      <c r="AB529" s="6">
        <f ca="1">IF(Main[[#This Row],[مانده در خط تسویه نشده (کیلوگرم)]]&lt;&gt;0,Main[[#This Row],[تعداد کل روزهای بدهکار (روز)]],0)</f>
        <v>0</v>
      </c>
      <c r="AC529" s="6">
        <f ca="1">Main[[#This Row],[تعداد روزهای بدهکار  تسویه نشده (روز)]]*Main[[#This Row],[مانده در خط تسویه نشده (کیلوگرم)]]</f>
        <v>0</v>
      </c>
      <c r="AD529" s="6">
        <f ca="1">SUBTOTAL(9,INDEX(Main[بدهی سررسید شده (کیلوگرم)],1):Main[[#This Row],[بدهی سررسید شده (کیلوگرم)]])</f>
        <v>0</v>
      </c>
      <c r="AE529" s="6">
        <f ca="1">IF(Main[[#This Row],[مانده در خط سررسید شده (کیلوگرم)]]&lt;&gt;0,Main[[#This Row],[تعداد کل روزهای بدهکار (روز)]],0)</f>
        <v>0</v>
      </c>
      <c r="AF529" s="6">
        <f ca="1">Main[[#This Row],[تعداد روزهای بدهکار سررسید شده (روز)]]*Main[[#This Row],[مانده در خط سررسید شده (کیلوگرم)]]</f>
        <v>0</v>
      </c>
    </row>
    <row r="530" spans="1:32" hidden="1" x14ac:dyDescent="0.35">
      <c r="A530" s="5">
        <f>ROW()-ROW(INDEX(Main[ردیف],1))+1</f>
        <v>528</v>
      </c>
      <c r="B530" s="31">
        <f>SUBTOTAL(2,INDEX(Main[ردیف],1):Main[[#This Row],[ردیف]])</f>
        <v>48</v>
      </c>
      <c r="C530" s="32" t="s">
        <v>561</v>
      </c>
      <c r="D530" s="32" t="str">
        <f>_xlfn.CONCAT("14",Main[[#This Row],[تاريخ]])</f>
        <v>1400/02/29</v>
      </c>
      <c r="E530" s="33">
        <v>44335</v>
      </c>
      <c r="F530" s="32">
        <v>30146</v>
      </c>
      <c r="G530" s="5" t="str">
        <f>INDEX(customer[عنوان],MATCH(Main[[#This Row],[کد ردیابی]],customer[کد],0))</f>
        <v>شرکت آذرپاد</v>
      </c>
      <c r="H530">
        <v>1111</v>
      </c>
      <c r="I530" s="6">
        <f ca="1">-Main[[#This Row],[بدهی تسویه شده (کیلوگرم)]]+Main[[#This Row],[بستانکار (کیلوگرم)]]</f>
        <v>1111</v>
      </c>
      <c r="J530" s="6">
        <f>IF(Main[[#This Row],[مقدار (کیلوگرم)]]&gt;0,Main[[#This Row],[مقدار (کیلوگرم)]],0)</f>
        <v>1111</v>
      </c>
      <c r="K530" s="6">
        <f>-IF(Main[[#This Row],[مقدار (کیلوگرم)]]&lt;0,Main[[#This Row],[مقدار (کیلوگرم)]],0)</f>
        <v>0</v>
      </c>
      <c r="L5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0" s="7">
        <f>-IF(AND(Main[[#This Row],[مقدار (کیلوگرم)]]&lt;0,Main[[#This Row],[تاريخ میلادی]]&gt;44276),Main[[#This Row],[مقدار (کیلوگرم)]],0)</f>
        <v>0</v>
      </c>
      <c r="N530" s="6">
        <f ca="1">Main[[#This Row],[بدهکار (کیلوگرم)]]-Main[[#This Row],[بدهی تسویه نشده (کیلوگرم)]]</f>
        <v>0</v>
      </c>
      <c r="O530" s="6">
        <f ca="1">Main[[#This Row],[تفکیک]]</f>
        <v>0</v>
      </c>
      <c r="P530" s="6">
        <f ca="1">IF(Main[[#This Row],[تاخیر از سررسید]]&gt;0,Main[[#This Row],[بدهی تسویه نشده (کیلوگرم)]],0)</f>
        <v>0</v>
      </c>
      <c r="Q530" s="6">
        <f ca="1">IF(Main[[#This Row],[بدهی تسویه نشده (کیلوگرم)]]&gt;0,'گزارش فردی'!$B$7-Main[[#This Row],[تاريخ میلادی]],0)</f>
        <v>0</v>
      </c>
      <c r="R530" s="6">
        <f ca="1">IF(Main[[#This Row],[بدهی تسویه نشده (کیلوگرم)]]&gt;0,'گزارش فردی'!$B$7-Main[[#This Row],[تاريخ میلادی]]-'گزارش فردی'!$B$8,0)</f>
        <v>0</v>
      </c>
      <c r="S530" s="6">
        <f ca="1">Main[[#This Row],[روز از ارسال سفارش]]*Main[[#This Row],[بدهی تسویه نشده (کیلوگرم)]]</f>
        <v>0</v>
      </c>
      <c r="T530" s="6">
        <f ca="1">Main[[#This Row],[بدهی سررسید شده (کیلوگرم)]]*Main[[#This Row],[روز از ارسال سفارش]]</f>
        <v>0</v>
      </c>
      <c r="U530" s="6">
        <f>-SUBTOTAL(9,INDEX(Main[مقدار (کیلوگرم)],1):Main[[#This Row],[مقدار (کیلوگرم)]])</f>
        <v>26083</v>
      </c>
      <c r="V5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0" s="6">
        <f>Main[[#This Row],[تعداد کل روزهای بدهکار (روز)]]*Main[[#This Row],[مانده در خط کل (کیلوگرم)]]</f>
        <v>0</v>
      </c>
      <c r="X530" s="6">
        <f ca="1">-SUBTOTAL(9,INDEX(Main[مقدار تسویه شده (کیلوگرم)],1):Main[[#This Row],[مقدار تسویه شده (کیلوگرم)]])</f>
        <v>26083</v>
      </c>
      <c r="Y530" s="6">
        <f ca="1">IF(Main[[#This Row],[مانده در خط تسویه شده (کیلوگرم)]]&lt;&gt;0,Main[[#This Row],[تعداد کل روزهای بدهکار (روز)]],0)</f>
        <v>0</v>
      </c>
      <c r="Z530" s="6">
        <f ca="1">Main[[#This Row],[تعداد روزهای بدهکار تسویه شده (روز)]]*Main[[#This Row],[مانده در خط تسویه شده (کیلوگرم)]]</f>
        <v>0</v>
      </c>
      <c r="AA530" s="6">
        <f ca="1">SUBTOTAL(9,INDEX(Main[بدهی تسویه نشده (کیلوگرم)],1):Main[[#This Row],[بدهی تسویه نشده (کیلوگرم)]])</f>
        <v>0</v>
      </c>
      <c r="AB530" s="6">
        <f ca="1">IF(Main[[#This Row],[مانده در خط تسویه نشده (کیلوگرم)]]&lt;&gt;0,Main[[#This Row],[تعداد کل روزهای بدهکار (روز)]],0)</f>
        <v>0</v>
      </c>
      <c r="AC530" s="6">
        <f ca="1">Main[[#This Row],[تعداد روزهای بدهکار  تسویه نشده (روز)]]*Main[[#This Row],[مانده در خط تسویه نشده (کیلوگرم)]]</f>
        <v>0</v>
      </c>
      <c r="AD530" s="6">
        <f ca="1">SUBTOTAL(9,INDEX(Main[بدهی سررسید شده (کیلوگرم)],1):Main[[#This Row],[بدهی سررسید شده (کیلوگرم)]])</f>
        <v>0</v>
      </c>
      <c r="AE530" s="6">
        <f ca="1">IF(Main[[#This Row],[مانده در خط سررسید شده (کیلوگرم)]]&lt;&gt;0,Main[[#This Row],[تعداد کل روزهای بدهکار (روز)]],0)</f>
        <v>0</v>
      </c>
      <c r="AF530" s="6">
        <f ca="1">Main[[#This Row],[تعداد روزهای بدهکار سررسید شده (روز)]]*Main[[#This Row],[مانده در خط سررسید شده (کیلوگرم)]]</f>
        <v>0</v>
      </c>
    </row>
    <row r="531" spans="1:32" x14ac:dyDescent="0.35">
      <c r="A531" s="5">
        <f>ROW()-ROW(INDEX(Main[ردیف],1))+1</f>
        <v>529</v>
      </c>
      <c r="B531" s="31">
        <f>SUBTOTAL(2,INDEX(Main[ردیف],1):Main[[#This Row],[ردیف]])</f>
        <v>49</v>
      </c>
      <c r="C531" s="32" t="s">
        <v>561</v>
      </c>
      <c r="D531" s="32" t="str">
        <f>_xlfn.CONCAT("14",Main[[#This Row],[تاريخ]])</f>
        <v>1400/02/29</v>
      </c>
      <c r="E531" s="33">
        <v>44335</v>
      </c>
      <c r="F531" s="32">
        <v>10003</v>
      </c>
      <c r="G531" s="5" t="str">
        <f>INDEX(customer[عنوان],MATCH(Main[[#This Row],[کد ردیابی]],customer[کد],0))</f>
        <v>اصغر نورعلی</v>
      </c>
      <c r="H531">
        <v>-3490</v>
      </c>
      <c r="I531" s="6">
        <f ca="1">-Main[[#This Row],[بدهی تسویه شده (کیلوگرم)]]+Main[[#This Row],[بستانکار (کیلوگرم)]]</f>
        <v>-3490</v>
      </c>
      <c r="J531" s="6">
        <f>IF(Main[[#This Row],[مقدار (کیلوگرم)]]&gt;0,Main[[#This Row],[مقدار (کیلوگرم)]],0)</f>
        <v>0</v>
      </c>
      <c r="K531" s="6">
        <f>-IF(Main[[#This Row],[مقدار (کیلوگرم)]]&lt;0,Main[[#This Row],[مقدار (کیلوگرم)]],0)</f>
        <v>3490</v>
      </c>
      <c r="L5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1" s="7">
        <f>-IF(AND(Main[[#This Row],[مقدار (کیلوگرم)]]&lt;0,Main[[#This Row],[تاريخ میلادی]]&gt;44276),Main[[#This Row],[مقدار (کیلوگرم)]],0)</f>
        <v>3490</v>
      </c>
      <c r="N531" s="6">
        <f ca="1">Main[[#This Row],[بدهکار (کیلوگرم)]]-Main[[#This Row],[بدهی تسویه نشده (کیلوگرم)]]</f>
        <v>3490</v>
      </c>
      <c r="O531" s="6">
        <f ca="1">Main[[#This Row],[تفکیک]]</f>
        <v>0</v>
      </c>
      <c r="P531" s="6">
        <f ca="1">IF(Main[[#This Row],[تاخیر از سررسید]]&gt;0,Main[[#This Row],[بدهی تسویه نشده (کیلوگرم)]],0)</f>
        <v>0</v>
      </c>
      <c r="Q531" s="6">
        <f ca="1">IF(Main[[#This Row],[بدهی تسویه نشده (کیلوگرم)]]&gt;0,'گزارش فردی'!$B$7-Main[[#This Row],[تاريخ میلادی]],0)</f>
        <v>0</v>
      </c>
      <c r="R531" s="6">
        <f ca="1">IF(Main[[#This Row],[بدهی تسویه نشده (کیلوگرم)]]&gt;0,'گزارش فردی'!$B$7-Main[[#This Row],[تاريخ میلادی]]-'گزارش فردی'!$B$8,0)</f>
        <v>0</v>
      </c>
      <c r="S531" s="6">
        <f ca="1">Main[[#This Row],[روز از ارسال سفارش]]*Main[[#This Row],[بدهی تسویه نشده (کیلوگرم)]]</f>
        <v>0</v>
      </c>
      <c r="T531" s="6">
        <f ca="1">Main[[#This Row],[بدهی سررسید شده (کیلوگرم)]]*Main[[#This Row],[روز از ارسال سفارش]]</f>
        <v>0</v>
      </c>
      <c r="U531" s="6">
        <f>-SUBTOTAL(9,INDEX(Main[مقدار (کیلوگرم)],1):Main[[#This Row],[مقدار (کیلوگرم)]])</f>
        <v>29573</v>
      </c>
      <c r="V5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1" s="6">
        <f>Main[[#This Row],[تعداد کل روزهای بدهکار (روز)]]*Main[[#This Row],[مانده در خط کل (کیلوگرم)]]</f>
        <v>0</v>
      </c>
      <c r="X531" s="6">
        <f ca="1">-SUBTOTAL(9,INDEX(Main[مقدار تسویه شده (کیلوگرم)],1):Main[[#This Row],[مقدار تسویه شده (کیلوگرم)]])</f>
        <v>29573</v>
      </c>
      <c r="Y531" s="6">
        <f ca="1">IF(Main[[#This Row],[مانده در خط تسویه شده (کیلوگرم)]]&lt;&gt;0,Main[[#This Row],[تعداد کل روزهای بدهکار (روز)]],0)</f>
        <v>0</v>
      </c>
      <c r="Z531" s="6">
        <f ca="1">Main[[#This Row],[تعداد روزهای بدهکار تسویه شده (روز)]]*Main[[#This Row],[مانده در خط تسویه شده (کیلوگرم)]]</f>
        <v>0</v>
      </c>
      <c r="AA531" s="6">
        <f ca="1">SUBTOTAL(9,INDEX(Main[بدهی تسویه نشده (کیلوگرم)],1):Main[[#This Row],[بدهی تسویه نشده (کیلوگرم)]])</f>
        <v>0</v>
      </c>
      <c r="AB531" s="6">
        <f ca="1">IF(Main[[#This Row],[مانده در خط تسویه نشده (کیلوگرم)]]&lt;&gt;0,Main[[#This Row],[تعداد کل روزهای بدهکار (روز)]],0)</f>
        <v>0</v>
      </c>
      <c r="AC531" s="6">
        <f ca="1">Main[[#This Row],[تعداد روزهای بدهکار  تسویه نشده (روز)]]*Main[[#This Row],[مانده در خط تسویه نشده (کیلوگرم)]]</f>
        <v>0</v>
      </c>
      <c r="AD531" s="6">
        <f ca="1">SUBTOTAL(9,INDEX(Main[بدهی سررسید شده (کیلوگرم)],1):Main[[#This Row],[بدهی سررسید شده (کیلوگرم)]])</f>
        <v>0</v>
      </c>
      <c r="AE531" s="6">
        <f ca="1">IF(Main[[#This Row],[مانده در خط سررسید شده (کیلوگرم)]]&lt;&gt;0,Main[[#This Row],[تعداد کل روزهای بدهکار (روز)]],0)</f>
        <v>0</v>
      </c>
      <c r="AF531" s="6">
        <f ca="1">Main[[#This Row],[تعداد روزهای بدهکار سررسید شده (روز)]]*Main[[#This Row],[مانده در خط سررسید شده (کیلوگرم)]]</f>
        <v>0</v>
      </c>
    </row>
    <row r="532" spans="1:32" hidden="1" x14ac:dyDescent="0.35">
      <c r="A532" s="5">
        <f>ROW()-ROW(INDEX(Main[ردیف],1))+1</f>
        <v>530</v>
      </c>
      <c r="B532" s="31">
        <f>SUBTOTAL(2,INDEX(Main[ردیف],1):Main[[#This Row],[ردیف]])</f>
        <v>49</v>
      </c>
      <c r="C532" s="32" t="s">
        <v>561</v>
      </c>
      <c r="D532" s="32" t="str">
        <f>_xlfn.CONCAT("14",Main[[#This Row],[تاريخ]])</f>
        <v>1400/02/29</v>
      </c>
      <c r="E532" s="33">
        <v>44335</v>
      </c>
      <c r="F532" s="32">
        <v>10028</v>
      </c>
      <c r="G532" s="5" t="str">
        <f>INDEX(customer[عنوان],MATCH(Main[[#This Row],[کد ردیابی]],customer[کد],0))</f>
        <v xml:space="preserve">احمد سنجری </v>
      </c>
      <c r="H532">
        <v>94</v>
      </c>
      <c r="I532" s="6">
        <f ca="1">-Main[[#This Row],[بدهی تسویه شده (کیلوگرم)]]+Main[[#This Row],[بستانکار (کیلوگرم)]]</f>
        <v>94</v>
      </c>
      <c r="J532" s="6">
        <f>IF(Main[[#This Row],[مقدار (کیلوگرم)]]&gt;0,Main[[#This Row],[مقدار (کیلوگرم)]],0)</f>
        <v>94</v>
      </c>
      <c r="K532" s="6">
        <f>-IF(Main[[#This Row],[مقدار (کیلوگرم)]]&lt;0,Main[[#This Row],[مقدار (کیلوگرم)]],0)</f>
        <v>0</v>
      </c>
      <c r="L5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2" s="7">
        <f>-IF(AND(Main[[#This Row],[مقدار (کیلوگرم)]]&lt;0,Main[[#This Row],[تاريخ میلادی]]&gt;44276),Main[[#This Row],[مقدار (کیلوگرم)]],0)</f>
        <v>0</v>
      </c>
      <c r="N532" s="6">
        <f ca="1">Main[[#This Row],[بدهکار (کیلوگرم)]]-Main[[#This Row],[بدهی تسویه نشده (کیلوگرم)]]</f>
        <v>0</v>
      </c>
      <c r="O532" s="6">
        <f ca="1">Main[[#This Row],[تفکیک]]</f>
        <v>0</v>
      </c>
      <c r="P532" s="6">
        <f ca="1">IF(Main[[#This Row],[تاخیر از سررسید]]&gt;0,Main[[#This Row],[بدهی تسویه نشده (کیلوگرم)]],0)</f>
        <v>0</v>
      </c>
      <c r="Q532" s="6">
        <f ca="1">IF(Main[[#This Row],[بدهی تسویه نشده (کیلوگرم)]]&gt;0,'گزارش فردی'!$B$7-Main[[#This Row],[تاريخ میلادی]],0)</f>
        <v>0</v>
      </c>
      <c r="R532" s="6">
        <f ca="1">IF(Main[[#This Row],[بدهی تسویه نشده (کیلوگرم)]]&gt;0,'گزارش فردی'!$B$7-Main[[#This Row],[تاريخ میلادی]]-'گزارش فردی'!$B$8,0)</f>
        <v>0</v>
      </c>
      <c r="S532" s="6">
        <f ca="1">Main[[#This Row],[روز از ارسال سفارش]]*Main[[#This Row],[بدهی تسویه نشده (کیلوگرم)]]</f>
        <v>0</v>
      </c>
      <c r="T532" s="6">
        <f ca="1">Main[[#This Row],[بدهی سررسید شده (کیلوگرم)]]*Main[[#This Row],[روز از ارسال سفارش]]</f>
        <v>0</v>
      </c>
      <c r="U532" s="6">
        <f>-SUBTOTAL(9,INDEX(Main[مقدار (کیلوگرم)],1):Main[[#This Row],[مقدار (کیلوگرم)]])</f>
        <v>29573</v>
      </c>
      <c r="V5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2" s="6">
        <f>Main[[#This Row],[تعداد کل روزهای بدهکار (روز)]]*Main[[#This Row],[مانده در خط کل (کیلوگرم)]]</f>
        <v>0</v>
      </c>
      <c r="X532" s="6">
        <f ca="1">-SUBTOTAL(9,INDEX(Main[مقدار تسویه شده (کیلوگرم)],1):Main[[#This Row],[مقدار تسویه شده (کیلوگرم)]])</f>
        <v>29573</v>
      </c>
      <c r="Y532" s="6">
        <f ca="1">IF(Main[[#This Row],[مانده در خط تسویه شده (کیلوگرم)]]&lt;&gt;0,Main[[#This Row],[تعداد کل روزهای بدهکار (روز)]],0)</f>
        <v>0</v>
      </c>
      <c r="Z532" s="6">
        <f ca="1">Main[[#This Row],[تعداد روزهای بدهکار تسویه شده (روز)]]*Main[[#This Row],[مانده در خط تسویه شده (کیلوگرم)]]</f>
        <v>0</v>
      </c>
      <c r="AA532" s="6">
        <f ca="1">SUBTOTAL(9,INDEX(Main[بدهی تسویه نشده (کیلوگرم)],1):Main[[#This Row],[بدهی تسویه نشده (کیلوگرم)]])</f>
        <v>0</v>
      </c>
      <c r="AB532" s="6">
        <f ca="1">IF(Main[[#This Row],[مانده در خط تسویه نشده (کیلوگرم)]]&lt;&gt;0,Main[[#This Row],[تعداد کل روزهای بدهکار (روز)]],0)</f>
        <v>0</v>
      </c>
      <c r="AC532" s="6">
        <f ca="1">Main[[#This Row],[تعداد روزهای بدهکار  تسویه نشده (روز)]]*Main[[#This Row],[مانده در خط تسویه نشده (کیلوگرم)]]</f>
        <v>0</v>
      </c>
      <c r="AD532" s="6">
        <f ca="1">SUBTOTAL(9,INDEX(Main[بدهی سررسید شده (کیلوگرم)],1):Main[[#This Row],[بدهی سررسید شده (کیلوگرم)]])</f>
        <v>0</v>
      </c>
      <c r="AE532" s="6">
        <f ca="1">IF(Main[[#This Row],[مانده در خط سررسید شده (کیلوگرم)]]&lt;&gt;0,Main[[#This Row],[تعداد کل روزهای بدهکار (روز)]],0)</f>
        <v>0</v>
      </c>
      <c r="AF532" s="6">
        <f ca="1">Main[[#This Row],[تعداد روزهای بدهکار سررسید شده (روز)]]*Main[[#This Row],[مانده در خط سررسید شده (کیلوگرم)]]</f>
        <v>0</v>
      </c>
    </row>
    <row r="533" spans="1:32" hidden="1" x14ac:dyDescent="0.35">
      <c r="A533" s="5">
        <f>ROW()-ROW(INDEX(Main[ردیف],1))+1</f>
        <v>531</v>
      </c>
      <c r="B533" s="31">
        <f>SUBTOTAL(2,INDEX(Main[ردیف],1):Main[[#This Row],[ردیف]])</f>
        <v>49</v>
      </c>
      <c r="C533" s="32" t="s">
        <v>561</v>
      </c>
      <c r="D533" s="32" t="str">
        <f>_xlfn.CONCAT("14",Main[[#This Row],[تاريخ]])</f>
        <v>1400/02/29</v>
      </c>
      <c r="E533" s="33">
        <v>44335</v>
      </c>
      <c r="F533" s="32">
        <v>10028</v>
      </c>
      <c r="G533" s="5" t="str">
        <f>INDEX(customer[عنوان],MATCH(Main[[#This Row],[کد ردیابی]],customer[کد],0))</f>
        <v xml:space="preserve">احمد سنجری </v>
      </c>
      <c r="H533">
        <v>-150</v>
      </c>
      <c r="I533" s="6">
        <f ca="1">-Main[[#This Row],[بدهی تسویه شده (کیلوگرم)]]+Main[[#This Row],[بستانکار (کیلوگرم)]]</f>
        <v>-150</v>
      </c>
      <c r="J533" s="6">
        <f>IF(Main[[#This Row],[مقدار (کیلوگرم)]]&gt;0,Main[[#This Row],[مقدار (کیلوگرم)]],0)</f>
        <v>0</v>
      </c>
      <c r="K533" s="6">
        <f>-IF(Main[[#This Row],[مقدار (کیلوگرم)]]&lt;0,Main[[#This Row],[مقدار (کیلوگرم)]],0)</f>
        <v>150</v>
      </c>
      <c r="L5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3" s="7">
        <f>-IF(AND(Main[[#This Row],[مقدار (کیلوگرم)]]&lt;0,Main[[#This Row],[تاريخ میلادی]]&gt;44276),Main[[#This Row],[مقدار (کیلوگرم)]],0)</f>
        <v>150</v>
      </c>
      <c r="N533" s="6">
        <f ca="1">Main[[#This Row],[بدهکار (کیلوگرم)]]-Main[[#This Row],[بدهی تسویه نشده (کیلوگرم)]]</f>
        <v>150</v>
      </c>
      <c r="O533" s="6">
        <f ca="1">Main[[#This Row],[تفکیک]]</f>
        <v>0</v>
      </c>
      <c r="P533" s="6">
        <f ca="1">IF(Main[[#This Row],[تاخیر از سررسید]]&gt;0,Main[[#This Row],[بدهی تسویه نشده (کیلوگرم)]],0)</f>
        <v>0</v>
      </c>
      <c r="Q533" s="6">
        <f ca="1">IF(Main[[#This Row],[بدهی تسویه نشده (کیلوگرم)]]&gt;0,'گزارش فردی'!$B$7-Main[[#This Row],[تاريخ میلادی]],0)</f>
        <v>0</v>
      </c>
      <c r="R533" s="6">
        <f ca="1">IF(Main[[#This Row],[بدهی تسویه نشده (کیلوگرم)]]&gt;0,'گزارش فردی'!$B$7-Main[[#This Row],[تاريخ میلادی]]-'گزارش فردی'!$B$8,0)</f>
        <v>0</v>
      </c>
      <c r="S533" s="6">
        <f ca="1">Main[[#This Row],[روز از ارسال سفارش]]*Main[[#This Row],[بدهی تسویه نشده (کیلوگرم)]]</f>
        <v>0</v>
      </c>
      <c r="T533" s="6">
        <f ca="1">Main[[#This Row],[بدهی سررسید شده (کیلوگرم)]]*Main[[#This Row],[روز از ارسال سفارش]]</f>
        <v>0</v>
      </c>
      <c r="U533" s="6">
        <f>-SUBTOTAL(9,INDEX(Main[مقدار (کیلوگرم)],1):Main[[#This Row],[مقدار (کیلوگرم)]])</f>
        <v>29573</v>
      </c>
      <c r="V5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3" s="6">
        <f>Main[[#This Row],[تعداد کل روزهای بدهکار (روز)]]*Main[[#This Row],[مانده در خط کل (کیلوگرم)]]</f>
        <v>0</v>
      </c>
      <c r="X533" s="6">
        <f ca="1">-SUBTOTAL(9,INDEX(Main[مقدار تسویه شده (کیلوگرم)],1):Main[[#This Row],[مقدار تسویه شده (کیلوگرم)]])</f>
        <v>29573</v>
      </c>
      <c r="Y533" s="6">
        <f ca="1">IF(Main[[#This Row],[مانده در خط تسویه شده (کیلوگرم)]]&lt;&gt;0,Main[[#This Row],[تعداد کل روزهای بدهکار (روز)]],0)</f>
        <v>0</v>
      </c>
      <c r="Z533" s="6">
        <f ca="1">Main[[#This Row],[تعداد روزهای بدهکار تسویه شده (روز)]]*Main[[#This Row],[مانده در خط تسویه شده (کیلوگرم)]]</f>
        <v>0</v>
      </c>
      <c r="AA533" s="6">
        <f ca="1">SUBTOTAL(9,INDEX(Main[بدهی تسویه نشده (کیلوگرم)],1):Main[[#This Row],[بدهی تسویه نشده (کیلوگرم)]])</f>
        <v>0</v>
      </c>
      <c r="AB533" s="6">
        <f ca="1">IF(Main[[#This Row],[مانده در خط تسویه نشده (کیلوگرم)]]&lt;&gt;0,Main[[#This Row],[تعداد کل روزهای بدهکار (روز)]],0)</f>
        <v>0</v>
      </c>
      <c r="AC533" s="6">
        <f ca="1">Main[[#This Row],[تعداد روزهای بدهکار  تسویه نشده (روز)]]*Main[[#This Row],[مانده در خط تسویه نشده (کیلوگرم)]]</f>
        <v>0</v>
      </c>
      <c r="AD533" s="6">
        <f ca="1">SUBTOTAL(9,INDEX(Main[بدهی سررسید شده (کیلوگرم)],1):Main[[#This Row],[بدهی سررسید شده (کیلوگرم)]])</f>
        <v>0</v>
      </c>
      <c r="AE533" s="6">
        <f ca="1">IF(Main[[#This Row],[مانده در خط سررسید شده (کیلوگرم)]]&lt;&gt;0,Main[[#This Row],[تعداد کل روزهای بدهکار (روز)]],0)</f>
        <v>0</v>
      </c>
      <c r="AF533" s="6">
        <f ca="1">Main[[#This Row],[تعداد روزهای بدهکار سررسید شده (روز)]]*Main[[#This Row],[مانده در خط سررسید شده (کیلوگرم)]]</f>
        <v>0</v>
      </c>
    </row>
    <row r="534" spans="1:32" hidden="1" x14ac:dyDescent="0.35">
      <c r="A534" s="5">
        <f>ROW()-ROW(INDEX(Main[ردیف],1))+1</f>
        <v>532</v>
      </c>
      <c r="B534" s="31">
        <f>SUBTOTAL(2,INDEX(Main[ردیف],1):Main[[#This Row],[ردیف]])</f>
        <v>49</v>
      </c>
      <c r="C534" s="32" t="s">
        <v>561</v>
      </c>
      <c r="D534" s="32" t="str">
        <f>_xlfn.CONCAT("14",Main[[#This Row],[تاريخ]])</f>
        <v>1400/02/29</v>
      </c>
      <c r="E534" s="33">
        <v>44335</v>
      </c>
      <c r="F534" s="32">
        <v>10028</v>
      </c>
      <c r="G534" s="5" t="str">
        <f>INDEX(customer[عنوان],MATCH(Main[[#This Row],[کد ردیابی]],customer[کد],0))</f>
        <v xml:space="preserve">احمد سنجری </v>
      </c>
      <c r="H534">
        <v>51</v>
      </c>
      <c r="I534" s="6">
        <f ca="1">-Main[[#This Row],[بدهی تسویه شده (کیلوگرم)]]+Main[[#This Row],[بستانکار (کیلوگرم)]]</f>
        <v>51</v>
      </c>
      <c r="J534" s="6">
        <f>IF(Main[[#This Row],[مقدار (کیلوگرم)]]&gt;0,Main[[#This Row],[مقدار (کیلوگرم)]],0)</f>
        <v>51</v>
      </c>
      <c r="K534" s="6">
        <f>-IF(Main[[#This Row],[مقدار (کیلوگرم)]]&lt;0,Main[[#This Row],[مقدار (کیلوگرم)]],0)</f>
        <v>0</v>
      </c>
      <c r="L5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4" s="7">
        <f>-IF(AND(Main[[#This Row],[مقدار (کیلوگرم)]]&lt;0,Main[[#This Row],[تاريخ میلادی]]&gt;44276),Main[[#This Row],[مقدار (کیلوگرم)]],0)</f>
        <v>0</v>
      </c>
      <c r="N534" s="6">
        <f ca="1">Main[[#This Row],[بدهکار (کیلوگرم)]]-Main[[#This Row],[بدهی تسویه نشده (کیلوگرم)]]</f>
        <v>0</v>
      </c>
      <c r="O534" s="6">
        <f ca="1">Main[[#This Row],[تفکیک]]</f>
        <v>0</v>
      </c>
      <c r="P534" s="6">
        <f ca="1">IF(Main[[#This Row],[تاخیر از سررسید]]&gt;0,Main[[#This Row],[بدهی تسویه نشده (کیلوگرم)]],0)</f>
        <v>0</v>
      </c>
      <c r="Q534" s="6">
        <f ca="1">IF(Main[[#This Row],[بدهی تسویه نشده (کیلوگرم)]]&gt;0,'گزارش فردی'!$B$7-Main[[#This Row],[تاريخ میلادی]],0)</f>
        <v>0</v>
      </c>
      <c r="R534" s="6">
        <f ca="1">IF(Main[[#This Row],[بدهی تسویه نشده (کیلوگرم)]]&gt;0,'گزارش فردی'!$B$7-Main[[#This Row],[تاريخ میلادی]]-'گزارش فردی'!$B$8,0)</f>
        <v>0</v>
      </c>
      <c r="S534" s="6">
        <f ca="1">Main[[#This Row],[روز از ارسال سفارش]]*Main[[#This Row],[بدهی تسویه نشده (کیلوگرم)]]</f>
        <v>0</v>
      </c>
      <c r="T534" s="6">
        <f ca="1">Main[[#This Row],[بدهی سررسید شده (کیلوگرم)]]*Main[[#This Row],[روز از ارسال سفارش]]</f>
        <v>0</v>
      </c>
      <c r="U534" s="6">
        <f>-SUBTOTAL(9,INDEX(Main[مقدار (کیلوگرم)],1):Main[[#This Row],[مقدار (کیلوگرم)]])</f>
        <v>29573</v>
      </c>
      <c r="V5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4" s="6">
        <f>Main[[#This Row],[تعداد کل روزهای بدهکار (روز)]]*Main[[#This Row],[مانده در خط کل (کیلوگرم)]]</f>
        <v>0</v>
      </c>
      <c r="X534" s="6">
        <f ca="1">-SUBTOTAL(9,INDEX(Main[مقدار تسویه شده (کیلوگرم)],1):Main[[#This Row],[مقدار تسویه شده (کیلوگرم)]])</f>
        <v>29573</v>
      </c>
      <c r="Y534" s="6">
        <f ca="1">IF(Main[[#This Row],[مانده در خط تسویه شده (کیلوگرم)]]&lt;&gt;0,Main[[#This Row],[تعداد کل روزهای بدهکار (روز)]],0)</f>
        <v>0</v>
      </c>
      <c r="Z534" s="6">
        <f ca="1">Main[[#This Row],[تعداد روزهای بدهکار تسویه شده (روز)]]*Main[[#This Row],[مانده در خط تسویه شده (کیلوگرم)]]</f>
        <v>0</v>
      </c>
      <c r="AA534" s="6">
        <f ca="1">SUBTOTAL(9,INDEX(Main[بدهی تسویه نشده (کیلوگرم)],1):Main[[#This Row],[بدهی تسویه نشده (کیلوگرم)]])</f>
        <v>0</v>
      </c>
      <c r="AB534" s="6">
        <f ca="1">IF(Main[[#This Row],[مانده در خط تسویه نشده (کیلوگرم)]]&lt;&gt;0,Main[[#This Row],[تعداد کل روزهای بدهکار (روز)]],0)</f>
        <v>0</v>
      </c>
      <c r="AC534" s="6">
        <f ca="1">Main[[#This Row],[تعداد روزهای بدهکار  تسویه نشده (روز)]]*Main[[#This Row],[مانده در خط تسویه نشده (کیلوگرم)]]</f>
        <v>0</v>
      </c>
      <c r="AD534" s="6">
        <f ca="1">SUBTOTAL(9,INDEX(Main[بدهی سررسید شده (کیلوگرم)],1):Main[[#This Row],[بدهی سررسید شده (کیلوگرم)]])</f>
        <v>0</v>
      </c>
      <c r="AE534" s="6">
        <f ca="1">IF(Main[[#This Row],[مانده در خط سررسید شده (کیلوگرم)]]&lt;&gt;0,Main[[#This Row],[تعداد کل روزهای بدهکار (روز)]],0)</f>
        <v>0</v>
      </c>
      <c r="AF534" s="6">
        <f ca="1">Main[[#This Row],[تعداد روزهای بدهکار سررسید شده (روز)]]*Main[[#This Row],[مانده در خط سررسید شده (کیلوگرم)]]</f>
        <v>0</v>
      </c>
    </row>
    <row r="535" spans="1:32" hidden="1" x14ac:dyDescent="0.35">
      <c r="A535" s="5">
        <f>ROW()-ROW(INDEX(Main[ردیف],1))+1</f>
        <v>533</v>
      </c>
      <c r="B535" s="31">
        <f>SUBTOTAL(2,INDEX(Main[ردیف],1):Main[[#This Row],[ردیف]])</f>
        <v>49</v>
      </c>
      <c r="C535" s="32" t="s">
        <v>561</v>
      </c>
      <c r="D535" s="32" t="str">
        <f>_xlfn.CONCAT("14",Main[[#This Row],[تاريخ]])</f>
        <v>1400/02/29</v>
      </c>
      <c r="E535" s="33">
        <v>44335</v>
      </c>
      <c r="F535" s="32">
        <v>10079</v>
      </c>
      <c r="G535" s="5" t="str">
        <f>INDEX(customer[عنوان],MATCH(Main[[#This Row],[کد ردیابی]],customer[کد],0))</f>
        <v>حسینی حسن</v>
      </c>
      <c r="H535">
        <v>-2672</v>
      </c>
      <c r="I535" s="6">
        <f ca="1">-Main[[#This Row],[بدهی تسویه شده (کیلوگرم)]]+Main[[#This Row],[بستانکار (کیلوگرم)]]</f>
        <v>-2672</v>
      </c>
      <c r="J535" s="6">
        <f>IF(Main[[#This Row],[مقدار (کیلوگرم)]]&gt;0,Main[[#This Row],[مقدار (کیلوگرم)]],0)</f>
        <v>0</v>
      </c>
      <c r="K535" s="6">
        <f>-IF(Main[[#This Row],[مقدار (کیلوگرم)]]&lt;0,Main[[#This Row],[مقدار (کیلوگرم)]],0)</f>
        <v>2672</v>
      </c>
      <c r="L5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5" s="7">
        <f>-IF(AND(Main[[#This Row],[مقدار (کیلوگرم)]]&lt;0,Main[[#This Row],[تاريخ میلادی]]&gt;44276),Main[[#This Row],[مقدار (کیلوگرم)]],0)</f>
        <v>2672</v>
      </c>
      <c r="N535" s="6">
        <f ca="1">Main[[#This Row],[بدهکار (کیلوگرم)]]-Main[[#This Row],[بدهی تسویه نشده (کیلوگرم)]]</f>
        <v>2672</v>
      </c>
      <c r="O535" s="6">
        <f ca="1">Main[[#This Row],[تفکیک]]</f>
        <v>0</v>
      </c>
      <c r="P535" s="6">
        <f ca="1">IF(Main[[#This Row],[تاخیر از سررسید]]&gt;0,Main[[#This Row],[بدهی تسویه نشده (کیلوگرم)]],0)</f>
        <v>0</v>
      </c>
      <c r="Q535" s="6">
        <f ca="1">IF(Main[[#This Row],[بدهی تسویه نشده (کیلوگرم)]]&gt;0,'گزارش فردی'!$B$7-Main[[#This Row],[تاريخ میلادی]],0)</f>
        <v>0</v>
      </c>
      <c r="R535" s="6">
        <f ca="1">IF(Main[[#This Row],[بدهی تسویه نشده (کیلوگرم)]]&gt;0,'گزارش فردی'!$B$7-Main[[#This Row],[تاريخ میلادی]]-'گزارش فردی'!$B$8,0)</f>
        <v>0</v>
      </c>
      <c r="S535" s="6">
        <f ca="1">Main[[#This Row],[روز از ارسال سفارش]]*Main[[#This Row],[بدهی تسویه نشده (کیلوگرم)]]</f>
        <v>0</v>
      </c>
      <c r="T535" s="6">
        <f ca="1">Main[[#This Row],[بدهی سررسید شده (کیلوگرم)]]*Main[[#This Row],[روز از ارسال سفارش]]</f>
        <v>0</v>
      </c>
      <c r="U535" s="6">
        <f>-SUBTOTAL(9,INDEX(Main[مقدار (کیلوگرم)],1):Main[[#This Row],[مقدار (کیلوگرم)]])</f>
        <v>29573</v>
      </c>
      <c r="V5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5" s="6">
        <f>Main[[#This Row],[تعداد کل روزهای بدهکار (روز)]]*Main[[#This Row],[مانده در خط کل (کیلوگرم)]]</f>
        <v>0</v>
      </c>
      <c r="X535" s="6">
        <f ca="1">-SUBTOTAL(9,INDEX(Main[مقدار تسویه شده (کیلوگرم)],1):Main[[#This Row],[مقدار تسویه شده (کیلوگرم)]])</f>
        <v>29573</v>
      </c>
      <c r="Y535" s="6">
        <f ca="1">IF(Main[[#This Row],[مانده در خط تسویه شده (کیلوگرم)]]&lt;&gt;0,Main[[#This Row],[تعداد کل روزهای بدهکار (روز)]],0)</f>
        <v>0</v>
      </c>
      <c r="Z535" s="6">
        <f ca="1">Main[[#This Row],[تعداد روزهای بدهکار تسویه شده (روز)]]*Main[[#This Row],[مانده در خط تسویه شده (کیلوگرم)]]</f>
        <v>0</v>
      </c>
      <c r="AA535" s="6">
        <f ca="1">SUBTOTAL(9,INDEX(Main[بدهی تسویه نشده (کیلوگرم)],1):Main[[#This Row],[بدهی تسویه نشده (کیلوگرم)]])</f>
        <v>0</v>
      </c>
      <c r="AB535" s="6">
        <f ca="1">IF(Main[[#This Row],[مانده در خط تسویه نشده (کیلوگرم)]]&lt;&gt;0,Main[[#This Row],[تعداد کل روزهای بدهکار (روز)]],0)</f>
        <v>0</v>
      </c>
      <c r="AC535" s="6">
        <f ca="1">Main[[#This Row],[تعداد روزهای بدهکار  تسویه نشده (روز)]]*Main[[#This Row],[مانده در خط تسویه نشده (کیلوگرم)]]</f>
        <v>0</v>
      </c>
      <c r="AD535" s="6">
        <f ca="1">SUBTOTAL(9,INDEX(Main[بدهی سررسید شده (کیلوگرم)],1):Main[[#This Row],[بدهی سررسید شده (کیلوگرم)]])</f>
        <v>0</v>
      </c>
      <c r="AE535" s="6">
        <f ca="1">IF(Main[[#This Row],[مانده در خط سررسید شده (کیلوگرم)]]&lt;&gt;0,Main[[#This Row],[تعداد کل روزهای بدهکار (روز)]],0)</f>
        <v>0</v>
      </c>
      <c r="AF535" s="6">
        <f ca="1">Main[[#This Row],[تعداد روزهای بدهکار سررسید شده (روز)]]*Main[[#This Row],[مانده در خط سررسید شده (کیلوگرم)]]</f>
        <v>0</v>
      </c>
    </row>
    <row r="536" spans="1:32" hidden="1" x14ac:dyDescent="0.35">
      <c r="A536" s="5">
        <f>ROW()-ROW(INDEX(Main[ردیف],1))+1</f>
        <v>534</v>
      </c>
      <c r="B536" s="31">
        <f>SUBTOTAL(2,INDEX(Main[ردیف],1):Main[[#This Row],[ردیف]])</f>
        <v>49</v>
      </c>
      <c r="C536" s="32" t="s">
        <v>561</v>
      </c>
      <c r="D536" s="32" t="str">
        <f>_xlfn.CONCAT("14",Main[[#This Row],[تاريخ]])</f>
        <v>1400/02/29</v>
      </c>
      <c r="E536" s="33">
        <v>44335</v>
      </c>
      <c r="F536" s="32">
        <v>10028</v>
      </c>
      <c r="G536" s="5" t="str">
        <f>INDEX(customer[عنوان],MATCH(Main[[#This Row],[کد ردیابی]],customer[کد],0))</f>
        <v xml:space="preserve">احمد سنجری </v>
      </c>
      <c r="H536">
        <v>5</v>
      </c>
      <c r="I536" s="6">
        <f ca="1">-Main[[#This Row],[بدهی تسویه شده (کیلوگرم)]]+Main[[#This Row],[بستانکار (کیلوگرم)]]</f>
        <v>5</v>
      </c>
      <c r="J536" s="6">
        <f>IF(Main[[#This Row],[مقدار (کیلوگرم)]]&gt;0,Main[[#This Row],[مقدار (کیلوگرم)]],0)</f>
        <v>5</v>
      </c>
      <c r="K536" s="6">
        <f>-IF(Main[[#This Row],[مقدار (کیلوگرم)]]&lt;0,Main[[#This Row],[مقدار (کیلوگرم)]],0)</f>
        <v>0</v>
      </c>
      <c r="L5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6" s="7">
        <f>-IF(AND(Main[[#This Row],[مقدار (کیلوگرم)]]&lt;0,Main[[#This Row],[تاريخ میلادی]]&gt;44276),Main[[#This Row],[مقدار (کیلوگرم)]],0)</f>
        <v>0</v>
      </c>
      <c r="N536" s="6">
        <f ca="1">Main[[#This Row],[بدهکار (کیلوگرم)]]-Main[[#This Row],[بدهی تسویه نشده (کیلوگرم)]]</f>
        <v>0</v>
      </c>
      <c r="O536" s="6">
        <f ca="1">Main[[#This Row],[تفکیک]]</f>
        <v>0</v>
      </c>
      <c r="P536" s="6">
        <f ca="1">IF(Main[[#This Row],[تاخیر از سررسید]]&gt;0,Main[[#This Row],[بدهی تسویه نشده (کیلوگرم)]],0)</f>
        <v>0</v>
      </c>
      <c r="Q536" s="6">
        <f ca="1">IF(Main[[#This Row],[بدهی تسویه نشده (کیلوگرم)]]&gt;0,'گزارش فردی'!$B$7-Main[[#This Row],[تاريخ میلادی]],0)</f>
        <v>0</v>
      </c>
      <c r="R536" s="6">
        <f ca="1">IF(Main[[#This Row],[بدهی تسویه نشده (کیلوگرم)]]&gt;0,'گزارش فردی'!$B$7-Main[[#This Row],[تاريخ میلادی]]-'گزارش فردی'!$B$8,0)</f>
        <v>0</v>
      </c>
      <c r="S536" s="6">
        <f ca="1">Main[[#This Row],[روز از ارسال سفارش]]*Main[[#This Row],[بدهی تسویه نشده (کیلوگرم)]]</f>
        <v>0</v>
      </c>
      <c r="T536" s="6">
        <f ca="1">Main[[#This Row],[بدهی سررسید شده (کیلوگرم)]]*Main[[#This Row],[روز از ارسال سفارش]]</f>
        <v>0</v>
      </c>
      <c r="U536" s="6">
        <f>-SUBTOTAL(9,INDEX(Main[مقدار (کیلوگرم)],1):Main[[#This Row],[مقدار (کیلوگرم)]])</f>
        <v>29573</v>
      </c>
      <c r="V5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6" s="6">
        <f>Main[[#This Row],[تعداد کل روزهای بدهکار (روز)]]*Main[[#This Row],[مانده در خط کل (کیلوگرم)]]</f>
        <v>0</v>
      </c>
      <c r="X536" s="6">
        <f ca="1">-SUBTOTAL(9,INDEX(Main[مقدار تسویه شده (کیلوگرم)],1):Main[[#This Row],[مقدار تسویه شده (کیلوگرم)]])</f>
        <v>29573</v>
      </c>
      <c r="Y536" s="6">
        <f ca="1">IF(Main[[#This Row],[مانده در خط تسویه شده (کیلوگرم)]]&lt;&gt;0,Main[[#This Row],[تعداد کل روزهای بدهکار (روز)]],0)</f>
        <v>0</v>
      </c>
      <c r="Z536" s="6">
        <f ca="1">Main[[#This Row],[تعداد روزهای بدهکار تسویه شده (روز)]]*Main[[#This Row],[مانده در خط تسویه شده (کیلوگرم)]]</f>
        <v>0</v>
      </c>
      <c r="AA536" s="6">
        <f ca="1">SUBTOTAL(9,INDEX(Main[بدهی تسویه نشده (کیلوگرم)],1):Main[[#This Row],[بدهی تسویه نشده (کیلوگرم)]])</f>
        <v>0</v>
      </c>
      <c r="AB536" s="6">
        <f ca="1">IF(Main[[#This Row],[مانده در خط تسویه نشده (کیلوگرم)]]&lt;&gt;0,Main[[#This Row],[تعداد کل روزهای بدهکار (روز)]],0)</f>
        <v>0</v>
      </c>
      <c r="AC536" s="6">
        <f ca="1">Main[[#This Row],[تعداد روزهای بدهکار  تسویه نشده (روز)]]*Main[[#This Row],[مانده در خط تسویه نشده (کیلوگرم)]]</f>
        <v>0</v>
      </c>
      <c r="AD536" s="6">
        <f ca="1">SUBTOTAL(9,INDEX(Main[بدهی سررسید شده (کیلوگرم)],1):Main[[#This Row],[بدهی سررسید شده (کیلوگرم)]])</f>
        <v>0</v>
      </c>
      <c r="AE536" s="6">
        <f ca="1">IF(Main[[#This Row],[مانده در خط سررسید شده (کیلوگرم)]]&lt;&gt;0,Main[[#This Row],[تعداد کل روزهای بدهکار (روز)]],0)</f>
        <v>0</v>
      </c>
      <c r="AF536" s="6">
        <f ca="1">Main[[#This Row],[تعداد روزهای بدهکار سررسید شده (روز)]]*Main[[#This Row],[مانده در خط سررسید شده (کیلوگرم)]]</f>
        <v>0</v>
      </c>
    </row>
    <row r="537" spans="1:32" x14ac:dyDescent="0.35">
      <c r="A537" s="5">
        <f>ROW()-ROW(INDEX(Main[ردیف],1))+1</f>
        <v>535</v>
      </c>
      <c r="B537" s="31">
        <f>SUBTOTAL(2,INDEX(Main[ردیف],1):Main[[#This Row],[ردیف]])</f>
        <v>50</v>
      </c>
      <c r="C537" s="32" t="s">
        <v>561</v>
      </c>
      <c r="D537" s="32" t="str">
        <f>_xlfn.CONCAT("14",Main[[#This Row],[تاريخ]])</f>
        <v>1400/02/29</v>
      </c>
      <c r="E537" s="33">
        <v>44335</v>
      </c>
      <c r="F537" s="32">
        <v>10003</v>
      </c>
      <c r="G537" s="5" t="str">
        <f>INDEX(customer[عنوان],MATCH(Main[[#This Row],[کد ردیابی]],customer[کد],0))</f>
        <v>اصغر نورعلی</v>
      </c>
      <c r="H537">
        <v>10000</v>
      </c>
      <c r="I537" s="6">
        <f ca="1">-Main[[#This Row],[بدهی تسویه شده (کیلوگرم)]]+Main[[#This Row],[بستانکار (کیلوگرم)]]</f>
        <v>10000</v>
      </c>
      <c r="J537" s="6">
        <f>IF(Main[[#This Row],[مقدار (کیلوگرم)]]&gt;0,Main[[#This Row],[مقدار (کیلوگرم)]],0)</f>
        <v>10000</v>
      </c>
      <c r="K537" s="6">
        <f>-IF(Main[[#This Row],[مقدار (کیلوگرم)]]&lt;0,Main[[#This Row],[مقدار (کیلوگرم)]],0)</f>
        <v>0</v>
      </c>
      <c r="L5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7" s="7">
        <f>-IF(AND(Main[[#This Row],[مقدار (کیلوگرم)]]&lt;0,Main[[#This Row],[تاريخ میلادی]]&gt;44276),Main[[#This Row],[مقدار (کیلوگرم)]],0)</f>
        <v>0</v>
      </c>
      <c r="N537" s="6">
        <f ca="1">Main[[#This Row],[بدهکار (کیلوگرم)]]-Main[[#This Row],[بدهی تسویه نشده (کیلوگرم)]]</f>
        <v>0</v>
      </c>
      <c r="O537" s="6">
        <f ca="1">Main[[#This Row],[تفکیک]]</f>
        <v>0</v>
      </c>
      <c r="P537" s="6">
        <f ca="1">IF(Main[[#This Row],[تاخیر از سررسید]]&gt;0,Main[[#This Row],[بدهی تسویه نشده (کیلوگرم)]],0)</f>
        <v>0</v>
      </c>
      <c r="Q537" s="6">
        <f ca="1">IF(Main[[#This Row],[بدهی تسویه نشده (کیلوگرم)]]&gt;0,'گزارش فردی'!$B$7-Main[[#This Row],[تاريخ میلادی]],0)</f>
        <v>0</v>
      </c>
      <c r="R537" s="6">
        <f ca="1">IF(Main[[#This Row],[بدهی تسویه نشده (کیلوگرم)]]&gt;0,'گزارش فردی'!$B$7-Main[[#This Row],[تاريخ میلادی]]-'گزارش فردی'!$B$8,0)</f>
        <v>0</v>
      </c>
      <c r="S537" s="6">
        <f ca="1">Main[[#This Row],[روز از ارسال سفارش]]*Main[[#This Row],[بدهی تسویه نشده (کیلوگرم)]]</f>
        <v>0</v>
      </c>
      <c r="T537" s="6">
        <f ca="1">Main[[#This Row],[بدهی سررسید شده (کیلوگرم)]]*Main[[#This Row],[روز از ارسال سفارش]]</f>
        <v>0</v>
      </c>
      <c r="U537" s="6">
        <f>-SUBTOTAL(9,INDEX(Main[مقدار (کیلوگرم)],1):Main[[#This Row],[مقدار (کیلوگرم)]])</f>
        <v>19573</v>
      </c>
      <c r="V5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37" s="6">
        <f>Main[[#This Row],[تعداد کل روزهای بدهکار (روز)]]*Main[[#This Row],[مانده در خط کل (کیلوگرم)]]</f>
        <v>19573</v>
      </c>
      <c r="X537" s="6">
        <f ca="1">-SUBTOTAL(9,INDEX(Main[مقدار تسویه شده (کیلوگرم)],1):Main[[#This Row],[مقدار تسویه شده (کیلوگرم)]])</f>
        <v>19573</v>
      </c>
      <c r="Y537" s="6">
        <f ca="1">IF(Main[[#This Row],[مانده در خط تسویه شده (کیلوگرم)]]&lt;&gt;0,Main[[#This Row],[تعداد کل روزهای بدهکار (روز)]],0)</f>
        <v>1</v>
      </c>
      <c r="Z537" s="6">
        <f ca="1">Main[[#This Row],[تعداد روزهای بدهکار تسویه شده (روز)]]*Main[[#This Row],[مانده در خط تسویه شده (کیلوگرم)]]</f>
        <v>19573</v>
      </c>
      <c r="AA537" s="6">
        <f ca="1">SUBTOTAL(9,INDEX(Main[بدهی تسویه نشده (کیلوگرم)],1):Main[[#This Row],[بدهی تسویه نشده (کیلوگرم)]])</f>
        <v>0</v>
      </c>
      <c r="AB537" s="6">
        <f ca="1">IF(Main[[#This Row],[مانده در خط تسویه نشده (کیلوگرم)]]&lt;&gt;0,Main[[#This Row],[تعداد کل روزهای بدهکار (روز)]],0)</f>
        <v>0</v>
      </c>
      <c r="AC537" s="6">
        <f ca="1">Main[[#This Row],[تعداد روزهای بدهکار  تسویه نشده (روز)]]*Main[[#This Row],[مانده در خط تسویه نشده (کیلوگرم)]]</f>
        <v>0</v>
      </c>
      <c r="AD537" s="6">
        <f ca="1">SUBTOTAL(9,INDEX(Main[بدهی سررسید شده (کیلوگرم)],1):Main[[#This Row],[بدهی سررسید شده (کیلوگرم)]])</f>
        <v>0</v>
      </c>
      <c r="AE537" s="6">
        <f ca="1">IF(Main[[#This Row],[مانده در خط سررسید شده (کیلوگرم)]]&lt;&gt;0,Main[[#This Row],[تعداد کل روزهای بدهکار (روز)]],0)</f>
        <v>0</v>
      </c>
      <c r="AF537" s="6">
        <f ca="1">Main[[#This Row],[تعداد روزهای بدهکار سررسید شده (روز)]]*Main[[#This Row],[مانده در خط سررسید شده (کیلوگرم)]]</f>
        <v>0</v>
      </c>
    </row>
    <row r="538" spans="1:32" hidden="1" x14ac:dyDescent="0.35">
      <c r="A538" s="5">
        <f>ROW()-ROW(INDEX(Main[ردیف],1))+1</f>
        <v>536</v>
      </c>
      <c r="B538" s="31">
        <f>SUBTOTAL(2,INDEX(Main[ردیف],1):Main[[#This Row],[ردیف]])</f>
        <v>50</v>
      </c>
      <c r="C538" s="32" t="s">
        <v>561</v>
      </c>
      <c r="D538" s="32" t="str">
        <f>_xlfn.CONCAT("14",Main[[#This Row],[تاريخ]])</f>
        <v>1400/02/29</v>
      </c>
      <c r="E538" s="33">
        <v>44335</v>
      </c>
      <c r="F538" s="32">
        <v>30040</v>
      </c>
      <c r="G538" s="5" t="str">
        <f>INDEX(customer[عنوان],MATCH(Main[[#This Row],[کد ردیابی]],customer[کد],0))</f>
        <v xml:space="preserve">دنیای هنر </v>
      </c>
      <c r="H538">
        <v>24</v>
      </c>
      <c r="I538" s="6">
        <f ca="1">-Main[[#This Row],[بدهی تسویه شده (کیلوگرم)]]+Main[[#This Row],[بستانکار (کیلوگرم)]]</f>
        <v>24</v>
      </c>
      <c r="J538" s="6">
        <f>IF(Main[[#This Row],[مقدار (کیلوگرم)]]&gt;0,Main[[#This Row],[مقدار (کیلوگرم)]],0)</f>
        <v>24</v>
      </c>
      <c r="K538" s="6">
        <f>-IF(Main[[#This Row],[مقدار (کیلوگرم)]]&lt;0,Main[[#This Row],[مقدار (کیلوگرم)]],0)</f>
        <v>0</v>
      </c>
      <c r="L5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8" s="7">
        <f>-IF(AND(Main[[#This Row],[مقدار (کیلوگرم)]]&lt;0,Main[[#This Row],[تاريخ میلادی]]&gt;44276),Main[[#This Row],[مقدار (کیلوگرم)]],0)</f>
        <v>0</v>
      </c>
      <c r="N538" s="6">
        <f ca="1">Main[[#This Row],[بدهکار (کیلوگرم)]]-Main[[#This Row],[بدهی تسویه نشده (کیلوگرم)]]</f>
        <v>0</v>
      </c>
      <c r="O538" s="6">
        <f ca="1">Main[[#This Row],[تفکیک]]</f>
        <v>0</v>
      </c>
      <c r="P538" s="6">
        <f ca="1">IF(Main[[#This Row],[تاخیر از سررسید]]&gt;0,Main[[#This Row],[بدهی تسویه نشده (کیلوگرم)]],0)</f>
        <v>0</v>
      </c>
      <c r="Q538" s="6">
        <f ca="1">IF(Main[[#This Row],[بدهی تسویه نشده (کیلوگرم)]]&gt;0,'گزارش فردی'!$B$7-Main[[#This Row],[تاريخ میلادی]],0)</f>
        <v>0</v>
      </c>
      <c r="R538" s="6">
        <f ca="1">IF(Main[[#This Row],[بدهی تسویه نشده (کیلوگرم)]]&gt;0,'گزارش فردی'!$B$7-Main[[#This Row],[تاريخ میلادی]]-'گزارش فردی'!$B$8,0)</f>
        <v>0</v>
      </c>
      <c r="S538" s="6">
        <f ca="1">Main[[#This Row],[روز از ارسال سفارش]]*Main[[#This Row],[بدهی تسویه نشده (کیلوگرم)]]</f>
        <v>0</v>
      </c>
      <c r="T538" s="6">
        <f ca="1">Main[[#This Row],[بدهی سررسید شده (کیلوگرم)]]*Main[[#This Row],[روز از ارسال سفارش]]</f>
        <v>0</v>
      </c>
      <c r="U538" s="6">
        <f>-SUBTOTAL(9,INDEX(Main[مقدار (کیلوگرم)],1):Main[[#This Row],[مقدار (کیلوگرم)]])</f>
        <v>19573</v>
      </c>
      <c r="V5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38" s="6">
        <f>Main[[#This Row],[تعداد کل روزهای بدهکار (روز)]]*Main[[#This Row],[مانده در خط کل (کیلوگرم)]]</f>
        <v>19573</v>
      </c>
      <c r="X538" s="6">
        <f ca="1">-SUBTOTAL(9,INDEX(Main[مقدار تسویه شده (کیلوگرم)],1):Main[[#This Row],[مقدار تسویه شده (کیلوگرم)]])</f>
        <v>19573</v>
      </c>
      <c r="Y538" s="6">
        <f ca="1">IF(Main[[#This Row],[مانده در خط تسویه شده (کیلوگرم)]]&lt;&gt;0,Main[[#This Row],[تعداد کل روزهای بدهکار (روز)]],0)</f>
        <v>1</v>
      </c>
      <c r="Z538" s="6">
        <f ca="1">Main[[#This Row],[تعداد روزهای بدهکار تسویه شده (روز)]]*Main[[#This Row],[مانده در خط تسویه شده (کیلوگرم)]]</f>
        <v>19573</v>
      </c>
      <c r="AA538" s="6">
        <f ca="1">SUBTOTAL(9,INDEX(Main[بدهی تسویه نشده (کیلوگرم)],1):Main[[#This Row],[بدهی تسویه نشده (کیلوگرم)]])</f>
        <v>0</v>
      </c>
      <c r="AB538" s="6">
        <f ca="1">IF(Main[[#This Row],[مانده در خط تسویه نشده (کیلوگرم)]]&lt;&gt;0,Main[[#This Row],[تعداد کل روزهای بدهکار (روز)]],0)</f>
        <v>0</v>
      </c>
      <c r="AC538" s="6">
        <f ca="1">Main[[#This Row],[تعداد روزهای بدهکار  تسویه نشده (روز)]]*Main[[#This Row],[مانده در خط تسویه نشده (کیلوگرم)]]</f>
        <v>0</v>
      </c>
      <c r="AD538" s="6">
        <f ca="1">SUBTOTAL(9,INDEX(Main[بدهی سررسید شده (کیلوگرم)],1):Main[[#This Row],[بدهی سررسید شده (کیلوگرم)]])</f>
        <v>0</v>
      </c>
      <c r="AE538" s="6">
        <f ca="1">IF(Main[[#This Row],[مانده در خط سررسید شده (کیلوگرم)]]&lt;&gt;0,Main[[#This Row],[تعداد کل روزهای بدهکار (روز)]],0)</f>
        <v>0</v>
      </c>
      <c r="AF538" s="6">
        <f ca="1">Main[[#This Row],[تعداد روزهای بدهکار سررسید شده (روز)]]*Main[[#This Row],[مانده در خط سررسید شده (کیلوگرم)]]</f>
        <v>0</v>
      </c>
    </row>
    <row r="539" spans="1:32" hidden="1" x14ac:dyDescent="0.35">
      <c r="A539" s="5">
        <f>ROW()-ROW(INDEX(Main[ردیف],1))+1</f>
        <v>537</v>
      </c>
      <c r="B539" s="31">
        <f>SUBTOTAL(2,INDEX(Main[ردیف],1):Main[[#This Row],[ردیف]])</f>
        <v>50</v>
      </c>
      <c r="C539" s="32" t="s">
        <v>563</v>
      </c>
      <c r="D539" s="32" t="str">
        <f>_xlfn.CONCAT("14",Main[[#This Row],[تاريخ]])</f>
        <v>1400/02/30</v>
      </c>
      <c r="E539" s="33">
        <v>44336</v>
      </c>
      <c r="F539" s="32">
        <v>30127</v>
      </c>
      <c r="G539" s="5" t="str">
        <f>INDEX(customer[عنوان],MATCH(Main[[#This Row],[کد ردیابی]],customer[کد],0))</f>
        <v>شیر گاز آذران</v>
      </c>
      <c r="H539">
        <v>-15134</v>
      </c>
      <c r="I539" s="6">
        <f ca="1">-Main[[#This Row],[بدهی تسویه شده (کیلوگرم)]]+Main[[#This Row],[بستانکار (کیلوگرم)]]</f>
        <v>-15134</v>
      </c>
      <c r="J539" s="6">
        <f>IF(Main[[#This Row],[مقدار (کیلوگرم)]]&gt;0,Main[[#This Row],[مقدار (کیلوگرم)]],0)</f>
        <v>0</v>
      </c>
      <c r="K539" s="6">
        <f>-IF(Main[[#This Row],[مقدار (کیلوگرم)]]&lt;0,Main[[#This Row],[مقدار (کیلوگرم)]],0)</f>
        <v>15134</v>
      </c>
      <c r="L5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9" s="7">
        <f>-IF(AND(Main[[#This Row],[مقدار (کیلوگرم)]]&lt;0,Main[[#This Row],[تاريخ میلادی]]&gt;44276),Main[[#This Row],[مقدار (کیلوگرم)]],0)</f>
        <v>15134</v>
      </c>
      <c r="N539" s="6">
        <f ca="1">Main[[#This Row],[بدهکار (کیلوگرم)]]-Main[[#This Row],[بدهی تسویه نشده (کیلوگرم)]]</f>
        <v>15134</v>
      </c>
      <c r="O539" s="6">
        <f ca="1">Main[[#This Row],[تفکیک]]</f>
        <v>0</v>
      </c>
      <c r="P539" s="6">
        <f ca="1">IF(Main[[#This Row],[تاخیر از سررسید]]&gt;0,Main[[#This Row],[بدهی تسویه نشده (کیلوگرم)]],0)</f>
        <v>0</v>
      </c>
      <c r="Q539" s="6">
        <f ca="1">IF(Main[[#This Row],[بدهی تسویه نشده (کیلوگرم)]]&gt;0,'گزارش فردی'!$B$7-Main[[#This Row],[تاريخ میلادی]],0)</f>
        <v>0</v>
      </c>
      <c r="R539" s="6">
        <f ca="1">IF(Main[[#This Row],[بدهی تسویه نشده (کیلوگرم)]]&gt;0,'گزارش فردی'!$B$7-Main[[#This Row],[تاريخ میلادی]]-'گزارش فردی'!$B$8,0)</f>
        <v>0</v>
      </c>
      <c r="S539" s="6">
        <f ca="1">Main[[#This Row],[روز از ارسال سفارش]]*Main[[#This Row],[بدهی تسویه نشده (کیلوگرم)]]</f>
        <v>0</v>
      </c>
      <c r="T539" s="6">
        <f ca="1">Main[[#This Row],[بدهی سررسید شده (کیلوگرم)]]*Main[[#This Row],[روز از ارسال سفارش]]</f>
        <v>0</v>
      </c>
      <c r="U539" s="6">
        <f>-SUBTOTAL(9,INDEX(Main[مقدار (کیلوگرم)],1):Main[[#This Row],[مقدار (کیلوگرم)]])</f>
        <v>19573</v>
      </c>
      <c r="V5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9" s="6">
        <f>Main[[#This Row],[تعداد کل روزهای بدهکار (روز)]]*Main[[#This Row],[مانده در خط کل (کیلوگرم)]]</f>
        <v>0</v>
      </c>
      <c r="X539" s="6">
        <f ca="1">-SUBTOTAL(9,INDEX(Main[مقدار تسویه شده (کیلوگرم)],1):Main[[#This Row],[مقدار تسویه شده (کیلوگرم)]])</f>
        <v>19573</v>
      </c>
      <c r="Y539" s="6">
        <f ca="1">IF(Main[[#This Row],[مانده در خط تسویه شده (کیلوگرم)]]&lt;&gt;0,Main[[#This Row],[تعداد کل روزهای بدهکار (روز)]],0)</f>
        <v>0</v>
      </c>
      <c r="Z539" s="6">
        <f ca="1">Main[[#This Row],[تعداد روزهای بدهکار تسویه شده (روز)]]*Main[[#This Row],[مانده در خط تسویه شده (کیلوگرم)]]</f>
        <v>0</v>
      </c>
      <c r="AA539" s="6">
        <f ca="1">SUBTOTAL(9,INDEX(Main[بدهی تسویه نشده (کیلوگرم)],1):Main[[#This Row],[بدهی تسویه نشده (کیلوگرم)]])</f>
        <v>0</v>
      </c>
      <c r="AB539" s="6">
        <f ca="1">IF(Main[[#This Row],[مانده در خط تسویه نشده (کیلوگرم)]]&lt;&gt;0,Main[[#This Row],[تعداد کل روزهای بدهکار (روز)]],0)</f>
        <v>0</v>
      </c>
      <c r="AC539" s="6">
        <f ca="1">Main[[#This Row],[تعداد روزهای بدهکار  تسویه نشده (روز)]]*Main[[#This Row],[مانده در خط تسویه نشده (کیلوگرم)]]</f>
        <v>0</v>
      </c>
      <c r="AD539" s="6">
        <f ca="1">SUBTOTAL(9,INDEX(Main[بدهی سررسید شده (کیلوگرم)],1):Main[[#This Row],[بدهی سررسید شده (کیلوگرم)]])</f>
        <v>0</v>
      </c>
      <c r="AE539" s="6">
        <f ca="1">IF(Main[[#This Row],[مانده در خط سررسید شده (کیلوگرم)]]&lt;&gt;0,Main[[#This Row],[تعداد کل روزهای بدهکار (روز)]],0)</f>
        <v>0</v>
      </c>
      <c r="AF539" s="6">
        <f ca="1">Main[[#This Row],[تعداد روزهای بدهکار سررسید شده (روز)]]*Main[[#This Row],[مانده در خط سررسید شده (کیلوگرم)]]</f>
        <v>0</v>
      </c>
    </row>
    <row r="540" spans="1:32" hidden="1" x14ac:dyDescent="0.35">
      <c r="A540" s="5">
        <f>ROW()-ROW(INDEX(Main[ردیف],1))+1</f>
        <v>538</v>
      </c>
      <c r="B540" s="31">
        <f>SUBTOTAL(2,INDEX(Main[ردیف],1):Main[[#This Row],[ردیف]])</f>
        <v>50</v>
      </c>
      <c r="C540" s="32" t="s">
        <v>563</v>
      </c>
      <c r="D540" s="32" t="str">
        <f>_xlfn.CONCAT("14",Main[[#This Row],[تاريخ]])</f>
        <v>1400/02/30</v>
      </c>
      <c r="E540" s="33">
        <v>44336</v>
      </c>
      <c r="F540" s="32">
        <v>30004</v>
      </c>
      <c r="G540" s="5" t="str">
        <f>INDEX(customer[عنوان],MATCH(Main[[#This Row],[کد ردیابی]],customer[کد],0))</f>
        <v>تولیدی صنعتی صفاشیر پارس</v>
      </c>
      <c r="H540">
        <v>1909</v>
      </c>
      <c r="I540" s="6">
        <f ca="1">-Main[[#This Row],[بدهی تسویه شده (کیلوگرم)]]+Main[[#This Row],[بستانکار (کیلوگرم)]]</f>
        <v>1909</v>
      </c>
      <c r="J540" s="6">
        <f>IF(Main[[#This Row],[مقدار (کیلوگرم)]]&gt;0,Main[[#This Row],[مقدار (کیلوگرم)]],0)</f>
        <v>1909</v>
      </c>
      <c r="K540" s="6">
        <f>-IF(Main[[#This Row],[مقدار (کیلوگرم)]]&lt;0,Main[[#This Row],[مقدار (کیلوگرم)]],0)</f>
        <v>0</v>
      </c>
      <c r="L5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0" s="7">
        <f>-IF(AND(Main[[#This Row],[مقدار (کیلوگرم)]]&lt;0,Main[[#This Row],[تاريخ میلادی]]&gt;44276),Main[[#This Row],[مقدار (کیلوگرم)]],0)</f>
        <v>0</v>
      </c>
      <c r="N540" s="6">
        <f ca="1">Main[[#This Row],[بدهکار (کیلوگرم)]]-Main[[#This Row],[بدهی تسویه نشده (کیلوگرم)]]</f>
        <v>0</v>
      </c>
      <c r="O540" s="6">
        <f ca="1">Main[[#This Row],[تفکیک]]</f>
        <v>0</v>
      </c>
      <c r="P540" s="6">
        <f ca="1">IF(Main[[#This Row],[تاخیر از سررسید]]&gt;0,Main[[#This Row],[بدهی تسویه نشده (کیلوگرم)]],0)</f>
        <v>0</v>
      </c>
      <c r="Q540" s="6">
        <f ca="1">IF(Main[[#This Row],[بدهی تسویه نشده (کیلوگرم)]]&gt;0,'گزارش فردی'!$B$7-Main[[#This Row],[تاريخ میلادی]],0)</f>
        <v>0</v>
      </c>
      <c r="R540" s="6">
        <f ca="1">IF(Main[[#This Row],[بدهی تسویه نشده (کیلوگرم)]]&gt;0,'گزارش فردی'!$B$7-Main[[#This Row],[تاريخ میلادی]]-'گزارش فردی'!$B$8,0)</f>
        <v>0</v>
      </c>
      <c r="S540" s="6">
        <f ca="1">Main[[#This Row],[روز از ارسال سفارش]]*Main[[#This Row],[بدهی تسویه نشده (کیلوگرم)]]</f>
        <v>0</v>
      </c>
      <c r="T540" s="6">
        <f ca="1">Main[[#This Row],[بدهی سررسید شده (کیلوگرم)]]*Main[[#This Row],[روز از ارسال سفارش]]</f>
        <v>0</v>
      </c>
      <c r="U540" s="6">
        <f>-SUBTOTAL(9,INDEX(Main[مقدار (کیلوگرم)],1):Main[[#This Row],[مقدار (کیلوگرم)]])</f>
        <v>19573</v>
      </c>
      <c r="V5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0" s="6">
        <f>Main[[#This Row],[تعداد کل روزهای بدهکار (روز)]]*Main[[#This Row],[مانده در خط کل (کیلوگرم)]]</f>
        <v>0</v>
      </c>
      <c r="X540" s="6">
        <f ca="1">-SUBTOTAL(9,INDEX(Main[مقدار تسویه شده (کیلوگرم)],1):Main[[#This Row],[مقدار تسویه شده (کیلوگرم)]])</f>
        <v>19573</v>
      </c>
      <c r="Y540" s="6">
        <f ca="1">IF(Main[[#This Row],[مانده در خط تسویه شده (کیلوگرم)]]&lt;&gt;0,Main[[#This Row],[تعداد کل روزهای بدهکار (روز)]],0)</f>
        <v>0</v>
      </c>
      <c r="Z540" s="6">
        <f ca="1">Main[[#This Row],[تعداد روزهای بدهکار تسویه شده (روز)]]*Main[[#This Row],[مانده در خط تسویه شده (کیلوگرم)]]</f>
        <v>0</v>
      </c>
      <c r="AA540" s="6">
        <f ca="1">SUBTOTAL(9,INDEX(Main[بدهی تسویه نشده (کیلوگرم)],1):Main[[#This Row],[بدهی تسویه نشده (کیلوگرم)]])</f>
        <v>0</v>
      </c>
      <c r="AB540" s="6">
        <f ca="1">IF(Main[[#This Row],[مانده در خط تسویه نشده (کیلوگرم)]]&lt;&gt;0,Main[[#This Row],[تعداد کل روزهای بدهکار (روز)]],0)</f>
        <v>0</v>
      </c>
      <c r="AC540" s="6">
        <f ca="1">Main[[#This Row],[تعداد روزهای بدهکار  تسویه نشده (روز)]]*Main[[#This Row],[مانده در خط تسویه نشده (کیلوگرم)]]</f>
        <v>0</v>
      </c>
      <c r="AD540" s="6">
        <f ca="1">SUBTOTAL(9,INDEX(Main[بدهی سررسید شده (کیلوگرم)],1):Main[[#This Row],[بدهی سررسید شده (کیلوگرم)]])</f>
        <v>0</v>
      </c>
      <c r="AE540" s="6">
        <f ca="1">IF(Main[[#This Row],[مانده در خط سررسید شده (کیلوگرم)]]&lt;&gt;0,Main[[#This Row],[تعداد کل روزهای بدهکار (روز)]],0)</f>
        <v>0</v>
      </c>
      <c r="AF540" s="6">
        <f ca="1">Main[[#This Row],[تعداد روزهای بدهکار سررسید شده (روز)]]*Main[[#This Row],[مانده در خط سررسید شده (کیلوگرم)]]</f>
        <v>0</v>
      </c>
    </row>
    <row r="541" spans="1:32" hidden="1" x14ac:dyDescent="0.35">
      <c r="A541" s="5">
        <f>ROW()-ROW(INDEX(Main[ردیف],1))+1</f>
        <v>539</v>
      </c>
      <c r="B541" s="31">
        <f>SUBTOTAL(2,INDEX(Main[ردیف],1):Main[[#This Row],[ردیف]])</f>
        <v>50</v>
      </c>
      <c r="C541" s="32" t="s">
        <v>563</v>
      </c>
      <c r="D541" s="32" t="str">
        <f>_xlfn.CONCAT("14",Main[[#This Row],[تاريخ]])</f>
        <v>1400/02/30</v>
      </c>
      <c r="E541" s="33">
        <v>44336</v>
      </c>
      <c r="F541" s="32">
        <v>30140</v>
      </c>
      <c r="G541" s="5" t="str">
        <f>INDEX(customer[عنوان],MATCH(Main[[#This Row],[کد ردیابی]],customer[کد],0))</f>
        <v>شرکت سیتکو</v>
      </c>
      <c r="H541">
        <v>-20</v>
      </c>
      <c r="I541" s="6">
        <f ca="1">-Main[[#This Row],[بدهی تسویه شده (کیلوگرم)]]+Main[[#This Row],[بستانکار (کیلوگرم)]]</f>
        <v>-20</v>
      </c>
      <c r="J541" s="6">
        <f>IF(Main[[#This Row],[مقدار (کیلوگرم)]]&gt;0,Main[[#This Row],[مقدار (کیلوگرم)]],0)</f>
        <v>0</v>
      </c>
      <c r="K541" s="6">
        <f>-IF(Main[[#This Row],[مقدار (کیلوگرم)]]&lt;0,Main[[#This Row],[مقدار (کیلوگرم)]],0)</f>
        <v>20</v>
      </c>
      <c r="L5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1" s="7">
        <f>-IF(AND(Main[[#This Row],[مقدار (کیلوگرم)]]&lt;0,Main[[#This Row],[تاريخ میلادی]]&gt;44276),Main[[#This Row],[مقدار (کیلوگرم)]],0)</f>
        <v>20</v>
      </c>
      <c r="N541" s="6">
        <f ca="1">Main[[#This Row],[بدهکار (کیلوگرم)]]-Main[[#This Row],[بدهی تسویه نشده (کیلوگرم)]]</f>
        <v>20</v>
      </c>
      <c r="O541" s="6">
        <f ca="1">Main[[#This Row],[تفکیک]]</f>
        <v>0</v>
      </c>
      <c r="P541" s="6">
        <f ca="1">IF(Main[[#This Row],[تاخیر از سررسید]]&gt;0,Main[[#This Row],[بدهی تسویه نشده (کیلوگرم)]],0)</f>
        <v>0</v>
      </c>
      <c r="Q541" s="6">
        <f ca="1">IF(Main[[#This Row],[بدهی تسویه نشده (کیلوگرم)]]&gt;0,'گزارش فردی'!$B$7-Main[[#This Row],[تاريخ میلادی]],0)</f>
        <v>0</v>
      </c>
      <c r="R541" s="6">
        <f ca="1">IF(Main[[#This Row],[بدهی تسویه نشده (کیلوگرم)]]&gt;0,'گزارش فردی'!$B$7-Main[[#This Row],[تاريخ میلادی]]-'گزارش فردی'!$B$8,0)</f>
        <v>0</v>
      </c>
      <c r="S541" s="6">
        <f ca="1">Main[[#This Row],[روز از ارسال سفارش]]*Main[[#This Row],[بدهی تسویه نشده (کیلوگرم)]]</f>
        <v>0</v>
      </c>
      <c r="T541" s="6">
        <f ca="1">Main[[#This Row],[بدهی سررسید شده (کیلوگرم)]]*Main[[#This Row],[روز از ارسال سفارش]]</f>
        <v>0</v>
      </c>
      <c r="U541" s="6">
        <f>-SUBTOTAL(9,INDEX(Main[مقدار (کیلوگرم)],1):Main[[#This Row],[مقدار (کیلوگرم)]])</f>
        <v>19573</v>
      </c>
      <c r="V5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1" s="6">
        <f>Main[[#This Row],[تعداد کل روزهای بدهکار (روز)]]*Main[[#This Row],[مانده در خط کل (کیلوگرم)]]</f>
        <v>0</v>
      </c>
      <c r="X541" s="6">
        <f ca="1">-SUBTOTAL(9,INDEX(Main[مقدار تسویه شده (کیلوگرم)],1):Main[[#This Row],[مقدار تسویه شده (کیلوگرم)]])</f>
        <v>19573</v>
      </c>
      <c r="Y541" s="6">
        <f ca="1">IF(Main[[#This Row],[مانده در خط تسویه شده (کیلوگرم)]]&lt;&gt;0,Main[[#This Row],[تعداد کل روزهای بدهکار (روز)]],0)</f>
        <v>0</v>
      </c>
      <c r="Z541" s="6">
        <f ca="1">Main[[#This Row],[تعداد روزهای بدهکار تسویه شده (روز)]]*Main[[#This Row],[مانده در خط تسویه شده (کیلوگرم)]]</f>
        <v>0</v>
      </c>
      <c r="AA541" s="6">
        <f ca="1">SUBTOTAL(9,INDEX(Main[بدهی تسویه نشده (کیلوگرم)],1):Main[[#This Row],[بدهی تسویه نشده (کیلوگرم)]])</f>
        <v>0</v>
      </c>
      <c r="AB541" s="6">
        <f ca="1">IF(Main[[#This Row],[مانده در خط تسویه نشده (کیلوگرم)]]&lt;&gt;0,Main[[#This Row],[تعداد کل روزهای بدهکار (روز)]],0)</f>
        <v>0</v>
      </c>
      <c r="AC541" s="6">
        <f ca="1">Main[[#This Row],[تعداد روزهای بدهکار  تسویه نشده (روز)]]*Main[[#This Row],[مانده در خط تسویه نشده (کیلوگرم)]]</f>
        <v>0</v>
      </c>
      <c r="AD541" s="6">
        <f ca="1">SUBTOTAL(9,INDEX(Main[بدهی سررسید شده (کیلوگرم)],1):Main[[#This Row],[بدهی سررسید شده (کیلوگرم)]])</f>
        <v>0</v>
      </c>
      <c r="AE541" s="6">
        <f ca="1">IF(Main[[#This Row],[مانده در خط سررسید شده (کیلوگرم)]]&lt;&gt;0,Main[[#This Row],[تعداد کل روزهای بدهکار (روز)]],0)</f>
        <v>0</v>
      </c>
      <c r="AF541" s="6">
        <f ca="1">Main[[#This Row],[تعداد روزهای بدهکار سررسید شده (روز)]]*Main[[#This Row],[مانده در خط سررسید شده (کیلوگرم)]]</f>
        <v>0</v>
      </c>
    </row>
    <row r="542" spans="1:32" hidden="1" x14ac:dyDescent="0.35">
      <c r="A542" s="5">
        <f>ROW()-ROW(INDEX(Main[ردیف],1))+1</f>
        <v>540</v>
      </c>
      <c r="B542" s="31">
        <f>SUBTOTAL(2,INDEX(Main[ردیف],1):Main[[#This Row],[ردیف]])</f>
        <v>50</v>
      </c>
      <c r="C542" s="32" t="s">
        <v>563</v>
      </c>
      <c r="D542" s="32" t="str">
        <f>_xlfn.CONCAT("14",Main[[#This Row],[تاريخ]])</f>
        <v>1400/02/30</v>
      </c>
      <c r="E542" s="33">
        <v>44336</v>
      </c>
      <c r="F542" s="32">
        <v>30004</v>
      </c>
      <c r="G542" s="5" t="str">
        <f>INDEX(customer[عنوان],MATCH(Main[[#This Row],[کد ردیابی]],customer[کد],0))</f>
        <v>تولیدی صنعتی صفاشیر پارس</v>
      </c>
      <c r="H542">
        <v>580</v>
      </c>
      <c r="I542" s="6">
        <f ca="1">-Main[[#This Row],[بدهی تسویه شده (کیلوگرم)]]+Main[[#This Row],[بستانکار (کیلوگرم)]]</f>
        <v>580</v>
      </c>
      <c r="J542" s="6">
        <f>IF(Main[[#This Row],[مقدار (کیلوگرم)]]&gt;0,Main[[#This Row],[مقدار (کیلوگرم)]],0)</f>
        <v>580</v>
      </c>
      <c r="K542" s="6">
        <f>-IF(Main[[#This Row],[مقدار (کیلوگرم)]]&lt;0,Main[[#This Row],[مقدار (کیلوگرم)]],0)</f>
        <v>0</v>
      </c>
      <c r="L5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2" s="7">
        <f>-IF(AND(Main[[#This Row],[مقدار (کیلوگرم)]]&lt;0,Main[[#This Row],[تاريخ میلادی]]&gt;44276),Main[[#This Row],[مقدار (کیلوگرم)]],0)</f>
        <v>0</v>
      </c>
      <c r="N542" s="6">
        <f ca="1">Main[[#This Row],[بدهکار (کیلوگرم)]]-Main[[#This Row],[بدهی تسویه نشده (کیلوگرم)]]</f>
        <v>0</v>
      </c>
      <c r="O542" s="6">
        <f ca="1">Main[[#This Row],[تفکیک]]</f>
        <v>0</v>
      </c>
      <c r="P542" s="6">
        <f ca="1">IF(Main[[#This Row],[تاخیر از سررسید]]&gt;0,Main[[#This Row],[بدهی تسویه نشده (کیلوگرم)]],0)</f>
        <v>0</v>
      </c>
      <c r="Q542" s="6">
        <f ca="1">IF(Main[[#This Row],[بدهی تسویه نشده (کیلوگرم)]]&gt;0,'گزارش فردی'!$B$7-Main[[#This Row],[تاريخ میلادی]],0)</f>
        <v>0</v>
      </c>
      <c r="R542" s="6">
        <f ca="1">IF(Main[[#This Row],[بدهی تسویه نشده (کیلوگرم)]]&gt;0,'گزارش فردی'!$B$7-Main[[#This Row],[تاريخ میلادی]]-'گزارش فردی'!$B$8,0)</f>
        <v>0</v>
      </c>
      <c r="S542" s="6">
        <f ca="1">Main[[#This Row],[روز از ارسال سفارش]]*Main[[#This Row],[بدهی تسویه نشده (کیلوگرم)]]</f>
        <v>0</v>
      </c>
      <c r="T542" s="6">
        <f ca="1">Main[[#This Row],[بدهی سررسید شده (کیلوگرم)]]*Main[[#This Row],[روز از ارسال سفارش]]</f>
        <v>0</v>
      </c>
      <c r="U542" s="6">
        <f>-SUBTOTAL(9,INDEX(Main[مقدار (کیلوگرم)],1):Main[[#This Row],[مقدار (کیلوگرم)]])</f>
        <v>19573</v>
      </c>
      <c r="V5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2" s="6">
        <f>Main[[#This Row],[تعداد کل روزهای بدهکار (روز)]]*Main[[#This Row],[مانده در خط کل (کیلوگرم)]]</f>
        <v>0</v>
      </c>
      <c r="X542" s="6">
        <f ca="1">-SUBTOTAL(9,INDEX(Main[مقدار تسویه شده (کیلوگرم)],1):Main[[#This Row],[مقدار تسویه شده (کیلوگرم)]])</f>
        <v>19573</v>
      </c>
      <c r="Y542" s="6">
        <f ca="1">IF(Main[[#This Row],[مانده در خط تسویه شده (کیلوگرم)]]&lt;&gt;0,Main[[#This Row],[تعداد کل روزهای بدهکار (روز)]],0)</f>
        <v>0</v>
      </c>
      <c r="Z542" s="6">
        <f ca="1">Main[[#This Row],[تعداد روزهای بدهکار تسویه شده (روز)]]*Main[[#This Row],[مانده در خط تسویه شده (کیلوگرم)]]</f>
        <v>0</v>
      </c>
      <c r="AA542" s="6">
        <f ca="1">SUBTOTAL(9,INDEX(Main[بدهی تسویه نشده (کیلوگرم)],1):Main[[#This Row],[بدهی تسویه نشده (کیلوگرم)]])</f>
        <v>0</v>
      </c>
      <c r="AB542" s="6">
        <f ca="1">IF(Main[[#This Row],[مانده در خط تسویه نشده (کیلوگرم)]]&lt;&gt;0,Main[[#This Row],[تعداد کل روزهای بدهکار (روز)]],0)</f>
        <v>0</v>
      </c>
      <c r="AC542" s="6">
        <f ca="1">Main[[#This Row],[تعداد روزهای بدهکار  تسویه نشده (روز)]]*Main[[#This Row],[مانده در خط تسویه نشده (کیلوگرم)]]</f>
        <v>0</v>
      </c>
      <c r="AD542" s="6">
        <f ca="1">SUBTOTAL(9,INDEX(Main[بدهی سررسید شده (کیلوگرم)],1):Main[[#This Row],[بدهی سررسید شده (کیلوگرم)]])</f>
        <v>0</v>
      </c>
      <c r="AE542" s="6">
        <f ca="1">IF(Main[[#This Row],[مانده در خط سررسید شده (کیلوگرم)]]&lt;&gt;0,Main[[#This Row],[تعداد کل روزهای بدهکار (روز)]],0)</f>
        <v>0</v>
      </c>
      <c r="AF542" s="6">
        <f ca="1">Main[[#This Row],[تعداد روزهای بدهکار سررسید شده (روز)]]*Main[[#This Row],[مانده در خط سررسید شده (کیلوگرم)]]</f>
        <v>0</v>
      </c>
    </row>
    <row r="543" spans="1:32" x14ac:dyDescent="0.35">
      <c r="A543" s="5">
        <f>ROW()-ROW(INDEX(Main[ردیف],1))+1</f>
        <v>541</v>
      </c>
      <c r="B543" s="31">
        <f>SUBTOTAL(2,INDEX(Main[ردیف],1):Main[[#This Row],[ردیف]])</f>
        <v>51</v>
      </c>
      <c r="C543" s="32" t="s">
        <v>563</v>
      </c>
      <c r="D543" s="32" t="str">
        <f>_xlfn.CONCAT("14",Main[[#This Row],[تاريخ]])</f>
        <v>1400/02/30</v>
      </c>
      <c r="E543" s="33">
        <v>44336</v>
      </c>
      <c r="F543" s="32">
        <v>10003</v>
      </c>
      <c r="G543" s="5" t="str">
        <f>INDEX(customer[عنوان],MATCH(Main[[#This Row],[کد ردیابی]],customer[کد],0))</f>
        <v>اصغر نورعلی</v>
      </c>
      <c r="H543">
        <v>-2060</v>
      </c>
      <c r="I543" s="6">
        <f ca="1">-Main[[#This Row],[بدهی تسویه شده (کیلوگرم)]]+Main[[#This Row],[بستانکار (کیلوگرم)]]</f>
        <v>-2060</v>
      </c>
      <c r="J543" s="6">
        <f>IF(Main[[#This Row],[مقدار (کیلوگرم)]]&gt;0,Main[[#This Row],[مقدار (کیلوگرم)]],0)</f>
        <v>0</v>
      </c>
      <c r="K543" s="6">
        <f>-IF(Main[[#This Row],[مقدار (کیلوگرم)]]&lt;0,Main[[#This Row],[مقدار (کیلوگرم)]],0)</f>
        <v>2060</v>
      </c>
      <c r="L5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3" s="7">
        <f>-IF(AND(Main[[#This Row],[مقدار (کیلوگرم)]]&lt;0,Main[[#This Row],[تاريخ میلادی]]&gt;44276),Main[[#This Row],[مقدار (کیلوگرم)]],0)</f>
        <v>2060</v>
      </c>
      <c r="N543" s="6">
        <f ca="1">Main[[#This Row],[بدهکار (کیلوگرم)]]-Main[[#This Row],[بدهی تسویه نشده (کیلوگرم)]]</f>
        <v>2060</v>
      </c>
      <c r="O543" s="6">
        <f ca="1">Main[[#This Row],[تفکیک]]</f>
        <v>0</v>
      </c>
      <c r="P543" s="6">
        <f ca="1">IF(Main[[#This Row],[تاخیر از سررسید]]&gt;0,Main[[#This Row],[بدهی تسویه نشده (کیلوگرم)]],0)</f>
        <v>0</v>
      </c>
      <c r="Q543" s="6">
        <f ca="1">IF(Main[[#This Row],[بدهی تسویه نشده (کیلوگرم)]]&gt;0,'گزارش فردی'!$B$7-Main[[#This Row],[تاريخ میلادی]],0)</f>
        <v>0</v>
      </c>
      <c r="R543" s="6">
        <f ca="1">IF(Main[[#This Row],[بدهی تسویه نشده (کیلوگرم)]]&gt;0,'گزارش فردی'!$B$7-Main[[#This Row],[تاريخ میلادی]]-'گزارش فردی'!$B$8,0)</f>
        <v>0</v>
      </c>
      <c r="S543" s="6">
        <f ca="1">Main[[#This Row],[روز از ارسال سفارش]]*Main[[#This Row],[بدهی تسویه نشده (کیلوگرم)]]</f>
        <v>0</v>
      </c>
      <c r="T543" s="6">
        <f ca="1">Main[[#This Row],[بدهی سررسید شده (کیلوگرم)]]*Main[[#This Row],[روز از ارسال سفارش]]</f>
        <v>0</v>
      </c>
      <c r="U543" s="6">
        <f>-SUBTOTAL(9,INDEX(Main[مقدار (کیلوگرم)],1):Main[[#This Row],[مقدار (کیلوگرم)]])</f>
        <v>21633</v>
      </c>
      <c r="V5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3" s="6">
        <f>Main[[#This Row],[تعداد کل روزهای بدهکار (روز)]]*Main[[#This Row],[مانده در خط کل (کیلوگرم)]]</f>
        <v>0</v>
      </c>
      <c r="X543" s="6">
        <f ca="1">-SUBTOTAL(9,INDEX(Main[مقدار تسویه شده (کیلوگرم)],1):Main[[#This Row],[مقدار تسویه شده (کیلوگرم)]])</f>
        <v>21633</v>
      </c>
      <c r="Y543" s="6">
        <f ca="1">IF(Main[[#This Row],[مانده در خط تسویه شده (کیلوگرم)]]&lt;&gt;0,Main[[#This Row],[تعداد کل روزهای بدهکار (روز)]],0)</f>
        <v>0</v>
      </c>
      <c r="Z543" s="6">
        <f ca="1">Main[[#This Row],[تعداد روزهای بدهکار تسویه شده (روز)]]*Main[[#This Row],[مانده در خط تسویه شده (کیلوگرم)]]</f>
        <v>0</v>
      </c>
      <c r="AA543" s="6">
        <f ca="1">SUBTOTAL(9,INDEX(Main[بدهی تسویه نشده (کیلوگرم)],1):Main[[#This Row],[بدهی تسویه نشده (کیلوگرم)]])</f>
        <v>0</v>
      </c>
      <c r="AB543" s="6">
        <f ca="1">IF(Main[[#This Row],[مانده در خط تسویه نشده (کیلوگرم)]]&lt;&gt;0,Main[[#This Row],[تعداد کل روزهای بدهکار (روز)]],0)</f>
        <v>0</v>
      </c>
      <c r="AC543" s="6">
        <f ca="1">Main[[#This Row],[تعداد روزهای بدهکار  تسویه نشده (روز)]]*Main[[#This Row],[مانده در خط تسویه نشده (کیلوگرم)]]</f>
        <v>0</v>
      </c>
      <c r="AD543" s="6">
        <f ca="1">SUBTOTAL(9,INDEX(Main[بدهی سررسید شده (کیلوگرم)],1):Main[[#This Row],[بدهی سررسید شده (کیلوگرم)]])</f>
        <v>0</v>
      </c>
      <c r="AE543" s="6">
        <f ca="1">IF(Main[[#This Row],[مانده در خط سررسید شده (کیلوگرم)]]&lt;&gt;0,Main[[#This Row],[تعداد کل روزهای بدهکار (روز)]],0)</f>
        <v>0</v>
      </c>
      <c r="AF543" s="6">
        <f ca="1">Main[[#This Row],[تعداد روزهای بدهکار سررسید شده (روز)]]*Main[[#This Row],[مانده در خط سررسید شده (کیلوگرم)]]</f>
        <v>0</v>
      </c>
    </row>
    <row r="544" spans="1:32" hidden="1" x14ac:dyDescent="0.35">
      <c r="A544" s="5">
        <f>ROW()-ROW(INDEX(Main[ردیف],1))+1</f>
        <v>542</v>
      </c>
      <c r="B544" s="31">
        <f>SUBTOTAL(2,INDEX(Main[ردیف],1):Main[[#This Row],[ردیف]])</f>
        <v>51</v>
      </c>
      <c r="C544" s="32" t="s">
        <v>563</v>
      </c>
      <c r="D544" s="32" t="str">
        <f>_xlfn.CONCAT("14",Main[[#This Row],[تاريخ]])</f>
        <v>1400/02/30</v>
      </c>
      <c r="E544" s="33">
        <v>44336</v>
      </c>
      <c r="F544" s="32">
        <v>30009</v>
      </c>
      <c r="G544" s="5" t="str">
        <f>INDEX(customer[عنوان],MATCH(Main[[#This Row],[کد ردیابی]],customer[کد],0))</f>
        <v>شرکت ایمن تک پیشرو</v>
      </c>
      <c r="H544">
        <v>2035</v>
      </c>
      <c r="I544" s="6">
        <f ca="1">-Main[[#This Row],[بدهی تسویه شده (کیلوگرم)]]+Main[[#This Row],[بستانکار (کیلوگرم)]]</f>
        <v>2035</v>
      </c>
      <c r="J544" s="6">
        <f>IF(Main[[#This Row],[مقدار (کیلوگرم)]]&gt;0,Main[[#This Row],[مقدار (کیلوگرم)]],0)</f>
        <v>2035</v>
      </c>
      <c r="K544" s="6">
        <f>-IF(Main[[#This Row],[مقدار (کیلوگرم)]]&lt;0,Main[[#This Row],[مقدار (کیلوگرم)]],0)</f>
        <v>0</v>
      </c>
      <c r="L5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4" s="7">
        <f>-IF(AND(Main[[#This Row],[مقدار (کیلوگرم)]]&lt;0,Main[[#This Row],[تاريخ میلادی]]&gt;44276),Main[[#This Row],[مقدار (کیلوگرم)]],0)</f>
        <v>0</v>
      </c>
      <c r="N544" s="6">
        <f ca="1">Main[[#This Row],[بدهکار (کیلوگرم)]]-Main[[#This Row],[بدهی تسویه نشده (کیلوگرم)]]</f>
        <v>0</v>
      </c>
      <c r="O544" s="6">
        <f ca="1">Main[[#This Row],[تفکیک]]</f>
        <v>0</v>
      </c>
      <c r="P544" s="6">
        <f ca="1">IF(Main[[#This Row],[تاخیر از سررسید]]&gt;0,Main[[#This Row],[بدهی تسویه نشده (کیلوگرم)]],0)</f>
        <v>0</v>
      </c>
      <c r="Q544" s="6">
        <f ca="1">IF(Main[[#This Row],[بدهی تسویه نشده (کیلوگرم)]]&gt;0,'گزارش فردی'!$B$7-Main[[#This Row],[تاريخ میلادی]],0)</f>
        <v>0</v>
      </c>
      <c r="R544" s="6">
        <f ca="1">IF(Main[[#This Row],[بدهی تسویه نشده (کیلوگرم)]]&gt;0,'گزارش فردی'!$B$7-Main[[#This Row],[تاريخ میلادی]]-'گزارش فردی'!$B$8,0)</f>
        <v>0</v>
      </c>
      <c r="S544" s="6">
        <f ca="1">Main[[#This Row],[روز از ارسال سفارش]]*Main[[#This Row],[بدهی تسویه نشده (کیلوگرم)]]</f>
        <v>0</v>
      </c>
      <c r="T544" s="6">
        <f ca="1">Main[[#This Row],[بدهی سررسید شده (کیلوگرم)]]*Main[[#This Row],[روز از ارسال سفارش]]</f>
        <v>0</v>
      </c>
      <c r="U544" s="6">
        <f>-SUBTOTAL(9,INDEX(Main[مقدار (کیلوگرم)],1):Main[[#This Row],[مقدار (کیلوگرم)]])</f>
        <v>21633</v>
      </c>
      <c r="V5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4" s="6">
        <f>Main[[#This Row],[تعداد کل روزهای بدهکار (روز)]]*Main[[#This Row],[مانده در خط کل (کیلوگرم)]]</f>
        <v>0</v>
      </c>
      <c r="X544" s="6">
        <f ca="1">-SUBTOTAL(9,INDEX(Main[مقدار تسویه شده (کیلوگرم)],1):Main[[#This Row],[مقدار تسویه شده (کیلوگرم)]])</f>
        <v>21633</v>
      </c>
      <c r="Y544" s="6">
        <f ca="1">IF(Main[[#This Row],[مانده در خط تسویه شده (کیلوگرم)]]&lt;&gt;0,Main[[#This Row],[تعداد کل روزهای بدهکار (روز)]],0)</f>
        <v>0</v>
      </c>
      <c r="Z544" s="6">
        <f ca="1">Main[[#This Row],[تعداد روزهای بدهکار تسویه شده (روز)]]*Main[[#This Row],[مانده در خط تسویه شده (کیلوگرم)]]</f>
        <v>0</v>
      </c>
      <c r="AA544" s="6">
        <f ca="1">SUBTOTAL(9,INDEX(Main[بدهی تسویه نشده (کیلوگرم)],1):Main[[#This Row],[بدهی تسویه نشده (کیلوگرم)]])</f>
        <v>0</v>
      </c>
      <c r="AB544" s="6">
        <f ca="1">IF(Main[[#This Row],[مانده در خط تسویه نشده (کیلوگرم)]]&lt;&gt;0,Main[[#This Row],[تعداد کل روزهای بدهکار (روز)]],0)</f>
        <v>0</v>
      </c>
      <c r="AC544" s="6">
        <f ca="1">Main[[#This Row],[تعداد روزهای بدهکار  تسویه نشده (روز)]]*Main[[#This Row],[مانده در خط تسویه نشده (کیلوگرم)]]</f>
        <v>0</v>
      </c>
      <c r="AD544" s="6">
        <f ca="1">SUBTOTAL(9,INDEX(Main[بدهی سررسید شده (کیلوگرم)],1):Main[[#This Row],[بدهی سررسید شده (کیلوگرم)]])</f>
        <v>0</v>
      </c>
      <c r="AE544" s="6">
        <f ca="1">IF(Main[[#This Row],[مانده در خط سررسید شده (کیلوگرم)]]&lt;&gt;0,Main[[#This Row],[تعداد کل روزهای بدهکار (روز)]],0)</f>
        <v>0</v>
      </c>
      <c r="AF544" s="6">
        <f ca="1">Main[[#This Row],[تعداد روزهای بدهکار سررسید شده (روز)]]*Main[[#This Row],[مانده در خط سررسید شده (کیلوگرم)]]</f>
        <v>0</v>
      </c>
    </row>
    <row r="545" spans="1:32" hidden="1" x14ac:dyDescent="0.35">
      <c r="A545" s="5">
        <f>ROW()-ROW(INDEX(Main[ردیف],1))+1</f>
        <v>543</v>
      </c>
      <c r="B545" s="31">
        <f>SUBTOTAL(2,INDEX(Main[ردیف],1):Main[[#This Row],[ردیف]])</f>
        <v>51</v>
      </c>
      <c r="C545" s="32" t="s">
        <v>563</v>
      </c>
      <c r="D545" s="32" t="str">
        <f>_xlfn.CONCAT("14",Main[[#This Row],[تاريخ]])</f>
        <v>1400/02/30</v>
      </c>
      <c r="E545" s="33">
        <v>44336</v>
      </c>
      <c r="F545" s="32">
        <v>30003</v>
      </c>
      <c r="G545" s="5" t="str">
        <f>INDEX(customer[عنوان],MATCH(Main[[#This Row],[کد ردیابی]],customer[کد],0))</f>
        <v xml:space="preserve">شهاب گاز سوز </v>
      </c>
      <c r="H545">
        <v>-1032</v>
      </c>
      <c r="I545" s="6">
        <f ca="1">-Main[[#This Row],[بدهی تسویه شده (کیلوگرم)]]+Main[[#This Row],[بستانکار (کیلوگرم)]]</f>
        <v>-1032</v>
      </c>
      <c r="J545" s="6">
        <f>IF(Main[[#This Row],[مقدار (کیلوگرم)]]&gt;0,Main[[#This Row],[مقدار (کیلوگرم)]],0)</f>
        <v>0</v>
      </c>
      <c r="K545" s="6">
        <f>-IF(Main[[#This Row],[مقدار (کیلوگرم)]]&lt;0,Main[[#This Row],[مقدار (کیلوگرم)]],0)</f>
        <v>1032</v>
      </c>
      <c r="L5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5" s="7">
        <f>-IF(AND(Main[[#This Row],[مقدار (کیلوگرم)]]&lt;0,Main[[#This Row],[تاريخ میلادی]]&gt;44276),Main[[#This Row],[مقدار (کیلوگرم)]],0)</f>
        <v>1032</v>
      </c>
      <c r="N545" s="6">
        <f ca="1">Main[[#This Row],[بدهکار (کیلوگرم)]]-Main[[#This Row],[بدهی تسویه نشده (کیلوگرم)]]</f>
        <v>1032</v>
      </c>
      <c r="O545" s="6">
        <f ca="1">Main[[#This Row],[تفکیک]]</f>
        <v>0</v>
      </c>
      <c r="P545" s="6">
        <f ca="1">IF(Main[[#This Row],[تاخیر از سررسید]]&gt;0,Main[[#This Row],[بدهی تسویه نشده (کیلوگرم)]],0)</f>
        <v>0</v>
      </c>
      <c r="Q545" s="6">
        <f ca="1">IF(Main[[#This Row],[بدهی تسویه نشده (کیلوگرم)]]&gt;0,'گزارش فردی'!$B$7-Main[[#This Row],[تاريخ میلادی]],0)</f>
        <v>0</v>
      </c>
      <c r="R545" s="6">
        <f ca="1">IF(Main[[#This Row],[بدهی تسویه نشده (کیلوگرم)]]&gt;0,'گزارش فردی'!$B$7-Main[[#This Row],[تاريخ میلادی]]-'گزارش فردی'!$B$8,0)</f>
        <v>0</v>
      </c>
      <c r="S545" s="6">
        <f ca="1">Main[[#This Row],[روز از ارسال سفارش]]*Main[[#This Row],[بدهی تسویه نشده (کیلوگرم)]]</f>
        <v>0</v>
      </c>
      <c r="T545" s="6">
        <f ca="1">Main[[#This Row],[بدهی سررسید شده (کیلوگرم)]]*Main[[#This Row],[روز از ارسال سفارش]]</f>
        <v>0</v>
      </c>
      <c r="U545" s="6">
        <f>-SUBTOTAL(9,INDEX(Main[مقدار (کیلوگرم)],1):Main[[#This Row],[مقدار (کیلوگرم)]])</f>
        <v>21633</v>
      </c>
      <c r="V5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5" s="6">
        <f>Main[[#This Row],[تعداد کل روزهای بدهکار (روز)]]*Main[[#This Row],[مانده در خط کل (کیلوگرم)]]</f>
        <v>0</v>
      </c>
      <c r="X545" s="6">
        <f ca="1">-SUBTOTAL(9,INDEX(Main[مقدار تسویه شده (کیلوگرم)],1):Main[[#This Row],[مقدار تسویه شده (کیلوگرم)]])</f>
        <v>21633</v>
      </c>
      <c r="Y545" s="6">
        <f ca="1">IF(Main[[#This Row],[مانده در خط تسویه شده (کیلوگرم)]]&lt;&gt;0,Main[[#This Row],[تعداد کل روزهای بدهکار (روز)]],0)</f>
        <v>0</v>
      </c>
      <c r="Z545" s="6">
        <f ca="1">Main[[#This Row],[تعداد روزهای بدهکار تسویه شده (روز)]]*Main[[#This Row],[مانده در خط تسویه شده (کیلوگرم)]]</f>
        <v>0</v>
      </c>
      <c r="AA545" s="6">
        <f ca="1">SUBTOTAL(9,INDEX(Main[بدهی تسویه نشده (کیلوگرم)],1):Main[[#This Row],[بدهی تسویه نشده (کیلوگرم)]])</f>
        <v>0</v>
      </c>
      <c r="AB545" s="6">
        <f ca="1">IF(Main[[#This Row],[مانده در خط تسویه نشده (کیلوگرم)]]&lt;&gt;0,Main[[#This Row],[تعداد کل روزهای بدهکار (روز)]],0)</f>
        <v>0</v>
      </c>
      <c r="AC545" s="6">
        <f ca="1">Main[[#This Row],[تعداد روزهای بدهکار  تسویه نشده (روز)]]*Main[[#This Row],[مانده در خط تسویه نشده (کیلوگرم)]]</f>
        <v>0</v>
      </c>
      <c r="AD545" s="6">
        <f ca="1">SUBTOTAL(9,INDEX(Main[بدهی سررسید شده (کیلوگرم)],1):Main[[#This Row],[بدهی سررسید شده (کیلوگرم)]])</f>
        <v>0</v>
      </c>
      <c r="AE545" s="6">
        <f ca="1">IF(Main[[#This Row],[مانده در خط سررسید شده (کیلوگرم)]]&lt;&gt;0,Main[[#This Row],[تعداد کل روزهای بدهکار (روز)]],0)</f>
        <v>0</v>
      </c>
      <c r="AF545" s="6">
        <f ca="1">Main[[#This Row],[تعداد روزهای بدهکار سررسید شده (روز)]]*Main[[#This Row],[مانده در خط سررسید شده (کیلوگرم)]]</f>
        <v>0</v>
      </c>
    </row>
    <row r="546" spans="1:32" hidden="1" x14ac:dyDescent="0.35">
      <c r="A546" s="5">
        <f>ROW()-ROW(INDEX(Main[ردیف],1))+1</f>
        <v>544</v>
      </c>
      <c r="B546" s="31">
        <f>SUBTOTAL(2,INDEX(Main[ردیف],1):Main[[#This Row],[ردیف]])</f>
        <v>51</v>
      </c>
      <c r="C546" s="32" t="s">
        <v>563</v>
      </c>
      <c r="D546" s="32" t="str">
        <f>_xlfn.CONCAT("14",Main[[#This Row],[تاريخ]])</f>
        <v>1400/02/30</v>
      </c>
      <c r="E546" s="33">
        <v>44336</v>
      </c>
      <c r="F546" s="32">
        <v>30009</v>
      </c>
      <c r="G546" s="5" t="str">
        <f>INDEX(customer[عنوان],MATCH(Main[[#This Row],[کد ردیابی]],customer[کد],0))</f>
        <v>شرکت ایمن تک پیشرو</v>
      </c>
      <c r="H546">
        <v>1538</v>
      </c>
      <c r="I546" s="6">
        <f ca="1">-Main[[#This Row],[بدهی تسویه شده (کیلوگرم)]]+Main[[#This Row],[بستانکار (کیلوگرم)]]</f>
        <v>1538</v>
      </c>
      <c r="J546" s="6">
        <f>IF(Main[[#This Row],[مقدار (کیلوگرم)]]&gt;0,Main[[#This Row],[مقدار (کیلوگرم)]],0)</f>
        <v>1538</v>
      </c>
      <c r="K546" s="6">
        <f>-IF(Main[[#This Row],[مقدار (کیلوگرم)]]&lt;0,Main[[#This Row],[مقدار (کیلوگرم)]],0)</f>
        <v>0</v>
      </c>
      <c r="L5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6" s="7">
        <f>-IF(AND(Main[[#This Row],[مقدار (کیلوگرم)]]&lt;0,Main[[#This Row],[تاريخ میلادی]]&gt;44276),Main[[#This Row],[مقدار (کیلوگرم)]],0)</f>
        <v>0</v>
      </c>
      <c r="N546" s="6">
        <f ca="1">Main[[#This Row],[بدهکار (کیلوگرم)]]-Main[[#This Row],[بدهی تسویه نشده (کیلوگرم)]]</f>
        <v>0</v>
      </c>
      <c r="O546" s="6">
        <f ca="1">Main[[#This Row],[تفکیک]]</f>
        <v>0</v>
      </c>
      <c r="P546" s="6">
        <f ca="1">IF(Main[[#This Row],[تاخیر از سررسید]]&gt;0,Main[[#This Row],[بدهی تسویه نشده (کیلوگرم)]],0)</f>
        <v>0</v>
      </c>
      <c r="Q546" s="6">
        <f ca="1">IF(Main[[#This Row],[بدهی تسویه نشده (کیلوگرم)]]&gt;0,'گزارش فردی'!$B$7-Main[[#This Row],[تاريخ میلادی]],0)</f>
        <v>0</v>
      </c>
      <c r="R546" s="6">
        <f ca="1">IF(Main[[#This Row],[بدهی تسویه نشده (کیلوگرم)]]&gt;0,'گزارش فردی'!$B$7-Main[[#This Row],[تاريخ میلادی]]-'گزارش فردی'!$B$8,0)</f>
        <v>0</v>
      </c>
      <c r="S546" s="6">
        <f ca="1">Main[[#This Row],[روز از ارسال سفارش]]*Main[[#This Row],[بدهی تسویه نشده (کیلوگرم)]]</f>
        <v>0</v>
      </c>
      <c r="T546" s="6">
        <f ca="1">Main[[#This Row],[بدهی سررسید شده (کیلوگرم)]]*Main[[#This Row],[روز از ارسال سفارش]]</f>
        <v>0</v>
      </c>
      <c r="U546" s="6">
        <f>-SUBTOTAL(9,INDEX(Main[مقدار (کیلوگرم)],1):Main[[#This Row],[مقدار (کیلوگرم)]])</f>
        <v>21633</v>
      </c>
      <c r="V5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6" s="6">
        <f>Main[[#This Row],[تعداد کل روزهای بدهکار (روز)]]*Main[[#This Row],[مانده در خط کل (کیلوگرم)]]</f>
        <v>0</v>
      </c>
      <c r="X546" s="6">
        <f ca="1">-SUBTOTAL(9,INDEX(Main[مقدار تسویه شده (کیلوگرم)],1):Main[[#This Row],[مقدار تسویه شده (کیلوگرم)]])</f>
        <v>21633</v>
      </c>
      <c r="Y546" s="6">
        <f ca="1">IF(Main[[#This Row],[مانده در خط تسویه شده (کیلوگرم)]]&lt;&gt;0,Main[[#This Row],[تعداد کل روزهای بدهکار (روز)]],0)</f>
        <v>0</v>
      </c>
      <c r="Z546" s="6">
        <f ca="1">Main[[#This Row],[تعداد روزهای بدهکار تسویه شده (روز)]]*Main[[#This Row],[مانده در خط تسویه شده (کیلوگرم)]]</f>
        <v>0</v>
      </c>
      <c r="AA546" s="6">
        <f ca="1">SUBTOTAL(9,INDEX(Main[بدهی تسویه نشده (کیلوگرم)],1):Main[[#This Row],[بدهی تسویه نشده (کیلوگرم)]])</f>
        <v>0</v>
      </c>
      <c r="AB546" s="6">
        <f ca="1">IF(Main[[#This Row],[مانده در خط تسویه نشده (کیلوگرم)]]&lt;&gt;0,Main[[#This Row],[تعداد کل روزهای بدهکار (روز)]],0)</f>
        <v>0</v>
      </c>
      <c r="AC546" s="6">
        <f ca="1">Main[[#This Row],[تعداد روزهای بدهکار  تسویه نشده (روز)]]*Main[[#This Row],[مانده در خط تسویه نشده (کیلوگرم)]]</f>
        <v>0</v>
      </c>
      <c r="AD546" s="6">
        <f ca="1">SUBTOTAL(9,INDEX(Main[بدهی سررسید شده (کیلوگرم)],1):Main[[#This Row],[بدهی سررسید شده (کیلوگرم)]])</f>
        <v>0</v>
      </c>
      <c r="AE546" s="6">
        <f ca="1">IF(Main[[#This Row],[مانده در خط سررسید شده (کیلوگرم)]]&lt;&gt;0,Main[[#This Row],[تعداد کل روزهای بدهکار (روز)]],0)</f>
        <v>0</v>
      </c>
      <c r="AF546" s="6">
        <f ca="1">Main[[#This Row],[تعداد روزهای بدهکار سررسید شده (روز)]]*Main[[#This Row],[مانده در خط سررسید شده (کیلوگرم)]]</f>
        <v>0</v>
      </c>
    </row>
    <row r="547" spans="1:32" x14ac:dyDescent="0.35">
      <c r="A547" s="5">
        <f>ROW()-ROW(INDEX(Main[ردیف],1))+1</f>
        <v>545</v>
      </c>
      <c r="B547" s="31">
        <f>SUBTOTAL(2,INDEX(Main[ردیف],1):Main[[#This Row],[ردیف]])</f>
        <v>52</v>
      </c>
      <c r="C547" s="32" t="s">
        <v>563</v>
      </c>
      <c r="D547" s="32" t="str">
        <f>_xlfn.CONCAT("14",Main[[#This Row],[تاريخ]])</f>
        <v>1400/02/30</v>
      </c>
      <c r="E547" s="33">
        <v>44336</v>
      </c>
      <c r="F547" s="32">
        <v>10003</v>
      </c>
      <c r="G547" s="5" t="str">
        <f>INDEX(customer[عنوان],MATCH(Main[[#This Row],[کد ردیابی]],customer[کد],0))</f>
        <v>اصغر نورعلی</v>
      </c>
      <c r="H547">
        <v>2389</v>
      </c>
      <c r="I547" s="6">
        <f ca="1">-Main[[#This Row],[بدهی تسویه شده (کیلوگرم)]]+Main[[#This Row],[بستانکار (کیلوگرم)]]</f>
        <v>2389</v>
      </c>
      <c r="J547" s="6">
        <f>IF(Main[[#This Row],[مقدار (کیلوگرم)]]&gt;0,Main[[#This Row],[مقدار (کیلوگرم)]],0)</f>
        <v>2389</v>
      </c>
      <c r="K547" s="6">
        <f>-IF(Main[[#This Row],[مقدار (کیلوگرم)]]&lt;0,Main[[#This Row],[مقدار (کیلوگرم)]],0)</f>
        <v>0</v>
      </c>
      <c r="L5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7" s="7">
        <f>-IF(AND(Main[[#This Row],[مقدار (کیلوگرم)]]&lt;0,Main[[#This Row],[تاريخ میلادی]]&gt;44276),Main[[#This Row],[مقدار (کیلوگرم)]],0)</f>
        <v>0</v>
      </c>
      <c r="N547" s="6">
        <f ca="1">Main[[#This Row],[بدهکار (کیلوگرم)]]-Main[[#This Row],[بدهی تسویه نشده (کیلوگرم)]]</f>
        <v>0</v>
      </c>
      <c r="O547" s="6">
        <f ca="1">Main[[#This Row],[تفکیک]]</f>
        <v>0</v>
      </c>
      <c r="P547" s="6">
        <f ca="1">IF(Main[[#This Row],[تاخیر از سررسید]]&gt;0,Main[[#This Row],[بدهی تسویه نشده (کیلوگرم)]],0)</f>
        <v>0</v>
      </c>
      <c r="Q547" s="6">
        <f ca="1">IF(Main[[#This Row],[بدهی تسویه نشده (کیلوگرم)]]&gt;0,'گزارش فردی'!$B$7-Main[[#This Row],[تاريخ میلادی]],0)</f>
        <v>0</v>
      </c>
      <c r="R547" s="6">
        <f ca="1">IF(Main[[#This Row],[بدهی تسویه نشده (کیلوگرم)]]&gt;0,'گزارش فردی'!$B$7-Main[[#This Row],[تاريخ میلادی]]-'گزارش فردی'!$B$8,0)</f>
        <v>0</v>
      </c>
      <c r="S547" s="6">
        <f ca="1">Main[[#This Row],[روز از ارسال سفارش]]*Main[[#This Row],[بدهی تسویه نشده (کیلوگرم)]]</f>
        <v>0</v>
      </c>
      <c r="T547" s="6">
        <f ca="1">Main[[#This Row],[بدهی سررسید شده (کیلوگرم)]]*Main[[#This Row],[روز از ارسال سفارش]]</f>
        <v>0</v>
      </c>
      <c r="U547" s="6">
        <f>-SUBTOTAL(9,INDEX(Main[مقدار (کیلوگرم)],1):Main[[#This Row],[مقدار (کیلوگرم)]])</f>
        <v>19244</v>
      </c>
      <c r="V5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47" s="6">
        <f>Main[[#This Row],[تعداد کل روزهای بدهکار (روز)]]*Main[[#This Row],[مانده در خط کل (کیلوگرم)]]</f>
        <v>38488</v>
      </c>
      <c r="X547" s="6">
        <f ca="1">-SUBTOTAL(9,INDEX(Main[مقدار تسویه شده (کیلوگرم)],1):Main[[#This Row],[مقدار تسویه شده (کیلوگرم)]])</f>
        <v>19244</v>
      </c>
      <c r="Y547" s="6">
        <f ca="1">IF(Main[[#This Row],[مانده در خط تسویه شده (کیلوگرم)]]&lt;&gt;0,Main[[#This Row],[تعداد کل روزهای بدهکار (روز)]],0)</f>
        <v>2</v>
      </c>
      <c r="Z547" s="6">
        <f ca="1">Main[[#This Row],[تعداد روزهای بدهکار تسویه شده (روز)]]*Main[[#This Row],[مانده در خط تسویه شده (کیلوگرم)]]</f>
        <v>38488</v>
      </c>
      <c r="AA547" s="6">
        <f ca="1">SUBTOTAL(9,INDEX(Main[بدهی تسویه نشده (کیلوگرم)],1):Main[[#This Row],[بدهی تسویه نشده (کیلوگرم)]])</f>
        <v>0</v>
      </c>
      <c r="AB547" s="6">
        <f ca="1">IF(Main[[#This Row],[مانده در خط تسویه نشده (کیلوگرم)]]&lt;&gt;0,Main[[#This Row],[تعداد کل روزهای بدهکار (روز)]],0)</f>
        <v>0</v>
      </c>
      <c r="AC547" s="6">
        <f ca="1">Main[[#This Row],[تعداد روزهای بدهکار  تسویه نشده (روز)]]*Main[[#This Row],[مانده در خط تسویه نشده (کیلوگرم)]]</f>
        <v>0</v>
      </c>
      <c r="AD547" s="6">
        <f ca="1">SUBTOTAL(9,INDEX(Main[بدهی سررسید شده (کیلوگرم)],1):Main[[#This Row],[بدهی سررسید شده (کیلوگرم)]])</f>
        <v>0</v>
      </c>
      <c r="AE547" s="6">
        <f ca="1">IF(Main[[#This Row],[مانده در خط سررسید شده (کیلوگرم)]]&lt;&gt;0,Main[[#This Row],[تعداد کل روزهای بدهکار (روز)]],0)</f>
        <v>0</v>
      </c>
      <c r="AF547" s="6">
        <f ca="1">Main[[#This Row],[تعداد روزهای بدهکار سررسید شده (روز)]]*Main[[#This Row],[مانده در خط سررسید شده (کیلوگرم)]]</f>
        <v>0</v>
      </c>
    </row>
    <row r="548" spans="1:32" hidden="1" x14ac:dyDescent="0.35">
      <c r="A548" s="5">
        <f>ROW()-ROW(INDEX(Main[ردیف],1))+1</f>
        <v>546</v>
      </c>
      <c r="B548" s="31">
        <f>SUBTOTAL(2,INDEX(Main[ردیف],1):Main[[#This Row],[ردیف]])</f>
        <v>52</v>
      </c>
      <c r="C548" s="32" t="s">
        <v>563</v>
      </c>
      <c r="D548" s="32" t="str">
        <f>_xlfn.CONCAT("14",Main[[#This Row],[تاريخ]])</f>
        <v>1400/02/30</v>
      </c>
      <c r="E548" s="33">
        <v>44336</v>
      </c>
      <c r="F548" s="32">
        <v>30137</v>
      </c>
      <c r="G548" s="5" t="str">
        <f>INDEX(customer[عنوان],MATCH(Main[[#This Row],[کد ردیابی]],customer[کد],0))</f>
        <v>شرکت آفتابگردان</v>
      </c>
      <c r="H548">
        <v>624</v>
      </c>
      <c r="I548" s="6">
        <f ca="1">-Main[[#This Row],[بدهی تسویه شده (کیلوگرم)]]+Main[[#This Row],[بستانکار (کیلوگرم)]]</f>
        <v>624</v>
      </c>
      <c r="J548" s="6">
        <f>IF(Main[[#This Row],[مقدار (کیلوگرم)]]&gt;0,Main[[#This Row],[مقدار (کیلوگرم)]],0)</f>
        <v>624</v>
      </c>
      <c r="K548" s="6">
        <f>-IF(Main[[#This Row],[مقدار (کیلوگرم)]]&lt;0,Main[[#This Row],[مقدار (کیلوگرم)]],0)</f>
        <v>0</v>
      </c>
      <c r="L5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8" s="7">
        <f>-IF(AND(Main[[#This Row],[مقدار (کیلوگرم)]]&lt;0,Main[[#This Row],[تاريخ میلادی]]&gt;44276),Main[[#This Row],[مقدار (کیلوگرم)]],0)</f>
        <v>0</v>
      </c>
      <c r="N548" s="6">
        <f ca="1">Main[[#This Row],[بدهکار (کیلوگرم)]]-Main[[#This Row],[بدهی تسویه نشده (کیلوگرم)]]</f>
        <v>0</v>
      </c>
      <c r="O548" s="6">
        <f ca="1">Main[[#This Row],[تفکیک]]</f>
        <v>0</v>
      </c>
      <c r="P548" s="6">
        <f ca="1">IF(Main[[#This Row],[تاخیر از سررسید]]&gt;0,Main[[#This Row],[بدهی تسویه نشده (کیلوگرم)]],0)</f>
        <v>0</v>
      </c>
      <c r="Q548" s="6">
        <f ca="1">IF(Main[[#This Row],[بدهی تسویه نشده (کیلوگرم)]]&gt;0,'گزارش فردی'!$B$7-Main[[#This Row],[تاريخ میلادی]],0)</f>
        <v>0</v>
      </c>
      <c r="R548" s="6">
        <f ca="1">IF(Main[[#This Row],[بدهی تسویه نشده (کیلوگرم)]]&gt;0,'گزارش فردی'!$B$7-Main[[#This Row],[تاريخ میلادی]]-'گزارش فردی'!$B$8,0)</f>
        <v>0</v>
      </c>
      <c r="S548" s="6">
        <f ca="1">Main[[#This Row],[روز از ارسال سفارش]]*Main[[#This Row],[بدهی تسویه نشده (کیلوگرم)]]</f>
        <v>0</v>
      </c>
      <c r="T548" s="6">
        <f ca="1">Main[[#This Row],[بدهی سررسید شده (کیلوگرم)]]*Main[[#This Row],[روز از ارسال سفارش]]</f>
        <v>0</v>
      </c>
      <c r="U548" s="6">
        <f>-SUBTOTAL(9,INDEX(Main[مقدار (کیلوگرم)],1):Main[[#This Row],[مقدار (کیلوگرم)]])</f>
        <v>19244</v>
      </c>
      <c r="V5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48" s="6">
        <f>Main[[#This Row],[تعداد کل روزهای بدهکار (روز)]]*Main[[#This Row],[مانده در خط کل (کیلوگرم)]]</f>
        <v>38488</v>
      </c>
      <c r="X548" s="6">
        <f ca="1">-SUBTOTAL(9,INDEX(Main[مقدار تسویه شده (کیلوگرم)],1):Main[[#This Row],[مقدار تسویه شده (کیلوگرم)]])</f>
        <v>19244</v>
      </c>
      <c r="Y548" s="6">
        <f ca="1">IF(Main[[#This Row],[مانده در خط تسویه شده (کیلوگرم)]]&lt;&gt;0,Main[[#This Row],[تعداد کل روزهای بدهکار (روز)]],0)</f>
        <v>2</v>
      </c>
      <c r="Z548" s="6">
        <f ca="1">Main[[#This Row],[تعداد روزهای بدهکار تسویه شده (روز)]]*Main[[#This Row],[مانده در خط تسویه شده (کیلوگرم)]]</f>
        <v>38488</v>
      </c>
      <c r="AA548" s="6">
        <f ca="1">SUBTOTAL(9,INDEX(Main[بدهی تسویه نشده (کیلوگرم)],1):Main[[#This Row],[بدهی تسویه نشده (کیلوگرم)]])</f>
        <v>0</v>
      </c>
      <c r="AB548" s="6">
        <f ca="1">IF(Main[[#This Row],[مانده در خط تسویه نشده (کیلوگرم)]]&lt;&gt;0,Main[[#This Row],[تعداد کل روزهای بدهکار (روز)]],0)</f>
        <v>0</v>
      </c>
      <c r="AC548" s="6">
        <f ca="1">Main[[#This Row],[تعداد روزهای بدهکار  تسویه نشده (روز)]]*Main[[#This Row],[مانده در خط تسویه نشده (کیلوگرم)]]</f>
        <v>0</v>
      </c>
      <c r="AD548" s="6">
        <f ca="1">SUBTOTAL(9,INDEX(Main[بدهی سررسید شده (کیلوگرم)],1):Main[[#This Row],[بدهی سررسید شده (کیلوگرم)]])</f>
        <v>0</v>
      </c>
      <c r="AE548" s="6">
        <f ca="1">IF(Main[[#This Row],[مانده در خط سررسید شده (کیلوگرم)]]&lt;&gt;0,Main[[#This Row],[تعداد کل روزهای بدهکار (روز)]],0)</f>
        <v>0</v>
      </c>
      <c r="AF548" s="6">
        <f ca="1">Main[[#This Row],[تعداد روزهای بدهکار سررسید شده (روز)]]*Main[[#This Row],[مانده در خط سررسید شده (کیلوگرم)]]</f>
        <v>0</v>
      </c>
    </row>
    <row r="549" spans="1:32" hidden="1" x14ac:dyDescent="0.35">
      <c r="A549" s="5">
        <f>ROW()-ROW(INDEX(Main[ردیف],1))+1</f>
        <v>547</v>
      </c>
      <c r="B549" s="31">
        <f>SUBTOTAL(2,INDEX(Main[ردیف],1):Main[[#This Row],[ردیف]])</f>
        <v>52</v>
      </c>
      <c r="C549" s="32" t="s">
        <v>563</v>
      </c>
      <c r="D549" s="32" t="str">
        <f>_xlfn.CONCAT("14",Main[[#This Row],[تاريخ]])</f>
        <v>1400/02/30</v>
      </c>
      <c r="E549" s="33">
        <v>44336</v>
      </c>
      <c r="F549" s="32">
        <v>30003</v>
      </c>
      <c r="G549" s="5" t="str">
        <f>INDEX(customer[عنوان],MATCH(Main[[#This Row],[کد ردیابی]],customer[کد],0))</f>
        <v xml:space="preserve">شهاب گاز سوز </v>
      </c>
      <c r="H549">
        <v>82</v>
      </c>
      <c r="I549" s="6">
        <f ca="1">-Main[[#This Row],[بدهی تسویه شده (کیلوگرم)]]+Main[[#This Row],[بستانکار (کیلوگرم)]]</f>
        <v>82</v>
      </c>
      <c r="J549" s="6">
        <f>IF(Main[[#This Row],[مقدار (کیلوگرم)]]&gt;0,Main[[#This Row],[مقدار (کیلوگرم)]],0)</f>
        <v>82</v>
      </c>
      <c r="K549" s="6">
        <f>-IF(Main[[#This Row],[مقدار (کیلوگرم)]]&lt;0,Main[[#This Row],[مقدار (کیلوگرم)]],0)</f>
        <v>0</v>
      </c>
      <c r="L5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9" s="7">
        <f>-IF(AND(Main[[#This Row],[مقدار (کیلوگرم)]]&lt;0,Main[[#This Row],[تاريخ میلادی]]&gt;44276),Main[[#This Row],[مقدار (کیلوگرم)]],0)</f>
        <v>0</v>
      </c>
      <c r="N549" s="6">
        <f ca="1">Main[[#This Row],[بدهکار (کیلوگرم)]]-Main[[#This Row],[بدهی تسویه نشده (کیلوگرم)]]</f>
        <v>0</v>
      </c>
      <c r="O549" s="6">
        <f ca="1">Main[[#This Row],[تفکیک]]</f>
        <v>0</v>
      </c>
      <c r="P549" s="6">
        <f ca="1">IF(Main[[#This Row],[تاخیر از سررسید]]&gt;0,Main[[#This Row],[بدهی تسویه نشده (کیلوگرم)]],0)</f>
        <v>0</v>
      </c>
      <c r="Q549" s="6">
        <f ca="1">IF(Main[[#This Row],[بدهی تسویه نشده (کیلوگرم)]]&gt;0,'گزارش فردی'!$B$7-Main[[#This Row],[تاريخ میلادی]],0)</f>
        <v>0</v>
      </c>
      <c r="R549" s="6">
        <f ca="1">IF(Main[[#This Row],[بدهی تسویه نشده (کیلوگرم)]]&gt;0,'گزارش فردی'!$B$7-Main[[#This Row],[تاريخ میلادی]]-'گزارش فردی'!$B$8,0)</f>
        <v>0</v>
      </c>
      <c r="S549" s="6">
        <f ca="1">Main[[#This Row],[روز از ارسال سفارش]]*Main[[#This Row],[بدهی تسویه نشده (کیلوگرم)]]</f>
        <v>0</v>
      </c>
      <c r="T549" s="6">
        <f ca="1">Main[[#This Row],[بدهی سررسید شده (کیلوگرم)]]*Main[[#This Row],[روز از ارسال سفارش]]</f>
        <v>0</v>
      </c>
      <c r="U549" s="6">
        <f>-SUBTOTAL(9,INDEX(Main[مقدار (کیلوگرم)],1):Main[[#This Row],[مقدار (کیلوگرم)]])</f>
        <v>19244</v>
      </c>
      <c r="V5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49" s="6">
        <f>Main[[#This Row],[تعداد کل روزهای بدهکار (روز)]]*Main[[#This Row],[مانده در خط کل (کیلوگرم)]]</f>
        <v>38488</v>
      </c>
      <c r="X549" s="6">
        <f ca="1">-SUBTOTAL(9,INDEX(Main[مقدار تسویه شده (کیلوگرم)],1):Main[[#This Row],[مقدار تسویه شده (کیلوگرم)]])</f>
        <v>19244</v>
      </c>
      <c r="Y549" s="6">
        <f ca="1">IF(Main[[#This Row],[مانده در خط تسویه شده (کیلوگرم)]]&lt;&gt;0,Main[[#This Row],[تعداد کل روزهای بدهکار (روز)]],0)</f>
        <v>2</v>
      </c>
      <c r="Z549" s="6">
        <f ca="1">Main[[#This Row],[تعداد روزهای بدهکار تسویه شده (روز)]]*Main[[#This Row],[مانده در خط تسویه شده (کیلوگرم)]]</f>
        <v>38488</v>
      </c>
      <c r="AA549" s="6">
        <f ca="1">SUBTOTAL(9,INDEX(Main[بدهی تسویه نشده (کیلوگرم)],1):Main[[#This Row],[بدهی تسویه نشده (کیلوگرم)]])</f>
        <v>0</v>
      </c>
      <c r="AB549" s="6">
        <f ca="1">IF(Main[[#This Row],[مانده در خط تسویه نشده (کیلوگرم)]]&lt;&gt;0,Main[[#This Row],[تعداد کل روزهای بدهکار (روز)]],0)</f>
        <v>0</v>
      </c>
      <c r="AC549" s="6">
        <f ca="1">Main[[#This Row],[تعداد روزهای بدهکار  تسویه نشده (روز)]]*Main[[#This Row],[مانده در خط تسویه نشده (کیلوگرم)]]</f>
        <v>0</v>
      </c>
      <c r="AD549" s="6">
        <f ca="1">SUBTOTAL(9,INDEX(Main[بدهی سررسید شده (کیلوگرم)],1):Main[[#This Row],[بدهی سررسید شده (کیلوگرم)]])</f>
        <v>0</v>
      </c>
      <c r="AE549" s="6">
        <f ca="1">IF(Main[[#This Row],[مانده در خط سررسید شده (کیلوگرم)]]&lt;&gt;0,Main[[#This Row],[تعداد کل روزهای بدهکار (روز)]],0)</f>
        <v>0</v>
      </c>
      <c r="AF549" s="6">
        <f ca="1">Main[[#This Row],[تعداد روزهای بدهکار سررسید شده (روز)]]*Main[[#This Row],[مانده در خط سررسید شده (کیلوگرم)]]</f>
        <v>0</v>
      </c>
    </row>
    <row r="550" spans="1:32" hidden="1" x14ac:dyDescent="0.35">
      <c r="A550" s="5">
        <f>ROW()-ROW(INDEX(Main[ردیف],1))+1</f>
        <v>548</v>
      </c>
      <c r="B550" s="31">
        <f>SUBTOTAL(2,INDEX(Main[ردیف],1):Main[[#This Row],[ردیف]])</f>
        <v>52</v>
      </c>
      <c r="C550" s="32" t="s">
        <v>563</v>
      </c>
      <c r="D550" s="32" t="str">
        <f>_xlfn.CONCAT("14",Main[[#This Row],[تاريخ]])</f>
        <v>1400/02/30</v>
      </c>
      <c r="E550" s="33">
        <v>44336</v>
      </c>
      <c r="F550" s="32">
        <v>30003</v>
      </c>
      <c r="G550" s="5" t="str">
        <f>INDEX(customer[عنوان],MATCH(Main[[#This Row],[کد ردیابی]],customer[کد],0))</f>
        <v xml:space="preserve">شهاب گاز سوز </v>
      </c>
      <c r="H550">
        <v>958</v>
      </c>
      <c r="I550" s="6">
        <f ca="1">-Main[[#This Row],[بدهی تسویه شده (کیلوگرم)]]+Main[[#This Row],[بستانکار (کیلوگرم)]]</f>
        <v>958</v>
      </c>
      <c r="J550" s="6">
        <f>IF(Main[[#This Row],[مقدار (کیلوگرم)]]&gt;0,Main[[#This Row],[مقدار (کیلوگرم)]],0)</f>
        <v>958</v>
      </c>
      <c r="K550" s="6">
        <f>-IF(Main[[#This Row],[مقدار (کیلوگرم)]]&lt;0,Main[[#This Row],[مقدار (کیلوگرم)]],0)</f>
        <v>0</v>
      </c>
      <c r="L5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0" s="7">
        <f>-IF(AND(Main[[#This Row],[مقدار (کیلوگرم)]]&lt;0,Main[[#This Row],[تاريخ میلادی]]&gt;44276),Main[[#This Row],[مقدار (کیلوگرم)]],0)</f>
        <v>0</v>
      </c>
      <c r="N550" s="6">
        <f ca="1">Main[[#This Row],[بدهکار (کیلوگرم)]]-Main[[#This Row],[بدهی تسویه نشده (کیلوگرم)]]</f>
        <v>0</v>
      </c>
      <c r="O550" s="6">
        <f ca="1">Main[[#This Row],[تفکیک]]</f>
        <v>0</v>
      </c>
      <c r="P550" s="6">
        <f ca="1">IF(Main[[#This Row],[تاخیر از سررسید]]&gt;0,Main[[#This Row],[بدهی تسویه نشده (کیلوگرم)]],0)</f>
        <v>0</v>
      </c>
      <c r="Q550" s="6">
        <f ca="1">IF(Main[[#This Row],[بدهی تسویه نشده (کیلوگرم)]]&gt;0,'گزارش فردی'!$B$7-Main[[#This Row],[تاريخ میلادی]],0)</f>
        <v>0</v>
      </c>
      <c r="R550" s="6">
        <f ca="1">IF(Main[[#This Row],[بدهی تسویه نشده (کیلوگرم)]]&gt;0,'گزارش فردی'!$B$7-Main[[#This Row],[تاريخ میلادی]]-'گزارش فردی'!$B$8,0)</f>
        <v>0</v>
      </c>
      <c r="S550" s="6">
        <f ca="1">Main[[#This Row],[روز از ارسال سفارش]]*Main[[#This Row],[بدهی تسویه نشده (کیلوگرم)]]</f>
        <v>0</v>
      </c>
      <c r="T550" s="6">
        <f ca="1">Main[[#This Row],[بدهی سررسید شده (کیلوگرم)]]*Main[[#This Row],[روز از ارسال سفارش]]</f>
        <v>0</v>
      </c>
      <c r="U550" s="6">
        <f>-SUBTOTAL(9,INDEX(Main[مقدار (کیلوگرم)],1):Main[[#This Row],[مقدار (کیلوگرم)]])</f>
        <v>19244</v>
      </c>
      <c r="V5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50" s="6">
        <f>Main[[#This Row],[تعداد کل روزهای بدهکار (روز)]]*Main[[#This Row],[مانده در خط کل (کیلوگرم)]]</f>
        <v>38488</v>
      </c>
      <c r="X550" s="6">
        <f ca="1">-SUBTOTAL(9,INDEX(Main[مقدار تسویه شده (کیلوگرم)],1):Main[[#This Row],[مقدار تسویه شده (کیلوگرم)]])</f>
        <v>19244</v>
      </c>
      <c r="Y550" s="6">
        <f ca="1">IF(Main[[#This Row],[مانده در خط تسویه شده (کیلوگرم)]]&lt;&gt;0,Main[[#This Row],[تعداد کل روزهای بدهکار (روز)]],0)</f>
        <v>2</v>
      </c>
      <c r="Z550" s="6">
        <f ca="1">Main[[#This Row],[تعداد روزهای بدهکار تسویه شده (روز)]]*Main[[#This Row],[مانده در خط تسویه شده (کیلوگرم)]]</f>
        <v>38488</v>
      </c>
      <c r="AA550" s="6">
        <f ca="1">SUBTOTAL(9,INDEX(Main[بدهی تسویه نشده (کیلوگرم)],1):Main[[#This Row],[بدهی تسویه نشده (کیلوگرم)]])</f>
        <v>0</v>
      </c>
      <c r="AB550" s="6">
        <f ca="1">IF(Main[[#This Row],[مانده در خط تسویه نشده (کیلوگرم)]]&lt;&gt;0,Main[[#This Row],[تعداد کل روزهای بدهکار (روز)]],0)</f>
        <v>0</v>
      </c>
      <c r="AC550" s="6">
        <f ca="1">Main[[#This Row],[تعداد روزهای بدهکار  تسویه نشده (روز)]]*Main[[#This Row],[مانده در خط تسویه نشده (کیلوگرم)]]</f>
        <v>0</v>
      </c>
      <c r="AD550" s="6">
        <f ca="1">SUBTOTAL(9,INDEX(Main[بدهی سررسید شده (کیلوگرم)],1):Main[[#This Row],[بدهی سررسید شده (کیلوگرم)]])</f>
        <v>0</v>
      </c>
      <c r="AE550" s="6">
        <f ca="1">IF(Main[[#This Row],[مانده در خط سررسید شده (کیلوگرم)]]&lt;&gt;0,Main[[#This Row],[تعداد کل روزهای بدهکار (روز)]],0)</f>
        <v>0</v>
      </c>
      <c r="AF550" s="6">
        <f ca="1">Main[[#This Row],[تعداد روزهای بدهکار سررسید شده (روز)]]*Main[[#This Row],[مانده در خط سررسید شده (کیلوگرم)]]</f>
        <v>0</v>
      </c>
    </row>
    <row r="551" spans="1:32" hidden="1" x14ac:dyDescent="0.35">
      <c r="A551" s="5">
        <f>ROW()-ROW(INDEX(Main[ردیف],1))+1</f>
        <v>549</v>
      </c>
      <c r="B551" s="31">
        <f>SUBTOTAL(2,INDEX(Main[ردیف],1):Main[[#This Row],[ردیف]])</f>
        <v>52</v>
      </c>
      <c r="C551" s="32" t="s">
        <v>685</v>
      </c>
      <c r="D551" s="32" t="str">
        <f>_xlfn.CONCAT("14",Main[[#This Row],[تاريخ]])</f>
        <v>1400/02/31</v>
      </c>
      <c r="E551" s="33">
        <v>44337</v>
      </c>
      <c r="F551" s="32">
        <v>30009</v>
      </c>
      <c r="G551" s="5" t="str">
        <f>INDEX(customer[عنوان],MATCH(Main[[#This Row],[کد ردیابی]],customer[کد],0))</f>
        <v>شرکت ایمن تک پیشرو</v>
      </c>
      <c r="H551">
        <v>766</v>
      </c>
      <c r="I551" s="6">
        <f ca="1">-Main[[#This Row],[بدهی تسویه شده (کیلوگرم)]]+Main[[#This Row],[بستانکار (کیلوگرم)]]</f>
        <v>766</v>
      </c>
      <c r="J551" s="6">
        <f>IF(Main[[#This Row],[مقدار (کیلوگرم)]]&gt;0,Main[[#This Row],[مقدار (کیلوگرم)]],0)</f>
        <v>766</v>
      </c>
      <c r="K551" s="6">
        <f>-IF(Main[[#This Row],[مقدار (کیلوگرم)]]&lt;0,Main[[#This Row],[مقدار (کیلوگرم)]],0)</f>
        <v>0</v>
      </c>
      <c r="L5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1" s="7">
        <f>-IF(AND(Main[[#This Row],[مقدار (کیلوگرم)]]&lt;0,Main[[#This Row],[تاريخ میلادی]]&gt;44276),Main[[#This Row],[مقدار (کیلوگرم)]],0)</f>
        <v>0</v>
      </c>
      <c r="N551" s="6">
        <f ca="1">Main[[#This Row],[بدهکار (کیلوگرم)]]-Main[[#This Row],[بدهی تسویه نشده (کیلوگرم)]]</f>
        <v>0</v>
      </c>
      <c r="O551" s="6">
        <f ca="1">Main[[#This Row],[تفکیک]]</f>
        <v>0</v>
      </c>
      <c r="P551" s="6">
        <f ca="1">IF(Main[[#This Row],[تاخیر از سررسید]]&gt;0,Main[[#This Row],[بدهی تسویه نشده (کیلوگرم)]],0)</f>
        <v>0</v>
      </c>
      <c r="Q551" s="6">
        <f ca="1">IF(Main[[#This Row],[بدهی تسویه نشده (کیلوگرم)]]&gt;0,'گزارش فردی'!$B$7-Main[[#This Row],[تاريخ میلادی]],0)</f>
        <v>0</v>
      </c>
      <c r="R551" s="6">
        <f ca="1">IF(Main[[#This Row],[بدهی تسویه نشده (کیلوگرم)]]&gt;0,'گزارش فردی'!$B$7-Main[[#This Row],[تاريخ میلادی]]-'گزارش فردی'!$B$8,0)</f>
        <v>0</v>
      </c>
      <c r="S551" s="6">
        <f ca="1">Main[[#This Row],[روز از ارسال سفارش]]*Main[[#This Row],[بدهی تسویه نشده (کیلوگرم)]]</f>
        <v>0</v>
      </c>
      <c r="T551" s="6">
        <f ca="1">Main[[#This Row],[بدهی سررسید شده (کیلوگرم)]]*Main[[#This Row],[روز از ارسال سفارش]]</f>
        <v>0</v>
      </c>
      <c r="U551" s="6">
        <f>-SUBTOTAL(9,INDEX(Main[مقدار (کیلوگرم)],1):Main[[#This Row],[مقدار (کیلوگرم)]])</f>
        <v>19244</v>
      </c>
      <c r="V5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1" s="6">
        <f>Main[[#This Row],[تعداد کل روزهای بدهکار (روز)]]*Main[[#This Row],[مانده در خط کل (کیلوگرم)]]</f>
        <v>19244</v>
      </c>
      <c r="X551" s="6">
        <f ca="1">-SUBTOTAL(9,INDEX(Main[مقدار تسویه شده (کیلوگرم)],1):Main[[#This Row],[مقدار تسویه شده (کیلوگرم)]])</f>
        <v>19244</v>
      </c>
      <c r="Y551" s="6">
        <f ca="1">IF(Main[[#This Row],[مانده در خط تسویه شده (کیلوگرم)]]&lt;&gt;0,Main[[#This Row],[تعداد کل روزهای بدهکار (روز)]],0)</f>
        <v>1</v>
      </c>
      <c r="Z551" s="6">
        <f ca="1">Main[[#This Row],[تعداد روزهای بدهکار تسویه شده (روز)]]*Main[[#This Row],[مانده در خط تسویه شده (کیلوگرم)]]</f>
        <v>19244</v>
      </c>
      <c r="AA551" s="6">
        <f ca="1">SUBTOTAL(9,INDEX(Main[بدهی تسویه نشده (کیلوگرم)],1):Main[[#This Row],[بدهی تسویه نشده (کیلوگرم)]])</f>
        <v>0</v>
      </c>
      <c r="AB551" s="6">
        <f ca="1">IF(Main[[#This Row],[مانده در خط تسویه نشده (کیلوگرم)]]&lt;&gt;0,Main[[#This Row],[تعداد کل روزهای بدهکار (روز)]],0)</f>
        <v>0</v>
      </c>
      <c r="AC551" s="6">
        <f ca="1">Main[[#This Row],[تعداد روزهای بدهکار  تسویه نشده (روز)]]*Main[[#This Row],[مانده در خط تسویه نشده (کیلوگرم)]]</f>
        <v>0</v>
      </c>
      <c r="AD551" s="6">
        <f ca="1">SUBTOTAL(9,INDEX(Main[بدهی سررسید شده (کیلوگرم)],1):Main[[#This Row],[بدهی سررسید شده (کیلوگرم)]])</f>
        <v>0</v>
      </c>
      <c r="AE551" s="6">
        <f ca="1">IF(Main[[#This Row],[مانده در خط سررسید شده (کیلوگرم)]]&lt;&gt;0,Main[[#This Row],[تعداد کل روزهای بدهکار (روز)]],0)</f>
        <v>0</v>
      </c>
      <c r="AF551" s="6">
        <f ca="1">Main[[#This Row],[تعداد روزهای بدهکار سررسید شده (روز)]]*Main[[#This Row],[مانده در خط سررسید شده (کیلوگرم)]]</f>
        <v>0</v>
      </c>
    </row>
    <row r="552" spans="1:32" hidden="1" x14ac:dyDescent="0.35">
      <c r="A552" s="5">
        <f>ROW()-ROW(INDEX(Main[ردیف],1))+1</f>
        <v>550</v>
      </c>
      <c r="B552" s="31">
        <f>SUBTOTAL(2,INDEX(Main[ردیف],1):Main[[#This Row],[ردیف]])</f>
        <v>52</v>
      </c>
      <c r="C552" s="32" t="s">
        <v>685</v>
      </c>
      <c r="D552" s="32" t="str">
        <f>_xlfn.CONCAT("14",Main[[#This Row],[تاريخ]])</f>
        <v>1400/02/31</v>
      </c>
      <c r="E552" s="33">
        <v>44337</v>
      </c>
      <c r="F552" s="32">
        <v>30004</v>
      </c>
      <c r="G552" s="5" t="str">
        <f>INDEX(customer[عنوان],MATCH(Main[[#This Row],[کد ردیابی]],customer[کد],0))</f>
        <v>تولیدی صنعتی صفاشیر پارس</v>
      </c>
      <c r="H552">
        <v>2040</v>
      </c>
      <c r="I552" s="6">
        <f ca="1">-Main[[#This Row],[بدهی تسویه شده (کیلوگرم)]]+Main[[#This Row],[بستانکار (کیلوگرم)]]</f>
        <v>2040</v>
      </c>
      <c r="J552" s="6">
        <f>IF(Main[[#This Row],[مقدار (کیلوگرم)]]&gt;0,Main[[#This Row],[مقدار (کیلوگرم)]],0)</f>
        <v>2040</v>
      </c>
      <c r="K552" s="6">
        <f>-IF(Main[[#This Row],[مقدار (کیلوگرم)]]&lt;0,Main[[#This Row],[مقدار (کیلوگرم)]],0)</f>
        <v>0</v>
      </c>
      <c r="L5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2" s="7">
        <f>-IF(AND(Main[[#This Row],[مقدار (کیلوگرم)]]&lt;0,Main[[#This Row],[تاريخ میلادی]]&gt;44276),Main[[#This Row],[مقدار (کیلوگرم)]],0)</f>
        <v>0</v>
      </c>
      <c r="N552" s="6">
        <f ca="1">Main[[#This Row],[بدهکار (کیلوگرم)]]-Main[[#This Row],[بدهی تسویه نشده (کیلوگرم)]]</f>
        <v>0</v>
      </c>
      <c r="O552" s="6">
        <f ca="1">Main[[#This Row],[تفکیک]]</f>
        <v>0</v>
      </c>
      <c r="P552" s="6">
        <f ca="1">IF(Main[[#This Row],[تاخیر از سررسید]]&gt;0,Main[[#This Row],[بدهی تسویه نشده (کیلوگرم)]],0)</f>
        <v>0</v>
      </c>
      <c r="Q552" s="6">
        <f ca="1">IF(Main[[#This Row],[بدهی تسویه نشده (کیلوگرم)]]&gt;0,'گزارش فردی'!$B$7-Main[[#This Row],[تاريخ میلادی]],0)</f>
        <v>0</v>
      </c>
      <c r="R552" s="6">
        <f ca="1">IF(Main[[#This Row],[بدهی تسویه نشده (کیلوگرم)]]&gt;0,'گزارش فردی'!$B$7-Main[[#This Row],[تاريخ میلادی]]-'گزارش فردی'!$B$8,0)</f>
        <v>0</v>
      </c>
      <c r="S552" s="6">
        <f ca="1">Main[[#This Row],[روز از ارسال سفارش]]*Main[[#This Row],[بدهی تسویه نشده (کیلوگرم)]]</f>
        <v>0</v>
      </c>
      <c r="T552" s="6">
        <f ca="1">Main[[#This Row],[بدهی سررسید شده (کیلوگرم)]]*Main[[#This Row],[روز از ارسال سفارش]]</f>
        <v>0</v>
      </c>
      <c r="U552" s="6">
        <f>-SUBTOTAL(9,INDEX(Main[مقدار (کیلوگرم)],1):Main[[#This Row],[مقدار (کیلوگرم)]])</f>
        <v>19244</v>
      </c>
      <c r="V5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2" s="6">
        <f>Main[[#This Row],[تعداد کل روزهای بدهکار (روز)]]*Main[[#This Row],[مانده در خط کل (کیلوگرم)]]</f>
        <v>19244</v>
      </c>
      <c r="X552" s="6">
        <f ca="1">-SUBTOTAL(9,INDEX(Main[مقدار تسویه شده (کیلوگرم)],1):Main[[#This Row],[مقدار تسویه شده (کیلوگرم)]])</f>
        <v>19244</v>
      </c>
      <c r="Y552" s="6">
        <f ca="1">IF(Main[[#This Row],[مانده در خط تسویه شده (کیلوگرم)]]&lt;&gt;0,Main[[#This Row],[تعداد کل روزهای بدهکار (روز)]],0)</f>
        <v>1</v>
      </c>
      <c r="Z552" s="6">
        <f ca="1">Main[[#This Row],[تعداد روزهای بدهکار تسویه شده (روز)]]*Main[[#This Row],[مانده در خط تسویه شده (کیلوگرم)]]</f>
        <v>19244</v>
      </c>
      <c r="AA552" s="6">
        <f ca="1">SUBTOTAL(9,INDEX(Main[بدهی تسویه نشده (کیلوگرم)],1):Main[[#This Row],[بدهی تسویه نشده (کیلوگرم)]])</f>
        <v>0</v>
      </c>
      <c r="AB552" s="6">
        <f ca="1">IF(Main[[#This Row],[مانده در خط تسویه نشده (کیلوگرم)]]&lt;&gt;0,Main[[#This Row],[تعداد کل روزهای بدهکار (روز)]],0)</f>
        <v>0</v>
      </c>
      <c r="AC552" s="6">
        <f ca="1">Main[[#This Row],[تعداد روزهای بدهکار  تسویه نشده (روز)]]*Main[[#This Row],[مانده در خط تسویه نشده (کیلوگرم)]]</f>
        <v>0</v>
      </c>
      <c r="AD552" s="6">
        <f ca="1">SUBTOTAL(9,INDEX(Main[بدهی سررسید شده (کیلوگرم)],1):Main[[#This Row],[بدهی سررسید شده (کیلوگرم)]])</f>
        <v>0</v>
      </c>
      <c r="AE552" s="6">
        <f ca="1">IF(Main[[#This Row],[مانده در خط سررسید شده (کیلوگرم)]]&lt;&gt;0,Main[[#This Row],[تعداد کل روزهای بدهکار (روز)]],0)</f>
        <v>0</v>
      </c>
      <c r="AF552" s="6">
        <f ca="1">Main[[#This Row],[تعداد روزهای بدهکار سررسید شده (روز)]]*Main[[#This Row],[مانده در خط سررسید شده (کیلوگرم)]]</f>
        <v>0</v>
      </c>
    </row>
    <row r="553" spans="1:32" hidden="1" x14ac:dyDescent="0.35">
      <c r="A553" s="5">
        <f>ROW()-ROW(INDEX(Main[ردیف],1))+1</f>
        <v>551</v>
      </c>
      <c r="B553" s="31">
        <f>SUBTOTAL(2,INDEX(Main[ردیف],1):Main[[#This Row],[ردیف]])</f>
        <v>52</v>
      </c>
      <c r="C553" s="32" t="s">
        <v>685</v>
      </c>
      <c r="D553" s="32" t="str">
        <f>_xlfn.CONCAT("14",Main[[#This Row],[تاريخ]])</f>
        <v>1400/02/31</v>
      </c>
      <c r="E553" s="33">
        <v>44337</v>
      </c>
      <c r="F553" s="32">
        <v>30009</v>
      </c>
      <c r="G553" s="5" t="str">
        <f>INDEX(customer[عنوان],MATCH(Main[[#This Row],[کد ردیابی]],customer[کد],0))</f>
        <v>شرکت ایمن تک پیشرو</v>
      </c>
      <c r="H553">
        <v>988</v>
      </c>
      <c r="I553" s="6">
        <f ca="1">-Main[[#This Row],[بدهی تسویه شده (کیلوگرم)]]+Main[[#This Row],[بستانکار (کیلوگرم)]]</f>
        <v>988</v>
      </c>
      <c r="J553" s="6">
        <f>IF(Main[[#This Row],[مقدار (کیلوگرم)]]&gt;0,Main[[#This Row],[مقدار (کیلوگرم)]],0)</f>
        <v>988</v>
      </c>
      <c r="K553" s="6">
        <f>-IF(Main[[#This Row],[مقدار (کیلوگرم)]]&lt;0,Main[[#This Row],[مقدار (کیلوگرم)]],0)</f>
        <v>0</v>
      </c>
      <c r="L5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3" s="7">
        <f>-IF(AND(Main[[#This Row],[مقدار (کیلوگرم)]]&lt;0,Main[[#This Row],[تاريخ میلادی]]&gt;44276),Main[[#This Row],[مقدار (کیلوگرم)]],0)</f>
        <v>0</v>
      </c>
      <c r="N553" s="6">
        <f ca="1">Main[[#This Row],[بدهکار (کیلوگرم)]]-Main[[#This Row],[بدهی تسویه نشده (کیلوگرم)]]</f>
        <v>0</v>
      </c>
      <c r="O553" s="6">
        <f ca="1">Main[[#This Row],[تفکیک]]</f>
        <v>0</v>
      </c>
      <c r="P553" s="6">
        <f ca="1">IF(Main[[#This Row],[تاخیر از سررسید]]&gt;0,Main[[#This Row],[بدهی تسویه نشده (کیلوگرم)]],0)</f>
        <v>0</v>
      </c>
      <c r="Q553" s="6">
        <f ca="1">IF(Main[[#This Row],[بدهی تسویه نشده (کیلوگرم)]]&gt;0,'گزارش فردی'!$B$7-Main[[#This Row],[تاريخ میلادی]],0)</f>
        <v>0</v>
      </c>
      <c r="R553" s="6">
        <f ca="1">IF(Main[[#This Row],[بدهی تسویه نشده (کیلوگرم)]]&gt;0,'گزارش فردی'!$B$7-Main[[#This Row],[تاريخ میلادی]]-'گزارش فردی'!$B$8,0)</f>
        <v>0</v>
      </c>
      <c r="S553" s="6">
        <f ca="1">Main[[#This Row],[روز از ارسال سفارش]]*Main[[#This Row],[بدهی تسویه نشده (کیلوگرم)]]</f>
        <v>0</v>
      </c>
      <c r="T553" s="6">
        <f ca="1">Main[[#This Row],[بدهی سررسید شده (کیلوگرم)]]*Main[[#This Row],[روز از ارسال سفارش]]</f>
        <v>0</v>
      </c>
      <c r="U553" s="6">
        <f>-SUBTOTAL(9,INDEX(Main[مقدار (کیلوگرم)],1):Main[[#This Row],[مقدار (کیلوگرم)]])</f>
        <v>19244</v>
      </c>
      <c r="V5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3" s="6">
        <f>Main[[#This Row],[تعداد کل روزهای بدهکار (روز)]]*Main[[#This Row],[مانده در خط کل (کیلوگرم)]]</f>
        <v>19244</v>
      </c>
      <c r="X553" s="6">
        <f ca="1">-SUBTOTAL(9,INDEX(Main[مقدار تسویه شده (کیلوگرم)],1):Main[[#This Row],[مقدار تسویه شده (کیلوگرم)]])</f>
        <v>19244</v>
      </c>
      <c r="Y553" s="6">
        <f ca="1">IF(Main[[#This Row],[مانده در خط تسویه شده (کیلوگرم)]]&lt;&gt;0,Main[[#This Row],[تعداد کل روزهای بدهکار (روز)]],0)</f>
        <v>1</v>
      </c>
      <c r="Z553" s="6">
        <f ca="1">Main[[#This Row],[تعداد روزهای بدهکار تسویه شده (روز)]]*Main[[#This Row],[مانده در خط تسویه شده (کیلوگرم)]]</f>
        <v>19244</v>
      </c>
      <c r="AA553" s="6">
        <f ca="1">SUBTOTAL(9,INDEX(Main[بدهی تسویه نشده (کیلوگرم)],1):Main[[#This Row],[بدهی تسویه نشده (کیلوگرم)]])</f>
        <v>0</v>
      </c>
      <c r="AB553" s="6">
        <f ca="1">IF(Main[[#This Row],[مانده در خط تسویه نشده (کیلوگرم)]]&lt;&gt;0,Main[[#This Row],[تعداد کل روزهای بدهکار (روز)]],0)</f>
        <v>0</v>
      </c>
      <c r="AC553" s="6">
        <f ca="1">Main[[#This Row],[تعداد روزهای بدهکار  تسویه نشده (روز)]]*Main[[#This Row],[مانده در خط تسویه نشده (کیلوگرم)]]</f>
        <v>0</v>
      </c>
      <c r="AD553" s="6">
        <f ca="1">SUBTOTAL(9,INDEX(Main[بدهی سررسید شده (کیلوگرم)],1):Main[[#This Row],[بدهی سررسید شده (کیلوگرم)]])</f>
        <v>0</v>
      </c>
      <c r="AE553" s="6">
        <f ca="1">IF(Main[[#This Row],[مانده در خط سررسید شده (کیلوگرم)]]&lt;&gt;0,Main[[#This Row],[تعداد کل روزهای بدهکار (روز)]],0)</f>
        <v>0</v>
      </c>
      <c r="AF553" s="6">
        <f ca="1">Main[[#This Row],[تعداد روزهای بدهکار سررسید شده (روز)]]*Main[[#This Row],[مانده در خط سررسید شده (کیلوگرم)]]</f>
        <v>0</v>
      </c>
    </row>
    <row r="554" spans="1:32" hidden="1" x14ac:dyDescent="0.35">
      <c r="A554" s="5">
        <f>ROW()-ROW(INDEX(Main[ردیف],1))+1</f>
        <v>552</v>
      </c>
      <c r="B554" s="31">
        <f>SUBTOTAL(2,INDEX(Main[ردیف],1):Main[[#This Row],[ردیف]])</f>
        <v>52</v>
      </c>
      <c r="C554" s="32" t="s">
        <v>564</v>
      </c>
      <c r="D554" s="32" t="str">
        <f>_xlfn.CONCAT("14",Main[[#This Row],[تاريخ]])</f>
        <v>1400/03/01</v>
      </c>
      <c r="E554" s="33">
        <v>44338</v>
      </c>
      <c r="F554" s="32">
        <v>30081</v>
      </c>
      <c r="G554" s="5" t="str">
        <f>INDEX(customer[عنوان],MATCH(Main[[#This Row],[کد ردیابی]],customer[کد],0))</f>
        <v xml:space="preserve">شیرآلات بهداشتی راسان </v>
      </c>
      <c r="H554">
        <v>-39</v>
      </c>
      <c r="I554" s="6">
        <f ca="1">-Main[[#This Row],[بدهی تسویه شده (کیلوگرم)]]+Main[[#This Row],[بستانکار (کیلوگرم)]]</f>
        <v>-39</v>
      </c>
      <c r="J554" s="6">
        <f>IF(Main[[#This Row],[مقدار (کیلوگرم)]]&gt;0,Main[[#This Row],[مقدار (کیلوگرم)]],0)</f>
        <v>0</v>
      </c>
      <c r="K554" s="6">
        <f>-IF(Main[[#This Row],[مقدار (کیلوگرم)]]&lt;0,Main[[#This Row],[مقدار (کیلوگرم)]],0)</f>
        <v>39</v>
      </c>
      <c r="L5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4" s="7">
        <f>-IF(AND(Main[[#This Row],[مقدار (کیلوگرم)]]&lt;0,Main[[#This Row],[تاريخ میلادی]]&gt;44276),Main[[#This Row],[مقدار (کیلوگرم)]],0)</f>
        <v>39</v>
      </c>
      <c r="N554" s="6">
        <f ca="1">Main[[#This Row],[بدهکار (کیلوگرم)]]-Main[[#This Row],[بدهی تسویه نشده (کیلوگرم)]]</f>
        <v>39</v>
      </c>
      <c r="O554" s="6">
        <f ca="1">Main[[#This Row],[تفکیک]]</f>
        <v>0</v>
      </c>
      <c r="P554" s="6">
        <f ca="1">IF(Main[[#This Row],[تاخیر از سررسید]]&gt;0,Main[[#This Row],[بدهی تسویه نشده (کیلوگرم)]],0)</f>
        <v>0</v>
      </c>
      <c r="Q554" s="6">
        <f ca="1">IF(Main[[#This Row],[بدهی تسویه نشده (کیلوگرم)]]&gt;0,'گزارش فردی'!$B$7-Main[[#This Row],[تاريخ میلادی]],0)</f>
        <v>0</v>
      </c>
      <c r="R554" s="6">
        <f ca="1">IF(Main[[#This Row],[بدهی تسویه نشده (کیلوگرم)]]&gt;0,'گزارش فردی'!$B$7-Main[[#This Row],[تاريخ میلادی]]-'گزارش فردی'!$B$8,0)</f>
        <v>0</v>
      </c>
      <c r="S554" s="6">
        <f ca="1">Main[[#This Row],[روز از ارسال سفارش]]*Main[[#This Row],[بدهی تسویه نشده (کیلوگرم)]]</f>
        <v>0</v>
      </c>
      <c r="T554" s="6">
        <f ca="1">Main[[#This Row],[بدهی سررسید شده (کیلوگرم)]]*Main[[#This Row],[روز از ارسال سفارش]]</f>
        <v>0</v>
      </c>
      <c r="U554" s="6">
        <f>-SUBTOTAL(9,INDEX(Main[مقدار (کیلوگرم)],1):Main[[#This Row],[مقدار (کیلوگرم)]])</f>
        <v>19244</v>
      </c>
      <c r="V5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4" s="6">
        <f>Main[[#This Row],[تعداد کل روزهای بدهکار (روز)]]*Main[[#This Row],[مانده در خط کل (کیلوگرم)]]</f>
        <v>0</v>
      </c>
      <c r="X554" s="6">
        <f ca="1">-SUBTOTAL(9,INDEX(Main[مقدار تسویه شده (کیلوگرم)],1):Main[[#This Row],[مقدار تسویه شده (کیلوگرم)]])</f>
        <v>19244</v>
      </c>
      <c r="Y554" s="6">
        <f ca="1">IF(Main[[#This Row],[مانده در خط تسویه شده (کیلوگرم)]]&lt;&gt;0,Main[[#This Row],[تعداد کل روزهای بدهکار (روز)]],0)</f>
        <v>0</v>
      </c>
      <c r="Z554" s="6">
        <f ca="1">Main[[#This Row],[تعداد روزهای بدهکار تسویه شده (روز)]]*Main[[#This Row],[مانده در خط تسویه شده (کیلوگرم)]]</f>
        <v>0</v>
      </c>
      <c r="AA554" s="6">
        <f ca="1">SUBTOTAL(9,INDEX(Main[بدهی تسویه نشده (کیلوگرم)],1):Main[[#This Row],[بدهی تسویه نشده (کیلوگرم)]])</f>
        <v>0</v>
      </c>
      <c r="AB554" s="6">
        <f ca="1">IF(Main[[#This Row],[مانده در خط تسویه نشده (کیلوگرم)]]&lt;&gt;0,Main[[#This Row],[تعداد کل روزهای بدهکار (روز)]],0)</f>
        <v>0</v>
      </c>
      <c r="AC554" s="6">
        <f ca="1">Main[[#This Row],[تعداد روزهای بدهکار  تسویه نشده (روز)]]*Main[[#This Row],[مانده در خط تسویه نشده (کیلوگرم)]]</f>
        <v>0</v>
      </c>
      <c r="AD554" s="6">
        <f ca="1">SUBTOTAL(9,INDEX(Main[بدهی سررسید شده (کیلوگرم)],1):Main[[#This Row],[بدهی سررسید شده (کیلوگرم)]])</f>
        <v>0</v>
      </c>
      <c r="AE554" s="6">
        <f ca="1">IF(Main[[#This Row],[مانده در خط سررسید شده (کیلوگرم)]]&lt;&gt;0,Main[[#This Row],[تعداد کل روزهای بدهکار (روز)]],0)</f>
        <v>0</v>
      </c>
      <c r="AF554" s="6">
        <f ca="1">Main[[#This Row],[تعداد روزهای بدهکار سررسید شده (روز)]]*Main[[#This Row],[مانده در خط سررسید شده (کیلوگرم)]]</f>
        <v>0</v>
      </c>
    </row>
    <row r="555" spans="1:32" hidden="1" x14ac:dyDescent="0.35">
      <c r="A555" s="5">
        <f>ROW()-ROW(INDEX(Main[ردیف],1))+1</f>
        <v>553</v>
      </c>
      <c r="B555" s="31">
        <f>SUBTOTAL(2,INDEX(Main[ردیف],1):Main[[#This Row],[ردیف]])</f>
        <v>52</v>
      </c>
      <c r="C555" s="32" t="s">
        <v>564</v>
      </c>
      <c r="D555" s="32" t="str">
        <f>_xlfn.CONCAT("14",Main[[#This Row],[تاريخ]])</f>
        <v>1400/03/01</v>
      </c>
      <c r="E555" s="33">
        <v>44338</v>
      </c>
      <c r="F555" s="32">
        <v>30137</v>
      </c>
      <c r="G555" s="5" t="str">
        <f>INDEX(customer[عنوان],MATCH(Main[[#This Row],[کد ردیابی]],customer[کد],0))</f>
        <v>شرکت آفتابگردان</v>
      </c>
      <c r="H555">
        <v>154</v>
      </c>
      <c r="I555" s="6">
        <f ca="1">-Main[[#This Row],[بدهی تسویه شده (کیلوگرم)]]+Main[[#This Row],[بستانکار (کیلوگرم)]]</f>
        <v>154</v>
      </c>
      <c r="J555" s="6">
        <f>IF(Main[[#This Row],[مقدار (کیلوگرم)]]&gt;0,Main[[#This Row],[مقدار (کیلوگرم)]],0)</f>
        <v>154</v>
      </c>
      <c r="K555" s="6">
        <f>-IF(Main[[#This Row],[مقدار (کیلوگرم)]]&lt;0,Main[[#This Row],[مقدار (کیلوگرم)]],0)</f>
        <v>0</v>
      </c>
      <c r="L5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5" s="7">
        <f>-IF(AND(Main[[#This Row],[مقدار (کیلوگرم)]]&lt;0,Main[[#This Row],[تاريخ میلادی]]&gt;44276),Main[[#This Row],[مقدار (کیلوگرم)]],0)</f>
        <v>0</v>
      </c>
      <c r="N555" s="6">
        <f ca="1">Main[[#This Row],[بدهکار (کیلوگرم)]]-Main[[#This Row],[بدهی تسویه نشده (کیلوگرم)]]</f>
        <v>0</v>
      </c>
      <c r="O555" s="6">
        <f ca="1">Main[[#This Row],[تفکیک]]</f>
        <v>0</v>
      </c>
      <c r="P555" s="6">
        <f ca="1">IF(Main[[#This Row],[تاخیر از سررسید]]&gt;0,Main[[#This Row],[بدهی تسویه نشده (کیلوگرم)]],0)</f>
        <v>0</v>
      </c>
      <c r="Q555" s="6">
        <f ca="1">IF(Main[[#This Row],[بدهی تسویه نشده (کیلوگرم)]]&gt;0,'گزارش فردی'!$B$7-Main[[#This Row],[تاريخ میلادی]],0)</f>
        <v>0</v>
      </c>
      <c r="R555" s="6">
        <f ca="1">IF(Main[[#This Row],[بدهی تسویه نشده (کیلوگرم)]]&gt;0,'گزارش فردی'!$B$7-Main[[#This Row],[تاريخ میلادی]]-'گزارش فردی'!$B$8,0)</f>
        <v>0</v>
      </c>
      <c r="S555" s="6">
        <f ca="1">Main[[#This Row],[روز از ارسال سفارش]]*Main[[#This Row],[بدهی تسویه نشده (کیلوگرم)]]</f>
        <v>0</v>
      </c>
      <c r="T555" s="6">
        <f ca="1">Main[[#This Row],[بدهی سررسید شده (کیلوگرم)]]*Main[[#This Row],[روز از ارسال سفارش]]</f>
        <v>0</v>
      </c>
      <c r="U555" s="6">
        <f>-SUBTOTAL(9,INDEX(Main[مقدار (کیلوگرم)],1):Main[[#This Row],[مقدار (کیلوگرم)]])</f>
        <v>19244</v>
      </c>
      <c r="V5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5" s="6">
        <f>Main[[#This Row],[تعداد کل روزهای بدهکار (روز)]]*Main[[#This Row],[مانده در خط کل (کیلوگرم)]]</f>
        <v>0</v>
      </c>
      <c r="X555" s="6">
        <f ca="1">-SUBTOTAL(9,INDEX(Main[مقدار تسویه شده (کیلوگرم)],1):Main[[#This Row],[مقدار تسویه شده (کیلوگرم)]])</f>
        <v>19244</v>
      </c>
      <c r="Y555" s="6">
        <f ca="1">IF(Main[[#This Row],[مانده در خط تسویه شده (کیلوگرم)]]&lt;&gt;0,Main[[#This Row],[تعداد کل روزهای بدهکار (روز)]],0)</f>
        <v>0</v>
      </c>
      <c r="Z555" s="6">
        <f ca="1">Main[[#This Row],[تعداد روزهای بدهکار تسویه شده (روز)]]*Main[[#This Row],[مانده در خط تسویه شده (کیلوگرم)]]</f>
        <v>0</v>
      </c>
      <c r="AA555" s="6">
        <f ca="1">SUBTOTAL(9,INDEX(Main[بدهی تسویه نشده (کیلوگرم)],1):Main[[#This Row],[بدهی تسویه نشده (کیلوگرم)]])</f>
        <v>0</v>
      </c>
      <c r="AB555" s="6">
        <f ca="1">IF(Main[[#This Row],[مانده در خط تسویه نشده (کیلوگرم)]]&lt;&gt;0,Main[[#This Row],[تعداد کل روزهای بدهکار (روز)]],0)</f>
        <v>0</v>
      </c>
      <c r="AC555" s="6">
        <f ca="1">Main[[#This Row],[تعداد روزهای بدهکار  تسویه نشده (روز)]]*Main[[#This Row],[مانده در خط تسویه نشده (کیلوگرم)]]</f>
        <v>0</v>
      </c>
      <c r="AD555" s="6">
        <f ca="1">SUBTOTAL(9,INDEX(Main[بدهی سررسید شده (کیلوگرم)],1):Main[[#This Row],[بدهی سررسید شده (کیلوگرم)]])</f>
        <v>0</v>
      </c>
      <c r="AE555" s="6">
        <f ca="1">IF(Main[[#This Row],[مانده در خط سررسید شده (کیلوگرم)]]&lt;&gt;0,Main[[#This Row],[تعداد کل روزهای بدهکار (روز)]],0)</f>
        <v>0</v>
      </c>
      <c r="AF555" s="6">
        <f ca="1">Main[[#This Row],[تعداد روزهای بدهکار سررسید شده (روز)]]*Main[[#This Row],[مانده در خط سررسید شده (کیلوگرم)]]</f>
        <v>0</v>
      </c>
    </row>
    <row r="556" spans="1:32" hidden="1" x14ac:dyDescent="0.35">
      <c r="A556" s="5">
        <f>ROW()-ROW(INDEX(Main[ردیف],1))+1</f>
        <v>554</v>
      </c>
      <c r="B556" s="31">
        <f>SUBTOTAL(2,INDEX(Main[ردیف],1):Main[[#This Row],[ردیف]])</f>
        <v>52</v>
      </c>
      <c r="C556" s="32" t="s">
        <v>564</v>
      </c>
      <c r="D556" s="32" t="str">
        <f>_xlfn.CONCAT("14",Main[[#This Row],[تاريخ]])</f>
        <v>1400/03/01</v>
      </c>
      <c r="E556" s="33">
        <v>44338</v>
      </c>
      <c r="F556" s="32">
        <v>30186</v>
      </c>
      <c r="G556" s="5" t="str">
        <f>INDEX(customer[عنوان],MATCH(Main[[#This Row],[کد ردیابی]],customer[کد],0))</f>
        <v>سارا گاز</v>
      </c>
      <c r="H556">
        <v>-2692</v>
      </c>
      <c r="I556" s="6">
        <f ca="1">-Main[[#This Row],[بدهی تسویه شده (کیلوگرم)]]+Main[[#This Row],[بستانکار (کیلوگرم)]]</f>
        <v>-2692</v>
      </c>
      <c r="J556" s="6">
        <f>IF(Main[[#This Row],[مقدار (کیلوگرم)]]&gt;0,Main[[#This Row],[مقدار (کیلوگرم)]],0)</f>
        <v>0</v>
      </c>
      <c r="K556" s="6">
        <f>-IF(Main[[#This Row],[مقدار (کیلوگرم)]]&lt;0,Main[[#This Row],[مقدار (کیلوگرم)]],0)</f>
        <v>2692</v>
      </c>
      <c r="L5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6" s="7">
        <f>-IF(AND(Main[[#This Row],[مقدار (کیلوگرم)]]&lt;0,Main[[#This Row],[تاريخ میلادی]]&gt;44276),Main[[#This Row],[مقدار (کیلوگرم)]],0)</f>
        <v>2692</v>
      </c>
      <c r="N556" s="6">
        <f ca="1">Main[[#This Row],[بدهکار (کیلوگرم)]]-Main[[#This Row],[بدهی تسویه نشده (کیلوگرم)]]</f>
        <v>2692</v>
      </c>
      <c r="O556" s="6">
        <f ca="1">Main[[#This Row],[تفکیک]]</f>
        <v>0</v>
      </c>
      <c r="P556" s="6">
        <f ca="1">IF(Main[[#This Row],[تاخیر از سررسید]]&gt;0,Main[[#This Row],[بدهی تسویه نشده (کیلوگرم)]],0)</f>
        <v>0</v>
      </c>
      <c r="Q556" s="6">
        <f ca="1">IF(Main[[#This Row],[بدهی تسویه نشده (کیلوگرم)]]&gt;0,'گزارش فردی'!$B$7-Main[[#This Row],[تاريخ میلادی]],0)</f>
        <v>0</v>
      </c>
      <c r="R556" s="6">
        <f ca="1">IF(Main[[#This Row],[بدهی تسویه نشده (کیلوگرم)]]&gt;0,'گزارش فردی'!$B$7-Main[[#This Row],[تاريخ میلادی]]-'گزارش فردی'!$B$8,0)</f>
        <v>0</v>
      </c>
      <c r="S556" s="6">
        <f ca="1">Main[[#This Row],[روز از ارسال سفارش]]*Main[[#This Row],[بدهی تسویه نشده (کیلوگرم)]]</f>
        <v>0</v>
      </c>
      <c r="T556" s="6">
        <f ca="1">Main[[#This Row],[بدهی سررسید شده (کیلوگرم)]]*Main[[#This Row],[روز از ارسال سفارش]]</f>
        <v>0</v>
      </c>
      <c r="U556" s="6">
        <f>-SUBTOTAL(9,INDEX(Main[مقدار (کیلوگرم)],1):Main[[#This Row],[مقدار (کیلوگرم)]])</f>
        <v>19244</v>
      </c>
      <c r="V5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6" s="6">
        <f>Main[[#This Row],[تعداد کل روزهای بدهکار (روز)]]*Main[[#This Row],[مانده در خط کل (کیلوگرم)]]</f>
        <v>0</v>
      </c>
      <c r="X556" s="6">
        <f ca="1">-SUBTOTAL(9,INDEX(Main[مقدار تسویه شده (کیلوگرم)],1):Main[[#This Row],[مقدار تسویه شده (کیلوگرم)]])</f>
        <v>19244</v>
      </c>
      <c r="Y556" s="6">
        <f ca="1">IF(Main[[#This Row],[مانده در خط تسویه شده (کیلوگرم)]]&lt;&gt;0,Main[[#This Row],[تعداد کل روزهای بدهکار (روز)]],0)</f>
        <v>0</v>
      </c>
      <c r="Z556" s="6">
        <f ca="1">Main[[#This Row],[تعداد روزهای بدهکار تسویه شده (روز)]]*Main[[#This Row],[مانده در خط تسویه شده (کیلوگرم)]]</f>
        <v>0</v>
      </c>
      <c r="AA556" s="6">
        <f ca="1">SUBTOTAL(9,INDEX(Main[بدهی تسویه نشده (کیلوگرم)],1):Main[[#This Row],[بدهی تسویه نشده (کیلوگرم)]])</f>
        <v>0</v>
      </c>
      <c r="AB556" s="6">
        <f ca="1">IF(Main[[#This Row],[مانده در خط تسویه نشده (کیلوگرم)]]&lt;&gt;0,Main[[#This Row],[تعداد کل روزهای بدهکار (روز)]],0)</f>
        <v>0</v>
      </c>
      <c r="AC556" s="6">
        <f ca="1">Main[[#This Row],[تعداد روزهای بدهکار  تسویه نشده (روز)]]*Main[[#This Row],[مانده در خط تسویه نشده (کیلوگرم)]]</f>
        <v>0</v>
      </c>
      <c r="AD556" s="6">
        <f ca="1">SUBTOTAL(9,INDEX(Main[بدهی سررسید شده (کیلوگرم)],1):Main[[#This Row],[بدهی سررسید شده (کیلوگرم)]])</f>
        <v>0</v>
      </c>
      <c r="AE556" s="6">
        <f ca="1">IF(Main[[#This Row],[مانده در خط سررسید شده (کیلوگرم)]]&lt;&gt;0,Main[[#This Row],[تعداد کل روزهای بدهکار (روز)]],0)</f>
        <v>0</v>
      </c>
      <c r="AF556" s="6">
        <f ca="1">Main[[#This Row],[تعداد روزهای بدهکار سررسید شده (روز)]]*Main[[#This Row],[مانده در خط سررسید شده (کیلوگرم)]]</f>
        <v>0</v>
      </c>
    </row>
    <row r="557" spans="1:32" hidden="1" x14ac:dyDescent="0.35">
      <c r="A557" s="5">
        <f>ROW()-ROW(INDEX(Main[ردیف],1))+1</f>
        <v>555</v>
      </c>
      <c r="B557" s="31">
        <f>SUBTOTAL(2,INDEX(Main[ردیف],1):Main[[#This Row],[ردیف]])</f>
        <v>52</v>
      </c>
      <c r="C557" s="32" t="s">
        <v>564</v>
      </c>
      <c r="D557" s="32" t="str">
        <f>_xlfn.CONCAT("14",Main[[#This Row],[تاريخ]])</f>
        <v>1400/03/01</v>
      </c>
      <c r="E557" s="33">
        <v>44338</v>
      </c>
      <c r="F557" s="32">
        <v>30137</v>
      </c>
      <c r="G557" s="5" t="str">
        <f>INDEX(customer[عنوان],MATCH(Main[[#This Row],[کد ردیابی]],customer[کد],0))</f>
        <v>شرکت آفتابگردان</v>
      </c>
      <c r="H557">
        <v>50</v>
      </c>
      <c r="I557" s="6">
        <f ca="1">-Main[[#This Row],[بدهی تسویه شده (کیلوگرم)]]+Main[[#This Row],[بستانکار (کیلوگرم)]]</f>
        <v>50</v>
      </c>
      <c r="J557" s="6">
        <f>IF(Main[[#This Row],[مقدار (کیلوگرم)]]&gt;0,Main[[#This Row],[مقدار (کیلوگرم)]],0)</f>
        <v>50</v>
      </c>
      <c r="K557" s="6">
        <f>-IF(Main[[#This Row],[مقدار (کیلوگرم)]]&lt;0,Main[[#This Row],[مقدار (کیلوگرم)]],0)</f>
        <v>0</v>
      </c>
      <c r="L5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7" s="7">
        <f>-IF(AND(Main[[#This Row],[مقدار (کیلوگرم)]]&lt;0,Main[[#This Row],[تاريخ میلادی]]&gt;44276),Main[[#This Row],[مقدار (کیلوگرم)]],0)</f>
        <v>0</v>
      </c>
      <c r="N557" s="6">
        <f ca="1">Main[[#This Row],[بدهکار (کیلوگرم)]]-Main[[#This Row],[بدهی تسویه نشده (کیلوگرم)]]</f>
        <v>0</v>
      </c>
      <c r="O557" s="6">
        <f ca="1">Main[[#This Row],[تفکیک]]</f>
        <v>0</v>
      </c>
      <c r="P557" s="6">
        <f ca="1">IF(Main[[#This Row],[تاخیر از سررسید]]&gt;0,Main[[#This Row],[بدهی تسویه نشده (کیلوگرم)]],0)</f>
        <v>0</v>
      </c>
      <c r="Q557" s="6">
        <f ca="1">IF(Main[[#This Row],[بدهی تسویه نشده (کیلوگرم)]]&gt;0,'گزارش فردی'!$B$7-Main[[#This Row],[تاريخ میلادی]],0)</f>
        <v>0</v>
      </c>
      <c r="R557" s="6">
        <f ca="1">IF(Main[[#This Row],[بدهی تسویه نشده (کیلوگرم)]]&gt;0,'گزارش فردی'!$B$7-Main[[#This Row],[تاريخ میلادی]]-'گزارش فردی'!$B$8,0)</f>
        <v>0</v>
      </c>
      <c r="S557" s="6">
        <f ca="1">Main[[#This Row],[روز از ارسال سفارش]]*Main[[#This Row],[بدهی تسویه نشده (کیلوگرم)]]</f>
        <v>0</v>
      </c>
      <c r="T557" s="6">
        <f ca="1">Main[[#This Row],[بدهی سررسید شده (کیلوگرم)]]*Main[[#This Row],[روز از ارسال سفارش]]</f>
        <v>0</v>
      </c>
      <c r="U557" s="6">
        <f>-SUBTOTAL(9,INDEX(Main[مقدار (کیلوگرم)],1):Main[[#This Row],[مقدار (کیلوگرم)]])</f>
        <v>19244</v>
      </c>
      <c r="V5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7" s="6">
        <f>Main[[#This Row],[تعداد کل روزهای بدهکار (روز)]]*Main[[#This Row],[مانده در خط کل (کیلوگرم)]]</f>
        <v>0</v>
      </c>
      <c r="X557" s="6">
        <f ca="1">-SUBTOTAL(9,INDEX(Main[مقدار تسویه شده (کیلوگرم)],1):Main[[#This Row],[مقدار تسویه شده (کیلوگرم)]])</f>
        <v>19244</v>
      </c>
      <c r="Y557" s="6">
        <f ca="1">IF(Main[[#This Row],[مانده در خط تسویه شده (کیلوگرم)]]&lt;&gt;0,Main[[#This Row],[تعداد کل روزهای بدهکار (روز)]],0)</f>
        <v>0</v>
      </c>
      <c r="Z557" s="6">
        <f ca="1">Main[[#This Row],[تعداد روزهای بدهکار تسویه شده (روز)]]*Main[[#This Row],[مانده در خط تسویه شده (کیلوگرم)]]</f>
        <v>0</v>
      </c>
      <c r="AA557" s="6">
        <f ca="1">SUBTOTAL(9,INDEX(Main[بدهی تسویه نشده (کیلوگرم)],1):Main[[#This Row],[بدهی تسویه نشده (کیلوگرم)]])</f>
        <v>0</v>
      </c>
      <c r="AB557" s="6">
        <f ca="1">IF(Main[[#This Row],[مانده در خط تسویه نشده (کیلوگرم)]]&lt;&gt;0,Main[[#This Row],[تعداد کل روزهای بدهکار (روز)]],0)</f>
        <v>0</v>
      </c>
      <c r="AC557" s="6">
        <f ca="1">Main[[#This Row],[تعداد روزهای بدهکار  تسویه نشده (روز)]]*Main[[#This Row],[مانده در خط تسویه نشده (کیلوگرم)]]</f>
        <v>0</v>
      </c>
      <c r="AD557" s="6">
        <f ca="1">SUBTOTAL(9,INDEX(Main[بدهی سررسید شده (کیلوگرم)],1):Main[[#This Row],[بدهی سررسید شده (کیلوگرم)]])</f>
        <v>0</v>
      </c>
      <c r="AE557" s="6">
        <f ca="1">IF(Main[[#This Row],[مانده در خط سررسید شده (کیلوگرم)]]&lt;&gt;0,Main[[#This Row],[تعداد کل روزهای بدهکار (روز)]],0)</f>
        <v>0</v>
      </c>
      <c r="AF557" s="6">
        <f ca="1">Main[[#This Row],[تعداد روزهای بدهکار سررسید شده (روز)]]*Main[[#This Row],[مانده در خط سررسید شده (کیلوگرم)]]</f>
        <v>0</v>
      </c>
    </row>
    <row r="558" spans="1:32" hidden="1" x14ac:dyDescent="0.35">
      <c r="A558" s="5">
        <f>ROW()-ROW(INDEX(Main[ردیف],1))+1</f>
        <v>556</v>
      </c>
      <c r="B558" s="31">
        <f>SUBTOTAL(2,INDEX(Main[ردیف],1):Main[[#This Row],[ردیف]])</f>
        <v>52</v>
      </c>
      <c r="C558" s="32" t="s">
        <v>564</v>
      </c>
      <c r="D558" s="32" t="str">
        <f>_xlfn.CONCAT("14",Main[[#This Row],[تاريخ]])</f>
        <v>1400/03/01</v>
      </c>
      <c r="E558" s="33">
        <v>44338</v>
      </c>
      <c r="F558" s="32">
        <v>30017</v>
      </c>
      <c r="G558" s="5" t="str">
        <f>INDEX(customer[عنوان],MATCH(Main[[#This Row],[کد ردیابی]],customer[کد],0))</f>
        <v xml:space="preserve">البرز یدک </v>
      </c>
      <c r="H558">
        <v>-5031</v>
      </c>
      <c r="I558" s="6">
        <f ca="1">-Main[[#This Row],[بدهی تسویه شده (کیلوگرم)]]+Main[[#This Row],[بستانکار (کیلوگرم)]]</f>
        <v>-5031</v>
      </c>
      <c r="J558" s="6">
        <f>IF(Main[[#This Row],[مقدار (کیلوگرم)]]&gt;0,Main[[#This Row],[مقدار (کیلوگرم)]],0)</f>
        <v>0</v>
      </c>
      <c r="K558" s="6">
        <f>-IF(Main[[#This Row],[مقدار (کیلوگرم)]]&lt;0,Main[[#This Row],[مقدار (کیلوگرم)]],0)</f>
        <v>5031</v>
      </c>
      <c r="L5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8" s="7">
        <f>-IF(AND(Main[[#This Row],[مقدار (کیلوگرم)]]&lt;0,Main[[#This Row],[تاريخ میلادی]]&gt;44276),Main[[#This Row],[مقدار (کیلوگرم)]],0)</f>
        <v>5031</v>
      </c>
      <c r="N558" s="6">
        <f ca="1">Main[[#This Row],[بدهکار (کیلوگرم)]]-Main[[#This Row],[بدهی تسویه نشده (کیلوگرم)]]</f>
        <v>5031</v>
      </c>
      <c r="O558" s="6">
        <f ca="1">Main[[#This Row],[تفکیک]]</f>
        <v>0</v>
      </c>
      <c r="P558" s="6">
        <f ca="1">IF(Main[[#This Row],[تاخیر از سررسید]]&gt;0,Main[[#This Row],[بدهی تسویه نشده (کیلوگرم)]],0)</f>
        <v>0</v>
      </c>
      <c r="Q558" s="6">
        <f ca="1">IF(Main[[#This Row],[بدهی تسویه نشده (کیلوگرم)]]&gt;0,'گزارش فردی'!$B$7-Main[[#This Row],[تاريخ میلادی]],0)</f>
        <v>0</v>
      </c>
      <c r="R558" s="6">
        <f ca="1">IF(Main[[#This Row],[بدهی تسویه نشده (کیلوگرم)]]&gt;0,'گزارش فردی'!$B$7-Main[[#This Row],[تاريخ میلادی]]-'گزارش فردی'!$B$8,0)</f>
        <v>0</v>
      </c>
      <c r="S558" s="6">
        <f ca="1">Main[[#This Row],[روز از ارسال سفارش]]*Main[[#This Row],[بدهی تسویه نشده (کیلوگرم)]]</f>
        <v>0</v>
      </c>
      <c r="T558" s="6">
        <f ca="1">Main[[#This Row],[بدهی سررسید شده (کیلوگرم)]]*Main[[#This Row],[روز از ارسال سفارش]]</f>
        <v>0</v>
      </c>
      <c r="U558" s="6">
        <f>-SUBTOTAL(9,INDEX(Main[مقدار (کیلوگرم)],1):Main[[#This Row],[مقدار (کیلوگرم)]])</f>
        <v>19244</v>
      </c>
      <c r="V5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8" s="6">
        <f>Main[[#This Row],[تعداد کل روزهای بدهکار (روز)]]*Main[[#This Row],[مانده در خط کل (کیلوگرم)]]</f>
        <v>0</v>
      </c>
      <c r="X558" s="6">
        <f ca="1">-SUBTOTAL(9,INDEX(Main[مقدار تسویه شده (کیلوگرم)],1):Main[[#This Row],[مقدار تسویه شده (کیلوگرم)]])</f>
        <v>19244</v>
      </c>
      <c r="Y558" s="6">
        <f ca="1">IF(Main[[#This Row],[مانده در خط تسویه شده (کیلوگرم)]]&lt;&gt;0,Main[[#This Row],[تعداد کل روزهای بدهکار (روز)]],0)</f>
        <v>0</v>
      </c>
      <c r="Z558" s="6">
        <f ca="1">Main[[#This Row],[تعداد روزهای بدهکار تسویه شده (روز)]]*Main[[#This Row],[مانده در خط تسویه شده (کیلوگرم)]]</f>
        <v>0</v>
      </c>
      <c r="AA558" s="6">
        <f ca="1">SUBTOTAL(9,INDEX(Main[بدهی تسویه نشده (کیلوگرم)],1):Main[[#This Row],[بدهی تسویه نشده (کیلوگرم)]])</f>
        <v>0</v>
      </c>
      <c r="AB558" s="6">
        <f ca="1">IF(Main[[#This Row],[مانده در خط تسویه نشده (کیلوگرم)]]&lt;&gt;0,Main[[#This Row],[تعداد کل روزهای بدهکار (روز)]],0)</f>
        <v>0</v>
      </c>
      <c r="AC558" s="6">
        <f ca="1">Main[[#This Row],[تعداد روزهای بدهکار  تسویه نشده (روز)]]*Main[[#This Row],[مانده در خط تسویه نشده (کیلوگرم)]]</f>
        <v>0</v>
      </c>
      <c r="AD558" s="6">
        <f ca="1">SUBTOTAL(9,INDEX(Main[بدهی سررسید شده (کیلوگرم)],1):Main[[#This Row],[بدهی سررسید شده (کیلوگرم)]])</f>
        <v>0</v>
      </c>
      <c r="AE558" s="6">
        <f ca="1">IF(Main[[#This Row],[مانده در خط سررسید شده (کیلوگرم)]]&lt;&gt;0,Main[[#This Row],[تعداد کل روزهای بدهکار (روز)]],0)</f>
        <v>0</v>
      </c>
      <c r="AF558" s="6">
        <f ca="1">Main[[#This Row],[تعداد روزهای بدهکار سررسید شده (روز)]]*Main[[#This Row],[مانده در خط سررسید شده (کیلوگرم)]]</f>
        <v>0</v>
      </c>
    </row>
    <row r="559" spans="1:32" x14ac:dyDescent="0.35">
      <c r="A559" s="5">
        <f>ROW()-ROW(INDEX(Main[ردیف],1))+1</f>
        <v>557</v>
      </c>
      <c r="B559" s="31">
        <f>SUBTOTAL(2,INDEX(Main[ردیف],1):Main[[#This Row],[ردیف]])</f>
        <v>53</v>
      </c>
      <c r="C559" s="32" t="s">
        <v>564</v>
      </c>
      <c r="D559" s="32" t="str">
        <f>_xlfn.CONCAT("14",Main[[#This Row],[تاريخ]])</f>
        <v>1400/03/01</v>
      </c>
      <c r="E559" s="33">
        <v>44338</v>
      </c>
      <c r="F559" s="32">
        <v>10003</v>
      </c>
      <c r="G559" s="5" t="str">
        <f>INDEX(customer[عنوان],MATCH(Main[[#This Row],[کد ردیابی]],customer[کد],0))</f>
        <v>اصغر نورعلی</v>
      </c>
      <c r="H559">
        <v>-2079</v>
      </c>
      <c r="I559" s="6">
        <f ca="1">-Main[[#This Row],[بدهی تسویه شده (کیلوگرم)]]+Main[[#This Row],[بستانکار (کیلوگرم)]]</f>
        <v>-2079</v>
      </c>
      <c r="J559" s="6">
        <f>IF(Main[[#This Row],[مقدار (کیلوگرم)]]&gt;0,Main[[#This Row],[مقدار (کیلوگرم)]],0)</f>
        <v>0</v>
      </c>
      <c r="K559" s="6">
        <f>-IF(Main[[#This Row],[مقدار (کیلوگرم)]]&lt;0,Main[[#This Row],[مقدار (کیلوگرم)]],0)</f>
        <v>2079</v>
      </c>
      <c r="L5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9" s="7">
        <f>-IF(AND(Main[[#This Row],[مقدار (کیلوگرم)]]&lt;0,Main[[#This Row],[تاريخ میلادی]]&gt;44276),Main[[#This Row],[مقدار (کیلوگرم)]],0)</f>
        <v>2079</v>
      </c>
      <c r="N559" s="6">
        <f ca="1">Main[[#This Row],[بدهکار (کیلوگرم)]]-Main[[#This Row],[بدهی تسویه نشده (کیلوگرم)]]</f>
        <v>2079</v>
      </c>
      <c r="O559" s="6">
        <f ca="1">Main[[#This Row],[تفکیک]]</f>
        <v>0</v>
      </c>
      <c r="P559" s="6">
        <f ca="1">IF(Main[[#This Row],[تاخیر از سررسید]]&gt;0,Main[[#This Row],[بدهی تسویه نشده (کیلوگرم)]],0)</f>
        <v>0</v>
      </c>
      <c r="Q559" s="6">
        <f ca="1">IF(Main[[#This Row],[بدهی تسویه نشده (کیلوگرم)]]&gt;0,'گزارش فردی'!$B$7-Main[[#This Row],[تاريخ میلادی]],0)</f>
        <v>0</v>
      </c>
      <c r="R559" s="6">
        <f ca="1">IF(Main[[#This Row],[بدهی تسویه نشده (کیلوگرم)]]&gt;0,'گزارش فردی'!$B$7-Main[[#This Row],[تاريخ میلادی]]-'گزارش فردی'!$B$8,0)</f>
        <v>0</v>
      </c>
      <c r="S559" s="6">
        <f ca="1">Main[[#This Row],[روز از ارسال سفارش]]*Main[[#This Row],[بدهی تسویه نشده (کیلوگرم)]]</f>
        <v>0</v>
      </c>
      <c r="T559" s="6">
        <f ca="1">Main[[#This Row],[بدهی سررسید شده (کیلوگرم)]]*Main[[#This Row],[روز از ارسال سفارش]]</f>
        <v>0</v>
      </c>
      <c r="U559" s="6">
        <f>-SUBTOTAL(9,INDEX(Main[مقدار (کیلوگرم)],1):Main[[#This Row],[مقدار (کیلوگرم)]])</f>
        <v>21323</v>
      </c>
      <c r="V5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9" s="6">
        <f>Main[[#This Row],[تعداد کل روزهای بدهکار (روز)]]*Main[[#This Row],[مانده در خط کل (کیلوگرم)]]</f>
        <v>21323</v>
      </c>
      <c r="X559" s="6">
        <f ca="1">-SUBTOTAL(9,INDEX(Main[مقدار تسویه شده (کیلوگرم)],1):Main[[#This Row],[مقدار تسویه شده (کیلوگرم)]])</f>
        <v>21323</v>
      </c>
      <c r="Y559" s="6">
        <f ca="1">IF(Main[[#This Row],[مانده در خط تسویه شده (کیلوگرم)]]&lt;&gt;0,Main[[#This Row],[تعداد کل روزهای بدهکار (روز)]],0)</f>
        <v>1</v>
      </c>
      <c r="Z559" s="6">
        <f ca="1">Main[[#This Row],[تعداد روزهای بدهکار تسویه شده (روز)]]*Main[[#This Row],[مانده در خط تسویه شده (کیلوگرم)]]</f>
        <v>21323</v>
      </c>
      <c r="AA559" s="6">
        <f ca="1">SUBTOTAL(9,INDEX(Main[بدهی تسویه نشده (کیلوگرم)],1):Main[[#This Row],[بدهی تسویه نشده (کیلوگرم)]])</f>
        <v>0</v>
      </c>
      <c r="AB559" s="6">
        <f ca="1">IF(Main[[#This Row],[مانده در خط تسویه نشده (کیلوگرم)]]&lt;&gt;0,Main[[#This Row],[تعداد کل روزهای بدهکار (روز)]],0)</f>
        <v>0</v>
      </c>
      <c r="AC559" s="6">
        <f ca="1">Main[[#This Row],[تعداد روزهای بدهکار  تسویه نشده (روز)]]*Main[[#This Row],[مانده در خط تسویه نشده (کیلوگرم)]]</f>
        <v>0</v>
      </c>
      <c r="AD559" s="6">
        <f ca="1">SUBTOTAL(9,INDEX(Main[بدهی سررسید شده (کیلوگرم)],1):Main[[#This Row],[بدهی سررسید شده (کیلوگرم)]])</f>
        <v>0</v>
      </c>
      <c r="AE559" s="6">
        <f ca="1">IF(Main[[#This Row],[مانده در خط سررسید شده (کیلوگرم)]]&lt;&gt;0,Main[[#This Row],[تعداد کل روزهای بدهکار (روز)]],0)</f>
        <v>0</v>
      </c>
      <c r="AF559" s="6">
        <f ca="1">Main[[#This Row],[تعداد روزهای بدهکار سررسید شده (روز)]]*Main[[#This Row],[مانده در خط سررسید شده (کیلوگرم)]]</f>
        <v>0</v>
      </c>
    </row>
    <row r="560" spans="1:32" hidden="1" x14ac:dyDescent="0.35">
      <c r="A560" s="5">
        <f>ROW()-ROW(INDEX(Main[ردیف],1))+1</f>
        <v>558</v>
      </c>
      <c r="B560" s="31">
        <f>SUBTOTAL(2,INDEX(Main[ردیف],1):Main[[#This Row],[ردیف]])</f>
        <v>53</v>
      </c>
      <c r="C560" s="32" t="s">
        <v>564</v>
      </c>
      <c r="D560" s="32" t="str">
        <f>_xlfn.CONCAT("14",Main[[#This Row],[تاريخ]])</f>
        <v>1400/03/01</v>
      </c>
      <c r="E560" s="33">
        <v>44338</v>
      </c>
      <c r="F560" s="32">
        <v>30009</v>
      </c>
      <c r="G560" s="5" t="str">
        <f>INDEX(customer[عنوان],MATCH(Main[[#This Row],[کد ردیابی]],customer[کد],0))</f>
        <v>شرکت ایمن تک پیشرو</v>
      </c>
      <c r="H560">
        <v>-4447</v>
      </c>
      <c r="I560" s="6">
        <f ca="1">-Main[[#This Row],[بدهی تسویه شده (کیلوگرم)]]+Main[[#This Row],[بستانکار (کیلوگرم)]]</f>
        <v>-4447</v>
      </c>
      <c r="J560" s="6">
        <f>IF(Main[[#This Row],[مقدار (کیلوگرم)]]&gt;0,Main[[#This Row],[مقدار (کیلوگرم)]],0)</f>
        <v>0</v>
      </c>
      <c r="K560" s="6">
        <f>-IF(Main[[#This Row],[مقدار (کیلوگرم)]]&lt;0,Main[[#This Row],[مقدار (کیلوگرم)]],0)</f>
        <v>4447</v>
      </c>
      <c r="L5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0" s="7">
        <f>-IF(AND(Main[[#This Row],[مقدار (کیلوگرم)]]&lt;0,Main[[#This Row],[تاريخ میلادی]]&gt;44276),Main[[#This Row],[مقدار (کیلوگرم)]],0)</f>
        <v>4447</v>
      </c>
      <c r="N560" s="6">
        <f ca="1">Main[[#This Row],[بدهکار (کیلوگرم)]]-Main[[#This Row],[بدهی تسویه نشده (کیلوگرم)]]</f>
        <v>4447</v>
      </c>
      <c r="O560" s="6">
        <f ca="1">Main[[#This Row],[تفکیک]]</f>
        <v>0</v>
      </c>
      <c r="P560" s="6">
        <f ca="1">IF(Main[[#This Row],[تاخیر از سررسید]]&gt;0,Main[[#This Row],[بدهی تسویه نشده (کیلوگرم)]],0)</f>
        <v>0</v>
      </c>
      <c r="Q560" s="6">
        <f ca="1">IF(Main[[#This Row],[بدهی تسویه نشده (کیلوگرم)]]&gt;0,'گزارش فردی'!$B$7-Main[[#This Row],[تاريخ میلادی]],0)</f>
        <v>0</v>
      </c>
      <c r="R560" s="6">
        <f ca="1">IF(Main[[#This Row],[بدهی تسویه نشده (کیلوگرم)]]&gt;0,'گزارش فردی'!$B$7-Main[[#This Row],[تاريخ میلادی]]-'گزارش فردی'!$B$8,0)</f>
        <v>0</v>
      </c>
      <c r="S560" s="6">
        <f ca="1">Main[[#This Row],[روز از ارسال سفارش]]*Main[[#This Row],[بدهی تسویه نشده (کیلوگرم)]]</f>
        <v>0</v>
      </c>
      <c r="T560" s="6">
        <f ca="1">Main[[#This Row],[بدهی سررسید شده (کیلوگرم)]]*Main[[#This Row],[روز از ارسال سفارش]]</f>
        <v>0</v>
      </c>
      <c r="U560" s="6">
        <f>-SUBTOTAL(9,INDEX(Main[مقدار (کیلوگرم)],1):Main[[#This Row],[مقدار (کیلوگرم)]])</f>
        <v>21323</v>
      </c>
      <c r="V5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60" s="6">
        <f>Main[[#This Row],[تعداد کل روزهای بدهکار (روز)]]*Main[[#This Row],[مانده در خط کل (کیلوگرم)]]</f>
        <v>21323</v>
      </c>
      <c r="X560" s="6">
        <f ca="1">-SUBTOTAL(9,INDEX(Main[مقدار تسویه شده (کیلوگرم)],1):Main[[#This Row],[مقدار تسویه شده (کیلوگرم)]])</f>
        <v>21323</v>
      </c>
      <c r="Y560" s="6">
        <f ca="1">IF(Main[[#This Row],[مانده در خط تسویه شده (کیلوگرم)]]&lt;&gt;0,Main[[#This Row],[تعداد کل روزهای بدهکار (روز)]],0)</f>
        <v>1</v>
      </c>
      <c r="Z560" s="6">
        <f ca="1">Main[[#This Row],[تعداد روزهای بدهکار تسویه شده (روز)]]*Main[[#This Row],[مانده در خط تسویه شده (کیلوگرم)]]</f>
        <v>21323</v>
      </c>
      <c r="AA560" s="6">
        <f ca="1">SUBTOTAL(9,INDEX(Main[بدهی تسویه نشده (کیلوگرم)],1):Main[[#This Row],[بدهی تسویه نشده (کیلوگرم)]])</f>
        <v>0</v>
      </c>
      <c r="AB560" s="6">
        <f ca="1">IF(Main[[#This Row],[مانده در خط تسویه نشده (کیلوگرم)]]&lt;&gt;0,Main[[#This Row],[تعداد کل روزهای بدهکار (روز)]],0)</f>
        <v>0</v>
      </c>
      <c r="AC560" s="6">
        <f ca="1">Main[[#This Row],[تعداد روزهای بدهکار  تسویه نشده (روز)]]*Main[[#This Row],[مانده در خط تسویه نشده (کیلوگرم)]]</f>
        <v>0</v>
      </c>
      <c r="AD560" s="6">
        <f ca="1">SUBTOTAL(9,INDEX(Main[بدهی سررسید شده (کیلوگرم)],1):Main[[#This Row],[بدهی سررسید شده (کیلوگرم)]])</f>
        <v>0</v>
      </c>
      <c r="AE560" s="6">
        <f ca="1">IF(Main[[#This Row],[مانده در خط سررسید شده (کیلوگرم)]]&lt;&gt;0,Main[[#This Row],[تعداد کل روزهای بدهکار (روز)]],0)</f>
        <v>0</v>
      </c>
      <c r="AF560" s="6">
        <f ca="1">Main[[#This Row],[تعداد روزهای بدهکار سررسید شده (روز)]]*Main[[#This Row],[مانده در خط سررسید شده (کیلوگرم)]]</f>
        <v>0</v>
      </c>
    </row>
    <row r="561" spans="1:32" hidden="1" x14ac:dyDescent="0.35">
      <c r="A561" s="5">
        <f>ROW()-ROW(INDEX(Main[ردیف],1))+1</f>
        <v>559</v>
      </c>
      <c r="B561" s="31">
        <f>SUBTOTAL(2,INDEX(Main[ردیف],1):Main[[#This Row],[ردیف]])</f>
        <v>53</v>
      </c>
      <c r="C561" s="32" t="s">
        <v>565</v>
      </c>
      <c r="D561" s="32" t="str">
        <f>_xlfn.CONCAT("14",Main[[#This Row],[تاريخ]])</f>
        <v>1400/03/02</v>
      </c>
      <c r="E561" s="33">
        <v>44339</v>
      </c>
      <c r="F561" s="32">
        <v>10128</v>
      </c>
      <c r="G561" s="5" t="str">
        <f>INDEX(customer[عنوان],MATCH(Main[[#This Row],[کد ردیابی]],customer[کد],0))</f>
        <v xml:space="preserve">رویا اصلانی </v>
      </c>
      <c r="H561">
        <v>102</v>
      </c>
      <c r="I561" s="6">
        <f ca="1">-Main[[#This Row],[بدهی تسویه شده (کیلوگرم)]]+Main[[#This Row],[بستانکار (کیلوگرم)]]</f>
        <v>102</v>
      </c>
      <c r="J561" s="6">
        <f>IF(Main[[#This Row],[مقدار (کیلوگرم)]]&gt;0,Main[[#This Row],[مقدار (کیلوگرم)]],0)</f>
        <v>102</v>
      </c>
      <c r="K561" s="6">
        <f>-IF(Main[[#This Row],[مقدار (کیلوگرم)]]&lt;0,Main[[#This Row],[مقدار (کیلوگرم)]],0)</f>
        <v>0</v>
      </c>
      <c r="L5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1" s="7">
        <f>-IF(AND(Main[[#This Row],[مقدار (کیلوگرم)]]&lt;0,Main[[#This Row],[تاريخ میلادی]]&gt;44276),Main[[#This Row],[مقدار (کیلوگرم)]],0)</f>
        <v>0</v>
      </c>
      <c r="N561" s="6">
        <f ca="1">Main[[#This Row],[بدهکار (کیلوگرم)]]-Main[[#This Row],[بدهی تسویه نشده (کیلوگرم)]]</f>
        <v>0</v>
      </c>
      <c r="O561" s="6">
        <f ca="1">Main[[#This Row],[تفکیک]]</f>
        <v>0</v>
      </c>
      <c r="P561" s="6">
        <f ca="1">IF(Main[[#This Row],[تاخیر از سررسید]]&gt;0,Main[[#This Row],[بدهی تسویه نشده (کیلوگرم)]],0)</f>
        <v>0</v>
      </c>
      <c r="Q561" s="6">
        <f ca="1">IF(Main[[#This Row],[بدهی تسویه نشده (کیلوگرم)]]&gt;0,'گزارش فردی'!$B$7-Main[[#This Row],[تاريخ میلادی]],0)</f>
        <v>0</v>
      </c>
      <c r="R561" s="6">
        <f ca="1">IF(Main[[#This Row],[بدهی تسویه نشده (کیلوگرم)]]&gt;0,'گزارش فردی'!$B$7-Main[[#This Row],[تاريخ میلادی]]-'گزارش فردی'!$B$8,0)</f>
        <v>0</v>
      </c>
      <c r="S561" s="6">
        <f ca="1">Main[[#This Row],[روز از ارسال سفارش]]*Main[[#This Row],[بدهی تسویه نشده (کیلوگرم)]]</f>
        <v>0</v>
      </c>
      <c r="T561" s="6">
        <f ca="1">Main[[#This Row],[بدهی سررسید شده (کیلوگرم)]]*Main[[#This Row],[روز از ارسال سفارش]]</f>
        <v>0</v>
      </c>
      <c r="U561" s="6">
        <f>-SUBTOTAL(9,INDEX(Main[مقدار (کیلوگرم)],1):Main[[#This Row],[مقدار (کیلوگرم)]])</f>
        <v>21323</v>
      </c>
      <c r="V5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1" s="6">
        <f>Main[[#This Row],[تعداد کل روزهای بدهکار (روز)]]*Main[[#This Row],[مانده در خط کل (کیلوگرم)]]</f>
        <v>0</v>
      </c>
      <c r="X561" s="6">
        <f ca="1">-SUBTOTAL(9,INDEX(Main[مقدار تسویه شده (کیلوگرم)],1):Main[[#This Row],[مقدار تسویه شده (کیلوگرم)]])</f>
        <v>21323</v>
      </c>
      <c r="Y561" s="6">
        <f ca="1">IF(Main[[#This Row],[مانده در خط تسویه شده (کیلوگرم)]]&lt;&gt;0,Main[[#This Row],[تعداد کل روزهای بدهکار (روز)]],0)</f>
        <v>0</v>
      </c>
      <c r="Z561" s="6">
        <f ca="1">Main[[#This Row],[تعداد روزهای بدهکار تسویه شده (روز)]]*Main[[#This Row],[مانده در خط تسویه شده (کیلوگرم)]]</f>
        <v>0</v>
      </c>
      <c r="AA561" s="6">
        <f ca="1">SUBTOTAL(9,INDEX(Main[بدهی تسویه نشده (کیلوگرم)],1):Main[[#This Row],[بدهی تسویه نشده (کیلوگرم)]])</f>
        <v>0</v>
      </c>
      <c r="AB561" s="6">
        <f ca="1">IF(Main[[#This Row],[مانده در خط تسویه نشده (کیلوگرم)]]&lt;&gt;0,Main[[#This Row],[تعداد کل روزهای بدهکار (روز)]],0)</f>
        <v>0</v>
      </c>
      <c r="AC561" s="6">
        <f ca="1">Main[[#This Row],[تعداد روزهای بدهکار  تسویه نشده (روز)]]*Main[[#This Row],[مانده در خط تسویه نشده (کیلوگرم)]]</f>
        <v>0</v>
      </c>
      <c r="AD561" s="6">
        <f ca="1">SUBTOTAL(9,INDEX(Main[بدهی سررسید شده (کیلوگرم)],1):Main[[#This Row],[بدهی سررسید شده (کیلوگرم)]])</f>
        <v>0</v>
      </c>
      <c r="AE561" s="6">
        <f ca="1">IF(Main[[#This Row],[مانده در خط سررسید شده (کیلوگرم)]]&lt;&gt;0,Main[[#This Row],[تعداد کل روزهای بدهکار (روز)]],0)</f>
        <v>0</v>
      </c>
      <c r="AF561" s="6">
        <f ca="1">Main[[#This Row],[تعداد روزهای بدهکار سررسید شده (روز)]]*Main[[#This Row],[مانده در خط سررسید شده (کیلوگرم)]]</f>
        <v>0</v>
      </c>
    </row>
    <row r="562" spans="1:32" hidden="1" x14ac:dyDescent="0.35">
      <c r="A562" s="5">
        <f>ROW()-ROW(INDEX(Main[ردیف],1))+1</f>
        <v>560</v>
      </c>
      <c r="B562" s="31">
        <f>SUBTOTAL(2,INDEX(Main[ردیف],1):Main[[#This Row],[ردیف]])</f>
        <v>53</v>
      </c>
      <c r="C562" s="32" t="s">
        <v>565</v>
      </c>
      <c r="D562" s="32" t="str">
        <f>_xlfn.CONCAT("14",Main[[#This Row],[تاريخ]])</f>
        <v>1400/03/02</v>
      </c>
      <c r="E562" s="33">
        <v>44339</v>
      </c>
      <c r="F562" s="32">
        <v>30009</v>
      </c>
      <c r="G562" s="5" t="str">
        <f>INDEX(customer[عنوان],MATCH(Main[[#This Row],[کد ردیابی]],customer[کد],0))</f>
        <v>شرکت ایمن تک پیشرو</v>
      </c>
      <c r="H562">
        <v>-1085</v>
      </c>
      <c r="I562" s="6">
        <f ca="1">-Main[[#This Row],[بدهی تسویه شده (کیلوگرم)]]+Main[[#This Row],[بستانکار (کیلوگرم)]]</f>
        <v>-1085</v>
      </c>
      <c r="J562" s="6">
        <f>IF(Main[[#This Row],[مقدار (کیلوگرم)]]&gt;0,Main[[#This Row],[مقدار (کیلوگرم)]],0)</f>
        <v>0</v>
      </c>
      <c r="K562" s="6">
        <f>-IF(Main[[#This Row],[مقدار (کیلوگرم)]]&lt;0,Main[[#This Row],[مقدار (کیلوگرم)]],0)</f>
        <v>1085</v>
      </c>
      <c r="L5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2" s="7">
        <f>-IF(AND(Main[[#This Row],[مقدار (کیلوگرم)]]&lt;0,Main[[#This Row],[تاريخ میلادی]]&gt;44276),Main[[#This Row],[مقدار (کیلوگرم)]],0)</f>
        <v>1085</v>
      </c>
      <c r="N562" s="6">
        <f ca="1">Main[[#This Row],[بدهکار (کیلوگرم)]]-Main[[#This Row],[بدهی تسویه نشده (کیلوگرم)]]</f>
        <v>1085</v>
      </c>
      <c r="O562" s="6">
        <f ca="1">Main[[#This Row],[تفکیک]]</f>
        <v>0</v>
      </c>
      <c r="P562" s="6">
        <f ca="1">IF(Main[[#This Row],[تاخیر از سررسید]]&gt;0,Main[[#This Row],[بدهی تسویه نشده (کیلوگرم)]],0)</f>
        <v>0</v>
      </c>
      <c r="Q562" s="6">
        <f ca="1">IF(Main[[#This Row],[بدهی تسویه نشده (کیلوگرم)]]&gt;0,'گزارش فردی'!$B$7-Main[[#This Row],[تاريخ میلادی]],0)</f>
        <v>0</v>
      </c>
      <c r="R562" s="6">
        <f ca="1">IF(Main[[#This Row],[بدهی تسویه نشده (کیلوگرم)]]&gt;0,'گزارش فردی'!$B$7-Main[[#This Row],[تاريخ میلادی]]-'گزارش فردی'!$B$8,0)</f>
        <v>0</v>
      </c>
      <c r="S562" s="6">
        <f ca="1">Main[[#This Row],[روز از ارسال سفارش]]*Main[[#This Row],[بدهی تسویه نشده (کیلوگرم)]]</f>
        <v>0</v>
      </c>
      <c r="T562" s="6">
        <f ca="1">Main[[#This Row],[بدهی سررسید شده (کیلوگرم)]]*Main[[#This Row],[روز از ارسال سفارش]]</f>
        <v>0</v>
      </c>
      <c r="U562" s="6">
        <f>-SUBTOTAL(9,INDEX(Main[مقدار (کیلوگرم)],1):Main[[#This Row],[مقدار (کیلوگرم)]])</f>
        <v>21323</v>
      </c>
      <c r="V5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2" s="6">
        <f>Main[[#This Row],[تعداد کل روزهای بدهکار (روز)]]*Main[[#This Row],[مانده در خط کل (کیلوگرم)]]</f>
        <v>0</v>
      </c>
      <c r="X562" s="6">
        <f ca="1">-SUBTOTAL(9,INDEX(Main[مقدار تسویه شده (کیلوگرم)],1):Main[[#This Row],[مقدار تسویه شده (کیلوگرم)]])</f>
        <v>21323</v>
      </c>
      <c r="Y562" s="6">
        <f ca="1">IF(Main[[#This Row],[مانده در خط تسویه شده (کیلوگرم)]]&lt;&gt;0,Main[[#This Row],[تعداد کل روزهای بدهکار (روز)]],0)</f>
        <v>0</v>
      </c>
      <c r="Z562" s="6">
        <f ca="1">Main[[#This Row],[تعداد روزهای بدهکار تسویه شده (روز)]]*Main[[#This Row],[مانده در خط تسویه شده (کیلوگرم)]]</f>
        <v>0</v>
      </c>
      <c r="AA562" s="6">
        <f ca="1">SUBTOTAL(9,INDEX(Main[بدهی تسویه نشده (کیلوگرم)],1):Main[[#This Row],[بدهی تسویه نشده (کیلوگرم)]])</f>
        <v>0</v>
      </c>
      <c r="AB562" s="6">
        <f ca="1">IF(Main[[#This Row],[مانده در خط تسویه نشده (کیلوگرم)]]&lt;&gt;0,Main[[#This Row],[تعداد کل روزهای بدهکار (روز)]],0)</f>
        <v>0</v>
      </c>
      <c r="AC562" s="6">
        <f ca="1">Main[[#This Row],[تعداد روزهای بدهکار  تسویه نشده (روز)]]*Main[[#This Row],[مانده در خط تسویه نشده (کیلوگرم)]]</f>
        <v>0</v>
      </c>
      <c r="AD562" s="6">
        <f ca="1">SUBTOTAL(9,INDEX(Main[بدهی سررسید شده (کیلوگرم)],1):Main[[#This Row],[بدهی سررسید شده (کیلوگرم)]])</f>
        <v>0</v>
      </c>
      <c r="AE562" s="6">
        <f ca="1">IF(Main[[#This Row],[مانده در خط سررسید شده (کیلوگرم)]]&lt;&gt;0,Main[[#This Row],[تعداد کل روزهای بدهکار (روز)]],0)</f>
        <v>0</v>
      </c>
      <c r="AF562" s="6">
        <f ca="1">Main[[#This Row],[تعداد روزهای بدهکار سررسید شده (روز)]]*Main[[#This Row],[مانده در خط سررسید شده (کیلوگرم)]]</f>
        <v>0</v>
      </c>
    </row>
    <row r="563" spans="1:32" hidden="1" x14ac:dyDescent="0.35">
      <c r="A563" s="5">
        <f>ROW()-ROW(INDEX(Main[ردیف],1))+1</f>
        <v>561</v>
      </c>
      <c r="B563" s="31">
        <f>SUBTOTAL(2,INDEX(Main[ردیف],1):Main[[#This Row],[ردیف]])</f>
        <v>53</v>
      </c>
      <c r="C563" s="32" t="s">
        <v>565</v>
      </c>
      <c r="D563" s="32" t="str">
        <f>_xlfn.CONCAT("14",Main[[#This Row],[تاريخ]])</f>
        <v>1400/03/02</v>
      </c>
      <c r="E563" s="33">
        <v>44339</v>
      </c>
      <c r="F563" s="32">
        <v>30004</v>
      </c>
      <c r="G563" s="5" t="str">
        <f>INDEX(customer[عنوان],MATCH(Main[[#This Row],[کد ردیابی]],customer[کد],0))</f>
        <v>تولیدی صنعتی صفاشیر پارس</v>
      </c>
      <c r="H563">
        <v>1690</v>
      </c>
      <c r="I563" s="6">
        <f ca="1">-Main[[#This Row],[بدهی تسویه شده (کیلوگرم)]]+Main[[#This Row],[بستانکار (کیلوگرم)]]</f>
        <v>1690</v>
      </c>
      <c r="J563" s="6">
        <f>IF(Main[[#This Row],[مقدار (کیلوگرم)]]&gt;0,Main[[#This Row],[مقدار (کیلوگرم)]],0)</f>
        <v>1690</v>
      </c>
      <c r="K563" s="6">
        <f>-IF(Main[[#This Row],[مقدار (کیلوگرم)]]&lt;0,Main[[#This Row],[مقدار (کیلوگرم)]],0)</f>
        <v>0</v>
      </c>
      <c r="L5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3" s="7">
        <f>-IF(AND(Main[[#This Row],[مقدار (کیلوگرم)]]&lt;0,Main[[#This Row],[تاريخ میلادی]]&gt;44276),Main[[#This Row],[مقدار (کیلوگرم)]],0)</f>
        <v>0</v>
      </c>
      <c r="N563" s="6">
        <f ca="1">Main[[#This Row],[بدهکار (کیلوگرم)]]-Main[[#This Row],[بدهی تسویه نشده (کیلوگرم)]]</f>
        <v>0</v>
      </c>
      <c r="O563" s="6">
        <f ca="1">Main[[#This Row],[تفکیک]]</f>
        <v>0</v>
      </c>
      <c r="P563" s="6">
        <f ca="1">IF(Main[[#This Row],[تاخیر از سررسید]]&gt;0,Main[[#This Row],[بدهی تسویه نشده (کیلوگرم)]],0)</f>
        <v>0</v>
      </c>
      <c r="Q563" s="6">
        <f ca="1">IF(Main[[#This Row],[بدهی تسویه نشده (کیلوگرم)]]&gt;0,'گزارش فردی'!$B$7-Main[[#This Row],[تاريخ میلادی]],0)</f>
        <v>0</v>
      </c>
      <c r="R563" s="6">
        <f ca="1">IF(Main[[#This Row],[بدهی تسویه نشده (کیلوگرم)]]&gt;0,'گزارش فردی'!$B$7-Main[[#This Row],[تاريخ میلادی]]-'گزارش فردی'!$B$8,0)</f>
        <v>0</v>
      </c>
      <c r="S563" s="6">
        <f ca="1">Main[[#This Row],[روز از ارسال سفارش]]*Main[[#This Row],[بدهی تسویه نشده (کیلوگرم)]]</f>
        <v>0</v>
      </c>
      <c r="T563" s="6">
        <f ca="1">Main[[#This Row],[بدهی سررسید شده (کیلوگرم)]]*Main[[#This Row],[روز از ارسال سفارش]]</f>
        <v>0</v>
      </c>
      <c r="U563" s="6">
        <f>-SUBTOTAL(9,INDEX(Main[مقدار (کیلوگرم)],1):Main[[#This Row],[مقدار (کیلوگرم)]])</f>
        <v>21323</v>
      </c>
      <c r="V5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3" s="6">
        <f>Main[[#This Row],[تعداد کل روزهای بدهکار (روز)]]*Main[[#This Row],[مانده در خط کل (کیلوگرم)]]</f>
        <v>0</v>
      </c>
      <c r="X563" s="6">
        <f ca="1">-SUBTOTAL(9,INDEX(Main[مقدار تسویه شده (کیلوگرم)],1):Main[[#This Row],[مقدار تسویه شده (کیلوگرم)]])</f>
        <v>21323</v>
      </c>
      <c r="Y563" s="6">
        <f ca="1">IF(Main[[#This Row],[مانده در خط تسویه شده (کیلوگرم)]]&lt;&gt;0,Main[[#This Row],[تعداد کل روزهای بدهکار (روز)]],0)</f>
        <v>0</v>
      </c>
      <c r="Z563" s="6">
        <f ca="1">Main[[#This Row],[تعداد روزهای بدهکار تسویه شده (روز)]]*Main[[#This Row],[مانده در خط تسویه شده (کیلوگرم)]]</f>
        <v>0</v>
      </c>
      <c r="AA563" s="6">
        <f ca="1">SUBTOTAL(9,INDEX(Main[بدهی تسویه نشده (کیلوگرم)],1):Main[[#This Row],[بدهی تسویه نشده (کیلوگرم)]])</f>
        <v>0</v>
      </c>
      <c r="AB563" s="6">
        <f ca="1">IF(Main[[#This Row],[مانده در خط تسویه نشده (کیلوگرم)]]&lt;&gt;0,Main[[#This Row],[تعداد کل روزهای بدهکار (روز)]],0)</f>
        <v>0</v>
      </c>
      <c r="AC563" s="6">
        <f ca="1">Main[[#This Row],[تعداد روزهای بدهکار  تسویه نشده (روز)]]*Main[[#This Row],[مانده در خط تسویه نشده (کیلوگرم)]]</f>
        <v>0</v>
      </c>
      <c r="AD563" s="6">
        <f ca="1">SUBTOTAL(9,INDEX(Main[بدهی سررسید شده (کیلوگرم)],1):Main[[#This Row],[بدهی سررسید شده (کیلوگرم)]])</f>
        <v>0</v>
      </c>
      <c r="AE563" s="6">
        <f ca="1">IF(Main[[#This Row],[مانده در خط سررسید شده (کیلوگرم)]]&lt;&gt;0,Main[[#This Row],[تعداد کل روزهای بدهکار (روز)]],0)</f>
        <v>0</v>
      </c>
      <c r="AF563" s="6">
        <f ca="1">Main[[#This Row],[تعداد روزهای بدهکار سررسید شده (روز)]]*Main[[#This Row],[مانده در خط سررسید شده (کیلوگرم)]]</f>
        <v>0</v>
      </c>
    </row>
    <row r="564" spans="1:32" hidden="1" x14ac:dyDescent="0.35">
      <c r="A564" s="5">
        <f>ROW()-ROW(INDEX(Main[ردیف],1))+1</f>
        <v>562</v>
      </c>
      <c r="B564" s="31">
        <f>SUBTOTAL(2,INDEX(Main[ردیف],1):Main[[#This Row],[ردیف]])</f>
        <v>53</v>
      </c>
      <c r="C564" s="32" t="s">
        <v>565</v>
      </c>
      <c r="D564" s="32" t="str">
        <f>_xlfn.CONCAT("14",Main[[#This Row],[تاريخ]])</f>
        <v>1400/03/02</v>
      </c>
      <c r="E564" s="33">
        <v>44339</v>
      </c>
      <c r="F564" s="32">
        <v>30127</v>
      </c>
      <c r="G564" s="5" t="str">
        <f>INDEX(customer[عنوان],MATCH(Main[[#This Row],[کد ردیابی]],customer[کد],0))</f>
        <v>شیر گاز آذران</v>
      </c>
      <c r="H564">
        <v>-15542</v>
      </c>
      <c r="I564" s="6">
        <f ca="1">-Main[[#This Row],[بدهی تسویه شده (کیلوگرم)]]+Main[[#This Row],[بستانکار (کیلوگرم)]]</f>
        <v>-15542</v>
      </c>
      <c r="J564" s="6">
        <f>IF(Main[[#This Row],[مقدار (کیلوگرم)]]&gt;0,Main[[#This Row],[مقدار (کیلوگرم)]],0)</f>
        <v>0</v>
      </c>
      <c r="K564" s="6">
        <f>-IF(Main[[#This Row],[مقدار (کیلوگرم)]]&lt;0,Main[[#This Row],[مقدار (کیلوگرم)]],0)</f>
        <v>15542</v>
      </c>
      <c r="L5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4" s="7">
        <f>-IF(AND(Main[[#This Row],[مقدار (کیلوگرم)]]&lt;0,Main[[#This Row],[تاريخ میلادی]]&gt;44276),Main[[#This Row],[مقدار (کیلوگرم)]],0)</f>
        <v>15542</v>
      </c>
      <c r="N564" s="6">
        <f ca="1">Main[[#This Row],[بدهکار (کیلوگرم)]]-Main[[#This Row],[بدهی تسویه نشده (کیلوگرم)]]</f>
        <v>15542</v>
      </c>
      <c r="O564" s="6">
        <f ca="1">Main[[#This Row],[تفکیک]]</f>
        <v>0</v>
      </c>
      <c r="P564" s="6">
        <f ca="1">IF(Main[[#This Row],[تاخیر از سررسید]]&gt;0,Main[[#This Row],[بدهی تسویه نشده (کیلوگرم)]],0)</f>
        <v>0</v>
      </c>
      <c r="Q564" s="6">
        <f ca="1">IF(Main[[#This Row],[بدهی تسویه نشده (کیلوگرم)]]&gt;0,'گزارش فردی'!$B$7-Main[[#This Row],[تاريخ میلادی]],0)</f>
        <v>0</v>
      </c>
      <c r="R564" s="6">
        <f ca="1">IF(Main[[#This Row],[بدهی تسویه نشده (کیلوگرم)]]&gt;0,'گزارش فردی'!$B$7-Main[[#This Row],[تاريخ میلادی]]-'گزارش فردی'!$B$8,0)</f>
        <v>0</v>
      </c>
      <c r="S564" s="6">
        <f ca="1">Main[[#This Row],[روز از ارسال سفارش]]*Main[[#This Row],[بدهی تسویه نشده (کیلوگرم)]]</f>
        <v>0</v>
      </c>
      <c r="T564" s="6">
        <f ca="1">Main[[#This Row],[بدهی سررسید شده (کیلوگرم)]]*Main[[#This Row],[روز از ارسال سفارش]]</f>
        <v>0</v>
      </c>
      <c r="U564" s="6">
        <f>-SUBTOTAL(9,INDEX(Main[مقدار (کیلوگرم)],1):Main[[#This Row],[مقدار (کیلوگرم)]])</f>
        <v>21323</v>
      </c>
      <c r="V5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4" s="6">
        <f>Main[[#This Row],[تعداد کل روزهای بدهکار (روز)]]*Main[[#This Row],[مانده در خط کل (کیلوگرم)]]</f>
        <v>0</v>
      </c>
      <c r="X564" s="6">
        <f ca="1">-SUBTOTAL(9,INDEX(Main[مقدار تسویه شده (کیلوگرم)],1):Main[[#This Row],[مقدار تسویه شده (کیلوگرم)]])</f>
        <v>21323</v>
      </c>
      <c r="Y564" s="6">
        <f ca="1">IF(Main[[#This Row],[مانده در خط تسویه شده (کیلوگرم)]]&lt;&gt;0,Main[[#This Row],[تعداد کل روزهای بدهکار (روز)]],0)</f>
        <v>0</v>
      </c>
      <c r="Z564" s="6">
        <f ca="1">Main[[#This Row],[تعداد روزهای بدهکار تسویه شده (روز)]]*Main[[#This Row],[مانده در خط تسویه شده (کیلوگرم)]]</f>
        <v>0</v>
      </c>
      <c r="AA564" s="6">
        <f ca="1">SUBTOTAL(9,INDEX(Main[بدهی تسویه نشده (کیلوگرم)],1):Main[[#This Row],[بدهی تسویه نشده (کیلوگرم)]])</f>
        <v>0</v>
      </c>
      <c r="AB564" s="6">
        <f ca="1">IF(Main[[#This Row],[مانده در خط تسویه نشده (کیلوگرم)]]&lt;&gt;0,Main[[#This Row],[تعداد کل روزهای بدهکار (روز)]],0)</f>
        <v>0</v>
      </c>
      <c r="AC564" s="6">
        <f ca="1">Main[[#This Row],[تعداد روزهای بدهکار  تسویه نشده (روز)]]*Main[[#This Row],[مانده در خط تسویه نشده (کیلوگرم)]]</f>
        <v>0</v>
      </c>
      <c r="AD564" s="6">
        <f ca="1">SUBTOTAL(9,INDEX(Main[بدهی سررسید شده (کیلوگرم)],1):Main[[#This Row],[بدهی سررسید شده (کیلوگرم)]])</f>
        <v>0</v>
      </c>
      <c r="AE564" s="6">
        <f ca="1">IF(Main[[#This Row],[مانده در خط سررسید شده (کیلوگرم)]]&lt;&gt;0,Main[[#This Row],[تعداد کل روزهای بدهکار (روز)]],0)</f>
        <v>0</v>
      </c>
      <c r="AF564" s="6">
        <f ca="1">Main[[#This Row],[تعداد روزهای بدهکار سررسید شده (روز)]]*Main[[#This Row],[مانده در خط سررسید شده (کیلوگرم)]]</f>
        <v>0</v>
      </c>
    </row>
    <row r="565" spans="1:32" x14ac:dyDescent="0.35">
      <c r="A565" s="5">
        <f>ROW()-ROW(INDEX(Main[ردیف],1))+1</f>
        <v>563</v>
      </c>
      <c r="B565" s="31">
        <f>SUBTOTAL(2,INDEX(Main[ردیف],1):Main[[#This Row],[ردیف]])</f>
        <v>54</v>
      </c>
      <c r="C565" s="32" t="s">
        <v>565</v>
      </c>
      <c r="D565" s="32" t="str">
        <f>_xlfn.CONCAT("14",Main[[#This Row],[تاريخ]])</f>
        <v>1400/03/02</v>
      </c>
      <c r="E565" s="33">
        <v>44339</v>
      </c>
      <c r="F565" s="32">
        <v>10003</v>
      </c>
      <c r="G565" s="5" t="str">
        <f>INDEX(customer[عنوان],MATCH(Main[[#This Row],[کد ردیابی]],customer[کد],0))</f>
        <v>اصغر نورعلی</v>
      </c>
      <c r="H565">
        <v>1066</v>
      </c>
      <c r="I565" s="6">
        <f ca="1">-Main[[#This Row],[بدهی تسویه شده (کیلوگرم)]]+Main[[#This Row],[بستانکار (کیلوگرم)]]</f>
        <v>1066</v>
      </c>
      <c r="J565" s="6">
        <f>IF(Main[[#This Row],[مقدار (کیلوگرم)]]&gt;0,Main[[#This Row],[مقدار (کیلوگرم)]],0)</f>
        <v>1066</v>
      </c>
      <c r="K565" s="6">
        <f>-IF(Main[[#This Row],[مقدار (کیلوگرم)]]&lt;0,Main[[#This Row],[مقدار (کیلوگرم)]],0)</f>
        <v>0</v>
      </c>
      <c r="L5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5" s="7">
        <f>-IF(AND(Main[[#This Row],[مقدار (کیلوگرم)]]&lt;0,Main[[#This Row],[تاريخ میلادی]]&gt;44276),Main[[#This Row],[مقدار (کیلوگرم)]],0)</f>
        <v>0</v>
      </c>
      <c r="N565" s="6">
        <f ca="1">Main[[#This Row],[بدهکار (کیلوگرم)]]-Main[[#This Row],[بدهی تسویه نشده (کیلوگرم)]]</f>
        <v>0</v>
      </c>
      <c r="O565" s="6">
        <f ca="1">Main[[#This Row],[تفکیک]]</f>
        <v>0</v>
      </c>
      <c r="P565" s="6">
        <f ca="1">IF(Main[[#This Row],[تاخیر از سررسید]]&gt;0,Main[[#This Row],[بدهی تسویه نشده (کیلوگرم)]],0)</f>
        <v>0</v>
      </c>
      <c r="Q565" s="6">
        <f ca="1">IF(Main[[#This Row],[بدهی تسویه نشده (کیلوگرم)]]&gt;0,'گزارش فردی'!$B$7-Main[[#This Row],[تاريخ میلادی]],0)</f>
        <v>0</v>
      </c>
      <c r="R565" s="6">
        <f ca="1">IF(Main[[#This Row],[بدهی تسویه نشده (کیلوگرم)]]&gt;0,'گزارش فردی'!$B$7-Main[[#This Row],[تاريخ میلادی]]-'گزارش فردی'!$B$8,0)</f>
        <v>0</v>
      </c>
      <c r="S565" s="6">
        <f ca="1">Main[[#This Row],[روز از ارسال سفارش]]*Main[[#This Row],[بدهی تسویه نشده (کیلوگرم)]]</f>
        <v>0</v>
      </c>
      <c r="T565" s="6">
        <f ca="1">Main[[#This Row],[بدهی سررسید شده (کیلوگرم)]]*Main[[#This Row],[روز از ارسال سفارش]]</f>
        <v>0</v>
      </c>
      <c r="U565" s="6">
        <f>-SUBTOTAL(9,INDEX(Main[مقدار (کیلوگرم)],1):Main[[#This Row],[مقدار (کیلوگرم)]])</f>
        <v>20257</v>
      </c>
      <c r="V5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5" s="6">
        <f>Main[[#This Row],[تعداد کل روزهای بدهکار (روز)]]*Main[[#This Row],[مانده در خط کل (کیلوگرم)]]</f>
        <v>0</v>
      </c>
      <c r="X565" s="6">
        <f ca="1">-SUBTOTAL(9,INDEX(Main[مقدار تسویه شده (کیلوگرم)],1):Main[[#This Row],[مقدار تسویه شده (کیلوگرم)]])</f>
        <v>20257</v>
      </c>
      <c r="Y565" s="6">
        <f ca="1">IF(Main[[#This Row],[مانده در خط تسویه شده (کیلوگرم)]]&lt;&gt;0,Main[[#This Row],[تعداد کل روزهای بدهکار (روز)]],0)</f>
        <v>0</v>
      </c>
      <c r="Z565" s="6">
        <f ca="1">Main[[#This Row],[تعداد روزهای بدهکار تسویه شده (روز)]]*Main[[#This Row],[مانده در خط تسویه شده (کیلوگرم)]]</f>
        <v>0</v>
      </c>
      <c r="AA565" s="6">
        <f ca="1">SUBTOTAL(9,INDEX(Main[بدهی تسویه نشده (کیلوگرم)],1):Main[[#This Row],[بدهی تسویه نشده (کیلوگرم)]])</f>
        <v>0</v>
      </c>
      <c r="AB565" s="6">
        <f ca="1">IF(Main[[#This Row],[مانده در خط تسویه نشده (کیلوگرم)]]&lt;&gt;0,Main[[#This Row],[تعداد کل روزهای بدهکار (روز)]],0)</f>
        <v>0</v>
      </c>
      <c r="AC565" s="6">
        <f ca="1">Main[[#This Row],[تعداد روزهای بدهکار  تسویه نشده (روز)]]*Main[[#This Row],[مانده در خط تسویه نشده (کیلوگرم)]]</f>
        <v>0</v>
      </c>
      <c r="AD565" s="6">
        <f ca="1">SUBTOTAL(9,INDEX(Main[بدهی سررسید شده (کیلوگرم)],1):Main[[#This Row],[بدهی سررسید شده (کیلوگرم)]])</f>
        <v>0</v>
      </c>
      <c r="AE565" s="6">
        <f ca="1">IF(Main[[#This Row],[مانده در خط سررسید شده (کیلوگرم)]]&lt;&gt;0,Main[[#This Row],[تعداد کل روزهای بدهکار (روز)]],0)</f>
        <v>0</v>
      </c>
      <c r="AF565" s="6">
        <f ca="1">Main[[#This Row],[تعداد روزهای بدهکار سررسید شده (روز)]]*Main[[#This Row],[مانده در خط سررسید شده (کیلوگرم)]]</f>
        <v>0</v>
      </c>
    </row>
    <row r="566" spans="1:32" hidden="1" x14ac:dyDescent="0.35">
      <c r="A566" s="5">
        <f>ROW()-ROW(INDEX(Main[ردیف],1))+1</f>
        <v>564</v>
      </c>
      <c r="B566" s="31">
        <f>SUBTOTAL(2,INDEX(Main[ردیف],1):Main[[#This Row],[ردیف]])</f>
        <v>54</v>
      </c>
      <c r="C566" s="32" t="s">
        <v>565</v>
      </c>
      <c r="D566" s="32" t="str">
        <f>_xlfn.CONCAT("14",Main[[#This Row],[تاريخ]])</f>
        <v>1400/03/02</v>
      </c>
      <c r="E566" s="33">
        <v>44339</v>
      </c>
      <c r="F566" s="32">
        <v>30140</v>
      </c>
      <c r="G566" s="5" t="str">
        <f>INDEX(customer[عنوان],MATCH(Main[[#This Row],[کد ردیابی]],customer[کد],0))</f>
        <v>شرکت سیتکو</v>
      </c>
      <c r="H566">
        <v>-1754</v>
      </c>
      <c r="I566" s="6">
        <f ca="1">-Main[[#This Row],[بدهی تسویه شده (کیلوگرم)]]+Main[[#This Row],[بستانکار (کیلوگرم)]]</f>
        <v>-1754</v>
      </c>
      <c r="J566" s="6">
        <f>IF(Main[[#This Row],[مقدار (کیلوگرم)]]&gt;0,Main[[#This Row],[مقدار (کیلوگرم)]],0)</f>
        <v>0</v>
      </c>
      <c r="K566" s="6">
        <f>-IF(Main[[#This Row],[مقدار (کیلوگرم)]]&lt;0,Main[[#This Row],[مقدار (کیلوگرم)]],0)</f>
        <v>1754</v>
      </c>
      <c r="L5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6" s="7">
        <f>-IF(AND(Main[[#This Row],[مقدار (کیلوگرم)]]&lt;0,Main[[#This Row],[تاريخ میلادی]]&gt;44276),Main[[#This Row],[مقدار (کیلوگرم)]],0)</f>
        <v>1754</v>
      </c>
      <c r="N566" s="6">
        <f ca="1">Main[[#This Row],[بدهکار (کیلوگرم)]]-Main[[#This Row],[بدهی تسویه نشده (کیلوگرم)]]</f>
        <v>1754</v>
      </c>
      <c r="O566" s="6">
        <f ca="1">Main[[#This Row],[تفکیک]]</f>
        <v>0</v>
      </c>
      <c r="P566" s="6">
        <f ca="1">IF(Main[[#This Row],[تاخیر از سررسید]]&gt;0,Main[[#This Row],[بدهی تسویه نشده (کیلوگرم)]],0)</f>
        <v>0</v>
      </c>
      <c r="Q566" s="6">
        <f ca="1">IF(Main[[#This Row],[بدهی تسویه نشده (کیلوگرم)]]&gt;0,'گزارش فردی'!$B$7-Main[[#This Row],[تاريخ میلادی]],0)</f>
        <v>0</v>
      </c>
      <c r="R566" s="6">
        <f ca="1">IF(Main[[#This Row],[بدهی تسویه نشده (کیلوگرم)]]&gt;0,'گزارش فردی'!$B$7-Main[[#This Row],[تاريخ میلادی]]-'گزارش فردی'!$B$8,0)</f>
        <v>0</v>
      </c>
      <c r="S566" s="6">
        <f ca="1">Main[[#This Row],[روز از ارسال سفارش]]*Main[[#This Row],[بدهی تسویه نشده (کیلوگرم)]]</f>
        <v>0</v>
      </c>
      <c r="T566" s="6">
        <f ca="1">Main[[#This Row],[بدهی سررسید شده (کیلوگرم)]]*Main[[#This Row],[روز از ارسال سفارش]]</f>
        <v>0</v>
      </c>
      <c r="U566" s="6">
        <f>-SUBTOTAL(9,INDEX(Main[مقدار (کیلوگرم)],1):Main[[#This Row],[مقدار (کیلوگرم)]])</f>
        <v>20257</v>
      </c>
      <c r="V5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6" s="6">
        <f>Main[[#This Row],[تعداد کل روزهای بدهکار (روز)]]*Main[[#This Row],[مانده در خط کل (کیلوگرم)]]</f>
        <v>0</v>
      </c>
      <c r="X566" s="6">
        <f ca="1">-SUBTOTAL(9,INDEX(Main[مقدار تسویه شده (کیلوگرم)],1):Main[[#This Row],[مقدار تسویه شده (کیلوگرم)]])</f>
        <v>20257</v>
      </c>
      <c r="Y566" s="6">
        <f ca="1">IF(Main[[#This Row],[مانده در خط تسویه شده (کیلوگرم)]]&lt;&gt;0,Main[[#This Row],[تعداد کل روزهای بدهکار (روز)]],0)</f>
        <v>0</v>
      </c>
      <c r="Z566" s="6">
        <f ca="1">Main[[#This Row],[تعداد روزهای بدهکار تسویه شده (روز)]]*Main[[#This Row],[مانده در خط تسویه شده (کیلوگرم)]]</f>
        <v>0</v>
      </c>
      <c r="AA566" s="6">
        <f ca="1">SUBTOTAL(9,INDEX(Main[بدهی تسویه نشده (کیلوگرم)],1):Main[[#This Row],[بدهی تسویه نشده (کیلوگرم)]])</f>
        <v>0</v>
      </c>
      <c r="AB566" s="6">
        <f ca="1">IF(Main[[#This Row],[مانده در خط تسویه نشده (کیلوگرم)]]&lt;&gt;0,Main[[#This Row],[تعداد کل روزهای بدهکار (روز)]],0)</f>
        <v>0</v>
      </c>
      <c r="AC566" s="6">
        <f ca="1">Main[[#This Row],[تعداد روزهای بدهکار  تسویه نشده (روز)]]*Main[[#This Row],[مانده در خط تسویه نشده (کیلوگرم)]]</f>
        <v>0</v>
      </c>
      <c r="AD566" s="6">
        <f ca="1">SUBTOTAL(9,INDEX(Main[بدهی سررسید شده (کیلوگرم)],1):Main[[#This Row],[بدهی سررسید شده (کیلوگرم)]])</f>
        <v>0</v>
      </c>
      <c r="AE566" s="6">
        <f ca="1">IF(Main[[#This Row],[مانده در خط سررسید شده (کیلوگرم)]]&lt;&gt;0,Main[[#This Row],[تعداد کل روزهای بدهکار (روز)]],0)</f>
        <v>0</v>
      </c>
      <c r="AF566" s="6">
        <f ca="1">Main[[#This Row],[تعداد روزهای بدهکار سررسید شده (روز)]]*Main[[#This Row],[مانده در خط سررسید شده (کیلوگرم)]]</f>
        <v>0</v>
      </c>
    </row>
    <row r="567" spans="1:32" hidden="1" x14ac:dyDescent="0.35">
      <c r="A567" s="5">
        <f>ROW()-ROW(INDEX(Main[ردیف],1))+1</f>
        <v>565</v>
      </c>
      <c r="B567" s="31">
        <f>SUBTOTAL(2,INDEX(Main[ردیف],1):Main[[#This Row],[ردیف]])</f>
        <v>54</v>
      </c>
      <c r="C567" s="32" t="s">
        <v>565</v>
      </c>
      <c r="D567" s="32" t="str">
        <f>_xlfn.CONCAT("14",Main[[#This Row],[تاريخ]])</f>
        <v>1400/03/02</v>
      </c>
      <c r="E567" s="33">
        <v>44339</v>
      </c>
      <c r="F567" s="32">
        <v>30186</v>
      </c>
      <c r="G567" s="5" t="str">
        <f>INDEX(customer[عنوان],MATCH(Main[[#This Row],[کد ردیابی]],customer[کد],0))</f>
        <v>سارا گاز</v>
      </c>
      <c r="H567">
        <v>1351</v>
      </c>
      <c r="I567" s="6">
        <f ca="1">-Main[[#This Row],[بدهی تسویه شده (کیلوگرم)]]+Main[[#This Row],[بستانکار (کیلوگرم)]]</f>
        <v>1351</v>
      </c>
      <c r="J567" s="6">
        <f>IF(Main[[#This Row],[مقدار (کیلوگرم)]]&gt;0,Main[[#This Row],[مقدار (کیلوگرم)]],0)</f>
        <v>1351</v>
      </c>
      <c r="K567" s="6">
        <f>-IF(Main[[#This Row],[مقدار (کیلوگرم)]]&lt;0,Main[[#This Row],[مقدار (کیلوگرم)]],0)</f>
        <v>0</v>
      </c>
      <c r="L5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7" s="7">
        <f>-IF(AND(Main[[#This Row],[مقدار (کیلوگرم)]]&lt;0,Main[[#This Row],[تاريخ میلادی]]&gt;44276),Main[[#This Row],[مقدار (کیلوگرم)]],0)</f>
        <v>0</v>
      </c>
      <c r="N567" s="6">
        <f ca="1">Main[[#This Row],[بدهکار (کیلوگرم)]]-Main[[#This Row],[بدهی تسویه نشده (کیلوگرم)]]</f>
        <v>0</v>
      </c>
      <c r="O567" s="6">
        <f ca="1">Main[[#This Row],[تفکیک]]</f>
        <v>0</v>
      </c>
      <c r="P567" s="6">
        <f ca="1">IF(Main[[#This Row],[تاخیر از سررسید]]&gt;0,Main[[#This Row],[بدهی تسویه نشده (کیلوگرم)]],0)</f>
        <v>0</v>
      </c>
      <c r="Q567" s="6">
        <f ca="1">IF(Main[[#This Row],[بدهی تسویه نشده (کیلوگرم)]]&gt;0,'گزارش فردی'!$B$7-Main[[#This Row],[تاريخ میلادی]],0)</f>
        <v>0</v>
      </c>
      <c r="R567" s="6">
        <f ca="1">IF(Main[[#This Row],[بدهی تسویه نشده (کیلوگرم)]]&gt;0,'گزارش فردی'!$B$7-Main[[#This Row],[تاريخ میلادی]]-'گزارش فردی'!$B$8,0)</f>
        <v>0</v>
      </c>
      <c r="S567" s="6">
        <f ca="1">Main[[#This Row],[روز از ارسال سفارش]]*Main[[#This Row],[بدهی تسویه نشده (کیلوگرم)]]</f>
        <v>0</v>
      </c>
      <c r="T567" s="6">
        <f ca="1">Main[[#This Row],[بدهی سررسید شده (کیلوگرم)]]*Main[[#This Row],[روز از ارسال سفارش]]</f>
        <v>0</v>
      </c>
      <c r="U567" s="6">
        <f>-SUBTOTAL(9,INDEX(Main[مقدار (کیلوگرم)],1):Main[[#This Row],[مقدار (کیلوگرم)]])</f>
        <v>20257</v>
      </c>
      <c r="V5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7" s="6">
        <f>Main[[#This Row],[تعداد کل روزهای بدهکار (روز)]]*Main[[#This Row],[مانده در خط کل (کیلوگرم)]]</f>
        <v>0</v>
      </c>
      <c r="X567" s="6">
        <f ca="1">-SUBTOTAL(9,INDEX(Main[مقدار تسویه شده (کیلوگرم)],1):Main[[#This Row],[مقدار تسویه شده (کیلوگرم)]])</f>
        <v>20257</v>
      </c>
      <c r="Y567" s="6">
        <f ca="1">IF(Main[[#This Row],[مانده در خط تسویه شده (کیلوگرم)]]&lt;&gt;0,Main[[#This Row],[تعداد کل روزهای بدهکار (روز)]],0)</f>
        <v>0</v>
      </c>
      <c r="Z567" s="6">
        <f ca="1">Main[[#This Row],[تعداد روزهای بدهکار تسویه شده (روز)]]*Main[[#This Row],[مانده در خط تسویه شده (کیلوگرم)]]</f>
        <v>0</v>
      </c>
      <c r="AA567" s="6">
        <f ca="1">SUBTOTAL(9,INDEX(Main[بدهی تسویه نشده (کیلوگرم)],1):Main[[#This Row],[بدهی تسویه نشده (کیلوگرم)]])</f>
        <v>0</v>
      </c>
      <c r="AB567" s="6">
        <f ca="1">IF(Main[[#This Row],[مانده در خط تسویه نشده (کیلوگرم)]]&lt;&gt;0,Main[[#This Row],[تعداد کل روزهای بدهکار (روز)]],0)</f>
        <v>0</v>
      </c>
      <c r="AC567" s="6">
        <f ca="1">Main[[#This Row],[تعداد روزهای بدهکار  تسویه نشده (روز)]]*Main[[#This Row],[مانده در خط تسویه نشده (کیلوگرم)]]</f>
        <v>0</v>
      </c>
      <c r="AD567" s="6">
        <f ca="1">SUBTOTAL(9,INDEX(Main[بدهی سررسید شده (کیلوگرم)],1):Main[[#This Row],[بدهی سررسید شده (کیلوگرم)]])</f>
        <v>0</v>
      </c>
      <c r="AE567" s="6">
        <f ca="1">IF(Main[[#This Row],[مانده در خط سررسید شده (کیلوگرم)]]&lt;&gt;0,Main[[#This Row],[تعداد کل روزهای بدهکار (روز)]],0)</f>
        <v>0</v>
      </c>
      <c r="AF567" s="6">
        <f ca="1">Main[[#This Row],[تعداد روزهای بدهکار سررسید شده (روز)]]*Main[[#This Row],[مانده در خط سررسید شده (کیلوگرم)]]</f>
        <v>0</v>
      </c>
    </row>
    <row r="568" spans="1:32" hidden="1" x14ac:dyDescent="0.35">
      <c r="A568" s="5">
        <f>ROW()-ROW(INDEX(Main[ردیف],1))+1</f>
        <v>566</v>
      </c>
      <c r="B568" s="31">
        <f>SUBTOTAL(2,INDEX(Main[ردیف],1):Main[[#This Row],[ردیف]])</f>
        <v>54</v>
      </c>
      <c r="C568" s="32" t="s">
        <v>565</v>
      </c>
      <c r="D568" s="32" t="str">
        <f>_xlfn.CONCAT("14",Main[[#This Row],[تاريخ]])</f>
        <v>1400/03/02</v>
      </c>
      <c r="E568" s="33">
        <v>44339</v>
      </c>
      <c r="F568" s="32">
        <v>30066</v>
      </c>
      <c r="G568" s="5" t="str">
        <f>INDEX(customer[عنوان],MATCH(Main[[#This Row],[کد ردیابی]],customer[کد],0))</f>
        <v xml:space="preserve">شیر آلات بهداشتی قهرمان </v>
      </c>
      <c r="H568">
        <v>-3379</v>
      </c>
      <c r="I568" s="6">
        <f ca="1">-Main[[#This Row],[بدهی تسویه شده (کیلوگرم)]]+Main[[#This Row],[بستانکار (کیلوگرم)]]</f>
        <v>-3379</v>
      </c>
      <c r="J568" s="6">
        <f>IF(Main[[#This Row],[مقدار (کیلوگرم)]]&gt;0,Main[[#This Row],[مقدار (کیلوگرم)]],0)</f>
        <v>0</v>
      </c>
      <c r="K568" s="6">
        <f>-IF(Main[[#This Row],[مقدار (کیلوگرم)]]&lt;0,Main[[#This Row],[مقدار (کیلوگرم)]],0)</f>
        <v>3379</v>
      </c>
      <c r="L5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8" s="7">
        <f>-IF(AND(Main[[#This Row],[مقدار (کیلوگرم)]]&lt;0,Main[[#This Row],[تاريخ میلادی]]&gt;44276),Main[[#This Row],[مقدار (کیلوگرم)]],0)</f>
        <v>3379</v>
      </c>
      <c r="N568" s="6">
        <f ca="1">Main[[#This Row],[بدهکار (کیلوگرم)]]-Main[[#This Row],[بدهی تسویه نشده (کیلوگرم)]]</f>
        <v>3379</v>
      </c>
      <c r="O568" s="6">
        <f ca="1">Main[[#This Row],[تفکیک]]</f>
        <v>0</v>
      </c>
      <c r="P568" s="6">
        <f ca="1">IF(Main[[#This Row],[تاخیر از سررسید]]&gt;0,Main[[#This Row],[بدهی تسویه نشده (کیلوگرم)]],0)</f>
        <v>0</v>
      </c>
      <c r="Q568" s="6">
        <f ca="1">IF(Main[[#This Row],[بدهی تسویه نشده (کیلوگرم)]]&gt;0,'گزارش فردی'!$B$7-Main[[#This Row],[تاريخ میلادی]],0)</f>
        <v>0</v>
      </c>
      <c r="R568" s="6">
        <f ca="1">IF(Main[[#This Row],[بدهی تسویه نشده (کیلوگرم)]]&gt;0,'گزارش فردی'!$B$7-Main[[#This Row],[تاريخ میلادی]]-'گزارش فردی'!$B$8,0)</f>
        <v>0</v>
      </c>
      <c r="S568" s="6">
        <f ca="1">Main[[#This Row],[روز از ارسال سفارش]]*Main[[#This Row],[بدهی تسویه نشده (کیلوگرم)]]</f>
        <v>0</v>
      </c>
      <c r="T568" s="6">
        <f ca="1">Main[[#This Row],[بدهی سررسید شده (کیلوگرم)]]*Main[[#This Row],[روز از ارسال سفارش]]</f>
        <v>0</v>
      </c>
      <c r="U568" s="6">
        <f>-SUBTOTAL(9,INDEX(Main[مقدار (کیلوگرم)],1):Main[[#This Row],[مقدار (کیلوگرم)]])</f>
        <v>20257</v>
      </c>
      <c r="V5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8" s="6">
        <f>Main[[#This Row],[تعداد کل روزهای بدهکار (روز)]]*Main[[#This Row],[مانده در خط کل (کیلوگرم)]]</f>
        <v>0</v>
      </c>
      <c r="X568" s="6">
        <f ca="1">-SUBTOTAL(9,INDEX(Main[مقدار تسویه شده (کیلوگرم)],1):Main[[#This Row],[مقدار تسویه شده (کیلوگرم)]])</f>
        <v>20257</v>
      </c>
      <c r="Y568" s="6">
        <f ca="1">IF(Main[[#This Row],[مانده در خط تسویه شده (کیلوگرم)]]&lt;&gt;0,Main[[#This Row],[تعداد کل روزهای بدهکار (روز)]],0)</f>
        <v>0</v>
      </c>
      <c r="Z568" s="6">
        <f ca="1">Main[[#This Row],[تعداد روزهای بدهکار تسویه شده (روز)]]*Main[[#This Row],[مانده در خط تسویه شده (کیلوگرم)]]</f>
        <v>0</v>
      </c>
      <c r="AA568" s="6">
        <f ca="1">SUBTOTAL(9,INDEX(Main[بدهی تسویه نشده (کیلوگرم)],1):Main[[#This Row],[بدهی تسویه نشده (کیلوگرم)]])</f>
        <v>0</v>
      </c>
      <c r="AB568" s="6">
        <f ca="1">IF(Main[[#This Row],[مانده در خط تسویه نشده (کیلوگرم)]]&lt;&gt;0,Main[[#This Row],[تعداد کل روزهای بدهکار (روز)]],0)</f>
        <v>0</v>
      </c>
      <c r="AC568" s="6">
        <f ca="1">Main[[#This Row],[تعداد روزهای بدهکار  تسویه نشده (روز)]]*Main[[#This Row],[مانده در خط تسویه نشده (کیلوگرم)]]</f>
        <v>0</v>
      </c>
      <c r="AD568" s="6">
        <f ca="1">SUBTOTAL(9,INDEX(Main[بدهی سررسید شده (کیلوگرم)],1):Main[[#This Row],[بدهی سررسید شده (کیلوگرم)]])</f>
        <v>0</v>
      </c>
      <c r="AE568" s="6">
        <f ca="1">IF(Main[[#This Row],[مانده در خط سررسید شده (کیلوگرم)]]&lt;&gt;0,Main[[#This Row],[تعداد کل روزهای بدهکار (روز)]],0)</f>
        <v>0</v>
      </c>
      <c r="AF568" s="6">
        <f ca="1">Main[[#This Row],[تعداد روزهای بدهکار سررسید شده (روز)]]*Main[[#This Row],[مانده در خط سررسید شده (کیلوگرم)]]</f>
        <v>0</v>
      </c>
    </row>
    <row r="569" spans="1:32" hidden="1" x14ac:dyDescent="0.35">
      <c r="A569" s="5">
        <f>ROW()-ROW(INDEX(Main[ردیف],1))+1</f>
        <v>567</v>
      </c>
      <c r="B569" s="31">
        <f>SUBTOTAL(2,INDEX(Main[ردیف],1):Main[[#This Row],[ردیف]])</f>
        <v>54</v>
      </c>
      <c r="C569" s="32" t="s">
        <v>565</v>
      </c>
      <c r="D569" s="32" t="str">
        <f>_xlfn.CONCAT("14",Main[[#This Row],[تاريخ]])</f>
        <v>1400/03/02</v>
      </c>
      <c r="E569" s="33">
        <v>44339</v>
      </c>
      <c r="F569" s="32">
        <v>10128</v>
      </c>
      <c r="G569" s="5" t="str">
        <f>INDEX(customer[عنوان],MATCH(Main[[#This Row],[کد ردیابی]],customer[کد],0))</f>
        <v xml:space="preserve">رویا اصلانی </v>
      </c>
      <c r="H569">
        <v>146</v>
      </c>
      <c r="I569" s="6">
        <f ca="1">-Main[[#This Row],[بدهی تسویه شده (کیلوگرم)]]+Main[[#This Row],[بستانکار (کیلوگرم)]]</f>
        <v>146</v>
      </c>
      <c r="J569" s="6">
        <f>IF(Main[[#This Row],[مقدار (کیلوگرم)]]&gt;0,Main[[#This Row],[مقدار (کیلوگرم)]],0)</f>
        <v>146</v>
      </c>
      <c r="K569" s="6">
        <f>-IF(Main[[#This Row],[مقدار (کیلوگرم)]]&lt;0,Main[[#This Row],[مقدار (کیلوگرم)]],0)</f>
        <v>0</v>
      </c>
      <c r="L5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9" s="7">
        <f>-IF(AND(Main[[#This Row],[مقدار (کیلوگرم)]]&lt;0,Main[[#This Row],[تاريخ میلادی]]&gt;44276),Main[[#This Row],[مقدار (کیلوگرم)]],0)</f>
        <v>0</v>
      </c>
      <c r="N569" s="6">
        <f ca="1">Main[[#This Row],[بدهکار (کیلوگرم)]]-Main[[#This Row],[بدهی تسویه نشده (کیلوگرم)]]</f>
        <v>0</v>
      </c>
      <c r="O569" s="6">
        <f ca="1">Main[[#This Row],[تفکیک]]</f>
        <v>0</v>
      </c>
      <c r="P569" s="6">
        <f ca="1">IF(Main[[#This Row],[تاخیر از سررسید]]&gt;0,Main[[#This Row],[بدهی تسویه نشده (کیلوگرم)]],0)</f>
        <v>0</v>
      </c>
      <c r="Q569" s="6">
        <f ca="1">IF(Main[[#This Row],[بدهی تسویه نشده (کیلوگرم)]]&gt;0,'گزارش فردی'!$B$7-Main[[#This Row],[تاريخ میلادی]],0)</f>
        <v>0</v>
      </c>
      <c r="R569" s="6">
        <f ca="1">IF(Main[[#This Row],[بدهی تسویه نشده (کیلوگرم)]]&gt;0,'گزارش فردی'!$B$7-Main[[#This Row],[تاريخ میلادی]]-'گزارش فردی'!$B$8,0)</f>
        <v>0</v>
      </c>
      <c r="S569" s="6">
        <f ca="1">Main[[#This Row],[روز از ارسال سفارش]]*Main[[#This Row],[بدهی تسویه نشده (کیلوگرم)]]</f>
        <v>0</v>
      </c>
      <c r="T569" s="6">
        <f ca="1">Main[[#This Row],[بدهی سررسید شده (کیلوگرم)]]*Main[[#This Row],[روز از ارسال سفارش]]</f>
        <v>0</v>
      </c>
      <c r="U569" s="6">
        <f>-SUBTOTAL(9,INDEX(Main[مقدار (کیلوگرم)],1):Main[[#This Row],[مقدار (کیلوگرم)]])</f>
        <v>20257</v>
      </c>
      <c r="V5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9" s="6">
        <f>Main[[#This Row],[تعداد کل روزهای بدهکار (روز)]]*Main[[#This Row],[مانده در خط کل (کیلوگرم)]]</f>
        <v>0</v>
      </c>
      <c r="X569" s="6">
        <f ca="1">-SUBTOTAL(9,INDEX(Main[مقدار تسویه شده (کیلوگرم)],1):Main[[#This Row],[مقدار تسویه شده (کیلوگرم)]])</f>
        <v>20257</v>
      </c>
      <c r="Y569" s="6">
        <f ca="1">IF(Main[[#This Row],[مانده در خط تسویه شده (کیلوگرم)]]&lt;&gt;0,Main[[#This Row],[تعداد کل روزهای بدهکار (روز)]],0)</f>
        <v>0</v>
      </c>
      <c r="Z569" s="6">
        <f ca="1">Main[[#This Row],[تعداد روزهای بدهکار تسویه شده (روز)]]*Main[[#This Row],[مانده در خط تسویه شده (کیلوگرم)]]</f>
        <v>0</v>
      </c>
      <c r="AA569" s="6">
        <f ca="1">SUBTOTAL(9,INDEX(Main[بدهی تسویه نشده (کیلوگرم)],1):Main[[#This Row],[بدهی تسویه نشده (کیلوگرم)]])</f>
        <v>0</v>
      </c>
      <c r="AB569" s="6">
        <f ca="1">IF(Main[[#This Row],[مانده در خط تسویه نشده (کیلوگرم)]]&lt;&gt;0,Main[[#This Row],[تعداد کل روزهای بدهکار (روز)]],0)</f>
        <v>0</v>
      </c>
      <c r="AC569" s="6">
        <f ca="1">Main[[#This Row],[تعداد روزهای بدهکار  تسویه نشده (روز)]]*Main[[#This Row],[مانده در خط تسویه نشده (کیلوگرم)]]</f>
        <v>0</v>
      </c>
      <c r="AD569" s="6">
        <f ca="1">SUBTOTAL(9,INDEX(Main[بدهی سررسید شده (کیلوگرم)],1):Main[[#This Row],[بدهی سررسید شده (کیلوگرم)]])</f>
        <v>0</v>
      </c>
      <c r="AE569" s="6">
        <f ca="1">IF(Main[[#This Row],[مانده در خط سررسید شده (کیلوگرم)]]&lt;&gt;0,Main[[#This Row],[تعداد کل روزهای بدهکار (روز)]],0)</f>
        <v>0</v>
      </c>
      <c r="AF569" s="6">
        <f ca="1">Main[[#This Row],[تعداد روزهای بدهکار سررسید شده (روز)]]*Main[[#This Row],[مانده در خط سررسید شده (کیلوگرم)]]</f>
        <v>0</v>
      </c>
    </row>
    <row r="570" spans="1:32" hidden="1" x14ac:dyDescent="0.35">
      <c r="A570" s="5">
        <f>ROW()-ROW(INDEX(Main[ردیف],1))+1</f>
        <v>568</v>
      </c>
      <c r="B570" s="31">
        <f>SUBTOTAL(2,INDEX(Main[ردیف],1):Main[[#This Row],[ردیف]])</f>
        <v>54</v>
      </c>
      <c r="C570" s="32" t="s">
        <v>565</v>
      </c>
      <c r="D570" s="32" t="str">
        <f>_xlfn.CONCAT("14",Main[[#This Row],[تاريخ]])</f>
        <v>1400/03/02</v>
      </c>
      <c r="E570" s="33">
        <v>44339</v>
      </c>
      <c r="F570" s="32">
        <v>30066</v>
      </c>
      <c r="G570" s="5" t="str">
        <f>INDEX(customer[عنوان],MATCH(Main[[#This Row],[کد ردیابی]],customer[کد],0))</f>
        <v xml:space="preserve">شیر آلات بهداشتی قهرمان </v>
      </c>
      <c r="H570">
        <v>-1997</v>
      </c>
      <c r="I570" s="6">
        <f ca="1">-Main[[#This Row],[بدهی تسویه شده (کیلوگرم)]]+Main[[#This Row],[بستانکار (کیلوگرم)]]</f>
        <v>-1997</v>
      </c>
      <c r="J570" s="6">
        <f>IF(Main[[#This Row],[مقدار (کیلوگرم)]]&gt;0,Main[[#This Row],[مقدار (کیلوگرم)]],0)</f>
        <v>0</v>
      </c>
      <c r="K570" s="6">
        <f>-IF(Main[[#This Row],[مقدار (کیلوگرم)]]&lt;0,Main[[#This Row],[مقدار (کیلوگرم)]],0)</f>
        <v>1997</v>
      </c>
      <c r="L5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0" s="7">
        <f>-IF(AND(Main[[#This Row],[مقدار (کیلوگرم)]]&lt;0,Main[[#This Row],[تاريخ میلادی]]&gt;44276),Main[[#This Row],[مقدار (کیلوگرم)]],0)</f>
        <v>1997</v>
      </c>
      <c r="N570" s="6">
        <f ca="1">Main[[#This Row],[بدهکار (کیلوگرم)]]-Main[[#This Row],[بدهی تسویه نشده (کیلوگرم)]]</f>
        <v>1997</v>
      </c>
      <c r="O570" s="6">
        <f ca="1">Main[[#This Row],[تفکیک]]</f>
        <v>0</v>
      </c>
      <c r="P570" s="6">
        <f ca="1">IF(Main[[#This Row],[تاخیر از سررسید]]&gt;0,Main[[#This Row],[بدهی تسویه نشده (کیلوگرم)]],0)</f>
        <v>0</v>
      </c>
      <c r="Q570" s="6">
        <f ca="1">IF(Main[[#This Row],[بدهی تسویه نشده (کیلوگرم)]]&gt;0,'گزارش فردی'!$B$7-Main[[#This Row],[تاريخ میلادی]],0)</f>
        <v>0</v>
      </c>
      <c r="R570" s="6">
        <f ca="1">IF(Main[[#This Row],[بدهی تسویه نشده (کیلوگرم)]]&gt;0,'گزارش فردی'!$B$7-Main[[#This Row],[تاريخ میلادی]]-'گزارش فردی'!$B$8,0)</f>
        <v>0</v>
      </c>
      <c r="S570" s="6">
        <f ca="1">Main[[#This Row],[روز از ارسال سفارش]]*Main[[#This Row],[بدهی تسویه نشده (کیلوگرم)]]</f>
        <v>0</v>
      </c>
      <c r="T570" s="6">
        <f ca="1">Main[[#This Row],[بدهی سررسید شده (کیلوگرم)]]*Main[[#This Row],[روز از ارسال سفارش]]</f>
        <v>0</v>
      </c>
      <c r="U570" s="6">
        <f>-SUBTOTAL(9,INDEX(Main[مقدار (کیلوگرم)],1):Main[[#This Row],[مقدار (کیلوگرم)]])</f>
        <v>20257</v>
      </c>
      <c r="V5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0" s="6">
        <f>Main[[#This Row],[تعداد کل روزهای بدهکار (روز)]]*Main[[#This Row],[مانده در خط کل (کیلوگرم)]]</f>
        <v>0</v>
      </c>
      <c r="X570" s="6">
        <f ca="1">-SUBTOTAL(9,INDEX(Main[مقدار تسویه شده (کیلوگرم)],1):Main[[#This Row],[مقدار تسویه شده (کیلوگرم)]])</f>
        <v>20257</v>
      </c>
      <c r="Y570" s="6">
        <f ca="1">IF(Main[[#This Row],[مانده در خط تسویه شده (کیلوگرم)]]&lt;&gt;0,Main[[#This Row],[تعداد کل روزهای بدهکار (روز)]],0)</f>
        <v>0</v>
      </c>
      <c r="Z570" s="6">
        <f ca="1">Main[[#This Row],[تعداد روزهای بدهکار تسویه شده (روز)]]*Main[[#This Row],[مانده در خط تسویه شده (کیلوگرم)]]</f>
        <v>0</v>
      </c>
      <c r="AA570" s="6">
        <f ca="1">SUBTOTAL(9,INDEX(Main[بدهی تسویه نشده (کیلوگرم)],1):Main[[#This Row],[بدهی تسویه نشده (کیلوگرم)]])</f>
        <v>0</v>
      </c>
      <c r="AB570" s="6">
        <f ca="1">IF(Main[[#This Row],[مانده در خط تسویه نشده (کیلوگرم)]]&lt;&gt;0,Main[[#This Row],[تعداد کل روزهای بدهکار (روز)]],0)</f>
        <v>0</v>
      </c>
      <c r="AC570" s="6">
        <f ca="1">Main[[#This Row],[تعداد روزهای بدهکار  تسویه نشده (روز)]]*Main[[#This Row],[مانده در خط تسویه نشده (کیلوگرم)]]</f>
        <v>0</v>
      </c>
      <c r="AD570" s="6">
        <f ca="1">SUBTOTAL(9,INDEX(Main[بدهی سررسید شده (کیلوگرم)],1):Main[[#This Row],[بدهی سررسید شده (کیلوگرم)]])</f>
        <v>0</v>
      </c>
      <c r="AE570" s="6">
        <f ca="1">IF(Main[[#This Row],[مانده در خط سررسید شده (کیلوگرم)]]&lt;&gt;0,Main[[#This Row],[تعداد کل روزهای بدهکار (روز)]],0)</f>
        <v>0</v>
      </c>
      <c r="AF570" s="6">
        <f ca="1">Main[[#This Row],[تعداد روزهای بدهکار سررسید شده (روز)]]*Main[[#This Row],[مانده در خط سررسید شده (کیلوگرم)]]</f>
        <v>0</v>
      </c>
    </row>
    <row r="571" spans="1:32" hidden="1" x14ac:dyDescent="0.35">
      <c r="A571" s="5">
        <f>ROW()-ROW(INDEX(Main[ردیف],1))+1</f>
        <v>569</v>
      </c>
      <c r="B571" s="31">
        <f>SUBTOTAL(2,INDEX(Main[ردیف],1):Main[[#This Row],[ردیف]])</f>
        <v>54</v>
      </c>
      <c r="C571" s="32" t="s">
        <v>565</v>
      </c>
      <c r="D571" s="32" t="str">
        <f>_xlfn.CONCAT("14",Main[[#This Row],[تاريخ]])</f>
        <v>1400/03/02</v>
      </c>
      <c r="E571" s="33">
        <v>44339</v>
      </c>
      <c r="F571" s="32">
        <v>10128</v>
      </c>
      <c r="G571" s="5" t="str">
        <f>INDEX(customer[عنوان],MATCH(Main[[#This Row],[کد ردیابی]],customer[کد],0))</f>
        <v xml:space="preserve">رویا اصلانی </v>
      </c>
      <c r="H571">
        <v>-15</v>
      </c>
      <c r="I571" s="6">
        <f ca="1">-Main[[#This Row],[بدهی تسویه شده (کیلوگرم)]]+Main[[#This Row],[بستانکار (کیلوگرم)]]</f>
        <v>-15</v>
      </c>
      <c r="J571" s="6">
        <f>IF(Main[[#This Row],[مقدار (کیلوگرم)]]&gt;0,Main[[#This Row],[مقدار (کیلوگرم)]],0)</f>
        <v>0</v>
      </c>
      <c r="K571" s="6">
        <f>-IF(Main[[#This Row],[مقدار (کیلوگرم)]]&lt;0,Main[[#This Row],[مقدار (کیلوگرم)]],0)</f>
        <v>15</v>
      </c>
      <c r="L5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1" s="7">
        <f>-IF(AND(Main[[#This Row],[مقدار (کیلوگرم)]]&lt;0,Main[[#This Row],[تاريخ میلادی]]&gt;44276),Main[[#This Row],[مقدار (کیلوگرم)]],0)</f>
        <v>15</v>
      </c>
      <c r="N571" s="6">
        <f ca="1">Main[[#This Row],[بدهکار (کیلوگرم)]]-Main[[#This Row],[بدهی تسویه نشده (کیلوگرم)]]</f>
        <v>15</v>
      </c>
      <c r="O571" s="6">
        <f ca="1">Main[[#This Row],[تفکیک]]</f>
        <v>0</v>
      </c>
      <c r="P571" s="6">
        <f ca="1">IF(Main[[#This Row],[تاخیر از سررسید]]&gt;0,Main[[#This Row],[بدهی تسویه نشده (کیلوگرم)]],0)</f>
        <v>0</v>
      </c>
      <c r="Q571" s="6">
        <f ca="1">IF(Main[[#This Row],[بدهی تسویه نشده (کیلوگرم)]]&gt;0,'گزارش فردی'!$B$7-Main[[#This Row],[تاريخ میلادی]],0)</f>
        <v>0</v>
      </c>
      <c r="R571" s="6">
        <f ca="1">IF(Main[[#This Row],[بدهی تسویه نشده (کیلوگرم)]]&gt;0,'گزارش فردی'!$B$7-Main[[#This Row],[تاريخ میلادی]]-'گزارش فردی'!$B$8,0)</f>
        <v>0</v>
      </c>
      <c r="S571" s="6">
        <f ca="1">Main[[#This Row],[روز از ارسال سفارش]]*Main[[#This Row],[بدهی تسویه نشده (کیلوگرم)]]</f>
        <v>0</v>
      </c>
      <c r="T571" s="6">
        <f ca="1">Main[[#This Row],[بدهی سررسید شده (کیلوگرم)]]*Main[[#This Row],[روز از ارسال سفارش]]</f>
        <v>0</v>
      </c>
      <c r="U571" s="6">
        <f>-SUBTOTAL(9,INDEX(Main[مقدار (کیلوگرم)],1):Main[[#This Row],[مقدار (کیلوگرم)]])</f>
        <v>20257</v>
      </c>
      <c r="V5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1" s="6">
        <f>Main[[#This Row],[تعداد کل روزهای بدهکار (روز)]]*Main[[#This Row],[مانده در خط کل (کیلوگرم)]]</f>
        <v>0</v>
      </c>
      <c r="X571" s="6">
        <f ca="1">-SUBTOTAL(9,INDEX(Main[مقدار تسویه شده (کیلوگرم)],1):Main[[#This Row],[مقدار تسویه شده (کیلوگرم)]])</f>
        <v>20257</v>
      </c>
      <c r="Y571" s="6">
        <f ca="1">IF(Main[[#This Row],[مانده در خط تسویه شده (کیلوگرم)]]&lt;&gt;0,Main[[#This Row],[تعداد کل روزهای بدهکار (روز)]],0)</f>
        <v>0</v>
      </c>
      <c r="Z571" s="6">
        <f ca="1">Main[[#This Row],[تعداد روزهای بدهکار تسویه شده (روز)]]*Main[[#This Row],[مانده در خط تسویه شده (کیلوگرم)]]</f>
        <v>0</v>
      </c>
      <c r="AA571" s="6">
        <f ca="1">SUBTOTAL(9,INDEX(Main[بدهی تسویه نشده (کیلوگرم)],1):Main[[#This Row],[بدهی تسویه نشده (کیلوگرم)]])</f>
        <v>0</v>
      </c>
      <c r="AB571" s="6">
        <f ca="1">IF(Main[[#This Row],[مانده در خط تسویه نشده (کیلوگرم)]]&lt;&gt;0,Main[[#This Row],[تعداد کل روزهای بدهکار (روز)]],0)</f>
        <v>0</v>
      </c>
      <c r="AC571" s="6">
        <f ca="1">Main[[#This Row],[تعداد روزهای بدهکار  تسویه نشده (روز)]]*Main[[#This Row],[مانده در خط تسویه نشده (کیلوگرم)]]</f>
        <v>0</v>
      </c>
      <c r="AD571" s="6">
        <f ca="1">SUBTOTAL(9,INDEX(Main[بدهی سررسید شده (کیلوگرم)],1):Main[[#This Row],[بدهی سررسید شده (کیلوگرم)]])</f>
        <v>0</v>
      </c>
      <c r="AE571" s="6">
        <f ca="1">IF(Main[[#This Row],[مانده در خط سررسید شده (کیلوگرم)]]&lt;&gt;0,Main[[#This Row],[تعداد کل روزهای بدهکار (روز)]],0)</f>
        <v>0</v>
      </c>
      <c r="AF571" s="6">
        <f ca="1">Main[[#This Row],[تعداد روزهای بدهکار سررسید شده (روز)]]*Main[[#This Row],[مانده در خط سررسید شده (کیلوگرم)]]</f>
        <v>0</v>
      </c>
    </row>
    <row r="572" spans="1:32" x14ac:dyDescent="0.35">
      <c r="A572" s="5">
        <f>ROW()-ROW(INDEX(Main[ردیف],1))+1</f>
        <v>570</v>
      </c>
      <c r="B572" s="31">
        <f>SUBTOTAL(2,INDEX(Main[ردیف],1):Main[[#This Row],[ردیف]])</f>
        <v>55</v>
      </c>
      <c r="C572" s="32" t="s">
        <v>565</v>
      </c>
      <c r="D572" s="32" t="str">
        <f>_xlfn.CONCAT("14",Main[[#This Row],[تاريخ]])</f>
        <v>1400/03/02</v>
      </c>
      <c r="E572" s="33">
        <v>44339</v>
      </c>
      <c r="F572" s="32">
        <v>10003</v>
      </c>
      <c r="G572" s="5" t="str">
        <f>INDEX(customer[عنوان],MATCH(Main[[#This Row],[کد ردیابی]],customer[کد],0))</f>
        <v>اصغر نورعلی</v>
      </c>
      <c r="H572">
        <v>-4154</v>
      </c>
      <c r="I572" s="6">
        <f ca="1">-Main[[#This Row],[بدهی تسویه شده (کیلوگرم)]]+Main[[#This Row],[بستانکار (کیلوگرم)]]</f>
        <v>-4154</v>
      </c>
      <c r="J572" s="6">
        <f>IF(Main[[#This Row],[مقدار (کیلوگرم)]]&gt;0,Main[[#This Row],[مقدار (کیلوگرم)]],0)</f>
        <v>0</v>
      </c>
      <c r="K572" s="6">
        <f>-IF(Main[[#This Row],[مقدار (کیلوگرم)]]&lt;0,Main[[#This Row],[مقدار (کیلوگرم)]],0)</f>
        <v>4154</v>
      </c>
      <c r="L5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2" s="7">
        <f>-IF(AND(Main[[#This Row],[مقدار (کیلوگرم)]]&lt;0,Main[[#This Row],[تاريخ میلادی]]&gt;44276),Main[[#This Row],[مقدار (کیلوگرم)]],0)</f>
        <v>4154</v>
      </c>
      <c r="N572" s="6">
        <f ca="1">Main[[#This Row],[بدهکار (کیلوگرم)]]-Main[[#This Row],[بدهی تسویه نشده (کیلوگرم)]]</f>
        <v>4154</v>
      </c>
      <c r="O572" s="6">
        <f ca="1">Main[[#This Row],[تفکیک]]</f>
        <v>0</v>
      </c>
      <c r="P572" s="6">
        <f ca="1">IF(Main[[#This Row],[تاخیر از سررسید]]&gt;0,Main[[#This Row],[بدهی تسویه نشده (کیلوگرم)]],0)</f>
        <v>0</v>
      </c>
      <c r="Q572" s="6">
        <f ca="1">IF(Main[[#This Row],[بدهی تسویه نشده (کیلوگرم)]]&gt;0,'گزارش فردی'!$B$7-Main[[#This Row],[تاريخ میلادی]],0)</f>
        <v>0</v>
      </c>
      <c r="R572" s="6">
        <f ca="1">IF(Main[[#This Row],[بدهی تسویه نشده (کیلوگرم)]]&gt;0,'گزارش فردی'!$B$7-Main[[#This Row],[تاريخ میلادی]]-'گزارش فردی'!$B$8,0)</f>
        <v>0</v>
      </c>
      <c r="S572" s="6">
        <f ca="1">Main[[#This Row],[روز از ارسال سفارش]]*Main[[#This Row],[بدهی تسویه نشده (کیلوگرم)]]</f>
        <v>0</v>
      </c>
      <c r="T572" s="6">
        <f ca="1">Main[[#This Row],[بدهی سررسید شده (کیلوگرم)]]*Main[[#This Row],[روز از ارسال سفارش]]</f>
        <v>0</v>
      </c>
      <c r="U572" s="6">
        <f>-SUBTOTAL(9,INDEX(Main[مقدار (کیلوگرم)],1):Main[[#This Row],[مقدار (کیلوگرم)]])</f>
        <v>24411</v>
      </c>
      <c r="V5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72" s="6">
        <f>Main[[#This Row],[تعداد کل روزهای بدهکار (روز)]]*Main[[#This Row],[مانده در خط کل (کیلوگرم)]]</f>
        <v>24411</v>
      </c>
      <c r="X572" s="6">
        <f ca="1">-SUBTOTAL(9,INDEX(Main[مقدار تسویه شده (کیلوگرم)],1):Main[[#This Row],[مقدار تسویه شده (کیلوگرم)]])</f>
        <v>24411</v>
      </c>
      <c r="Y572" s="6">
        <f ca="1">IF(Main[[#This Row],[مانده در خط تسویه شده (کیلوگرم)]]&lt;&gt;0,Main[[#This Row],[تعداد کل روزهای بدهکار (روز)]],0)</f>
        <v>1</v>
      </c>
      <c r="Z572" s="6">
        <f ca="1">Main[[#This Row],[تعداد روزهای بدهکار تسویه شده (روز)]]*Main[[#This Row],[مانده در خط تسویه شده (کیلوگرم)]]</f>
        <v>24411</v>
      </c>
      <c r="AA572" s="6">
        <f ca="1">SUBTOTAL(9,INDEX(Main[بدهی تسویه نشده (کیلوگرم)],1):Main[[#This Row],[بدهی تسویه نشده (کیلوگرم)]])</f>
        <v>0</v>
      </c>
      <c r="AB572" s="6">
        <f ca="1">IF(Main[[#This Row],[مانده در خط تسویه نشده (کیلوگرم)]]&lt;&gt;0,Main[[#This Row],[تعداد کل روزهای بدهکار (روز)]],0)</f>
        <v>0</v>
      </c>
      <c r="AC572" s="6">
        <f ca="1">Main[[#This Row],[تعداد روزهای بدهکار  تسویه نشده (روز)]]*Main[[#This Row],[مانده در خط تسویه نشده (کیلوگرم)]]</f>
        <v>0</v>
      </c>
      <c r="AD572" s="6">
        <f ca="1">SUBTOTAL(9,INDEX(Main[بدهی سررسید شده (کیلوگرم)],1):Main[[#This Row],[بدهی سررسید شده (کیلوگرم)]])</f>
        <v>0</v>
      </c>
      <c r="AE572" s="6">
        <f ca="1">IF(Main[[#This Row],[مانده در خط سررسید شده (کیلوگرم)]]&lt;&gt;0,Main[[#This Row],[تعداد کل روزهای بدهکار (روز)]],0)</f>
        <v>0</v>
      </c>
      <c r="AF572" s="6">
        <f ca="1">Main[[#This Row],[تعداد روزهای بدهکار سررسید شده (روز)]]*Main[[#This Row],[مانده در خط سررسید شده (کیلوگرم)]]</f>
        <v>0</v>
      </c>
    </row>
    <row r="573" spans="1:32" hidden="1" x14ac:dyDescent="0.35">
      <c r="A573" s="5">
        <f>ROW()-ROW(INDEX(Main[ردیف],1))+1</f>
        <v>571</v>
      </c>
      <c r="B573" s="31">
        <f>SUBTOTAL(2,INDEX(Main[ردیف],1):Main[[#This Row],[ردیف]])</f>
        <v>55</v>
      </c>
      <c r="C573" s="32" t="s">
        <v>565</v>
      </c>
      <c r="D573" s="32" t="str">
        <f>_xlfn.CONCAT("14",Main[[#This Row],[تاريخ]])</f>
        <v>1400/03/02</v>
      </c>
      <c r="E573" s="33">
        <v>44339</v>
      </c>
      <c r="F573" s="32">
        <v>30009</v>
      </c>
      <c r="G573" s="5" t="str">
        <f>INDEX(customer[عنوان],MATCH(Main[[#This Row],[کد ردیابی]],customer[کد],0))</f>
        <v>شرکت ایمن تک پیشرو</v>
      </c>
      <c r="H573">
        <v>-3724</v>
      </c>
      <c r="I573" s="6">
        <f ca="1">-Main[[#This Row],[بدهی تسویه شده (کیلوگرم)]]+Main[[#This Row],[بستانکار (کیلوگرم)]]</f>
        <v>-3724</v>
      </c>
      <c r="J573" s="6">
        <f>IF(Main[[#This Row],[مقدار (کیلوگرم)]]&gt;0,Main[[#This Row],[مقدار (کیلوگرم)]],0)</f>
        <v>0</v>
      </c>
      <c r="K573" s="6">
        <f>-IF(Main[[#This Row],[مقدار (کیلوگرم)]]&lt;0,Main[[#This Row],[مقدار (کیلوگرم)]],0)</f>
        <v>3724</v>
      </c>
      <c r="L5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3" s="7">
        <f>-IF(AND(Main[[#This Row],[مقدار (کیلوگرم)]]&lt;0,Main[[#This Row],[تاريخ میلادی]]&gt;44276),Main[[#This Row],[مقدار (کیلوگرم)]],0)</f>
        <v>3724</v>
      </c>
      <c r="N573" s="6">
        <f ca="1">Main[[#This Row],[بدهکار (کیلوگرم)]]-Main[[#This Row],[بدهی تسویه نشده (کیلوگرم)]]</f>
        <v>3724</v>
      </c>
      <c r="O573" s="6">
        <f ca="1">Main[[#This Row],[تفکیک]]</f>
        <v>0</v>
      </c>
      <c r="P573" s="6">
        <f ca="1">IF(Main[[#This Row],[تاخیر از سررسید]]&gt;0,Main[[#This Row],[بدهی تسویه نشده (کیلوگرم)]],0)</f>
        <v>0</v>
      </c>
      <c r="Q573" s="6">
        <f ca="1">IF(Main[[#This Row],[بدهی تسویه نشده (کیلوگرم)]]&gt;0,'گزارش فردی'!$B$7-Main[[#This Row],[تاريخ میلادی]],0)</f>
        <v>0</v>
      </c>
      <c r="R573" s="6">
        <f ca="1">IF(Main[[#This Row],[بدهی تسویه نشده (کیلوگرم)]]&gt;0,'گزارش فردی'!$B$7-Main[[#This Row],[تاريخ میلادی]]-'گزارش فردی'!$B$8,0)</f>
        <v>0</v>
      </c>
      <c r="S573" s="6">
        <f ca="1">Main[[#This Row],[روز از ارسال سفارش]]*Main[[#This Row],[بدهی تسویه نشده (کیلوگرم)]]</f>
        <v>0</v>
      </c>
      <c r="T573" s="6">
        <f ca="1">Main[[#This Row],[بدهی سررسید شده (کیلوگرم)]]*Main[[#This Row],[روز از ارسال سفارش]]</f>
        <v>0</v>
      </c>
      <c r="U573" s="6">
        <f>-SUBTOTAL(9,INDEX(Main[مقدار (کیلوگرم)],1):Main[[#This Row],[مقدار (کیلوگرم)]])</f>
        <v>24411</v>
      </c>
      <c r="V5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73" s="6">
        <f>Main[[#This Row],[تعداد کل روزهای بدهکار (روز)]]*Main[[#This Row],[مانده در خط کل (کیلوگرم)]]</f>
        <v>24411</v>
      </c>
      <c r="X573" s="6">
        <f ca="1">-SUBTOTAL(9,INDEX(Main[مقدار تسویه شده (کیلوگرم)],1):Main[[#This Row],[مقدار تسویه شده (کیلوگرم)]])</f>
        <v>24411</v>
      </c>
      <c r="Y573" s="6">
        <f ca="1">IF(Main[[#This Row],[مانده در خط تسویه شده (کیلوگرم)]]&lt;&gt;0,Main[[#This Row],[تعداد کل روزهای بدهکار (روز)]],0)</f>
        <v>1</v>
      </c>
      <c r="Z573" s="6">
        <f ca="1">Main[[#This Row],[تعداد روزهای بدهکار تسویه شده (روز)]]*Main[[#This Row],[مانده در خط تسویه شده (کیلوگرم)]]</f>
        <v>24411</v>
      </c>
      <c r="AA573" s="6">
        <f ca="1">SUBTOTAL(9,INDEX(Main[بدهی تسویه نشده (کیلوگرم)],1):Main[[#This Row],[بدهی تسویه نشده (کیلوگرم)]])</f>
        <v>0</v>
      </c>
      <c r="AB573" s="6">
        <f ca="1">IF(Main[[#This Row],[مانده در خط تسویه نشده (کیلوگرم)]]&lt;&gt;0,Main[[#This Row],[تعداد کل روزهای بدهکار (روز)]],0)</f>
        <v>0</v>
      </c>
      <c r="AC573" s="6">
        <f ca="1">Main[[#This Row],[تعداد روزهای بدهکار  تسویه نشده (روز)]]*Main[[#This Row],[مانده در خط تسویه نشده (کیلوگرم)]]</f>
        <v>0</v>
      </c>
      <c r="AD573" s="6">
        <f ca="1">SUBTOTAL(9,INDEX(Main[بدهی سررسید شده (کیلوگرم)],1):Main[[#This Row],[بدهی سررسید شده (کیلوگرم)]])</f>
        <v>0</v>
      </c>
      <c r="AE573" s="6">
        <f ca="1">IF(Main[[#This Row],[مانده در خط سررسید شده (کیلوگرم)]]&lt;&gt;0,Main[[#This Row],[تعداد کل روزهای بدهکار (روز)]],0)</f>
        <v>0</v>
      </c>
      <c r="AF573" s="6">
        <f ca="1">Main[[#This Row],[تعداد روزهای بدهکار سررسید شده (روز)]]*Main[[#This Row],[مانده در خط سررسید شده (کیلوگرم)]]</f>
        <v>0</v>
      </c>
    </row>
    <row r="574" spans="1:32" hidden="1" x14ac:dyDescent="0.35">
      <c r="A574" s="5">
        <f>ROW()-ROW(INDEX(Main[ردیف],1))+1</f>
        <v>572</v>
      </c>
      <c r="B574" s="31">
        <f>SUBTOTAL(2,INDEX(Main[ردیف],1):Main[[#This Row],[ردیف]])</f>
        <v>55</v>
      </c>
      <c r="C574" s="32" t="s">
        <v>565</v>
      </c>
      <c r="D574" s="32" t="str">
        <f>_xlfn.CONCAT("14",Main[[#This Row],[تاريخ]])</f>
        <v>1400/03/02</v>
      </c>
      <c r="E574" s="33">
        <v>44339</v>
      </c>
      <c r="F574" s="32">
        <v>30004</v>
      </c>
      <c r="G574" s="5" t="str">
        <f>INDEX(customer[عنوان],MATCH(Main[[#This Row],[کد ردیابی]],customer[کد],0))</f>
        <v>تولیدی صنعتی صفاشیر پارس</v>
      </c>
      <c r="H574">
        <v>-5154</v>
      </c>
      <c r="I574" s="6">
        <f ca="1">-Main[[#This Row],[بدهی تسویه شده (کیلوگرم)]]+Main[[#This Row],[بستانکار (کیلوگرم)]]</f>
        <v>-5154</v>
      </c>
      <c r="J574" s="6">
        <f>IF(Main[[#This Row],[مقدار (کیلوگرم)]]&gt;0,Main[[#This Row],[مقدار (کیلوگرم)]],0)</f>
        <v>0</v>
      </c>
      <c r="K574" s="6">
        <f>-IF(Main[[#This Row],[مقدار (کیلوگرم)]]&lt;0,Main[[#This Row],[مقدار (کیلوگرم)]],0)</f>
        <v>5154</v>
      </c>
      <c r="L5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4" s="7">
        <f>-IF(AND(Main[[#This Row],[مقدار (کیلوگرم)]]&lt;0,Main[[#This Row],[تاريخ میلادی]]&gt;44276),Main[[#This Row],[مقدار (کیلوگرم)]],0)</f>
        <v>5154</v>
      </c>
      <c r="N574" s="6">
        <f ca="1">Main[[#This Row],[بدهکار (کیلوگرم)]]-Main[[#This Row],[بدهی تسویه نشده (کیلوگرم)]]</f>
        <v>5154</v>
      </c>
      <c r="O574" s="6">
        <f ca="1">Main[[#This Row],[تفکیک]]</f>
        <v>0</v>
      </c>
      <c r="P574" s="6">
        <f ca="1">IF(Main[[#This Row],[تاخیر از سررسید]]&gt;0,Main[[#This Row],[بدهی تسویه نشده (کیلوگرم)]],0)</f>
        <v>0</v>
      </c>
      <c r="Q574" s="6">
        <f ca="1">IF(Main[[#This Row],[بدهی تسویه نشده (کیلوگرم)]]&gt;0,'گزارش فردی'!$B$7-Main[[#This Row],[تاريخ میلادی]],0)</f>
        <v>0</v>
      </c>
      <c r="R574" s="6">
        <f ca="1">IF(Main[[#This Row],[بدهی تسویه نشده (کیلوگرم)]]&gt;0,'گزارش فردی'!$B$7-Main[[#This Row],[تاريخ میلادی]]-'گزارش فردی'!$B$8,0)</f>
        <v>0</v>
      </c>
      <c r="S574" s="6">
        <f ca="1">Main[[#This Row],[روز از ارسال سفارش]]*Main[[#This Row],[بدهی تسویه نشده (کیلوگرم)]]</f>
        <v>0</v>
      </c>
      <c r="T574" s="6">
        <f ca="1">Main[[#This Row],[بدهی سررسید شده (کیلوگرم)]]*Main[[#This Row],[روز از ارسال سفارش]]</f>
        <v>0</v>
      </c>
      <c r="U574" s="6">
        <f>-SUBTOTAL(9,INDEX(Main[مقدار (کیلوگرم)],1):Main[[#This Row],[مقدار (کیلوگرم)]])</f>
        <v>24411</v>
      </c>
      <c r="V5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74" s="6">
        <f>Main[[#This Row],[تعداد کل روزهای بدهکار (روز)]]*Main[[#This Row],[مانده در خط کل (کیلوگرم)]]</f>
        <v>24411</v>
      </c>
      <c r="X574" s="6">
        <f ca="1">-SUBTOTAL(9,INDEX(Main[مقدار تسویه شده (کیلوگرم)],1):Main[[#This Row],[مقدار تسویه شده (کیلوگرم)]])</f>
        <v>24411</v>
      </c>
      <c r="Y574" s="6">
        <f ca="1">IF(Main[[#This Row],[مانده در خط تسویه شده (کیلوگرم)]]&lt;&gt;0,Main[[#This Row],[تعداد کل روزهای بدهکار (روز)]],0)</f>
        <v>1</v>
      </c>
      <c r="Z574" s="6">
        <f ca="1">Main[[#This Row],[تعداد روزهای بدهکار تسویه شده (روز)]]*Main[[#This Row],[مانده در خط تسویه شده (کیلوگرم)]]</f>
        <v>24411</v>
      </c>
      <c r="AA574" s="6">
        <f ca="1">SUBTOTAL(9,INDEX(Main[بدهی تسویه نشده (کیلوگرم)],1):Main[[#This Row],[بدهی تسویه نشده (کیلوگرم)]])</f>
        <v>0</v>
      </c>
      <c r="AB574" s="6">
        <f ca="1">IF(Main[[#This Row],[مانده در خط تسویه نشده (کیلوگرم)]]&lt;&gt;0,Main[[#This Row],[تعداد کل روزهای بدهکار (روز)]],0)</f>
        <v>0</v>
      </c>
      <c r="AC574" s="6">
        <f ca="1">Main[[#This Row],[تعداد روزهای بدهکار  تسویه نشده (روز)]]*Main[[#This Row],[مانده در خط تسویه نشده (کیلوگرم)]]</f>
        <v>0</v>
      </c>
      <c r="AD574" s="6">
        <f ca="1">SUBTOTAL(9,INDEX(Main[بدهی سررسید شده (کیلوگرم)],1):Main[[#This Row],[بدهی سررسید شده (کیلوگرم)]])</f>
        <v>0</v>
      </c>
      <c r="AE574" s="6">
        <f ca="1">IF(Main[[#This Row],[مانده در خط سررسید شده (کیلوگرم)]]&lt;&gt;0,Main[[#This Row],[تعداد کل روزهای بدهکار (روز)]],0)</f>
        <v>0</v>
      </c>
      <c r="AF574" s="6">
        <f ca="1">Main[[#This Row],[تعداد روزهای بدهکار سررسید شده (روز)]]*Main[[#This Row],[مانده در خط سررسید شده (کیلوگرم)]]</f>
        <v>0</v>
      </c>
    </row>
    <row r="575" spans="1:32" hidden="1" x14ac:dyDescent="0.35">
      <c r="A575" s="5">
        <f>ROW()-ROW(INDEX(Main[ردیف],1))+1</f>
        <v>573</v>
      </c>
      <c r="B575" s="31">
        <f>SUBTOTAL(2,INDEX(Main[ردیف],1):Main[[#This Row],[ردیف]])</f>
        <v>55</v>
      </c>
      <c r="C575" s="32" t="s">
        <v>567</v>
      </c>
      <c r="D575" s="32" t="str">
        <f>_xlfn.CONCAT("14",Main[[#This Row],[تاريخ]])</f>
        <v>1400/03/03</v>
      </c>
      <c r="E575" s="33">
        <v>44340</v>
      </c>
      <c r="F575" s="32">
        <v>30099</v>
      </c>
      <c r="G575" s="5" t="str">
        <f>INDEX(customer[عنوان],MATCH(Main[[#This Row],[کد ردیابی]],customer[کد],0))</f>
        <v>ایران شرق نیشابور</v>
      </c>
      <c r="H575">
        <v>3598</v>
      </c>
      <c r="I575" s="6">
        <f ca="1">-Main[[#This Row],[بدهی تسویه شده (کیلوگرم)]]+Main[[#This Row],[بستانکار (کیلوگرم)]]</f>
        <v>3598</v>
      </c>
      <c r="J575" s="6">
        <f>IF(Main[[#This Row],[مقدار (کیلوگرم)]]&gt;0,Main[[#This Row],[مقدار (کیلوگرم)]],0)</f>
        <v>3598</v>
      </c>
      <c r="K575" s="6">
        <f>-IF(Main[[#This Row],[مقدار (کیلوگرم)]]&lt;0,Main[[#This Row],[مقدار (کیلوگرم)]],0)</f>
        <v>0</v>
      </c>
      <c r="L5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5" s="7">
        <f>-IF(AND(Main[[#This Row],[مقدار (کیلوگرم)]]&lt;0,Main[[#This Row],[تاريخ میلادی]]&gt;44276),Main[[#This Row],[مقدار (کیلوگرم)]],0)</f>
        <v>0</v>
      </c>
      <c r="N575" s="6">
        <f ca="1">Main[[#This Row],[بدهکار (کیلوگرم)]]-Main[[#This Row],[بدهی تسویه نشده (کیلوگرم)]]</f>
        <v>0</v>
      </c>
      <c r="O575" s="6">
        <f ca="1">Main[[#This Row],[تفکیک]]</f>
        <v>0</v>
      </c>
      <c r="P575" s="6">
        <f ca="1">IF(Main[[#This Row],[تاخیر از سررسید]]&gt;0,Main[[#This Row],[بدهی تسویه نشده (کیلوگرم)]],0)</f>
        <v>0</v>
      </c>
      <c r="Q575" s="6">
        <f ca="1">IF(Main[[#This Row],[بدهی تسویه نشده (کیلوگرم)]]&gt;0,'گزارش فردی'!$B$7-Main[[#This Row],[تاريخ میلادی]],0)</f>
        <v>0</v>
      </c>
      <c r="R575" s="6">
        <f ca="1">IF(Main[[#This Row],[بدهی تسویه نشده (کیلوگرم)]]&gt;0,'گزارش فردی'!$B$7-Main[[#This Row],[تاريخ میلادی]]-'گزارش فردی'!$B$8,0)</f>
        <v>0</v>
      </c>
      <c r="S575" s="6">
        <f ca="1">Main[[#This Row],[روز از ارسال سفارش]]*Main[[#This Row],[بدهی تسویه نشده (کیلوگرم)]]</f>
        <v>0</v>
      </c>
      <c r="T575" s="6">
        <f ca="1">Main[[#This Row],[بدهی سررسید شده (کیلوگرم)]]*Main[[#This Row],[روز از ارسال سفارش]]</f>
        <v>0</v>
      </c>
      <c r="U575" s="6">
        <f>-SUBTOTAL(9,INDEX(Main[مقدار (کیلوگرم)],1):Main[[#This Row],[مقدار (کیلوگرم)]])</f>
        <v>24411</v>
      </c>
      <c r="V5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5" s="6">
        <f>Main[[#This Row],[تعداد کل روزهای بدهکار (روز)]]*Main[[#This Row],[مانده در خط کل (کیلوگرم)]]</f>
        <v>0</v>
      </c>
      <c r="X575" s="6">
        <f ca="1">-SUBTOTAL(9,INDEX(Main[مقدار تسویه شده (کیلوگرم)],1):Main[[#This Row],[مقدار تسویه شده (کیلوگرم)]])</f>
        <v>24411</v>
      </c>
      <c r="Y575" s="6">
        <f ca="1">IF(Main[[#This Row],[مانده در خط تسویه شده (کیلوگرم)]]&lt;&gt;0,Main[[#This Row],[تعداد کل روزهای بدهکار (روز)]],0)</f>
        <v>0</v>
      </c>
      <c r="Z575" s="6">
        <f ca="1">Main[[#This Row],[تعداد روزهای بدهکار تسویه شده (روز)]]*Main[[#This Row],[مانده در خط تسویه شده (کیلوگرم)]]</f>
        <v>0</v>
      </c>
      <c r="AA575" s="6">
        <f ca="1">SUBTOTAL(9,INDEX(Main[بدهی تسویه نشده (کیلوگرم)],1):Main[[#This Row],[بدهی تسویه نشده (کیلوگرم)]])</f>
        <v>0</v>
      </c>
      <c r="AB575" s="6">
        <f ca="1">IF(Main[[#This Row],[مانده در خط تسویه نشده (کیلوگرم)]]&lt;&gt;0,Main[[#This Row],[تعداد کل روزهای بدهکار (روز)]],0)</f>
        <v>0</v>
      </c>
      <c r="AC575" s="6">
        <f ca="1">Main[[#This Row],[تعداد روزهای بدهکار  تسویه نشده (روز)]]*Main[[#This Row],[مانده در خط تسویه نشده (کیلوگرم)]]</f>
        <v>0</v>
      </c>
      <c r="AD575" s="6">
        <f ca="1">SUBTOTAL(9,INDEX(Main[بدهی سررسید شده (کیلوگرم)],1):Main[[#This Row],[بدهی سررسید شده (کیلوگرم)]])</f>
        <v>0</v>
      </c>
      <c r="AE575" s="6">
        <f ca="1">IF(Main[[#This Row],[مانده در خط سررسید شده (کیلوگرم)]]&lt;&gt;0,Main[[#This Row],[تعداد کل روزهای بدهکار (روز)]],0)</f>
        <v>0</v>
      </c>
      <c r="AF575" s="6">
        <f ca="1">Main[[#This Row],[تعداد روزهای بدهکار سررسید شده (روز)]]*Main[[#This Row],[مانده در خط سررسید شده (کیلوگرم)]]</f>
        <v>0</v>
      </c>
    </row>
    <row r="576" spans="1:32" hidden="1" x14ac:dyDescent="0.35">
      <c r="A576" s="5">
        <f>ROW()-ROW(INDEX(Main[ردیف],1))+1</f>
        <v>574</v>
      </c>
      <c r="B576" s="31">
        <f>SUBTOTAL(2,INDEX(Main[ردیف],1):Main[[#This Row],[ردیف]])</f>
        <v>55</v>
      </c>
      <c r="C576" s="32" t="s">
        <v>567</v>
      </c>
      <c r="D576" s="32" t="str">
        <f>_xlfn.CONCAT("14",Main[[#This Row],[تاريخ]])</f>
        <v>1400/03/03</v>
      </c>
      <c r="E576" s="33">
        <v>44340</v>
      </c>
      <c r="F576" s="32">
        <v>10055</v>
      </c>
      <c r="G576" s="5" t="str">
        <f>INDEX(customer[عنوان],MATCH(Main[[#This Row],[کد ردیابی]],customer[کد],0))</f>
        <v xml:space="preserve">مریم فیض آبادی  </v>
      </c>
      <c r="H576">
        <v>-5087</v>
      </c>
      <c r="I576" s="6">
        <f ca="1">-Main[[#This Row],[بدهی تسویه شده (کیلوگرم)]]+Main[[#This Row],[بستانکار (کیلوگرم)]]</f>
        <v>-5087</v>
      </c>
      <c r="J576" s="6">
        <f>IF(Main[[#This Row],[مقدار (کیلوگرم)]]&gt;0,Main[[#This Row],[مقدار (کیلوگرم)]],0)</f>
        <v>0</v>
      </c>
      <c r="K576" s="6">
        <f>-IF(Main[[#This Row],[مقدار (کیلوگرم)]]&lt;0,Main[[#This Row],[مقدار (کیلوگرم)]],0)</f>
        <v>5087</v>
      </c>
      <c r="L5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6" s="7">
        <f>-IF(AND(Main[[#This Row],[مقدار (کیلوگرم)]]&lt;0,Main[[#This Row],[تاريخ میلادی]]&gt;44276),Main[[#This Row],[مقدار (کیلوگرم)]],0)</f>
        <v>5087</v>
      </c>
      <c r="N576" s="6">
        <f ca="1">Main[[#This Row],[بدهکار (کیلوگرم)]]-Main[[#This Row],[بدهی تسویه نشده (کیلوگرم)]]</f>
        <v>5087</v>
      </c>
      <c r="O576" s="6">
        <f ca="1">Main[[#This Row],[تفکیک]]</f>
        <v>0</v>
      </c>
      <c r="P576" s="6">
        <f ca="1">IF(Main[[#This Row],[تاخیر از سررسید]]&gt;0,Main[[#This Row],[بدهی تسویه نشده (کیلوگرم)]],0)</f>
        <v>0</v>
      </c>
      <c r="Q576" s="6">
        <f ca="1">IF(Main[[#This Row],[بدهی تسویه نشده (کیلوگرم)]]&gt;0,'گزارش فردی'!$B$7-Main[[#This Row],[تاريخ میلادی]],0)</f>
        <v>0</v>
      </c>
      <c r="R576" s="6">
        <f ca="1">IF(Main[[#This Row],[بدهی تسویه نشده (کیلوگرم)]]&gt;0,'گزارش فردی'!$B$7-Main[[#This Row],[تاريخ میلادی]]-'گزارش فردی'!$B$8,0)</f>
        <v>0</v>
      </c>
      <c r="S576" s="6">
        <f ca="1">Main[[#This Row],[روز از ارسال سفارش]]*Main[[#This Row],[بدهی تسویه نشده (کیلوگرم)]]</f>
        <v>0</v>
      </c>
      <c r="T576" s="6">
        <f ca="1">Main[[#This Row],[بدهی سررسید شده (کیلوگرم)]]*Main[[#This Row],[روز از ارسال سفارش]]</f>
        <v>0</v>
      </c>
      <c r="U576" s="6">
        <f>-SUBTOTAL(9,INDEX(Main[مقدار (کیلوگرم)],1):Main[[#This Row],[مقدار (کیلوگرم)]])</f>
        <v>24411</v>
      </c>
      <c r="V5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6" s="6">
        <f>Main[[#This Row],[تعداد کل روزهای بدهکار (روز)]]*Main[[#This Row],[مانده در خط کل (کیلوگرم)]]</f>
        <v>0</v>
      </c>
      <c r="X576" s="6">
        <f ca="1">-SUBTOTAL(9,INDEX(Main[مقدار تسویه شده (کیلوگرم)],1):Main[[#This Row],[مقدار تسویه شده (کیلوگرم)]])</f>
        <v>24411</v>
      </c>
      <c r="Y576" s="6">
        <f ca="1">IF(Main[[#This Row],[مانده در خط تسویه شده (کیلوگرم)]]&lt;&gt;0,Main[[#This Row],[تعداد کل روزهای بدهکار (روز)]],0)</f>
        <v>0</v>
      </c>
      <c r="Z576" s="6">
        <f ca="1">Main[[#This Row],[تعداد روزهای بدهکار تسویه شده (روز)]]*Main[[#This Row],[مانده در خط تسویه شده (کیلوگرم)]]</f>
        <v>0</v>
      </c>
      <c r="AA576" s="6">
        <f ca="1">SUBTOTAL(9,INDEX(Main[بدهی تسویه نشده (کیلوگرم)],1):Main[[#This Row],[بدهی تسویه نشده (کیلوگرم)]])</f>
        <v>0</v>
      </c>
      <c r="AB576" s="6">
        <f ca="1">IF(Main[[#This Row],[مانده در خط تسویه نشده (کیلوگرم)]]&lt;&gt;0,Main[[#This Row],[تعداد کل روزهای بدهکار (روز)]],0)</f>
        <v>0</v>
      </c>
      <c r="AC576" s="6">
        <f ca="1">Main[[#This Row],[تعداد روزهای بدهکار  تسویه نشده (روز)]]*Main[[#This Row],[مانده در خط تسویه نشده (کیلوگرم)]]</f>
        <v>0</v>
      </c>
      <c r="AD576" s="6">
        <f ca="1">SUBTOTAL(9,INDEX(Main[بدهی سررسید شده (کیلوگرم)],1):Main[[#This Row],[بدهی سررسید شده (کیلوگرم)]])</f>
        <v>0</v>
      </c>
      <c r="AE576" s="6">
        <f ca="1">IF(Main[[#This Row],[مانده در خط سررسید شده (کیلوگرم)]]&lt;&gt;0,Main[[#This Row],[تعداد کل روزهای بدهکار (روز)]],0)</f>
        <v>0</v>
      </c>
      <c r="AF576" s="6">
        <f ca="1">Main[[#This Row],[تعداد روزهای بدهکار سررسید شده (روز)]]*Main[[#This Row],[مانده در خط سررسید شده (کیلوگرم)]]</f>
        <v>0</v>
      </c>
    </row>
    <row r="577" spans="1:32" hidden="1" x14ac:dyDescent="0.35">
      <c r="A577" s="5">
        <f>ROW()-ROW(INDEX(Main[ردیف],1))+1</f>
        <v>575</v>
      </c>
      <c r="B577" s="31">
        <f>SUBTOTAL(2,INDEX(Main[ردیف],1):Main[[#This Row],[ردیف]])</f>
        <v>55</v>
      </c>
      <c r="C577" s="32" t="s">
        <v>567</v>
      </c>
      <c r="D577" s="32" t="str">
        <f>_xlfn.CONCAT("14",Main[[#This Row],[تاريخ]])</f>
        <v>1400/03/03</v>
      </c>
      <c r="E577" s="33">
        <v>44340</v>
      </c>
      <c r="F577" s="32">
        <v>30137</v>
      </c>
      <c r="G577" s="5" t="str">
        <f>INDEX(customer[عنوان],MATCH(Main[[#This Row],[کد ردیابی]],customer[کد],0))</f>
        <v>شرکت آفتابگردان</v>
      </c>
      <c r="H577">
        <v>191</v>
      </c>
      <c r="I577" s="6">
        <f ca="1">-Main[[#This Row],[بدهی تسویه شده (کیلوگرم)]]+Main[[#This Row],[بستانکار (کیلوگرم)]]</f>
        <v>191</v>
      </c>
      <c r="J577" s="6">
        <f>IF(Main[[#This Row],[مقدار (کیلوگرم)]]&gt;0,Main[[#This Row],[مقدار (کیلوگرم)]],0)</f>
        <v>191</v>
      </c>
      <c r="K577" s="6">
        <f>-IF(Main[[#This Row],[مقدار (کیلوگرم)]]&lt;0,Main[[#This Row],[مقدار (کیلوگرم)]],0)</f>
        <v>0</v>
      </c>
      <c r="L5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7" s="7">
        <f>-IF(AND(Main[[#This Row],[مقدار (کیلوگرم)]]&lt;0,Main[[#This Row],[تاريخ میلادی]]&gt;44276),Main[[#This Row],[مقدار (کیلوگرم)]],0)</f>
        <v>0</v>
      </c>
      <c r="N577" s="6">
        <f ca="1">Main[[#This Row],[بدهکار (کیلوگرم)]]-Main[[#This Row],[بدهی تسویه نشده (کیلوگرم)]]</f>
        <v>0</v>
      </c>
      <c r="O577" s="6">
        <f ca="1">Main[[#This Row],[تفکیک]]</f>
        <v>0</v>
      </c>
      <c r="P577" s="6">
        <f ca="1">IF(Main[[#This Row],[تاخیر از سررسید]]&gt;0,Main[[#This Row],[بدهی تسویه نشده (کیلوگرم)]],0)</f>
        <v>0</v>
      </c>
      <c r="Q577" s="6">
        <f ca="1">IF(Main[[#This Row],[بدهی تسویه نشده (کیلوگرم)]]&gt;0,'گزارش فردی'!$B$7-Main[[#This Row],[تاريخ میلادی]],0)</f>
        <v>0</v>
      </c>
      <c r="R577" s="6">
        <f ca="1">IF(Main[[#This Row],[بدهی تسویه نشده (کیلوگرم)]]&gt;0,'گزارش فردی'!$B$7-Main[[#This Row],[تاريخ میلادی]]-'گزارش فردی'!$B$8,0)</f>
        <v>0</v>
      </c>
      <c r="S577" s="6">
        <f ca="1">Main[[#This Row],[روز از ارسال سفارش]]*Main[[#This Row],[بدهی تسویه نشده (کیلوگرم)]]</f>
        <v>0</v>
      </c>
      <c r="T577" s="6">
        <f ca="1">Main[[#This Row],[بدهی سررسید شده (کیلوگرم)]]*Main[[#This Row],[روز از ارسال سفارش]]</f>
        <v>0</v>
      </c>
      <c r="U577" s="6">
        <f>-SUBTOTAL(9,INDEX(Main[مقدار (کیلوگرم)],1):Main[[#This Row],[مقدار (کیلوگرم)]])</f>
        <v>24411</v>
      </c>
      <c r="V5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7" s="6">
        <f>Main[[#This Row],[تعداد کل روزهای بدهکار (روز)]]*Main[[#This Row],[مانده در خط کل (کیلوگرم)]]</f>
        <v>0</v>
      </c>
      <c r="X577" s="6">
        <f ca="1">-SUBTOTAL(9,INDEX(Main[مقدار تسویه شده (کیلوگرم)],1):Main[[#This Row],[مقدار تسویه شده (کیلوگرم)]])</f>
        <v>24411</v>
      </c>
      <c r="Y577" s="6">
        <f ca="1">IF(Main[[#This Row],[مانده در خط تسویه شده (کیلوگرم)]]&lt;&gt;0,Main[[#This Row],[تعداد کل روزهای بدهکار (روز)]],0)</f>
        <v>0</v>
      </c>
      <c r="Z577" s="6">
        <f ca="1">Main[[#This Row],[تعداد روزهای بدهکار تسویه شده (روز)]]*Main[[#This Row],[مانده در خط تسویه شده (کیلوگرم)]]</f>
        <v>0</v>
      </c>
      <c r="AA577" s="6">
        <f ca="1">SUBTOTAL(9,INDEX(Main[بدهی تسویه نشده (کیلوگرم)],1):Main[[#This Row],[بدهی تسویه نشده (کیلوگرم)]])</f>
        <v>0</v>
      </c>
      <c r="AB577" s="6">
        <f ca="1">IF(Main[[#This Row],[مانده در خط تسویه نشده (کیلوگرم)]]&lt;&gt;0,Main[[#This Row],[تعداد کل روزهای بدهکار (روز)]],0)</f>
        <v>0</v>
      </c>
      <c r="AC577" s="6">
        <f ca="1">Main[[#This Row],[تعداد روزهای بدهکار  تسویه نشده (روز)]]*Main[[#This Row],[مانده در خط تسویه نشده (کیلوگرم)]]</f>
        <v>0</v>
      </c>
      <c r="AD577" s="6">
        <f ca="1">SUBTOTAL(9,INDEX(Main[بدهی سررسید شده (کیلوگرم)],1):Main[[#This Row],[بدهی سررسید شده (کیلوگرم)]])</f>
        <v>0</v>
      </c>
      <c r="AE577" s="6">
        <f ca="1">IF(Main[[#This Row],[مانده در خط سررسید شده (کیلوگرم)]]&lt;&gt;0,Main[[#This Row],[تعداد کل روزهای بدهکار (روز)]],0)</f>
        <v>0</v>
      </c>
      <c r="AF577" s="6">
        <f ca="1">Main[[#This Row],[تعداد روزهای بدهکار سررسید شده (روز)]]*Main[[#This Row],[مانده در خط سررسید شده (کیلوگرم)]]</f>
        <v>0</v>
      </c>
    </row>
    <row r="578" spans="1:32" hidden="1" x14ac:dyDescent="0.35">
      <c r="A578" s="5">
        <f>ROW()-ROW(INDEX(Main[ردیف],1))+1</f>
        <v>576</v>
      </c>
      <c r="B578" s="31">
        <f>SUBTOTAL(2,INDEX(Main[ردیف],1):Main[[#This Row],[ردیف]])</f>
        <v>55</v>
      </c>
      <c r="C578" s="32" t="s">
        <v>567</v>
      </c>
      <c r="D578" s="32" t="str">
        <f>_xlfn.CONCAT("14",Main[[#This Row],[تاريخ]])</f>
        <v>1400/03/03</v>
      </c>
      <c r="E578" s="33">
        <v>44340</v>
      </c>
      <c r="F578" s="32">
        <v>10070</v>
      </c>
      <c r="G578" s="5" t="str">
        <f>INDEX(customer[عنوان],MATCH(Main[[#This Row],[کد ردیابی]],customer[کد],0))</f>
        <v xml:space="preserve">حمیدرضا شفیعی </v>
      </c>
      <c r="H578">
        <v>-510</v>
      </c>
      <c r="I578" s="6">
        <f ca="1">-Main[[#This Row],[بدهی تسویه شده (کیلوگرم)]]+Main[[#This Row],[بستانکار (کیلوگرم)]]</f>
        <v>-510</v>
      </c>
      <c r="J578" s="6">
        <f>IF(Main[[#This Row],[مقدار (کیلوگرم)]]&gt;0,Main[[#This Row],[مقدار (کیلوگرم)]],0)</f>
        <v>0</v>
      </c>
      <c r="K578" s="6">
        <f>-IF(Main[[#This Row],[مقدار (کیلوگرم)]]&lt;0,Main[[#This Row],[مقدار (کیلوگرم)]],0)</f>
        <v>510</v>
      </c>
      <c r="L5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8" s="7">
        <f>-IF(AND(Main[[#This Row],[مقدار (کیلوگرم)]]&lt;0,Main[[#This Row],[تاريخ میلادی]]&gt;44276),Main[[#This Row],[مقدار (کیلوگرم)]],0)</f>
        <v>510</v>
      </c>
      <c r="N578" s="6">
        <f ca="1">Main[[#This Row],[بدهکار (کیلوگرم)]]-Main[[#This Row],[بدهی تسویه نشده (کیلوگرم)]]</f>
        <v>510</v>
      </c>
      <c r="O578" s="6">
        <f ca="1">Main[[#This Row],[تفکیک]]</f>
        <v>0</v>
      </c>
      <c r="P578" s="6">
        <f ca="1">IF(Main[[#This Row],[تاخیر از سررسید]]&gt;0,Main[[#This Row],[بدهی تسویه نشده (کیلوگرم)]],0)</f>
        <v>0</v>
      </c>
      <c r="Q578" s="6">
        <f ca="1">IF(Main[[#This Row],[بدهی تسویه نشده (کیلوگرم)]]&gt;0,'گزارش فردی'!$B$7-Main[[#This Row],[تاريخ میلادی]],0)</f>
        <v>0</v>
      </c>
      <c r="R578" s="6">
        <f ca="1">IF(Main[[#This Row],[بدهی تسویه نشده (کیلوگرم)]]&gt;0,'گزارش فردی'!$B$7-Main[[#This Row],[تاريخ میلادی]]-'گزارش فردی'!$B$8,0)</f>
        <v>0</v>
      </c>
      <c r="S578" s="6">
        <f ca="1">Main[[#This Row],[روز از ارسال سفارش]]*Main[[#This Row],[بدهی تسویه نشده (کیلوگرم)]]</f>
        <v>0</v>
      </c>
      <c r="T578" s="6">
        <f ca="1">Main[[#This Row],[بدهی سررسید شده (کیلوگرم)]]*Main[[#This Row],[روز از ارسال سفارش]]</f>
        <v>0</v>
      </c>
      <c r="U578" s="6">
        <f>-SUBTOTAL(9,INDEX(Main[مقدار (کیلوگرم)],1):Main[[#This Row],[مقدار (کیلوگرم)]])</f>
        <v>24411</v>
      </c>
      <c r="V5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8" s="6">
        <f>Main[[#This Row],[تعداد کل روزهای بدهکار (روز)]]*Main[[#This Row],[مانده در خط کل (کیلوگرم)]]</f>
        <v>0</v>
      </c>
      <c r="X578" s="6">
        <f ca="1">-SUBTOTAL(9,INDEX(Main[مقدار تسویه شده (کیلوگرم)],1):Main[[#This Row],[مقدار تسویه شده (کیلوگرم)]])</f>
        <v>24411</v>
      </c>
      <c r="Y578" s="6">
        <f ca="1">IF(Main[[#This Row],[مانده در خط تسویه شده (کیلوگرم)]]&lt;&gt;0,Main[[#This Row],[تعداد کل روزهای بدهکار (روز)]],0)</f>
        <v>0</v>
      </c>
      <c r="Z578" s="6">
        <f ca="1">Main[[#This Row],[تعداد روزهای بدهکار تسویه شده (روز)]]*Main[[#This Row],[مانده در خط تسویه شده (کیلوگرم)]]</f>
        <v>0</v>
      </c>
      <c r="AA578" s="6">
        <f ca="1">SUBTOTAL(9,INDEX(Main[بدهی تسویه نشده (کیلوگرم)],1):Main[[#This Row],[بدهی تسویه نشده (کیلوگرم)]])</f>
        <v>0</v>
      </c>
      <c r="AB578" s="6">
        <f ca="1">IF(Main[[#This Row],[مانده در خط تسویه نشده (کیلوگرم)]]&lt;&gt;0,Main[[#This Row],[تعداد کل روزهای بدهکار (روز)]],0)</f>
        <v>0</v>
      </c>
      <c r="AC578" s="6">
        <f ca="1">Main[[#This Row],[تعداد روزهای بدهکار  تسویه نشده (روز)]]*Main[[#This Row],[مانده در خط تسویه نشده (کیلوگرم)]]</f>
        <v>0</v>
      </c>
      <c r="AD578" s="6">
        <f ca="1">SUBTOTAL(9,INDEX(Main[بدهی سررسید شده (کیلوگرم)],1):Main[[#This Row],[بدهی سررسید شده (کیلوگرم)]])</f>
        <v>0</v>
      </c>
      <c r="AE578" s="6">
        <f ca="1">IF(Main[[#This Row],[مانده در خط سررسید شده (کیلوگرم)]]&lt;&gt;0,Main[[#This Row],[تعداد کل روزهای بدهکار (روز)]],0)</f>
        <v>0</v>
      </c>
      <c r="AF578" s="6">
        <f ca="1">Main[[#This Row],[تعداد روزهای بدهکار سررسید شده (روز)]]*Main[[#This Row],[مانده در خط سررسید شده (کیلوگرم)]]</f>
        <v>0</v>
      </c>
    </row>
    <row r="579" spans="1:32" hidden="1" x14ac:dyDescent="0.35">
      <c r="A579" s="5">
        <f>ROW()-ROW(INDEX(Main[ردیف],1))+1</f>
        <v>577</v>
      </c>
      <c r="B579" s="31">
        <f>SUBTOTAL(2,INDEX(Main[ردیف],1):Main[[#This Row],[ردیف]])</f>
        <v>55</v>
      </c>
      <c r="C579" s="32" t="s">
        <v>567</v>
      </c>
      <c r="D579" s="32" t="str">
        <f>_xlfn.CONCAT("14",Main[[#This Row],[تاريخ]])</f>
        <v>1400/03/03</v>
      </c>
      <c r="E579" s="33">
        <v>44340</v>
      </c>
      <c r="F579" s="32">
        <v>30127</v>
      </c>
      <c r="G579" s="5" t="str">
        <f>INDEX(customer[عنوان],MATCH(Main[[#This Row],[کد ردیابی]],customer[کد],0))</f>
        <v>شیر گاز آذران</v>
      </c>
      <c r="H579">
        <v>9573</v>
      </c>
      <c r="I579" s="6">
        <f ca="1">-Main[[#This Row],[بدهی تسویه شده (کیلوگرم)]]+Main[[#This Row],[بستانکار (کیلوگرم)]]</f>
        <v>9573</v>
      </c>
      <c r="J579" s="6">
        <f>IF(Main[[#This Row],[مقدار (کیلوگرم)]]&gt;0,Main[[#This Row],[مقدار (کیلوگرم)]],0)</f>
        <v>9573</v>
      </c>
      <c r="K579" s="6">
        <f>-IF(Main[[#This Row],[مقدار (کیلوگرم)]]&lt;0,Main[[#This Row],[مقدار (کیلوگرم)]],0)</f>
        <v>0</v>
      </c>
      <c r="L5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9" s="7">
        <f>-IF(AND(Main[[#This Row],[مقدار (کیلوگرم)]]&lt;0,Main[[#This Row],[تاريخ میلادی]]&gt;44276),Main[[#This Row],[مقدار (کیلوگرم)]],0)</f>
        <v>0</v>
      </c>
      <c r="N579" s="6">
        <f ca="1">Main[[#This Row],[بدهکار (کیلوگرم)]]-Main[[#This Row],[بدهی تسویه نشده (کیلوگرم)]]</f>
        <v>0</v>
      </c>
      <c r="O579" s="6">
        <f ca="1">Main[[#This Row],[تفکیک]]</f>
        <v>0</v>
      </c>
      <c r="P579" s="6">
        <f ca="1">IF(Main[[#This Row],[تاخیر از سررسید]]&gt;0,Main[[#This Row],[بدهی تسویه نشده (کیلوگرم)]],0)</f>
        <v>0</v>
      </c>
      <c r="Q579" s="6">
        <f ca="1">IF(Main[[#This Row],[بدهی تسویه نشده (کیلوگرم)]]&gt;0,'گزارش فردی'!$B$7-Main[[#This Row],[تاريخ میلادی]],0)</f>
        <v>0</v>
      </c>
      <c r="R579" s="6">
        <f ca="1">IF(Main[[#This Row],[بدهی تسویه نشده (کیلوگرم)]]&gt;0,'گزارش فردی'!$B$7-Main[[#This Row],[تاريخ میلادی]]-'گزارش فردی'!$B$8,0)</f>
        <v>0</v>
      </c>
      <c r="S579" s="6">
        <f ca="1">Main[[#This Row],[روز از ارسال سفارش]]*Main[[#This Row],[بدهی تسویه نشده (کیلوگرم)]]</f>
        <v>0</v>
      </c>
      <c r="T579" s="6">
        <f ca="1">Main[[#This Row],[بدهی سررسید شده (کیلوگرم)]]*Main[[#This Row],[روز از ارسال سفارش]]</f>
        <v>0</v>
      </c>
      <c r="U579" s="6">
        <f>-SUBTOTAL(9,INDEX(Main[مقدار (کیلوگرم)],1):Main[[#This Row],[مقدار (کیلوگرم)]])</f>
        <v>24411</v>
      </c>
      <c r="V5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9" s="6">
        <f>Main[[#This Row],[تعداد کل روزهای بدهکار (روز)]]*Main[[#This Row],[مانده در خط کل (کیلوگرم)]]</f>
        <v>0</v>
      </c>
      <c r="X579" s="6">
        <f ca="1">-SUBTOTAL(9,INDEX(Main[مقدار تسویه شده (کیلوگرم)],1):Main[[#This Row],[مقدار تسویه شده (کیلوگرم)]])</f>
        <v>24411</v>
      </c>
      <c r="Y579" s="6">
        <f ca="1">IF(Main[[#This Row],[مانده در خط تسویه شده (کیلوگرم)]]&lt;&gt;0,Main[[#This Row],[تعداد کل روزهای بدهکار (روز)]],0)</f>
        <v>0</v>
      </c>
      <c r="Z579" s="6">
        <f ca="1">Main[[#This Row],[تعداد روزهای بدهکار تسویه شده (روز)]]*Main[[#This Row],[مانده در خط تسویه شده (کیلوگرم)]]</f>
        <v>0</v>
      </c>
      <c r="AA579" s="6">
        <f ca="1">SUBTOTAL(9,INDEX(Main[بدهی تسویه نشده (کیلوگرم)],1):Main[[#This Row],[بدهی تسویه نشده (کیلوگرم)]])</f>
        <v>0</v>
      </c>
      <c r="AB579" s="6">
        <f ca="1">IF(Main[[#This Row],[مانده در خط تسویه نشده (کیلوگرم)]]&lt;&gt;0,Main[[#This Row],[تعداد کل روزهای بدهکار (روز)]],0)</f>
        <v>0</v>
      </c>
      <c r="AC579" s="6">
        <f ca="1">Main[[#This Row],[تعداد روزهای بدهکار  تسویه نشده (روز)]]*Main[[#This Row],[مانده در خط تسویه نشده (کیلوگرم)]]</f>
        <v>0</v>
      </c>
      <c r="AD579" s="6">
        <f ca="1">SUBTOTAL(9,INDEX(Main[بدهی سررسید شده (کیلوگرم)],1):Main[[#This Row],[بدهی سررسید شده (کیلوگرم)]])</f>
        <v>0</v>
      </c>
      <c r="AE579" s="6">
        <f ca="1">IF(Main[[#This Row],[مانده در خط سررسید شده (کیلوگرم)]]&lt;&gt;0,Main[[#This Row],[تعداد کل روزهای بدهکار (روز)]],0)</f>
        <v>0</v>
      </c>
      <c r="AF579" s="6">
        <f ca="1">Main[[#This Row],[تعداد روزهای بدهکار سررسید شده (روز)]]*Main[[#This Row],[مانده در خط سررسید شده (کیلوگرم)]]</f>
        <v>0</v>
      </c>
    </row>
    <row r="580" spans="1:32" hidden="1" x14ac:dyDescent="0.35">
      <c r="A580" s="5">
        <f>ROW()-ROW(INDEX(Main[ردیف],1))+1</f>
        <v>578</v>
      </c>
      <c r="B580" s="31">
        <f>SUBTOTAL(2,INDEX(Main[ردیف],1):Main[[#This Row],[ردیف]])</f>
        <v>55</v>
      </c>
      <c r="C580" s="32" t="s">
        <v>567</v>
      </c>
      <c r="D580" s="32" t="str">
        <f>_xlfn.CONCAT("14",Main[[#This Row],[تاريخ]])</f>
        <v>1400/03/03</v>
      </c>
      <c r="E580" s="33">
        <v>44340</v>
      </c>
      <c r="F580" s="32">
        <v>30009</v>
      </c>
      <c r="G580" s="5" t="str">
        <f>INDEX(customer[عنوان],MATCH(Main[[#This Row],[کد ردیابی]],customer[کد],0))</f>
        <v>شرکت ایمن تک پیشرو</v>
      </c>
      <c r="H580">
        <v>-4502</v>
      </c>
      <c r="I580" s="6">
        <f ca="1">-Main[[#This Row],[بدهی تسویه شده (کیلوگرم)]]+Main[[#This Row],[بستانکار (کیلوگرم)]]</f>
        <v>-4502</v>
      </c>
      <c r="J580" s="6">
        <f>IF(Main[[#This Row],[مقدار (کیلوگرم)]]&gt;0,Main[[#This Row],[مقدار (کیلوگرم)]],0)</f>
        <v>0</v>
      </c>
      <c r="K580" s="6">
        <f>-IF(Main[[#This Row],[مقدار (کیلوگرم)]]&lt;0,Main[[#This Row],[مقدار (کیلوگرم)]],0)</f>
        <v>4502</v>
      </c>
      <c r="L5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0" s="7">
        <f>-IF(AND(Main[[#This Row],[مقدار (کیلوگرم)]]&lt;0,Main[[#This Row],[تاريخ میلادی]]&gt;44276),Main[[#This Row],[مقدار (کیلوگرم)]],0)</f>
        <v>4502</v>
      </c>
      <c r="N580" s="6">
        <f ca="1">Main[[#This Row],[بدهکار (کیلوگرم)]]-Main[[#This Row],[بدهی تسویه نشده (کیلوگرم)]]</f>
        <v>4502</v>
      </c>
      <c r="O580" s="6">
        <f ca="1">Main[[#This Row],[تفکیک]]</f>
        <v>0</v>
      </c>
      <c r="P580" s="6">
        <f ca="1">IF(Main[[#This Row],[تاخیر از سررسید]]&gt;0,Main[[#This Row],[بدهی تسویه نشده (کیلوگرم)]],0)</f>
        <v>0</v>
      </c>
      <c r="Q580" s="6">
        <f ca="1">IF(Main[[#This Row],[بدهی تسویه نشده (کیلوگرم)]]&gt;0,'گزارش فردی'!$B$7-Main[[#This Row],[تاريخ میلادی]],0)</f>
        <v>0</v>
      </c>
      <c r="R580" s="6">
        <f ca="1">IF(Main[[#This Row],[بدهی تسویه نشده (کیلوگرم)]]&gt;0,'گزارش فردی'!$B$7-Main[[#This Row],[تاريخ میلادی]]-'گزارش فردی'!$B$8,0)</f>
        <v>0</v>
      </c>
      <c r="S580" s="6">
        <f ca="1">Main[[#This Row],[روز از ارسال سفارش]]*Main[[#This Row],[بدهی تسویه نشده (کیلوگرم)]]</f>
        <v>0</v>
      </c>
      <c r="T580" s="6">
        <f ca="1">Main[[#This Row],[بدهی سررسید شده (کیلوگرم)]]*Main[[#This Row],[روز از ارسال سفارش]]</f>
        <v>0</v>
      </c>
      <c r="U580" s="6">
        <f>-SUBTOTAL(9,INDEX(Main[مقدار (کیلوگرم)],1):Main[[#This Row],[مقدار (کیلوگرم)]])</f>
        <v>24411</v>
      </c>
      <c r="V5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80" s="6">
        <f>Main[[#This Row],[تعداد کل روزهای بدهکار (روز)]]*Main[[#This Row],[مانده در خط کل (کیلوگرم)]]</f>
        <v>0</v>
      </c>
      <c r="X580" s="6">
        <f ca="1">-SUBTOTAL(9,INDEX(Main[مقدار تسویه شده (کیلوگرم)],1):Main[[#This Row],[مقدار تسویه شده (کیلوگرم)]])</f>
        <v>24411</v>
      </c>
      <c r="Y580" s="6">
        <f ca="1">IF(Main[[#This Row],[مانده در خط تسویه شده (کیلوگرم)]]&lt;&gt;0,Main[[#This Row],[تعداد کل روزهای بدهکار (روز)]],0)</f>
        <v>0</v>
      </c>
      <c r="Z580" s="6">
        <f ca="1">Main[[#This Row],[تعداد روزهای بدهکار تسویه شده (روز)]]*Main[[#This Row],[مانده در خط تسویه شده (کیلوگرم)]]</f>
        <v>0</v>
      </c>
      <c r="AA580" s="6">
        <f ca="1">SUBTOTAL(9,INDEX(Main[بدهی تسویه نشده (کیلوگرم)],1):Main[[#This Row],[بدهی تسویه نشده (کیلوگرم)]])</f>
        <v>0</v>
      </c>
      <c r="AB580" s="6">
        <f ca="1">IF(Main[[#This Row],[مانده در خط تسویه نشده (کیلوگرم)]]&lt;&gt;0,Main[[#This Row],[تعداد کل روزهای بدهکار (روز)]],0)</f>
        <v>0</v>
      </c>
      <c r="AC580" s="6">
        <f ca="1">Main[[#This Row],[تعداد روزهای بدهکار  تسویه نشده (روز)]]*Main[[#This Row],[مانده در خط تسویه نشده (کیلوگرم)]]</f>
        <v>0</v>
      </c>
      <c r="AD580" s="6">
        <f ca="1">SUBTOTAL(9,INDEX(Main[بدهی سررسید شده (کیلوگرم)],1):Main[[#This Row],[بدهی سررسید شده (کیلوگرم)]])</f>
        <v>0</v>
      </c>
      <c r="AE580" s="6">
        <f ca="1">IF(Main[[#This Row],[مانده در خط سررسید شده (کیلوگرم)]]&lt;&gt;0,Main[[#This Row],[تعداد کل روزهای بدهکار (روز)]],0)</f>
        <v>0</v>
      </c>
      <c r="AF580" s="6">
        <f ca="1">Main[[#This Row],[تعداد روزهای بدهکار سررسید شده (روز)]]*Main[[#This Row],[مانده در خط سررسید شده (کیلوگرم)]]</f>
        <v>0</v>
      </c>
    </row>
    <row r="581" spans="1:32" x14ac:dyDescent="0.35">
      <c r="A581" s="5">
        <f>ROW()-ROW(INDEX(Main[ردیف],1))+1</f>
        <v>579</v>
      </c>
      <c r="B581" s="31">
        <f>SUBTOTAL(2,INDEX(Main[ردیف],1):Main[[#This Row],[ردیف]])</f>
        <v>56</v>
      </c>
      <c r="C581" s="32" t="s">
        <v>567</v>
      </c>
      <c r="D581" s="32" t="str">
        <f>_xlfn.CONCAT("14",Main[[#This Row],[تاريخ]])</f>
        <v>1400/03/03</v>
      </c>
      <c r="E581" s="33">
        <v>44340</v>
      </c>
      <c r="F581" s="32">
        <v>10003</v>
      </c>
      <c r="G581" s="5" t="str">
        <f>INDEX(customer[عنوان],MATCH(Main[[#This Row],[کد ردیابی]],customer[کد],0))</f>
        <v>اصغر نورعلی</v>
      </c>
      <c r="H581">
        <v>-2381</v>
      </c>
      <c r="I581" s="6">
        <f ca="1">-Main[[#This Row],[بدهی تسویه شده (کیلوگرم)]]+Main[[#This Row],[بستانکار (کیلوگرم)]]</f>
        <v>-2381</v>
      </c>
      <c r="J581" s="6">
        <f>IF(Main[[#This Row],[مقدار (کیلوگرم)]]&gt;0,Main[[#This Row],[مقدار (کیلوگرم)]],0)</f>
        <v>0</v>
      </c>
      <c r="K581" s="6">
        <f>-IF(Main[[#This Row],[مقدار (کیلوگرم)]]&lt;0,Main[[#This Row],[مقدار (کیلوگرم)]],0)</f>
        <v>2381</v>
      </c>
      <c r="L5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1" s="7">
        <f>-IF(AND(Main[[#This Row],[مقدار (کیلوگرم)]]&lt;0,Main[[#This Row],[تاريخ میلادی]]&gt;44276),Main[[#This Row],[مقدار (کیلوگرم)]],0)</f>
        <v>2381</v>
      </c>
      <c r="N581" s="6">
        <f ca="1">Main[[#This Row],[بدهکار (کیلوگرم)]]-Main[[#This Row],[بدهی تسویه نشده (کیلوگرم)]]</f>
        <v>2381</v>
      </c>
      <c r="O581" s="6">
        <f ca="1">Main[[#This Row],[تفکیک]]</f>
        <v>0</v>
      </c>
      <c r="P581" s="6">
        <f ca="1">IF(Main[[#This Row],[تاخیر از سررسید]]&gt;0,Main[[#This Row],[بدهی تسویه نشده (کیلوگرم)]],0)</f>
        <v>0</v>
      </c>
      <c r="Q581" s="6">
        <f ca="1">IF(Main[[#This Row],[بدهی تسویه نشده (کیلوگرم)]]&gt;0,'گزارش فردی'!$B$7-Main[[#This Row],[تاريخ میلادی]],0)</f>
        <v>0</v>
      </c>
      <c r="R581" s="6">
        <f ca="1">IF(Main[[#This Row],[بدهی تسویه نشده (کیلوگرم)]]&gt;0,'گزارش فردی'!$B$7-Main[[#This Row],[تاريخ میلادی]]-'گزارش فردی'!$B$8,0)</f>
        <v>0</v>
      </c>
      <c r="S581" s="6">
        <f ca="1">Main[[#This Row],[روز از ارسال سفارش]]*Main[[#This Row],[بدهی تسویه نشده (کیلوگرم)]]</f>
        <v>0</v>
      </c>
      <c r="T581" s="6">
        <f ca="1">Main[[#This Row],[بدهی سررسید شده (کیلوگرم)]]*Main[[#This Row],[روز از ارسال سفارش]]</f>
        <v>0</v>
      </c>
      <c r="U581" s="6">
        <f>-SUBTOTAL(9,INDEX(Main[مقدار (کیلوگرم)],1):Main[[#This Row],[مقدار (کیلوگرم)]])</f>
        <v>26792</v>
      </c>
      <c r="V58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81" s="6">
        <f>Main[[#This Row],[تعداد کل روزهای بدهکار (روز)]]*Main[[#This Row],[مانده در خط کل (کیلوگرم)]]</f>
        <v>53584</v>
      </c>
      <c r="X581" s="6">
        <f ca="1">-SUBTOTAL(9,INDEX(Main[مقدار تسویه شده (کیلوگرم)],1):Main[[#This Row],[مقدار تسویه شده (کیلوگرم)]])</f>
        <v>26792</v>
      </c>
      <c r="Y581" s="6">
        <f ca="1">IF(Main[[#This Row],[مانده در خط تسویه شده (کیلوگرم)]]&lt;&gt;0,Main[[#This Row],[تعداد کل روزهای بدهکار (روز)]],0)</f>
        <v>2</v>
      </c>
      <c r="Z581" s="6">
        <f ca="1">Main[[#This Row],[تعداد روزهای بدهکار تسویه شده (روز)]]*Main[[#This Row],[مانده در خط تسویه شده (کیلوگرم)]]</f>
        <v>53584</v>
      </c>
      <c r="AA581" s="6">
        <f ca="1">SUBTOTAL(9,INDEX(Main[بدهی تسویه نشده (کیلوگرم)],1):Main[[#This Row],[بدهی تسویه نشده (کیلوگرم)]])</f>
        <v>0</v>
      </c>
      <c r="AB581" s="6">
        <f ca="1">IF(Main[[#This Row],[مانده در خط تسویه نشده (کیلوگرم)]]&lt;&gt;0,Main[[#This Row],[تعداد کل روزهای بدهکار (روز)]],0)</f>
        <v>0</v>
      </c>
      <c r="AC581" s="6">
        <f ca="1">Main[[#This Row],[تعداد روزهای بدهکار  تسویه نشده (روز)]]*Main[[#This Row],[مانده در خط تسویه نشده (کیلوگرم)]]</f>
        <v>0</v>
      </c>
      <c r="AD581" s="6">
        <f ca="1">SUBTOTAL(9,INDEX(Main[بدهی سررسید شده (کیلوگرم)],1):Main[[#This Row],[بدهی سررسید شده (کیلوگرم)]])</f>
        <v>0</v>
      </c>
      <c r="AE581" s="6">
        <f ca="1">IF(Main[[#This Row],[مانده در خط سررسید شده (کیلوگرم)]]&lt;&gt;0,Main[[#This Row],[تعداد کل روزهای بدهکار (روز)]],0)</f>
        <v>0</v>
      </c>
      <c r="AF581" s="6">
        <f ca="1">Main[[#This Row],[تعداد روزهای بدهکار سررسید شده (روز)]]*Main[[#This Row],[مانده در خط سررسید شده (کیلوگرم)]]</f>
        <v>0</v>
      </c>
    </row>
    <row r="582" spans="1:32" hidden="1" x14ac:dyDescent="0.35">
      <c r="A582" s="5">
        <f>ROW()-ROW(INDEX(Main[ردیف],1))+1</f>
        <v>580</v>
      </c>
      <c r="B582" s="31">
        <f>SUBTOTAL(2,INDEX(Main[ردیف],1):Main[[#This Row],[ردیف]])</f>
        <v>56</v>
      </c>
      <c r="C582" s="32" t="s">
        <v>567</v>
      </c>
      <c r="D582" s="32" t="str">
        <f>_xlfn.CONCAT("14",Main[[#This Row],[تاريخ]])</f>
        <v>1400/03/03</v>
      </c>
      <c r="E582" s="33">
        <v>44340</v>
      </c>
      <c r="F582" s="32">
        <v>10026</v>
      </c>
      <c r="G582" s="5" t="str">
        <f>INDEX(customer[عنوان],MATCH(Main[[#This Row],[کد ردیابی]],customer[کد],0))</f>
        <v xml:space="preserve">محسن فیاض بخش </v>
      </c>
      <c r="H582">
        <v>-1875</v>
      </c>
      <c r="I582" s="6">
        <f ca="1">-Main[[#This Row],[بدهی تسویه شده (کیلوگرم)]]+Main[[#This Row],[بستانکار (کیلوگرم)]]</f>
        <v>-1875</v>
      </c>
      <c r="J582" s="6">
        <f>IF(Main[[#This Row],[مقدار (کیلوگرم)]]&gt;0,Main[[#This Row],[مقدار (کیلوگرم)]],0)</f>
        <v>0</v>
      </c>
      <c r="K582" s="6">
        <f>-IF(Main[[#This Row],[مقدار (کیلوگرم)]]&lt;0,Main[[#This Row],[مقدار (کیلوگرم)]],0)</f>
        <v>1875</v>
      </c>
      <c r="L5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2" s="7">
        <f>-IF(AND(Main[[#This Row],[مقدار (کیلوگرم)]]&lt;0,Main[[#This Row],[تاريخ میلادی]]&gt;44276),Main[[#This Row],[مقدار (کیلوگرم)]],0)</f>
        <v>1875</v>
      </c>
      <c r="N582" s="6">
        <f ca="1">Main[[#This Row],[بدهکار (کیلوگرم)]]-Main[[#This Row],[بدهی تسویه نشده (کیلوگرم)]]</f>
        <v>1875</v>
      </c>
      <c r="O582" s="6">
        <f ca="1">Main[[#This Row],[تفکیک]]</f>
        <v>0</v>
      </c>
      <c r="P582" s="6">
        <f ca="1">IF(Main[[#This Row],[تاخیر از سررسید]]&gt;0,Main[[#This Row],[بدهی تسویه نشده (کیلوگرم)]],0)</f>
        <v>0</v>
      </c>
      <c r="Q582" s="6">
        <f ca="1">IF(Main[[#This Row],[بدهی تسویه نشده (کیلوگرم)]]&gt;0,'گزارش فردی'!$B$7-Main[[#This Row],[تاريخ میلادی]],0)</f>
        <v>0</v>
      </c>
      <c r="R582" s="6">
        <f ca="1">IF(Main[[#This Row],[بدهی تسویه نشده (کیلوگرم)]]&gt;0,'گزارش فردی'!$B$7-Main[[#This Row],[تاريخ میلادی]]-'گزارش فردی'!$B$8,0)</f>
        <v>0</v>
      </c>
      <c r="S582" s="6">
        <f ca="1">Main[[#This Row],[روز از ارسال سفارش]]*Main[[#This Row],[بدهی تسویه نشده (کیلوگرم)]]</f>
        <v>0</v>
      </c>
      <c r="T582" s="6">
        <f ca="1">Main[[#This Row],[بدهی سررسید شده (کیلوگرم)]]*Main[[#This Row],[روز از ارسال سفارش]]</f>
        <v>0</v>
      </c>
      <c r="U582" s="6">
        <f>-SUBTOTAL(9,INDEX(Main[مقدار (کیلوگرم)],1):Main[[#This Row],[مقدار (کیلوگرم)]])</f>
        <v>26792</v>
      </c>
      <c r="V58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82" s="6">
        <f>Main[[#This Row],[تعداد کل روزهای بدهکار (روز)]]*Main[[#This Row],[مانده در خط کل (کیلوگرم)]]</f>
        <v>53584</v>
      </c>
      <c r="X582" s="6">
        <f ca="1">-SUBTOTAL(9,INDEX(Main[مقدار تسویه شده (کیلوگرم)],1):Main[[#This Row],[مقدار تسویه شده (کیلوگرم)]])</f>
        <v>26792</v>
      </c>
      <c r="Y582" s="6">
        <f ca="1">IF(Main[[#This Row],[مانده در خط تسویه شده (کیلوگرم)]]&lt;&gt;0,Main[[#This Row],[تعداد کل روزهای بدهکار (روز)]],0)</f>
        <v>2</v>
      </c>
      <c r="Z582" s="6">
        <f ca="1">Main[[#This Row],[تعداد روزهای بدهکار تسویه شده (روز)]]*Main[[#This Row],[مانده در خط تسویه شده (کیلوگرم)]]</f>
        <v>53584</v>
      </c>
      <c r="AA582" s="6">
        <f ca="1">SUBTOTAL(9,INDEX(Main[بدهی تسویه نشده (کیلوگرم)],1):Main[[#This Row],[بدهی تسویه نشده (کیلوگرم)]])</f>
        <v>0</v>
      </c>
      <c r="AB582" s="6">
        <f ca="1">IF(Main[[#This Row],[مانده در خط تسویه نشده (کیلوگرم)]]&lt;&gt;0,Main[[#This Row],[تعداد کل روزهای بدهکار (روز)]],0)</f>
        <v>0</v>
      </c>
      <c r="AC582" s="6">
        <f ca="1">Main[[#This Row],[تعداد روزهای بدهکار  تسویه نشده (روز)]]*Main[[#This Row],[مانده در خط تسویه نشده (کیلوگرم)]]</f>
        <v>0</v>
      </c>
      <c r="AD582" s="6">
        <f ca="1">SUBTOTAL(9,INDEX(Main[بدهی سررسید شده (کیلوگرم)],1):Main[[#This Row],[بدهی سررسید شده (کیلوگرم)]])</f>
        <v>0</v>
      </c>
      <c r="AE582" s="6">
        <f ca="1">IF(Main[[#This Row],[مانده در خط سررسید شده (کیلوگرم)]]&lt;&gt;0,Main[[#This Row],[تعداد کل روزهای بدهکار (روز)]],0)</f>
        <v>0</v>
      </c>
      <c r="AF582" s="6">
        <f ca="1">Main[[#This Row],[تعداد روزهای بدهکار سررسید شده (روز)]]*Main[[#This Row],[مانده در خط سررسید شده (کیلوگرم)]]</f>
        <v>0</v>
      </c>
    </row>
    <row r="583" spans="1:32" hidden="1" x14ac:dyDescent="0.35">
      <c r="A583" s="5">
        <f>ROW()-ROW(INDEX(Main[ردیف],1))+1</f>
        <v>581</v>
      </c>
      <c r="B583" s="31">
        <f>SUBTOTAL(2,INDEX(Main[ردیف],1):Main[[#This Row],[ردیف]])</f>
        <v>56</v>
      </c>
      <c r="C583" s="32" t="s">
        <v>567</v>
      </c>
      <c r="D583" s="32" t="str">
        <f>_xlfn.CONCAT("14",Main[[#This Row],[تاريخ]])</f>
        <v>1400/03/03</v>
      </c>
      <c r="E583" s="33">
        <v>44340</v>
      </c>
      <c r="F583" s="32">
        <v>10029</v>
      </c>
      <c r="G583" s="5" t="str">
        <f>INDEX(customer[عنوان],MATCH(Main[[#This Row],[کد ردیابی]],customer[کد],0))</f>
        <v>رضا شریعتی</v>
      </c>
      <c r="H583">
        <v>-2751</v>
      </c>
      <c r="I583" s="6">
        <f ca="1">-Main[[#This Row],[بدهی تسویه شده (کیلوگرم)]]+Main[[#This Row],[بستانکار (کیلوگرم)]]</f>
        <v>-2751</v>
      </c>
      <c r="J583" s="6">
        <f>IF(Main[[#This Row],[مقدار (کیلوگرم)]]&gt;0,Main[[#This Row],[مقدار (کیلوگرم)]],0)</f>
        <v>0</v>
      </c>
      <c r="K583" s="6">
        <f>-IF(Main[[#This Row],[مقدار (کیلوگرم)]]&lt;0,Main[[#This Row],[مقدار (کیلوگرم)]],0)</f>
        <v>2751</v>
      </c>
      <c r="L5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3" s="7">
        <f>-IF(AND(Main[[#This Row],[مقدار (کیلوگرم)]]&lt;0,Main[[#This Row],[تاريخ میلادی]]&gt;44276),Main[[#This Row],[مقدار (کیلوگرم)]],0)</f>
        <v>2751</v>
      </c>
      <c r="N583" s="6">
        <f ca="1">Main[[#This Row],[بدهکار (کیلوگرم)]]-Main[[#This Row],[بدهی تسویه نشده (کیلوگرم)]]</f>
        <v>2751</v>
      </c>
      <c r="O583" s="6">
        <f ca="1">Main[[#This Row],[تفکیک]]</f>
        <v>0</v>
      </c>
      <c r="P583" s="6">
        <f ca="1">IF(Main[[#This Row],[تاخیر از سررسید]]&gt;0,Main[[#This Row],[بدهی تسویه نشده (کیلوگرم)]],0)</f>
        <v>0</v>
      </c>
      <c r="Q583" s="6">
        <f ca="1">IF(Main[[#This Row],[بدهی تسویه نشده (کیلوگرم)]]&gt;0,'گزارش فردی'!$B$7-Main[[#This Row],[تاريخ میلادی]],0)</f>
        <v>0</v>
      </c>
      <c r="R583" s="6">
        <f ca="1">IF(Main[[#This Row],[بدهی تسویه نشده (کیلوگرم)]]&gt;0,'گزارش فردی'!$B$7-Main[[#This Row],[تاريخ میلادی]]-'گزارش فردی'!$B$8,0)</f>
        <v>0</v>
      </c>
      <c r="S583" s="6">
        <f ca="1">Main[[#This Row],[روز از ارسال سفارش]]*Main[[#This Row],[بدهی تسویه نشده (کیلوگرم)]]</f>
        <v>0</v>
      </c>
      <c r="T583" s="6">
        <f ca="1">Main[[#This Row],[بدهی سررسید شده (کیلوگرم)]]*Main[[#This Row],[روز از ارسال سفارش]]</f>
        <v>0</v>
      </c>
      <c r="U583" s="6">
        <f>-SUBTOTAL(9,INDEX(Main[مقدار (کیلوگرم)],1):Main[[#This Row],[مقدار (کیلوگرم)]])</f>
        <v>26792</v>
      </c>
      <c r="V58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83" s="6">
        <f>Main[[#This Row],[تعداد کل روزهای بدهکار (روز)]]*Main[[#This Row],[مانده در خط کل (کیلوگرم)]]</f>
        <v>53584</v>
      </c>
      <c r="X583" s="6">
        <f ca="1">-SUBTOTAL(9,INDEX(Main[مقدار تسویه شده (کیلوگرم)],1):Main[[#This Row],[مقدار تسویه شده (کیلوگرم)]])</f>
        <v>26792</v>
      </c>
      <c r="Y583" s="6">
        <f ca="1">IF(Main[[#This Row],[مانده در خط تسویه شده (کیلوگرم)]]&lt;&gt;0,Main[[#This Row],[تعداد کل روزهای بدهکار (روز)]],0)</f>
        <v>2</v>
      </c>
      <c r="Z583" s="6">
        <f ca="1">Main[[#This Row],[تعداد روزهای بدهکار تسویه شده (روز)]]*Main[[#This Row],[مانده در خط تسویه شده (کیلوگرم)]]</f>
        <v>53584</v>
      </c>
      <c r="AA583" s="6">
        <f ca="1">SUBTOTAL(9,INDEX(Main[بدهی تسویه نشده (کیلوگرم)],1):Main[[#This Row],[بدهی تسویه نشده (کیلوگرم)]])</f>
        <v>0</v>
      </c>
      <c r="AB583" s="6">
        <f ca="1">IF(Main[[#This Row],[مانده در خط تسویه نشده (کیلوگرم)]]&lt;&gt;0,Main[[#This Row],[تعداد کل روزهای بدهکار (روز)]],0)</f>
        <v>0</v>
      </c>
      <c r="AC583" s="6">
        <f ca="1">Main[[#This Row],[تعداد روزهای بدهکار  تسویه نشده (روز)]]*Main[[#This Row],[مانده در خط تسویه نشده (کیلوگرم)]]</f>
        <v>0</v>
      </c>
      <c r="AD583" s="6">
        <f ca="1">SUBTOTAL(9,INDEX(Main[بدهی سررسید شده (کیلوگرم)],1):Main[[#This Row],[بدهی سررسید شده (کیلوگرم)]])</f>
        <v>0</v>
      </c>
      <c r="AE583" s="6">
        <f ca="1">IF(Main[[#This Row],[مانده در خط سررسید شده (کیلوگرم)]]&lt;&gt;0,Main[[#This Row],[تعداد کل روزهای بدهکار (روز)]],0)</f>
        <v>0</v>
      </c>
      <c r="AF583" s="6">
        <f ca="1">Main[[#This Row],[تعداد روزهای بدهکار سررسید شده (روز)]]*Main[[#This Row],[مانده در خط سررسید شده (کیلوگرم)]]</f>
        <v>0</v>
      </c>
    </row>
    <row r="584" spans="1:32" hidden="1" x14ac:dyDescent="0.35">
      <c r="A584" s="5">
        <f>ROW()-ROW(INDEX(Main[ردیف],1))+1</f>
        <v>582</v>
      </c>
      <c r="B584" s="31">
        <f>SUBTOTAL(2,INDEX(Main[ردیف],1):Main[[#This Row],[ردیف]])</f>
        <v>56</v>
      </c>
      <c r="C584" s="32" t="s">
        <v>568</v>
      </c>
      <c r="D584" s="32" t="str">
        <f>_xlfn.CONCAT("14",Main[[#This Row],[تاريخ]])</f>
        <v>1400/03/04</v>
      </c>
      <c r="E584" s="33">
        <v>44341</v>
      </c>
      <c r="F584" s="32">
        <v>10069</v>
      </c>
      <c r="G584" s="5" t="str">
        <f>INDEX(customer[عنوان],MATCH(Main[[#This Row],[کد ردیابی]],customer[کد],0))</f>
        <v xml:space="preserve">جواد عرب </v>
      </c>
      <c r="H584">
        <v>1351</v>
      </c>
      <c r="I584" s="6">
        <f ca="1">-Main[[#This Row],[بدهی تسویه شده (کیلوگرم)]]+Main[[#This Row],[بستانکار (کیلوگرم)]]</f>
        <v>1351</v>
      </c>
      <c r="J584" s="6">
        <f>IF(Main[[#This Row],[مقدار (کیلوگرم)]]&gt;0,Main[[#This Row],[مقدار (کیلوگرم)]],0)</f>
        <v>1351</v>
      </c>
      <c r="K584" s="6">
        <f>-IF(Main[[#This Row],[مقدار (کیلوگرم)]]&lt;0,Main[[#This Row],[مقدار (کیلوگرم)]],0)</f>
        <v>0</v>
      </c>
      <c r="L5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4" s="7">
        <f>-IF(AND(Main[[#This Row],[مقدار (کیلوگرم)]]&lt;0,Main[[#This Row],[تاريخ میلادی]]&gt;44276),Main[[#This Row],[مقدار (کیلوگرم)]],0)</f>
        <v>0</v>
      </c>
      <c r="N584" s="6">
        <f ca="1">Main[[#This Row],[بدهکار (کیلوگرم)]]-Main[[#This Row],[بدهی تسویه نشده (کیلوگرم)]]</f>
        <v>0</v>
      </c>
      <c r="O584" s="6">
        <f ca="1">Main[[#This Row],[تفکیک]]</f>
        <v>0</v>
      </c>
      <c r="P584" s="6">
        <f ca="1">IF(Main[[#This Row],[تاخیر از سررسید]]&gt;0,Main[[#This Row],[بدهی تسویه نشده (کیلوگرم)]],0)</f>
        <v>0</v>
      </c>
      <c r="Q584" s="6">
        <f ca="1">IF(Main[[#This Row],[بدهی تسویه نشده (کیلوگرم)]]&gt;0,'گزارش فردی'!$B$7-Main[[#This Row],[تاريخ میلادی]],0)</f>
        <v>0</v>
      </c>
      <c r="R584" s="6">
        <f ca="1">IF(Main[[#This Row],[بدهی تسویه نشده (کیلوگرم)]]&gt;0,'گزارش فردی'!$B$7-Main[[#This Row],[تاريخ میلادی]]-'گزارش فردی'!$B$8,0)</f>
        <v>0</v>
      </c>
      <c r="S584" s="6">
        <f ca="1">Main[[#This Row],[روز از ارسال سفارش]]*Main[[#This Row],[بدهی تسویه نشده (کیلوگرم)]]</f>
        <v>0</v>
      </c>
      <c r="T584" s="6">
        <f ca="1">Main[[#This Row],[بدهی سررسید شده (کیلوگرم)]]*Main[[#This Row],[روز از ارسال سفارش]]</f>
        <v>0</v>
      </c>
      <c r="U584" s="6">
        <f>-SUBTOTAL(9,INDEX(Main[مقدار (کیلوگرم)],1):Main[[#This Row],[مقدار (کیلوگرم)]])</f>
        <v>26792</v>
      </c>
      <c r="V5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4" s="6">
        <f>Main[[#This Row],[تعداد کل روزهای بدهکار (روز)]]*Main[[#This Row],[مانده در خط کل (کیلوگرم)]]</f>
        <v>26792</v>
      </c>
      <c r="X584" s="6">
        <f ca="1">-SUBTOTAL(9,INDEX(Main[مقدار تسویه شده (کیلوگرم)],1):Main[[#This Row],[مقدار تسویه شده (کیلوگرم)]])</f>
        <v>26792</v>
      </c>
      <c r="Y584" s="6">
        <f ca="1">IF(Main[[#This Row],[مانده در خط تسویه شده (کیلوگرم)]]&lt;&gt;0,Main[[#This Row],[تعداد کل روزهای بدهکار (روز)]],0)</f>
        <v>1</v>
      </c>
      <c r="Z584" s="6">
        <f ca="1">Main[[#This Row],[تعداد روزهای بدهکار تسویه شده (روز)]]*Main[[#This Row],[مانده در خط تسویه شده (کیلوگرم)]]</f>
        <v>26792</v>
      </c>
      <c r="AA584" s="6">
        <f ca="1">SUBTOTAL(9,INDEX(Main[بدهی تسویه نشده (کیلوگرم)],1):Main[[#This Row],[بدهی تسویه نشده (کیلوگرم)]])</f>
        <v>0</v>
      </c>
      <c r="AB584" s="6">
        <f ca="1">IF(Main[[#This Row],[مانده در خط تسویه نشده (کیلوگرم)]]&lt;&gt;0,Main[[#This Row],[تعداد کل روزهای بدهکار (روز)]],0)</f>
        <v>0</v>
      </c>
      <c r="AC584" s="6">
        <f ca="1">Main[[#This Row],[تعداد روزهای بدهکار  تسویه نشده (روز)]]*Main[[#This Row],[مانده در خط تسویه نشده (کیلوگرم)]]</f>
        <v>0</v>
      </c>
      <c r="AD584" s="6">
        <f ca="1">SUBTOTAL(9,INDEX(Main[بدهی سررسید شده (کیلوگرم)],1):Main[[#This Row],[بدهی سررسید شده (کیلوگرم)]])</f>
        <v>0</v>
      </c>
      <c r="AE584" s="6">
        <f ca="1">IF(Main[[#This Row],[مانده در خط سررسید شده (کیلوگرم)]]&lt;&gt;0,Main[[#This Row],[تعداد کل روزهای بدهکار (روز)]],0)</f>
        <v>0</v>
      </c>
      <c r="AF584" s="6">
        <f ca="1">Main[[#This Row],[تعداد روزهای بدهکار سررسید شده (روز)]]*Main[[#This Row],[مانده در خط سررسید شده (کیلوگرم)]]</f>
        <v>0</v>
      </c>
    </row>
    <row r="585" spans="1:32" hidden="1" x14ac:dyDescent="0.35">
      <c r="A585" s="5">
        <f>ROW()-ROW(INDEX(Main[ردیف],1))+1</f>
        <v>583</v>
      </c>
      <c r="B585" s="31">
        <f>SUBTOTAL(2,INDEX(Main[ردیف],1):Main[[#This Row],[ردیف]])</f>
        <v>56</v>
      </c>
      <c r="C585" s="32" t="s">
        <v>568</v>
      </c>
      <c r="D585" s="32" t="str">
        <f>_xlfn.CONCAT("14",Main[[#This Row],[تاريخ]])</f>
        <v>1400/03/04</v>
      </c>
      <c r="E585" s="33">
        <v>44341</v>
      </c>
      <c r="F585" s="32">
        <v>30066</v>
      </c>
      <c r="G585" s="5" t="str">
        <f>INDEX(customer[عنوان],MATCH(Main[[#This Row],[کد ردیابی]],customer[کد],0))</f>
        <v xml:space="preserve">شیر آلات بهداشتی قهرمان </v>
      </c>
      <c r="H585">
        <v>-6026</v>
      </c>
      <c r="I585" s="6">
        <f ca="1">-Main[[#This Row],[بدهی تسویه شده (کیلوگرم)]]+Main[[#This Row],[بستانکار (کیلوگرم)]]</f>
        <v>-6026</v>
      </c>
      <c r="J585" s="6">
        <f>IF(Main[[#This Row],[مقدار (کیلوگرم)]]&gt;0,Main[[#This Row],[مقدار (کیلوگرم)]],0)</f>
        <v>0</v>
      </c>
      <c r="K585" s="6">
        <f>-IF(Main[[#This Row],[مقدار (کیلوگرم)]]&lt;0,Main[[#This Row],[مقدار (کیلوگرم)]],0)</f>
        <v>6026</v>
      </c>
      <c r="L5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5" s="7">
        <f>-IF(AND(Main[[#This Row],[مقدار (کیلوگرم)]]&lt;0,Main[[#This Row],[تاريخ میلادی]]&gt;44276),Main[[#This Row],[مقدار (کیلوگرم)]],0)</f>
        <v>6026</v>
      </c>
      <c r="N585" s="6">
        <f ca="1">Main[[#This Row],[بدهکار (کیلوگرم)]]-Main[[#This Row],[بدهی تسویه نشده (کیلوگرم)]]</f>
        <v>6026</v>
      </c>
      <c r="O585" s="6">
        <f ca="1">Main[[#This Row],[تفکیک]]</f>
        <v>0</v>
      </c>
      <c r="P585" s="6">
        <f ca="1">IF(Main[[#This Row],[تاخیر از سررسید]]&gt;0,Main[[#This Row],[بدهی تسویه نشده (کیلوگرم)]],0)</f>
        <v>0</v>
      </c>
      <c r="Q585" s="6">
        <f ca="1">IF(Main[[#This Row],[بدهی تسویه نشده (کیلوگرم)]]&gt;0,'گزارش فردی'!$B$7-Main[[#This Row],[تاريخ میلادی]],0)</f>
        <v>0</v>
      </c>
      <c r="R585" s="6">
        <f ca="1">IF(Main[[#This Row],[بدهی تسویه نشده (کیلوگرم)]]&gt;0,'گزارش فردی'!$B$7-Main[[#This Row],[تاريخ میلادی]]-'گزارش فردی'!$B$8,0)</f>
        <v>0</v>
      </c>
      <c r="S585" s="6">
        <f ca="1">Main[[#This Row],[روز از ارسال سفارش]]*Main[[#This Row],[بدهی تسویه نشده (کیلوگرم)]]</f>
        <v>0</v>
      </c>
      <c r="T585" s="6">
        <f ca="1">Main[[#This Row],[بدهی سررسید شده (کیلوگرم)]]*Main[[#This Row],[روز از ارسال سفارش]]</f>
        <v>0</v>
      </c>
      <c r="U585" s="6">
        <f>-SUBTOTAL(9,INDEX(Main[مقدار (کیلوگرم)],1):Main[[#This Row],[مقدار (کیلوگرم)]])</f>
        <v>26792</v>
      </c>
      <c r="V5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5" s="6">
        <f>Main[[#This Row],[تعداد کل روزهای بدهکار (روز)]]*Main[[#This Row],[مانده در خط کل (کیلوگرم)]]</f>
        <v>26792</v>
      </c>
      <c r="X585" s="6">
        <f ca="1">-SUBTOTAL(9,INDEX(Main[مقدار تسویه شده (کیلوگرم)],1):Main[[#This Row],[مقدار تسویه شده (کیلوگرم)]])</f>
        <v>26792</v>
      </c>
      <c r="Y585" s="6">
        <f ca="1">IF(Main[[#This Row],[مانده در خط تسویه شده (کیلوگرم)]]&lt;&gt;0,Main[[#This Row],[تعداد کل روزهای بدهکار (روز)]],0)</f>
        <v>1</v>
      </c>
      <c r="Z585" s="6">
        <f ca="1">Main[[#This Row],[تعداد روزهای بدهکار تسویه شده (روز)]]*Main[[#This Row],[مانده در خط تسویه شده (کیلوگرم)]]</f>
        <v>26792</v>
      </c>
      <c r="AA585" s="6">
        <f ca="1">SUBTOTAL(9,INDEX(Main[بدهی تسویه نشده (کیلوگرم)],1):Main[[#This Row],[بدهی تسویه نشده (کیلوگرم)]])</f>
        <v>0</v>
      </c>
      <c r="AB585" s="6">
        <f ca="1">IF(Main[[#This Row],[مانده در خط تسویه نشده (کیلوگرم)]]&lt;&gt;0,Main[[#This Row],[تعداد کل روزهای بدهکار (روز)]],0)</f>
        <v>0</v>
      </c>
      <c r="AC585" s="6">
        <f ca="1">Main[[#This Row],[تعداد روزهای بدهکار  تسویه نشده (روز)]]*Main[[#This Row],[مانده در خط تسویه نشده (کیلوگرم)]]</f>
        <v>0</v>
      </c>
      <c r="AD585" s="6">
        <f ca="1">SUBTOTAL(9,INDEX(Main[بدهی سررسید شده (کیلوگرم)],1):Main[[#This Row],[بدهی سررسید شده (کیلوگرم)]])</f>
        <v>0</v>
      </c>
      <c r="AE585" s="6">
        <f ca="1">IF(Main[[#This Row],[مانده در خط سررسید شده (کیلوگرم)]]&lt;&gt;0,Main[[#This Row],[تعداد کل روزهای بدهکار (روز)]],0)</f>
        <v>0</v>
      </c>
      <c r="AF585" s="6">
        <f ca="1">Main[[#This Row],[تعداد روزهای بدهکار سررسید شده (روز)]]*Main[[#This Row],[مانده در خط سررسید شده (کیلوگرم)]]</f>
        <v>0</v>
      </c>
    </row>
    <row r="586" spans="1:32" hidden="1" x14ac:dyDescent="0.35">
      <c r="A586" s="5">
        <f>ROW()-ROW(INDEX(Main[ردیف],1))+1</f>
        <v>584</v>
      </c>
      <c r="B586" s="31">
        <f>SUBTOTAL(2,INDEX(Main[ردیف],1):Main[[#This Row],[ردیف]])</f>
        <v>56</v>
      </c>
      <c r="C586" s="32" t="s">
        <v>568</v>
      </c>
      <c r="D586" s="32" t="str">
        <f>_xlfn.CONCAT("14",Main[[#This Row],[تاريخ]])</f>
        <v>1400/03/04</v>
      </c>
      <c r="E586" s="33">
        <v>44341</v>
      </c>
      <c r="F586" s="32">
        <v>10070</v>
      </c>
      <c r="G586" s="5" t="str">
        <f>INDEX(customer[عنوان],MATCH(Main[[#This Row],[کد ردیابی]],customer[کد],0))</f>
        <v xml:space="preserve">حمیدرضا شفیعی </v>
      </c>
      <c r="H586">
        <v>1254</v>
      </c>
      <c r="I586" s="6">
        <f ca="1">-Main[[#This Row],[بدهی تسویه شده (کیلوگرم)]]+Main[[#This Row],[بستانکار (کیلوگرم)]]</f>
        <v>1254</v>
      </c>
      <c r="J586" s="6">
        <f>IF(Main[[#This Row],[مقدار (کیلوگرم)]]&gt;0,Main[[#This Row],[مقدار (کیلوگرم)]],0)</f>
        <v>1254</v>
      </c>
      <c r="K586" s="6">
        <f>-IF(Main[[#This Row],[مقدار (کیلوگرم)]]&lt;0,Main[[#This Row],[مقدار (کیلوگرم)]],0)</f>
        <v>0</v>
      </c>
      <c r="L5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6" s="7">
        <f>-IF(AND(Main[[#This Row],[مقدار (کیلوگرم)]]&lt;0,Main[[#This Row],[تاريخ میلادی]]&gt;44276),Main[[#This Row],[مقدار (کیلوگرم)]],0)</f>
        <v>0</v>
      </c>
      <c r="N586" s="6">
        <f ca="1">Main[[#This Row],[بدهکار (کیلوگرم)]]-Main[[#This Row],[بدهی تسویه نشده (کیلوگرم)]]</f>
        <v>0</v>
      </c>
      <c r="O586" s="6">
        <f ca="1">Main[[#This Row],[تفکیک]]</f>
        <v>0</v>
      </c>
      <c r="P586" s="6">
        <f ca="1">IF(Main[[#This Row],[تاخیر از سررسید]]&gt;0,Main[[#This Row],[بدهی تسویه نشده (کیلوگرم)]],0)</f>
        <v>0</v>
      </c>
      <c r="Q586" s="6">
        <f ca="1">IF(Main[[#This Row],[بدهی تسویه نشده (کیلوگرم)]]&gt;0,'گزارش فردی'!$B$7-Main[[#This Row],[تاريخ میلادی]],0)</f>
        <v>0</v>
      </c>
      <c r="R586" s="6">
        <f ca="1">IF(Main[[#This Row],[بدهی تسویه نشده (کیلوگرم)]]&gt;0,'گزارش فردی'!$B$7-Main[[#This Row],[تاريخ میلادی]]-'گزارش فردی'!$B$8,0)</f>
        <v>0</v>
      </c>
      <c r="S586" s="6">
        <f ca="1">Main[[#This Row],[روز از ارسال سفارش]]*Main[[#This Row],[بدهی تسویه نشده (کیلوگرم)]]</f>
        <v>0</v>
      </c>
      <c r="T586" s="6">
        <f ca="1">Main[[#This Row],[بدهی سررسید شده (کیلوگرم)]]*Main[[#This Row],[روز از ارسال سفارش]]</f>
        <v>0</v>
      </c>
      <c r="U586" s="6">
        <f>-SUBTOTAL(9,INDEX(Main[مقدار (کیلوگرم)],1):Main[[#This Row],[مقدار (کیلوگرم)]])</f>
        <v>26792</v>
      </c>
      <c r="V5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6" s="6">
        <f>Main[[#This Row],[تعداد کل روزهای بدهکار (روز)]]*Main[[#This Row],[مانده در خط کل (کیلوگرم)]]</f>
        <v>26792</v>
      </c>
      <c r="X586" s="6">
        <f ca="1">-SUBTOTAL(9,INDEX(Main[مقدار تسویه شده (کیلوگرم)],1):Main[[#This Row],[مقدار تسویه شده (کیلوگرم)]])</f>
        <v>26792</v>
      </c>
      <c r="Y586" s="6">
        <f ca="1">IF(Main[[#This Row],[مانده در خط تسویه شده (کیلوگرم)]]&lt;&gt;0,Main[[#This Row],[تعداد کل روزهای بدهکار (روز)]],0)</f>
        <v>1</v>
      </c>
      <c r="Z586" s="6">
        <f ca="1">Main[[#This Row],[تعداد روزهای بدهکار تسویه شده (روز)]]*Main[[#This Row],[مانده در خط تسویه شده (کیلوگرم)]]</f>
        <v>26792</v>
      </c>
      <c r="AA586" s="6">
        <f ca="1">SUBTOTAL(9,INDEX(Main[بدهی تسویه نشده (کیلوگرم)],1):Main[[#This Row],[بدهی تسویه نشده (کیلوگرم)]])</f>
        <v>0</v>
      </c>
      <c r="AB586" s="6">
        <f ca="1">IF(Main[[#This Row],[مانده در خط تسویه نشده (کیلوگرم)]]&lt;&gt;0,Main[[#This Row],[تعداد کل روزهای بدهکار (روز)]],0)</f>
        <v>0</v>
      </c>
      <c r="AC586" s="6">
        <f ca="1">Main[[#This Row],[تعداد روزهای بدهکار  تسویه نشده (روز)]]*Main[[#This Row],[مانده در خط تسویه نشده (کیلوگرم)]]</f>
        <v>0</v>
      </c>
      <c r="AD586" s="6">
        <f ca="1">SUBTOTAL(9,INDEX(Main[بدهی سررسید شده (کیلوگرم)],1):Main[[#This Row],[بدهی سررسید شده (کیلوگرم)]])</f>
        <v>0</v>
      </c>
      <c r="AE586" s="6">
        <f ca="1">IF(Main[[#This Row],[مانده در خط سررسید شده (کیلوگرم)]]&lt;&gt;0,Main[[#This Row],[تعداد کل روزهای بدهکار (روز)]],0)</f>
        <v>0</v>
      </c>
      <c r="AF586" s="6">
        <f ca="1">Main[[#This Row],[تعداد روزهای بدهکار سررسید شده (روز)]]*Main[[#This Row],[مانده در خط سررسید شده (کیلوگرم)]]</f>
        <v>0</v>
      </c>
    </row>
    <row r="587" spans="1:32" hidden="1" x14ac:dyDescent="0.35">
      <c r="A587" s="5">
        <f>ROW()-ROW(INDEX(Main[ردیف],1))+1</f>
        <v>585</v>
      </c>
      <c r="B587" s="31">
        <f>SUBTOTAL(2,INDEX(Main[ردیف],1):Main[[#This Row],[ردیف]])</f>
        <v>56</v>
      </c>
      <c r="C587" s="32" t="s">
        <v>568</v>
      </c>
      <c r="D587" s="32" t="str">
        <f>_xlfn.CONCAT("14",Main[[#This Row],[تاريخ]])</f>
        <v>1400/03/04</v>
      </c>
      <c r="E587" s="33">
        <v>44341</v>
      </c>
      <c r="F587" s="32">
        <v>30030</v>
      </c>
      <c r="G587" s="5" t="str">
        <f>INDEX(customer[عنوان],MATCH(Main[[#This Row],[کد ردیابی]],customer[کد],0))</f>
        <v xml:space="preserve">تراش پارس </v>
      </c>
      <c r="H587">
        <v>-1688</v>
      </c>
      <c r="I587" s="6">
        <f ca="1">-Main[[#This Row],[بدهی تسویه شده (کیلوگرم)]]+Main[[#This Row],[بستانکار (کیلوگرم)]]</f>
        <v>-1688</v>
      </c>
      <c r="J587" s="6">
        <f>IF(Main[[#This Row],[مقدار (کیلوگرم)]]&gt;0,Main[[#This Row],[مقدار (کیلوگرم)]],0)</f>
        <v>0</v>
      </c>
      <c r="K587" s="6">
        <f>-IF(Main[[#This Row],[مقدار (کیلوگرم)]]&lt;0,Main[[#This Row],[مقدار (کیلوگرم)]],0)</f>
        <v>1688</v>
      </c>
      <c r="L5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7" s="7">
        <f>-IF(AND(Main[[#This Row],[مقدار (کیلوگرم)]]&lt;0,Main[[#This Row],[تاريخ میلادی]]&gt;44276),Main[[#This Row],[مقدار (کیلوگرم)]],0)</f>
        <v>1688</v>
      </c>
      <c r="N587" s="6">
        <f ca="1">Main[[#This Row],[بدهکار (کیلوگرم)]]-Main[[#This Row],[بدهی تسویه نشده (کیلوگرم)]]</f>
        <v>1688</v>
      </c>
      <c r="O587" s="6">
        <f ca="1">Main[[#This Row],[تفکیک]]</f>
        <v>0</v>
      </c>
      <c r="P587" s="6">
        <f ca="1">IF(Main[[#This Row],[تاخیر از سررسید]]&gt;0,Main[[#This Row],[بدهی تسویه نشده (کیلوگرم)]],0)</f>
        <v>0</v>
      </c>
      <c r="Q587" s="6">
        <f ca="1">IF(Main[[#This Row],[بدهی تسویه نشده (کیلوگرم)]]&gt;0,'گزارش فردی'!$B$7-Main[[#This Row],[تاريخ میلادی]],0)</f>
        <v>0</v>
      </c>
      <c r="R587" s="6">
        <f ca="1">IF(Main[[#This Row],[بدهی تسویه نشده (کیلوگرم)]]&gt;0,'گزارش فردی'!$B$7-Main[[#This Row],[تاريخ میلادی]]-'گزارش فردی'!$B$8,0)</f>
        <v>0</v>
      </c>
      <c r="S587" s="6">
        <f ca="1">Main[[#This Row],[روز از ارسال سفارش]]*Main[[#This Row],[بدهی تسویه نشده (کیلوگرم)]]</f>
        <v>0</v>
      </c>
      <c r="T587" s="6">
        <f ca="1">Main[[#This Row],[بدهی سررسید شده (کیلوگرم)]]*Main[[#This Row],[روز از ارسال سفارش]]</f>
        <v>0</v>
      </c>
      <c r="U587" s="6">
        <f>-SUBTOTAL(9,INDEX(Main[مقدار (کیلوگرم)],1):Main[[#This Row],[مقدار (کیلوگرم)]])</f>
        <v>26792</v>
      </c>
      <c r="V5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7" s="6">
        <f>Main[[#This Row],[تعداد کل روزهای بدهکار (روز)]]*Main[[#This Row],[مانده در خط کل (کیلوگرم)]]</f>
        <v>26792</v>
      </c>
      <c r="X587" s="6">
        <f ca="1">-SUBTOTAL(9,INDEX(Main[مقدار تسویه شده (کیلوگرم)],1):Main[[#This Row],[مقدار تسویه شده (کیلوگرم)]])</f>
        <v>26792</v>
      </c>
      <c r="Y587" s="6">
        <f ca="1">IF(Main[[#This Row],[مانده در خط تسویه شده (کیلوگرم)]]&lt;&gt;0,Main[[#This Row],[تعداد کل روزهای بدهکار (روز)]],0)</f>
        <v>1</v>
      </c>
      <c r="Z587" s="6">
        <f ca="1">Main[[#This Row],[تعداد روزهای بدهکار تسویه شده (روز)]]*Main[[#This Row],[مانده در خط تسویه شده (کیلوگرم)]]</f>
        <v>26792</v>
      </c>
      <c r="AA587" s="6">
        <f ca="1">SUBTOTAL(9,INDEX(Main[بدهی تسویه نشده (کیلوگرم)],1):Main[[#This Row],[بدهی تسویه نشده (کیلوگرم)]])</f>
        <v>0</v>
      </c>
      <c r="AB587" s="6">
        <f ca="1">IF(Main[[#This Row],[مانده در خط تسویه نشده (کیلوگرم)]]&lt;&gt;0,Main[[#This Row],[تعداد کل روزهای بدهکار (روز)]],0)</f>
        <v>0</v>
      </c>
      <c r="AC587" s="6">
        <f ca="1">Main[[#This Row],[تعداد روزهای بدهکار  تسویه نشده (روز)]]*Main[[#This Row],[مانده در خط تسویه نشده (کیلوگرم)]]</f>
        <v>0</v>
      </c>
      <c r="AD587" s="6">
        <f ca="1">SUBTOTAL(9,INDEX(Main[بدهی سررسید شده (کیلوگرم)],1):Main[[#This Row],[بدهی سررسید شده (کیلوگرم)]])</f>
        <v>0</v>
      </c>
      <c r="AE587" s="6">
        <f ca="1">IF(Main[[#This Row],[مانده در خط سررسید شده (کیلوگرم)]]&lt;&gt;0,Main[[#This Row],[تعداد کل روزهای بدهکار (روز)]],0)</f>
        <v>0</v>
      </c>
      <c r="AF587" s="6">
        <f ca="1">Main[[#This Row],[تعداد روزهای بدهکار سررسید شده (روز)]]*Main[[#This Row],[مانده در خط سررسید شده (کیلوگرم)]]</f>
        <v>0</v>
      </c>
    </row>
    <row r="588" spans="1:32" hidden="1" x14ac:dyDescent="0.35">
      <c r="A588" s="5">
        <f>ROW()-ROW(INDEX(Main[ردیف],1))+1</f>
        <v>586</v>
      </c>
      <c r="B588" s="31">
        <f>SUBTOTAL(2,INDEX(Main[ردیف],1):Main[[#This Row],[ردیف]])</f>
        <v>56</v>
      </c>
      <c r="C588" s="32" t="s">
        <v>568</v>
      </c>
      <c r="D588" s="32" t="str">
        <f>_xlfn.CONCAT("14",Main[[#This Row],[تاريخ]])</f>
        <v>1400/03/04</v>
      </c>
      <c r="E588" s="33">
        <v>44341</v>
      </c>
      <c r="F588" s="32">
        <v>30030</v>
      </c>
      <c r="G588" s="5" t="str">
        <f>INDEX(customer[عنوان],MATCH(Main[[#This Row],[کد ردیابی]],customer[کد],0))</f>
        <v xml:space="preserve">تراش پارس </v>
      </c>
      <c r="H588">
        <v>1637</v>
      </c>
      <c r="I588" s="6">
        <f ca="1">-Main[[#This Row],[بدهی تسویه شده (کیلوگرم)]]+Main[[#This Row],[بستانکار (کیلوگرم)]]</f>
        <v>1637</v>
      </c>
      <c r="J588" s="6">
        <f>IF(Main[[#This Row],[مقدار (کیلوگرم)]]&gt;0,Main[[#This Row],[مقدار (کیلوگرم)]],0)</f>
        <v>1637</v>
      </c>
      <c r="K588" s="6">
        <f>-IF(Main[[#This Row],[مقدار (کیلوگرم)]]&lt;0,Main[[#This Row],[مقدار (کیلوگرم)]],0)</f>
        <v>0</v>
      </c>
      <c r="L5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8" s="7">
        <f>-IF(AND(Main[[#This Row],[مقدار (کیلوگرم)]]&lt;0,Main[[#This Row],[تاريخ میلادی]]&gt;44276),Main[[#This Row],[مقدار (کیلوگرم)]],0)</f>
        <v>0</v>
      </c>
      <c r="N588" s="6">
        <f ca="1">Main[[#This Row],[بدهکار (کیلوگرم)]]-Main[[#This Row],[بدهی تسویه نشده (کیلوگرم)]]</f>
        <v>0</v>
      </c>
      <c r="O588" s="6">
        <f ca="1">Main[[#This Row],[تفکیک]]</f>
        <v>0</v>
      </c>
      <c r="P588" s="6">
        <f ca="1">IF(Main[[#This Row],[تاخیر از سررسید]]&gt;0,Main[[#This Row],[بدهی تسویه نشده (کیلوگرم)]],0)</f>
        <v>0</v>
      </c>
      <c r="Q588" s="6">
        <f ca="1">IF(Main[[#This Row],[بدهی تسویه نشده (کیلوگرم)]]&gt;0,'گزارش فردی'!$B$7-Main[[#This Row],[تاريخ میلادی]],0)</f>
        <v>0</v>
      </c>
      <c r="R588" s="6">
        <f ca="1">IF(Main[[#This Row],[بدهی تسویه نشده (کیلوگرم)]]&gt;0,'گزارش فردی'!$B$7-Main[[#This Row],[تاريخ میلادی]]-'گزارش فردی'!$B$8,0)</f>
        <v>0</v>
      </c>
      <c r="S588" s="6">
        <f ca="1">Main[[#This Row],[روز از ارسال سفارش]]*Main[[#This Row],[بدهی تسویه نشده (کیلوگرم)]]</f>
        <v>0</v>
      </c>
      <c r="T588" s="6">
        <f ca="1">Main[[#This Row],[بدهی سررسید شده (کیلوگرم)]]*Main[[#This Row],[روز از ارسال سفارش]]</f>
        <v>0</v>
      </c>
      <c r="U588" s="6">
        <f>-SUBTOTAL(9,INDEX(Main[مقدار (کیلوگرم)],1):Main[[#This Row],[مقدار (کیلوگرم)]])</f>
        <v>26792</v>
      </c>
      <c r="V5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8" s="6">
        <f>Main[[#This Row],[تعداد کل روزهای بدهکار (روز)]]*Main[[#This Row],[مانده در خط کل (کیلوگرم)]]</f>
        <v>26792</v>
      </c>
      <c r="X588" s="6">
        <f ca="1">-SUBTOTAL(9,INDEX(Main[مقدار تسویه شده (کیلوگرم)],1):Main[[#This Row],[مقدار تسویه شده (کیلوگرم)]])</f>
        <v>26792</v>
      </c>
      <c r="Y588" s="6">
        <f ca="1">IF(Main[[#This Row],[مانده در خط تسویه شده (کیلوگرم)]]&lt;&gt;0,Main[[#This Row],[تعداد کل روزهای بدهکار (روز)]],0)</f>
        <v>1</v>
      </c>
      <c r="Z588" s="6">
        <f ca="1">Main[[#This Row],[تعداد روزهای بدهکار تسویه شده (روز)]]*Main[[#This Row],[مانده در خط تسویه شده (کیلوگرم)]]</f>
        <v>26792</v>
      </c>
      <c r="AA588" s="6">
        <f ca="1">SUBTOTAL(9,INDEX(Main[بدهی تسویه نشده (کیلوگرم)],1):Main[[#This Row],[بدهی تسویه نشده (کیلوگرم)]])</f>
        <v>0</v>
      </c>
      <c r="AB588" s="6">
        <f ca="1">IF(Main[[#This Row],[مانده در خط تسویه نشده (کیلوگرم)]]&lt;&gt;0,Main[[#This Row],[تعداد کل روزهای بدهکار (روز)]],0)</f>
        <v>0</v>
      </c>
      <c r="AC588" s="6">
        <f ca="1">Main[[#This Row],[تعداد روزهای بدهکار  تسویه نشده (روز)]]*Main[[#This Row],[مانده در خط تسویه نشده (کیلوگرم)]]</f>
        <v>0</v>
      </c>
      <c r="AD588" s="6">
        <f ca="1">SUBTOTAL(9,INDEX(Main[بدهی سررسید شده (کیلوگرم)],1):Main[[#This Row],[بدهی سررسید شده (کیلوگرم)]])</f>
        <v>0</v>
      </c>
      <c r="AE588" s="6">
        <f ca="1">IF(Main[[#This Row],[مانده در خط سررسید شده (کیلوگرم)]]&lt;&gt;0,Main[[#This Row],[تعداد کل روزهای بدهکار (روز)]],0)</f>
        <v>0</v>
      </c>
      <c r="AF588" s="6">
        <f ca="1">Main[[#This Row],[تعداد روزهای بدهکار سررسید شده (روز)]]*Main[[#This Row],[مانده در خط سررسید شده (کیلوگرم)]]</f>
        <v>0</v>
      </c>
    </row>
    <row r="589" spans="1:32" hidden="1" x14ac:dyDescent="0.35">
      <c r="A589" s="5">
        <f>ROW()-ROW(INDEX(Main[ردیف],1))+1</f>
        <v>587</v>
      </c>
      <c r="B589" s="31">
        <f>SUBTOTAL(2,INDEX(Main[ردیف],1):Main[[#This Row],[ردیف]])</f>
        <v>56</v>
      </c>
      <c r="C589" s="32" t="s">
        <v>568</v>
      </c>
      <c r="D589" s="32" t="str">
        <f>_xlfn.CONCAT("14",Main[[#This Row],[تاريخ]])</f>
        <v>1400/03/04</v>
      </c>
      <c r="E589" s="33">
        <v>44341</v>
      </c>
      <c r="F589" s="32">
        <v>30186</v>
      </c>
      <c r="G589" s="5" t="str">
        <f>INDEX(customer[عنوان],MATCH(Main[[#This Row],[کد ردیابی]],customer[کد],0))</f>
        <v>سارا گاز</v>
      </c>
      <c r="H589">
        <v>-2928</v>
      </c>
      <c r="I589" s="6">
        <f ca="1">-Main[[#This Row],[بدهی تسویه شده (کیلوگرم)]]+Main[[#This Row],[بستانکار (کیلوگرم)]]</f>
        <v>-2928</v>
      </c>
      <c r="J589" s="6">
        <f>IF(Main[[#This Row],[مقدار (کیلوگرم)]]&gt;0,Main[[#This Row],[مقدار (کیلوگرم)]],0)</f>
        <v>0</v>
      </c>
      <c r="K589" s="6">
        <f>-IF(Main[[#This Row],[مقدار (کیلوگرم)]]&lt;0,Main[[#This Row],[مقدار (کیلوگرم)]],0)</f>
        <v>2928</v>
      </c>
      <c r="L5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9" s="7">
        <f>-IF(AND(Main[[#This Row],[مقدار (کیلوگرم)]]&lt;0,Main[[#This Row],[تاريخ میلادی]]&gt;44276),Main[[#This Row],[مقدار (کیلوگرم)]],0)</f>
        <v>2928</v>
      </c>
      <c r="N589" s="6">
        <f ca="1">Main[[#This Row],[بدهکار (کیلوگرم)]]-Main[[#This Row],[بدهی تسویه نشده (کیلوگرم)]]</f>
        <v>2928</v>
      </c>
      <c r="O589" s="6">
        <f ca="1">Main[[#This Row],[تفکیک]]</f>
        <v>0</v>
      </c>
      <c r="P589" s="6">
        <f ca="1">IF(Main[[#This Row],[تاخیر از سررسید]]&gt;0,Main[[#This Row],[بدهی تسویه نشده (کیلوگرم)]],0)</f>
        <v>0</v>
      </c>
      <c r="Q589" s="6">
        <f ca="1">IF(Main[[#This Row],[بدهی تسویه نشده (کیلوگرم)]]&gt;0,'گزارش فردی'!$B$7-Main[[#This Row],[تاريخ میلادی]],0)</f>
        <v>0</v>
      </c>
      <c r="R589" s="6">
        <f ca="1">IF(Main[[#This Row],[بدهی تسویه نشده (کیلوگرم)]]&gt;0,'گزارش فردی'!$B$7-Main[[#This Row],[تاريخ میلادی]]-'گزارش فردی'!$B$8,0)</f>
        <v>0</v>
      </c>
      <c r="S589" s="6">
        <f ca="1">Main[[#This Row],[روز از ارسال سفارش]]*Main[[#This Row],[بدهی تسویه نشده (کیلوگرم)]]</f>
        <v>0</v>
      </c>
      <c r="T589" s="6">
        <f ca="1">Main[[#This Row],[بدهی سررسید شده (کیلوگرم)]]*Main[[#This Row],[روز از ارسال سفارش]]</f>
        <v>0</v>
      </c>
      <c r="U589" s="6">
        <f>-SUBTOTAL(9,INDEX(Main[مقدار (کیلوگرم)],1):Main[[#This Row],[مقدار (کیلوگرم)]])</f>
        <v>26792</v>
      </c>
      <c r="V5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9" s="6">
        <f>Main[[#This Row],[تعداد کل روزهای بدهکار (روز)]]*Main[[#This Row],[مانده در خط کل (کیلوگرم)]]</f>
        <v>26792</v>
      </c>
      <c r="X589" s="6">
        <f ca="1">-SUBTOTAL(9,INDEX(Main[مقدار تسویه شده (کیلوگرم)],1):Main[[#This Row],[مقدار تسویه شده (کیلوگرم)]])</f>
        <v>26792</v>
      </c>
      <c r="Y589" s="6">
        <f ca="1">IF(Main[[#This Row],[مانده در خط تسویه شده (کیلوگرم)]]&lt;&gt;0,Main[[#This Row],[تعداد کل روزهای بدهکار (روز)]],0)</f>
        <v>1</v>
      </c>
      <c r="Z589" s="6">
        <f ca="1">Main[[#This Row],[تعداد روزهای بدهکار تسویه شده (روز)]]*Main[[#This Row],[مانده در خط تسویه شده (کیلوگرم)]]</f>
        <v>26792</v>
      </c>
      <c r="AA589" s="6">
        <f ca="1">SUBTOTAL(9,INDEX(Main[بدهی تسویه نشده (کیلوگرم)],1):Main[[#This Row],[بدهی تسویه نشده (کیلوگرم)]])</f>
        <v>0</v>
      </c>
      <c r="AB589" s="6">
        <f ca="1">IF(Main[[#This Row],[مانده در خط تسویه نشده (کیلوگرم)]]&lt;&gt;0,Main[[#This Row],[تعداد کل روزهای بدهکار (روز)]],0)</f>
        <v>0</v>
      </c>
      <c r="AC589" s="6">
        <f ca="1">Main[[#This Row],[تعداد روزهای بدهکار  تسویه نشده (روز)]]*Main[[#This Row],[مانده در خط تسویه نشده (کیلوگرم)]]</f>
        <v>0</v>
      </c>
      <c r="AD589" s="6">
        <f ca="1">SUBTOTAL(9,INDEX(Main[بدهی سررسید شده (کیلوگرم)],1):Main[[#This Row],[بدهی سررسید شده (کیلوگرم)]])</f>
        <v>0</v>
      </c>
      <c r="AE589" s="6">
        <f ca="1">IF(Main[[#This Row],[مانده در خط سررسید شده (کیلوگرم)]]&lt;&gt;0,Main[[#This Row],[تعداد کل روزهای بدهکار (روز)]],0)</f>
        <v>0</v>
      </c>
      <c r="AF589" s="6">
        <f ca="1">Main[[#This Row],[تعداد روزهای بدهکار سررسید شده (روز)]]*Main[[#This Row],[مانده در خط سررسید شده (کیلوگرم)]]</f>
        <v>0</v>
      </c>
    </row>
    <row r="590" spans="1:32" hidden="1" x14ac:dyDescent="0.35">
      <c r="A590" s="5">
        <f>ROW()-ROW(INDEX(Main[ردیف],1))+1</f>
        <v>588</v>
      </c>
      <c r="B590" s="31">
        <f>SUBTOTAL(2,INDEX(Main[ردیف],1):Main[[#This Row],[ردیف]])</f>
        <v>56</v>
      </c>
      <c r="C590" s="32" t="s">
        <v>568</v>
      </c>
      <c r="D590" s="32" t="str">
        <f>_xlfn.CONCAT("14",Main[[#This Row],[تاريخ]])</f>
        <v>1400/03/04</v>
      </c>
      <c r="E590" s="33">
        <v>44341</v>
      </c>
      <c r="F590" s="32">
        <v>30066</v>
      </c>
      <c r="G590" s="5" t="str">
        <f>INDEX(customer[عنوان],MATCH(Main[[#This Row],[کد ردیابی]],customer[کد],0))</f>
        <v xml:space="preserve">شیر آلات بهداشتی قهرمان </v>
      </c>
      <c r="H590">
        <v>2899</v>
      </c>
      <c r="I590" s="6">
        <f ca="1">-Main[[#This Row],[بدهی تسویه شده (کیلوگرم)]]+Main[[#This Row],[بستانکار (کیلوگرم)]]</f>
        <v>2899</v>
      </c>
      <c r="J590" s="6">
        <f>IF(Main[[#This Row],[مقدار (کیلوگرم)]]&gt;0,Main[[#This Row],[مقدار (کیلوگرم)]],0)</f>
        <v>2899</v>
      </c>
      <c r="K590" s="6">
        <f>-IF(Main[[#This Row],[مقدار (کیلوگرم)]]&lt;0,Main[[#This Row],[مقدار (کیلوگرم)]],0)</f>
        <v>0</v>
      </c>
      <c r="L5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0" s="7">
        <f>-IF(AND(Main[[#This Row],[مقدار (کیلوگرم)]]&lt;0,Main[[#This Row],[تاريخ میلادی]]&gt;44276),Main[[#This Row],[مقدار (کیلوگرم)]],0)</f>
        <v>0</v>
      </c>
      <c r="N590" s="6">
        <f ca="1">Main[[#This Row],[بدهکار (کیلوگرم)]]-Main[[#This Row],[بدهی تسویه نشده (کیلوگرم)]]</f>
        <v>0</v>
      </c>
      <c r="O590" s="6">
        <f ca="1">Main[[#This Row],[تفکیک]]</f>
        <v>0</v>
      </c>
      <c r="P590" s="6">
        <f ca="1">IF(Main[[#This Row],[تاخیر از سررسید]]&gt;0,Main[[#This Row],[بدهی تسویه نشده (کیلوگرم)]],0)</f>
        <v>0</v>
      </c>
      <c r="Q590" s="6">
        <f ca="1">IF(Main[[#This Row],[بدهی تسویه نشده (کیلوگرم)]]&gt;0,'گزارش فردی'!$B$7-Main[[#This Row],[تاريخ میلادی]],0)</f>
        <v>0</v>
      </c>
      <c r="R590" s="6">
        <f ca="1">IF(Main[[#This Row],[بدهی تسویه نشده (کیلوگرم)]]&gt;0,'گزارش فردی'!$B$7-Main[[#This Row],[تاريخ میلادی]]-'گزارش فردی'!$B$8,0)</f>
        <v>0</v>
      </c>
      <c r="S590" s="6">
        <f ca="1">Main[[#This Row],[روز از ارسال سفارش]]*Main[[#This Row],[بدهی تسویه نشده (کیلوگرم)]]</f>
        <v>0</v>
      </c>
      <c r="T590" s="6">
        <f ca="1">Main[[#This Row],[بدهی سررسید شده (کیلوگرم)]]*Main[[#This Row],[روز از ارسال سفارش]]</f>
        <v>0</v>
      </c>
      <c r="U590" s="6">
        <f>-SUBTOTAL(9,INDEX(Main[مقدار (کیلوگرم)],1):Main[[#This Row],[مقدار (کیلوگرم)]])</f>
        <v>26792</v>
      </c>
      <c r="V5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0" s="6">
        <f>Main[[#This Row],[تعداد کل روزهای بدهکار (روز)]]*Main[[#This Row],[مانده در خط کل (کیلوگرم)]]</f>
        <v>26792</v>
      </c>
      <c r="X590" s="6">
        <f ca="1">-SUBTOTAL(9,INDEX(Main[مقدار تسویه شده (کیلوگرم)],1):Main[[#This Row],[مقدار تسویه شده (کیلوگرم)]])</f>
        <v>26792</v>
      </c>
      <c r="Y590" s="6">
        <f ca="1">IF(Main[[#This Row],[مانده در خط تسویه شده (کیلوگرم)]]&lt;&gt;0,Main[[#This Row],[تعداد کل روزهای بدهکار (روز)]],0)</f>
        <v>1</v>
      </c>
      <c r="Z590" s="6">
        <f ca="1">Main[[#This Row],[تعداد روزهای بدهکار تسویه شده (روز)]]*Main[[#This Row],[مانده در خط تسویه شده (کیلوگرم)]]</f>
        <v>26792</v>
      </c>
      <c r="AA590" s="6">
        <f ca="1">SUBTOTAL(9,INDEX(Main[بدهی تسویه نشده (کیلوگرم)],1):Main[[#This Row],[بدهی تسویه نشده (کیلوگرم)]])</f>
        <v>0</v>
      </c>
      <c r="AB590" s="6">
        <f ca="1">IF(Main[[#This Row],[مانده در خط تسویه نشده (کیلوگرم)]]&lt;&gt;0,Main[[#This Row],[تعداد کل روزهای بدهکار (روز)]],0)</f>
        <v>0</v>
      </c>
      <c r="AC590" s="6">
        <f ca="1">Main[[#This Row],[تعداد روزهای بدهکار  تسویه نشده (روز)]]*Main[[#This Row],[مانده در خط تسویه نشده (کیلوگرم)]]</f>
        <v>0</v>
      </c>
      <c r="AD590" s="6">
        <f ca="1">SUBTOTAL(9,INDEX(Main[بدهی سررسید شده (کیلوگرم)],1):Main[[#This Row],[بدهی سررسید شده (کیلوگرم)]])</f>
        <v>0</v>
      </c>
      <c r="AE590" s="6">
        <f ca="1">IF(Main[[#This Row],[مانده در خط سررسید شده (کیلوگرم)]]&lt;&gt;0,Main[[#This Row],[تعداد کل روزهای بدهکار (روز)]],0)</f>
        <v>0</v>
      </c>
      <c r="AF590" s="6">
        <f ca="1">Main[[#This Row],[تعداد روزهای بدهکار سررسید شده (روز)]]*Main[[#This Row],[مانده در خط سررسید شده (کیلوگرم)]]</f>
        <v>0</v>
      </c>
    </row>
    <row r="591" spans="1:32" hidden="1" x14ac:dyDescent="0.35">
      <c r="A591" s="5">
        <f>ROW()-ROW(INDEX(Main[ردیف],1))+1</f>
        <v>589</v>
      </c>
      <c r="B591" s="31">
        <f>SUBTOTAL(2,INDEX(Main[ردیف],1):Main[[#This Row],[ردیف]])</f>
        <v>56</v>
      </c>
      <c r="C591" s="32" t="s">
        <v>568</v>
      </c>
      <c r="D591" s="32" t="str">
        <f>_xlfn.CONCAT("14",Main[[#This Row],[تاريخ]])</f>
        <v>1400/03/04</v>
      </c>
      <c r="E591" s="33">
        <v>44341</v>
      </c>
      <c r="F591" s="32">
        <v>30124</v>
      </c>
      <c r="G591" s="5" t="str">
        <f>INDEX(customer[عنوان],MATCH(Main[[#This Row],[کد ردیابی]],customer[کد],0))</f>
        <v>شرکت لنگرمرواریدسبز</v>
      </c>
      <c r="H591">
        <v>-1834</v>
      </c>
      <c r="I591" s="6">
        <f ca="1">-Main[[#This Row],[بدهی تسویه شده (کیلوگرم)]]+Main[[#This Row],[بستانکار (کیلوگرم)]]</f>
        <v>-1834</v>
      </c>
      <c r="J591" s="6">
        <f>IF(Main[[#This Row],[مقدار (کیلوگرم)]]&gt;0,Main[[#This Row],[مقدار (کیلوگرم)]],0)</f>
        <v>0</v>
      </c>
      <c r="K591" s="6">
        <f>-IF(Main[[#This Row],[مقدار (کیلوگرم)]]&lt;0,Main[[#This Row],[مقدار (کیلوگرم)]],0)</f>
        <v>1834</v>
      </c>
      <c r="L5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1" s="7">
        <f>-IF(AND(Main[[#This Row],[مقدار (کیلوگرم)]]&lt;0,Main[[#This Row],[تاريخ میلادی]]&gt;44276),Main[[#This Row],[مقدار (کیلوگرم)]],0)</f>
        <v>1834</v>
      </c>
      <c r="N591" s="6">
        <f ca="1">Main[[#This Row],[بدهکار (کیلوگرم)]]-Main[[#This Row],[بدهی تسویه نشده (کیلوگرم)]]</f>
        <v>1834</v>
      </c>
      <c r="O591" s="6">
        <f ca="1">Main[[#This Row],[تفکیک]]</f>
        <v>0</v>
      </c>
      <c r="P591" s="6">
        <f ca="1">IF(Main[[#This Row],[تاخیر از سررسید]]&gt;0,Main[[#This Row],[بدهی تسویه نشده (کیلوگرم)]],0)</f>
        <v>0</v>
      </c>
      <c r="Q591" s="6">
        <f ca="1">IF(Main[[#This Row],[بدهی تسویه نشده (کیلوگرم)]]&gt;0,'گزارش فردی'!$B$7-Main[[#This Row],[تاريخ میلادی]],0)</f>
        <v>0</v>
      </c>
      <c r="R591" s="6">
        <f ca="1">IF(Main[[#This Row],[بدهی تسویه نشده (کیلوگرم)]]&gt;0,'گزارش فردی'!$B$7-Main[[#This Row],[تاريخ میلادی]]-'گزارش فردی'!$B$8,0)</f>
        <v>0</v>
      </c>
      <c r="S591" s="6">
        <f ca="1">Main[[#This Row],[روز از ارسال سفارش]]*Main[[#This Row],[بدهی تسویه نشده (کیلوگرم)]]</f>
        <v>0</v>
      </c>
      <c r="T591" s="6">
        <f ca="1">Main[[#This Row],[بدهی سررسید شده (کیلوگرم)]]*Main[[#This Row],[روز از ارسال سفارش]]</f>
        <v>0</v>
      </c>
      <c r="U591" s="6">
        <f>-SUBTOTAL(9,INDEX(Main[مقدار (کیلوگرم)],1):Main[[#This Row],[مقدار (کیلوگرم)]])</f>
        <v>26792</v>
      </c>
      <c r="V5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1" s="6">
        <f>Main[[#This Row],[تعداد کل روزهای بدهکار (روز)]]*Main[[#This Row],[مانده در خط کل (کیلوگرم)]]</f>
        <v>26792</v>
      </c>
      <c r="X591" s="6">
        <f ca="1">-SUBTOTAL(9,INDEX(Main[مقدار تسویه شده (کیلوگرم)],1):Main[[#This Row],[مقدار تسویه شده (کیلوگرم)]])</f>
        <v>26792</v>
      </c>
      <c r="Y591" s="6">
        <f ca="1">IF(Main[[#This Row],[مانده در خط تسویه شده (کیلوگرم)]]&lt;&gt;0,Main[[#This Row],[تعداد کل روزهای بدهکار (روز)]],0)</f>
        <v>1</v>
      </c>
      <c r="Z591" s="6">
        <f ca="1">Main[[#This Row],[تعداد روزهای بدهکار تسویه شده (روز)]]*Main[[#This Row],[مانده در خط تسویه شده (کیلوگرم)]]</f>
        <v>26792</v>
      </c>
      <c r="AA591" s="6">
        <f ca="1">SUBTOTAL(9,INDEX(Main[بدهی تسویه نشده (کیلوگرم)],1):Main[[#This Row],[بدهی تسویه نشده (کیلوگرم)]])</f>
        <v>0</v>
      </c>
      <c r="AB591" s="6">
        <f ca="1">IF(Main[[#This Row],[مانده در خط تسویه نشده (کیلوگرم)]]&lt;&gt;0,Main[[#This Row],[تعداد کل روزهای بدهکار (روز)]],0)</f>
        <v>0</v>
      </c>
      <c r="AC591" s="6">
        <f ca="1">Main[[#This Row],[تعداد روزهای بدهکار  تسویه نشده (روز)]]*Main[[#This Row],[مانده در خط تسویه نشده (کیلوگرم)]]</f>
        <v>0</v>
      </c>
      <c r="AD591" s="6">
        <f ca="1">SUBTOTAL(9,INDEX(Main[بدهی سررسید شده (کیلوگرم)],1):Main[[#This Row],[بدهی سررسید شده (کیلوگرم)]])</f>
        <v>0</v>
      </c>
      <c r="AE591" s="6">
        <f ca="1">IF(Main[[#This Row],[مانده در خط سررسید شده (کیلوگرم)]]&lt;&gt;0,Main[[#This Row],[تعداد کل روزهای بدهکار (روز)]],0)</f>
        <v>0</v>
      </c>
      <c r="AF591" s="6">
        <f ca="1">Main[[#This Row],[تعداد روزهای بدهکار سررسید شده (روز)]]*Main[[#This Row],[مانده در خط سررسید شده (کیلوگرم)]]</f>
        <v>0</v>
      </c>
    </row>
    <row r="592" spans="1:32" hidden="1" x14ac:dyDescent="0.35">
      <c r="A592" s="5">
        <f>ROW()-ROW(INDEX(Main[ردیف],1))+1</f>
        <v>590</v>
      </c>
      <c r="B592" s="31">
        <f>SUBTOTAL(2,INDEX(Main[ردیف],1):Main[[#This Row],[ردیف]])</f>
        <v>56</v>
      </c>
      <c r="C592" s="32" t="s">
        <v>568</v>
      </c>
      <c r="D592" s="32" t="str">
        <f>_xlfn.CONCAT("14",Main[[#This Row],[تاريخ]])</f>
        <v>1400/03/04</v>
      </c>
      <c r="E592" s="33">
        <v>44341</v>
      </c>
      <c r="F592" s="32">
        <v>30124</v>
      </c>
      <c r="G592" s="5" t="str">
        <f>INDEX(customer[عنوان],MATCH(Main[[#This Row],[کد ردیابی]],customer[کد],0))</f>
        <v>شرکت لنگرمرواریدسبز</v>
      </c>
      <c r="H592">
        <v>202</v>
      </c>
      <c r="I592" s="6">
        <f ca="1">-Main[[#This Row],[بدهی تسویه شده (کیلوگرم)]]+Main[[#This Row],[بستانکار (کیلوگرم)]]</f>
        <v>202</v>
      </c>
      <c r="J592" s="6">
        <f>IF(Main[[#This Row],[مقدار (کیلوگرم)]]&gt;0,Main[[#This Row],[مقدار (کیلوگرم)]],0)</f>
        <v>202</v>
      </c>
      <c r="K592" s="6">
        <f>-IF(Main[[#This Row],[مقدار (کیلوگرم)]]&lt;0,Main[[#This Row],[مقدار (کیلوگرم)]],0)</f>
        <v>0</v>
      </c>
      <c r="L5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2" s="7">
        <f>-IF(AND(Main[[#This Row],[مقدار (کیلوگرم)]]&lt;0,Main[[#This Row],[تاريخ میلادی]]&gt;44276),Main[[#This Row],[مقدار (کیلوگرم)]],0)</f>
        <v>0</v>
      </c>
      <c r="N592" s="6">
        <f ca="1">Main[[#This Row],[بدهکار (کیلوگرم)]]-Main[[#This Row],[بدهی تسویه نشده (کیلوگرم)]]</f>
        <v>0</v>
      </c>
      <c r="O592" s="6">
        <f ca="1">Main[[#This Row],[تفکیک]]</f>
        <v>0</v>
      </c>
      <c r="P592" s="6">
        <f ca="1">IF(Main[[#This Row],[تاخیر از سررسید]]&gt;0,Main[[#This Row],[بدهی تسویه نشده (کیلوگرم)]],0)</f>
        <v>0</v>
      </c>
      <c r="Q592" s="6">
        <f ca="1">IF(Main[[#This Row],[بدهی تسویه نشده (کیلوگرم)]]&gt;0,'گزارش فردی'!$B$7-Main[[#This Row],[تاريخ میلادی]],0)</f>
        <v>0</v>
      </c>
      <c r="R592" s="6">
        <f ca="1">IF(Main[[#This Row],[بدهی تسویه نشده (کیلوگرم)]]&gt;0,'گزارش فردی'!$B$7-Main[[#This Row],[تاريخ میلادی]]-'گزارش فردی'!$B$8,0)</f>
        <v>0</v>
      </c>
      <c r="S592" s="6">
        <f ca="1">Main[[#This Row],[روز از ارسال سفارش]]*Main[[#This Row],[بدهی تسویه نشده (کیلوگرم)]]</f>
        <v>0</v>
      </c>
      <c r="T592" s="6">
        <f ca="1">Main[[#This Row],[بدهی سررسید شده (کیلوگرم)]]*Main[[#This Row],[روز از ارسال سفارش]]</f>
        <v>0</v>
      </c>
      <c r="U592" s="6">
        <f>-SUBTOTAL(9,INDEX(Main[مقدار (کیلوگرم)],1):Main[[#This Row],[مقدار (کیلوگرم)]])</f>
        <v>26792</v>
      </c>
      <c r="V5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2" s="6">
        <f>Main[[#This Row],[تعداد کل روزهای بدهکار (روز)]]*Main[[#This Row],[مانده در خط کل (کیلوگرم)]]</f>
        <v>26792</v>
      </c>
      <c r="X592" s="6">
        <f ca="1">-SUBTOTAL(9,INDEX(Main[مقدار تسویه شده (کیلوگرم)],1):Main[[#This Row],[مقدار تسویه شده (کیلوگرم)]])</f>
        <v>26792</v>
      </c>
      <c r="Y592" s="6">
        <f ca="1">IF(Main[[#This Row],[مانده در خط تسویه شده (کیلوگرم)]]&lt;&gt;0,Main[[#This Row],[تعداد کل روزهای بدهکار (روز)]],0)</f>
        <v>1</v>
      </c>
      <c r="Z592" s="6">
        <f ca="1">Main[[#This Row],[تعداد روزهای بدهکار تسویه شده (روز)]]*Main[[#This Row],[مانده در خط تسویه شده (کیلوگرم)]]</f>
        <v>26792</v>
      </c>
      <c r="AA592" s="6">
        <f ca="1">SUBTOTAL(9,INDEX(Main[بدهی تسویه نشده (کیلوگرم)],1):Main[[#This Row],[بدهی تسویه نشده (کیلوگرم)]])</f>
        <v>0</v>
      </c>
      <c r="AB592" s="6">
        <f ca="1">IF(Main[[#This Row],[مانده در خط تسویه نشده (کیلوگرم)]]&lt;&gt;0,Main[[#This Row],[تعداد کل روزهای بدهکار (روز)]],0)</f>
        <v>0</v>
      </c>
      <c r="AC592" s="6">
        <f ca="1">Main[[#This Row],[تعداد روزهای بدهکار  تسویه نشده (روز)]]*Main[[#This Row],[مانده در خط تسویه نشده (کیلوگرم)]]</f>
        <v>0</v>
      </c>
      <c r="AD592" s="6">
        <f ca="1">SUBTOTAL(9,INDEX(Main[بدهی سررسید شده (کیلوگرم)],1):Main[[#This Row],[بدهی سررسید شده (کیلوگرم)]])</f>
        <v>0</v>
      </c>
      <c r="AE592" s="6">
        <f ca="1">IF(Main[[#This Row],[مانده در خط سررسید شده (کیلوگرم)]]&lt;&gt;0,Main[[#This Row],[تعداد کل روزهای بدهکار (روز)]],0)</f>
        <v>0</v>
      </c>
      <c r="AF592" s="6">
        <f ca="1">Main[[#This Row],[تعداد روزهای بدهکار سررسید شده (روز)]]*Main[[#This Row],[مانده در خط سررسید شده (کیلوگرم)]]</f>
        <v>0</v>
      </c>
    </row>
    <row r="593" spans="1:32" hidden="1" x14ac:dyDescent="0.35">
      <c r="A593" s="5">
        <f>ROW()-ROW(INDEX(Main[ردیف],1))+1</f>
        <v>591</v>
      </c>
      <c r="B593" s="31">
        <f>SUBTOTAL(2,INDEX(Main[ردیف],1):Main[[#This Row],[ردیف]])</f>
        <v>56</v>
      </c>
      <c r="C593" s="32" t="s">
        <v>568</v>
      </c>
      <c r="D593" s="32" t="str">
        <f>_xlfn.CONCAT("14",Main[[#This Row],[تاريخ]])</f>
        <v>1400/03/04</v>
      </c>
      <c r="E593" s="33">
        <v>44341</v>
      </c>
      <c r="F593" s="32">
        <v>10104</v>
      </c>
      <c r="G593" s="5" t="str">
        <f>INDEX(customer[عنوان],MATCH(Main[[#This Row],[کد ردیابی]],customer[کد],0))</f>
        <v>بهزادی فر اصغر</v>
      </c>
      <c r="H593">
        <v>-6</v>
      </c>
      <c r="I593" s="6">
        <f ca="1">-Main[[#This Row],[بدهی تسویه شده (کیلوگرم)]]+Main[[#This Row],[بستانکار (کیلوگرم)]]</f>
        <v>-6</v>
      </c>
      <c r="J593" s="6">
        <f>IF(Main[[#This Row],[مقدار (کیلوگرم)]]&gt;0,Main[[#This Row],[مقدار (کیلوگرم)]],0)</f>
        <v>0</v>
      </c>
      <c r="K593" s="6">
        <f>-IF(Main[[#This Row],[مقدار (کیلوگرم)]]&lt;0,Main[[#This Row],[مقدار (کیلوگرم)]],0)</f>
        <v>6</v>
      </c>
      <c r="L5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3" s="7">
        <f>-IF(AND(Main[[#This Row],[مقدار (کیلوگرم)]]&lt;0,Main[[#This Row],[تاريخ میلادی]]&gt;44276),Main[[#This Row],[مقدار (کیلوگرم)]],0)</f>
        <v>6</v>
      </c>
      <c r="N593" s="6">
        <f ca="1">Main[[#This Row],[بدهکار (کیلوگرم)]]-Main[[#This Row],[بدهی تسویه نشده (کیلوگرم)]]</f>
        <v>6</v>
      </c>
      <c r="O593" s="6">
        <f ca="1">Main[[#This Row],[تفکیک]]</f>
        <v>0</v>
      </c>
      <c r="P593" s="6">
        <f ca="1">IF(Main[[#This Row],[تاخیر از سررسید]]&gt;0,Main[[#This Row],[بدهی تسویه نشده (کیلوگرم)]],0)</f>
        <v>0</v>
      </c>
      <c r="Q593" s="6">
        <f ca="1">IF(Main[[#This Row],[بدهی تسویه نشده (کیلوگرم)]]&gt;0,'گزارش فردی'!$B$7-Main[[#This Row],[تاريخ میلادی]],0)</f>
        <v>0</v>
      </c>
      <c r="R593" s="6">
        <f ca="1">IF(Main[[#This Row],[بدهی تسویه نشده (کیلوگرم)]]&gt;0,'گزارش فردی'!$B$7-Main[[#This Row],[تاريخ میلادی]]-'گزارش فردی'!$B$8,0)</f>
        <v>0</v>
      </c>
      <c r="S593" s="6">
        <f ca="1">Main[[#This Row],[روز از ارسال سفارش]]*Main[[#This Row],[بدهی تسویه نشده (کیلوگرم)]]</f>
        <v>0</v>
      </c>
      <c r="T593" s="6">
        <f ca="1">Main[[#This Row],[بدهی سررسید شده (کیلوگرم)]]*Main[[#This Row],[روز از ارسال سفارش]]</f>
        <v>0</v>
      </c>
      <c r="U593" s="6">
        <f>-SUBTOTAL(9,INDEX(Main[مقدار (کیلوگرم)],1):Main[[#This Row],[مقدار (کیلوگرم)]])</f>
        <v>26792</v>
      </c>
      <c r="V5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3" s="6">
        <f>Main[[#This Row],[تعداد کل روزهای بدهکار (روز)]]*Main[[#This Row],[مانده در خط کل (کیلوگرم)]]</f>
        <v>26792</v>
      </c>
      <c r="X593" s="6">
        <f ca="1">-SUBTOTAL(9,INDEX(Main[مقدار تسویه شده (کیلوگرم)],1):Main[[#This Row],[مقدار تسویه شده (کیلوگرم)]])</f>
        <v>26792</v>
      </c>
      <c r="Y593" s="6">
        <f ca="1">IF(Main[[#This Row],[مانده در خط تسویه شده (کیلوگرم)]]&lt;&gt;0,Main[[#This Row],[تعداد کل روزهای بدهکار (روز)]],0)</f>
        <v>1</v>
      </c>
      <c r="Z593" s="6">
        <f ca="1">Main[[#This Row],[تعداد روزهای بدهکار تسویه شده (روز)]]*Main[[#This Row],[مانده در خط تسویه شده (کیلوگرم)]]</f>
        <v>26792</v>
      </c>
      <c r="AA593" s="6">
        <f ca="1">SUBTOTAL(9,INDEX(Main[بدهی تسویه نشده (کیلوگرم)],1):Main[[#This Row],[بدهی تسویه نشده (کیلوگرم)]])</f>
        <v>0</v>
      </c>
      <c r="AB593" s="6">
        <f ca="1">IF(Main[[#This Row],[مانده در خط تسویه نشده (کیلوگرم)]]&lt;&gt;0,Main[[#This Row],[تعداد کل روزهای بدهکار (روز)]],0)</f>
        <v>0</v>
      </c>
      <c r="AC593" s="6">
        <f ca="1">Main[[#This Row],[تعداد روزهای بدهکار  تسویه نشده (روز)]]*Main[[#This Row],[مانده در خط تسویه نشده (کیلوگرم)]]</f>
        <v>0</v>
      </c>
      <c r="AD593" s="6">
        <f ca="1">SUBTOTAL(9,INDEX(Main[بدهی سررسید شده (کیلوگرم)],1):Main[[#This Row],[بدهی سررسید شده (کیلوگرم)]])</f>
        <v>0</v>
      </c>
      <c r="AE593" s="6">
        <f ca="1">IF(Main[[#This Row],[مانده در خط سررسید شده (کیلوگرم)]]&lt;&gt;0,Main[[#This Row],[تعداد کل روزهای بدهکار (روز)]],0)</f>
        <v>0</v>
      </c>
      <c r="AF593" s="6">
        <f ca="1">Main[[#This Row],[تعداد روزهای بدهکار سررسید شده (روز)]]*Main[[#This Row],[مانده در خط سررسید شده (کیلوگرم)]]</f>
        <v>0</v>
      </c>
    </row>
    <row r="594" spans="1:32" hidden="1" x14ac:dyDescent="0.35">
      <c r="A594" s="5">
        <f>ROW()-ROW(INDEX(Main[ردیف],1))+1</f>
        <v>592</v>
      </c>
      <c r="B594" s="31">
        <f>SUBTOTAL(2,INDEX(Main[ردیف],1):Main[[#This Row],[ردیف]])</f>
        <v>56</v>
      </c>
      <c r="C594" s="32" t="s">
        <v>568</v>
      </c>
      <c r="D594" s="32" t="str">
        <f>_xlfn.CONCAT("14",Main[[#This Row],[تاريخ]])</f>
        <v>1400/03/04</v>
      </c>
      <c r="E594" s="33">
        <v>44341</v>
      </c>
      <c r="F594" s="32">
        <v>30124</v>
      </c>
      <c r="G594" s="5" t="str">
        <f>INDEX(customer[عنوان],MATCH(Main[[#This Row],[کد ردیابی]],customer[کد],0))</f>
        <v>شرکت لنگرمرواریدسبز</v>
      </c>
      <c r="H594">
        <v>786</v>
      </c>
      <c r="I594" s="6">
        <f ca="1">-Main[[#This Row],[بدهی تسویه شده (کیلوگرم)]]+Main[[#This Row],[بستانکار (کیلوگرم)]]</f>
        <v>786</v>
      </c>
      <c r="J594" s="6">
        <f>IF(Main[[#This Row],[مقدار (کیلوگرم)]]&gt;0,Main[[#This Row],[مقدار (کیلوگرم)]],0)</f>
        <v>786</v>
      </c>
      <c r="K594" s="6">
        <f>-IF(Main[[#This Row],[مقدار (کیلوگرم)]]&lt;0,Main[[#This Row],[مقدار (کیلوگرم)]],0)</f>
        <v>0</v>
      </c>
      <c r="L5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4" s="7">
        <f>-IF(AND(Main[[#This Row],[مقدار (کیلوگرم)]]&lt;0,Main[[#This Row],[تاريخ میلادی]]&gt;44276),Main[[#This Row],[مقدار (کیلوگرم)]],0)</f>
        <v>0</v>
      </c>
      <c r="N594" s="6">
        <f ca="1">Main[[#This Row],[بدهکار (کیلوگرم)]]-Main[[#This Row],[بدهی تسویه نشده (کیلوگرم)]]</f>
        <v>0</v>
      </c>
      <c r="O594" s="6">
        <f ca="1">Main[[#This Row],[تفکیک]]</f>
        <v>0</v>
      </c>
      <c r="P594" s="6">
        <f ca="1">IF(Main[[#This Row],[تاخیر از سررسید]]&gt;0,Main[[#This Row],[بدهی تسویه نشده (کیلوگرم)]],0)</f>
        <v>0</v>
      </c>
      <c r="Q594" s="6">
        <f ca="1">IF(Main[[#This Row],[بدهی تسویه نشده (کیلوگرم)]]&gt;0,'گزارش فردی'!$B$7-Main[[#This Row],[تاريخ میلادی]],0)</f>
        <v>0</v>
      </c>
      <c r="R594" s="6">
        <f ca="1">IF(Main[[#This Row],[بدهی تسویه نشده (کیلوگرم)]]&gt;0,'گزارش فردی'!$B$7-Main[[#This Row],[تاريخ میلادی]]-'گزارش فردی'!$B$8,0)</f>
        <v>0</v>
      </c>
      <c r="S594" s="6">
        <f ca="1">Main[[#This Row],[روز از ارسال سفارش]]*Main[[#This Row],[بدهی تسویه نشده (کیلوگرم)]]</f>
        <v>0</v>
      </c>
      <c r="T594" s="6">
        <f ca="1">Main[[#This Row],[بدهی سررسید شده (کیلوگرم)]]*Main[[#This Row],[روز از ارسال سفارش]]</f>
        <v>0</v>
      </c>
      <c r="U594" s="6">
        <f>-SUBTOTAL(9,INDEX(Main[مقدار (کیلوگرم)],1):Main[[#This Row],[مقدار (کیلوگرم)]])</f>
        <v>26792</v>
      </c>
      <c r="V5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4" s="6">
        <f>Main[[#This Row],[تعداد کل روزهای بدهکار (روز)]]*Main[[#This Row],[مانده در خط کل (کیلوگرم)]]</f>
        <v>26792</v>
      </c>
      <c r="X594" s="6">
        <f ca="1">-SUBTOTAL(9,INDEX(Main[مقدار تسویه شده (کیلوگرم)],1):Main[[#This Row],[مقدار تسویه شده (کیلوگرم)]])</f>
        <v>26792</v>
      </c>
      <c r="Y594" s="6">
        <f ca="1">IF(Main[[#This Row],[مانده در خط تسویه شده (کیلوگرم)]]&lt;&gt;0,Main[[#This Row],[تعداد کل روزهای بدهکار (روز)]],0)</f>
        <v>1</v>
      </c>
      <c r="Z594" s="6">
        <f ca="1">Main[[#This Row],[تعداد روزهای بدهکار تسویه شده (روز)]]*Main[[#This Row],[مانده در خط تسویه شده (کیلوگرم)]]</f>
        <v>26792</v>
      </c>
      <c r="AA594" s="6">
        <f ca="1">SUBTOTAL(9,INDEX(Main[بدهی تسویه نشده (کیلوگرم)],1):Main[[#This Row],[بدهی تسویه نشده (کیلوگرم)]])</f>
        <v>0</v>
      </c>
      <c r="AB594" s="6">
        <f ca="1">IF(Main[[#This Row],[مانده در خط تسویه نشده (کیلوگرم)]]&lt;&gt;0,Main[[#This Row],[تعداد کل روزهای بدهکار (روز)]],0)</f>
        <v>0</v>
      </c>
      <c r="AC594" s="6">
        <f ca="1">Main[[#This Row],[تعداد روزهای بدهکار  تسویه نشده (روز)]]*Main[[#This Row],[مانده در خط تسویه نشده (کیلوگرم)]]</f>
        <v>0</v>
      </c>
      <c r="AD594" s="6">
        <f ca="1">SUBTOTAL(9,INDEX(Main[بدهی سررسید شده (کیلوگرم)],1):Main[[#This Row],[بدهی سررسید شده (کیلوگرم)]])</f>
        <v>0</v>
      </c>
      <c r="AE594" s="6">
        <f ca="1">IF(Main[[#This Row],[مانده در خط سررسید شده (کیلوگرم)]]&lt;&gt;0,Main[[#This Row],[تعداد کل روزهای بدهکار (روز)]],0)</f>
        <v>0</v>
      </c>
      <c r="AF594" s="6">
        <f ca="1">Main[[#This Row],[تعداد روزهای بدهکار سررسید شده (روز)]]*Main[[#This Row],[مانده در خط سررسید شده (کیلوگرم)]]</f>
        <v>0</v>
      </c>
    </row>
    <row r="595" spans="1:32" hidden="1" x14ac:dyDescent="0.35">
      <c r="A595" s="5">
        <f>ROW()-ROW(INDEX(Main[ردیف],1))+1</f>
        <v>593</v>
      </c>
      <c r="B595" s="31">
        <f>SUBTOTAL(2,INDEX(Main[ردیف],1):Main[[#This Row],[ردیف]])</f>
        <v>56</v>
      </c>
      <c r="C595" s="32" t="s">
        <v>568</v>
      </c>
      <c r="D595" s="32" t="str">
        <f>_xlfn.CONCAT("14",Main[[#This Row],[تاريخ]])</f>
        <v>1400/03/04</v>
      </c>
      <c r="E595" s="33">
        <v>44341</v>
      </c>
      <c r="F595" s="32">
        <v>10069</v>
      </c>
      <c r="G595" s="5" t="str">
        <f>INDEX(customer[عنوان],MATCH(Main[[#This Row],[کد ردیابی]],customer[کد],0))</f>
        <v xml:space="preserve">جواد عرب </v>
      </c>
      <c r="H595">
        <v>-1291</v>
      </c>
      <c r="I595" s="6">
        <f ca="1">-Main[[#This Row],[بدهی تسویه شده (کیلوگرم)]]+Main[[#This Row],[بستانکار (کیلوگرم)]]</f>
        <v>-1291</v>
      </c>
      <c r="J595" s="6">
        <f>IF(Main[[#This Row],[مقدار (کیلوگرم)]]&gt;0,Main[[#This Row],[مقدار (کیلوگرم)]],0)</f>
        <v>0</v>
      </c>
      <c r="K595" s="6">
        <f>-IF(Main[[#This Row],[مقدار (کیلوگرم)]]&lt;0,Main[[#This Row],[مقدار (کیلوگرم)]],0)</f>
        <v>1291</v>
      </c>
      <c r="L5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5" s="7">
        <f>-IF(AND(Main[[#This Row],[مقدار (کیلوگرم)]]&lt;0,Main[[#This Row],[تاريخ میلادی]]&gt;44276),Main[[#This Row],[مقدار (کیلوگرم)]],0)</f>
        <v>1291</v>
      </c>
      <c r="N595" s="6">
        <f ca="1">Main[[#This Row],[بدهکار (کیلوگرم)]]-Main[[#This Row],[بدهی تسویه نشده (کیلوگرم)]]</f>
        <v>1291</v>
      </c>
      <c r="O595" s="6">
        <f ca="1">Main[[#This Row],[تفکیک]]</f>
        <v>0</v>
      </c>
      <c r="P595" s="6">
        <f ca="1">IF(Main[[#This Row],[تاخیر از سررسید]]&gt;0,Main[[#This Row],[بدهی تسویه نشده (کیلوگرم)]],0)</f>
        <v>0</v>
      </c>
      <c r="Q595" s="6">
        <f ca="1">IF(Main[[#This Row],[بدهی تسویه نشده (کیلوگرم)]]&gt;0,'گزارش فردی'!$B$7-Main[[#This Row],[تاريخ میلادی]],0)</f>
        <v>0</v>
      </c>
      <c r="R595" s="6">
        <f ca="1">IF(Main[[#This Row],[بدهی تسویه نشده (کیلوگرم)]]&gt;0,'گزارش فردی'!$B$7-Main[[#This Row],[تاريخ میلادی]]-'گزارش فردی'!$B$8,0)</f>
        <v>0</v>
      </c>
      <c r="S595" s="6">
        <f ca="1">Main[[#This Row],[روز از ارسال سفارش]]*Main[[#This Row],[بدهی تسویه نشده (کیلوگرم)]]</f>
        <v>0</v>
      </c>
      <c r="T595" s="6">
        <f ca="1">Main[[#This Row],[بدهی سررسید شده (کیلوگرم)]]*Main[[#This Row],[روز از ارسال سفارش]]</f>
        <v>0</v>
      </c>
      <c r="U595" s="6">
        <f>-SUBTOTAL(9,INDEX(Main[مقدار (کیلوگرم)],1):Main[[#This Row],[مقدار (کیلوگرم)]])</f>
        <v>26792</v>
      </c>
      <c r="V5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5" s="6">
        <f>Main[[#This Row],[تعداد کل روزهای بدهکار (روز)]]*Main[[#This Row],[مانده در خط کل (کیلوگرم)]]</f>
        <v>26792</v>
      </c>
      <c r="X595" s="6">
        <f ca="1">-SUBTOTAL(9,INDEX(Main[مقدار تسویه شده (کیلوگرم)],1):Main[[#This Row],[مقدار تسویه شده (کیلوگرم)]])</f>
        <v>26792</v>
      </c>
      <c r="Y595" s="6">
        <f ca="1">IF(Main[[#This Row],[مانده در خط تسویه شده (کیلوگرم)]]&lt;&gt;0,Main[[#This Row],[تعداد کل روزهای بدهکار (روز)]],0)</f>
        <v>1</v>
      </c>
      <c r="Z595" s="6">
        <f ca="1">Main[[#This Row],[تعداد روزهای بدهکار تسویه شده (روز)]]*Main[[#This Row],[مانده در خط تسویه شده (کیلوگرم)]]</f>
        <v>26792</v>
      </c>
      <c r="AA595" s="6">
        <f ca="1">SUBTOTAL(9,INDEX(Main[بدهی تسویه نشده (کیلوگرم)],1):Main[[#This Row],[بدهی تسویه نشده (کیلوگرم)]])</f>
        <v>0</v>
      </c>
      <c r="AB595" s="6">
        <f ca="1">IF(Main[[#This Row],[مانده در خط تسویه نشده (کیلوگرم)]]&lt;&gt;0,Main[[#This Row],[تعداد کل روزهای بدهکار (روز)]],0)</f>
        <v>0</v>
      </c>
      <c r="AC595" s="6">
        <f ca="1">Main[[#This Row],[تعداد روزهای بدهکار  تسویه نشده (روز)]]*Main[[#This Row],[مانده در خط تسویه نشده (کیلوگرم)]]</f>
        <v>0</v>
      </c>
      <c r="AD595" s="6">
        <f ca="1">SUBTOTAL(9,INDEX(Main[بدهی سررسید شده (کیلوگرم)],1):Main[[#This Row],[بدهی سررسید شده (کیلوگرم)]])</f>
        <v>0</v>
      </c>
      <c r="AE595" s="6">
        <f ca="1">IF(Main[[#This Row],[مانده در خط سررسید شده (کیلوگرم)]]&lt;&gt;0,Main[[#This Row],[تعداد کل روزهای بدهکار (روز)]],0)</f>
        <v>0</v>
      </c>
      <c r="AF595" s="6">
        <f ca="1">Main[[#This Row],[تعداد روزهای بدهکار سررسید شده (روز)]]*Main[[#This Row],[مانده در خط سررسید شده (کیلوگرم)]]</f>
        <v>0</v>
      </c>
    </row>
    <row r="596" spans="1:32" hidden="1" x14ac:dyDescent="0.35">
      <c r="A596" s="5">
        <f>ROW()-ROW(INDEX(Main[ردیف],1))+1</f>
        <v>594</v>
      </c>
      <c r="B596" s="31">
        <f>SUBTOTAL(2,INDEX(Main[ردیف],1):Main[[#This Row],[ردیف]])</f>
        <v>56</v>
      </c>
      <c r="C596" s="32" t="s">
        <v>568</v>
      </c>
      <c r="D596" s="32" t="str">
        <f>_xlfn.CONCAT("14",Main[[#This Row],[تاريخ]])</f>
        <v>1400/03/04</v>
      </c>
      <c r="E596" s="33">
        <v>44341</v>
      </c>
      <c r="F596" s="32">
        <v>30186</v>
      </c>
      <c r="G596" s="5" t="str">
        <f>INDEX(customer[عنوان],MATCH(Main[[#This Row],[کد ردیابی]],customer[کد],0))</f>
        <v>سارا گاز</v>
      </c>
      <c r="H596">
        <v>1754</v>
      </c>
      <c r="I596" s="6">
        <f ca="1">-Main[[#This Row],[بدهی تسویه شده (کیلوگرم)]]+Main[[#This Row],[بستانکار (کیلوگرم)]]</f>
        <v>1754</v>
      </c>
      <c r="J596" s="6">
        <f>IF(Main[[#This Row],[مقدار (کیلوگرم)]]&gt;0,Main[[#This Row],[مقدار (کیلوگرم)]],0)</f>
        <v>1754</v>
      </c>
      <c r="K596" s="6">
        <f>-IF(Main[[#This Row],[مقدار (کیلوگرم)]]&lt;0,Main[[#This Row],[مقدار (کیلوگرم)]],0)</f>
        <v>0</v>
      </c>
      <c r="L5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6" s="7">
        <f>-IF(AND(Main[[#This Row],[مقدار (کیلوگرم)]]&lt;0,Main[[#This Row],[تاريخ میلادی]]&gt;44276),Main[[#This Row],[مقدار (کیلوگرم)]],0)</f>
        <v>0</v>
      </c>
      <c r="N596" s="6">
        <f ca="1">Main[[#This Row],[بدهکار (کیلوگرم)]]-Main[[#This Row],[بدهی تسویه نشده (کیلوگرم)]]</f>
        <v>0</v>
      </c>
      <c r="O596" s="6">
        <f ca="1">Main[[#This Row],[تفکیک]]</f>
        <v>0</v>
      </c>
      <c r="P596" s="6">
        <f ca="1">IF(Main[[#This Row],[تاخیر از سررسید]]&gt;0,Main[[#This Row],[بدهی تسویه نشده (کیلوگرم)]],0)</f>
        <v>0</v>
      </c>
      <c r="Q596" s="6">
        <f ca="1">IF(Main[[#This Row],[بدهی تسویه نشده (کیلوگرم)]]&gt;0,'گزارش فردی'!$B$7-Main[[#This Row],[تاريخ میلادی]],0)</f>
        <v>0</v>
      </c>
      <c r="R596" s="6">
        <f ca="1">IF(Main[[#This Row],[بدهی تسویه نشده (کیلوگرم)]]&gt;0,'گزارش فردی'!$B$7-Main[[#This Row],[تاريخ میلادی]]-'گزارش فردی'!$B$8,0)</f>
        <v>0</v>
      </c>
      <c r="S596" s="6">
        <f ca="1">Main[[#This Row],[روز از ارسال سفارش]]*Main[[#This Row],[بدهی تسویه نشده (کیلوگرم)]]</f>
        <v>0</v>
      </c>
      <c r="T596" s="6">
        <f ca="1">Main[[#This Row],[بدهی سررسید شده (کیلوگرم)]]*Main[[#This Row],[روز از ارسال سفارش]]</f>
        <v>0</v>
      </c>
      <c r="U596" s="6">
        <f>-SUBTOTAL(9,INDEX(Main[مقدار (کیلوگرم)],1):Main[[#This Row],[مقدار (کیلوگرم)]])</f>
        <v>26792</v>
      </c>
      <c r="V5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6" s="6">
        <f>Main[[#This Row],[تعداد کل روزهای بدهکار (روز)]]*Main[[#This Row],[مانده در خط کل (کیلوگرم)]]</f>
        <v>26792</v>
      </c>
      <c r="X596" s="6">
        <f ca="1">-SUBTOTAL(9,INDEX(Main[مقدار تسویه شده (کیلوگرم)],1):Main[[#This Row],[مقدار تسویه شده (کیلوگرم)]])</f>
        <v>26792</v>
      </c>
      <c r="Y596" s="6">
        <f ca="1">IF(Main[[#This Row],[مانده در خط تسویه شده (کیلوگرم)]]&lt;&gt;0,Main[[#This Row],[تعداد کل روزهای بدهکار (روز)]],0)</f>
        <v>1</v>
      </c>
      <c r="Z596" s="6">
        <f ca="1">Main[[#This Row],[تعداد روزهای بدهکار تسویه شده (روز)]]*Main[[#This Row],[مانده در خط تسویه شده (کیلوگرم)]]</f>
        <v>26792</v>
      </c>
      <c r="AA596" s="6">
        <f ca="1">SUBTOTAL(9,INDEX(Main[بدهی تسویه نشده (کیلوگرم)],1):Main[[#This Row],[بدهی تسویه نشده (کیلوگرم)]])</f>
        <v>0</v>
      </c>
      <c r="AB596" s="6">
        <f ca="1">IF(Main[[#This Row],[مانده در خط تسویه نشده (کیلوگرم)]]&lt;&gt;0,Main[[#This Row],[تعداد کل روزهای بدهکار (روز)]],0)</f>
        <v>0</v>
      </c>
      <c r="AC596" s="6">
        <f ca="1">Main[[#This Row],[تعداد روزهای بدهکار  تسویه نشده (روز)]]*Main[[#This Row],[مانده در خط تسویه نشده (کیلوگرم)]]</f>
        <v>0</v>
      </c>
      <c r="AD596" s="6">
        <f ca="1">SUBTOTAL(9,INDEX(Main[بدهی سررسید شده (کیلوگرم)],1):Main[[#This Row],[بدهی سررسید شده (کیلوگرم)]])</f>
        <v>0</v>
      </c>
      <c r="AE596" s="6">
        <f ca="1">IF(Main[[#This Row],[مانده در خط سررسید شده (کیلوگرم)]]&lt;&gt;0,Main[[#This Row],[تعداد کل روزهای بدهکار (روز)]],0)</f>
        <v>0</v>
      </c>
      <c r="AF596" s="6">
        <f ca="1">Main[[#This Row],[تعداد روزهای بدهکار سررسید شده (روز)]]*Main[[#This Row],[مانده در خط سررسید شده (کیلوگرم)]]</f>
        <v>0</v>
      </c>
    </row>
    <row r="597" spans="1:32" hidden="1" x14ac:dyDescent="0.35">
      <c r="A597" s="5">
        <f>ROW()-ROW(INDEX(Main[ردیف],1))+1</f>
        <v>595</v>
      </c>
      <c r="B597" s="31">
        <f>SUBTOTAL(2,INDEX(Main[ردیف],1):Main[[#This Row],[ردیف]])</f>
        <v>56</v>
      </c>
      <c r="C597" s="32" t="s">
        <v>568</v>
      </c>
      <c r="D597" s="32" t="str">
        <f>_xlfn.CONCAT("14",Main[[#This Row],[تاريخ]])</f>
        <v>1400/03/04</v>
      </c>
      <c r="E597" s="33">
        <v>44341</v>
      </c>
      <c r="F597" s="32">
        <v>30009</v>
      </c>
      <c r="G597" s="5" t="str">
        <f>INDEX(customer[عنوان],MATCH(Main[[#This Row],[کد ردیابی]],customer[کد],0))</f>
        <v>شرکت ایمن تک پیشرو</v>
      </c>
      <c r="H597">
        <v>-1185</v>
      </c>
      <c r="I597" s="6">
        <f ca="1">-Main[[#This Row],[بدهی تسویه شده (کیلوگرم)]]+Main[[#This Row],[بستانکار (کیلوگرم)]]</f>
        <v>-1185</v>
      </c>
      <c r="J597" s="6">
        <f>IF(Main[[#This Row],[مقدار (کیلوگرم)]]&gt;0,Main[[#This Row],[مقدار (کیلوگرم)]],0)</f>
        <v>0</v>
      </c>
      <c r="K597" s="6">
        <f>-IF(Main[[#This Row],[مقدار (کیلوگرم)]]&lt;0,Main[[#This Row],[مقدار (کیلوگرم)]],0)</f>
        <v>1185</v>
      </c>
      <c r="L5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7" s="7">
        <f>-IF(AND(Main[[#This Row],[مقدار (کیلوگرم)]]&lt;0,Main[[#This Row],[تاريخ میلادی]]&gt;44276),Main[[#This Row],[مقدار (کیلوگرم)]],0)</f>
        <v>1185</v>
      </c>
      <c r="N597" s="6">
        <f ca="1">Main[[#This Row],[بدهکار (کیلوگرم)]]-Main[[#This Row],[بدهی تسویه نشده (کیلوگرم)]]</f>
        <v>1185</v>
      </c>
      <c r="O597" s="6">
        <f ca="1">Main[[#This Row],[تفکیک]]</f>
        <v>0</v>
      </c>
      <c r="P597" s="6">
        <f ca="1">IF(Main[[#This Row],[تاخیر از سررسید]]&gt;0,Main[[#This Row],[بدهی تسویه نشده (کیلوگرم)]],0)</f>
        <v>0</v>
      </c>
      <c r="Q597" s="6">
        <f ca="1">IF(Main[[#This Row],[بدهی تسویه نشده (کیلوگرم)]]&gt;0,'گزارش فردی'!$B$7-Main[[#This Row],[تاريخ میلادی]],0)</f>
        <v>0</v>
      </c>
      <c r="R597" s="6">
        <f ca="1">IF(Main[[#This Row],[بدهی تسویه نشده (کیلوگرم)]]&gt;0,'گزارش فردی'!$B$7-Main[[#This Row],[تاريخ میلادی]]-'گزارش فردی'!$B$8,0)</f>
        <v>0</v>
      </c>
      <c r="S597" s="6">
        <f ca="1">Main[[#This Row],[روز از ارسال سفارش]]*Main[[#This Row],[بدهی تسویه نشده (کیلوگرم)]]</f>
        <v>0</v>
      </c>
      <c r="T597" s="6">
        <f ca="1">Main[[#This Row],[بدهی سررسید شده (کیلوگرم)]]*Main[[#This Row],[روز از ارسال سفارش]]</f>
        <v>0</v>
      </c>
      <c r="U597" s="6">
        <f>-SUBTOTAL(9,INDEX(Main[مقدار (کیلوگرم)],1):Main[[#This Row],[مقدار (کیلوگرم)]])</f>
        <v>26792</v>
      </c>
      <c r="V5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7" s="6">
        <f>Main[[#This Row],[تعداد کل روزهای بدهکار (روز)]]*Main[[#This Row],[مانده در خط کل (کیلوگرم)]]</f>
        <v>26792</v>
      </c>
      <c r="X597" s="6">
        <f ca="1">-SUBTOTAL(9,INDEX(Main[مقدار تسویه شده (کیلوگرم)],1):Main[[#This Row],[مقدار تسویه شده (کیلوگرم)]])</f>
        <v>26792</v>
      </c>
      <c r="Y597" s="6">
        <f ca="1">IF(Main[[#This Row],[مانده در خط تسویه شده (کیلوگرم)]]&lt;&gt;0,Main[[#This Row],[تعداد کل روزهای بدهکار (روز)]],0)</f>
        <v>1</v>
      </c>
      <c r="Z597" s="6">
        <f ca="1">Main[[#This Row],[تعداد روزهای بدهکار تسویه شده (روز)]]*Main[[#This Row],[مانده در خط تسویه شده (کیلوگرم)]]</f>
        <v>26792</v>
      </c>
      <c r="AA597" s="6">
        <f ca="1">SUBTOTAL(9,INDEX(Main[بدهی تسویه نشده (کیلوگرم)],1):Main[[#This Row],[بدهی تسویه نشده (کیلوگرم)]])</f>
        <v>0</v>
      </c>
      <c r="AB597" s="6">
        <f ca="1">IF(Main[[#This Row],[مانده در خط تسویه نشده (کیلوگرم)]]&lt;&gt;0,Main[[#This Row],[تعداد کل روزهای بدهکار (روز)]],0)</f>
        <v>0</v>
      </c>
      <c r="AC597" s="6">
        <f ca="1">Main[[#This Row],[تعداد روزهای بدهکار  تسویه نشده (روز)]]*Main[[#This Row],[مانده در خط تسویه نشده (کیلوگرم)]]</f>
        <v>0</v>
      </c>
      <c r="AD597" s="6">
        <f ca="1">SUBTOTAL(9,INDEX(Main[بدهی سررسید شده (کیلوگرم)],1):Main[[#This Row],[بدهی سررسید شده (کیلوگرم)]])</f>
        <v>0</v>
      </c>
      <c r="AE597" s="6">
        <f ca="1">IF(Main[[#This Row],[مانده در خط سررسید شده (کیلوگرم)]]&lt;&gt;0,Main[[#This Row],[تعداد کل روزهای بدهکار (روز)]],0)</f>
        <v>0</v>
      </c>
      <c r="AF597" s="6">
        <f ca="1">Main[[#This Row],[تعداد روزهای بدهکار سررسید شده (روز)]]*Main[[#This Row],[مانده در خط سررسید شده (کیلوگرم)]]</f>
        <v>0</v>
      </c>
    </row>
    <row r="598" spans="1:32" hidden="1" x14ac:dyDescent="0.35">
      <c r="A598" s="5">
        <f>ROW()-ROW(INDEX(Main[ردیف],1))+1</f>
        <v>596</v>
      </c>
      <c r="B598" s="31">
        <f>SUBTOTAL(2,INDEX(Main[ردیف],1):Main[[#This Row],[ردیف]])</f>
        <v>56</v>
      </c>
      <c r="C598" s="32" t="s">
        <v>568</v>
      </c>
      <c r="D598" s="32" t="str">
        <f>_xlfn.CONCAT("14",Main[[#This Row],[تاريخ]])</f>
        <v>1400/03/04</v>
      </c>
      <c r="E598" s="33">
        <v>44341</v>
      </c>
      <c r="F598" s="32">
        <v>10055</v>
      </c>
      <c r="G598" s="5" t="str">
        <f>INDEX(customer[عنوان],MATCH(Main[[#This Row],[کد ردیابی]],customer[کد],0))</f>
        <v xml:space="preserve">مریم فیض آبادی  </v>
      </c>
      <c r="H598">
        <v>4151</v>
      </c>
      <c r="I598" s="6">
        <f ca="1">-Main[[#This Row],[بدهی تسویه شده (کیلوگرم)]]+Main[[#This Row],[بستانکار (کیلوگرم)]]</f>
        <v>4151</v>
      </c>
      <c r="J598" s="6">
        <f>IF(Main[[#This Row],[مقدار (کیلوگرم)]]&gt;0,Main[[#This Row],[مقدار (کیلوگرم)]],0)</f>
        <v>4151</v>
      </c>
      <c r="K598" s="6">
        <f>-IF(Main[[#This Row],[مقدار (کیلوگرم)]]&lt;0,Main[[#This Row],[مقدار (کیلوگرم)]],0)</f>
        <v>0</v>
      </c>
      <c r="L5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8" s="7">
        <f>-IF(AND(Main[[#This Row],[مقدار (کیلوگرم)]]&lt;0,Main[[#This Row],[تاريخ میلادی]]&gt;44276),Main[[#This Row],[مقدار (کیلوگرم)]],0)</f>
        <v>0</v>
      </c>
      <c r="N598" s="6">
        <f ca="1">Main[[#This Row],[بدهکار (کیلوگرم)]]-Main[[#This Row],[بدهی تسویه نشده (کیلوگرم)]]</f>
        <v>0</v>
      </c>
      <c r="O598" s="6">
        <f ca="1">Main[[#This Row],[تفکیک]]</f>
        <v>0</v>
      </c>
      <c r="P598" s="6">
        <f ca="1">IF(Main[[#This Row],[تاخیر از سررسید]]&gt;0,Main[[#This Row],[بدهی تسویه نشده (کیلوگرم)]],0)</f>
        <v>0</v>
      </c>
      <c r="Q598" s="6">
        <f ca="1">IF(Main[[#This Row],[بدهی تسویه نشده (کیلوگرم)]]&gt;0,'گزارش فردی'!$B$7-Main[[#This Row],[تاريخ میلادی]],0)</f>
        <v>0</v>
      </c>
      <c r="R598" s="6">
        <f ca="1">IF(Main[[#This Row],[بدهی تسویه نشده (کیلوگرم)]]&gt;0,'گزارش فردی'!$B$7-Main[[#This Row],[تاريخ میلادی]]-'گزارش فردی'!$B$8,0)</f>
        <v>0</v>
      </c>
      <c r="S598" s="6">
        <f ca="1">Main[[#This Row],[روز از ارسال سفارش]]*Main[[#This Row],[بدهی تسویه نشده (کیلوگرم)]]</f>
        <v>0</v>
      </c>
      <c r="T598" s="6">
        <f ca="1">Main[[#This Row],[بدهی سررسید شده (کیلوگرم)]]*Main[[#This Row],[روز از ارسال سفارش]]</f>
        <v>0</v>
      </c>
      <c r="U598" s="6">
        <f>-SUBTOTAL(9,INDEX(Main[مقدار (کیلوگرم)],1):Main[[#This Row],[مقدار (کیلوگرم)]])</f>
        <v>26792</v>
      </c>
      <c r="V5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8" s="6">
        <f>Main[[#This Row],[تعداد کل روزهای بدهکار (روز)]]*Main[[#This Row],[مانده در خط کل (کیلوگرم)]]</f>
        <v>26792</v>
      </c>
      <c r="X598" s="6">
        <f ca="1">-SUBTOTAL(9,INDEX(Main[مقدار تسویه شده (کیلوگرم)],1):Main[[#This Row],[مقدار تسویه شده (کیلوگرم)]])</f>
        <v>26792</v>
      </c>
      <c r="Y598" s="6">
        <f ca="1">IF(Main[[#This Row],[مانده در خط تسویه شده (کیلوگرم)]]&lt;&gt;0,Main[[#This Row],[تعداد کل روزهای بدهکار (روز)]],0)</f>
        <v>1</v>
      </c>
      <c r="Z598" s="6">
        <f ca="1">Main[[#This Row],[تعداد روزهای بدهکار تسویه شده (روز)]]*Main[[#This Row],[مانده در خط تسویه شده (کیلوگرم)]]</f>
        <v>26792</v>
      </c>
      <c r="AA598" s="6">
        <f ca="1">SUBTOTAL(9,INDEX(Main[بدهی تسویه نشده (کیلوگرم)],1):Main[[#This Row],[بدهی تسویه نشده (کیلوگرم)]])</f>
        <v>0</v>
      </c>
      <c r="AB598" s="6">
        <f ca="1">IF(Main[[#This Row],[مانده در خط تسویه نشده (کیلوگرم)]]&lt;&gt;0,Main[[#This Row],[تعداد کل روزهای بدهکار (روز)]],0)</f>
        <v>0</v>
      </c>
      <c r="AC598" s="6">
        <f ca="1">Main[[#This Row],[تعداد روزهای بدهکار  تسویه نشده (روز)]]*Main[[#This Row],[مانده در خط تسویه نشده (کیلوگرم)]]</f>
        <v>0</v>
      </c>
      <c r="AD598" s="6">
        <f ca="1">SUBTOTAL(9,INDEX(Main[بدهی سررسید شده (کیلوگرم)],1):Main[[#This Row],[بدهی سررسید شده (کیلوگرم)]])</f>
        <v>0</v>
      </c>
      <c r="AE598" s="6">
        <f ca="1">IF(Main[[#This Row],[مانده در خط سررسید شده (کیلوگرم)]]&lt;&gt;0,Main[[#This Row],[تعداد کل روزهای بدهکار (روز)]],0)</f>
        <v>0</v>
      </c>
      <c r="AF598" s="6">
        <f ca="1">Main[[#This Row],[تعداد روزهای بدهکار سررسید شده (روز)]]*Main[[#This Row],[مانده در خط سررسید شده (کیلوگرم)]]</f>
        <v>0</v>
      </c>
    </row>
    <row r="599" spans="1:32" hidden="1" x14ac:dyDescent="0.35">
      <c r="A599" s="5">
        <f>ROW()-ROW(INDEX(Main[ردیف],1))+1</f>
        <v>597</v>
      </c>
      <c r="B599" s="31">
        <f>SUBTOTAL(2,INDEX(Main[ردیف],1):Main[[#This Row],[ردیف]])</f>
        <v>56</v>
      </c>
      <c r="C599" s="32" t="s">
        <v>568</v>
      </c>
      <c r="D599" s="32" t="str">
        <f>_xlfn.CONCAT("14",Main[[#This Row],[تاريخ]])</f>
        <v>1400/03/04</v>
      </c>
      <c r="E599" s="33">
        <v>44341</v>
      </c>
      <c r="F599" s="32">
        <v>30004</v>
      </c>
      <c r="G599" s="5" t="str">
        <f>INDEX(customer[عنوان],MATCH(Main[[#This Row],[کد ردیابی]],customer[کد],0))</f>
        <v>تولیدی صنعتی صفاشیر پارس</v>
      </c>
      <c r="H599">
        <v>-4955</v>
      </c>
      <c r="I599" s="6">
        <f ca="1">-Main[[#This Row],[بدهی تسویه شده (کیلوگرم)]]+Main[[#This Row],[بستانکار (کیلوگرم)]]</f>
        <v>-4955</v>
      </c>
      <c r="J599" s="6">
        <f>IF(Main[[#This Row],[مقدار (کیلوگرم)]]&gt;0,Main[[#This Row],[مقدار (کیلوگرم)]],0)</f>
        <v>0</v>
      </c>
      <c r="K599" s="6">
        <f>-IF(Main[[#This Row],[مقدار (کیلوگرم)]]&lt;0,Main[[#This Row],[مقدار (کیلوگرم)]],0)</f>
        <v>4955</v>
      </c>
      <c r="L5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9" s="7">
        <f>-IF(AND(Main[[#This Row],[مقدار (کیلوگرم)]]&lt;0,Main[[#This Row],[تاريخ میلادی]]&gt;44276),Main[[#This Row],[مقدار (کیلوگرم)]],0)</f>
        <v>4955</v>
      </c>
      <c r="N599" s="6">
        <f ca="1">Main[[#This Row],[بدهکار (کیلوگرم)]]-Main[[#This Row],[بدهی تسویه نشده (کیلوگرم)]]</f>
        <v>4955</v>
      </c>
      <c r="O599" s="6">
        <f ca="1">Main[[#This Row],[تفکیک]]</f>
        <v>0</v>
      </c>
      <c r="P599" s="6">
        <f ca="1">IF(Main[[#This Row],[تاخیر از سررسید]]&gt;0,Main[[#This Row],[بدهی تسویه نشده (کیلوگرم)]],0)</f>
        <v>0</v>
      </c>
      <c r="Q599" s="6">
        <f ca="1">IF(Main[[#This Row],[بدهی تسویه نشده (کیلوگرم)]]&gt;0,'گزارش فردی'!$B$7-Main[[#This Row],[تاريخ میلادی]],0)</f>
        <v>0</v>
      </c>
      <c r="R599" s="6">
        <f ca="1">IF(Main[[#This Row],[بدهی تسویه نشده (کیلوگرم)]]&gt;0,'گزارش فردی'!$B$7-Main[[#This Row],[تاريخ میلادی]]-'گزارش فردی'!$B$8,0)</f>
        <v>0</v>
      </c>
      <c r="S599" s="6">
        <f ca="1">Main[[#This Row],[روز از ارسال سفارش]]*Main[[#This Row],[بدهی تسویه نشده (کیلوگرم)]]</f>
        <v>0</v>
      </c>
      <c r="T599" s="6">
        <f ca="1">Main[[#This Row],[بدهی سررسید شده (کیلوگرم)]]*Main[[#This Row],[روز از ارسال سفارش]]</f>
        <v>0</v>
      </c>
      <c r="U599" s="6">
        <f>-SUBTOTAL(9,INDEX(Main[مقدار (کیلوگرم)],1):Main[[#This Row],[مقدار (کیلوگرم)]])</f>
        <v>26792</v>
      </c>
      <c r="V5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9" s="6">
        <f>Main[[#This Row],[تعداد کل روزهای بدهکار (روز)]]*Main[[#This Row],[مانده در خط کل (کیلوگرم)]]</f>
        <v>26792</v>
      </c>
      <c r="X599" s="6">
        <f ca="1">-SUBTOTAL(9,INDEX(Main[مقدار تسویه شده (کیلوگرم)],1):Main[[#This Row],[مقدار تسویه شده (کیلوگرم)]])</f>
        <v>26792</v>
      </c>
      <c r="Y599" s="6">
        <f ca="1">IF(Main[[#This Row],[مانده در خط تسویه شده (کیلوگرم)]]&lt;&gt;0,Main[[#This Row],[تعداد کل روزهای بدهکار (روز)]],0)</f>
        <v>1</v>
      </c>
      <c r="Z599" s="6">
        <f ca="1">Main[[#This Row],[تعداد روزهای بدهکار تسویه شده (روز)]]*Main[[#This Row],[مانده در خط تسویه شده (کیلوگرم)]]</f>
        <v>26792</v>
      </c>
      <c r="AA599" s="6">
        <f ca="1">SUBTOTAL(9,INDEX(Main[بدهی تسویه نشده (کیلوگرم)],1):Main[[#This Row],[بدهی تسویه نشده (کیلوگرم)]])</f>
        <v>0</v>
      </c>
      <c r="AB599" s="6">
        <f ca="1">IF(Main[[#This Row],[مانده در خط تسویه نشده (کیلوگرم)]]&lt;&gt;0,Main[[#This Row],[تعداد کل روزهای بدهکار (روز)]],0)</f>
        <v>0</v>
      </c>
      <c r="AC599" s="6">
        <f ca="1">Main[[#This Row],[تعداد روزهای بدهکار  تسویه نشده (روز)]]*Main[[#This Row],[مانده در خط تسویه نشده (کیلوگرم)]]</f>
        <v>0</v>
      </c>
      <c r="AD599" s="6">
        <f ca="1">SUBTOTAL(9,INDEX(Main[بدهی سررسید شده (کیلوگرم)],1):Main[[#This Row],[بدهی سررسید شده (کیلوگرم)]])</f>
        <v>0</v>
      </c>
      <c r="AE599" s="6">
        <f ca="1">IF(Main[[#This Row],[مانده در خط سررسید شده (کیلوگرم)]]&lt;&gt;0,Main[[#This Row],[تعداد کل روزهای بدهکار (روز)]],0)</f>
        <v>0</v>
      </c>
      <c r="AF599" s="6">
        <f ca="1">Main[[#This Row],[تعداد روزهای بدهکار سررسید شده (روز)]]*Main[[#This Row],[مانده در خط سررسید شده (کیلوگرم)]]</f>
        <v>0</v>
      </c>
    </row>
    <row r="600" spans="1:32" hidden="1" x14ac:dyDescent="0.35">
      <c r="A600" s="5">
        <f>ROW()-ROW(INDEX(Main[ردیف],1))+1</f>
        <v>598</v>
      </c>
      <c r="B600" s="31">
        <f>SUBTOTAL(2,INDEX(Main[ردیف],1):Main[[#This Row],[ردیف]])</f>
        <v>56</v>
      </c>
      <c r="C600" s="32" t="s">
        <v>569</v>
      </c>
      <c r="D600" s="32" t="str">
        <f>_xlfn.CONCAT("14",Main[[#This Row],[تاريخ]])</f>
        <v>1400/03/05</v>
      </c>
      <c r="E600" s="33">
        <v>44342</v>
      </c>
      <c r="F600" s="32">
        <v>10055</v>
      </c>
      <c r="G600" s="5" t="str">
        <f>INDEX(customer[عنوان],MATCH(Main[[#This Row],[کد ردیابی]],customer[کد],0))</f>
        <v xml:space="preserve">مریم فیض آبادی  </v>
      </c>
      <c r="H600">
        <v>5049</v>
      </c>
      <c r="I600" s="6">
        <f ca="1">-Main[[#This Row],[بدهی تسویه شده (کیلوگرم)]]+Main[[#This Row],[بستانکار (کیلوگرم)]]</f>
        <v>5049</v>
      </c>
      <c r="J600" s="6">
        <f>IF(Main[[#This Row],[مقدار (کیلوگرم)]]&gt;0,Main[[#This Row],[مقدار (کیلوگرم)]],0)</f>
        <v>5049</v>
      </c>
      <c r="K600" s="6">
        <f>-IF(Main[[#This Row],[مقدار (کیلوگرم)]]&lt;0,Main[[#This Row],[مقدار (کیلوگرم)]],0)</f>
        <v>0</v>
      </c>
      <c r="L6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0" s="7">
        <f>-IF(AND(Main[[#This Row],[مقدار (کیلوگرم)]]&lt;0,Main[[#This Row],[تاريخ میلادی]]&gt;44276),Main[[#This Row],[مقدار (کیلوگرم)]],0)</f>
        <v>0</v>
      </c>
      <c r="N600" s="6">
        <f ca="1">Main[[#This Row],[بدهکار (کیلوگرم)]]-Main[[#This Row],[بدهی تسویه نشده (کیلوگرم)]]</f>
        <v>0</v>
      </c>
      <c r="O600" s="6">
        <f ca="1">Main[[#This Row],[تفکیک]]</f>
        <v>0</v>
      </c>
      <c r="P600" s="6">
        <f ca="1">IF(Main[[#This Row],[تاخیر از سررسید]]&gt;0,Main[[#This Row],[بدهی تسویه نشده (کیلوگرم)]],0)</f>
        <v>0</v>
      </c>
      <c r="Q600" s="6">
        <f ca="1">IF(Main[[#This Row],[بدهی تسویه نشده (کیلوگرم)]]&gt;0,'گزارش فردی'!$B$7-Main[[#This Row],[تاريخ میلادی]],0)</f>
        <v>0</v>
      </c>
      <c r="R600" s="6">
        <f ca="1">IF(Main[[#This Row],[بدهی تسویه نشده (کیلوگرم)]]&gt;0,'گزارش فردی'!$B$7-Main[[#This Row],[تاريخ میلادی]]-'گزارش فردی'!$B$8,0)</f>
        <v>0</v>
      </c>
      <c r="S600" s="6">
        <f ca="1">Main[[#This Row],[روز از ارسال سفارش]]*Main[[#This Row],[بدهی تسویه نشده (کیلوگرم)]]</f>
        <v>0</v>
      </c>
      <c r="T600" s="6">
        <f ca="1">Main[[#This Row],[بدهی سررسید شده (کیلوگرم)]]*Main[[#This Row],[روز از ارسال سفارش]]</f>
        <v>0</v>
      </c>
      <c r="U600" s="6">
        <f>-SUBTOTAL(9,INDEX(Main[مقدار (کیلوگرم)],1):Main[[#This Row],[مقدار (کیلوگرم)]])</f>
        <v>26792</v>
      </c>
      <c r="V6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0" s="6">
        <f>Main[[#This Row],[تعداد کل روزهای بدهکار (روز)]]*Main[[#This Row],[مانده در خط کل (کیلوگرم)]]</f>
        <v>0</v>
      </c>
      <c r="X600" s="6">
        <f ca="1">-SUBTOTAL(9,INDEX(Main[مقدار تسویه شده (کیلوگرم)],1):Main[[#This Row],[مقدار تسویه شده (کیلوگرم)]])</f>
        <v>26792</v>
      </c>
      <c r="Y600" s="6">
        <f ca="1">IF(Main[[#This Row],[مانده در خط تسویه شده (کیلوگرم)]]&lt;&gt;0,Main[[#This Row],[تعداد کل روزهای بدهکار (روز)]],0)</f>
        <v>0</v>
      </c>
      <c r="Z600" s="6">
        <f ca="1">Main[[#This Row],[تعداد روزهای بدهکار تسویه شده (روز)]]*Main[[#This Row],[مانده در خط تسویه شده (کیلوگرم)]]</f>
        <v>0</v>
      </c>
      <c r="AA600" s="6">
        <f ca="1">SUBTOTAL(9,INDEX(Main[بدهی تسویه نشده (کیلوگرم)],1):Main[[#This Row],[بدهی تسویه نشده (کیلوگرم)]])</f>
        <v>0</v>
      </c>
      <c r="AB600" s="6">
        <f ca="1">IF(Main[[#This Row],[مانده در خط تسویه نشده (کیلوگرم)]]&lt;&gt;0,Main[[#This Row],[تعداد کل روزهای بدهکار (روز)]],0)</f>
        <v>0</v>
      </c>
      <c r="AC600" s="6">
        <f ca="1">Main[[#This Row],[تعداد روزهای بدهکار  تسویه نشده (روز)]]*Main[[#This Row],[مانده در خط تسویه نشده (کیلوگرم)]]</f>
        <v>0</v>
      </c>
      <c r="AD600" s="6">
        <f ca="1">SUBTOTAL(9,INDEX(Main[بدهی سررسید شده (کیلوگرم)],1):Main[[#This Row],[بدهی سررسید شده (کیلوگرم)]])</f>
        <v>0</v>
      </c>
      <c r="AE600" s="6">
        <f ca="1">IF(Main[[#This Row],[مانده در خط سررسید شده (کیلوگرم)]]&lt;&gt;0,Main[[#This Row],[تعداد کل روزهای بدهکار (روز)]],0)</f>
        <v>0</v>
      </c>
      <c r="AF600" s="6">
        <f ca="1">Main[[#This Row],[تعداد روزهای بدهکار سررسید شده (روز)]]*Main[[#This Row],[مانده در خط سررسید شده (کیلوگرم)]]</f>
        <v>0</v>
      </c>
    </row>
    <row r="601" spans="1:32" hidden="1" x14ac:dyDescent="0.35">
      <c r="A601" s="5">
        <f>ROW()-ROW(INDEX(Main[ردیف],1))+1</f>
        <v>599</v>
      </c>
      <c r="B601" s="31">
        <f>SUBTOTAL(2,INDEX(Main[ردیف],1):Main[[#This Row],[ردیف]])</f>
        <v>56</v>
      </c>
      <c r="C601" s="32" t="s">
        <v>569</v>
      </c>
      <c r="D601" s="32" t="str">
        <f>_xlfn.CONCAT("14",Main[[#This Row],[تاريخ]])</f>
        <v>1400/03/05</v>
      </c>
      <c r="E601" s="33">
        <v>44342</v>
      </c>
      <c r="F601" s="32">
        <v>30184</v>
      </c>
      <c r="G601" s="5" t="str">
        <f>INDEX(customer[عنوان],MATCH(Main[[#This Row],[کد ردیابی]],customer[کد],0))</f>
        <v>شرکت هوم کو (هوشمند مبین کوشا)</v>
      </c>
      <c r="H601">
        <v>-3000</v>
      </c>
      <c r="I601" s="6">
        <f ca="1">-Main[[#This Row],[بدهی تسویه شده (کیلوگرم)]]+Main[[#This Row],[بستانکار (کیلوگرم)]]</f>
        <v>-3000</v>
      </c>
      <c r="J601" s="6">
        <f>IF(Main[[#This Row],[مقدار (کیلوگرم)]]&gt;0,Main[[#This Row],[مقدار (کیلوگرم)]],0)</f>
        <v>0</v>
      </c>
      <c r="K601" s="6">
        <f>-IF(Main[[#This Row],[مقدار (کیلوگرم)]]&lt;0,Main[[#This Row],[مقدار (کیلوگرم)]],0)</f>
        <v>3000</v>
      </c>
      <c r="L6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1" s="7">
        <f>-IF(AND(Main[[#This Row],[مقدار (کیلوگرم)]]&lt;0,Main[[#This Row],[تاريخ میلادی]]&gt;44276),Main[[#This Row],[مقدار (کیلوگرم)]],0)</f>
        <v>3000</v>
      </c>
      <c r="N601" s="6">
        <f ca="1">Main[[#This Row],[بدهکار (کیلوگرم)]]-Main[[#This Row],[بدهی تسویه نشده (کیلوگرم)]]</f>
        <v>3000</v>
      </c>
      <c r="O601" s="6">
        <f ca="1">Main[[#This Row],[تفکیک]]</f>
        <v>0</v>
      </c>
      <c r="P601" s="6">
        <f ca="1">IF(Main[[#This Row],[تاخیر از سررسید]]&gt;0,Main[[#This Row],[بدهی تسویه نشده (کیلوگرم)]],0)</f>
        <v>0</v>
      </c>
      <c r="Q601" s="6">
        <f ca="1">IF(Main[[#This Row],[بدهی تسویه نشده (کیلوگرم)]]&gt;0,'گزارش فردی'!$B$7-Main[[#This Row],[تاريخ میلادی]],0)</f>
        <v>0</v>
      </c>
      <c r="R601" s="6">
        <f ca="1">IF(Main[[#This Row],[بدهی تسویه نشده (کیلوگرم)]]&gt;0,'گزارش فردی'!$B$7-Main[[#This Row],[تاريخ میلادی]]-'گزارش فردی'!$B$8,0)</f>
        <v>0</v>
      </c>
      <c r="S601" s="6">
        <f ca="1">Main[[#This Row],[روز از ارسال سفارش]]*Main[[#This Row],[بدهی تسویه نشده (کیلوگرم)]]</f>
        <v>0</v>
      </c>
      <c r="T601" s="6">
        <f ca="1">Main[[#This Row],[بدهی سررسید شده (کیلوگرم)]]*Main[[#This Row],[روز از ارسال سفارش]]</f>
        <v>0</v>
      </c>
      <c r="U601" s="6">
        <f>-SUBTOTAL(9,INDEX(Main[مقدار (کیلوگرم)],1):Main[[#This Row],[مقدار (کیلوگرم)]])</f>
        <v>26792</v>
      </c>
      <c r="V6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1" s="6">
        <f>Main[[#This Row],[تعداد کل روزهای بدهکار (روز)]]*Main[[#This Row],[مانده در خط کل (کیلوگرم)]]</f>
        <v>0</v>
      </c>
      <c r="X601" s="6">
        <f ca="1">-SUBTOTAL(9,INDEX(Main[مقدار تسویه شده (کیلوگرم)],1):Main[[#This Row],[مقدار تسویه شده (کیلوگرم)]])</f>
        <v>26792</v>
      </c>
      <c r="Y601" s="6">
        <f ca="1">IF(Main[[#This Row],[مانده در خط تسویه شده (کیلوگرم)]]&lt;&gt;0,Main[[#This Row],[تعداد کل روزهای بدهکار (روز)]],0)</f>
        <v>0</v>
      </c>
      <c r="Z601" s="6">
        <f ca="1">Main[[#This Row],[تعداد روزهای بدهکار تسویه شده (روز)]]*Main[[#This Row],[مانده در خط تسویه شده (کیلوگرم)]]</f>
        <v>0</v>
      </c>
      <c r="AA601" s="6">
        <f ca="1">SUBTOTAL(9,INDEX(Main[بدهی تسویه نشده (کیلوگرم)],1):Main[[#This Row],[بدهی تسویه نشده (کیلوگرم)]])</f>
        <v>0</v>
      </c>
      <c r="AB601" s="6">
        <f ca="1">IF(Main[[#This Row],[مانده در خط تسویه نشده (کیلوگرم)]]&lt;&gt;0,Main[[#This Row],[تعداد کل روزهای بدهکار (روز)]],0)</f>
        <v>0</v>
      </c>
      <c r="AC601" s="6">
        <f ca="1">Main[[#This Row],[تعداد روزهای بدهکار  تسویه نشده (روز)]]*Main[[#This Row],[مانده در خط تسویه نشده (کیلوگرم)]]</f>
        <v>0</v>
      </c>
      <c r="AD601" s="6">
        <f ca="1">SUBTOTAL(9,INDEX(Main[بدهی سررسید شده (کیلوگرم)],1):Main[[#This Row],[بدهی سررسید شده (کیلوگرم)]])</f>
        <v>0</v>
      </c>
      <c r="AE601" s="6">
        <f ca="1">IF(Main[[#This Row],[مانده در خط سررسید شده (کیلوگرم)]]&lt;&gt;0,Main[[#This Row],[تعداد کل روزهای بدهکار (روز)]],0)</f>
        <v>0</v>
      </c>
      <c r="AF601" s="6">
        <f ca="1">Main[[#This Row],[تعداد روزهای بدهکار سررسید شده (روز)]]*Main[[#This Row],[مانده در خط سررسید شده (کیلوگرم)]]</f>
        <v>0</v>
      </c>
    </row>
    <row r="602" spans="1:32" hidden="1" x14ac:dyDescent="0.35">
      <c r="A602" s="5">
        <f>ROW()-ROW(INDEX(Main[ردیف],1))+1</f>
        <v>600</v>
      </c>
      <c r="B602" s="31">
        <f>SUBTOTAL(2,INDEX(Main[ردیف],1):Main[[#This Row],[ردیف]])</f>
        <v>56</v>
      </c>
      <c r="C602" s="32" t="s">
        <v>569</v>
      </c>
      <c r="D602" s="32" t="str">
        <f>_xlfn.CONCAT("14",Main[[#This Row],[تاريخ]])</f>
        <v>1400/03/05</v>
      </c>
      <c r="E602" s="33">
        <v>44342</v>
      </c>
      <c r="F602" s="32">
        <v>30127</v>
      </c>
      <c r="G602" s="5" t="str">
        <f>INDEX(customer[عنوان],MATCH(Main[[#This Row],[کد ردیابی]],customer[کد],0))</f>
        <v>شیر گاز آذران</v>
      </c>
      <c r="H602">
        <v>1948</v>
      </c>
      <c r="I602" s="6">
        <f ca="1">-Main[[#This Row],[بدهی تسویه شده (کیلوگرم)]]+Main[[#This Row],[بستانکار (کیلوگرم)]]</f>
        <v>1948</v>
      </c>
      <c r="J602" s="6">
        <f>IF(Main[[#This Row],[مقدار (کیلوگرم)]]&gt;0,Main[[#This Row],[مقدار (کیلوگرم)]],0)</f>
        <v>1948</v>
      </c>
      <c r="K602" s="6">
        <f>-IF(Main[[#This Row],[مقدار (کیلوگرم)]]&lt;0,Main[[#This Row],[مقدار (کیلوگرم)]],0)</f>
        <v>0</v>
      </c>
      <c r="L6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2" s="7">
        <f>-IF(AND(Main[[#This Row],[مقدار (کیلوگرم)]]&lt;0,Main[[#This Row],[تاريخ میلادی]]&gt;44276),Main[[#This Row],[مقدار (کیلوگرم)]],0)</f>
        <v>0</v>
      </c>
      <c r="N602" s="6">
        <f ca="1">Main[[#This Row],[بدهکار (کیلوگرم)]]-Main[[#This Row],[بدهی تسویه نشده (کیلوگرم)]]</f>
        <v>0</v>
      </c>
      <c r="O602" s="6">
        <f ca="1">Main[[#This Row],[تفکیک]]</f>
        <v>0</v>
      </c>
      <c r="P602" s="6">
        <f ca="1">IF(Main[[#This Row],[تاخیر از سررسید]]&gt;0,Main[[#This Row],[بدهی تسویه نشده (کیلوگرم)]],0)</f>
        <v>0</v>
      </c>
      <c r="Q602" s="6">
        <f ca="1">IF(Main[[#This Row],[بدهی تسویه نشده (کیلوگرم)]]&gt;0,'گزارش فردی'!$B$7-Main[[#This Row],[تاريخ میلادی]],0)</f>
        <v>0</v>
      </c>
      <c r="R602" s="6">
        <f ca="1">IF(Main[[#This Row],[بدهی تسویه نشده (کیلوگرم)]]&gt;0,'گزارش فردی'!$B$7-Main[[#This Row],[تاريخ میلادی]]-'گزارش فردی'!$B$8,0)</f>
        <v>0</v>
      </c>
      <c r="S602" s="6">
        <f ca="1">Main[[#This Row],[روز از ارسال سفارش]]*Main[[#This Row],[بدهی تسویه نشده (کیلوگرم)]]</f>
        <v>0</v>
      </c>
      <c r="T602" s="6">
        <f ca="1">Main[[#This Row],[بدهی سررسید شده (کیلوگرم)]]*Main[[#This Row],[روز از ارسال سفارش]]</f>
        <v>0</v>
      </c>
      <c r="U602" s="6">
        <f>-SUBTOTAL(9,INDEX(Main[مقدار (کیلوگرم)],1):Main[[#This Row],[مقدار (کیلوگرم)]])</f>
        <v>26792</v>
      </c>
      <c r="V6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2" s="6">
        <f>Main[[#This Row],[تعداد کل روزهای بدهکار (روز)]]*Main[[#This Row],[مانده در خط کل (کیلوگرم)]]</f>
        <v>0</v>
      </c>
      <c r="X602" s="6">
        <f ca="1">-SUBTOTAL(9,INDEX(Main[مقدار تسویه شده (کیلوگرم)],1):Main[[#This Row],[مقدار تسویه شده (کیلوگرم)]])</f>
        <v>26792</v>
      </c>
      <c r="Y602" s="6">
        <f ca="1">IF(Main[[#This Row],[مانده در خط تسویه شده (کیلوگرم)]]&lt;&gt;0,Main[[#This Row],[تعداد کل روزهای بدهکار (روز)]],0)</f>
        <v>0</v>
      </c>
      <c r="Z602" s="6">
        <f ca="1">Main[[#This Row],[تعداد روزهای بدهکار تسویه شده (روز)]]*Main[[#This Row],[مانده در خط تسویه شده (کیلوگرم)]]</f>
        <v>0</v>
      </c>
      <c r="AA602" s="6">
        <f ca="1">SUBTOTAL(9,INDEX(Main[بدهی تسویه نشده (کیلوگرم)],1):Main[[#This Row],[بدهی تسویه نشده (کیلوگرم)]])</f>
        <v>0</v>
      </c>
      <c r="AB602" s="6">
        <f ca="1">IF(Main[[#This Row],[مانده در خط تسویه نشده (کیلوگرم)]]&lt;&gt;0,Main[[#This Row],[تعداد کل روزهای بدهکار (روز)]],0)</f>
        <v>0</v>
      </c>
      <c r="AC602" s="6">
        <f ca="1">Main[[#This Row],[تعداد روزهای بدهکار  تسویه نشده (روز)]]*Main[[#This Row],[مانده در خط تسویه نشده (کیلوگرم)]]</f>
        <v>0</v>
      </c>
      <c r="AD602" s="6">
        <f ca="1">SUBTOTAL(9,INDEX(Main[بدهی سررسید شده (کیلوگرم)],1):Main[[#This Row],[بدهی سررسید شده (کیلوگرم)]])</f>
        <v>0</v>
      </c>
      <c r="AE602" s="6">
        <f ca="1">IF(Main[[#This Row],[مانده در خط سررسید شده (کیلوگرم)]]&lt;&gt;0,Main[[#This Row],[تعداد کل روزهای بدهکار (روز)]],0)</f>
        <v>0</v>
      </c>
      <c r="AF602" s="6">
        <f ca="1">Main[[#This Row],[تعداد روزهای بدهکار سررسید شده (روز)]]*Main[[#This Row],[مانده در خط سررسید شده (کیلوگرم)]]</f>
        <v>0</v>
      </c>
    </row>
    <row r="603" spans="1:32" hidden="1" x14ac:dyDescent="0.35">
      <c r="A603" s="5">
        <f>ROW()-ROW(INDEX(Main[ردیف],1))+1</f>
        <v>601</v>
      </c>
      <c r="B603" s="31">
        <f>SUBTOTAL(2,INDEX(Main[ردیف],1):Main[[#This Row],[ردیف]])</f>
        <v>56</v>
      </c>
      <c r="C603" s="32" t="s">
        <v>569</v>
      </c>
      <c r="D603" s="32" t="str">
        <f>_xlfn.CONCAT("14",Main[[#This Row],[تاريخ]])</f>
        <v>1400/03/05</v>
      </c>
      <c r="E603" s="33">
        <v>44342</v>
      </c>
      <c r="F603" s="32">
        <v>30009</v>
      </c>
      <c r="G603" s="5" t="str">
        <f>INDEX(customer[عنوان],MATCH(Main[[#This Row],[کد ردیابی]],customer[کد],0))</f>
        <v>شرکت ایمن تک پیشرو</v>
      </c>
      <c r="H603">
        <v>-2119</v>
      </c>
      <c r="I603" s="6">
        <f ca="1">-Main[[#This Row],[بدهی تسویه شده (کیلوگرم)]]+Main[[#This Row],[بستانکار (کیلوگرم)]]</f>
        <v>-2119</v>
      </c>
      <c r="J603" s="6">
        <f>IF(Main[[#This Row],[مقدار (کیلوگرم)]]&gt;0,Main[[#This Row],[مقدار (کیلوگرم)]],0)</f>
        <v>0</v>
      </c>
      <c r="K603" s="6">
        <f>-IF(Main[[#This Row],[مقدار (کیلوگرم)]]&lt;0,Main[[#This Row],[مقدار (کیلوگرم)]],0)</f>
        <v>2119</v>
      </c>
      <c r="L6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3" s="7">
        <f>-IF(AND(Main[[#This Row],[مقدار (کیلوگرم)]]&lt;0,Main[[#This Row],[تاريخ میلادی]]&gt;44276),Main[[#This Row],[مقدار (کیلوگرم)]],0)</f>
        <v>2119</v>
      </c>
      <c r="N603" s="6">
        <f ca="1">Main[[#This Row],[بدهکار (کیلوگرم)]]-Main[[#This Row],[بدهی تسویه نشده (کیلوگرم)]]</f>
        <v>2119</v>
      </c>
      <c r="O603" s="6">
        <f ca="1">Main[[#This Row],[تفکیک]]</f>
        <v>0</v>
      </c>
      <c r="P603" s="6">
        <f ca="1">IF(Main[[#This Row],[تاخیر از سررسید]]&gt;0,Main[[#This Row],[بدهی تسویه نشده (کیلوگرم)]],0)</f>
        <v>0</v>
      </c>
      <c r="Q603" s="6">
        <f ca="1">IF(Main[[#This Row],[بدهی تسویه نشده (کیلوگرم)]]&gt;0,'گزارش فردی'!$B$7-Main[[#This Row],[تاريخ میلادی]],0)</f>
        <v>0</v>
      </c>
      <c r="R603" s="6">
        <f ca="1">IF(Main[[#This Row],[بدهی تسویه نشده (کیلوگرم)]]&gt;0,'گزارش فردی'!$B$7-Main[[#This Row],[تاريخ میلادی]]-'گزارش فردی'!$B$8,0)</f>
        <v>0</v>
      </c>
      <c r="S603" s="6">
        <f ca="1">Main[[#This Row],[روز از ارسال سفارش]]*Main[[#This Row],[بدهی تسویه نشده (کیلوگرم)]]</f>
        <v>0</v>
      </c>
      <c r="T603" s="6">
        <f ca="1">Main[[#This Row],[بدهی سررسید شده (کیلوگرم)]]*Main[[#This Row],[روز از ارسال سفارش]]</f>
        <v>0</v>
      </c>
      <c r="U603" s="6">
        <f>-SUBTOTAL(9,INDEX(Main[مقدار (کیلوگرم)],1):Main[[#This Row],[مقدار (کیلوگرم)]])</f>
        <v>26792</v>
      </c>
      <c r="V6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3" s="6">
        <f>Main[[#This Row],[تعداد کل روزهای بدهکار (روز)]]*Main[[#This Row],[مانده در خط کل (کیلوگرم)]]</f>
        <v>0</v>
      </c>
      <c r="X603" s="6">
        <f ca="1">-SUBTOTAL(9,INDEX(Main[مقدار تسویه شده (کیلوگرم)],1):Main[[#This Row],[مقدار تسویه شده (کیلوگرم)]])</f>
        <v>26792</v>
      </c>
      <c r="Y603" s="6">
        <f ca="1">IF(Main[[#This Row],[مانده در خط تسویه شده (کیلوگرم)]]&lt;&gt;0,Main[[#This Row],[تعداد کل روزهای بدهکار (روز)]],0)</f>
        <v>0</v>
      </c>
      <c r="Z603" s="6">
        <f ca="1">Main[[#This Row],[تعداد روزهای بدهکار تسویه شده (روز)]]*Main[[#This Row],[مانده در خط تسویه شده (کیلوگرم)]]</f>
        <v>0</v>
      </c>
      <c r="AA603" s="6">
        <f ca="1">SUBTOTAL(9,INDEX(Main[بدهی تسویه نشده (کیلوگرم)],1):Main[[#This Row],[بدهی تسویه نشده (کیلوگرم)]])</f>
        <v>0</v>
      </c>
      <c r="AB603" s="6">
        <f ca="1">IF(Main[[#This Row],[مانده در خط تسویه نشده (کیلوگرم)]]&lt;&gt;0,Main[[#This Row],[تعداد کل روزهای بدهکار (روز)]],0)</f>
        <v>0</v>
      </c>
      <c r="AC603" s="6">
        <f ca="1">Main[[#This Row],[تعداد روزهای بدهکار  تسویه نشده (روز)]]*Main[[#This Row],[مانده در خط تسویه نشده (کیلوگرم)]]</f>
        <v>0</v>
      </c>
      <c r="AD603" s="6">
        <f ca="1">SUBTOTAL(9,INDEX(Main[بدهی سررسید شده (کیلوگرم)],1):Main[[#This Row],[بدهی سررسید شده (کیلوگرم)]])</f>
        <v>0</v>
      </c>
      <c r="AE603" s="6">
        <f ca="1">IF(Main[[#This Row],[مانده در خط سررسید شده (کیلوگرم)]]&lt;&gt;0,Main[[#This Row],[تعداد کل روزهای بدهکار (روز)]],0)</f>
        <v>0</v>
      </c>
      <c r="AF603" s="6">
        <f ca="1">Main[[#This Row],[تعداد روزهای بدهکار سررسید شده (روز)]]*Main[[#This Row],[مانده در خط سررسید شده (کیلوگرم)]]</f>
        <v>0</v>
      </c>
    </row>
    <row r="604" spans="1:32" hidden="1" x14ac:dyDescent="0.35">
      <c r="A604" s="5">
        <f>ROW()-ROW(INDEX(Main[ردیف],1))+1</f>
        <v>602</v>
      </c>
      <c r="B604" s="31">
        <f>SUBTOTAL(2,INDEX(Main[ردیف],1):Main[[#This Row],[ردیف]])</f>
        <v>56</v>
      </c>
      <c r="C604" s="32" t="s">
        <v>569</v>
      </c>
      <c r="D604" s="32" t="str">
        <f>_xlfn.CONCAT("14",Main[[#This Row],[تاريخ]])</f>
        <v>1400/03/05</v>
      </c>
      <c r="E604" s="33">
        <v>44342</v>
      </c>
      <c r="F604" s="32">
        <v>30066</v>
      </c>
      <c r="G604" s="5" t="str">
        <f>INDEX(customer[عنوان],MATCH(Main[[#This Row],[کد ردیابی]],customer[کد],0))</f>
        <v xml:space="preserve">شیر آلات بهداشتی قهرمان </v>
      </c>
      <c r="H604">
        <v>4300</v>
      </c>
      <c r="I604" s="6">
        <f ca="1">-Main[[#This Row],[بدهی تسویه شده (کیلوگرم)]]+Main[[#This Row],[بستانکار (کیلوگرم)]]</f>
        <v>4300</v>
      </c>
      <c r="J604" s="6">
        <f>IF(Main[[#This Row],[مقدار (کیلوگرم)]]&gt;0,Main[[#This Row],[مقدار (کیلوگرم)]],0)</f>
        <v>4300</v>
      </c>
      <c r="K604" s="6">
        <f>-IF(Main[[#This Row],[مقدار (کیلوگرم)]]&lt;0,Main[[#This Row],[مقدار (کیلوگرم)]],0)</f>
        <v>0</v>
      </c>
      <c r="L6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4" s="7">
        <f>-IF(AND(Main[[#This Row],[مقدار (کیلوگرم)]]&lt;0,Main[[#This Row],[تاريخ میلادی]]&gt;44276),Main[[#This Row],[مقدار (کیلوگرم)]],0)</f>
        <v>0</v>
      </c>
      <c r="N604" s="6">
        <f ca="1">Main[[#This Row],[بدهکار (کیلوگرم)]]-Main[[#This Row],[بدهی تسویه نشده (کیلوگرم)]]</f>
        <v>0</v>
      </c>
      <c r="O604" s="6">
        <f ca="1">Main[[#This Row],[تفکیک]]</f>
        <v>0</v>
      </c>
      <c r="P604" s="6">
        <f ca="1">IF(Main[[#This Row],[تاخیر از سررسید]]&gt;0,Main[[#This Row],[بدهی تسویه نشده (کیلوگرم)]],0)</f>
        <v>0</v>
      </c>
      <c r="Q604" s="6">
        <f ca="1">IF(Main[[#This Row],[بدهی تسویه نشده (کیلوگرم)]]&gt;0,'گزارش فردی'!$B$7-Main[[#This Row],[تاريخ میلادی]],0)</f>
        <v>0</v>
      </c>
      <c r="R604" s="6">
        <f ca="1">IF(Main[[#This Row],[بدهی تسویه نشده (کیلوگرم)]]&gt;0,'گزارش فردی'!$B$7-Main[[#This Row],[تاريخ میلادی]]-'گزارش فردی'!$B$8,0)</f>
        <v>0</v>
      </c>
      <c r="S604" s="6">
        <f ca="1">Main[[#This Row],[روز از ارسال سفارش]]*Main[[#This Row],[بدهی تسویه نشده (کیلوگرم)]]</f>
        <v>0</v>
      </c>
      <c r="T604" s="6">
        <f ca="1">Main[[#This Row],[بدهی سررسید شده (کیلوگرم)]]*Main[[#This Row],[روز از ارسال سفارش]]</f>
        <v>0</v>
      </c>
      <c r="U604" s="6">
        <f>-SUBTOTAL(9,INDEX(Main[مقدار (کیلوگرم)],1):Main[[#This Row],[مقدار (کیلوگرم)]])</f>
        <v>26792</v>
      </c>
      <c r="V6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4" s="6">
        <f>Main[[#This Row],[تعداد کل روزهای بدهکار (روز)]]*Main[[#This Row],[مانده در خط کل (کیلوگرم)]]</f>
        <v>0</v>
      </c>
      <c r="X604" s="6">
        <f ca="1">-SUBTOTAL(9,INDEX(Main[مقدار تسویه شده (کیلوگرم)],1):Main[[#This Row],[مقدار تسویه شده (کیلوگرم)]])</f>
        <v>26792</v>
      </c>
      <c r="Y604" s="6">
        <f ca="1">IF(Main[[#This Row],[مانده در خط تسویه شده (کیلوگرم)]]&lt;&gt;0,Main[[#This Row],[تعداد کل روزهای بدهکار (روز)]],0)</f>
        <v>0</v>
      </c>
      <c r="Z604" s="6">
        <f ca="1">Main[[#This Row],[تعداد روزهای بدهکار تسویه شده (روز)]]*Main[[#This Row],[مانده در خط تسویه شده (کیلوگرم)]]</f>
        <v>0</v>
      </c>
      <c r="AA604" s="6">
        <f ca="1">SUBTOTAL(9,INDEX(Main[بدهی تسویه نشده (کیلوگرم)],1):Main[[#This Row],[بدهی تسویه نشده (کیلوگرم)]])</f>
        <v>0</v>
      </c>
      <c r="AB604" s="6">
        <f ca="1">IF(Main[[#This Row],[مانده در خط تسویه نشده (کیلوگرم)]]&lt;&gt;0,Main[[#This Row],[تعداد کل روزهای بدهکار (روز)]],0)</f>
        <v>0</v>
      </c>
      <c r="AC604" s="6">
        <f ca="1">Main[[#This Row],[تعداد روزهای بدهکار  تسویه نشده (روز)]]*Main[[#This Row],[مانده در خط تسویه نشده (کیلوگرم)]]</f>
        <v>0</v>
      </c>
      <c r="AD604" s="6">
        <f ca="1">SUBTOTAL(9,INDEX(Main[بدهی سررسید شده (کیلوگرم)],1):Main[[#This Row],[بدهی سررسید شده (کیلوگرم)]])</f>
        <v>0</v>
      </c>
      <c r="AE604" s="6">
        <f ca="1">IF(Main[[#This Row],[مانده در خط سررسید شده (کیلوگرم)]]&lt;&gt;0,Main[[#This Row],[تعداد کل روزهای بدهکار (روز)]],0)</f>
        <v>0</v>
      </c>
      <c r="AF604" s="6">
        <f ca="1">Main[[#This Row],[تعداد روزهای بدهکار سررسید شده (روز)]]*Main[[#This Row],[مانده در خط سررسید شده (کیلوگرم)]]</f>
        <v>0</v>
      </c>
    </row>
    <row r="605" spans="1:32" x14ac:dyDescent="0.35">
      <c r="A605" s="5">
        <f>ROW()-ROW(INDEX(Main[ردیف],1))+1</f>
        <v>603</v>
      </c>
      <c r="B605" s="31">
        <f>SUBTOTAL(2,INDEX(Main[ردیف],1):Main[[#This Row],[ردیف]])</f>
        <v>57</v>
      </c>
      <c r="C605" s="32" t="s">
        <v>569</v>
      </c>
      <c r="D605" s="32" t="str">
        <f>_xlfn.CONCAT("14",Main[[#This Row],[تاريخ]])</f>
        <v>1400/03/05</v>
      </c>
      <c r="E605" s="33">
        <v>44342</v>
      </c>
      <c r="F605" s="32">
        <v>10003</v>
      </c>
      <c r="G605" s="5" t="str">
        <f>INDEX(customer[عنوان],MATCH(Main[[#This Row],[کد ردیابی]],customer[کد],0))</f>
        <v>اصغر نورعلی</v>
      </c>
      <c r="H605">
        <v>-1984</v>
      </c>
      <c r="I605" s="6">
        <f ca="1">-Main[[#This Row],[بدهی تسویه شده (کیلوگرم)]]+Main[[#This Row],[بستانکار (کیلوگرم)]]</f>
        <v>-1984</v>
      </c>
      <c r="J605" s="6">
        <f>IF(Main[[#This Row],[مقدار (کیلوگرم)]]&gt;0,Main[[#This Row],[مقدار (کیلوگرم)]],0)</f>
        <v>0</v>
      </c>
      <c r="K605" s="6">
        <f>-IF(Main[[#This Row],[مقدار (کیلوگرم)]]&lt;0,Main[[#This Row],[مقدار (کیلوگرم)]],0)</f>
        <v>1984</v>
      </c>
      <c r="L6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5" s="7">
        <f>-IF(AND(Main[[#This Row],[مقدار (کیلوگرم)]]&lt;0,Main[[#This Row],[تاريخ میلادی]]&gt;44276),Main[[#This Row],[مقدار (کیلوگرم)]],0)</f>
        <v>1984</v>
      </c>
      <c r="N605" s="6">
        <f ca="1">Main[[#This Row],[بدهکار (کیلوگرم)]]-Main[[#This Row],[بدهی تسویه نشده (کیلوگرم)]]</f>
        <v>1984</v>
      </c>
      <c r="O605" s="6">
        <f ca="1">Main[[#This Row],[تفکیک]]</f>
        <v>0</v>
      </c>
      <c r="P605" s="6">
        <f ca="1">IF(Main[[#This Row],[تاخیر از سررسید]]&gt;0,Main[[#This Row],[بدهی تسویه نشده (کیلوگرم)]],0)</f>
        <v>0</v>
      </c>
      <c r="Q605" s="6">
        <f ca="1">IF(Main[[#This Row],[بدهی تسویه نشده (کیلوگرم)]]&gt;0,'گزارش فردی'!$B$7-Main[[#This Row],[تاريخ میلادی]],0)</f>
        <v>0</v>
      </c>
      <c r="R605" s="6">
        <f ca="1">IF(Main[[#This Row],[بدهی تسویه نشده (کیلوگرم)]]&gt;0,'گزارش فردی'!$B$7-Main[[#This Row],[تاريخ میلادی]]-'گزارش فردی'!$B$8,0)</f>
        <v>0</v>
      </c>
      <c r="S605" s="6">
        <f ca="1">Main[[#This Row],[روز از ارسال سفارش]]*Main[[#This Row],[بدهی تسویه نشده (کیلوگرم)]]</f>
        <v>0</v>
      </c>
      <c r="T605" s="6">
        <f ca="1">Main[[#This Row],[بدهی سررسید شده (کیلوگرم)]]*Main[[#This Row],[روز از ارسال سفارش]]</f>
        <v>0</v>
      </c>
      <c r="U605" s="6">
        <f>-SUBTOTAL(9,INDEX(Main[مقدار (کیلوگرم)],1):Main[[#This Row],[مقدار (کیلوگرم)]])</f>
        <v>28776</v>
      </c>
      <c r="V60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605" s="6">
        <f>Main[[#This Row],[تعداد کل روزهای بدهکار (روز)]]*Main[[#This Row],[مانده در خط کل (کیلوگرم)]]</f>
        <v>86328</v>
      </c>
      <c r="X605" s="6">
        <f ca="1">-SUBTOTAL(9,INDEX(Main[مقدار تسویه شده (کیلوگرم)],1):Main[[#This Row],[مقدار تسویه شده (کیلوگرم)]])</f>
        <v>28776</v>
      </c>
      <c r="Y605" s="6">
        <f ca="1">IF(Main[[#This Row],[مانده در خط تسویه شده (کیلوگرم)]]&lt;&gt;0,Main[[#This Row],[تعداد کل روزهای بدهکار (روز)]],0)</f>
        <v>3</v>
      </c>
      <c r="Z605" s="6">
        <f ca="1">Main[[#This Row],[تعداد روزهای بدهکار تسویه شده (روز)]]*Main[[#This Row],[مانده در خط تسویه شده (کیلوگرم)]]</f>
        <v>86328</v>
      </c>
      <c r="AA605" s="6">
        <f ca="1">SUBTOTAL(9,INDEX(Main[بدهی تسویه نشده (کیلوگرم)],1):Main[[#This Row],[بدهی تسویه نشده (کیلوگرم)]])</f>
        <v>0</v>
      </c>
      <c r="AB605" s="6">
        <f ca="1">IF(Main[[#This Row],[مانده در خط تسویه نشده (کیلوگرم)]]&lt;&gt;0,Main[[#This Row],[تعداد کل روزهای بدهکار (روز)]],0)</f>
        <v>0</v>
      </c>
      <c r="AC605" s="6">
        <f ca="1">Main[[#This Row],[تعداد روزهای بدهکار  تسویه نشده (روز)]]*Main[[#This Row],[مانده در خط تسویه نشده (کیلوگرم)]]</f>
        <v>0</v>
      </c>
      <c r="AD605" s="6">
        <f ca="1">SUBTOTAL(9,INDEX(Main[بدهی سررسید شده (کیلوگرم)],1):Main[[#This Row],[بدهی سررسید شده (کیلوگرم)]])</f>
        <v>0</v>
      </c>
      <c r="AE605" s="6">
        <f ca="1">IF(Main[[#This Row],[مانده در خط سررسید شده (کیلوگرم)]]&lt;&gt;0,Main[[#This Row],[تعداد کل روزهای بدهکار (روز)]],0)</f>
        <v>0</v>
      </c>
      <c r="AF605" s="6">
        <f ca="1">Main[[#This Row],[تعداد روزهای بدهکار سررسید شده (روز)]]*Main[[#This Row],[مانده در خط سررسید شده (کیلوگرم)]]</f>
        <v>0</v>
      </c>
    </row>
    <row r="606" spans="1:32" hidden="1" x14ac:dyDescent="0.35">
      <c r="A606" s="5">
        <f>ROW()-ROW(INDEX(Main[ردیف],1))+1</f>
        <v>604</v>
      </c>
      <c r="B606" s="31">
        <f>SUBTOTAL(2,INDEX(Main[ردیف],1):Main[[#This Row],[ردیف]])</f>
        <v>57</v>
      </c>
      <c r="C606" s="32" t="s">
        <v>569</v>
      </c>
      <c r="D606" s="32" t="str">
        <f>_xlfn.CONCAT("14",Main[[#This Row],[تاريخ]])</f>
        <v>1400/03/05</v>
      </c>
      <c r="E606" s="33">
        <v>44342</v>
      </c>
      <c r="F606" s="32">
        <v>30140</v>
      </c>
      <c r="G606" s="5" t="str">
        <f>INDEX(customer[عنوان],MATCH(Main[[#This Row],[کد ردیابی]],customer[کد],0))</f>
        <v>شرکت سیتکو</v>
      </c>
      <c r="H606">
        <v>1512</v>
      </c>
      <c r="I606" s="6">
        <f ca="1">-Main[[#This Row],[بدهی تسویه شده (کیلوگرم)]]+Main[[#This Row],[بستانکار (کیلوگرم)]]</f>
        <v>1512</v>
      </c>
      <c r="J606" s="6">
        <f>IF(Main[[#This Row],[مقدار (کیلوگرم)]]&gt;0,Main[[#This Row],[مقدار (کیلوگرم)]],0)</f>
        <v>1512</v>
      </c>
      <c r="K606" s="6">
        <f>-IF(Main[[#This Row],[مقدار (کیلوگرم)]]&lt;0,Main[[#This Row],[مقدار (کیلوگرم)]],0)</f>
        <v>0</v>
      </c>
      <c r="L6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6" s="7">
        <f>-IF(AND(Main[[#This Row],[مقدار (کیلوگرم)]]&lt;0,Main[[#This Row],[تاريخ میلادی]]&gt;44276),Main[[#This Row],[مقدار (کیلوگرم)]],0)</f>
        <v>0</v>
      </c>
      <c r="N606" s="6">
        <f ca="1">Main[[#This Row],[بدهکار (کیلوگرم)]]-Main[[#This Row],[بدهی تسویه نشده (کیلوگرم)]]</f>
        <v>0</v>
      </c>
      <c r="O606" s="6">
        <f ca="1">Main[[#This Row],[تفکیک]]</f>
        <v>0</v>
      </c>
      <c r="P606" s="6">
        <f ca="1">IF(Main[[#This Row],[تاخیر از سررسید]]&gt;0,Main[[#This Row],[بدهی تسویه نشده (کیلوگرم)]],0)</f>
        <v>0</v>
      </c>
      <c r="Q606" s="6">
        <f ca="1">IF(Main[[#This Row],[بدهی تسویه نشده (کیلوگرم)]]&gt;0,'گزارش فردی'!$B$7-Main[[#This Row],[تاريخ میلادی]],0)</f>
        <v>0</v>
      </c>
      <c r="R606" s="6">
        <f ca="1">IF(Main[[#This Row],[بدهی تسویه نشده (کیلوگرم)]]&gt;0,'گزارش فردی'!$B$7-Main[[#This Row],[تاريخ میلادی]]-'گزارش فردی'!$B$8,0)</f>
        <v>0</v>
      </c>
      <c r="S606" s="6">
        <f ca="1">Main[[#This Row],[روز از ارسال سفارش]]*Main[[#This Row],[بدهی تسویه نشده (کیلوگرم)]]</f>
        <v>0</v>
      </c>
      <c r="T606" s="6">
        <f ca="1">Main[[#This Row],[بدهی سررسید شده (کیلوگرم)]]*Main[[#This Row],[روز از ارسال سفارش]]</f>
        <v>0</v>
      </c>
      <c r="U606" s="6">
        <f>-SUBTOTAL(9,INDEX(Main[مقدار (کیلوگرم)],1):Main[[#This Row],[مقدار (کیلوگرم)]])</f>
        <v>28776</v>
      </c>
      <c r="V60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606" s="6">
        <f>Main[[#This Row],[تعداد کل روزهای بدهکار (روز)]]*Main[[#This Row],[مانده در خط کل (کیلوگرم)]]</f>
        <v>86328</v>
      </c>
      <c r="X606" s="6">
        <f ca="1">-SUBTOTAL(9,INDEX(Main[مقدار تسویه شده (کیلوگرم)],1):Main[[#This Row],[مقدار تسویه شده (کیلوگرم)]])</f>
        <v>28776</v>
      </c>
      <c r="Y606" s="6">
        <f ca="1">IF(Main[[#This Row],[مانده در خط تسویه شده (کیلوگرم)]]&lt;&gt;0,Main[[#This Row],[تعداد کل روزهای بدهکار (روز)]],0)</f>
        <v>3</v>
      </c>
      <c r="Z606" s="6">
        <f ca="1">Main[[#This Row],[تعداد روزهای بدهکار تسویه شده (روز)]]*Main[[#This Row],[مانده در خط تسویه شده (کیلوگرم)]]</f>
        <v>86328</v>
      </c>
      <c r="AA606" s="6">
        <f ca="1">SUBTOTAL(9,INDEX(Main[بدهی تسویه نشده (کیلوگرم)],1):Main[[#This Row],[بدهی تسویه نشده (کیلوگرم)]])</f>
        <v>0</v>
      </c>
      <c r="AB606" s="6">
        <f ca="1">IF(Main[[#This Row],[مانده در خط تسویه نشده (کیلوگرم)]]&lt;&gt;0,Main[[#This Row],[تعداد کل روزهای بدهکار (روز)]],0)</f>
        <v>0</v>
      </c>
      <c r="AC606" s="6">
        <f ca="1">Main[[#This Row],[تعداد روزهای بدهکار  تسویه نشده (روز)]]*Main[[#This Row],[مانده در خط تسویه نشده (کیلوگرم)]]</f>
        <v>0</v>
      </c>
      <c r="AD606" s="6">
        <f ca="1">SUBTOTAL(9,INDEX(Main[بدهی سررسید شده (کیلوگرم)],1):Main[[#This Row],[بدهی سررسید شده (کیلوگرم)]])</f>
        <v>0</v>
      </c>
      <c r="AE606" s="6">
        <f ca="1">IF(Main[[#This Row],[مانده در خط سررسید شده (کیلوگرم)]]&lt;&gt;0,Main[[#This Row],[تعداد کل روزهای بدهکار (روز)]],0)</f>
        <v>0</v>
      </c>
      <c r="AF606" s="6">
        <f ca="1">Main[[#This Row],[تعداد روزهای بدهکار سررسید شده (روز)]]*Main[[#This Row],[مانده در خط سررسید شده (کیلوگرم)]]</f>
        <v>0</v>
      </c>
    </row>
    <row r="607" spans="1:32" hidden="1" x14ac:dyDescent="0.35">
      <c r="A607" s="5">
        <f>ROW()-ROW(INDEX(Main[ردیف],1))+1</f>
        <v>605</v>
      </c>
      <c r="B607" s="31">
        <f>SUBTOTAL(2,INDEX(Main[ردیف],1):Main[[#This Row],[ردیف]])</f>
        <v>57</v>
      </c>
      <c r="C607" s="32" t="s">
        <v>569</v>
      </c>
      <c r="D607" s="32" t="str">
        <f>_xlfn.CONCAT("14",Main[[#This Row],[تاريخ]])</f>
        <v>1400/03/05</v>
      </c>
      <c r="E607" s="33">
        <v>44342</v>
      </c>
      <c r="F607" s="32">
        <v>10055</v>
      </c>
      <c r="G607" s="5" t="str">
        <f>INDEX(customer[عنوان],MATCH(Main[[#This Row],[کد ردیابی]],customer[کد],0))</f>
        <v xml:space="preserve">مریم فیض آبادی  </v>
      </c>
      <c r="H607">
        <v>5398</v>
      </c>
      <c r="I607" s="6">
        <f ca="1">-Main[[#This Row],[بدهی تسویه شده (کیلوگرم)]]+Main[[#This Row],[بستانکار (کیلوگرم)]]</f>
        <v>5398</v>
      </c>
      <c r="J607" s="6">
        <f>IF(Main[[#This Row],[مقدار (کیلوگرم)]]&gt;0,Main[[#This Row],[مقدار (کیلوگرم)]],0)</f>
        <v>5398</v>
      </c>
      <c r="K607" s="6">
        <f>-IF(Main[[#This Row],[مقدار (کیلوگرم)]]&lt;0,Main[[#This Row],[مقدار (کیلوگرم)]],0)</f>
        <v>0</v>
      </c>
      <c r="L6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7" s="7">
        <f>-IF(AND(Main[[#This Row],[مقدار (کیلوگرم)]]&lt;0,Main[[#This Row],[تاريخ میلادی]]&gt;44276),Main[[#This Row],[مقدار (کیلوگرم)]],0)</f>
        <v>0</v>
      </c>
      <c r="N607" s="6">
        <f ca="1">Main[[#This Row],[بدهکار (کیلوگرم)]]-Main[[#This Row],[بدهی تسویه نشده (کیلوگرم)]]</f>
        <v>0</v>
      </c>
      <c r="O607" s="6">
        <f ca="1">Main[[#This Row],[تفکیک]]</f>
        <v>0</v>
      </c>
      <c r="P607" s="6">
        <f ca="1">IF(Main[[#This Row],[تاخیر از سررسید]]&gt;0,Main[[#This Row],[بدهی تسویه نشده (کیلوگرم)]],0)</f>
        <v>0</v>
      </c>
      <c r="Q607" s="6">
        <f ca="1">IF(Main[[#This Row],[بدهی تسویه نشده (کیلوگرم)]]&gt;0,'گزارش فردی'!$B$7-Main[[#This Row],[تاريخ میلادی]],0)</f>
        <v>0</v>
      </c>
      <c r="R607" s="6">
        <f ca="1">IF(Main[[#This Row],[بدهی تسویه نشده (کیلوگرم)]]&gt;0,'گزارش فردی'!$B$7-Main[[#This Row],[تاريخ میلادی]]-'گزارش فردی'!$B$8,0)</f>
        <v>0</v>
      </c>
      <c r="S607" s="6">
        <f ca="1">Main[[#This Row],[روز از ارسال سفارش]]*Main[[#This Row],[بدهی تسویه نشده (کیلوگرم)]]</f>
        <v>0</v>
      </c>
      <c r="T607" s="6">
        <f ca="1">Main[[#This Row],[بدهی سررسید شده (کیلوگرم)]]*Main[[#This Row],[روز از ارسال سفارش]]</f>
        <v>0</v>
      </c>
      <c r="U607" s="6">
        <f>-SUBTOTAL(9,INDEX(Main[مقدار (کیلوگرم)],1):Main[[#This Row],[مقدار (کیلوگرم)]])</f>
        <v>28776</v>
      </c>
      <c r="V60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607" s="6">
        <f>Main[[#This Row],[تعداد کل روزهای بدهکار (روز)]]*Main[[#This Row],[مانده در خط کل (کیلوگرم)]]</f>
        <v>86328</v>
      </c>
      <c r="X607" s="6">
        <f ca="1">-SUBTOTAL(9,INDEX(Main[مقدار تسویه شده (کیلوگرم)],1):Main[[#This Row],[مقدار تسویه شده (کیلوگرم)]])</f>
        <v>28776</v>
      </c>
      <c r="Y607" s="6">
        <f ca="1">IF(Main[[#This Row],[مانده در خط تسویه شده (کیلوگرم)]]&lt;&gt;0,Main[[#This Row],[تعداد کل روزهای بدهکار (روز)]],0)</f>
        <v>3</v>
      </c>
      <c r="Z607" s="6">
        <f ca="1">Main[[#This Row],[تعداد روزهای بدهکار تسویه شده (روز)]]*Main[[#This Row],[مانده در خط تسویه شده (کیلوگرم)]]</f>
        <v>86328</v>
      </c>
      <c r="AA607" s="6">
        <f ca="1">SUBTOTAL(9,INDEX(Main[بدهی تسویه نشده (کیلوگرم)],1):Main[[#This Row],[بدهی تسویه نشده (کیلوگرم)]])</f>
        <v>0</v>
      </c>
      <c r="AB607" s="6">
        <f ca="1">IF(Main[[#This Row],[مانده در خط تسویه نشده (کیلوگرم)]]&lt;&gt;0,Main[[#This Row],[تعداد کل روزهای بدهکار (روز)]],0)</f>
        <v>0</v>
      </c>
      <c r="AC607" s="6">
        <f ca="1">Main[[#This Row],[تعداد روزهای بدهکار  تسویه نشده (روز)]]*Main[[#This Row],[مانده در خط تسویه نشده (کیلوگرم)]]</f>
        <v>0</v>
      </c>
      <c r="AD607" s="6">
        <f ca="1">SUBTOTAL(9,INDEX(Main[بدهی سررسید شده (کیلوگرم)],1):Main[[#This Row],[بدهی سررسید شده (کیلوگرم)]])</f>
        <v>0</v>
      </c>
      <c r="AE607" s="6">
        <f ca="1">IF(Main[[#This Row],[مانده در خط سررسید شده (کیلوگرم)]]&lt;&gt;0,Main[[#This Row],[تعداد کل روزهای بدهکار (روز)]],0)</f>
        <v>0</v>
      </c>
      <c r="AF607" s="6">
        <f ca="1">Main[[#This Row],[تعداد روزهای بدهکار سررسید شده (روز)]]*Main[[#This Row],[مانده در خط سررسید شده (کیلوگرم)]]</f>
        <v>0</v>
      </c>
    </row>
    <row r="608" spans="1:32" hidden="1" x14ac:dyDescent="0.35">
      <c r="A608" s="5">
        <f>ROW()-ROW(INDEX(Main[ردیف],1))+1</f>
        <v>606</v>
      </c>
      <c r="B608" s="31">
        <f>SUBTOTAL(2,INDEX(Main[ردیف],1):Main[[#This Row],[ردیف]])</f>
        <v>57</v>
      </c>
      <c r="C608" s="32" t="s">
        <v>571</v>
      </c>
      <c r="D608" s="32" t="str">
        <f>_xlfn.CONCAT("14",Main[[#This Row],[تاريخ]])</f>
        <v>1400/03/06</v>
      </c>
      <c r="E608" s="33">
        <v>44343</v>
      </c>
      <c r="F608" s="32">
        <v>30014</v>
      </c>
      <c r="G608" s="5" t="str">
        <f>INDEX(customer[عنوان],MATCH(Main[[#This Row],[کد ردیابی]],customer[کد],0))</f>
        <v>کلون</v>
      </c>
      <c r="H608">
        <v>-3090</v>
      </c>
      <c r="I608" s="6">
        <f ca="1">-Main[[#This Row],[بدهی تسویه شده (کیلوگرم)]]+Main[[#This Row],[بستانکار (کیلوگرم)]]</f>
        <v>-3090</v>
      </c>
      <c r="J608" s="6">
        <f>IF(Main[[#This Row],[مقدار (کیلوگرم)]]&gt;0,Main[[#This Row],[مقدار (کیلوگرم)]],0)</f>
        <v>0</v>
      </c>
      <c r="K608" s="6">
        <f>-IF(Main[[#This Row],[مقدار (کیلوگرم)]]&lt;0,Main[[#This Row],[مقدار (کیلوگرم)]],0)</f>
        <v>3090</v>
      </c>
      <c r="L6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8" s="7">
        <f>-IF(AND(Main[[#This Row],[مقدار (کیلوگرم)]]&lt;0,Main[[#This Row],[تاريخ میلادی]]&gt;44276),Main[[#This Row],[مقدار (کیلوگرم)]],0)</f>
        <v>3090</v>
      </c>
      <c r="N608" s="6">
        <f ca="1">Main[[#This Row],[بدهکار (کیلوگرم)]]-Main[[#This Row],[بدهی تسویه نشده (کیلوگرم)]]</f>
        <v>3090</v>
      </c>
      <c r="O608" s="6">
        <f ca="1">Main[[#This Row],[تفکیک]]</f>
        <v>0</v>
      </c>
      <c r="P608" s="6">
        <f ca="1">IF(Main[[#This Row],[تاخیر از سررسید]]&gt;0,Main[[#This Row],[بدهی تسویه نشده (کیلوگرم)]],0)</f>
        <v>0</v>
      </c>
      <c r="Q608" s="6">
        <f ca="1">IF(Main[[#This Row],[بدهی تسویه نشده (کیلوگرم)]]&gt;0,'گزارش فردی'!$B$7-Main[[#This Row],[تاريخ میلادی]],0)</f>
        <v>0</v>
      </c>
      <c r="R608" s="6">
        <f ca="1">IF(Main[[#This Row],[بدهی تسویه نشده (کیلوگرم)]]&gt;0,'گزارش فردی'!$B$7-Main[[#This Row],[تاريخ میلادی]]-'گزارش فردی'!$B$8,0)</f>
        <v>0</v>
      </c>
      <c r="S608" s="6">
        <f ca="1">Main[[#This Row],[روز از ارسال سفارش]]*Main[[#This Row],[بدهی تسویه نشده (کیلوگرم)]]</f>
        <v>0</v>
      </c>
      <c r="T608" s="6">
        <f ca="1">Main[[#This Row],[بدهی سررسید شده (کیلوگرم)]]*Main[[#This Row],[روز از ارسال سفارش]]</f>
        <v>0</v>
      </c>
      <c r="U608" s="6">
        <f>-SUBTOTAL(9,INDEX(Main[مقدار (کیلوگرم)],1):Main[[#This Row],[مقدار (کیلوگرم)]])</f>
        <v>28776</v>
      </c>
      <c r="V60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08" s="6">
        <f>Main[[#This Row],[تعداد کل روزهای بدهکار (روز)]]*Main[[#This Row],[مانده در خط کل (کیلوگرم)]]</f>
        <v>57552</v>
      </c>
      <c r="X608" s="6">
        <f ca="1">-SUBTOTAL(9,INDEX(Main[مقدار تسویه شده (کیلوگرم)],1):Main[[#This Row],[مقدار تسویه شده (کیلوگرم)]])</f>
        <v>28776</v>
      </c>
      <c r="Y608" s="6">
        <f ca="1">IF(Main[[#This Row],[مانده در خط تسویه شده (کیلوگرم)]]&lt;&gt;0,Main[[#This Row],[تعداد کل روزهای بدهکار (روز)]],0)</f>
        <v>2</v>
      </c>
      <c r="Z608" s="6">
        <f ca="1">Main[[#This Row],[تعداد روزهای بدهکار تسویه شده (روز)]]*Main[[#This Row],[مانده در خط تسویه شده (کیلوگرم)]]</f>
        <v>57552</v>
      </c>
      <c r="AA608" s="6">
        <f ca="1">SUBTOTAL(9,INDEX(Main[بدهی تسویه نشده (کیلوگرم)],1):Main[[#This Row],[بدهی تسویه نشده (کیلوگرم)]])</f>
        <v>0</v>
      </c>
      <c r="AB608" s="6">
        <f ca="1">IF(Main[[#This Row],[مانده در خط تسویه نشده (کیلوگرم)]]&lt;&gt;0,Main[[#This Row],[تعداد کل روزهای بدهکار (روز)]],0)</f>
        <v>0</v>
      </c>
      <c r="AC608" s="6">
        <f ca="1">Main[[#This Row],[تعداد روزهای بدهکار  تسویه نشده (روز)]]*Main[[#This Row],[مانده در خط تسویه نشده (کیلوگرم)]]</f>
        <v>0</v>
      </c>
      <c r="AD608" s="6">
        <f ca="1">SUBTOTAL(9,INDEX(Main[بدهی سررسید شده (کیلوگرم)],1):Main[[#This Row],[بدهی سررسید شده (کیلوگرم)]])</f>
        <v>0</v>
      </c>
      <c r="AE608" s="6">
        <f ca="1">IF(Main[[#This Row],[مانده در خط سررسید شده (کیلوگرم)]]&lt;&gt;0,Main[[#This Row],[تعداد کل روزهای بدهکار (روز)]],0)</f>
        <v>0</v>
      </c>
      <c r="AF608" s="6">
        <f ca="1">Main[[#This Row],[تعداد روزهای بدهکار سررسید شده (روز)]]*Main[[#This Row],[مانده در خط سررسید شده (کیلوگرم)]]</f>
        <v>0</v>
      </c>
    </row>
    <row r="609" spans="1:32" hidden="1" x14ac:dyDescent="0.35">
      <c r="A609" s="5">
        <f>ROW()-ROW(INDEX(Main[ردیف],1))+1</f>
        <v>607</v>
      </c>
      <c r="B609" s="31">
        <f>SUBTOTAL(2,INDEX(Main[ردیف],1):Main[[#This Row],[ردیف]])</f>
        <v>57</v>
      </c>
      <c r="C609" s="32" t="s">
        <v>571</v>
      </c>
      <c r="D609" s="32" t="str">
        <f>_xlfn.CONCAT("14",Main[[#This Row],[تاريخ]])</f>
        <v>1400/03/06</v>
      </c>
      <c r="E609" s="33">
        <v>44343</v>
      </c>
      <c r="F609" s="32">
        <v>10018</v>
      </c>
      <c r="G609" s="5" t="str">
        <f>INDEX(customer[عنوان],MATCH(Main[[#This Row],[کد ردیابی]],customer[کد],0))</f>
        <v xml:space="preserve">کوهی </v>
      </c>
      <c r="H609">
        <v>574</v>
      </c>
      <c r="I609" s="6">
        <f ca="1">-Main[[#This Row],[بدهی تسویه شده (کیلوگرم)]]+Main[[#This Row],[بستانکار (کیلوگرم)]]</f>
        <v>574</v>
      </c>
      <c r="J609" s="6">
        <f>IF(Main[[#This Row],[مقدار (کیلوگرم)]]&gt;0,Main[[#This Row],[مقدار (کیلوگرم)]],0)</f>
        <v>574</v>
      </c>
      <c r="K609" s="6">
        <f>-IF(Main[[#This Row],[مقدار (کیلوگرم)]]&lt;0,Main[[#This Row],[مقدار (کیلوگرم)]],0)</f>
        <v>0</v>
      </c>
      <c r="L6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9" s="7">
        <f>-IF(AND(Main[[#This Row],[مقدار (کیلوگرم)]]&lt;0,Main[[#This Row],[تاريخ میلادی]]&gt;44276),Main[[#This Row],[مقدار (کیلوگرم)]],0)</f>
        <v>0</v>
      </c>
      <c r="N609" s="6">
        <f ca="1">Main[[#This Row],[بدهکار (کیلوگرم)]]-Main[[#This Row],[بدهی تسویه نشده (کیلوگرم)]]</f>
        <v>0</v>
      </c>
      <c r="O609" s="6">
        <f ca="1">Main[[#This Row],[تفکیک]]</f>
        <v>0</v>
      </c>
      <c r="P609" s="6">
        <f ca="1">IF(Main[[#This Row],[تاخیر از سررسید]]&gt;0,Main[[#This Row],[بدهی تسویه نشده (کیلوگرم)]],0)</f>
        <v>0</v>
      </c>
      <c r="Q609" s="6">
        <f ca="1">IF(Main[[#This Row],[بدهی تسویه نشده (کیلوگرم)]]&gt;0,'گزارش فردی'!$B$7-Main[[#This Row],[تاريخ میلادی]],0)</f>
        <v>0</v>
      </c>
      <c r="R609" s="6">
        <f ca="1">IF(Main[[#This Row],[بدهی تسویه نشده (کیلوگرم)]]&gt;0,'گزارش فردی'!$B$7-Main[[#This Row],[تاريخ میلادی]]-'گزارش فردی'!$B$8,0)</f>
        <v>0</v>
      </c>
      <c r="S609" s="6">
        <f ca="1">Main[[#This Row],[روز از ارسال سفارش]]*Main[[#This Row],[بدهی تسویه نشده (کیلوگرم)]]</f>
        <v>0</v>
      </c>
      <c r="T609" s="6">
        <f ca="1">Main[[#This Row],[بدهی سررسید شده (کیلوگرم)]]*Main[[#This Row],[روز از ارسال سفارش]]</f>
        <v>0</v>
      </c>
      <c r="U609" s="6">
        <f>-SUBTOTAL(9,INDEX(Main[مقدار (کیلوگرم)],1):Main[[#This Row],[مقدار (کیلوگرم)]])</f>
        <v>28776</v>
      </c>
      <c r="V6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09" s="6">
        <f>Main[[#This Row],[تعداد کل روزهای بدهکار (روز)]]*Main[[#This Row],[مانده در خط کل (کیلوگرم)]]</f>
        <v>57552</v>
      </c>
      <c r="X609" s="6">
        <f ca="1">-SUBTOTAL(9,INDEX(Main[مقدار تسویه شده (کیلوگرم)],1):Main[[#This Row],[مقدار تسویه شده (کیلوگرم)]])</f>
        <v>28776</v>
      </c>
      <c r="Y609" s="6">
        <f ca="1">IF(Main[[#This Row],[مانده در خط تسویه شده (کیلوگرم)]]&lt;&gt;0,Main[[#This Row],[تعداد کل روزهای بدهکار (روز)]],0)</f>
        <v>2</v>
      </c>
      <c r="Z609" s="6">
        <f ca="1">Main[[#This Row],[تعداد روزهای بدهکار تسویه شده (روز)]]*Main[[#This Row],[مانده در خط تسویه شده (کیلوگرم)]]</f>
        <v>57552</v>
      </c>
      <c r="AA609" s="6">
        <f ca="1">SUBTOTAL(9,INDEX(Main[بدهی تسویه نشده (کیلوگرم)],1):Main[[#This Row],[بدهی تسویه نشده (کیلوگرم)]])</f>
        <v>0</v>
      </c>
      <c r="AB609" s="6">
        <f ca="1">IF(Main[[#This Row],[مانده در خط تسویه نشده (کیلوگرم)]]&lt;&gt;0,Main[[#This Row],[تعداد کل روزهای بدهکار (روز)]],0)</f>
        <v>0</v>
      </c>
      <c r="AC609" s="6">
        <f ca="1">Main[[#This Row],[تعداد روزهای بدهکار  تسویه نشده (روز)]]*Main[[#This Row],[مانده در خط تسویه نشده (کیلوگرم)]]</f>
        <v>0</v>
      </c>
      <c r="AD609" s="6">
        <f ca="1">SUBTOTAL(9,INDEX(Main[بدهی سررسید شده (کیلوگرم)],1):Main[[#This Row],[بدهی سررسید شده (کیلوگرم)]])</f>
        <v>0</v>
      </c>
      <c r="AE609" s="6">
        <f ca="1">IF(Main[[#This Row],[مانده در خط سررسید شده (کیلوگرم)]]&lt;&gt;0,Main[[#This Row],[تعداد کل روزهای بدهکار (روز)]],0)</f>
        <v>0</v>
      </c>
      <c r="AF609" s="6">
        <f ca="1">Main[[#This Row],[تعداد روزهای بدهکار سررسید شده (روز)]]*Main[[#This Row],[مانده در خط سررسید شده (کیلوگرم)]]</f>
        <v>0</v>
      </c>
    </row>
    <row r="610" spans="1:32" hidden="1" x14ac:dyDescent="0.35">
      <c r="A610" s="5">
        <f>ROW()-ROW(INDEX(Main[ردیف],1))+1</f>
        <v>608</v>
      </c>
      <c r="B610" s="31">
        <f>SUBTOTAL(2,INDEX(Main[ردیف],1):Main[[#This Row],[ردیف]])</f>
        <v>57</v>
      </c>
      <c r="C610" s="32" t="s">
        <v>571</v>
      </c>
      <c r="D610" s="32" t="str">
        <f>_xlfn.CONCAT("14",Main[[#This Row],[تاريخ]])</f>
        <v>1400/03/06</v>
      </c>
      <c r="E610" s="33">
        <v>44343</v>
      </c>
      <c r="F610" s="32">
        <v>30127</v>
      </c>
      <c r="G610" s="5" t="str">
        <f>INDEX(customer[عنوان],MATCH(Main[[#This Row],[کد ردیابی]],customer[کد],0))</f>
        <v>شیر گاز آذران</v>
      </c>
      <c r="H610">
        <v>-15478</v>
      </c>
      <c r="I610" s="6">
        <f ca="1">-Main[[#This Row],[بدهی تسویه شده (کیلوگرم)]]+Main[[#This Row],[بستانکار (کیلوگرم)]]</f>
        <v>-15478</v>
      </c>
      <c r="J610" s="6">
        <f>IF(Main[[#This Row],[مقدار (کیلوگرم)]]&gt;0,Main[[#This Row],[مقدار (کیلوگرم)]],0)</f>
        <v>0</v>
      </c>
      <c r="K610" s="6">
        <f>-IF(Main[[#This Row],[مقدار (کیلوگرم)]]&lt;0,Main[[#This Row],[مقدار (کیلوگرم)]],0)</f>
        <v>15478</v>
      </c>
      <c r="L6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0" s="7">
        <f>-IF(AND(Main[[#This Row],[مقدار (کیلوگرم)]]&lt;0,Main[[#This Row],[تاريخ میلادی]]&gt;44276),Main[[#This Row],[مقدار (کیلوگرم)]],0)</f>
        <v>15478</v>
      </c>
      <c r="N610" s="6">
        <f ca="1">Main[[#This Row],[بدهکار (کیلوگرم)]]-Main[[#This Row],[بدهی تسویه نشده (کیلوگرم)]]</f>
        <v>15478</v>
      </c>
      <c r="O610" s="6">
        <f ca="1">Main[[#This Row],[تفکیک]]</f>
        <v>0</v>
      </c>
      <c r="P610" s="6">
        <f ca="1">IF(Main[[#This Row],[تاخیر از سررسید]]&gt;0,Main[[#This Row],[بدهی تسویه نشده (کیلوگرم)]],0)</f>
        <v>0</v>
      </c>
      <c r="Q610" s="6">
        <f ca="1">IF(Main[[#This Row],[بدهی تسویه نشده (کیلوگرم)]]&gt;0,'گزارش فردی'!$B$7-Main[[#This Row],[تاريخ میلادی]],0)</f>
        <v>0</v>
      </c>
      <c r="R610" s="6">
        <f ca="1">IF(Main[[#This Row],[بدهی تسویه نشده (کیلوگرم)]]&gt;0,'گزارش فردی'!$B$7-Main[[#This Row],[تاريخ میلادی]]-'گزارش فردی'!$B$8,0)</f>
        <v>0</v>
      </c>
      <c r="S610" s="6">
        <f ca="1">Main[[#This Row],[روز از ارسال سفارش]]*Main[[#This Row],[بدهی تسویه نشده (کیلوگرم)]]</f>
        <v>0</v>
      </c>
      <c r="T610" s="6">
        <f ca="1">Main[[#This Row],[بدهی سررسید شده (کیلوگرم)]]*Main[[#This Row],[روز از ارسال سفارش]]</f>
        <v>0</v>
      </c>
      <c r="U610" s="6">
        <f>-SUBTOTAL(9,INDEX(Main[مقدار (کیلوگرم)],1):Main[[#This Row],[مقدار (کیلوگرم)]])</f>
        <v>28776</v>
      </c>
      <c r="V6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0" s="6">
        <f>Main[[#This Row],[تعداد کل روزهای بدهکار (روز)]]*Main[[#This Row],[مانده در خط کل (کیلوگرم)]]</f>
        <v>57552</v>
      </c>
      <c r="X610" s="6">
        <f ca="1">-SUBTOTAL(9,INDEX(Main[مقدار تسویه شده (کیلوگرم)],1):Main[[#This Row],[مقدار تسویه شده (کیلوگرم)]])</f>
        <v>28776</v>
      </c>
      <c r="Y610" s="6">
        <f ca="1">IF(Main[[#This Row],[مانده در خط تسویه شده (کیلوگرم)]]&lt;&gt;0,Main[[#This Row],[تعداد کل روزهای بدهکار (روز)]],0)</f>
        <v>2</v>
      </c>
      <c r="Z610" s="6">
        <f ca="1">Main[[#This Row],[تعداد روزهای بدهکار تسویه شده (روز)]]*Main[[#This Row],[مانده در خط تسویه شده (کیلوگرم)]]</f>
        <v>57552</v>
      </c>
      <c r="AA610" s="6">
        <f ca="1">SUBTOTAL(9,INDEX(Main[بدهی تسویه نشده (کیلوگرم)],1):Main[[#This Row],[بدهی تسویه نشده (کیلوگرم)]])</f>
        <v>0</v>
      </c>
      <c r="AB610" s="6">
        <f ca="1">IF(Main[[#This Row],[مانده در خط تسویه نشده (کیلوگرم)]]&lt;&gt;0,Main[[#This Row],[تعداد کل روزهای بدهکار (روز)]],0)</f>
        <v>0</v>
      </c>
      <c r="AC610" s="6">
        <f ca="1">Main[[#This Row],[تعداد روزهای بدهکار  تسویه نشده (روز)]]*Main[[#This Row],[مانده در خط تسویه نشده (کیلوگرم)]]</f>
        <v>0</v>
      </c>
      <c r="AD610" s="6">
        <f ca="1">SUBTOTAL(9,INDEX(Main[بدهی سررسید شده (کیلوگرم)],1):Main[[#This Row],[بدهی سررسید شده (کیلوگرم)]])</f>
        <v>0</v>
      </c>
      <c r="AE610" s="6">
        <f ca="1">IF(Main[[#This Row],[مانده در خط سررسید شده (کیلوگرم)]]&lt;&gt;0,Main[[#This Row],[تعداد کل روزهای بدهکار (روز)]],0)</f>
        <v>0</v>
      </c>
      <c r="AF610" s="6">
        <f ca="1">Main[[#This Row],[تعداد روزهای بدهکار سررسید شده (روز)]]*Main[[#This Row],[مانده در خط سررسید شده (کیلوگرم)]]</f>
        <v>0</v>
      </c>
    </row>
    <row r="611" spans="1:32" hidden="1" x14ac:dyDescent="0.35">
      <c r="A611" s="5">
        <f>ROW()-ROW(INDEX(Main[ردیف],1))+1</f>
        <v>609</v>
      </c>
      <c r="B611" s="31">
        <f>SUBTOTAL(2,INDEX(Main[ردیف],1):Main[[#This Row],[ردیف]])</f>
        <v>57</v>
      </c>
      <c r="C611" s="32" t="s">
        <v>571</v>
      </c>
      <c r="D611" s="32" t="str">
        <f>_xlfn.CONCAT("14",Main[[#This Row],[تاريخ]])</f>
        <v>1400/03/06</v>
      </c>
      <c r="E611" s="33">
        <v>44343</v>
      </c>
      <c r="F611" s="32">
        <v>30127</v>
      </c>
      <c r="G611" s="5" t="str">
        <f>INDEX(customer[عنوان],MATCH(Main[[#This Row],[کد ردیابی]],customer[کد],0))</f>
        <v>شیر گاز آذران</v>
      </c>
      <c r="H611">
        <v>2147</v>
      </c>
      <c r="I611" s="6">
        <f ca="1">-Main[[#This Row],[بدهی تسویه شده (کیلوگرم)]]+Main[[#This Row],[بستانکار (کیلوگرم)]]</f>
        <v>2147</v>
      </c>
      <c r="J611" s="6">
        <f>IF(Main[[#This Row],[مقدار (کیلوگرم)]]&gt;0,Main[[#This Row],[مقدار (کیلوگرم)]],0)</f>
        <v>2147</v>
      </c>
      <c r="K611" s="6">
        <f>-IF(Main[[#This Row],[مقدار (کیلوگرم)]]&lt;0,Main[[#This Row],[مقدار (کیلوگرم)]],0)</f>
        <v>0</v>
      </c>
      <c r="L6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1" s="7">
        <f>-IF(AND(Main[[#This Row],[مقدار (کیلوگرم)]]&lt;0,Main[[#This Row],[تاريخ میلادی]]&gt;44276),Main[[#This Row],[مقدار (کیلوگرم)]],0)</f>
        <v>0</v>
      </c>
      <c r="N611" s="6">
        <f ca="1">Main[[#This Row],[بدهکار (کیلوگرم)]]-Main[[#This Row],[بدهی تسویه نشده (کیلوگرم)]]</f>
        <v>0</v>
      </c>
      <c r="O611" s="6">
        <f ca="1">Main[[#This Row],[تفکیک]]</f>
        <v>0</v>
      </c>
      <c r="P611" s="6">
        <f ca="1">IF(Main[[#This Row],[تاخیر از سررسید]]&gt;0,Main[[#This Row],[بدهی تسویه نشده (کیلوگرم)]],0)</f>
        <v>0</v>
      </c>
      <c r="Q611" s="6">
        <f ca="1">IF(Main[[#This Row],[بدهی تسویه نشده (کیلوگرم)]]&gt;0,'گزارش فردی'!$B$7-Main[[#This Row],[تاريخ میلادی]],0)</f>
        <v>0</v>
      </c>
      <c r="R611" s="6">
        <f ca="1">IF(Main[[#This Row],[بدهی تسویه نشده (کیلوگرم)]]&gt;0,'گزارش فردی'!$B$7-Main[[#This Row],[تاريخ میلادی]]-'گزارش فردی'!$B$8,0)</f>
        <v>0</v>
      </c>
      <c r="S611" s="6">
        <f ca="1">Main[[#This Row],[روز از ارسال سفارش]]*Main[[#This Row],[بدهی تسویه نشده (کیلوگرم)]]</f>
        <v>0</v>
      </c>
      <c r="T611" s="6">
        <f ca="1">Main[[#This Row],[بدهی سررسید شده (کیلوگرم)]]*Main[[#This Row],[روز از ارسال سفارش]]</f>
        <v>0</v>
      </c>
      <c r="U611" s="6">
        <f>-SUBTOTAL(9,INDEX(Main[مقدار (کیلوگرم)],1):Main[[#This Row],[مقدار (کیلوگرم)]])</f>
        <v>28776</v>
      </c>
      <c r="V6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1" s="6">
        <f>Main[[#This Row],[تعداد کل روزهای بدهکار (روز)]]*Main[[#This Row],[مانده در خط کل (کیلوگرم)]]</f>
        <v>57552</v>
      </c>
      <c r="X611" s="6">
        <f ca="1">-SUBTOTAL(9,INDEX(Main[مقدار تسویه شده (کیلوگرم)],1):Main[[#This Row],[مقدار تسویه شده (کیلوگرم)]])</f>
        <v>28776</v>
      </c>
      <c r="Y611" s="6">
        <f ca="1">IF(Main[[#This Row],[مانده در خط تسویه شده (کیلوگرم)]]&lt;&gt;0,Main[[#This Row],[تعداد کل روزهای بدهکار (روز)]],0)</f>
        <v>2</v>
      </c>
      <c r="Z611" s="6">
        <f ca="1">Main[[#This Row],[تعداد روزهای بدهکار تسویه شده (روز)]]*Main[[#This Row],[مانده در خط تسویه شده (کیلوگرم)]]</f>
        <v>57552</v>
      </c>
      <c r="AA611" s="6">
        <f ca="1">SUBTOTAL(9,INDEX(Main[بدهی تسویه نشده (کیلوگرم)],1):Main[[#This Row],[بدهی تسویه نشده (کیلوگرم)]])</f>
        <v>0</v>
      </c>
      <c r="AB611" s="6">
        <f ca="1">IF(Main[[#This Row],[مانده در خط تسویه نشده (کیلوگرم)]]&lt;&gt;0,Main[[#This Row],[تعداد کل روزهای بدهکار (روز)]],0)</f>
        <v>0</v>
      </c>
      <c r="AC611" s="6">
        <f ca="1">Main[[#This Row],[تعداد روزهای بدهکار  تسویه نشده (روز)]]*Main[[#This Row],[مانده در خط تسویه نشده (کیلوگرم)]]</f>
        <v>0</v>
      </c>
      <c r="AD611" s="6">
        <f ca="1">SUBTOTAL(9,INDEX(Main[بدهی سررسید شده (کیلوگرم)],1):Main[[#This Row],[بدهی سررسید شده (کیلوگرم)]])</f>
        <v>0</v>
      </c>
      <c r="AE611" s="6">
        <f ca="1">IF(Main[[#This Row],[مانده در خط سررسید شده (کیلوگرم)]]&lt;&gt;0,Main[[#This Row],[تعداد کل روزهای بدهکار (روز)]],0)</f>
        <v>0</v>
      </c>
      <c r="AF611" s="6">
        <f ca="1">Main[[#This Row],[تعداد روزهای بدهکار سررسید شده (روز)]]*Main[[#This Row],[مانده در خط سررسید شده (کیلوگرم)]]</f>
        <v>0</v>
      </c>
    </row>
    <row r="612" spans="1:32" hidden="1" x14ac:dyDescent="0.35">
      <c r="A612" s="5">
        <f>ROW()-ROW(INDEX(Main[ردیف],1))+1</f>
        <v>610</v>
      </c>
      <c r="B612" s="31">
        <f>SUBTOTAL(2,INDEX(Main[ردیف],1):Main[[#This Row],[ردیف]])</f>
        <v>57</v>
      </c>
      <c r="C612" s="32" t="s">
        <v>571</v>
      </c>
      <c r="D612" s="32" t="str">
        <f>_xlfn.CONCAT("14",Main[[#This Row],[تاريخ]])</f>
        <v>1400/03/06</v>
      </c>
      <c r="E612" s="33">
        <v>44343</v>
      </c>
      <c r="F612" s="32">
        <v>50016</v>
      </c>
      <c r="G612" s="5" t="str">
        <f>INDEX(customer[عنوان],MATCH(Main[[#This Row],[کد ردیابی]],customer[کد],0))</f>
        <v xml:space="preserve">مهدی یوسفی  </v>
      </c>
      <c r="H612">
        <v>-1912</v>
      </c>
      <c r="I612" s="6">
        <f ca="1">-Main[[#This Row],[بدهی تسویه شده (کیلوگرم)]]+Main[[#This Row],[بستانکار (کیلوگرم)]]</f>
        <v>-1912</v>
      </c>
      <c r="J612" s="6">
        <f>IF(Main[[#This Row],[مقدار (کیلوگرم)]]&gt;0,Main[[#This Row],[مقدار (کیلوگرم)]],0)</f>
        <v>0</v>
      </c>
      <c r="K612" s="6">
        <f>-IF(Main[[#This Row],[مقدار (کیلوگرم)]]&lt;0,Main[[#This Row],[مقدار (کیلوگرم)]],0)</f>
        <v>1912</v>
      </c>
      <c r="L6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2" s="7">
        <f>-IF(AND(Main[[#This Row],[مقدار (کیلوگرم)]]&lt;0,Main[[#This Row],[تاريخ میلادی]]&gt;44276),Main[[#This Row],[مقدار (کیلوگرم)]],0)</f>
        <v>1912</v>
      </c>
      <c r="N612" s="6">
        <f ca="1">Main[[#This Row],[بدهکار (کیلوگرم)]]-Main[[#This Row],[بدهی تسویه نشده (کیلوگرم)]]</f>
        <v>1912</v>
      </c>
      <c r="O612" s="6">
        <f ca="1">Main[[#This Row],[تفکیک]]</f>
        <v>0</v>
      </c>
      <c r="P612" s="6">
        <f ca="1">IF(Main[[#This Row],[تاخیر از سررسید]]&gt;0,Main[[#This Row],[بدهی تسویه نشده (کیلوگرم)]],0)</f>
        <v>0</v>
      </c>
      <c r="Q612" s="6">
        <f ca="1">IF(Main[[#This Row],[بدهی تسویه نشده (کیلوگرم)]]&gt;0,'گزارش فردی'!$B$7-Main[[#This Row],[تاريخ میلادی]],0)</f>
        <v>0</v>
      </c>
      <c r="R612" s="6">
        <f ca="1">IF(Main[[#This Row],[بدهی تسویه نشده (کیلوگرم)]]&gt;0,'گزارش فردی'!$B$7-Main[[#This Row],[تاريخ میلادی]]-'گزارش فردی'!$B$8,0)</f>
        <v>0</v>
      </c>
      <c r="S612" s="6">
        <f ca="1">Main[[#This Row],[روز از ارسال سفارش]]*Main[[#This Row],[بدهی تسویه نشده (کیلوگرم)]]</f>
        <v>0</v>
      </c>
      <c r="T612" s="6">
        <f ca="1">Main[[#This Row],[بدهی سررسید شده (کیلوگرم)]]*Main[[#This Row],[روز از ارسال سفارش]]</f>
        <v>0</v>
      </c>
      <c r="U612" s="6">
        <f>-SUBTOTAL(9,INDEX(Main[مقدار (کیلوگرم)],1):Main[[#This Row],[مقدار (کیلوگرم)]])</f>
        <v>28776</v>
      </c>
      <c r="V6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2" s="6">
        <f>Main[[#This Row],[تعداد کل روزهای بدهکار (روز)]]*Main[[#This Row],[مانده در خط کل (کیلوگرم)]]</f>
        <v>57552</v>
      </c>
      <c r="X612" s="6">
        <f ca="1">-SUBTOTAL(9,INDEX(Main[مقدار تسویه شده (کیلوگرم)],1):Main[[#This Row],[مقدار تسویه شده (کیلوگرم)]])</f>
        <v>28776</v>
      </c>
      <c r="Y612" s="6">
        <f ca="1">IF(Main[[#This Row],[مانده در خط تسویه شده (کیلوگرم)]]&lt;&gt;0,Main[[#This Row],[تعداد کل روزهای بدهکار (روز)]],0)</f>
        <v>2</v>
      </c>
      <c r="Z612" s="6">
        <f ca="1">Main[[#This Row],[تعداد روزهای بدهکار تسویه شده (روز)]]*Main[[#This Row],[مانده در خط تسویه شده (کیلوگرم)]]</f>
        <v>57552</v>
      </c>
      <c r="AA612" s="6">
        <f ca="1">SUBTOTAL(9,INDEX(Main[بدهی تسویه نشده (کیلوگرم)],1):Main[[#This Row],[بدهی تسویه نشده (کیلوگرم)]])</f>
        <v>0</v>
      </c>
      <c r="AB612" s="6">
        <f ca="1">IF(Main[[#This Row],[مانده در خط تسویه نشده (کیلوگرم)]]&lt;&gt;0,Main[[#This Row],[تعداد کل روزهای بدهکار (روز)]],0)</f>
        <v>0</v>
      </c>
      <c r="AC612" s="6">
        <f ca="1">Main[[#This Row],[تعداد روزهای بدهکار  تسویه نشده (روز)]]*Main[[#This Row],[مانده در خط تسویه نشده (کیلوگرم)]]</f>
        <v>0</v>
      </c>
      <c r="AD612" s="6">
        <f ca="1">SUBTOTAL(9,INDEX(Main[بدهی سررسید شده (کیلوگرم)],1):Main[[#This Row],[بدهی سررسید شده (کیلوگرم)]])</f>
        <v>0</v>
      </c>
      <c r="AE612" s="6">
        <f ca="1">IF(Main[[#This Row],[مانده در خط سررسید شده (کیلوگرم)]]&lt;&gt;0,Main[[#This Row],[تعداد کل روزهای بدهکار (روز)]],0)</f>
        <v>0</v>
      </c>
      <c r="AF612" s="6">
        <f ca="1">Main[[#This Row],[تعداد روزهای بدهکار سررسید شده (روز)]]*Main[[#This Row],[مانده در خط سررسید شده (کیلوگرم)]]</f>
        <v>0</v>
      </c>
    </row>
    <row r="613" spans="1:32" hidden="1" x14ac:dyDescent="0.35">
      <c r="A613" s="5">
        <f>ROW()-ROW(INDEX(Main[ردیف],1))+1</f>
        <v>611</v>
      </c>
      <c r="B613" s="31">
        <f>SUBTOTAL(2,INDEX(Main[ردیف],1):Main[[#This Row],[ردیف]])</f>
        <v>57</v>
      </c>
      <c r="C613" s="32" t="s">
        <v>571</v>
      </c>
      <c r="D613" s="32" t="str">
        <f>_xlfn.CONCAT("14",Main[[#This Row],[تاريخ]])</f>
        <v>1400/03/06</v>
      </c>
      <c r="E613" s="33">
        <v>44343</v>
      </c>
      <c r="F613" s="32">
        <v>30014</v>
      </c>
      <c r="G613" s="5" t="str">
        <f>INDEX(customer[عنوان],MATCH(Main[[#This Row],[کد ردیابی]],customer[کد],0))</f>
        <v>کلون</v>
      </c>
      <c r="H613">
        <v>270</v>
      </c>
      <c r="I613" s="6">
        <f ca="1">-Main[[#This Row],[بدهی تسویه شده (کیلوگرم)]]+Main[[#This Row],[بستانکار (کیلوگرم)]]</f>
        <v>270</v>
      </c>
      <c r="J613" s="6">
        <f>IF(Main[[#This Row],[مقدار (کیلوگرم)]]&gt;0,Main[[#This Row],[مقدار (کیلوگرم)]],0)</f>
        <v>270</v>
      </c>
      <c r="K613" s="6">
        <f>-IF(Main[[#This Row],[مقدار (کیلوگرم)]]&lt;0,Main[[#This Row],[مقدار (کیلوگرم)]],0)</f>
        <v>0</v>
      </c>
      <c r="L6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3" s="7">
        <f>-IF(AND(Main[[#This Row],[مقدار (کیلوگرم)]]&lt;0,Main[[#This Row],[تاريخ میلادی]]&gt;44276),Main[[#This Row],[مقدار (کیلوگرم)]],0)</f>
        <v>0</v>
      </c>
      <c r="N613" s="6">
        <f ca="1">Main[[#This Row],[بدهکار (کیلوگرم)]]-Main[[#This Row],[بدهی تسویه نشده (کیلوگرم)]]</f>
        <v>0</v>
      </c>
      <c r="O613" s="6">
        <f ca="1">Main[[#This Row],[تفکیک]]</f>
        <v>0</v>
      </c>
      <c r="P613" s="6">
        <f ca="1">IF(Main[[#This Row],[تاخیر از سررسید]]&gt;0,Main[[#This Row],[بدهی تسویه نشده (کیلوگرم)]],0)</f>
        <v>0</v>
      </c>
      <c r="Q613" s="6">
        <f ca="1">IF(Main[[#This Row],[بدهی تسویه نشده (کیلوگرم)]]&gt;0,'گزارش فردی'!$B$7-Main[[#This Row],[تاريخ میلادی]],0)</f>
        <v>0</v>
      </c>
      <c r="R613" s="6">
        <f ca="1">IF(Main[[#This Row],[بدهی تسویه نشده (کیلوگرم)]]&gt;0,'گزارش فردی'!$B$7-Main[[#This Row],[تاريخ میلادی]]-'گزارش فردی'!$B$8,0)</f>
        <v>0</v>
      </c>
      <c r="S613" s="6">
        <f ca="1">Main[[#This Row],[روز از ارسال سفارش]]*Main[[#This Row],[بدهی تسویه نشده (کیلوگرم)]]</f>
        <v>0</v>
      </c>
      <c r="T613" s="6">
        <f ca="1">Main[[#This Row],[بدهی سررسید شده (کیلوگرم)]]*Main[[#This Row],[روز از ارسال سفارش]]</f>
        <v>0</v>
      </c>
      <c r="U613" s="6">
        <f>-SUBTOTAL(9,INDEX(Main[مقدار (کیلوگرم)],1):Main[[#This Row],[مقدار (کیلوگرم)]])</f>
        <v>28776</v>
      </c>
      <c r="V6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3" s="6">
        <f>Main[[#This Row],[تعداد کل روزهای بدهکار (روز)]]*Main[[#This Row],[مانده در خط کل (کیلوگرم)]]</f>
        <v>57552</v>
      </c>
      <c r="X613" s="6">
        <f ca="1">-SUBTOTAL(9,INDEX(Main[مقدار تسویه شده (کیلوگرم)],1):Main[[#This Row],[مقدار تسویه شده (کیلوگرم)]])</f>
        <v>28776</v>
      </c>
      <c r="Y613" s="6">
        <f ca="1">IF(Main[[#This Row],[مانده در خط تسویه شده (کیلوگرم)]]&lt;&gt;0,Main[[#This Row],[تعداد کل روزهای بدهکار (روز)]],0)</f>
        <v>2</v>
      </c>
      <c r="Z613" s="6">
        <f ca="1">Main[[#This Row],[تعداد روزهای بدهکار تسویه شده (روز)]]*Main[[#This Row],[مانده در خط تسویه شده (کیلوگرم)]]</f>
        <v>57552</v>
      </c>
      <c r="AA613" s="6">
        <f ca="1">SUBTOTAL(9,INDEX(Main[بدهی تسویه نشده (کیلوگرم)],1):Main[[#This Row],[بدهی تسویه نشده (کیلوگرم)]])</f>
        <v>0</v>
      </c>
      <c r="AB613" s="6">
        <f ca="1">IF(Main[[#This Row],[مانده در خط تسویه نشده (کیلوگرم)]]&lt;&gt;0,Main[[#This Row],[تعداد کل روزهای بدهکار (روز)]],0)</f>
        <v>0</v>
      </c>
      <c r="AC613" s="6">
        <f ca="1">Main[[#This Row],[تعداد روزهای بدهکار  تسویه نشده (روز)]]*Main[[#This Row],[مانده در خط تسویه نشده (کیلوگرم)]]</f>
        <v>0</v>
      </c>
      <c r="AD613" s="6">
        <f ca="1">SUBTOTAL(9,INDEX(Main[بدهی سررسید شده (کیلوگرم)],1):Main[[#This Row],[بدهی سررسید شده (کیلوگرم)]])</f>
        <v>0</v>
      </c>
      <c r="AE613" s="6">
        <f ca="1">IF(Main[[#This Row],[مانده در خط سررسید شده (کیلوگرم)]]&lt;&gt;0,Main[[#This Row],[تعداد کل روزهای بدهکار (روز)]],0)</f>
        <v>0</v>
      </c>
      <c r="AF613" s="6">
        <f ca="1">Main[[#This Row],[تعداد روزهای بدهکار سررسید شده (روز)]]*Main[[#This Row],[مانده در خط سررسید شده (کیلوگرم)]]</f>
        <v>0</v>
      </c>
    </row>
    <row r="614" spans="1:32" hidden="1" x14ac:dyDescent="0.35">
      <c r="A614" s="5">
        <f>ROW()-ROW(INDEX(Main[ردیف],1))+1</f>
        <v>612</v>
      </c>
      <c r="B614" s="31">
        <f>SUBTOTAL(2,INDEX(Main[ردیف],1):Main[[#This Row],[ردیف]])</f>
        <v>57</v>
      </c>
      <c r="C614" s="32" t="s">
        <v>571</v>
      </c>
      <c r="D614" s="32" t="str">
        <f>_xlfn.CONCAT("14",Main[[#This Row],[تاريخ]])</f>
        <v>1400/03/06</v>
      </c>
      <c r="E614" s="33">
        <v>44343</v>
      </c>
      <c r="F614" s="32">
        <v>10018</v>
      </c>
      <c r="G614" s="5" t="str">
        <f>INDEX(customer[عنوان],MATCH(Main[[#This Row],[کد ردیابی]],customer[کد],0))</f>
        <v xml:space="preserve">کوهی </v>
      </c>
      <c r="H614">
        <v>-446</v>
      </c>
      <c r="I614" s="6">
        <f ca="1">-Main[[#This Row],[بدهی تسویه شده (کیلوگرم)]]+Main[[#This Row],[بستانکار (کیلوگرم)]]</f>
        <v>-446</v>
      </c>
      <c r="J614" s="6">
        <f>IF(Main[[#This Row],[مقدار (کیلوگرم)]]&gt;0,Main[[#This Row],[مقدار (کیلوگرم)]],0)</f>
        <v>0</v>
      </c>
      <c r="K614" s="6">
        <f>-IF(Main[[#This Row],[مقدار (کیلوگرم)]]&lt;0,Main[[#This Row],[مقدار (کیلوگرم)]],0)</f>
        <v>446</v>
      </c>
      <c r="L6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4" s="7">
        <f>-IF(AND(Main[[#This Row],[مقدار (کیلوگرم)]]&lt;0,Main[[#This Row],[تاريخ میلادی]]&gt;44276),Main[[#This Row],[مقدار (کیلوگرم)]],0)</f>
        <v>446</v>
      </c>
      <c r="N614" s="6">
        <f ca="1">Main[[#This Row],[بدهکار (کیلوگرم)]]-Main[[#This Row],[بدهی تسویه نشده (کیلوگرم)]]</f>
        <v>446</v>
      </c>
      <c r="O614" s="6">
        <f ca="1">Main[[#This Row],[تفکیک]]</f>
        <v>0</v>
      </c>
      <c r="P614" s="6">
        <f ca="1">IF(Main[[#This Row],[تاخیر از سررسید]]&gt;0,Main[[#This Row],[بدهی تسویه نشده (کیلوگرم)]],0)</f>
        <v>0</v>
      </c>
      <c r="Q614" s="6">
        <f ca="1">IF(Main[[#This Row],[بدهی تسویه نشده (کیلوگرم)]]&gt;0,'گزارش فردی'!$B$7-Main[[#This Row],[تاريخ میلادی]],0)</f>
        <v>0</v>
      </c>
      <c r="R614" s="6">
        <f ca="1">IF(Main[[#This Row],[بدهی تسویه نشده (کیلوگرم)]]&gt;0,'گزارش فردی'!$B$7-Main[[#This Row],[تاريخ میلادی]]-'گزارش فردی'!$B$8,0)</f>
        <v>0</v>
      </c>
      <c r="S614" s="6">
        <f ca="1">Main[[#This Row],[روز از ارسال سفارش]]*Main[[#This Row],[بدهی تسویه نشده (کیلوگرم)]]</f>
        <v>0</v>
      </c>
      <c r="T614" s="6">
        <f ca="1">Main[[#This Row],[بدهی سررسید شده (کیلوگرم)]]*Main[[#This Row],[روز از ارسال سفارش]]</f>
        <v>0</v>
      </c>
      <c r="U614" s="6">
        <f>-SUBTOTAL(9,INDEX(Main[مقدار (کیلوگرم)],1):Main[[#This Row],[مقدار (کیلوگرم)]])</f>
        <v>28776</v>
      </c>
      <c r="V6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4" s="6">
        <f>Main[[#This Row],[تعداد کل روزهای بدهکار (روز)]]*Main[[#This Row],[مانده در خط کل (کیلوگرم)]]</f>
        <v>57552</v>
      </c>
      <c r="X614" s="6">
        <f ca="1">-SUBTOTAL(9,INDEX(Main[مقدار تسویه شده (کیلوگرم)],1):Main[[#This Row],[مقدار تسویه شده (کیلوگرم)]])</f>
        <v>28776</v>
      </c>
      <c r="Y614" s="6">
        <f ca="1">IF(Main[[#This Row],[مانده در خط تسویه شده (کیلوگرم)]]&lt;&gt;0,Main[[#This Row],[تعداد کل روزهای بدهکار (روز)]],0)</f>
        <v>2</v>
      </c>
      <c r="Z614" s="6">
        <f ca="1">Main[[#This Row],[تعداد روزهای بدهکار تسویه شده (روز)]]*Main[[#This Row],[مانده در خط تسویه شده (کیلوگرم)]]</f>
        <v>57552</v>
      </c>
      <c r="AA614" s="6">
        <f ca="1">SUBTOTAL(9,INDEX(Main[بدهی تسویه نشده (کیلوگرم)],1):Main[[#This Row],[بدهی تسویه نشده (کیلوگرم)]])</f>
        <v>0</v>
      </c>
      <c r="AB614" s="6">
        <f ca="1">IF(Main[[#This Row],[مانده در خط تسویه نشده (کیلوگرم)]]&lt;&gt;0,Main[[#This Row],[تعداد کل روزهای بدهکار (روز)]],0)</f>
        <v>0</v>
      </c>
      <c r="AC614" s="6">
        <f ca="1">Main[[#This Row],[تعداد روزهای بدهکار  تسویه نشده (روز)]]*Main[[#This Row],[مانده در خط تسویه نشده (کیلوگرم)]]</f>
        <v>0</v>
      </c>
      <c r="AD614" s="6">
        <f ca="1">SUBTOTAL(9,INDEX(Main[بدهی سررسید شده (کیلوگرم)],1):Main[[#This Row],[بدهی سررسید شده (کیلوگرم)]])</f>
        <v>0</v>
      </c>
      <c r="AE614" s="6">
        <f ca="1">IF(Main[[#This Row],[مانده در خط سررسید شده (کیلوگرم)]]&lt;&gt;0,Main[[#This Row],[تعداد کل روزهای بدهکار (روز)]],0)</f>
        <v>0</v>
      </c>
      <c r="AF614" s="6">
        <f ca="1">Main[[#This Row],[تعداد روزهای بدهکار سررسید شده (روز)]]*Main[[#This Row],[مانده در خط سررسید شده (کیلوگرم)]]</f>
        <v>0</v>
      </c>
    </row>
    <row r="615" spans="1:32" hidden="1" x14ac:dyDescent="0.35">
      <c r="A615" s="5">
        <f>ROW()-ROW(INDEX(Main[ردیف],1))+1</f>
        <v>613</v>
      </c>
      <c r="B615" s="31">
        <f>SUBTOTAL(2,INDEX(Main[ردیف],1):Main[[#This Row],[ردیف]])</f>
        <v>57</v>
      </c>
      <c r="C615" s="32" t="s">
        <v>571</v>
      </c>
      <c r="D615" s="32" t="str">
        <f>_xlfn.CONCAT("14",Main[[#This Row],[تاريخ]])</f>
        <v>1400/03/06</v>
      </c>
      <c r="E615" s="33">
        <v>44343</v>
      </c>
      <c r="F615" s="32">
        <v>30014</v>
      </c>
      <c r="G615" s="5" t="str">
        <f>INDEX(customer[عنوان],MATCH(Main[[#This Row],[کد ردیابی]],customer[کد],0))</f>
        <v>کلون</v>
      </c>
      <c r="H615">
        <v>2684</v>
      </c>
      <c r="I615" s="6">
        <f ca="1">-Main[[#This Row],[بدهی تسویه شده (کیلوگرم)]]+Main[[#This Row],[بستانکار (کیلوگرم)]]</f>
        <v>2684</v>
      </c>
      <c r="J615" s="6">
        <f>IF(Main[[#This Row],[مقدار (کیلوگرم)]]&gt;0,Main[[#This Row],[مقدار (کیلوگرم)]],0)</f>
        <v>2684</v>
      </c>
      <c r="K615" s="6">
        <f>-IF(Main[[#This Row],[مقدار (کیلوگرم)]]&lt;0,Main[[#This Row],[مقدار (کیلوگرم)]],0)</f>
        <v>0</v>
      </c>
      <c r="L6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5" s="7">
        <f>-IF(AND(Main[[#This Row],[مقدار (کیلوگرم)]]&lt;0,Main[[#This Row],[تاريخ میلادی]]&gt;44276),Main[[#This Row],[مقدار (کیلوگرم)]],0)</f>
        <v>0</v>
      </c>
      <c r="N615" s="6">
        <f ca="1">Main[[#This Row],[بدهکار (کیلوگرم)]]-Main[[#This Row],[بدهی تسویه نشده (کیلوگرم)]]</f>
        <v>0</v>
      </c>
      <c r="O615" s="6">
        <f ca="1">Main[[#This Row],[تفکیک]]</f>
        <v>0</v>
      </c>
      <c r="P615" s="6">
        <f ca="1">IF(Main[[#This Row],[تاخیر از سررسید]]&gt;0,Main[[#This Row],[بدهی تسویه نشده (کیلوگرم)]],0)</f>
        <v>0</v>
      </c>
      <c r="Q615" s="6">
        <f ca="1">IF(Main[[#This Row],[بدهی تسویه نشده (کیلوگرم)]]&gt;0,'گزارش فردی'!$B$7-Main[[#This Row],[تاريخ میلادی]],0)</f>
        <v>0</v>
      </c>
      <c r="R615" s="6">
        <f ca="1">IF(Main[[#This Row],[بدهی تسویه نشده (کیلوگرم)]]&gt;0,'گزارش فردی'!$B$7-Main[[#This Row],[تاريخ میلادی]]-'گزارش فردی'!$B$8,0)</f>
        <v>0</v>
      </c>
      <c r="S615" s="6">
        <f ca="1">Main[[#This Row],[روز از ارسال سفارش]]*Main[[#This Row],[بدهی تسویه نشده (کیلوگرم)]]</f>
        <v>0</v>
      </c>
      <c r="T615" s="6">
        <f ca="1">Main[[#This Row],[بدهی سررسید شده (کیلوگرم)]]*Main[[#This Row],[روز از ارسال سفارش]]</f>
        <v>0</v>
      </c>
      <c r="U615" s="6">
        <f>-SUBTOTAL(9,INDEX(Main[مقدار (کیلوگرم)],1):Main[[#This Row],[مقدار (کیلوگرم)]])</f>
        <v>28776</v>
      </c>
      <c r="V6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5" s="6">
        <f>Main[[#This Row],[تعداد کل روزهای بدهکار (روز)]]*Main[[#This Row],[مانده در خط کل (کیلوگرم)]]</f>
        <v>57552</v>
      </c>
      <c r="X615" s="6">
        <f ca="1">-SUBTOTAL(9,INDEX(Main[مقدار تسویه شده (کیلوگرم)],1):Main[[#This Row],[مقدار تسویه شده (کیلوگرم)]])</f>
        <v>28776</v>
      </c>
      <c r="Y615" s="6">
        <f ca="1">IF(Main[[#This Row],[مانده در خط تسویه شده (کیلوگرم)]]&lt;&gt;0,Main[[#This Row],[تعداد کل روزهای بدهکار (روز)]],0)</f>
        <v>2</v>
      </c>
      <c r="Z615" s="6">
        <f ca="1">Main[[#This Row],[تعداد روزهای بدهکار تسویه شده (روز)]]*Main[[#This Row],[مانده در خط تسویه شده (کیلوگرم)]]</f>
        <v>57552</v>
      </c>
      <c r="AA615" s="6">
        <f ca="1">SUBTOTAL(9,INDEX(Main[بدهی تسویه نشده (کیلوگرم)],1):Main[[#This Row],[بدهی تسویه نشده (کیلوگرم)]])</f>
        <v>0</v>
      </c>
      <c r="AB615" s="6">
        <f ca="1">IF(Main[[#This Row],[مانده در خط تسویه نشده (کیلوگرم)]]&lt;&gt;0,Main[[#This Row],[تعداد کل روزهای بدهکار (روز)]],0)</f>
        <v>0</v>
      </c>
      <c r="AC615" s="6">
        <f ca="1">Main[[#This Row],[تعداد روزهای بدهکار  تسویه نشده (روز)]]*Main[[#This Row],[مانده در خط تسویه نشده (کیلوگرم)]]</f>
        <v>0</v>
      </c>
      <c r="AD615" s="6">
        <f ca="1">SUBTOTAL(9,INDEX(Main[بدهی سررسید شده (کیلوگرم)],1):Main[[#This Row],[بدهی سررسید شده (کیلوگرم)]])</f>
        <v>0</v>
      </c>
      <c r="AE615" s="6">
        <f ca="1">IF(Main[[#This Row],[مانده در خط سررسید شده (کیلوگرم)]]&lt;&gt;0,Main[[#This Row],[تعداد کل روزهای بدهکار (روز)]],0)</f>
        <v>0</v>
      </c>
      <c r="AF615" s="6">
        <f ca="1">Main[[#This Row],[تعداد روزهای بدهکار سررسید شده (روز)]]*Main[[#This Row],[مانده در خط سررسید شده (کیلوگرم)]]</f>
        <v>0</v>
      </c>
    </row>
    <row r="616" spans="1:32" hidden="1" x14ac:dyDescent="0.35">
      <c r="A616" s="5">
        <f>ROW()-ROW(INDEX(Main[ردیف],1))+1</f>
        <v>614</v>
      </c>
      <c r="B616" s="31">
        <f>SUBTOTAL(2,INDEX(Main[ردیف],1):Main[[#This Row],[ردیف]])</f>
        <v>57</v>
      </c>
      <c r="C616" s="32" t="s">
        <v>571</v>
      </c>
      <c r="D616" s="32" t="str">
        <f>_xlfn.CONCAT("14",Main[[#This Row],[تاريخ]])</f>
        <v>1400/03/06</v>
      </c>
      <c r="E616" s="33">
        <v>44343</v>
      </c>
      <c r="F616" s="32">
        <v>30004</v>
      </c>
      <c r="G616" s="5" t="str">
        <f>INDEX(customer[عنوان],MATCH(Main[[#This Row],[کد ردیابی]],customer[کد],0))</f>
        <v>تولیدی صنعتی صفاشیر پارس</v>
      </c>
      <c r="H616">
        <v>-4752</v>
      </c>
      <c r="I616" s="6">
        <f ca="1">-Main[[#This Row],[بدهی تسویه شده (کیلوگرم)]]+Main[[#This Row],[بستانکار (کیلوگرم)]]</f>
        <v>-4752</v>
      </c>
      <c r="J616" s="6">
        <f>IF(Main[[#This Row],[مقدار (کیلوگرم)]]&gt;0,Main[[#This Row],[مقدار (کیلوگرم)]],0)</f>
        <v>0</v>
      </c>
      <c r="K616" s="6">
        <f>-IF(Main[[#This Row],[مقدار (کیلوگرم)]]&lt;0,Main[[#This Row],[مقدار (کیلوگرم)]],0)</f>
        <v>4752</v>
      </c>
      <c r="L6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6" s="7">
        <f>-IF(AND(Main[[#This Row],[مقدار (کیلوگرم)]]&lt;0,Main[[#This Row],[تاريخ میلادی]]&gt;44276),Main[[#This Row],[مقدار (کیلوگرم)]],0)</f>
        <v>4752</v>
      </c>
      <c r="N616" s="6">
        <f ca="1">Main[[#This Row],[بدهکار (کیلوگرم)]]-Main[[#This Row],[بدهی تسویه نشده (کیلوگرم)]]</f>
        <v>4752</v>
      </c>
      <c r="O616" s="6">
        <f ca="1">Main[[#This Row],[تفکیک]]</f>
        <v>0</v>
      </c>
      <c r="P616" s="6">
        <f ca="1">IF(Main[[#This Row],[تاخیر از سررسید]]&gt;0,Main[[#This Row],[بدهی تسویه نشده (کیلوگرم)]],0)</f>
        <v>0</v>
      </c>
      <c r="Q616" s="6">
        <f ca="1">IF(Main[[#This Row],[بدهی تسویه نشده (کیلوگرم)]]&gt;0,'گزارش فردی'!$B$7-Main[[#This Row],[تاريخ میلادی]],0)</f>
        <v>0</v>
      </c>
      <c r="R616" s="6">
        <f ca="1">IF(Main[[#This Row],[بدهی تسویه نشده (کیلوگرم)]]&gt;0,'گزارش فردی'!$B$7-Main[[#This Row],[تاريخ میلادی]]-'گزارش فردی'!$B$8,0)</f>
        <v>0</v>
      </c>
      <c r="S616" s="6">
        <f ca="1">Main[[#This Row],[روز از ارسال سفارش]]*Main[[#This Row],[بدهی تسویه نشده (کیلوگرم)]]</f>
        <v>0</v>
      </c>
      <c r="T616" s="6">
        <f ca="1">Main[[#This Row],[بدهی سررسید شده (کیلوگرم)]]*Main[[#This Row],[روز از ارسال سفارش]]</f>
        <v>0</v>
      </c>
      <c r="U616" s="6">
        <f>-SUBTOTAL(9,INDEX(Main[مقدار (کیلوگرم)],1):Main[[#This Row],[مقدار (کیلوگرم)]])</f>
        <v>28776</v>
      </c>
      <c r="V6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6" s="6">
        <f>Main[[#This Row],[تعداد کل روزهای بدهکار (روز)]]*Main[[#This Row],[مانده در خط کل (کیلوگرم)]]</f>
        <v>57552</v>
      </c>
      <c r="X616" s="6">
        <f ca="1">-SUBTOTAL(9,INDEX(Main[مقدار تسویه شده (کیلوگرم)],1):Main[[#This Row],[مقدار تسویه شده (کیلوگرم)]])</f>
        <v>28776</v>
      </c>
      <c r="Y616" s="6">
        <f ca="1">IF(Main[[#This Row],[مانده در خط تسویه شده (کیلوگرم)]]&lt;&gt;0,Main[[#This Row],[تعداد کل روزهای بدهکار (روز)]],0)</f>
        <v>2</v>
      </c>
      <c r="Z616" s="6">
        <f ca="1">Main[[#This Row],[تعداد روزهای بدهکار تسویه شده (روز)]]*Main[[#This Row],[مانده در خط تسویه شده (کیلوگرم)]]</f>
        <v>57552</v>
      </c>
      <c r="AA616" s="6">
        <f ca="1">SUBTOTAL(9,INDEX(Main[بدهی تسویه نشده (کیلوگرم)],1):Main[[#This Row],[بدهی تسویه نشده (کیلوگرم)]])</f>
        <v>0</v>
      </c>
      <c r="AB616" s="6">
        <f ca="1">IF(Main[[#This Row],[مانده در خط تسویه نشده (کیلوگرم)]]&lt;&gt;0,Main[[#This Row],[تعداد کل روزهای بدهکار (روز)]],0)</f>
        <v>0</v>
      </c>
      <c r="AC616" s="6">
        <f ca="1">Main[[#This Row],[تعداد روزهای بدهکار  تسویه نشده (روز)]]*Main[[#This Row],[مانده در خط تسویه نشده (کیلوگرم)]]</f>
        <v>0</v>
      </c>
      <c r="AD616" s="6">
        <f ca="1">SUBTOTAL(9,INDEX(Main[بدهی سررسید شده (کیلوگرم)],1):Main[[#This Row],[بدهی سررسید شده (کیلوگرم)]])</f>
        <v>0</v>
      </c>
      <c r="AE616" s="6">
        <f ca="1">IF(Main[[#This Row],[مانده در خط سررسید شده (کیلوگرم)]]&lt;&gt;0,Main[[#This Row],[تعداد کل روزهای بدهکار (روز)]],0)</f>
        <v>0</v>
      </c>
      <c r="AF616" s="6">
        <f ca="1">Main[[#This Row],[تعداد روزهای بدهکار سررسید شده (روز)]]*Main[[#This Row],[مانده در خط سررسید شده (کیلوگرم)]]</f>
        <v>0</v>
      </c>
    </row>
    <row r="617" spans="1:32" hidden="1" x14ac:dyDescent="0.35">
      <c r="A617" s="5">
        <f>ROW()-ROW(INDEX(Main[ردیف],1))+1</f>
        <v>615</v>
      </c>
      <c r="B617" s="31">
        <f>SUBTOTAL(2,INDEX(Main[ردیف],1):Main[[#This Row],[ردیف]])</f>
        <v>57</v>
      </c>
      <c r="C617" s="32" t="s">
        <v>571</v>
      </c>
      <c r="D617" s="32" t="str">
        <f>_xlfn.CONCAT("14",Main[[#This Row],[تاريخ]])</f>
        <v>1400/03/06</v>
      </c>
      <c r="E617" s="33">
        <v>44343</v>
      </c>
      <c r="F617" s="32">
        <v>30009</v>
      </c>
      <c r="G617" s="5" t="str">
        <f>INDEX(customer[عنوان],MATCH(Main[[#This Row],[کد ردیابی]],customer[کد],0))</f>
        <v>شرکت ایمن تک پیشرو</v>
      </c>
      <c r="H617">
        <v>-1819</v>
      </c>
      <c r="I617" s="6">
        <f ca="1">-Main[[#This Row],[بدهی تسویه شده (کیلوگرم)]]+Main[[#This Row],[بستانکار (کیلوگرم)]]</f>
        <v>-1819</v>
      </c>
      <c r="J617" s="6">
        <f>IF(Main[[#This Row],[مقدار (کیلوگرم)]]&gt;0,Main[[#This Row],[مقدار (کیلوگرم)]],0)</f>
        <v>0</v>
      </c>
      <c r="K617" s="6">
        <f>-IF(Main[[#This Row],[مقدار (کیلوگرم)]]&lt;0,Main[[#This Row],[مقدار (کیلوگرم)]],0)</f>
        <v>1819</v>
      </c>
      <c r="L6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7" s="7">
        <f>-IF(AND(Main[[#This Row],[مقدار (کیلوگرم)]]&lt;0,Main[[#This Row],[تاريخ میلادی]]&gt;44276),Main[[#This Row],[مقدار (کیلوگرم)]],0)</f>
        <v>1819</v>
      </c>
      <c r="N617" s="6">
        <f ca="1">Main[[#This Row],[بدهکار (کیلوگرم)]]-Main[[#This Row],[بدهی تسویه نشده (کیلوگرم)]]</f>
        <v>1819</v>
      </c>
      <c r="O617" s="6">
        <f ca="1">Main[[#This Row],[تفکیک]]</f>
        <v>0</v>
      </c>
      <c r="P617" s="6">
        <f ca="1">IF(Main[[#This Row],[تاخیر از سررسید]]&gt;0,Main[[#This Row],[بدهی تسویه نشده (کیلوگرم)]],0)</f>
        <v>0</v>
      </c>
      <c r="Q617" s="6">
        <f ca="1">IF(Main[[#This Row],[بدهی تسویه نشده (کیلوگرم)]]&gt;0,'گزارش فردی'!$B$7-Main[[#This Row],[تاريخ میلادی]],0)</f>
        <v>0</v>
      </c>
      <c r="R617" s="6">
        <f ca="1">IF(Main[[#This Row],[بدهی تسویه نشده (کیلوگرم)]]&gt;0,'گزارش فردی'!$B$7-Main[[#This Row],[تاريخ میلادی]]-'گزارش فردی'!$B$8,0)</f>
        <v>0</v>
      </c>
      <c r="S617" s="6">
        <f ca="1">Main[[#This Row],[روز از ارسال سفارش]]*Main[[#This Row],[بدهی تسویه نشده (کیلوگرم)]]</f>
        <v>0</v>
      </c>
      <c r="T617" s="6">
        <f ca="1">Main[[#This Row],[بدهی سررسید شده (کیلوگرم)]]*Main[[#This Row],[روز از ارسال سفارش]]</f>
        <v>0</v>
      </c>
      <c r="U617" s="6">
        <f>-SUBTOTAL(9,INDEX(Main[مقدار (کیلوگرم)],1):Main[[#This Row],[مقدار (کیلوگرم)]])</f>
        <v>28776</v>
      </c>
      <c r="V6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7" s="6">
        <f>Main[[#This Row],[تعداد کل روزهای بدهکار (روز)]]*Main[[#This Row],[مانده در خط کل (کیلوگرم)]]</f>
        <v>57552</v>
      </c>
      <c r="X617" s="6">
        <f ca="1">-SUBTOTAL(9,INDEX(Main[مقدار تسویه شده (کیلوگرم)],1):Main[[#This Row],[مقدار تسویه شده (کیلوگرم)]])</f>
        <v>28776</v>
      </c>
      <c r="Y617" s="6">
        <f ca="1">IF(Main[[#This Row],[مانده در خط تسویه شده (کیلوگرم)]]&lt;&gt;0,Main[[#This Row],[تعداد کل روزهای بدهکار (روز)]],0)</f>
        <v>2</v>
      </c>
      <c r="Z617" s="6">
        <f ca="1">Main[[#This Row],[تعداد روزهای بدهکار تسویه شده (روز)]]*Main[[#This Row],[مانده در خط تسویه شده (کیلوگرم)]]</f>
        <v>57552</v>
      </c>
      <c r="AA617" s="6">
        <f ca="1">SUBTOTAL(9,INDEX(Main[بدهی تسویه نشده (کیلوگرم)],1):Main[[#This Row],[بدهی تسویه نشده (کیلوگرم)]])</f>
        <v>0</v>
      </c>
      <c r="AB617" s="6">
        <f ca="1">IF(Main[[#This Row],[مانده در خط تسویه نشده (کیلوگرم)]]&lt;&gt;0,Main[[#This Row],[تعداد کل روزهای بدهکار (روز)]],0)</f>
        <v>0</v>
      </c>
      <c r="AC617" s="6">
        <f ca="1">Main[[#This Row],[تعداد روزهای بدهکار  تسویه نشده (روز)]]*Main[[#This Row],[مانده در خط تسویه نشده (کیلوگرم)]]</f>
        <v>0</v>
      </c>
      <c r="AD617" s="6">
        <f ca="1">SUBTOTAL(9,INDEX(Main[بدهی سررسید شده (کیلوگرم)],1):Main[[#This Row],[بدهی سررسید شده (کیلوگرم)]])</f>
        <v>0</v>
      </c>
      <c r="AE617" s="6">
        <f ca="1">IF(Main[[#This Row],[مانده در خط سررسید شده (کیلوگرم)]]&lt;&gt;0,Main[[#This Row],[تعداد کل روزهای بدهکار (روز)]],0)</f>
        <v>0</v>
      </c>
      <c r="AF617" s="6">
        <f ca="1">Main[[#This Row],[تعداد روزهای بدهکار سررسید شده (روز)]]*Main[[#This Row],[مانده در خط سررسید شده (کیلوگرم)]]</f>
        <v>0</v>
      </c>
    </row>
    <row r="618" spans="1:32" hidden="1" x14ac:dyDescent="0.35">
      <c r="A618" s="5">
        <f>ROW()-ROW(INDEX(Main[ردیف],1))+1</f>
        <v>616</v>
      </c>
      <c r="B618" s="31">
        <f>SUBTOTAL(2,INDEX(Main[ردیف],1):Main[[#This Row],[ردیف]])</f>
        <v>57</v>
      </c>
      <c r="C618" s="32" t="s">
        <v>572</v>
      </c>
      <c r="D618" s="32" t="str">
        <f>_xlfn.CONCAT("14",Main[[#This Row],[تاريخ]])</f>
        <v>1400/03/08</v>
      </c>
      <c r="E618" s="33">
        <v>44345</v>
      </c>
      <c r="F618" s="32">
        <v>30003</v>
      </c>
      <c r="G618" s="5" t="str">
        <f>INDEX(customer[عنوان],MATCH(Main[[#This Row],[کد ردیابی]],customer[کد],0))</f>
        <v xml:space="preserve">شهاب گاز سوز </v>
      </c>
      <c r="H618">
        <v>1082</v>
      </c>
      <c r="I618" s="6">
        <f ca="1">-Main[[#This Row],[بدهی تسویه شده (کیلوگرم)]]+Main[[#This Row],[بستانکار (کیلوگرم)]]</f>
        <v>1082</v>
      </c>
      <c r="J618" s="6">
        <f>IF(Main[[#This Row],[مقدار (کیلوگرم)]]&gt;0,Main[[#This Row],[مقدار (کیلوگرم)]],0)</f>
        <v>1082</v>
      </c>
      <c r="K618" s="6">
        <f>-IF(Main[[#This Row],[مقدار (کیلوگرم)]]&lt;0,Main[[#This Row],[مقدار (کیلوگرم)]],0)</f>
        <v>0</v>
      </c>
      <c r="L6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8" s="7">
        <f>-IF(AND(Main[[#This Row],[مقدار (کیلوگرم)]]&lt;0,Main[[#This Row],[تاريخ میلادی]]&gt;44276),Main[[#This Row],[مقدار (کیلوگرم)]],0)</f>
        <v>0</v>
      </c>
      <c r="N618" s="6">
        <f ca="1">Main[[#This Row],[بدهکار (کیلوگرم)]]-Main[[#This Row],[بدهی تسویه نشده (کیلوگرم)]]</f>
        <v>0</v>
      </c>
      <c r="O618" s="6">
        <f ca="1">Main[[#This Row],[تفکیک]]</f>
        <v>0</v>
      </c>
      <c r="P618" s="6">
        <f ca="1">IF(Main[[#This Row],[تاخیر از سررسید]]&gt;0,Main[[#This Row],[بدهی تسویه نشده (کیلوگرم)]],0)</f>
        <v>0</v>
      </c>
      <c r="Q618" s="6">
        <f ca="1">IF(Main[[#This Row],[بدهی تسویه نشده (کیلوگرم)]]&gt;0,'گزارش فردی'!$B$7-Main[[#This Row],[تاريخ میلادی]],0)</f>
        <v>0</v>
      </c>
      <c r="R618" s="6">
        <f ca="1">IF(Main[[#This Row],[بدهی تسویه نشده (کیلوگرم)]]&gt;0,'گزارش فردی'!$B$7-Main[[#This Row],[تاريخ میلادی]]-'گزارش فردی'!$B$8,0)</f>
        <v>0</v>
      </c>
      <c r="S618" s="6">
        <f ca="1">Main[[#This Row],[روز از ارسال سفارش]]*Main[[#This Row],[بدهی تسویه نشده (کیلوگرم)]]</f>
        <v>0</v>
      </c>
      <c r="T618" s="6">
        <f ca="1">Main[[#This Row],[بدهی سررسید شده (کیلوگرم)]]*Main[[#This Row],[روز از ارسال سفارش]]</f>
        <v>0</v>
      </c>
      <c r="U618" s="6">
        <f>-SUBTOTAL(9,INDEX(Main[مقدار (کیلوگرم)],1):Main[[#This Row],[مقدار (کیلوگرم)]])</f>
        <v>28776</v>
      </c>
      <c r="V6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18" s="6">
        <f>Main[[#This Row],[تعداد کل روزهای بدهکار (روز)]]*Main[[#This Row],[مانده در خط کل (کیلوگرم)]]</f>
        <v>0</v>
      </c>
      <c r="X618" s="6">
        <f ca="1">-SUBTOTAL(9,INDEX(Main[مقدار تسویه شده (کیلوگرم)],1):Main[[#This Row],[مقدار تسویه شده (کیلوگرم)]])</f>
        <v>28776</v>
      </c>
      <c r="Y618" s="6">
        <f ca="1">IF(Main[[#This Row],[مانده در خط تسویه شده (کیلوگرم)]]&lt;&gt;0,Main[[#This Row],[تعداد کل روزهای بدهکار (روز)]],0)</f>
        <v>0</v>
      </c>
      <c r="Z618" s="6">
        <f ca="1">Main[[#This Row],[تعداد روزهای بدهکار تسویه شده (روز)]]*Main[[#This Row],[مانده در خط تسویه شده (کیلوگرم)]]</f>
        <v>0</v>
      </c>
      <c r="AA618" s="6">
        <f ca="1">SUBTOTAL(9,INDEX(Main[بدهی تسویه نشده (کیلوگرم)],1):Main[[#This Row],[بدهی تسویه نشده (کیلوگرم)]])</f>
        <v>0</v>
      </c>
      <c r="AB618" s="6">
        <f ca="1">IF(Main[[#This Row],[مانده در خط تسویه نشده (کیلوگرم)]]&lt;&gt;0,Main[[#This Row],[تعداد کل روزهای بدهکار (روز)]],0)</f>
        <v>0</v>
      </c>
      <c r="AC618" s="6">
        <f ca="1">Main[[#This Row],[تعداد روزهای بدهکار  تسویه نشده (روز)]]*Main[[#This Row],[مانده در خط تسویه نشده (کیلوگرم)]]</f>
        <v>0</v>
      </c>
      <c r="AD618" s="6">
        <f ca="1">SUBTOTAL(9,INDEX(Main[بدهی سررسید شده (کیلوگرم)],1):Main[[#This Row],[بدهی سررسید شده (کیلوگرم)]])</f>
        <v>0</v>
      </c>
      <c r="AE618" s="6">
        <f ca="1">IF(Main[[#This Row],[مانده در خط سررسید شده (کیلوگرم)]]&lt;&gt;0,Main[[#This Row],[تعداد کل روزهای بدهکار (روز)]],0)</f>
        <v>0</v>
      </c>
      <c r="AF618" s="6">
        <f ca="1">Main[[#This Row],[تعداد روزهای بدهکار سررسید شده (روز)]]*Main[[#This Row],[مانده در خط سررسید شده (کیلوگرم)]]</f>
        <v>0</v>
      </c>
    </row>
    <row r="619" spans="1:32" hidden="1" x14ac:dyDescent="0.35">
      <c r="A619" s="5">
        <f>ROW()-ROW(INDEX(Main[ردیف],1))+1</f>
        <v>617</v>
      </c>
      <c r="B619" s="31">
        <f>SUBTOTAL(2,INDEX(Main[ردیف],1):Main[[#This Row],[ردیف]])</f>
        <v>57</v>
      </c>
      <c r="C619" s="32" t="s">
        <v>572</v>
      </c>
      <c r="D619" s="32" t="str">
        <f>_xlfn.CONCAT("14",Main[[#This Row],[تاريخ]])</f>
        <v>1400/03/08</v>
      </c>
      <c r="E619" s="33">
        <v>44345</v>
      </c>
      <c r="F619" s="32">
        <v>30081</v>
      </c>
      <c r="G619" s="5" t="str">
        <f>INDEX(customer[عنوان],MATCH(Main[[#This Row],[کد ردیابی]],customer[کد],0))</f>
        <v xml:space="preserve">شیرآلات بهداشتی راسان </v>
      </c>
      <c r="H619">
        <v>-2099</v>
      </c>
      <c r="I619" s="6">
        <f ca="1">-Main[[#This Row],[بدهی تسویه شده (کیلوگرم)]]+Main[[#This Row],[بستانکار (کیلوگرم)]]</f>
        <v>-2099</v>
      </c>
      <c r="J619" s="6">
        <f>IF(Main[[#This Row],[مقدار (کیلوگرم)]]&gt;0,Main[[#This Row],[مقدار (کیلوگرم)]],0)</f>
        <v>0</v>
      </c>
      <c r="K619" s="6">
        <f>-IF(Main[[#This Row],[مقدار (کیلوگرم)]]&lt;0,Main[[#This Row],[مقدار (کیلوگرم)]],0)</f>
        <v>2099</v>
      </c>
      <c r="L6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9" s="7">
        <f>-IF(AND(Main[[#This Row],[مقدار (کیلوگرم)]]&lt;0,Main[[#This Row],[تاريخ میلادی]]&gt;44276),Main[[#This Row],[مقدار (کیلوگرم)]],0)</f>
        <v>2099</v>
      </c>
      <c r="N619" s="6">
        <f ca="1">Main[[#This Row],[بدهکار (کیلوگرم)]]-Main[[#This Row],[بدهی تسویه نشده (کیلوگرم)]]</f>
        <v>2099</v>
      </c>
      <c r="O619" s="6">
        <f ca="1">Main[[#This Row],[تفکیک]]</f>
        <v>0</v>
      </c>
      <c r="P619" s="6">
        <f ca="1">IF(Main[[#This Row],[تاخیر از سررسید]]&gt;0,Main[[#This Row],[بدهی تسویه نشده (کیلوگرم)]],0)</f>
        <v>0</v>
      </c>
      <c r="Q619" s="6">
        <f ca="1">IF(Main[[#This Row],[بدهی تسویه نشده (کیلوگرم)]]&gt;0,'گزارش فردی'!$B$7-Main[[#This Row],[تاريخ میلادی]],0)</f>
        <v>0</v>
      </c>
      <c r="R619" s="6">
        <f ca="1">IF(Main[[#This Row],[بدهی تسویه نشده (کیلوگرم)]]&gt;0,'گزارش فردی'!$B$7-Main[[#This Row],[تاريخ میلادی]]-'گزارش فردی'!$B$8,0)</f>
        <v>0</v>
      </c>
      <c r="S619" s="6">
        <f ca="1">Main[[#This Row],[روز از ارسال سفارش]]*Main[[#This Row],[بدهی تسویه نشده (کیلوگرم)]]</f>
        <v>0</v>
      </c>
      <c r="T619" s="6">
        <f ca="1">Main[[#This Row],[بدهی سررسید شده (کیلوگرم)]]*Main[[#This Row],[روز از ارسال سفارش]]</f>
        <v>0</v>
      </c>
      <c r="U619" s="6">
        <f>-SUBTOTAL(9,INDEX(Main[مقدار (کیلوگرم)],1):Main[[#This Row],[مقدار (کیلوگرم)]])</f>
        <v>28776</v>
      </c>
      <c r="V6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19" s="6">
        <f>Main[[#This Row],[تعداد کل روزهای بدهکار (روز)]]*Main[[#This Row],[مانده در خط کل (کیلوگرم)]]</f>
        <v>0</v>
      </c>
      <c r="X619" s="6">
        <f ca="1">-SUBTOTAL(9,INDEX(Main[مقدار تسویه شده (کیلوگرم)],1):Main[[#This Row],[مقدار تسویه شده (کیلوگرم)]])</f>
        <v>28776</v>
      </c>
      <c r="Y619" s="6">
        <f ca="1">IF(Main[[#This Row],[مانده در خط تسویه شده (کیلوگرم)]]&lt;&gt;0,Main[[#This Row],[تعداد کل روزهای بدهکار (روز)]],0)</f>
        <v>0</v>
      </c>
      <c r="Z619" s="6">
        <f ca="1">Main[[#This Row],[تعداد روزهای بدهکار تسویه شده (روز)]]*Main[[#This Row],[مانده در خط تسویه شده (کیلوگرم)]]</f>
        <v>0</v>
      </c>
      <c r="AA619" s="6">
        <f ca="1">SUBTOTAL(9,INDEX(Main[بدهی تسویه نشده (کیلوگرم)],1):Main[[#This Row],[بدهی تسویه نشده (کیلوگرم)]])</f>
        <v>0</v>
      </c>
      <c r="AB619" s="6">
        <f ca="1">IF(Main[[#This Row],[مانده در خط تسویه نشده (کیلوگرم)]]&lt;&gt;0,Main[[#This Row],[تعداد کل روزهای بدهکار (روز)]],0)</f>
        <v>0</v>
      </c>
      <c r="AC619" s="6">
        <f ca="1">Main[[#This Row],[تعداد روزهای بدهکار  تسویه نشده (روز)]]*Main[[#This Row],[مانده در خط تسویه نشده (کیلوگرم)]]</f>
        <v>0</v>
      </c>
      <c r="AD619" s="6">
        <f ca="1">SUBTOTAL(9,INDEX(Main[بدهی سررسید شده (کیلوگرم)],1):Main[[#This Row],[بدهی سررسید شده (کیلوگرم)]])</f>
        <v>0</v>
      </c>
      <c r="AE619" s="6">
        <f ca="1">IF(Main[[#This Row],[مانده در خط سررسید شده (کیلوگرم)]]&lt;&gt;0,Main[[#This Row],[تعداد کل روزهای بدهکار (روز)]],0)</f>
        <v>0</v>
      </c>
      <c r="AF619" s="6">
        <f ca="1">Main[[#This Row],[تعداد روزهای بدهکار سررسید شده (روز)]]*Main[[#This Row],[مانده در خط سررسید شده (کیلوگرم)]]</f>
        <v>0</v>
      </c>
    </row>
    <row r="620" spans="1:32" hidden="1" x14ac:dyDescent="0.35">
      <c r="A620" s="5">
        <f>ROW()-ROW(INDEX(Main[ردیف],1))+1</f>
        <v>618</v>
      </c>
      <c r="B620" s="31">
        <f>SUBTOTAL(2,INDEX(Main[ردیف],1):Main[[#This Row],[ردیف]])</f>
        <v>57</v>
      </c>
      <c r="C620" s="32" t="s">
        <v>572</v>
      </c>
      <c r="D620" s="32" t="str">
        <f>_xlfn.CONCAT("14",Main[[#This Row],[تاريخ]])</f>
        <v>1400/03/08</v>
      </c>
      <c r="E620" s="33">
        <v>44345</v>
      </c>
      <c r="F620" s="32">
        <v>10027</v>
      </c>
      <c r="G620" s="5" t="str">
        <f>INDEX(customer[عنوان],MATCH(Main[[#This Row],[کد ردیابی]],customer[کد],0))</f>
        <v xml:space="preserve">مصطفی نورعلی </v>
      </c>
      <c r="H620">
        <v>2076</v>
      </c>
      <c r="I620" s="6">
        <f ca="1">-Main[[#This Row],[بدهی تسویه شده (کیلوگرم)]]+Main[[#This Row],[بستانکار (کیلوگرم)]]</f>
        <v>2076</v>
      </c>
      <c r="J620" s="6">
        <f>IF(Main[[#This Row],[مقدار (کیلوگرم)]]&gt;0,Main[[#This Row],[مقدار (کیلوگرم)]],0)</f>
        <v>2076</v>
      </c>
      <c r="K620" s="6">
        <f>-IF(Main[[#This Row],[مقدار (کیلوگرم)]]&lt;0,Main[[#This Row],[مقدار (کیلوگرم)]],0)</f>
        <v>0</v>
      </c>
      <c r="L6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0" s="7">
        <f>-IF(AND(Main[[#This Row],[مقدار (کیلوگرم)]]&lt;0,Main[[#This Row],[تاريخ میلادی]]&gt;44276),Main[[#This Row],[مقدار (کیلوگرم)]],0)</f>
        <v>0</v>
      </c>
      <c r="N620" s="6">
        <f ca="1">Main[[#This Row],[بدهکار (کیلوگرم)]]-Main[[#This Row],[بدهی تسویه نشده (کیلوگرم)]]</f>
        <v>0</v>
      </c>
      <c r="O620" s="6">
        <f ca="1">Main[[#This Row],[تفکیک]]</f>
        <v>0</v>
      </c>
      <c r="P620" s="6">
        <f ca="1">IF(Main[[#This Row],[تاخیر از سررسید]]&gt;0,Main[[#This Row],[بدهی تسویه نشده (کیلوگرم)]],0)</f>
        <v>0</v>
      </c>
      <c r="Q620" s="6">
        <f ca="1">IF(Main[[#This Row],[بدهی تسویه نشده (کیلوگرم)]]&gt;0,'گزارش فردی'!$B$7-Main[[#This Row],[تاريخ میلادی]],0)</f>
        <v>0</v>
      </c>
      <c r="R620" s="6">
        <f ca="1">IF(Main[[#This Row],[بدهی تسویه نشده (کیلوگرم)]]&gt;0,'گزارش فردی'!$B$7-Main[[#This Row],[تاريخ میلادی]]-'گزارش فردی'!$B$8,0)</f>
        <v>0</v>
      </c>
      <c r="S620" s="6">
        <f ca="1">Main[[#This Row],[روز از ارسال سفارش]]*Main[[#This Row],[بدهی تسویه نشده (کیلوگرم)]]</f>
        <v>0</v>
      </c>
      <c r="T620" s="6">
        <f ca="1">Main[[#This Row],[بدهی سررسید شده (کیلوگرم)]]*Main[[#This Row],[روز از ارسال سفارش]]</f>
        <v>0</v>
      </c>
      <c r="U620" s="6">
        <f>-SUBTOTAL(9,INDEX(Main[مقدار (کیلوگرم)],1):Main[[#This Row],[مقدار (کیلوگرم)]])</f>
        <v>28776</v>
      </c>
      <c r="V6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0" s="6">
        <f>Main[[#This Row],[تعداد کل روزهای بدهکار (روز)]]*Main[[#This Row],[مانده در خط کل (کیلوگرم)]]</f>
        <v>0</v>
      </c>
      <c r="X620" s="6">
        <f ca="1">-SUBTOTAL(9,INDEX(Main[مقدار تسویه شده (کیلوگرم)],1):Main[[#This Row],[مقدار تسویه شده (کیلوگرم)]])</f>
        <v>28776</v>
      </c>
      <c r="Y620" s="6">
        <f ca="1">IF(Main[[#This Row],[مانده در خط تسویه شده (کیلوگرم)]]&lt;&gt;0,Main[[#This Row],[تعداد کل روزهای بدهکار (روز)]],0)</f>
        <v>0</v>
      </c>
      <c r="Z620" s="6">
        <f ca="1">Main[[#This Row],[تعداد روزهای بدهکار تسویه شده (روز)]]*Main[[#This Row],[مانده در خط تسویه شده (کیلوگرم)]]</f>
        <v>0</v>
      </c>
      <c r="AA620" s="6">
        <f ca="1">SUBTOTAL(9,INDEX(Main[بدهی تسویه نشده (کیلوگرم)],1):Main[[#This Row],[بدهی تسویه نشده (کیلوگرم)]])</f>
        <v>0</v>
      </c>
      <c r="AB620" s="6">
        <f ca="1">IF(Main[[#This Row],[مانده در خط تسویه نشده (کیلوگرم)]]&lt;&gt;0,Main[[#This Row],[تعداد کل روزهای بدهکار (روز)]],0)</f>
        <v>0</v>
      </c>
      <c r="AC620" s="6">
        <f ca="1">Main[[#This Row],[تعداد روزهای بدهکار  تسویه نشده (روز)]]*Main[[#This Row],[مانده در خط تسویه نشده (کیلوگرم)]]</f>
        <v>0</v>
      </c>
      <c r="AD620" s="6">
        <f ca="1">SUBTOTAL(9,INDEX(Main[بدهی سررسید شده (کیلوگرم)],1):Main[[#This Row],[بدهی سررسید شده (کیلوگرم)]])</f>
        <v>0</v>
      </c>
      <c r="AE620" s="6">
        <f ca="1">IF(Main[[#This Row],[مانده در خط سررسید شده (کیلوگرم)]]&lt;&gt;0,Main[[#This Row],[تعداد کل روزهای بدهکار (روز)]],0)</f>
        <v>0</v>
      </c>
      <c r="AF620" s="6">
        <f ca="1">Main[[#This Row],[تعداد روزهای بدهکار سررسید شده (روز)]]*Main[[#This Row],[مانده در خط سررسید شده (کیلوگرم)]]</f>
        <v>0</v>
      </c>
    </row>
    <row r="621" spans="1:32" hidden="1" x14ac:dyDescent="0.35">
      <c r="A621" s="5">
        <f>ROW()-ROW(INDEX(Main[ردیف],1))+1</f>
        <v>619</v>
      </c>
      <c r="B621" s="31">
        <f>SUBTOTAL(2,INDEX(Main[ردیف],1):Main[[#This Row],[ردیف]])</f>
        <v>57</v>
      </c>
      <c r="C621" s="32" t="s">
        <v>572</v>
      </c>
      <c r="D621" s="32" t="str">
        <f>_xlfn.CONCAT("14",Main[[#This Row],[تاريخ]])</f>
        <v>1400/03/08</v>
      </c>
      <c r="E621" s="33">
        <v>44345</v>
      </c>
      <c r="F621" s="32">
        <v>30162</v>
      </c>
      <c r="G621" s="5" t="str">
        <f>INDEX(customer[عنوان],MATCH(Main[[#This Row],[کد ردیابی]],customer[کد],0))</f>
        <v>شرکت الماس آریا</v>
      </c>
      <c r="H621">
        <v>-163</v>
      </c>
      <c r="I621" s="6">
        <f ca="1">-Main[[#This Row],[بدهی تسویه شده (کیلوگرم)]]+Main[[#This Row],[بستانکار (کیلوگرم)]]</f>
        <v>-163</v>
      </c>
      <c r="J621" s="6">
        <f>IF(Main[[#This Row],[مقدار (کیلوگرم)]]&gt;0,Main[[#This Row],[مقدار (کیلوگرم)]],0)</f>
        <v>0</v>
      </c>
      <c r="K621" s="6">
        <f>-IF(Main[[#This Row],[مقدار (کیلوگرم)]]&lt;0,Main[[#This Row],[مقدار (کیلوگرم)]],0)</f>
        <v>163</v>
      </c>
      <c r="L6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1" s="7">
        <f>-IF(AND(Main[[#This Row],[مقدار (کیلوگرم)]]&lt;0,Main[[#This Row],[تاريخ میلادی]]&gt;44276),Main[[#This Row],[مقدار (کیلوگرم)]],0)</f>
        <v>163</v>
      </c>
      <c r="N621" s="6">
        <f ca="1">Main[[#This Row],[بدهکار (کیلوگرم)]]-Main[[#This Row],[بدهی تسویه نشده (کیلوگرم)]]</f>
        <v>163</v>
      </c>
      <c r="O621" s="6">
        <f ca="1">Main[[#This Row],[تفکیک]]</f>
        <v>0</v>
      </c>
      <c r="P621" s="6">
        <f ca="1">IF(Main[[#This Row],[تاخیر از سررسید]]&gt;0,Main[[#This Row],[بدهی تسویه نشده (کیلوگرم)]],0)</f>
        <v>0</v>
      </c>
      <c r="Q621" s="6">
        <f ca="1">IF(Main[[#This Row],[بدهی تسویه نشده (کیلوگرم)]]&gt;0,'گزارش فردی'!$B$7-Main[[#This Row],[تاريخ میلادی]],0)</f>
        <v>0</v>
      </c>
      <c r="R621" s="6">
        <f ca="1">IF(Main[[#This Row],[بدهی تسویه نشده (کیلوگرم)]]&gt;0,'گزارش فردی'!$B$7-Main[[#This Row],[تاريخ میلادی]]-'گزارش فردی'!$B$8,0)</f>
        <v>0</v>
      </c>
      <c r="S621" s="6">
        <f ca="1">Main[[#This Row],[روز از ارسال سفارش]]*Main[[#This Row],[بدهی تسویه نشده (کیلوگرم)]]</f>
        <v>0</v>
      </c>
      <c r="T621" s="6">
        <f ca="1">Main[[#This Row],[بدهی سررسید شده (کیلوگرم)]]*Main[[#This Row],[روز از ارسال سفارش]]</f>
        <v>0</v>
      </c>
      <c r="U621" s="6">
        <f>-SUBTOTAL(9,INDEX(Main[مقدار (کیلوگرم)],1):Main[[#This Row],[مقدار (کیلوگرم)]])</f>
        <v>28776</v>
      </c>
      <c r="V6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1" s="6">
        <f>Main[[#This Row],[تعداد کل روزهای بدهکار (روز)]]*Main[[#This Row],[مانده در خط کل (کیلوگرم)]]</f>
        <v>0</v>
      </c>
      <c r="X621" s="6">
        <f ca="1">-SUBTOTAL(9,INDEX(Main[مقدار تسویه شده (کیلوگرم)],1):Main[[#This Row],[مقدار تسویه شده (کیلوگرم)]])</f>
        <v>28776</v>
      </c>
      <c r="Y621" s="6">
        <f ca="1">IF(Main[[#This Row],[مانده در خط تسویه شده (کیلوگرم)]]&lt;&gt;0,Main[[#This Row],[تعداد کل روزهای بدهکار (روز)]],0)</f>
        <v>0</v>
      </c>
      <c r="Z621" s="6">
        <f ca="1">Main[[#This Row],[تعداد روزهای بدهکار تسویه شده (روز)]]*Main[[#This Row],[مانده در خط تسویه شده (کیلوگرم)]]</f>
        <v>0</v>
      </c>
      <c r="AA621" s="6">
        <f ca="1">SUBTOTAL(9,INDEX(Main[بدهی تسویه نشده (کیلوگرم)],1):Main[[#This Row],[بدهی تسویه نشده (کیلوگرم)]])</f>
        <v>0</v>
      </c>
      <c r="AB621" s="6">
        <f ca="1">IF(Main[[#This Row],[مانده در خط تسویه نشده (کیلوگرم)]]&lt;&gt;0,Main[[#This Row],[تعداد کل روزهای بدهکار (روز)]],0)</f>
        <v>0</v>
      </c>
      <c r="AC621" s="6">
        <f ca="1">Main[[#This Row],[تعداد روزهای بدهکار  تسویه نشده (روز)]]*Main[[#This Row],[مانده در خط تسویه نشده (کیلوگرم)]]</f>
        <v>0</v>
      </c>
      <c r="AD621" s="6">
        <f ca="1">SUBTOTAL(9,INDEX(Main[بدهی سررسید شده (کیلوگرم)],1):Main[[#This Row],[بدهی سررسید شده (کیلوگرم)]])</f>
        <v>0</v>
      </c>
      <c r="AE621" s="6">
        <f ca="1">IF(Main[[#This Row],[مانده در خط سررسید شده (کیلوگرم)]]&lt;&gt;0,Main[[#This Row],[تعداد کل روزهای بدهکار (روز)]],0)</f>
        <v>0</v>
      </c>
      <c r="AF621" s="6">
        <f ca="1">Main[[#This Row],[تعداد روزهای بدهکار سررسید شده (روز)]]*Main[[#This Row],[مانده در خط سررسید شده (کیلوگرم)]]</f>
        <v>0</v>
      </c>
    </row>
    <row r="622" spans="1:32" hidden="1" x14ac:dyDescent="0.35">
      <c r="A622" s="5">
        <f>ROW()-ROW(INDEX(Main[ردیف],1))+1</f>
        <v>620</v>
      </c>
      <c r="B622" s="31">
        <f>SUBTOTAL(2,INDEX(Main[ردیف],1):Main[[#This Row],[ردیف]])</f>
        <v>57</v>
      </c>
      <c r="C622" s="32" t="s">
        <v>572</v>
      </c>
      <c r="D622" s="32" t="str">
        <f>_xlfn.CONCAT("14",Main[[#This Row],[تاريخ]])</f>
        <v>1400/03/08</v>
      </c>
      <c r="E622" s="33">
        <v>44345</v>
      </c>
      <c r="F622" s="32">
        <v>10026</v>
      </c>
      <c r="G622" s="5" t="str">
        <f>INDEX(customer[عنوان],MATCH(Main[[#This Row],[کد ردیابی]],customer[کد],0))</f>
        <v xml:space="preserve">محسن فیاض بخش </v>
      </c>
      <c r="H622">
        <v>2000</v>
      </c>
      <c r="I622" s="6">
        <f ca="1">-Main[[#This Row],[بدهی تسویه شده (کیلوگرم)]]+Main[[#This Row],[بستانکار (کیلوگرم)]]</f>
        <v>2000</v>
      </c>
      <c r="J622" s="6">
        <f>IF(Main[[#This Row],[مقدار (کیلوگرم)]]&gt;0,Main[[#This Row],[مقدار (کیلوگرم)]],0)</f>
        <v>2000</v>
      </c>
      <c r="K622" s="6">
        <f>-IF(Main[[#This Row],[مقدار (کیلوگرم)]]&lt;0,Main[[#This Row],[مقدار (کیلوگرم)]],0)</f>
        <v>0</v>
      </c>
      <c r="L6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2" s="7">
        <f>-IF(AND(Main[[#This Row],[مقدار (کیلوگرم)]]&lt;0,Main[[#This Row],[تاريخ میلادی]]&gt;44276),Main[[#This Row],[مقدار (کیلوگرم)]],0)</f>
        <v>0</v>
      </c>
      <c r="N622" s="6">
        <f ca="1">Main[[#This Row],[بدهکار (کیلوگرم)]]-Main[[#This Row],[بدهی تسویه نشده (کیلوگرم)]]</f>
        <v>0</v>
      </c>
      <c r="O622" s="6">
        <f ca="1">Main[[#This Row],[تفکیک]]</f>
        <v>0</v>
      </c>
      <c r="P622" s="6">
        <f ca="1">IF(Main[[#This Row],[تاخیر از سررسید]]&gt;0,Main[[#This Row],[بدهی تسویه نشده (کیلوگرم)]],0)</f>
        <v>0</v>
      </c>
      <c r="Q622" s="6">
        <f ca="1">IF(Main[[#This Row],[بدهی تسویه نشده (کیلوگرم)]]&gt;0,'گزارش فردی'!$B$7-Main[[#This Row],[تاريخ میلادی]],0)</f>
        <v>0</v>
      </c>
      <c r="R622" s="6">
        <f ca="1">IF(Main[[#This Row],[بدهی تسویه نشده (کیلوگرم)]]&gt;0,'گزارش فردی'!$B$7-Main[[#This Row],[تاريخ میلادی]]-'گزارش فردی'!$B$8,0)</f>
        <v>0</v>
      </c>
      <c r="S622" s="6">
        <f ca="1">Main[[#This Row],[روز از ارسال سفارش]]*Main[[#This Row],[بدهی تسویه نشده (کیلوگرم)]]</f>
        <v>0</v>
      </c>
      <c r="T622" s="6">
        <f ca="1">Main[[#This Row],[بدهی سررسید شده (کیلوگرم)]]*Main[[#This Row],[روز از ارسال سفارش]]</f>
        <v>0</v>
      </c>
      <c r="U622" s="6">
        <f>-SUBTOTAL(9,INDEX(Main[مقدار (کیلوگرم)],1):Main[[#This Row],[مقدار (کیلوگرم)]])</f>
        <v>28776</v>
      </c>
      <c r="V6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2" s="6">
        <f>Main[[#This Row],[تعداد کل روزهای بدهکار (روز)]]*Main[[#This Row],[مانده در خط کل (کیلوگرم)]]</f>
        <v>0</v>
      </c>
      <c r="X622" s="6">
        <f ca="1">-SUBTOTAL(9,INDEX(Main[مقدار تسویه شده (کیلوگرم)],1):Main[[#This Row],[مقدار تسویه شده (کیلوگرم)]])</f>
        <v>28776</v>
      </c>
      <c r="Y622" s="6">
        <f ca="1">IF(Main[[#This Row],[مانده در خط تسویه شده (کیلوگرم)]]&lt;&gt;0,Main[[#This Row],[تعداد کل روزهای بدهکار (روز)]],0)</f>
        <v>0</v>
      </c>
      <c r="Z622" s="6">
        <f ca="1">Main[[#This Row],[تعداد روزهای بدهکار تسویه شده (روز)]]*Main[[#This Row],[مانده در خط تسویه شده (کیلوگرم)]]</f>
        <v>0</v>
      </c>
      <c r="AA622" s="6">
        <f ca="1">SUBTOTAL(9,INDEX(Main[بدهی تسویه نشده (کیلوگرم)],1):Main[[#This Row],[بدهی تسویه نشده (کیلوگرم)]])</f>
        <v>0</v>
      </c>
      <c r="AB622" s="6">
        <f ca="1">IF(Main[[#This Row],[مانده در خط تسویه نشده (کیلوگرم)]]&lt;&gt;0,Main[[#This Row],[تعداد کل روزهای بدهکار (روز)]],0)</f>
        <v>0</v>
      </c>
      <c r="AC622" s="6">
        <f ca="1">Main[[#This Row],[تعداد روزهای بدهکار  تسویه نشده (روز)]]*Main[[#This Row],[مانده در خط تسویه نشده (کیلوگرم)]]</f>
        <v>0</v>
      </c>
      <c r="AD622" s="6">
        <f ca="1">SUBTOTAL(9,INDEX(Main[بدهی سررسید شده (کیلوگرم)],1):Main[[#This Row],[بدهی سررسید شده (کیلوگرم)]])</f>
        <v>0</v>
      </c>
      <c r="AE622" s="6">
        <f ca="1">IF(Main[[#This Row],[مانده در خط سررسید شده (کیلوگرم)]]&lt;&gt;0,Main[[#This Row],[تعداد کل روزهای بدهکار (روز)]],0)</f>
        <v>0</v>
      </c>
      <c r="AF622" s="6">
        <f ca="1">Main[[#This Row],[تعداد روزهای بدهکار سررسید شده (روز)]]*Main[[#This Row],[مانده در خط سررسید شده (کیلوگرم)]]</f>
        <v>0</v>
      </c>
    </row>
    <row r="623" spans="1:32" hidden="1" x14ac:dyDescent="0.35">
      <c r="A623" s="5">
        <f>ROW()-ROW(INDEX(Main[ردیف],1))+1</f>
        <v>621</v>
      </c>
      <c r="B623" s="31">
        <f>SUBTOTAL(2,INDEX(Main[ردیف],1):Main[[#This Row],[ردیف]])</f>
        <v>57</v>
      </c>
      <c r="C623" s="32" t="s">
        <v>572</v>
      </c>
      <c r="D623" s="32" t="str">
        <f>_xlfn.CONCAT("14",Main[[#This Row],[تاريخ]])</f>
        <v>1400/03/08</v>
      </c>
      <c r="E623" s="33">
        <v>44345</v>
      </c>
      <c r="F623" s="32">
        <v>30186</v>
      </c>
      <c r="G623" s="5" t="str">
        <f>INDEX(customer[عنوان],MATCH(Main[[#This Row],[کد ردیابی]],customer[کد],0))</f>
        <v>سارا گاز</v>
      </c>
      <c r="H623">
        <v>-3081</v>
      </c>
      <c r="I623" s="6">
        <f ca="1">-Main[[#This Row],[بدهی تسویه شده (کیلوگرم)]]+Main[[#This Row],[بستانکار (کیلوگرم)]]</f>
        <v>-3081</v>
      </c>
      <c r="J623" s="6">
        <f>IF(Main[[#This Row],[مقدار (کیلوگرم)]]&gt;0,Main[[#This Row],[مقدار (کیلوگرم)]],0)</f>
        <v>0</v>
      </c>
      <c r="K623" s="6">
        <f>-IF(Main[[#This Row],[مقدار (کیلوگرم)]]&lt;0,Main[[#This Row],[مقدار (کیلوگرم)]],0)</f>
        <v>3081</v>
      </c>
      <c r="L6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3" s="7">
        <f>-IF(AND(Main[[#This Row],[مقدار (کیلوگرم)]]&lt;0,Main[[#This Row],[تاريخ میلادی]]&gt;44276),Main[[#This Row],[مقدار (کیلوگرم)]],0)</f>
        <v>3081</v>
      </c>
      <c r="N623" s="6">
        <f ca="1">Main[[#This Row],[بدهکار (کیلوگرم)]]-Main[[#This Row],[بدهی تسویه نشده (کیلوگرم)]]</f>
        <v>3081</v>
      </c>
      <c r="O623" s="6">
        <f ca="1">Main[[#This Row],[تفکیک]]</f>
        <v>0</v>
      </c>
      <c r="P623" s="6">
        <f ca="1">IF(Main[[#This Row],[تاخیر از سررسید]]&gt;0,Main[[#This Row],[بدهی تسویه نشده (کیلوگرم)]],0)</f>
        <v>0</v>
      </c>
      <c r="Q623" s="6">
        <f ca="1">IF(Main[[#This Row],[بدهی تسویه نشده (کیلوگرم)]]&gt;0,'گزارش فردی'!$B$7-Main[[#This Row],[تاريخ میلادی]],0)</f>
        <v>0</v>
      </c>
      <c r="R623" s="6">
        <f ca="1">IF(Main[[#This Row],[بدهی تسویه نشده (کیلوگرم)]]&gt;0,'گزارش فردی'!$B$7-Main[[#This Row],[تاريخ میلادی]]-'گزارش فردی'!$B$8,0)</f>
        <v>0</v>
      </c>
      <c r="S623" s="6">
        <f ca="1">Main[[#This Row],[روز از ارسال سفارش]]*Main[[#This Row],[بدهی تسویه نشده (کیلوگرم)]]</f>
        <v>0</v>
      </c>
      <c r="T623" s="6">
        <f ca="1">Main[[#This Row],[بدهی سررسید شده (کیلوگرم)]]*Main[[#This Row],[روز از ارسال سفارش]]</f>
        <v>0</v>
      </c>
      <c r="U623" s="6">
        <f>-SUBTOTAL(9,INDEX(Main[مقدار (کیلوگرم)],1):Main[[#This Row],[مقدار (کیلوگرم)]])</f>
        <v>28776</v>
      </c>
      <c r="V6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3" s="6">
        <f>Main[[#This Row],[تعداد کل روزهای بدهکار (روز)]]*Main[[#This Row],[مانده در خط کل (کیلوگرم)]]</f>
        <v>0</v>
      </c>
      <c r="X623" s="6">
        <f ca="1">-SUBTOTAL(9,INDEX(Main[مقدار تسویه شده (کیلوگرم)],1):Main[[#This Row],[مقدار تسویه شده (کیلوگرم)]])</f>
        <v>28776</v>
      </c>
      <c r="Y623" s="6">
        <f ca="1">IF(Main[[#This Row],[مانده در خط تسویه شده (کیلوگرم)]]&lt;&gt;0,Main[[#This Row],[تعداد کل روزهای بدهکار (روز)]],0)</f>
        <v>0</v>
      </c>
      <c r="Z623" s="6">
        <f ca="1">Main[[#This Row],[تعداد روزهای بدهکار تسویه شده (روز)]]*Main[[#This Row],[مانده در خط تسویه شده (کیلوگرم)]]</f>
        <v>0</v>
      </c>
      <c r="AA623" s="6">
        <f ca="1">SUBTOTAL(9,INDEX(Main[بدهی تسویه نشده (کیلوگرم)],1):Main[[#This Row],[بدهی تسویه نشده (کیلوگرم)]])</f>
        <v>0</v>
      </c>
      <c r="AB623" s="6">
        <f ca="1">IF(Main[[#This Row],[مانده در خط تسویه نشده (کیلوگرم)]]&lt;&gt;0,Main[[#This Row],[تعداد کل روزهای بدهکار (روز)]],0)</f>
        <v>0</v>
      </c>
      <c r="AC623" s="6">
        <f ca="1">Main[[#This Row],[تعداد روزهای بدهکار  تسویه نشده (روز)]]*Main[[#This Row],[مانده در خط تسویه نشده (کیلوگرم)]]</f>
        <v>0</v>
      </c>
      <c r="AD623" s="6">
        <f ca="1">SUBTOTAL(9,INDEX(Main[بدهی سررسید شده (کیلوگرم)],1):Main[[#This Row],[بدهی سررسید شده (کیلوگرم)]])</f>
        <v>0</v>
      </c>
      <c r="AE623" s="6">
        <f ca="1">IF(Main[[#This Row],[مانده در خط سررسید شده (کیلوگرم)]]&lt;&gt;0,Main[[#This Row],[تعداد کل روزهای بدهکار (روز)]],0)</f>
        <v>0</v>
      </c>
      <c r="AF623" s="6">
        <f ca="1">Main[[#This Row],[تعداد روزهای بدهکار سررسید شده (روز)]]*Main[[#This Row],[مانده در خط سررسید شده (کیلوگرم)]]</f>
        <v>0</v>
      </c>
    </row>
    <row r="624" spans="1:32" hidden="1" x14ac:dyDescent="0.35">
      <c r="A624" s="5">
        <f>ROW()-ROW(INDEX(Main[ردیف],1))+1</f>
        <v>622</v>
      </c>
      <c r="B624" s="31">
        <f>SUBTOTAL(2,INDEX(Main[ردیف],1):Main[[#This Row],[ردیف]])</f>
        <v>57</v>
      </c>
      <c r="C624" s="32" t="s">
        <v>572</v>
      </c>
      <c r="D624" s="32" t="str">
        <f>_xlfn.CONCAT("14",Main[[#This Row],[تاريخ]])</f>
        <v>1400/03/08</v>
      </c>
      <c r="E624" s="33">
        <v>44345</v>
      </c>
      <c r="F624" s="32">
        <v>30004</v>
      </c>
      <c r="G624" s="5" t="str">
        <f>INDEX(customer[عنوان],MATCH(Main[[#This Row],[کد ردیابی]],customer[کد],0))</f>
        <v>تولیدی صنعتی صفاشیر پارس</v>
      </c>
      <c r="H624">
        <v>2364</v>
      </c>
      <c r="I624" s="6">
        <f ca="1">-Main[[#This Row],[بدهی تسویه شده (کیلوگرم)]]+Main[[#This Row],[بستانکار (کیلوگرم)]]</f>
        <v>2364</v>
      </c>
      <c r="J624" s="6">
        <f>IF(Main[[#This Row],[مقدار (کیلوگرم)]]&gt;0,Main[[#This Row],[مقدار (کیلوگرم)]],0)</f>
        <v>2364</v>
      </c>
      <c r="K624" s="6">
        <f>-IF(Main[[#This Row],[مقدار (کیلوگرم)]]&lt;0,Main[[#This Row],[مقدار (کیلوگرم)]],0)</f>
        <v>0</v>
      </c>
      <c r="L6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4" s="7">
        <f>-IF(AND(Main[[#This Row],[مقدار (کیلوگرم)]]&lt;0,Main[[#This Row],[تاريخ میلادی]]&gt;44276),Main[[#This Row],[مقدار (کیلوگرم)]],0)</f>
        <v>0</v>
      </c>
      <c r="N624" s="6">
        <f ca="1">Main[[#This Row],[بدهکار (کیلوگرم)]]-Main[[#This Row],[بدهی تسویه نشده (کیلوگرم)]]</f>
        <v>0</v>
      </c>
      <c r="O624" s="6">
        <f ca="1">Main[[#This Row],[تفکیک]]</f>
        <v>0</v>
      </c>
      <c r="P624" s="6">
        <f ca="1">IF(Main[[#This Row],[تاخیر از سررسید]]&gt;0,Main[[#This Row],[بدهی تسویه نشده (کیلوگرم)]],0)</f>
        <v>0</v>
      </c>
      <c r="Q624" s="6">
        <f ca="1">IF(Main[[#This Row],[بدهی تسویه نشده (کیلوگرم)]]&gt;0,'گزارش فردی'!$B$7-Main[[#This Row],[تاريخ میلادی]],0)</f>
        <v>0</v>
      </c>
      <c r="R624" s="6">
        <f ca="1">IF(Main[[#This Row],[بدهی تسویه نشده (کیلوگرم)]]&gt;0,'گزارش فردی'!$B$7-Main[[#This Row],[تاريخ میلادی]]-'گزارش فردی'!$B$8,0)</f>
        <v>0</v>
      </c>
      <c r="S624" s="6">
        <f ca="1">Main[[#This Row],[روز از ارسال سفارش]]*Main[[#This Row],[بدهی تسویه نشده (کیلوگرم)]]</f>
        <v>0</v>
      </c>
      <c r="T624" s="6">
        <f ca="1">Main[[#This Row],[بدهی سررسید شده (کیلوگرم)]]*Main[[#This Row],[روز از ارسال سفارش]]</f>
        <v>0</v>
      </c>
      <c r="U624" s="6">
        <f>-SUBTOTAL(9,INDEX(Main[مقدار (کیلوگرم)],1):Main[[#This Row],[مقدار (کیلوگرم)]])</f>
        <v>28776</v>
      </c>
      <c r="V6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4" s="6">
        <f>Main[[#This Row],[تعداد کل روزهای بدهکار (روز)]]*Main[[#This Row],[مانده در خط کل (کیلوگرم)]]</f>
        <v>0</v>
      </c>
      <c r="X624" s="6">
        <f ca="1">-SUBTOTAL(9,INDEX(Main[مقدار تسویه شده (کیلوگرم)],1):Main[[#This Row],[مقدار تسویه شده (کیلوگرم)]])</f>
        <v>28776</v>
      </c>
      <c r="Y624" s="6">
        <f ca="1">IF(Main[[#This Row],[مانده در خط تسویه شده (کیلوگرم)]]&lt;&gt;0,Main[[#This Row],[تعداد کل روزهای بدهکار (روز)]],0)</f>
        <v>0</v>
      </c>
      <c r="Z624" s="6">
        <f ca="1">Main[[#This Row],[تعداد روزهای بدهکار تسویه شده (روز)]]*Main[[#This Row],[مانده در خط تسویه شده (کیلوگرم)]]</f>
        <v>0</v>
      </c>
      <c r="AA624" s="6">
        <f ca="1">SUBTOTAL(9,INDEX(Main[بدهی تسویه نشده (کیلوگرم)],1):Main[[#This Row],[بدهی تسویه نشده (کیلوگرم)]])</f>
        <v>0</v>
      </c>
      <c r="AB624" s="6">
        <f ca="1">IF(Main[[#This Row],[مانده در خط تسویه نشده (کیلوگرم)]]&lt;&gt;0,Main[[#This Row],[تعداد کل روزهای بدهکار (روز)]],0)</f>
        <v>0</v>
      </c>
      <c r="AC624" s="6">
        <f ca="1">Main[[#This Row],[تعداد روزهای بدهکار  تسویه نشده (روز)]]*Main[[#This Row],[مانده در خط تسویه نشده (کیلوگرم)]]</f>
        <v>0</v>
      </c>
      <c r="AD624" s="6">
        <f ca="1">SUBTOTAL(9,INDEX(Main[بدهی سررسید شده (کیلوگرم)],1):Main[[#This Row],[بدهی سررسید شده (کیلوگرم)]])</f>
        <v>0</v>
      </c>
      <c r="AE624" s="6">
        <f ca="1">IF(Main[[#This Row],[مانده در خط سررسید شده (کیلوگرم)]]&lt;&gt;0,Main[[#This Row],[تعداد کل روزهای بدهکار (روز)]],0)</f>
        <v>0</v>
      </c>
      <c r="AF624" s="6">
        <f ca="1">Main[[#This Row],[تعداد روزهای بدهکار سررسید شده (روز)]]*Main[[#This Row],[مانده در خط سررسید شده (کیلوگرم)]]</f>
        <v>0</v>
      </c>
    </row>
    <row r="625" spans="1:32" hidden="1" x14ac:dyDescent="0.35">
      <c r="A625" s="5">
        <f>ROW()-ROW(INDEX(Main[ردیف],1))+1</f>
        <v>623</v>
      </c>
      <c r="B625" s="31">
        <f>SUBTOTAL(2,INDEX(Main[ردیف],1):Main[[#This Row],[ردیف]])</f>
        <v>57</v>
      </c>
      <c r="C625" s="32" t="s">
        <v>572</v>
      </c>
      <c r="D625" s="32" t="str">
        <f>_xlfn.CONCAT("14",Main[[#This Row],[تاريخ]])</f>
        <v>1400/03/08</v>
      </c>
      <c r="E625" s="33">
        <v>44345</v>
      </c>
      <c r="F625" s="32">
        <v>30009</v>
      </c>
      <c r="G625" s="5" t="str">
        <f>INDEX(customer[عنوان],MATCH(Main[[#This Row],[کد ردیابی]],customer[کد],0))</f>
        <v>شرکت ایمن تک پیشرو</v>
      </c>
      <c r="H625">
        <v>-2030</v>
      </c>
      <c r="I625" s="6">
        <f ca="1">-Main[[#This Row],[بدهی تسویه شده (کیلوگرم)]]+Main[[#This Row],[بستانکار (کیلوگرم)]]</f>
        <v>-2030</v>
      </c>
      <c r="J625" s="6">
        <f>IF(Main[[#This Row],[مقدار (کیلوگرم)]]&gt;0,Main[[#This Row],[مقدار (کیلوگرم)]],0)</f>
        <v>0</v>
      </c>
      <c r="K625" s="6">
        <f>-IF(Main[[#This Row],[مقدار (کیلوگرم)]]&lt;0,Main[[#This Row],[مقدار (کیلوگرم)]],0)</f>
        <v>2030</v>
      </c>
      <c r="L6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5" s="7">
        <f>-IF(AND(Main[[#This Row],[مقدار (کیلوگرم)]]&lt;0,Main[[#This Row],[تاريخ میلادی]]&gt;44276),Main[[#This Row],[مقدار (کیلوگرم)]],0)</f>
        <v>2030</v>
      </c>
      <c r="N625" s="6">
        <f ca="1">Main[[#This Row],[بدهکار (کیلوگرم)]]-Main[[#This Row],[بدهی تسویه نشده (کیلوگرم)]]</f>
        <v>2030</v>
      </c>
      <c r="O625" s="6">
        <f ca="1">Main[[#This Row],[تفکیک]]</f>
        <v>0</v>
      </c>
      <c r="P625" s="6">
        <f ca="1">IF(Main[[#This Row],[تاخیر از سررسید]]&gt;0,Main[[#This Row],[بدهی تسویه نشده (کیلوگرم)]],0)</f>
        <v>0</v>
      </c>
      <c r="Q625" s="6">
        <f ca="1">IF(Main[[#This Row],[بدهی تسویه نشده (کیلوگرم)]]&gt;0,'گزارش فردی'!$B$7-Main[[#This Row],[تاريخ میلادی]],0)</f>
        <v>0</v>
      </c>
      <c r="R625" s="6">
        <f ca="1">IF(Main[[#This Row],[بدهی تسویه نشده (کیلوگرم)]]&gt;0,'گزارش فردی'!$B$7-Main[[#This Row],[تاريخ میلادی]]-'گزارش فردی'!$B$8,0)</f>
        <v>0</v>
      </c>
      <c r="S625" s="6">
        <f ca="1">Main[[#This Row],[روز از ارسال سفارش]]*Main[[#This Row],[بدهی تسویه نشده (کیلوگرم)]]</f>
        <v>0</v>
      </c>
      <c r="T625" s="6">
        <f ca="1">Main[[#This Row],[بدهی سررسید شده (کیلوگرم)]]*Main[[#This Row],[روز از ارسال سفارش]]</f>
        <v>0</v>
      </c>
      <c r="U625" s="6">
        <f>-SUBTOTAL(9,INDEX(Main[مقدار (کیلوگرم)],1):Main[[#This Row],[مقدار (کیلوگرم)]])</f>
        <v>28776</v>
      </c>
      <c r="V6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5" s="6">
        <f>Main[[#This Row],[تعداد کل روزهای بدهکار (روز)]]*Main[[#This Row],[مانده در خط کل (کیلوگرم)]]</f>
        <v>0</v>
      </c>
      <c r="X625" s="6">
        <f ca="1">-SUBTOTAL(9,INDEX(Main[مقدار تسویه شده (کیلوگرم)],1):Main[[#This Row],[مقدار تسویه شده (کیلوگرم)]])</f>
        <v>28776</v>
      </c>
      <c r="Y625" s="6">
        <f ca="1">IF(Main[[#This Row],[مانده در خط تسویه شده (کیلوگرم)]]&lt;&gt;0,Main[[#This Row],[تعداد کل روزهای بدهکار (روز)]],0)</f>
        <v>0</v>
      </c>
      <c r="Z625" s="6">
        <f ca="1">Main[[#This Row],[تعداد روزهای بدهکار تسویه شده (روز)]]*Main[[#This Row],[مانده در خط تسویه شده (کیلوگرم)]]</f>
        <v>0</v>
      </c>
      <c r="AA625" s="6">
        <f ca="1">SUBTOTAL(9,INDEX(Main[بدهی تسویه نشده (کیلوگرم)],1):Main[[#This Row],[بدهی تسویه نشده (کیلوگرم)]])</f>
        <v>0</v>
      </c>
      <c r="AB625" s="6">
        <f ca="1">IF(Main[[#This Row],[مانده در خط تسویه نشده (کیلوگرم)]]&lt;&gt;0,Main[[#This Row],[تعداد کل روزهای بدهکار (روز)]],0)</f>
        <v>0</v>
      </c>
      <c r="AC625" s="6">
        <f ca="1">Main[[#This Row],[تعداد روزهای بدهکار  تسویه نشده (روز)]]*Main[[#This Row],[مانده در خط تسویه نشده (کیلوگرم)]]</f>
        <v>0</v>
      </c>
      <c r="AD625" s="6">
        <f ca="1">SUBTOTAL(9,INDEX(Main[بدهی سررسید شده (کیلوگرم)],1):Main[[#This Row],[بدهی سررسید شده (کیلوگرم)]])</f>
        <v>0</v>
      </c>
      <c r="AE625" s="6">
        <f ca="1">IF(Main[[#This Row],[مانده در خط سررسید شده (کیلوگرم)]]&lt;&gt;0,Main[[#This Row],[تعداد کل روزهای بدهکار (روز)]],0)</f>
        <v>0</v>
      </c>
      <c r="AF625" s="6">
        <f ca="1">Main[[#This Row],[تعداد روزهای بدهکار سررسید شده (روز)]]*Main[[#This Row],[مانده در خط سررسید شده (کیلوگرم)]]</f>
        <v>0</v>
      </c>
    </row>
    <row r="626" spans="1:32" hidden="1" x14ac:dyDescent="0.35">
      <c r="A626" s="5">
        <f>ROW()-ROW(INDEX(Main[ردیف],1))+1</f>
        <v>624</v>
      </c>
      <c r="B626" s="31">
        <f>SUBTOTAL(2,INDEX(Main[ردیف],1):Main[[#This Row],[ردیف]])</f>
        <v>57</v>
      </c>
      <c r="C626" s="32" t="s">
        <v>572</v>
      </c>
      <c r="D626" s="32" t="str">
        <f>_xlfn.CONCAT("14",Main[[#This Row],[تاريخ]])</f>
        <v>1400/03/08</v>
      </c>
      <c r="E626" s="33">
        <v>44345</v>
      </c>
      <c r="F626" s="32">
        <v>30186</v>
      </c>
      <c r="G626" s="5" t="str">
        <f>INDEX(customer[عنوان],MATCH(Main[[#This Row],[کد ردیابی]],customer[کد],0))</f>
        <v>سارا گاز</v>
      </c>
      <c r="H626">
        <v>2038</v>
      </c>
      <c r="I626" s="6">
        <f ca="1">-Main[[#This Row],[بدهی تسویه شده (کیلوگرم)]]+Main[[#This Row],[بستانکار (کیلوگرم)]]</f>
        <v>2038</v>
      </c>
      <c r="J626" s="6">
        <f>IF(Main[[#This Row],[مقدار (کیلوگرم)]]&gt;0,Main[[#This Row],[مقدار (کیلوگرم)]],0)</f>
        <v>2038</v>
      </c>
      <c r="K626" s="6">
        <f>-IF(Main[[#This Row],[مقدار (کیلوگرم)]]&lt;0,Main[[#This Row],[مقدار (کیلوگرم)]],0)</f>
        <v>0</v>
      </c>
      <c r="L6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6" s="7">
        <f>-IF(AND(Main[[#This Row],[مقدار (کیلوگرم)]]&lt;0,Main[[#This Row],[تاريخ میلادی]]&gt;44276),Main[[#This Row],[مقدار (کیلوگرم)]],0)</f>
        <v>0</v>
      </c>
      <c r="N626" s="6">
        <f ca="1">Main[[#This Row],[بدهکار (کیلوگرم)]]-Main[[#This Row],[بدهی تسویه نشده (کیلوگرم)]]</f>
        <v>0</v>
      </c>
      <c r="O626" s="6">
        <f ca="1">Main[[#This Row],[تفکیک]]</f>
        <v>0</v>
      </c>
      <c r="P626" s="6">
        <f ca="1">IF(Main[[#This Row],[تاخیر از سررسید]]&gt;0,Main[[#This Row],[بدهی تسویه نشده (کیلوگرم)]],0)</f>
        <v>0</v>
      </c>
      <c r="Q626" s="6">
        <f ca="1">IF(Main[[#This Row],[بدهی تسویه نشده (کیلوگرم)]]&gt;0,'گزارش فردی'!$B$7-Main[[#This Row],[تاريخ میلادی]],0)</f>
        <v>0</v>
      </c>
      <c r="R626" s="6">
        <f ca="1">IF(Main[[#This Row],[بدهی تسویه نشده (کیلوگرم)]]&gt;0,'گزارش فردی'!$B$7-Main[[#This Row],[تاريخ میلادی]]-'گزارش فردی'!$B$8,0)</f>
        <v>0</v>
      </c>
      <c r="S626" s="6">
        <f ca="1">Main[[#This Row],[روز از ارسال سفارش]]*Main[[#This Row],[بدهی تسویه نشده (کیلوگرم)]]</f>
        <v>0</v>
      </c>
      <c r="T626" s="6">
        <f ca="1">Main[[#This Row],[بدهی سررسید شده (کیلوگرم)]]*Main[[#This Row],[روز از ارسال سفارش]]</f>
        <v>0</v>
      </c>
      <c r="U626" s="6">
        <f>-SUBTOTAL(9,INDEX(Main[مقدار (کیلوگرم)],1):Main[[#This Row],[مقدار (کیلوگرم)]])</f>
        <v>28776</v>
      </c>
      <c r="V6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6" s="6">
        <f>Main[[#This Row],[تعداد کل روزهای بدهکار (روز)]]*Main[[#This Row],[مانده در خط کل (کیلوگرم)]]</f>
        <v>0</v>
      </c>
      <c r="X626" s="6">
        <f ca="1">-SUBTOTAL(9,INDEX(Main[مقدار تسویه شده (کیلوگرم)],1):Main[[#This Row],[مقدار تسویه شده (کیلوگرم)]])</f>
        <v>28776</v>
      </c>
      <c r="Y626" s="6">
        <f ca="1">IF(Main[[#This Row],[مانده در خط تسویه شده (کیلوگرم)]]&lt;&gt;0,Main[[#This Row],[تعداد کل روزهای بدهکار (روز)]],0)</f>
        <v>0</v>
      </c>
      <c r="Z626" s="6">
        <f ca="1">Main[[#This Row],[تعداد روزهای بدهکار تسویه شده (روز)]]*Main[[#This Row],[مانده در خط تسویه شده (کیلوگرم)]]</f>
        <v>0</v>
      </c>
      <c r="AA626" s="6">
        <f ca="1">SUBTOTAL(9,INDEX(Main[بدهی تسویه نشده (کیلوگرم)],1):Main[[#This Row],[بدهی تسویه نشده (کیلوگرم)]])</f>
        <v>0</v>
      </c>
      <c r="AB626" s="6">
        <f ca="1">IF(Main[[#This Row],[مانده در خط تسویه نشده (کیلوگرم)]]&lt;&gt;0,Main[[#This Row],[تعداد کل روزهای بدهکار (روز)]],0)</f>
        <v>0</v>
      </c>
      <c r="AC626" s="6">
        <f ca="1">Main[[#This Row],[تعداد روزهای بدهکار  تسویه نشده (روز)]]*Main[[#This Row],[مانده در خط تسویه نشده (کیلوگرم)]]</f>
        <v>0</v>
      </c>
      <c r="AD626" s="6">
        <f ca="1">SUBTOTAL(9,INDEX(Main[بدهی سررسید شده (کیلوگرم)],1):Main[[#This Row],[بدهی سررسید شده (کیلوگرم)]])</f>
        <v>0</v>
      </c>
      <c r="AE626" s="6">
        <f ca="1">IF(Main[[#This Row],[مانده در خط سررسید شده (کیلوگرم)]]&lt;&gt;0,Main[[#This Row],[تعداد کل روزهای بدهکار (روز)]],0)</f>
        <v>0</v>
      </c>
      <c r="AF626" s="6">
        <f ca="1">Main[[#This Row],[تعداد روزهای بدهکار سررسید شده (روز)]]*Main[[#This Row],[مانده در خط سررسید شده (کیلوگرم)]]</f>
        <v>0</v>
      </c>
    </row>
    <row r="627" spans="1:32" x14ac:dyDescent="0.35">
      <c r="A627" s="5">
        <f>ROW()-ROW(INDEX(Main[ردیف],1))+1</f>
        <v>625</v>
      </c>
      <c r="B627" s="31">
        <f>SUBTOTAL(2,INDEX(Main[ردیف],1):Main[[#This Row],[ردیف]])</f>
        <v>58</v>
      </c>
      <c r="C627" s="32" t="s">
        <v>572</v>
      </c>
      <c r="D627" s="32" t="str">
        <f>_xlfn.CONCAT("14",Main[[#This Row],[تاريخ]])</f>
        <v>1400/03/08</v>
      </c>
      <c r="E627" s="33">
        <v>44345</v>
      </c>
      <c r="F627" s="32">
        <v>10003</v>
      </c>
      <c r="G627" s="5" t="str">
        <f>INDEX(customer[عنوان],MATCH(Main[[#This Row],[کد ردیابی]],customer[کد],0))</f>
        <v>اصغر نورعلی</v>
      </c>
      <c r="H627">
        <v>-4292</v>
      </c>
      <c r="I627" s="6">
        <f ca="1">-Main[[#This Row],[بدهی تسویه شده (کیلوگرم)]]+Main[[#This Row],[بستانکار (کیلوگرم)]]</f>
        <v>-4292</v>
      </c>
      <c r="J627" s="6">
        <f>IF(Main[[#This Row],[مقدار (کیلوگرم)]]&gt;0,Main[[#This Row],[مقدار (کیلوگرم)]],0)</f>
        <v>0</v>
      </c>
      <c r="K627" s="6">
        <f>-IF(Main[[#This Row],[مقدار (کیلوگرم)]]&lt;0,Main[[#This Row],[مقدار (کیلوگرم)]],0)</f>
        <v>4292</v>
      </c>
      <c r="L6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7" s="7">
        <f>-IF(AND(Main[[#This Row],[مقدار (کیلوگرم)]]&lt;0,Main[[#This Row],[تاريخ میلادی]]&gt;44276),Main[[#This Row],[مقدار (کیلوگرم)]],0)</f>
        <v>4292</v>
      </c>
      <c r="N627" s="6">
        <f ca="1">Main[[#This Row],[بدهکار (کیلوگرم)]]-Main[[#This Row],[بدهی تسویه نشده (کیلوگرم)]]</f>
        <v>4292</v>
      </c>
      <c r="O627" s="6">
        <f ca="1">Main[[#This Row],[تفکیک]]</f>
        <v>0</v>
      </c>
      <c r="P627" s="6">
        <f ca="1">IF(Main[[#This Row],[تاخیر از سررسید]]&gt;0,Main[[#This Row],[بدهی تسویه نشده (کیلوگرم)]],0)</f>
        <v>0</v>
      </c>
      <c r="Q627" s="6">
        <f ca="1">IF(Main[[#This Row],[بدهی تسویه نشده (کیلوگرم)]]&gt;0,'گزارش فردی'!$B$7-Main[[#This Row],[تاريخ میلادی]],0)</f>
        <v>0</v>
      </c>
      <c r="R627" s="6">
        <f ca="1">IF(Main[[#This Row],[بدهی تسویه نشده (کیلوگرم)]]&gt;0,'گزارش فردی'!$B$7-Main[[#This Row],[تاريخ میلادی]]-'گزارش فردی'!$B$8,0)</f>
        <v>0</v>
      </c>
      <c r="S627" s="6">
        <f ca="1">Main[[#This Row],[روز از ارسال سفارش]]*Main[[#This Row],[بدهی تسویه نشده (کیلوگرم)]]</f>
        <v>0</v>
      </c>
      <c r="T627" s="6">
        <f ca="1">Main[[#This Row],[بدهی سررسید شده (کیلوگرم)]]*Main[[#This Row],[روز از ارسال سفارش]]</f>
        <v>0</v>
      </c>
      <c r="U627" s="6">
        <f>-SUBTOTAL(9,INDEX(Main[مقدار (کیلوگرم)],1):Main[[#This Row],[مقدار (کیلوگرم)]])</f>
        <v>33068</v>
      </c>
      <c r="V6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27" s="6">
        <f>Main[[#This Row],[تعداد کل روزهای بدهکار (روز)]]*Main[[#This Row],[مانده در خط کل (کیلوگرم)]]</f>
        <v>33068</v>
      </c>
      <c r="X627" s="6">
        <f ca="1">-SUBTOTAL(9,INDEX(Main[مقدار تسویه شده (کیلوگرم)],1):Main[[#This Row],[مقدار تسویه شده (کیلوگرم)]])</f>
        <v>33068</v>
      </c>
      <c r="Y627" s="6">
        <f ca="1">IF(Main[[#This Row],[مانده در خط تسویه شده (کیلوگرم)]]&lt;&gt;0,Main[[#This Row],[تعداد کل روزهای بدهکار (روز)]],0)</f>
        <v>1</v>
      </c>
      <c r="Z627" s="6">
        <f ca="1">Main[[#This Row],[تعداد روزهای بدهکار تسویه شده (روز)]]*Main[[#This Row],[مانده در خط تسویه شده (کیلوگرم)]]</f>
        <v>33068</v>
      </c>
      <c r="AA627" s="6">
        <f ca="1">SUBTOTAL(9,INDEX(Main[بدهی تسویه نشده (کیلوگرم)],1):Main[[#This Row],[بدهی تسویه نشده (کیلوگرم)]])</f>
        <v>0</v>
      </c>
      <c r="AB627" s="6">
        <f ca="1">IF(Main[[#This Row],[مانده در خط تسویه نشده (کیلوگرم)]]&lt;&gt;0,Main[[#This Row],[تعداد کل روزهای بدهکار (روز)]],0)</f>
        <v>0</v>
      </c>
      <c r="AC627" s="6">
        <f ca="1">Main[[#This Row],[تعداد روزهای بدهکار  تسویه نشده (روز)]]*Main[[#This Row],[مانده در خط تسویه نشده (کیلوگرم)]]</f>
        <v>0</v>
      </c>
      <c r="AD627" s="6">
        <f ca="1">SUBTOTAL(9,INDEX(Main[بدهی سررسید شده (کیلوگرم)],1):Main[[#This Row],[بدهی سررسید شده (کیلوگرم)]])</f>
        <v>0</v>
      </c>
      <c r="AE627" s="6">
        <f ca="1">IF(Main[[#This Row],[مانده در خط سررسید شده (کیلوگرم)]]&lt;&gt;0,Main[[#This Row],[تعداد کل روزهای بدهکار (روز)]],0)</f>
        <v>0</v>
      </c>
      <c r="AF627" s="6">
        <f ca="1">Main[[#This Row],[تعداد روزهای بدهکار سررسید شده (روز)]]*Main[[#This Row],[مانده در خط سررسید شده (کیلوگرم)]]</f>
        <v>0</v>
      </c>
    </row>
    <row r="628" spans="1:32" hidden="1" x14ac:dyDescent="0.35">
      <c r="A628" s="5">
        <f>ROW()-ROW(INDEX(Main[ردیف],1))+1</f>
        <v>626</v>
      </c>
      <c r="B628" s="31">
        <f>SUBTOTAL(2,INDEX(Main[ردیف],1):Main[[#This Row],[ردیف]])</f>
        <v>58</v>
      </c>
      <c r="C628" s="32" t="s">
        <v>572</v>
      </c>
      <c r="D628" s="32" t="str">
        <f>_xlfn.CONCAT("14",Main[[#This Row],[تاريخ]])</f>
        <v>1400/03/08</v>
      </c>
      <c r="E628" s="33">
        <v>44345</v>
      </c>
      <c r="F628" s="32">
        <v>30004</v>
      </c>
      <c r="G628" s="5" t="str">
        <f>INDEX(customer[عنوان],MATCH(Main[[#This Row],[کد ردیابی]],customer[کد],0))</f>
        <v>تولیدی صنعتی صفاشیر پارس</v>
      </c>
      <c r="H628">
        <v>1458</v>
      </c>
      <c r="I628" s="6">
        <f ca="1">-Main[[#This Row],[بدهی تسویه شده (کیلوگرم)]]+Main[[#This Row],[بستانکار (کیلوگرم)]]</f>
        <v>1458</v>
      </c>
      <c r="J628" s="6">
        <f>IF(Main[[#This Row],[مقدار (کیلوگرم)]]&gt;0,Main[[#This Row],[مقدار (کیلوگرم)]],0)</f>
        <v>1458</v>
      </c>
      <c r="K628" s="6">
        <f>-IF(Main[[#This Row],[مقدار (کیلوگرم)]]&lt;0,Main[[#This Row],[مقدار (کیلوگرم)]],0)</f>
        <v>0</v>
      </c>
      <c r="L6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8" s="7">
        <f>-IF(AND(Main[[#This Row],[مقدار (کیلوگرم)]]&lt;0,Main[[#This Row],[تاريخ میلادی]]&gt;44276),Main[[#This Row],[مقدار (کیلوگرم)]],0)</f>
        <v>0</v>
      </c>
      <c r="N628" s="6">
        <f ca="1">Main[[#This Row],[بدهکار (کیلوگرم)]]-Main[[#This Row],[بدهی تسویه نشده (کیلوگرم)]]</f>
        <v>0</v>
      </c>
      <c r="O628" s="6">
        <f ca="1">Main[[#This Row],[تفکیک]]</f>
        <v>0</v>
      </c>
      <c r="P628" s="6">
        <f ca="1">IF(Main[[#This Row],[تاخیر از سررسید]]&gt;0,Main[[#This Row],[بدهی تسویه نشده (کیلوگرم)]],0)</f>
        <v>0</v>
      </c>
      <c r="Q628" s="6">
        <f ca="1">IF(Main[[#This Row],[بدهی تسویه نشده (کیلوگرم)]]&gt;0,'گزارش فردی'!$B$7-Main[[#This Row],[تاريخ میلادی]],0)</f>
        <v>0</v>
      </c>
      <c r="R628" s="6">
        <f ca="1">IF(Main[[#This Row],[بدهی تسویه نشده (کیلوگرم)]]&gt;0,'گزارش فردی'!$B$7-Main[[#This Row],[تاريخ میلادی]]-'گزارش فردی'!$B$8,0)</f>
        <v>0</v>
      </c>
      <c r="S628" s="6">
        <f ca="1">Main[[#This Row],[روز از ارسال سفارش]]*Main[[#This Row],[بدهی تسویه نشده (کیلوگرم)]]</f>
        <v>0</v>
      </c>
      <c r="T628" s="6">
        <f ca="1">Main[[#This Row],[بدهی سررسید شده (کیلوگرم)]]*Main[[#This Row],[روز از ارسال سفارش]]</f>
        <v>0</v>
      </c>
      <c r="U628" s="6">
        <f>-SUBTOTAL(9,INDEX(Main[مقدار (کیلوگرم)],1):Main[[#This Row],[مقدار (کیلوگرم)]])</f>
        <v>33068</v>
      </c>
      <c r="V6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28" s="6">
        <f>Main[[#This Row],[تعداد کل روزهای بدهکار (روز)]]*Main[[#This Row],[مانده در خط کل (کیلوگرم)]]</f>
        <v>33068</v>
      </c>
      <c r="X628" s="6">
        <f ca="1">-SUBTOTAL(9,INDEX(Main[مقدار تسویه شده (کیلوگرم)],1):Main[[#This Row],[مقدار تسویه شده (کیلوگرم)]])</f>
        <v>33068</v>
      </c>
      <c r="Y628" s="6">
        <f ca="1">IF(Main[[#This Row],[مانده در خط تسویه شده (کیلوگرم)]]&lt;&gt;0,Main[[#This Row],[تعداد کل روزهای بدهکار (روز)]],0)</f>
        <v>1</v>
      </c>
      <c r="Z628" s="6">
        <f ca="1">Main[[#This Row],[تعداد روزهای بدهکار تسویه شده (روز)]]*Main[[#This Row],[مانده در خط تسویه شده (کیلوگرم)]]</f>
        <v>33068</v>
      </c>
      <c r="AA628" s="6">
        <f ca="1">SUBTOTAL(9,INDEX(Main[بدهی تسویه نشده (کیلوگرم)],1):Main[[#This Row],[بدهی تسویه نشده (کیلوگرم)]])</f>
        <v>0</v>
      </c>
      <c r="AB628" s="6">
        <f ca="1">IF(Main[[#This Row],[مانده در خط تسویه نشده (کیلوگرم)]]&lt;&gt;0,Main[[#This Row],[تعداد کل روزهای بدهکار (روز)]],0)</f>
        <v>0</v>
      </c>
      <c r="AC628" s="6">
        <f ca="1">Main[[#This Row],[تعداد روزهای بدهکار  تسویه نشده (روز)]]*Main[[#This Row],[مانده در خط تسویه نشده (کیلوگرم)]]</f>
        <v>0</v>
      </c>
      <c r="AD628" s="6">
        <f ca="1">SUBTOTAL(9,INDEX(Main[بدهی سررسید شده (کیلوگرم)],1):Main[[#This Row],[بدهی سررسید شده (کیلوگرم)]])</f>
        <v>0</v>
      </c>
      <c r="AE628" s="6">
        <f ca="1">IF(Main[[#This Row],[مانده در خط سررسید شده (کیلوگرم)]]&lt;&gt;0,Main[[#This Row],[تعداد کل روزهای بدهکار (روز)]],0)</f>
        <v>0</v>
      </c>
      <c r="AF628" s="6">
        <f ca="1">Main[[#This Row],[تعداد روزهای بدهکار سررسید شده (روز)]]*Main[[#This Row],[مانده در خط سررسید شده (کیلوگرم)]]</f>
        <v>0</v>
      </c>
    </row>
    <row r="629" spans="1:32" hidden="1" x14ac:dyDescent="0.35">
      <c r="A629" s="5">
        <f>ROW()-ROW(INDEX(Main[ردیف],1))+1</f>
        <v>627</v>
      </c>
      <c r="B629" s="31">
        <f>SUBTOTAL(2,INDEX(Main[ردیف],1):Main[[#This Row],[ردیف]])</f>
        <v>58</v>
      </c>
      <c r="C629" s="32" t="s">
        <v>572</v>
      </c>
      <c r="D629" s="32" t="str">
        <f>_xlfn.CONCAT("14",Main[[#This Row],[تاريخ]])</f>
        <v>1400/03/08</v>
      </c>
      <c r="E629" s="33">
        <v>44345</v>
      </c>
      <c r="F629" s="32">
        <v>30003</v>
      </c>
      <c r="G629" s="5" t="str">
        <f>INDEX(customer[عنوان],MATCH(Main[[#This Row],[کد ردیابی]],customer[کد],0))</f>
        <v xml:space="preserve">شهاب گاز سوز </v>
      </c>
      <c r="H629">
        <v>-1028</v>
      </c>
      <c r="I629" s="6">
        <f ca="1">-Main[[#This Row],[بدهی تسویه شده (کیلوگرم)]]+Main[[#This Row],[بستانکار (کیلوگرم)]]</f>
        <v>-1028</v>
      </c>
      <c r="J629" s="6">
        <f>IF(Main[[#This Row],[مقدار (کیلوگرم)]]&gt;0,Main[[#This Row],[مقدار (کیلوگرم)]],0)</f>
        <v>0</v>
      </c>
      <c r="K629" s="6">
        <f>-IF(Main[[#This Row],[مقدار (کیلوگرم)]]&lt;0,Main[[#This Row],[مقدار (کیلوگرم)]],0)</f>
        <v>1028</v>
      </c>
      <c r="L6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9" s="7">
        <f>-IF(AND(Main[[#This Row],[مقدار (کیلوگرم)]]&lt;0,Main[[#This Row],[تاريخ میلادی]]&gt;44276),Main[[#This Row],[مقدار (کیلوگرم)]],0)</f>
        <v>1028</v>
      </c>
      <c r="N629" s="6">
        <f ca="1">Main[[#This Row],[بدهکار (کیلوگرم)]]-Main[[#This Row],[بدهی تسویه نشده (کیلوگرم)]]</f>
        <v>1028</v>
      </c>
      <c r="O629" s="6">
        <f ca="1">Main[[#This Row],[تفکیک]]</f>
        <v>0</v>
      </c>
      <c r="P629" s="6">
        <f ca="1">IF(Main[[#This Row],[تاخیر از سررسید]]&gt;0,Main[[#This Row],[بدهی تسویه نشده (کیلوگرم)]],0)</f>
        <v>0</v>
      </c>
      <c r="Q629" s="6">
        <f ca="1">IF(Main[[#This Row],[بدهی تسویه نشده (کیلوگرم)]]&gt;0,'گزارش فردی'!$B$7-Main[[#This Row],[تاريخ میلادی]],0)</f>
        <v>0</v>
      </c>
      <c r="R629" s="6">
        <f ca="1">IF(Main[[#This Row],[بدهی تسویه نشده (کیلوگرم)]]&gt;0,'گزارش فردی'!$B$7-Main[[#This Row],[تاريخ میلادی]]-'گزارش فردی'!$B$8,0)</f>
        <v>0</v>
      </c>
      <c r="S629" s="6">
        <f ca="1">Main[[#This Row],[روز از ارسال سفارش]]*Main[[#This Row],[بدهی تسویه نشده (کیلوگرم)]]</f>
        <v>0</v>
      </c>
      <c r="T629" s="6">
        <f ca="1">Main[[#This Row],[بدهی سررسید شده (کیلوگرم)]]*Main[[#This Row],[روز از ارسال سفارش]]</f>
        <v>0</v>
      </c>
      <c r="U629" s="6">
        <f>-SUBTOTAL(9,INDEX(Main[مقدار (کیلوگرم)],1):Main[[#This Row],[مقدار (کیلوگرم)]])</f>
        <v>33068</v>
      </c>
      <c r="V6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29" s="6">
        <f>Main[[#This Row],[تعداد کل روزهای بدهکار (روز)]]*Main[[#This Row],[مانده در خط کل (کیلوگرم)]]</f>
        <v>33068</v>
      </c>
      <c r="X629" s="6">
        <f ca="1">-SUBTOTAL(9,INDEX(Main[مقدار تسویه شده (کیلوگرم)],1):Main[[#This Row],[مقدار تسویه شده (کیلوگرم)]])</f>
        <v>33068</v>
      </c>
      <c r="Y629" s="6">
        <f ca="1">IF(Main[[#This Row],[مانده در خط تسویه شده (کیلوگرم)]]&lt;&gt;0,Main[[#This Row],[تعداد کل روزهای بدهکار (روز)]],0)</f>
        <v>1</v>
      </c>
      <c r="Z629" s="6">
        <f ca="1">Main[[#This Row],[تعداد روزهای بدهکار تسویه شده (روز)]]*Main[[#This Row],[مانده در خط تسویه شده (کیلوگرم)]]</f>
        <v>33068</v>
      </c>
      <c r="AA629" s="6">
        <f ca="1">SUBTOTAL(9,INDEX(Main[بدهی تسویه نشده (کیلوگرم)],1):Main[[#This Row],[بدهی تسویه نشده (کیلوگرم)]])</f>
        <v>0</v>
      </c>
      <c r="AB629" s="6">
        <f ca="1">IF(Main[[#This Row],[مانده در خط تسویه نشده (کیلوگرم)]]&lt;&gt;0,Main[[#This Row],[تعداد کل روزهای بدهکار (روز)]],0)</f>
        <v>0</v>
      </c>
      <c r="AC629" s="6">
        <f ca="1">Main[[#This Row],[تعداد روزهای بدهکار  تسویه نشده (روز)]]*Main[[#This Row],[مانده در خط تسویه نشده (کیلوگرم)]]</f>
        <v>0</v>
      </c>
      <c r="AD629" s="6">
        <f ca="1">SUBTOTAL(9,INDEX(Main[بدهی سررسید شده (کیلوگرم)],1):Main[[#This Row],[بدهی سررسید شده (کیلوگرم)]])</f>
        <v>0</v>
      </c>
      <c r="AE629" s="6">
        <f ca="1">IF(Main[[#This Row],[مانده در خط سررسید شده (کیلوگرم)]]&lt;&gt;0,Main[[#This Row],[تعداد کل روزهای بدهکار (روز)]],0)</f>
        <v>0</v>
      </c>
      <c r="AF629" s="6">
        <f ca="1">Main[[#This Row],[تعداد روزهای بدهکار سررسید شده (روز)]]*Main[[#This Row],[مانده در خط سررسید شده (کیلوگرم)]]</f>
        <v>0</v>
      </c>
    </row>
    <row r="630" spans="1:32" hidden="1" x14ac:dyDescent="0.35">
      <c r="A630" s="5">
        <f>ROW()-ROW(INDEX(Main[ردیف],1))+1</f>
        <v>628</v>
      </c>
      <c r="B630" s="31">
        <f>SUBTOTAL(2,INDEX(Main[ردیف],1):Main[[#This Row],[ردیف]])</f>
        <v>58</v>
      </c>
      <c r="C630" s="32" t="s">
        <v>572</v>
      </c>
      <c r="D630" s="32" t="str">
        <f>_xlfn.CONCAT("14",Main[[#This Row],[تاريخ]])</f>
        <v>1400/03/08</v>
      </c>
      <c r="E630" s="33">
        <v>44345</v>
      </c>
      <c r="F630" s="32">
        <v>30004</v>
      </c>
      <c r="G630" s="5" t="str">
        <f>INDEX(customer[عنوان],MATCH(Main[[#This Row],[کد ردیابی]],customer[کد],0))</f>
        <v>تولیدی صنعتی صفاشیر پارس</v>
      </c>
      <c r="H630">
        <v>85</v>
      </c>
      <c r="I630" s="6">
        <f ca="1">-Main[[#This Row],[بدهی تسویه شده (کیلوگرم)]]+Main[[#This Row],[بستانکار (کیلوگرم)]]</f>
        <v>85</v>
      </c>
      <c r="J630" s="6">
        <f>IF(Main[[#This Row],[مقدار (کیلوگرم)]]&gt;0,Main[[#This Row],[مقدار (کیلوگرم)]],0)</f>
        <v>85</v>
      </c>
      <c r="K630" s="6">
        <f>-IF(Main[[#This Row],[مقدار (کیلوگرم)]]&lt;0,Main[[#This Row],[مقدار (کیلوگرم)]],0)</f>
        <v>0</v>
      </c>
      <c r="L6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0" s="7">
        <f>-IF(AND(Main[[#This Row],[مقدار (کیلوگرم)]]&lt;0,Main[[#This Row],[تاريخ میلادی]]&gt;44276),Main[[#This Row],[مقدار (کیلوگرم)]],0)</f>
        <v>0</v>
      </c>
      <c r="N630" s="6">
        <f ca="1">Main[[#This Row],[بدهکار (کیلوگرم)]]-Main[[#This Row],[بدهی تسویه نشده (کیلوگرم)]]</f>
        <v>0</v>
      </c>
      <c r="O630" s="6">
        <f ca="1">Main[[#This Row],[تفکیک]]</f>
        <v>0</v>
      </c>
      <c r="P630" s="6">
        <f ca="1">IF(Main[[#This Row],[تاخیر از سررسید]]&gt;0,Main[[#This Row],[بدهی تسویه نشده (کیلوگرم)]],0)</f>
        <v>0</v>
      </c>
      <c r="Q630" s="6">
        <f ca="1">IF(Main[[#This Row],[بدهی تسویه نشده (کیلوگرم)]]&gt;0,'گزارش فردی'!$B$7-Main[[#This Row],[تاريخ میلادی]],0)</f>
        <v>0</v>
      </c>
      <c r="R630" s="6">
        <f ca="1">IF(Main[[#This Row],[بدهی تسویه نشده (کیلوگرم)]]&gt;0,'گزارش فردی'!$B$7-Main[[#This Row],[تاريخ میلادی]]-'گزارش فردی'!$B$8,0)</f>
        <v>0</v>
      </c>
      <c r="S630" s="6">
        <f ca="1">Main[[#This Row],[روز از ارسال سفارش]]*Main[[#This Row],[بدهی تسویه نشده (کیلوگرم)]]</f>
        <v>0</v>
      </c>
      <c r="T630" s="6">
        <f ca="1">Main[[#This Row],[بدهی سررسید شده (کیلوگرم)]]*Main[[#This Row],[روز از ارسال سفارش]]</f>
        <v>0</v>
      </c>
      <c r="U630" s="6">
        <f>-SUBTOTAL(9,INDEX(Main[مقدار (کیلوگرم)],1):Main[[#This Row],[مقدار (کیلوگرم)]])</f>
        <v>33068</v>
      </c>
      <c r="V6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30" s="6">
        <f>Main[[#This Row],[تعداد کل روزهای بدهکار (روز)]]*Main[[#This Row],[مانده در خط کل (کیلوگرم)]]</f>
        <v>33068</v>
      </c>
      <c r="X630" s="6">
        <f ca="1">-SUBTOTAL(9,INDEX(Main[مقدار تسویه شده (کیلوگرم)],1):Main[[#This Row],[مقدار تسویه شده (کیلوگرم)]])</f>
        <v>33068</v>
      </c>
      <c r="Y630" s="6">
        <f ca="1">IF(Main[[#This Row],[مانده در خط تسویه شده (کیلوگرم)]]&lt;&gt;0,Main[[#This Row],[تعداد کل روزهای بدهکار (روز)]],0)</f>
        <v>1</v>
      </c>
      <c r="Z630" s="6">
        <f ca="1">Main[[#This Row],[تعداد روزهای بدهکار تسویه شده (روز)]]*Main[[#This Row],[مانده در خط تسویه شده (کیلوگرم)]]</f>
        <v>33068</v>
      </c>
      <c r="AA630" s="6">
        <f ca="1">SUBTOTAL(9,INDEX(Main[بدهی تسویه نشده (کیلوگرم)],1):Main[[#This Row],[بدهی تسویه نشده (کیلوگرم)]])</f>
        <v>0</v>
      </c>
      <c r="AB630" s="6">
        <f ca="1">IF(Main[[#This Row],[مانده در خط تسویه نشده (کیلوگرم)]]&lt;&gt;0,Main[[#This Row],[تعداد کل روزهای بدهکار (روز)]],0)</f>
        <v>0</v>
      </c>
      <c r="AC630" s="6">
        <f ca="1">Main[[#This Row],[تعداد روزهای بدهکار  تسویه نشده (روز)]]*Main[[#This Row],[مانده در خط تسویه نشده (کیلوگرم)]]</f>
        <v>0</v>
      </c>
      <c r="AD630" s="6">
        <f ca="1">SUBTOTAL(9,INDEX(Main[بدهی سررسید شده (کیلوگرم)],1):Main[[#This Row],[بدهی سررسید شده (کیلوگرم)]])</f>
        <v>0</v>
      </c>
      <c r="AE630" s="6">
        <f ca="1">IF(Main[[#This Row],[مانده در خط سررسید شده (کیلوگرم)]]&lt;&gt;0,Main[[#This Row],[تعداد کل روزهای بدهکار (روز)]],0)</f>
        <v>0</v>
      </c>
      <c r="AF630" s="6">
        <f ca="1">Main[[#This Row],[تعداد روزهای بدهکار سررسید شده (روز)]]*Main[[#This Row],[مانده در خط سررسید شده (کیلوگرم)]]</f>
        <v>0</v>
      </c>
    </row>
    <row r="631" spans="1:32" hidden="1" x14ac:dyDescent="0.35">
      <c r="A631" s="5">
        <f>ROW()-ROW(INDEX(Main[ردیف],1))+1</f>
        <v>629</v>
      </c>
      <c r="B631" s="31">
        <f>SUBTOTAL(2,INDEX(Main[ردیف],1):Main[[#This Row],[ردیف]])</f>
        <v>58</v>
      </c>
      <c r="C631" s="32" t="s">
        <v>572</v>
      </c>
      <c r="D631" s="32" t="str">
        <f>_xlfn.CONCAT("14",Main[[#This Row],[تاريخ]])</f>
        <v>1400/03/08</v>
      </c>
      <c r="E631" s="33">
        <v>44345</v>
      </c>
      <c r="F631" s="32">
        <v>30004</v>
      </c>
      <c r="G631" s="5" t="str">
        <f>INDEX(customer[عنوان],MATCH(Main[[#This Row],[کد ردیابی]],customer[کد],0))</f>
        <v>تولیدی صنعتی صفاشیر پارس</v>
      </c>
      <c r="H631">
        <v>-4529</v>
      </c>
      <c r="I631" s="6">
        <f ca="1">-Main[[#This Row],[بدهی تسویه شده (کیلوگرم)]]+Main[[#This Row],[بستانکار (کیلوگرم)]]</f>
        <v>-4529</v>
      </c>
      <c r="J631" s="6">
        <f>IF(Main[[#This Row],[مقدار (کیلوگرم)]]&gt;0,Main[[#This Row],[مقدار (کیلوگرم)]],0)</f>
        <v>0</v>
      </c>
      <c r="K631" s="6">
        <f>-IF(Main[[#This Row],[مقدار (کیلوگرم)]]&lt;0,Main[[#This Row],[مقدار (کیلوگرم)]],0)</f>
        <v>4529</v>
      </c>
      <c r="L6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1" s="7">
        <f>-IF(AND(Main[[#This Row],[مقدار (کیلوگرم)]]&lt;0,Main[[#This Row],[تاريخ میلادی]]&gt;44276),Main[[#This Row],[مقدار (کیلوگرم)]],0)</f>
        <v>4529</v>
      </c>
      <c r="N631" s="6">
        <f ca="1">Main[[#This Row],[بدهکار (کیلوگرم)]]-Main[[#This Row],[بدهی تسویه نشده (کیلوگرم)]]</f>
        <v>4529</v>
      </c>
      <c r="O631" s="6">
        <f ca="1">Main[[#This Row],[تفکیک]]</f>
        <v>0</v>
      </c>
      <c r="P631" s="6">
        <f ca="1">IF(Main[[#This Row],[تاخیر از سررسید]]&gt;0,Main[[#This Row],[بدهی تسویه نشده (کیلوگرم)]],0)</f>
        <v>0</v>
      </c>
      <c r="Q631" s="6">
        <f ca="1">IF(Main[[#This Row],[بدهی تسویه نشده (کیلوگرم)]]&gt;0,'گزارش فردی'!$B$7-Main[[#This Row],[تاريخ میلادی]],0)</f>
        <v>0</v>
      </c>
      <c r="R631" s="6">
        <f ca="1">IF(Main[[#This Row],[بدهی تسویه نشده (کیلوگرم)]]&gt;0,'گزارش فردی'!$B$7-Main[[#This Row],[تاريخ میلادی]]-'گزارش فردی'!$B$8,0)</f>
        <v>0</v>
      </c>
      <c r="S631" s="6">
        <f ca="1">Main[[#This Row],[روز از ارسال سفارش]]*Main[[#This Row],[بدهی تسویه نشده (کیلوگرم)]]</f>
        <v>0</v>
      </c>
      <c r="T631" s="6">
        <f ca="1">Main[[#This Row],[بدهی سررسید شده (کیلوگرم)]]*Main[[#This Row],[روز از ارسال سفارش]]</f>
        <v>0</v>
      </c>
      <c r="U631" s="6">
        <f>-SUBTOTAL(9,INDEX(Main[مقدار (کیلوگرم)],1):Main[[#This Row],[مقدار (کیلوگرم)]])</f>
        <v>33068</v>
      </c>
      <c r="V6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31" s="6">
        <f>Main[[#This Row],[تعداد کل روزهای بدهکار (روز)]]*Main[[#This Row],[مانده در خط کل (کیلوگرم)]]</f>
        <v>33068</v>
      </c>
      <c r="X631" s="6">
        <f ca="1">-SUBTOTAL(9,INDEX(Main[مقدار تسویه شده (کیلوگرم)],1):Main[[#This Row],[مقدار تسویه شده (کیلوگرم)]])</f>
        <v>33068</v>
      </c>
      <c r="Y631" s="6">
        <f ca="1">IF(Main[[#This Row],[مانده در خط تسویه شده (کیلوگرم)]]&lt;&gt;0,Main[[#This Row],[تعداد کل روزهای بدهکار (روز)]],0)</f>
        <v>1</v>
      </c>
      <c r="Z631" s="6">
        <f ca="1">Main[[#This Row],[تعداد روزهای بدهکار تسویه شده (روز)]]*Main[[#This Row],[مانده در خط تسویه شده (کیلوگرم)]]</f>
        <v>33068</v>
      </c>
      <c r="AA631" s="6">
        <f ca="1">SUBTOTAL(9,INDEX(Main[بدهی تسویه نشده (کیلوگرم)],1):Main[[#This Row],[بدهی تسویه نشده (کیلوگرم)]])</f>
        <v>0</v>
      </c>
      <c r="AB631" s="6">
        <f ca="1">IF(Main[[#This Row],[مانده در خط تسویه نشده (کیلوگرم)]]&lt;&gt;0,Main[[#This Row],[تعداد کل روزهای بدهکار (روز)]],0)</f>
        <v>0</v>
      </c>
      <c r="AC631" s="6">
        <f ca="1">Main[[#This Row],[تعداد روزهای بدهکار  تسویه نشده (روز)]]*Main[[#This Row],[مانده در خط تسویه نشده (کیلوگرم)]]</f>
        <v>0</v>
      </c>
      <c r="AD631" s="6">
        <f ca="1">SUBTOTAL(9,INDEX(Main[بدهی سررسید شده (کیلوگرم)],1):Main[[#This Row],[بدهی سررسید شده (کیلوگرم)]])</f>
        <v>0</v>
      </c>
      <c r="AE631" s="6">
        <f ca="1">IF(Main[[#This Row],[مانده در خط سررسید شده (کیلوگرم)]]&lt;&gt;0,Main[[#This Row],[تعداد کل روزهای بدهکار (روز)]],0)</f>
        <v>0</v>
      </c>
      <c r="AF631" s="6">
        <f ca="1">Main[[#This Row],[تعداد روزهای بدهکار سررسید شده (روز)]]*Main[[#This Row],[مانده در خط سررسید شده (کیلوگرم)]]</f>
        <v>0</v>
      </c>
    </row>
    <row r="632" spans="1:32" hidden="1" x14ac:dyDescent="0.35">
      <c r="A632" s="5">
        <f>ROW()-ROW(INDEX(Main[ردیف],1))+1</f>
        <v>630</v>
      </c>
      <c r="B632" s="31">
        <f>SUBTOTAL(2,INDEX(Main[ردیف],1):Main[[#This Row],[ردیف]])</f>
        <v>58</v>
      </c>
      <c r="C632" s="32" t="s">
        <v>573</v>
      </c>
      <c r="D632" s="32" t="str">
        <f>_xlfn.CONCAT("14",Main[[#This Row],[تاريخ]])</f>
        <v>1400/03/09</v>
      </c>
      <c r="E632" s="33">
        <v>44346</v>
      </c>
      <c r="F632" s="32">
        <v>10069</v>
      </c>
      <c r="G632" s="5" t="str">
        <f>INDEX(customer[عنوان],MATCH(Main[[#This Row],[کد ردیابی]],customer[کد],0))</f>
        <v xml:space="preserve">جواد عرب </v>
      </c>
      <c r="H632">
        <v>369</v>
      </c>
      <c r="I632" s="6">
        <f ca="1">-Main[[#This Row],[بدهی تسویه شده (کیلوگرم)]]+Main[[#This Row],[بستانکار (کیلوگرم)]]</f>
        <v>369</v>
      </c>
      <c r="J632" s="6">
        <f>IF(Main[[#This Row],[مقدار (کیلوگرم)]]&gt;0,Main[[#This Row],[مقدار (کیلوگرم)]],0)</f>
        <v>369</v>
      </c>
      <c r="K632" s="6">
        <f>-IF(Main[[#This Row],[مقدار (کیلوگرم)]]&lt;0,Main[[#This Row],[مقدار (کیلوگرم)]],0)</f>
        <v>0</v>
      </c>
      <c r="L6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2" s="7">
        <f>-IF(AND(Main[[#This Row],[مقدار (کیلوگرم)]]&lt;0,Main[[#This Row],[تاريخ میلادی]]&gt;44276),Main[[#This Row],[مقدار (کیلوگرم)]],0)</f>
        <v>0</v>
      </c>
      <c r="N632" s="6">
        <f ca="1">Main[[#This Row],[بدهکار (کیلوگرم)]]-Main[[#This Row],[بدهی تسویه نشده (کیلوگرم)]]</f>
        <v>0</v>
      </c>
      <c r="O632" s="6">
        <f ca="1">Main[[#This Row],[تفکیک]]</f>
        <v>0</v>
      </c>
      <c r="P632" s="6">
        <f ca="1">IF(Main[[#This Row],[تاخیر از سررسید]]&gt;0,Main[[#This Row],[بدهی تسویه نشده (کیلوگرم)]],0)</f>
        <v>0</v>
      </c>
      <c r="Q632" s="6">
        <f ca="1">IF(Main[[#This Row],[بدهی تسویه نشده (کیلوگرم)]]&gt;0,'گزارش فردی'!$B$7-Main[[#This Row],[تاريخ میلادی]],0)</f>
        <v>0</v>
      </c>
      <c r="R632" s="6">
        <f ca="1">IF(Main[[#This Row],[بدهی تسویه نشده (کیلوگرم)]]&gt;0,'گزارش فردی'!$B$7-Main[[#This Row],[تاريخ میلادی]]-'گزارش فردی'!$B$8,0)</f>
        <v>0</v>
      </c>
      <c r="S632" s="6">
        <f ca="1">Main[[#This Row],[روز از ارسال سفارش]]*Main[[#This Row],[بدهی تسویه نشده (کیلوگرم)]]</f>
        <v>0</v>
      </c>
      <c r="T632" s="6">
        <f ca="1">Main[[#This Row],[بدهی سررسید شده (کیلوگرم)]]*Main[[#This Row],[روز از ارسال سفارش]]</f>
        <v>0</v>
      </c>
      <c r="U632" s="6">
        <f>-SUBTOTAL(9,INDEX(Main[مقدار (کیلوگرم)],1):Main[[#This Row],[مقدار (کیلوگرم)]])</f>
        <v>33068</v>
      </c>
      <c r="V6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2" s="6">
        <f>Main[[#This Row],[تعداد کل روزهای بدهکار (روز)]]*Main[[#This Row],[مانده در خط کل (کیلوگرم)]]</f>
        <v>0</v>
      </c>
      <c r="X632" s="6">
        <f ca="1">-SUBTOTAL(9,INDEX(Main[مقدار تسویه شده (کیلوگرم)],1):Main[[#This Row],[مقدار تسویه شده (کیلوگرم)]])</f>
        <v>33068</v>
      </c>
      <c r="Y632" s="6">
        <f ca="1">IF(Main[[#This Row],[مانده در خط تسویه شده (کیلوگرم)]]&lt;&gt;0,Main[[#This Row],[تعداد کل روزهای بدهکار (روز)]],0)</f>
        <v>0</v>
      </c>
      <c r="Z632" s="6">
        <f ca="1">Main[[#This Row],[تعداد روزهای بدهکار تسویه شده (روز)]]*Main[[#This Row],[مانده در خط تسویه شده (کیلوگرم)]]</f>
        <v>0</v>
      </c>
      <c r="AA632" s="6">
        <f ca="1">SUBTOTAL(9,INDEX(Main[بدهی تسویه نشده (کیلوگرم)],1):Main[[#This Row],[بدهی تسویه نشده (کیلوگرم)]])</f>
        <v>0</v>
      </c>
      <c r="AB632" s="6">
        <f ca="1">IF(Main[[#This Row],[مانده در خط تسویه نشده (کیلوگرم)]]&lt;&gt;0,Main[[#This Row],[تعداد کل روزهای بدهکار (روز)]],0)</f>
        <v>0</v>
      </c>
      <c r="AC632" s="6">
        <f ca="1">Main[[#This Row],[تعداد روزهای بدهکار  تسویه نشده (روز)]]*Main[[#This Row],[مانده در خط تسویه نشده (کیلوگرم)]]</f>
        <v>0</v>
      </c>
      <c r="AD632" s="6">
        <f ca="1">SUBTOTAL(9,INDEX(Main[بدهی سررسید شده (کیلوگرم)],1):Main[[#This Row],[بدهی سررسید شده (کیلوگرم)]])</f>
        <v>0</v>
      </c>
      <c r="AE632" s="6">
        <f ca="1">IF(Main[[#This Row],[مانده در خط سررسید شده (کیلوگرم)]]&lt;&gt;0,Main[[#This Row],[تعداد کل روزهای بدهکار (روز)]],0)</f>
        <v>0</v>
      </c>
      <c r="AF632" s="6">
        <f ca="1">Main[[#This Row],[تعداد روزهای بدهکار سررسید شده (روز)]]*Main[[#This Row],[مانده در خط سررسید شده (کیلوگرم)]]</f>
        <v>0</v>
      </c>
    </row>
    <row r="633" spans="1:32" hidden="1" x14ac:dyDescent="0.35">
      <c r="A633" s="5">
        <f>ROW()-ROW(INDEX(Main[ردیف],1))+1</f>
        <v>631</v>
      </c>
      <c r="B633" s="31">
        <f>SUBTOTAL(2,INDEX(Main[ردیف],1):Main[[#This Row],[ردیف]])</f>
        <v>58</v>
      </c>
      <c r="C633" s="32" t="s">
        <v>573</v>
      </c>
      <c r="D633" s="32" t="str">
        <f>_xlfn.CONCAT("14",Main[[#This Row],[تاريخ]])</f>
        <v>1400/03/09</v>
      </c>
      <c r="E633" s="33">
        <v>44346</v>
      </c>
      <c r="F633" s="32">
        <v>30127</v>
      </c>
      <c r="G633" s="5" t="str">
        <f>INDEX(customer[عنوان],MATCH(Main[[#This Row],[کد ردیابی]],customer[کد],0))</f>
        <v>شیر گاز آذران</v>
      </c>
      <c r="H633">
        <v>-15995</v>
      </c>
      <c r="I633" s="6">
        <f ca="1">-Main[[#This Row],[بدهی تسویه شده (کیلوگرم)]]+Main[[#This Row],[بستانکار (کیلوگرم)]]</f>
        <v>-15995</v>
      </c>
      <c r="J633" s="6">
        <f>IF(Main[[#This Row],[مقدار (کیلوگرم)]]&gt;0,Main[[#This Row],[مقدار (کیلوگرم)]],0)</f>
        <v>0</v>
      </c>
      <c r="K633" s="6">
        <f>-IF(Main[[#This Row],[مقدار (کیلوگرم)]]&lt;0,Main[[#This Row],[مقدار (کیلوگرم)]],0)</f>
        <v>15995</v>
      </c>
      <c r="L6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3" s="7">
        <f>-IF(AND(Main[[#This Row],[مقدار (کیلوگرم)]]&lt;0,Main[[#This Row],[تاريخ میلادی]]&gt;44276),Main[[#This Row],[مقدار (کیلوگرم)]],0)</f>
        <v>15995</v>
      </c>
      <c r="N633" s="6">
        <f ca="1">Main[[#This Row],[بدهکار (کیلوگرم)]]-Main[[#This Row],[بدهی تسویه نشده (کیلوگرم)]]</f>
        <v>15995</v>
      </c>
      <c r="O633" s="6">
        <f ca="1">Main[[#This Row],[تفکیک]]</f>
        <v>0</v>
      </c>
      <c r="P633" s="6">
        <f ca="1">IF(Main[[#This Row],[تاخیر از سررسید]]&gt;0,Main[[#This Row],[بدهی تسویه نشده (کیلوگرم)]],0)</f>
        <v>0</v>
      </c>
      <c r="Q633" s="6">
        <f ca="1">IF(Main[[#This Row],[بدهی تسویه نشده (کیلوگرم)]]&gt;0,'گزارش فردی'!$B$7-Main[[#This Row],[تاريخ میلادی]],0)</f>
        <v>0</v>
      </c>
      <c r="R633" s="6">
        <f ca="1">IF(Main[[#This Row],[بدهی تسویه نشده (کیلوگرم)]]&gt;0,'گزارش فردی'!$B$7-Main[[#This Row],[تاريخ میلادی]]-'گزارش فردی'!$B$8,0)</f>
        <v>0</v>
      </c>
      <c r="S633" s="6">
        <f ca="1">Main[[#This Row],[روز از ارسال سفارش]]*Main[[#This Row],[بدهی تسویه نشده (کیلوگرم)]]</f>
        <v>0</v>
      </c>
      <c r="T633" s="6">
        <f ca="1">Main[[#This Row],[بدهی سررسید شده (کیلوگرم)]]*Main[[#This Row],[روز از ارسال سفارش]]</f>
        <v>0</v>
      </c>
      <c r="U633" s="6">
        <f>-SUBTOTAL(9,INDEX(Main[مقدار (کیلوگرم)],1):Main[[#This Row],[مقدار (کیلوگرم)]])</f>
        <v>33068</v>
      </c>
      <c r="V6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3" s="6">
        <f>Main[[#This Row],[تعداد کل روزهای بدهکار (روز)]]*Main[[#This Row],[مانده در خط کل (کیلوگرم)]]</f>
        <v>0</v>
      </c>
      <c r="X633" s="6">
        <f ca="1">-SUBTOTAL(9,INDEX(Main[مقدار تسویه شده (کیلوگرم)],1):Main[[#This Row],[مقدار تسویه شده (کیلوگرم)]])</f>
        <v>33068</v>
      </c>
      <c r="Y633" s="6">
        <f ca="1">IF(Main[[#This Row],[مانده در خط تسویه شده (کیلوگرم)]]&lt;&gt;0,Main[[#This Row],[تعداد کل روزهای بدهکار (روز)]],0)</f>
        <v>0</v>
      </c>
      <c r="Z633" s="6">
        <f ca="1">Main[[#This Row],[تعداد روزهای بدهکار تسویه شده (روز)]]*Main[[#This Row],[مانده در خط تسویه شده (کیلوگرم)]]</f>
        <v>0</v>
      </c>
      <c r="AA633" s="6">
        <f ca="1">SUBTOTAL(9,INDEX(Main[بدهی تسویه نشده (کیلوگرم)],1):Main[[#This Row],[بدهی تسویه نشده (کیلوگرم)]])</f>
        <v>0</v>
      </c>
      <c r="AB633" s="6">
        <f ca="1">IF(Main[[#This Row],[مانده در خط تسویه نشده (کیلوگرم)]]&lt;&gt;0,Main[[#This Row],[تعداد کل روزهای بدهکار (روز)]],0)</f>
        <v>0</v>
      </c>
      <c r="AC633" s="6">
        <f ca="1">Main[[#This Row],[تعداد روزهای بدهکار  تسویه نشده (روز)]]*Main[[#This Row],[مانده در خط تسویه نشده (کیلوگرم)]]</f>
        <v>0</v>
      </c>
      <c r="AD633" s="6">
        <f ca="1">SUBTOTAL(9,INDEX(Main[بدهی سررسید شده (کیلوگرم)],1):Main[[#This Row],[بدهی سررسید شده (کیلوگرم)]])</f>
        <v>0</v>
      </c>
      <c r="AE633" s="6">
        <f ca="1">IF(Main[[#This Row],[مانده در خط سررسید شده (کیلوگرم)]]&lt;&gt;0,Main[[#This Row],[تعداد کل روزهای بدهکار (روز)]],0)</f>
        <v>0</v>
      </c>
      <c r="AF633" s="6">
        <f ca="1">Main[[#This Row],[تعداد روزهای بدهکار سررسید شده (روز)]]*Main[[#This Row],[مانده در خط سررسید شده (کیلوگرم)]]</f>
        <v>0</v>
      </c>
    </row>
    <row r="634" spans="1:32" hidden="1" x14ac:dyDescent="0.35">
      <c r="A634" s="5">
        <f>ROW()-ROW(INDEX(Main[ردیف],1))+1</f>
        <v>632</v>
      </c>
      <c r="B634" s="31">
        <f>SUBTOTAL(2,INDEX(Main[ردیف],1):Main[[#This Row],[ردیف]])</f>
        <v>58</v>
      </c>
      <c r="C634" s="32" t="s">
        <v>573</v>
      </c>
      <c r="D634" s="32" t="str">
        <f>_xlfn.CONCAT("14",Main[[#This Row],[تاريخ]])</f>
        <v>1400/03/09</v>
      </c>
      <c r="E634" s="33">
        <v>44346</v>
      </c>
      <c r="F634" s="32">
        <v>30066</v>
      </c>
      <c r="G634" s="5" t="str">
        <f>INDEX(customer[عنوان],MATCH(Main[[#This Row],[کد ردیابی]],customer[کد],0))</f>
        <v xml:space="preserve">شیر آلات بهداشتی قهرمان </v>
      </c>
      <c r="H634">
        <v>4201</v>
      </c>
      <c r="I634" s="6">
        <f ca="1">-Main[[#This Row],[بدهی تسویه شده (کیلوگرم)]]+Main[[#This Row],[بستانکار (کیلوگرم)]]</f>
        <v>4201</v>
      </c>
      <c r="J634" s="6">
        <f>IF(Main[[#This Row],[مقدار (کیلوگرم)]]&gt;0,Main[[#This Row],[مقدار (کیلوگرم)]],0)</f>
        <v>4201</v>
      </c>
      <c r="K634" s="6">
        <f>-IF(Main[[#This Row],[مقدار (کیلوگرم)]]&lt;0,Main[[#This Row],[مقدار (کیلوگرم)]],0)</f>
        <v>0</v>
      </c>
      <c r="L6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4" s="7">
        <f>-IF(AND(Main[[#This Row],[مقدار (کیلوگرم)]]&lt;0,Main[[#This Row],[تاريخ میلادی]]&gt;44276),Main[[#This Row],[مقدار (کیلوگرم)]],0)</f>
        <v>0</v>
      </c>
      <c r="N634" s="6">
        <f ca="1">Main[[#This Row],[بدهکار (کیلوگرم)]]-Main[[#This Row],[بدهی تسویه نشده (کیلوگرم)]]</f>
        <v>0</v>
      </c>
      <c r="O634" s="6">
        <f ca="1">Main[[#This Row],[تفکیک]]</f>
        <v>0</v>
      </c>
      <c r="P634" s="6">
        <f ca="1">IF(Main[[#This Row],[تاخیر از سررسید]]&gt;0,Main[[#This Row],[بدهی تسویه نشده (کیلوگرم)]],0)</f>
        <v>0</v>
      </c>
      <c r="Q634" s="6">
        <f ca="1">IF(Main[[#This Row],[بدهی تسویه نشده (کیلوگرم)]]&gt;0,'گزارش فردی'!$B$7-Main[[#This Row],[تاريخ میلادی]],0)</f>
        <v>0</v>
      </c>
      <c r="R634" s="6">
        <f ca="1">IF(Main[[#This Row],[بدهی تسویه نشده (کیلوگرم)]]&gt;0,'گزارش فردی'!$B$7-Main[[#This Row],[تاريخ میلادی]]-'گزارش فردی'!$B$8,0)</f>
        <v>0</v>
      </c>
      <c r="S634" s="6">
        <f ca="1">Main[[#This Row],[روز از ارسال سفارش]]*Main[[#This Row],[بدهی تسویه نشده (کیلوگرم)]]</f>
        <v>0</v>
      </c>
      <c r="T634" s="6">
        <f ca="1">Main[[#This Row],[بدهی سررسید شده (کیلوگرم)]]*Main[[#This Row],[روز از ارسال سفارش]]</f>
        <v>0</v>
      </c>
      <c r="U634" s="6">
        <f>-SUBTOTAL(9,INDEX(Main[مقدار (کیلوگرم)],1):Main[[#This Row],[مقدار (کیلوگرم)]])</f>
        <v>33068</v>
      </c>
      <c r="V6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4" s="6">
        <f>Main[[#This Row],[تعداد کل روزهای بدهکار (روز)]]*Main[[#This Row],[مانده در خط کل (کیلوگرم)]]</f>
        <v>0</v>
      </c>
      <c r="X634" s="6">
        <f ca="1">-SUBTOTAL(9,INDEX(Main[مقدار تسویه شده (کیلوگرم)],1):Main[[#This Row],[مقدار تسویه شده (کیلوگرم)]])</f>
        <v>33068</v>
      </c>
      <c r="Y634" s="6">
        <f ca="1">IF(Main[[#This Row],[مانده در خط تسویه شده (کیلوگرم)]]&lt;&gt;0,Main[[#This Row],[تعداد کل روزهای بدهکار (روز)]],0)</f>
        <v>0</v>
      </c>
      <c r="Z634" s="6">
        <f ca="1">Main[[#This Row],[تعداد روزهای بدهکار تسویه شده (روز)]]*Main[[#This Row],[مانده در خط تسویه شده (کیلوگرم)]]</f>
        <v>0</v>
      </c>
      <c r="AA634" s="6">
        <f ca="1">SUBTOTAL(9,INDEX(Main[بدهی تسویه نشده (کیلوگرم)],1):Main[[#This Row],[بدهی تسویه نشده (کیلوگرم)]])</f>
        <v>0</v>
      </c>
      <c r="AB634" s="6">
        <f ca="1">IF(Main[[#This Row],[مانده در خط تسویه نشده (کیلوگرم)]]&lt;&gt;0,Main[[#This Row],[تعداد کل روزهای بدهکار (روز)]],0)</f>
        <v>0</v>
      </c>
      <c r="AC634" s="6">
        <f ca="1">Main[[#This Row],[تعداد روزهای بدهکار  تسویه نشده (روز)]]*Main[[#This Row],[مانده در خط تسویه نشده (کیلوگرم)]]</f>
        <v>0</v>
      </c>
      <c r="AD634" s="6">
        <f ca="1">SUBTOTAL(9,INDEX(Main[بدهی سررسید شده (کیلوگرم)],1):Main[[#This Row],[بدهی سررسید شده (کیلوگرم)]])</f>
        <v>0</v>
      </c>
      <c r="AE634" s="6">
        <f ca="1">IF(Main[[#This Row],[مانده در خط سررسید شده (کیلوگرم)]]&lt;&gt;0,Main[[#This Row],[تعداد کل روزهای بدهکار (روز)]],0)</f>
        <v>0</v>
      </c>
      <c r="AF634" s="6">
        <f ca="1">Main[[#This Row],[تعداد روزهای بدهکار سررسید شده (روز)]]*Main[[#This Row],[مانده در خط سررسید شده (کیلوگرم)]]</f>
        <v>0</v>
      </c>
    </row>
    <row r="635" spans="1:32" hidden="1" x14ac:dyDescent="0.35">
      <c r="A635" s="5">
        <f>ROW()-ROW(INDEX(Main[ردیف],1))+1</f>
        <v>633</v>
      </c>
      <c r="B635" s="31">
        <f>SUBTOTAL(2,INDEX(Main[ردیف],1):Main[[#This Row],[ردیف]])</f>
        <v>58</v>
      </c>
      <c r="C635" s="32" t="s">
        <v>573</v>
      </c>
      <c r="D635" s="32" t="str">
        <f>_xlfn.CONCAT("14",Main[[#This Row],[تاريخ]])</f>
        <v>1400/03/09</v>
      </c>
      <c r="E635" s="33">
        <v>44346</v>
      </c>
      <c r="F635" s="32">
        <v>30066</v>
      </c>
      <c r="G635" s="5" t="str">
        <f>INDEX(customer[عنوان],MATCH(Main[[#This Row],[کد ردیابی]],customer[کد],0))</f>
        <v xml:space="preserve">شیر آلات بهداشتی قهرمان </v>
      </c>
      <c r="H635">
        <v>-5196</v>
      </c>
      <c r="I635" s="6">
        <f ca="1">-Main[[#This Row],[بدهی تسویه شده (کیلوگرم)]]+Main[[#This Row],[بستانکار (کیلوگرم)]]</f>
        <v>-5196</v>
      </c>
      <c r="J635" s="6">
        <f>IF(Main[[#This Row],[مقدار (کیلوگرم)]]&gt;0,Main[[#This Row],[مقدار (کیلوگرم)]],0)</f>
        <v>0</v>
      </c>
      <c r="K635" s="6">
        <f>-IF(Main[[#This Row],[مقدار (کیلوگرم)]]&lt;0,Main[[#This Row],[مقدار (کیلوگرم)]],0)</f>
        <v>5196</v>
      </c>
      <c r="L6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5" s="7">
        <f>-IF(AND(Main[[#This Row],[مقدار (کیلوگرم)]]&lt;0,Main[[#This Row],[تاريخ میلادی]]&gt;44276),Main[[#This Row],[مقدار (کیلوگرم)]],0)</f>
        <v>5196</v>
      </c>
      <c r="N635" s="6">
        <f ca="1">Main[[#This Row],[بدهکار (کیلوگرم)]]-Main[[#This Row],[بدهی تسویه نشده (کیلوگرم)]]</f>
        <v>5196</v>
      </c>
      <c r="O635" s="6">
        <f ca="1">Main[[#This Row],[تفکیک]]</f>
        <v>0</v>
      </c>
      <c r="P635" s="6">
        <f ca="1">IF(Main[[#This Row],[تاخیر از سررسید]]&gt;0,Main[[#This Row],[بدهی تسویه نشده (کیلوگرم)]],0)</f>
        <v>0</v>
      </c>
      <c r="Q635" s="6">
        <f ca="1">IF(Main[[#This Row],[بدهی تسویه نشده (کیلوگرم)]]&gt;0,'گزارش فردی'!$B$7-Main[[#This Row],[تاريخ میلادی]],0)</f>
        <v>0</v>
      </c>
      <c r="R635" s="6">
        <f ca="1">IF(Main[[#This Row],[بدهی تسویه نشده (کیلوگرم)]]&gt;0,'گزارش فردی'!$B$7-Main[[#This Row],[تاريخ میلادی]]-'گزارش فردی'!$B$8,0)</f>
        <v>0</v>
      </c>
      <c r="S635" s="6">
        <f ca="1">Main[[#This Row],[روز از ارسال سفارش]]*Main[[#This Row],[بدهی تسویه نشده (کیلوگرم)]]</f>
        <v>0</v>
      </c>
      <c r="T635" s="6">
        <f ca="1">Main[[#This Row],[بدهی سررسید شده (کیلوگرم)]]*Main[[#This Row],[روز از ارسال سفارش]]</f>
        <v>0</v>
      </c>
      <c r="U635" s="6">
        <f>-SUBTOTAL(9,INDEX(Main[مقدار (کیلوگرم)],1):Main[[#This Row],[مقدار (کیلوگرم)]])</f>
        <v>33068</v>
      </c>
      <c r="V6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5" s="6">
        <f>Main[[#This Row],[تعداد کل روزهای بدهکار (روز)]]*Main[[#This Row],[مانده در خط کل (کیلوگرم)]]</f>
        <v>0</v>
      </c>
      <c r="X635" s="6">
        <f ca="1">-SUBTOTAL(9,INDEX(Main[مقدار تسویه شده (کیلوگرم)],1):Main[[#This Row],[مقدار تسویه شده (کیلوگرم)]])</f>
        <v>33068</v>
      </c>
      <c r="Y635" s="6">
        <f ca="1">IF(Main[[#This Row],[مانده در خط تسویه شده (کیلوگرم)]]&lt;&gt;0,Main[[#This Row],[تعداد کل روزهای بدهکار (روز)]],0)</f>
        <v>0</v>
      </c>
      <c r="Z635" s="6">
        <f ca="1">Main[[#This Row],[تعداد روزهای بدهکار تسویه شده (روز)]]*Main[[#This Row],[مانده در خط تسویه شده (کیلوگرم)]]</f>
        <v>0</v>
      </c>
      <c r="AA635" s="6">
        <f ca="1">SUBTOTAL(9,INDEX(Main[بدهی تسویه نشده (کیلوگرم)],1):Main[[#This Row],[بدهی تسویه نشده (کیلوگرم)]])</f>
        <v>0</v>
      </c>
      <c r="AB635" s="6">
        <f ca="1">IF(Main[[#This Row],[مانده در خط تسویه نشده (کیلوگرم)]]&lt;&gt;0,Main[[#This Row],[تعداد کل روزهای بدهکار (روز)]],0)</f>
        <v>0</v>
      </c>
      <c r="AC635" s="6">
        <f ca="1">Main[[#This Row],[تعداد روزهای بدهکار  تسویه نشده (روز)]]*Main[[#This Row],[مانده در خط تسویه نشده (کیلوگرم)]]</f>
        <v>0</v>
      </c>
      <c r="AD635" s="6">
        <f ca="1">SUBTOTAL(9,INDEX(Main[بدهی سررسید شده (کیلوگرم)],1):Main[[#This Row],[بدهی سررسید شده (کیلوگرم)]])</f>
        <v>0</v>
      </c>
      <c r="AE635" s="6">
        <f ca="1">IF(Main[[#This Row],[مانده در خط سررسید شده (کیلوگرم)]]&lt;&gt;0,Main[[#This Row],[تعداد کل روزهای بدهکار (روز)]],0)</f>
        <v>0</v>
      </c>
      <c r="AF635" s="6">
        <f ca="1">Main[[#This Row],[تعداد روزهای بدهکار سررسید شده (روز)]]*Main[[#This Row],[مانده در خط سررسید شده (کیلوگرم)]]</f>
        <v>0</v>
      </c>
    </row>
    <row r="636" spans="1:32" hidden="1" x14ac:dyDescent="0.35">
      <c r="A636" s="5">
        <f>ROW()-ROW(INDEX(Main[ردیف],1))+1</f>
        <v>634</v>
      </c>
      <c r="B636" s="31">
        <f>SUBTOTAL(2,INDEX(Main[ردیف],1):Main[[#This Row],[ردیف]])</f>
        <v>58</v>
      </c>
      <c r="C636" s="32" t="s">
        <v>573</v>
      </c>
      <c r="D636" s="32" t="str">
        <f>_xlfn.CONCAT("14",Main[[#This Row],[تاريخ]])</f>
        <v>1400/03/09</v>
      </c>
      <c r="E636" s="33">
        <v>44346</v>
      </c>
      <c r="F636" s="32">
        <v>30017</v>
      </c>
      <c r="G636" s="5" t="str">
        <f>INDEX(customer[عنوان],MATCH(Main[[#This Row],[کد ردیابی]],customer[کد],0))</f>
        <v xml:space="preserve">البرز یدک </v>
      </c>
      <c r="H636">
        <v>2437</v>
      </c>
      <c r="I636" s="6">
        <f ca="1">-Main[[#This Row],[بدهی تسویه شده (کیلوگرم)]]+Main[[#This Row],[بستانکار (کیلوگرم)]]</f>
        <v>2437</v>
      </c>
      <c r="J636" s="6">
        <f>IF(Main[[#This Row],[مقدار (کیلوگرم)]]&gt;0,Main[[#This Row],[مقدار (کیلوگرم)]],0)</f>
        <v>2437</v>
      </c>
      <c r="K636" s="6">
        <f>-IF(Main[[#This Row],[مقدار (کیلوگرم)]]&lt;0,Main[[#This Row],[مقدار (کیلوگرم)]],0)</f>
        <v>0</v>
      </c>
      <c r="L6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6" s="7">
        <f>-IF(AND(Main[[#This Row],[مقدار (کیلوگرم)]]&lt;0,Main[[#This Row],[تاريخ میلادی]]&gt;44276),Main[[#This Row],[مقدار (کیلوگرم)]],0)</f>
        <v>0</v>
      </c>
      <c r="N636" s="6">
        <f ca="1">Main[[#This Row],[بدهکار (کیلوگرم)]]-Main[[#This Row],[بدهی تسویه نشده (کیلوگرم)]]</f>
        <v>0</v>
      </c>
      <c r="O636" s="6">
        <f ca="1">Main[[#This Row],[تفکیک]]</f>
        <v>0</v>
      </c>
      <c r="P636" s="6">
        <f ca="1">IF(Main[[#This Row],[تاخیر از سررسید]]&gt;0,Main[[#This Row],[بدهی تسویه نشده (کیلوگرم)]],0)</f>
        <v>0</v>
      </c>
      <c r="Q636" s="6">
        <f ca="1">IF(Main[[#This Row],[بدهی تسویه نشده (کیلوگرم)]]&gt;0,'گزارش فردی'!$B$7-Main[[#This Row],[تاريخ میلادی]],0)</f>
        <v>0</v>
      </c>
      <c r="R636" s="6">
        <f ca="1">IF(Main[[#This Row],[بدهی تسویه نشده (کیلوگرم)]]&gt;0,'گزارش فردی'!$B$7-Main[[#This Row],[تاريخ میلادی]]-'گزارش فردی'!$B$8,0)</f>
        <v>0</v>
      </c>
      <c r="S636" s="6">
        <f ca="1">Main[[#This Row],[روز از ارسال سفارش]]*Main[[#This Row],[بدهی تسویه نشده (کیلوگرم)]]</f>
        <v>0</v>
      </c>
      <c r="T636" s="6">
        <f ca="1">Main[[#This Row],[بدهی سررسید شده (کیلوگرم)]]*Main[[#This Row],[روز از ارسال سفارش]]</f>
        <v>0</v>
      </c>
      <c r="U636" s="6">
        <f>-SUBTOTAL(9,INDEX(Main[مقدار (کیلوگرم)],1):Main[[#This Row],[مقدار (کیلوگرم)]])</f>
        <v>33068</v>
      </c>
      <c r="V6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6" s="6">
        <f>Main[[#This Row],[تعداد کل روزهای بدهکار (روز)]]*Main[[#This Row],[مانده در خط کل (کیلوگرم)]]</f>
        <v>0</v>
      </c>
      <c r="X636" s="6">
        <f ca="1">-SUBTOTAL(9,INDEX(Main[مقدار تسویه شده (کیلوگرم)],1):Main[[#This Row],[مقدار تسویه شده (کیلوگرم)]])</f>
        <v>33068</v>
      </c>
      <c r="Y636" s="6">
        <f ca="1">IF(Main[[#This Row],[مانده در خط تسویه شده (کیلوگرم)]]&lt;&gt;0,Main[[#This Row],[تعداد کل روزهای بدهکار (روز)]],0)</f>
        <v>0</v>
      </c>
      <c r="Z636" s="6">
        <f ca="1">Main[[#This Row],[تعداد روزهای بدهکار تسویه شده (روز)]]*Main[[#This Row],[مانده در خط تسویه شده (کیلوگرم)]]</f>
        <v>0</v>
      </c>
      <c r="AA636" s="6">
        <f ca="1">SUBTOTAL(9,INDEX(Main[بدهی تسویه نشده (کیلوگرم)],1):Main[[#This Row],[بدهی تسویه نشده (کیلوگرم)]])</f>
        <v>0</v>
      </c>
      <c r="AB636" s="6">
        <f ca="1">IF(Main[[#This Row],[مانده در خط تسویه نشده (کیلوگرم)]]&lt;&gt;0,Main[[#This Row],[تعداد کل روزهای بدهکار (روز)]],0)</f>
        <v>0</v>
      </c>
      <c r="AC636" s="6">
        <f ca="1">Main[[#This Row],[تعداد روزهای بدهکار  تسویه نشده (روز)]]*Main[[#This Row],[مانده در خط تسویه نشده (کیلوگرم)]]</f>
        <v>0</v>
      </c>
      <c r="AD636" s="6">
        <f ca="1">SUBTOTAL(9,INDEX(Main[بدهی سررسید شده (کیلوگرم)],1):Main[[#This Row],[بدهی سررسید شده (کیلوگرم)]])</f>
        <v>0</v>
      </c>
      <c r="AE636" s="6">
        <f ca="1">IF(Main[[#This Row],[مانده در خط سررسید شده (کیلوگرم)]]&lt;&gt;0,Main[[#This Row],[تعداد کل روزهای بدهکار (روز)]],0)</f>
        <v>0</v>
      </c>
      <c r="AF636" s="6">
        <f ca="1">Main[[#This Row],[تعداد روزهای بدهکار سررسید شده (روز)]]*Main[[#This Row],[مانده در خط سررسید شده (کیلوگرم)]]</f>
        <v>0</v>
      </c>
    </row>
    <row r="637" spans="1:32" x14ac:dyDescent="0.35">
      <c r="A637" s="5">
        <f>ROW()-ROW(INDEX(Main[ردیف],1))+1</f>
        <v>635</v>
      </c>
      <c r="B637" s="31">
        <f>SUBTOTAL(2,INDEX(Main[ردیف],1):Main[[#This Row],[ردیف]])</f>
        <v>59</v>
      </c>
      <c r="C637" s="32" t="s">
        <v>573</v>
      </c>
      <c r="D637" s="32" t="str">
        <f>_xlfn.CONCAT("14",Main[[#This Row],[تاريخ]])</f>
        <v>1400/03/09</v>
      </c>
      <c r="E637" s="33">
        <v>44346</v>
      </c>
      <c r="F637" s="32">
        <v>10003</v>
      </c>
      <c r="G637" s="5" t="str">
        <f>INDEX(customer[عنوان],MATCH(Main[[#This Row],[کد ردیابی]],customer[کد],0))</f>
        <v>اصغر نورعلی</v>
      </c>
      <c r="H637">
        <v>-3122</v>
      </c>
      <c r="I637" s="6">
        <f ca="1">-Main[[#This Row],[بدهی تسویه شده (کیلوگرم)]]+Main[[#This Row],[بستانکار (کیلوگرم)]]</f>
        <v>-3122</v>
      </c>
      <c r="J637" s="6">
        <f>IF(Main[[#This Row],[مقدار (کیلوگرم)]]&gt;0,Main[[#This Row],[مقدار (کیلوگرم)]],0)</f>
        <v>0</v>
      </c>
      <c r="K637" s="6">
        <f>-IF(Main[[#This Row],[مقدار (کیلوگرم)]]&lt;0,Main[[#This Row],[مقدار (کیلوگرم)]],0)</f>
        <v>3122</v>
      </c>
      <c r="L6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7" s="7">
        <f>-IF(AND(Main[[#This Row],[مقدار (کیلوگرم)]]&lt;0,Main[[#This Row],[تاريخ میلادی]]&gt;44276),Main[[#This Row],[مقدار (کیلوگرم)]],0)</f>
        <v>3122</v>
      </c>
      <c r="N637" s="6">
        <f ca="1">Main[[#This Row],[بدهکار (کیلوگرم)]]-Main[[#This Row],[بدهی تسویه نشده (کیلوگرم)]]</f>
        <v>3122</v>
      </c>
      <c r="O637" s="6">
        <f ca="1">Main[[#This Row],[تفکیک]]</f>
        <v>0</v>
      </c>
      <c r="P637" s="6">
        <f ca="1">IF(Main[[#This Row],[تاخیر از سررسید]]&gt;0,Main[[#This Row],[بدهی تسویه نشده (کیلوگرم)]],0)</f>
        <v>0</v>
      </c>
      <c r="Q637" s="6">
        <f ca="1">IF(Main[[#This Row],[بدهی تسویه نشده (کیلوگرم)]]&gt;0,'گزارش فردی'!$B$7-Main[[#This Row],[تاريخ میلادی]],0)</f>
        <v>0</v>
      </c>
      <c r="R637" s="6">
        <f ca="1">IF(Main[[#This Row],[بدهی تسویه نشده (کیلوگرم)]]&gt;0,'گزارش فردی'!$B$7-Main[[#This Row],[تاريخ میلادی]]-'گزارش فردی'!$B$8,0)</f>
        <v>0</v>
      </c>
      <c r="S637" s="6">
        <f ca="1">Main[[#This Row],[روز از ارسال سفارش]]*Main[[#This Row],[بدهی تسویه نشده (کیلوگرم)]]</f>
        <v>0</v>
      </c>
      <c r="T637" s="6">
        <f ca="1">Main[[#This Row],[بدهی سررسید شده (کیلوگرم)]]*Main[[#This Row],[روز از ارسال سفارش]]</f>
        <v>0</v>
      </c>
      <c r="U637" s="6">
        <f>-SUBTOTAL(9,INDEX(Main[مقدار (کیلوگرم)],1):Main[[#This Row],[مقدار (کیلوگرم)]])</f>
        <v>36190</v>
      </c>
      <c r="V6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37" s="6">
        <f>Main[[#This Row],[تعداد کل روزهای بدهکار (روز)]]*Main[[#This Row],[مانده در خط کل (کیلوگرم)]]</f>
        <v>36190</v>
      </c>
      <c r="X637" s="6">
        <f ca="1">-SUBTOTAL(9,INDEX(Main[مقدار تسویه شده (کیلوگرم)],1):Main[[#This Row],[مقدار تسویه شده (کیلوگرم)]])</f>
        <v>36190</v>
      </c>
      <c r="Y637" s="6">
        <f ca="1">IF(Main[[#This Row],[مانده در خط تسویه شده (کیلوگرم)]]&lt;&gt;0,Main[[#This Row],[تعداد کل روزهای بدهکار (روز)]],0)</f>
        <v>1</v>
      </c>
      <c r="Z637" s="6">
        <f ca="1">Main[[#This Row],[تعداد روزهای بدهکار تسویه شده (روز)]]*Main[[#This Row],[مانده در خط تسویه شده (کیلوگرم)]]</f>
        <v>36190</v>
      </c>
      <c r="AA637" s="6">
        <f ca="1">SUBTOTAL(9,INDEX(Main[بدهی تسویه نشده (کیلوگرم)],1):Main[[#This Row],[بدهی تسویه نشده (کیلوگرم)]])</f>
        <v>0</v>
      </c>
      <c r="AB637" s="6">
        <f ca="1">IF(Main[[#This Row],[مانده در خط تسویه نشده (کیلوگرم)]]&lt;&gt;0,Main[[#This Row],[تعداد کل روزهای بدهکار (روز)]],0)</f>
        <v>0</v>
      </c>
      <c r="AC637" s="6">
        <f ca="1">Main[[#This Row],[تعداد روزهای بدهکار  تسویه نشده (روز)]]*Main[[#This Row],[مانده در خط تسویه نشده (کیلوگرم)]]</f>
        <v>0</v>
      </c>
      <c r="AD637" s="6">
        <f ca="1">SUBTOTAL(9,INDEX(Main[بدهی سررسید شده (کیلوگرم)],1):Main[[#This Row],[بدهی سررسید شده (کیلوگرم)]])</f>
        <v>0</v>
      </c>
      <c r="AE637" s="6">
        <f ca="1">IF(Main[[#This Row],[مانده در خط سررسید شده (کیلوگرم)]]&lt;&gt;0,Main[[#This Row],[تعداد کل روزهای بدهکار (روز)]],0)</f>
        <v>0</v>
      </c>
      <c r="AF637" s="6">
        <f ca="1">Main[[#This Row],[تعداد روزهای بدهکار سررسید شده (روز)]]*Main[[#This Row],[مانده در خط سررسید شده (کیلوگرم)]]</f>
        <v>0</v>
      </c>
    </row>
    <row r="638" spans="1:32" hidden="1" x14ac:dyDescent="0.35">
      <c r="A638" s="5">
        <f>ROW()-ROW(INDEX(Main[ردیف],1))+1</f>
        <v>636</v>
      </c>
      <c r="B638" s="31">
        <f>SUBTOTAL(2,INDEX(Main[ردیف],1):Main[[#This Row],[ردیف]])</f>
        <v>59</v>
      </c>
      <c r="C638" s="32" t="s">
        <v>574</v>
      </c>
      <c r="D638" s="32" t="str">
        <f>_xlfn.CONCAT("14",Main[[#This Row],[تاريخ]])</f>
        <v>1400/03/10</v>
      </c>
      <c r="E638" s="33">
        <v>44347</v>
      </c>
      <c r="F638" s="32">
        <v>10104</v>
      </c>
      <c r="G638" s="5" t="str">
        <f>INDEX(customer[عنوان],MATCH(Main[[#This Row],[کد ردیابی]],customer[کد],0))</f>
        <v>بهزادی فر اصغر</v>
      </c>
      <c r="H638">
        <v>272</v>
      </c>
      <c r="I638" s="6">
        <f ca="1">-Main[[#This Row],[بدهی تسویه شده (کیلوگرم)]]+Main[[#This Row],[بستانکار (کیلوگرم)]]</f>
        <v>272</v>
      </c>
      <c r="J638" s="6">
        <f>IF(Main[[#This Row],[مقدار (کیلوگرم)]]&gt;0,Main[[#This Row],[مقدار (کیلوگرم)]],0)</f>
        <v>272</v>
      </c>
      <c r="K638" s="6">
        <f>-IF(Main[[#This Row],[مقدار (کیلوگرم)]]&lt;0,Main[[#This Row],[مقدار (کیلوگرم)]],0)</f>
        <v>0</v>
      </c>
      <c r="L6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8" s="7">
        <f>-IF(AND(Main[[#This Row],[مقدار (کیلوگرم)]]&lt;0,Main[[#This Row],[تاريخ میلادی]]&gt;44276),Main[[#This Row],[مقدار (کیلوگرم)]],0)</f>
        <v>0</v>
      </c>
      <c r="N638" s="6">
        <f ca="1">Main[[#This Row],[بدهکار (کیلوگرم)]]-Main[[#This Row],[بدهی تسویه نشده (کیلوگرم)]]</f>
        <v>0</v>
      </c>
      <c r="O638" s="6">
        <f ca="1">Main[[#This Row],[تفکیک]]</f>
        <v>0</v>
      </c>
      <c r="P638" s="6">
        <f ca="1">IF(Main[[#This Row],[تاخیر از سررسید]]&gt;0,Main[[#This Row],[بدهی تسویه نشده (کیلوگرم)]],0)</f>
        <v>0</v>
      </c>
      <c r="Q638" s="6">
        <f ca="1">IF(Main[[#This Row],[بدهی تسویه نشده (کیلوگرم)]]&gt;0,'گزارش فردی'!$B$7-Main[[#This Row],[تاريخ میلادی]],0)</f>
        <v>0</v>
      </c>
      <c r="R638" s="6">
        <f ca="1">IF(Main[[#This Row],[بدهی تسویه نشده (کیلوگرم)]]&gt;0,'گزارش فردی'!$B$7-Main[[#This Row],[تاريخ میلادی]]-'گزارش فردی'!$B$8,0)</f>
        <v>0</v>
      </c>
      <c r="S638" s="6">
        <f ca="1">Main[[#This Row],[روز از ارسال سفارش]]*Main[[#This Row],[بدهی تسویه نشده (کیلوگرم)]]</f>
        <v>0</v>
      </c>
      <c r="T638" s="6">
        <f ca="1">Main[[#This Row],[بدهی سررسید شده (کیلوگرم)]]*Main[[#This Row],[روز از ارسال سفارش]]</f>
        <v>0</v>
      </c>
      <c r="U638" s="6">
        <f>-SUBTOTAL(9,INDEX(Main[مقدار (کیلوگرم)],1):Main[[#This Row],[مقدار (کیلوگرم)]])</f>
        <v>36190</v>
      </c>
      <c r="V6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8" s="6">
        <f>Main[[#This Row],[تعداد کل روزهای بدهکار (روز)]]*Main[[#This Row],[مانده در خط کل (کیلوگرم)]]</f>
        <v>0</v>
      </c>
      <c r="X638" s="6">
        <f ca="1">-SUBTOTAL(9,INDEX(Main[مقدار تسویه شده (کیلوگرم)],1):Main[[#This Row],[مقدار تسویه شده (کیلوگرم)]])</f>
        <v>36190</v>
      </c>
      <c r="Y638" s="6">
        <f ca="1">IF(Main[[#This Row],[مانده در خط تسویه شده (کیلوگرم)]]&lt;&gt;0,Main[[#This Row],[تعداد کل روزهای بدهکار (روز)]],0)</f>
        <v>0</v>
      </c>
      <c r="Z638" s="6">
        <f ca="1">Main[[#This Row],[تعداد روزهای بدهکار تسویه شده (روز)]]*Main[[#This Row],[مانده در خط تسویه شده (کیلوگرم)]]</f>
        <v>0</v>
      </c>
      <c r="AA638" s="6">
        <f ca="1">SUBTOTAL(9,INDEX(Main[بدهی تسویه نشده (کیلوگرم)],1):Main[[#This Row],[بدهی تسویه نشده (کیلوگرم)]])</f>
        <v>0</v>
      </c>
      <c r="AB638" s="6">
        <f ca="1">IF(Main[[#This Row],[مانده در خط تسویه نشده (کیلوگرم)]]&lt;&gt;0,Main[[#This Row],[تعداد کل روزهای بدهکار (روز)]],0)</f>
        <v>0</v>
      </c>
      <c r="AC638" s="6">
        <f ca="1">Main[[#This Row],[تعداد روزهای بدهکار  تسویه نشده (روز)]]*Main[[#This Row],[مانده در خط تسویه نشده (کیلوگرم)]]</f>
        <v>0</v>
      </c>
      <c r="AD638" s="6">
        <f ca="1">SUBTOTAL(9,INDEX(Main[بدهی سررسید شده (کیلوگرم)],1):Main[[#This Row],[بدهی سررسید شده (کیلوگرم)]])</f>
        <v>0</v>
      </c>
      <c r="AE638" s="6">
        <f ca="1">IF(Main[[#This Row],[مانده در خط سررسید شده (کیلوگرم)]]&lt;&gt;0,Main[[#This Row],[تعداد کل روزهای بدهکار (روز)]],0)</f>
        <v>0</v>
      </c>
      <c r="AF638" s="6">
        <f ca="1">Main[[#This Row],[تعداد روزهای بدهکار سررسید شده (روز)]]*Main[[#This Row],[مانده در خط سررسید شده (کیلوگرم)]]</f>
        <v>0</v>
      </c>
    </row>
    <row r="639" spans="1:32" hidden="1" x14ac:dyDescent="0.35">
      <c r="A639" s="5">
        <f>ROW()-ROW(INDEX(Main[ردیف],1))+1</f>
        <v>637</v>
      </c>
      <c r="B639" s="31">
        <f>SUBTOTAL(2,INDEX(Main[ردیف],1):Main[[#This Row],[ردیف]])</f>
        <v>59</v>
      </c>
      <c r="C639" s="32" t="s">
        <v>574</v>
      </c>
      <c r="D639" s="32" t="str">
        <f>_xlfn.CONCAT("14",Main[[#This Row],[تاريخ]])</f>
        <v>1400/03/10</v>
      </c>
      <c r="E639" s="33">
        <v>44347</v>
      </c>
      <c r="F639" s="32">
        <v>30066</v>
      </c>
      <c r="G639" s="5" t="str">
        <f>INDEX(customer[عنوان],MATCH(Main[[#This Row],[کد ردیابی]],customer[کد],0))</f>
        <v xml:space="preserve">شیر آلات بهداشتی قهرمان </v>
      </c>
      <c r="H639">
        <v>-4900</v>
      </c>
      <c r="I639" s="6">
        <f ca="1">-Main[[#This Row],[بدهی تسویه شده (کیلوگرم)]]+Main[[#This Row],[بستانکار (کیلوگرم)]]</f>
        <v>-4900</v>
      </c>
      <c r="J639" s="6">
        <f>IF(Main[[#This Row],[مقدار (کیلوگرم)]]&gt;0,Main[[#This Row],[مقدار (کیلوگرم)]],0)</f>
        <v>0</v>
      </c>
      <c r="K639" s="6">
        <f>-IF(Main[[#This Row],[مقدار (کیلوگرم)]]&lt;0,Main[[#This Row],[مقدار (کیلوگرم)]],0)</f>
        <v>4900</v>
      </c>
      <c r="L6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9" s="7">
        <f>-IF(AND(Main[[#This Row],[مقدار (کیلوگرم)]]&lt;0,Main[[#This Row],[تاريخ میلادی]]&gt;44276),Main[[#This Row],[مقدار (کیلوگرم)]],0)</f>
        <v>4900</v>
      </c>
      <c r="N639" s="6">
        <f ca="1">Main[[#This Row],[بدهکار (کیلوگرم)]]-Main[[#This Row],[بدهی تسویه نشده (کیلوگرم)]]</f>
        <v>4900</v>
      </c>
      <c r="O639" s="6">
        <f ca="1">Main[[#This Row],[تفکیک]]</f>
        <v>0</v>
      </c>
      <c r="P639" s="6">
        <f ca="1">IF(Main[[#This Row],[تاخیر از سررسید]]&gt;0,Main[[#This Row],[بدهی تسویه نشده (کیلوگرم)]],0)</f>
        <v>0</v>
      </c>
      <c r="Q639" s="6">
        <f ca="1">IF(Main[[#This Row],[بدهی تسویه نشده (کیلوگرم)]]&gt;0,'گزارش فردی'!$B$7-Main[[#This Row],[تاريخ میلادی]],0)</f>
        <v>0</v>
      </c>
      <c r="R639" s="6">
        <f ca="1">IF(Main[[#This Row],[بدهی تسویه نشده (کیلوگرم)]]&gt;0,'گزارش فردی'!$B$7-Main[[#This Row],[تاريخ میلادی]]-'گزارش فردی'!$B$8,0)</f>
        <v>0</v>
      </c>
      <c r="S639" s="6">
        <f ca="1">Main[[#This Row],[روز از ارسال سفارش]]*Main[[#This Row],[بدهی تسویه نشده (کیلوگرم)]]</f>
        <v>0</v>
      </c>
      <c r="T639" s="6">
        <f ca="1">Main[[#This Row],[بدهی سررسید شده (کیلوگرم)]]*Main[[#This Row],[روز از ارسال سفارش]]</f>
        <v>0</v>
      </c>
      <c r="U639" s="6">
        <f>-SUBTOTAL(9,INDEX(Main[مقدار (کیلوگرم)],1):Main[[#This Row],[مقدار (کیلوگرم)]])</f>
        <v>36190</v>
      </c>
      <c r="V6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9" s="6">
        <f>Main[[#This Row],[تعداد کل روزهای بدهکار (روز)]]*Main[[#This Row],[مانده در خط کل (کیلوگرم)]]</f>
        <v>0</v>
      </c>
      <c r="X639" s="6">
        <f ca="1">-SUBTOTAL(9,INDEX(Main[مقدار تسویه شده (کیلوگرم)],1):Main[[#This Row],[مقدار تسویه شده (کیلوگرم)]])</f>
        <v>36190</v>
      </c>
      <c r="Y639" s="6">
        <f ca="1">IF(Main[[#This Row],[مانده در خط تسویه شده (کیلوگرم)]]&lt;&gt;0,Main[[#This Row],[تعداد کل روزهای بدهکار (روز)]],0)</f>
        <v>0</v>
      </c>
      <c r="Z639" s="6">
        <f ca="1">Main[[#This Row],[تعداد روزهای بدهکار تسویه شده (روز)]]*Main[[#This Row],[مانده در خط تسویه شده (کیلوگرم)]]</f>
        <v>0</v>
      </c>
      <c r="AA639" s="6">
        <f ca="1">SUBTOTAL(9,INDEX(Main[بدهی تسویه نشده (کیلوگرم)],1):Main[[#This Row],[بدهی تسویه نشده (کیلوگرم)]])</f>
        <v>0</v>
      </c>
      <c r="AB639" s="6">
        <f ca="1">IF(Main[[#This Row],[مانده در خط تسویه نشده (کیلوگرم)]]&lt;&gt;0,Main[[#This Row],[تعداد کل روزهای بدهکار (روز)]],0)</f>
        <v>0</v>
      </c>
      <c r="AC639" s="6">
        <f ca="1">Main[[#This Row],[تعداد روزهای بدهکار  تسویه نشده (روز)]]*Main[[#This Row],[مانده در خط تسویه نشده (کیلوگرم)]]</f>
        <v>0</v>
      </c>
      <c r="AD639" s="6">
        <f ca="1">SUBTOTAL(9,INDEX(Main[بدهی سررسید شده (کیلوگرم)],1):Main[[#This Row],[بدهی سررسید شده (کیلوگرم)]])</f>
        <v>0</v>
      </c>
      <c r="AE639" s="6">
        <f ca="1">IF(Main[[#This Row],[مانده در خط سررسید شده (کیلوگرم)]]&lt;&gt;0,Main[[#This Row],[تعداد کل روزهای بدهکار (روز)]],0)</f>
        <v>0</v>
      </c>
      <c r="AF639" s="6">
        <f ca="1">Main[[#This Row],[تعداد روزهای بدهکار سررسید شده (روز)]]*Main[[#This Row],[مانده در خط سررسید شده (کیلوگرم)]]</f>
        <v>0</v>
      </c>
    </row>
    <row r="640" spans="1:32" x14ac:dyDescent="0.35">
      <c r="A640" s="5">
        <f>ROW()-ROW(INDEX(Main[ردیف],1))+1</f>
        <v>638</v>
      </c>
      <c r="B640" s="31">
        <f>SUBTOTAL(2,INDEX(Main[ردیف],1):Main[[#This Row],[ردیف]])</f>
        <v>60</v>
      </c>
      <c r="C640" s="32" t="s">
        <v>574</v>
      </c>
      <c r="D640" s="32" t="str">
        <f>_xlfn.CONCAT("14",Main[[#This Row],[تاريخ]])</f>
        <v>1400/03/10</v>
      </c>
      <c r="E640" s="33">
        <v>44347</v>
      </c>
      <c r="F640" s="32">
        <v>10003</v>
      </c>
      <c r="G640" s="5" t="str">
        <f>INDEX(customer[عنوان],MATCH(Main[[#This Row],[کد ردیابی]],customer[کد],0))</f>
        <v>اصغر نورعلی</v>
      </c>
      <c r="H640">
        <v>2657</v>
      </c>
      <c r="I640" s="6">
        <f ca="1">-Main[[#This Row],[بدهی تسویه شده (کیلوگرم)]]+Main[[#This Row],[بستانکار (کیلوگرم)]]</f>
        <v>2657</v>
      </c>
      <c r="J640" s="6">
        <f>IF(Main[[#This Row],[مقدار (کیلوگرم)]]&gt;0,Main[[#This Row],[مقدار (کیلوگرم)]],0)</f>
        <v>2657</v>
      </c>
      <c r="K640" s="6">
        <f>-IF(Main[[#This Row],[مقدار (کیلوگرم)]]&lt;0,Main[[#This Row],[مقدار (کیلوگرم)]],0)</f>
        <v>0</v>
      </c>
      <c r="L6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0" s="7">
        <f>-IF(AND(Main[[#This Row],[مقدار (کیلوگرم)]]&lt;0,Main[[#This Row],[تاريخ میلادی]]&gt;44276),Main[[#This Row],[مقدار (کیلوگرم)]],0)</f>
        <v>0</v>
      </c>
      <c r="N640" s="6">
        <f ca="1">Main[[#This Row],[بدهکار (کیلوگرم)]]-Main[[#This Row],[بدهی تسویه نشده (کیلوگرم)]]</f>
        <v>0</v>
      </c>
      <c r="O640" s="6">
        <f ca="1">Main[[#This Row],[تفکیک]]</f>
        <v>0</v>
      </c>
      <c r="P640" s="6">
        <f ca="1">IF(Main[[#This Row],[تاخیر از سررسید]]&gt;0,Main[[#This Row],[بدهی تسویه نشده (کیلوگرم)]],0)</f>
        <v>0</v>
      </c>
      <c r="Q640" s="6">
        <f ca="1">IF(Main[[#This Row],[بدهی تسویه نشده (کیلوگرم)]]&gt;0,'گزارش فردی'!$B$7-Main[[#This Row],[تاريخ میلادی]],0)</f>
        <v>0</v>
      </c>
      <c r="R640" s="6">
        <f ca="1">IF(Main[[#This Row],[بدهی تسویه نشده (کیلوگرم)]]&gt;0,'گزارش فردی'!$B$7-Main[[#This Row],[تاريخ میلادی]]-'گزارش فردی'!$B$8,0)</f>
        <v>0</v>
      </c>
      <c r="S640" s="6">
        <f ca="1">Main[[#This Row],[روز از ارسال سفارش]]*Main[[#This Row],[بدهی تسویه نشده (کیلوگرم)]]</f>
        <v>0</v>
      </c>
      <c r="T640" s="6">
        <f ca="1">Main[[#This Row],[بدهی سررسید شده (کیلوگرم)]]*Main[[#This Row],[روز از ارسال سفارش]]</f>
        <v>0</v>
      </c>
      <c r="U640" s="6">
        <f>-SUBTOTAL(9,INDEX(Main[مقدار (کیلوگرم)],1):Main[[#This Row],[مقدار (کیلوگرم)]])</f>
        <v>33533</v>
      </c>
      <c r="V6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0" s="6">
        <f>Main[[#This Row],[تعداد کل روزهای بدهکار (روز)]]*Main[[#This Row],[مانده در خط کل (کیلوگرم)]]</f>
        <v>0</v>
      </c>
      <c r="X640" s="6">
        <f ca="1">-SUBTOTAL(9,INDEX(Main[مقدار تسویه شده (کیلوگرم)],1):Main[[#This Row],[مقدار تسویه شده (کیلوگرم)]])</f>
        <v>33533</v>
      </c>
      <c r="Y640" s="6">
        <f ca="1">IF(Main[[#This Row],[مانده در خط تسویه شده (کیلوگرم)]]&lt;&gt;0,Main[[#This Row],[تعداد کل روزهای بدهکار (روز)]],0)</f>
        <v>0</v>
      </c>
      <c r="Z640" s="6">
        <f ca="1">Main[[#This Row],[تعداد روزهای بدهکار تسویه شده (روز)]]*Main[[#This Row],[مانده در خط تسویه شده (کیلوگرم)]]</f>
        <v>0</v>
      </c>
      <c r="AA640" s="6">
        <f ca="1">SUBTOTAL(9,INDEX(Main[بدهی تسویه نشده (کیلوگرم)],1):Main[[#This Row],[بدهی تسویه نشده (کیلوگرم)]])</f>
        <v>0</v>
      </c>
      <c r="AB640" s="6">
        <f ca="1">IF(Main[[#This Row],[مانده در خط تسویه نشده (کیلوگرم)]]&lt;&gt;0,Main[[#This Row],[تعداد کل روزهای بدهکار (روز)]],0)</f>
        <v>0</v>
      </c>
      <c r="AC640" s="6">
        <f ca="1">Main[[#This Row],[تعداد روزهای بدهکار  تسویه نشده (روز)]]*Main[[#This Row],[مانده در خط تسویه نشده (کیلوگرم)]]</f>
        <v>0</v>
      </c>
      <c r="AD640" s="6">
        <f ca="1">SUBTOTAL(9,INDEX(Main[بدهی سررسید شده (کیلوگرم)],1):Main[[#This Row],[بدهی سررسید شده (کیلوگرم)]])</f>
        <v>0</v>
      </c>
      <c r="AE640" s="6">
        <f ca="1">IF(Main[[#This Row],[مانده در خط سررسید شده (کیلوگرم)]]&lt;&gt;0,Main[[#This Row],[تعداد کل روزهای بدهکار (روز)]],0)</f>
        <v>0</v>
      </c>
      <c r="AF640" s="6">
        <f ca="1">Main[[#This Row],[تعداد روزهای بدهکار سررسید شده (روز)]]*Main[[#This Row],[مانده در خط سررسید شده (کیلوگرم)]]</f>
        <v>0</v>
      </c>
    </row>
    <row r="641" spans="1:32" hidden="1" x14ac:dyDescent="0.35">
      <c r="A641" s="5">
        <f>ROW()-ROW(INDEX(Main[ردیف],1))+1</f>
        <v>639</v>
      </c>
      <c r="B641" s="31">
        <f>SUBTOTAL(2,INDEX(Main[ردیف],1):Main[[#This Row],[ردیف]])</f>
        <v>60</v>
      </c>
      <c r="C641" s="32" t="s">
        <v>574</v>
      </c>
      <c r="D641" s="32" t="str">
        <f>_xlfn.CONCAT("14",Main[[#This Row],[تاريخ]])</f>
        <v>1400/03/10</v>
      </c>
      <c r="E641" s="33">
        <v>44347</v>
      </c>
      <c r="F641" s="32">
        <v>30186</v>
      </c>
      <c r="G641" s="5" t="str">
        <f>INDEX(customer[عنوان],MATCH(Main[[#This Row],[کد ردیابی]],customer[کد],0))</f>
        <v>سارا گاز</v>
      </c>
      <c r="H641">
        <v>-1554</v>
      </c>
      <c r="I641" s="6">
        <f ca="1">-Main[[#This Row],[بدهی تسویه شده (کیلوگرم)]]+Main[[#This Row],[بستانکار (کیلوگرم)]]</f>
        <v>-1554</v>
      </c>
      <c r="J641" s="6">
        <f>IF(Main[[#This Row],[مقدار (کیلوگرم)]]&gt;0,Main[[#This Row],[مقدار (کیلوگرم)]],0)</f>
        <v>0</v>
      </c>
      <c r="K641" s="6">
        <f>-IF(Main[[#This Row],[مقدار (کیلوگرم)]]&lt;0,Main[[#This Row],[مقدار (کیلوگرم)]],0)</f>
        <v>1554</v>
      </c>
      <c r="L6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1" s="7">
        <f>-IF(AND(Main[[#This Row],[مقدار (کیلوگرم)]]&lt;0,Main[[#This Row],[تاريخ میلادی]]&gt;44276),Main[[#This Row],[مقدار (کیلوگرم)]],0)</f>
        <v>1554</v>
      </c>
      <c r="N641" s="6">
        <f ca="1">Main[[#This Row],[بدهکار (کیلوگرم)]]-Main[[#This Row],[بدهی تسویه نشده (کیلوگرم)]]</f>
        <v>1554</v>
      </c>
      <c r="O641" s="6">
        <f ca="1">Main[[#This Row],[تفکیک]]</f>
        <v>0</v>
      </c>
      <c r="P641" s="6">
        <f ca="1">IF(Main[[#This Row],[تاخیر از سررسید]]&gt;0,Main[[#This Row],[بدهی تسویه نشده (کیلوگرم)]],0)</f>
        <v>0</v>
      </c>
      <c r="Q641" s="6">
        <f ca="1">IF(Main[[#This Row],[بدهی تسویه نشده (کیلوگرم)]]&gt;0,'گزارش فردی'!$B$7-Main[[#This Row],[تاريخ میلادی]],0)</f>
        <v>0</v>
      </c>
      <c r="R641" s="6">
        <f ca="1">IF(Main[[#This Row],[بدهی تسویه نشده (کیلوگرم)]]&gt;0,'گزارش فردی'!$B$7-Main[[#This Row],[تاريخ میلادی]]-'گزارش فردی'!$B$8,0)</f>
        <v>0</v>
      </c>
      <c r="S641" s="6">
        <f ca="1">Main[[#This Row],[روز از ارسال سفارش]]*Main[[#This Row],[بدهی تسویه نشده (کیلوگرم)]]</f>
        <v>0</v>
      </c>
      <c r="T641" s="6">
        <f ca="1">Main[[#This Row],[بدهی سررسید شده (کیلوگرم)]]*Main[[#This Row],[روز از ارسال سفارش]]</f>
        <v>0</v>
      </c>
      <c r="U641" s="6">
        <f>-SUBTOTAL(9,INDEX(Main[مقدار (کیلوگرم)],1):Main[[#This Row],[مقدار (کیلوگرم)]])</f>
        <v>33533</v>
      </c>
      <c r="V6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1" s="6">
        <f>Main[[#This Row],[تعداد کل روزهای بدهکار (روز)]]*Main[[#This Row],[مانده در خط کل (کیلوگرم)]]</f>
        <v>0</v>
      </c>
      <c r="X641" s="6">
        <f ca="1">-SUBTOTAL(9,INDEX(Main[مقدار تسویه شده (کیلوگرم)],1):Main[[#This Row],[مقدار تسویه شده (کیلوگرم)]])</f>
        <v>33533</v>
      </c>
      <c r="Y641" s="6">
        <f ca="1">IF(Main[[#This Row],[مانده در خط تسویه شده (کیلوگرم)]]&lt;&gt;0,Main[[#This Row],[تعداد کل روزهای بدهکار (روز)]],0)</f>
        <v>0</v>
      </c>
      <c r="Z641" s="6">
        <f ca="1">Main[[#This Row],[تعداد روزهای بدهکار تسویه شده (روز)]]*Main[[#This Row],[مانده در خط تسویه شده (کیلوگرم)]]</f>
        <v>0</v>
      </c>
      <c r="AA641" s="6">
        <f ca="1">SUBTOTAL(9,INDEX(Main[بدهی تسویه نشده (کیلوگرم)],1):Main[[#This Row],[بدهی تسویه نشده (کیلوگرم)]])</f>
        <v>0</v>
      </c>
      <c r="AB641" s="6">
        <f ca="1">IF(Main[[#This Row],[مانده در خط تسویه نشده (کیلوگرم)]]&lt;&gt;0,Main[[#This Row],[تعداد کل روزهای بدهکار (روز)]],0)</f>
        <v>0</v>
      </c>
      <c r="AC641" s="6">
        <f ca="1">Main[[#This Row],[تعداد روزهای بدهکار  تسویه نشده (روز)]]*Main[[#This Row],[مانده در خط تسویه نشده (کیلوگرم)]]</f>
        <v>0</v>
      </c>
      <c r="AD641" s="6">
        <f ca="1">SUBTOTAL(9,INDEX(Main[بدهی سررسید شده (کیلوگرم)],1):Main[[#This Row],[بدهی سررسید شده (کیلوگرم)]])</f>
        <v>0</v>
      </c>
      <c r="AE641" s="6">
        <f ca="1">IF(Main[[#This Row],[مانده در خط سررسید شده (کیلوگرم)]]&lt;&gt;0,Main[[#This Row],[تعداد کل روزهای بدهکار (روز)]],0)</f>
        <v>0</v>
      </c>
      <c r="AF641" s="6">
        <f ca="1">Main[[#This Row],[تعداد روزهای بدهکار سررسید شده (روز)]]*Main[[#This Row],[مانده در خط سررسید شده (کیلوگرم)]]</f>
        <v>0</v>
      </c>
    </row>
    <row r="642" spans="1:32" hidden="1" x14ac:dyDescent="0.35">
      <c r="A642" s="5">
        <f>ROW()-ROW(INDEX(Main[ردیف],1))+1</f>
        <v>640</v>
      </c>
      <c r="B642" s="31">
        <f>SUBTOTAL(2,INDEX(Main[ردیف],1):Main[[#This Row],[ردیف]])</f>
        <v>60</v>
      </c>
      <c r="C642" s="32" t="s">
        <v>574</v>
      </c>
      <c r="D642" s="32" t="str">
        <f>_xlfn.CONCAT("14",Main[[#This Row],[تاريخ]])</f>
        <v>1400/03/10</v>
      </c>
      <c r="E642" s="33">
        <v>44347</v>
      </c>
      <c r="F642" s="32">
        <v>30101</v>
      </c>
      <c r="G642" s="5" t="str">
        <f>INDEX(customer[عنوان],MATCH(Main[[#This Row],[کد ردیابی]],customer[کد],0))</f>
        <v>شرکت قاره سبز</v>
      </c>
      <c r="H642">
        <v>816</v>
      </c>
      <c r="I642" s="6">
        <f ca="1">-Main[[#This Row],[بدهی تسویه شده (کیلوگرم)]]+Main[[#This Row],[بستانکار (کیلوگرم)]]</f>
        <v>816</v>
      </c>
      <c r="J642" s="6">
        <f>IF(Main[[#This Row],[مقدار (کیلوگرم)]]&gt;0,Main[[#This Row],[مقدار (کیلوگرم)]],0)</f>
        <v>816</v>
      </c>
      <c r="K642" s="6">
        <f>-IF(Main[[#This Row],[مقدار (کیلوگرم)]]&lt;0,Main[[#This Row],[مقدار (کیلوگرم)]],0)</f>
        <v>0</v>
      </c>
      <c r="L6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2" s="7">
        <f>-IF(AND(Main[[#This Row],[مقدار (کیلوگرم)]]&lt;0,Main[[#This Row],[تاريخ میلادی]]&gt;44276),Main[[#This Row],[مقدار (کیلوگرم)]],0)</f>
        <v>0</v>
      </c>
      <c r="N642" s="6">
        <f ca="1">Main[[#This Row],[بدهکار (کیلوگرم)]]-Main[[#This Row],[بدهی تسویه نشده (کیلوگرم)]]</f>
        <v>0</v>
      </c>
      <c r="O642" s="6">
        <f ca="1">Main[[#This Row],[تفکیک]]</f>
        <v>0</v>
      </c>
      <c r="P642" s="6">
        <f ca="1">IF(Main[[#This Row],[تاخیر از سررسید]]&gt;0,Main[[#This Row],[بدهی تسویه نشده (کیلوگرم)]],0)</f>
        <v>0</v>
      </c>
      <c r="Q642" s="6">
        <f ca="1">IF(Main[[#This Row],[بدهی تسویه نشده (کیلوگرم)]]&gt;0,'گزارش فردی'!$B$7-Main[[#This Row],[تاريخ میلادی]],0)</f>
        <v>0</v>
      </c>
      <c r="R642" s="6">
        <f ca="1">IF(Main[[#This Row],[بدهی تسویه نشده (کیلوگرم)]]&gt;0,'گزارش فردی'!$B$7-Main[[#This Row],[تاريخ میلادی]]-'گزارش فردی'!$B$8,0)</f>
        <v>0</v>
      </c>
      <c r="S642" s="6">
        <f ca="1">Main[[#This Row],[روز از ارسال سفارش]]*Main[[#This Row],[بدهی تسویه نشده (کیلوگرم)]]</f>
        <v>0</v>
      </c>
      <c r="T642" s="6">
        <f ca="1">Main[[#This Row],[بدهی سررسید شده (کیلوگرم)]]*Main[[#This Row],[روز از ارسال سفارش]]</f>
        <v>0</v>
      </c>
      <c r="U642" s="6">
        <f>-SUBTOTAL(9,INDEX(Main[مقدار (کیلوگرم)],1):Main[[#This Row],[مقدار (کیلوگرم)]])</f>
        <v>33533</v>
      </c>
      <c r="V6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2" s="6">
        <f>Main[[#This Row],[تعداد کل روزهای بدهکار (روز)]]*Main[[#This Row],[مانده در خط کل (کیلوگرم)]]</f>
        <v>0</v>
      </c>
      <c r="X642" s="6">
        <f ca="1">-SUBTOTAL(9,INDEX(Main[مقدار تسویه شده (کیلوگرم)],1):Main[[#This Row],[مقدار تسویه شده (کیلوگرم)]])</f>
        <v>33533</v>
      </c>
      <c r="Y642" s="6">
        <f ca="1">IF(Main[[#This Row],[مانده در خط تسویه شده (کیلوگرم)]]&lt;&gt;0,Main[[#This Row],[تعداد کل روزهای بدهکار (روز)]],0)</f>
        <v>0</v>
      </c>
      <c r="Z642" s="6">
        <f ca="1">Main[[#This Row],[تعداد روزهای بدهکار تسویه شده (روز)]]*Main[[#This Row],[مانده در خط تسویه شده (کیلوگرم)]]</f>
        <v>0</v>
      </c>
      <c r="AA642" s="6">
        <f ca="1">SUBTOTAL(9,INDEX(Main[بدهی تسویه نشده (کیلوگرم)],1):Main[[#This Row],[بدهی تسویه نشده (کیلوگرم)]])</f>
        <v>0</v>
      </c>
      <c r="AB642" s="6">
        <f ca="1">IF(Main[[#This Row],[مانده در خط تسویه نشده (کیلوگرم)]]&lt;&gt;0,Main[[#This Row],[تعداد کل روزهای بدهکار (روز)]],0)</f>
        <v>0</v>
      </c>
      <c r="AC642" s="6">
        <f ca="1">Main[[#This Row],[تعداد روزهای بدهکار  تسویه نشده (روز)]]*Main[[#This Row],[مانده در خط تسویه نشده (کیلوگرم)]]</f>
        <v>0</v>
      </c>
      <c r="AD642" s="6">
        <f ca="1">SUBTOTAL(9,INDEX(Main[بدهی سررسید شده (کیلوگرم)],1):Main[[#This Row],[بدهی سررسید شده (کیلوگرم)]])</f>
        <v>0</v>
      </c>
      <c r="AE642" s="6">
        <f ca="1">IF(Main[[#This Row],[مانده در خط سررسید شده (کیلوگرم)]]&lt;&gt;0,Main[[#This Row],[تعداد کل روزهای بدهکار (روز)]],0)</f>
        <v>0</v>
      </c>
      <c r="AF642" s="6">
        <f ca="1">Main[[#This Row],[تعداد روزهای بدهکار سررسید شده (روز)]]*Main[[#This Row],[مانده در خط سررسید شده (کیلوگرم)]]</f>
        <v>0</v>
      </c>
    </row>
    <row r="643" spans="1:32" hidden="1" x14ac:dyDescent="0.35">
      <c r="A643" s="5">
        <f>ROW()-ROW(INDEX(Main[ردیف],1))+1</f>
        <v>641</v>
      </c>
      <c r="B643" s="31">
        <f>SUBTOTAL(2,INDEX(Main[ردیف],1):Main[[#This Row],[ردیف]])</f>
        <v>60</v>
      </c>
      <c r="C643" s="32" t="s">
        <v>574</v>
      </c>
      <c r="D643" s="32" t="str">
        <f>_xlfn.CONCAT("14",Main[[#This Row],[تاريخ]])</f>
        <v>1400/03/10</v>
      </c>
      <c r="E643" s="33">
        <v>44347</v>
      </c>
      <c r="F643" s="32">
        <v>30099</v>
      </c>
      <c r="G643" s="5" t="str">
        <f>INDEX(customer[عنوان],MATCH(Main[[#This Row],[کد ردیابی]],customer[کد],0))</f>
        <v>ایران شرق نیشابور</v>
      </c>
      <c r="H643">
        <v>-2022</v>
      </c>
      <c r="I643" s="6">
        <f ca="1">-Main[[#This Row],[بدهی تسویه شده (کیلوگرم)]]+Main[[#This Row],[بستانکار (کیلوگرم)]]</f>
        <v>-2022</v>
      </c>
      <c r="J643" s="6">
        <f>IF(Main[[#This Row],[مقدار (کیلوگرم)]]&gt;0,Main[[#This Row],[مقدار (کیلوگرم)]],0)</f>
        <v>0</v>
      </c>
      <c r="K643" s="6">
        <f>-IF(Main[[#This Row],[مقدار (کیلوگرم)]]&lt;0,Main[[#This Row],[مقدار (کیلوگرم)]],0)</f>
        <v>2022</v>
      </c>
      <c r="L6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3" s="7">
        <f>-IF(AND(Main[[#This Row],[مقدار (کیلوگرم)]]&lt;0,Main[[#This Row],[تاريخ میلادی]]&gt;44276),Main[[#This Row],[مقدار (کیلوگرم)]],0)</f>
        <v>2022</v>
      </c>
      <c r="N643" s="6">
        <f ca="1">Main[[#This Row],[بدهکار (کیلوگرم)]]-Main[[#This Row],[بدهی تسویه نشده (کیلوگرم)]]</f>
        <v>2022</v>
      </c>
      <c r="O643" s="6">
        <f ca="1">Main[[#This Row],[تفکیک]]</f>
        <v>0</v>
      </c>
      <c r="P643" s="6">
        <f ca="1">IF(Main[[#This Row],[تاخیر از سررسید]]&gt;0,Main[[#This Row],[بدهی تسویه نشده (کیلوگرم)]],0)</f>
        <v>0</v>
      </c>
      <c r="Q643" s="6">
        <f ca="1">IF(Main[[#This Row],[بدهی تسویه نشده (کیلوگرم)]]&gt;0,'گزارش فردی'!$B$7-Main[[#This Row],[تاريخ میلادی]],0)</f>
        <v>0</v>
      </c>
      <c r="R643" s="6">
        <f ca="1">IF(Main[[#This Row],[بدهی تسویه نشده (کیلوگرم)]]&gt;0,'گزارش فردی'!$B$7-Main[[#This Row],[تاريخ میلادی]]-'گزارش فردی'!$B$8,0)</f>
        <v>0</v>
      </c>
      <c r="S643" s="6">
        <f ca="1">Main[[#This Row],[روز از ارسال سفارش]]*Main[[#This Row],[بدهی تسویه نشده (کیلوگرم)]]</f>
        <v>0</v>
      </c>
      <c r="T643" s="6">
        <f ca="1">Main[[#This Row],[بدهی سررسید شده (کیلوگرم)]]*Main[[#This Row],[روز از ارسال سفارش]]</f>
        <v>0</v>
      </c>
      <c r="U643" s="6">
        <f>-SUBTOTAL(9,INDEX(Main[مقدار (کیلوگرم)],1):Main[[#This Row],[مقدار (کیلوگرم)]])</f>
        <v>33533</v>
      </c>
      <c r="V6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3" s="6">
        <f>Main[[#This Row],[تعداد کل روزهای بدهکار (روز)]]*Main[[#This Row],[مانده در خط کل (کیلوگرم)]]</f>
        <v>0</v>
      </c>
      <c r="X643" s="6">
        <f ca="1">-SUBTOTAL(9,INDEX(Main[مقدار تسویه شده (کیلوگرم)],1):Main[[#This Row],[مقدار تسویه شده (کیلوگرم)]])</f>
        <v>33533</v>
      </c>
      <c r="Y643" s="6">
        <f ca="1">IF(Main[[#This Row],[مانده در خط تسویه شده (کیلوگرم)]]&lt;&gt;0,Main[[#This Row],[تعداد کل روزهای بدهکار (روز)]],0)</f>
        <v>0</v>
      </c>
      <c r="Z643" s="6">
        <f ca="1">Main[[#This Row],[تعداد روزهای بدهکار تسویه شده (روز)]]*Main[[#This Row],[مانده در خط تسویه شده (کیلوگرم)]]</f>
        <v>0</v>
      </c>
      <c r="AA643" s="6">
        <f ca="1">SUBTOTAL(9,INDEX(Main[بدهی تسویه نشده (کیلوگرم)],1):Main[[#This Row],[بدهی تسویه نشده (کیلوگرم)]])</f>
        <v>0</v>
      </c>
      <c r="AB643" s="6">
        <f ca="1">IF(Main[[#This Row],[مانده در خط تسویه نشده (کیلوگرم)]]&lt;&gt;0,Main[[#This Row],[تعداد کل روزهای بدهکار (روز)]],0)</f>
        <v>0</v>
      </c>
      <c r="AC643" s="6">
        <f ca="1">Main[[#This Row],[تعداد روزهای بدهکار  تسویه نشده (روز)]]*Main[[#This Row],[مانده در خط تسویه نشده (کیلوگرم)]]</f>
        <v>0</v>
      </c>
      <c r="AD643" s="6">
        <f ca="1">SUBTOTAL(9,INDEX(Main[بدهی سررسید شده (کیلوگرم)],1):Main[[#This Row],[بدهی سررسید شده (کیلوگرم)]])</f>
        <v>0</v>
      </c>
      <c r="AE643" s="6">
        <f ca="1">IF(Main[[#This Row],[مانده در خط سررسید شده (کیلوگرم)]]&lt;&gt;0,Main[[#This Row],[تعداد کل روزهای بدهکار (روز)]],0)</f>
        <v>0</v>
      </c>
      <c r="AF643" s="6">
        <f ca="1">Main[[#This Row],[تعداد روزهای بدهکار سررسید شده (روز)]]*Main[[#This Row],[مانده در خط سررسید شده (کیلوگرم)]]</f>
        <v>0</v>
      </c>
    </row>
    <row r="644" spans="1:32" hidden="1" x14ac:dyDescent="0.35">
      <c r="A644" s="5">
        <f>ROW()-ROW(INDEX(Main[ردیف],1))+1</f>
        <v>642</v>
      </c>
      <c r="B644" s="31">
        <f>SUBTOTAL(2,INDEX(Main[ردیف],1):Main[[#This Row],[ردیف]])</f>
        <v>60</v>
      </c>
      <c r="C644" s="32" t="s">
        <v>574</v>
      </c>
      <c r="D644" s="32" t="str">
        <f>_xlfn.CONCAT("14",Main[[#This Row],[تاريخ]])</f>
        <v>1400/03/10</v>
      </c>
      <c r="E644" s="33">
        <v>44347</v>
      </c>
      <c r="F644" s="32">
        <v>30186</v>
      </c>
      <c r="G644" s="5" t="str">
        <f>INDEX(customer[عنوان],MATCH(Main[[#This Row],[کد ردیابی]],customer[کد],0))</f>
        <v>سارا گاز</v>
      </c>
      <c r="H644">
        <v>2010</v>
      </c>
      <c r="I644" s="6">
        <f ca="1">-Main[[#This Row],[بدهی تسویه شده (کیلوگرم)]]+Main[[#This Row],[بستانکار (کیلوگرم)]]</f>
        <v>2010</v>
      </c>
      <c r="J644" s="6">
        <f>IF(Main[[#This Row],[مقدار (کیلوگرم)]]&gt;0,Main[[#This Row],[مقدار (کیلوگرم)]],0)</f>
        <v>2010</v>
      </c>
      <c r="K644" s="6">
        <f>-IF(Main[[#This Row],[مقدار (کیلوگرم)]]&lt;0,Main[[#This Row],[مقدار (کیلوگرم)]],0)</f>
        <v>0</v>
      </c>
      <c r="L6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4" s="7">
        <f>-IF(AND(Main[[#This Row],[مقدار (کیلوگرم)]]&lt;0,Main[[#This Row],[تاريخ میلادی]]&gt;44276),Main[[#This Row],[مقدار (کیلوگرم)]],0)</f>
        <v>0</v>
      </c>
      <c r="N644" s="6">
        <f ca="1">Main[[#This Row],[بدهکار (کیلوگرم)]]-Main[[#This Row],[بدهی تسویه نشده (کیلوگرم)]]</f>
        <v>0</v>
      </c>
      <c r="O644" s="6">
        <f ca="1">Main[[#This Row],[تفکیک]]</f>
        <v>0</v>
      </c>
      <c r="P644" s="6">
        <f ca="1">IF(Main[[#This Row],[تاخیر از سررسید]]&gt;0,Main[[#This Row],[بدهی تسویه نشده (کیلوگرم)]],0)</f>
        <v>0</v>
      </c>
      <c r="Q644" s="6">
        <f ca="1">IF(Main[[#This Row],[بدهی تسویه نشده (کیلوگرم)]]&gt;0,'گزارش فردی'!$B$7-Main[[#This Row],[تاريخ میلادی]],0)</f>
        <v>0</v>
      </c>
      <c r="R644" s="6">
        <f ca="1">IF(Main[[#This Row],[بدهی تسویه نشده (کیلوگرم)]]&gt;0,'گزارش فردی'!$B$7-Main[[#This Row],[تاريخ میلادی]]-'گزارش فردی'!$B$8,0)</f>
        <v>0</v>
      </c>
      <c r="S644" s="6">
        <f ca="1">Main[[#This Row],[روز از ارسال سفارش]]*Main[[#This Row],[بدهی تسویه نشده (کیلوگرم)]]</f>
        <v>0</v>
      </c>
      <c r="T644" s="6">
        <f ca="1">Main[[#This Row],[بدهی سررسید شده (کیلوگرم)]]*Main[[#This Row],[روز از ارسال سفارش]]</f>
        <v>0</v>
      </c>
      <c r="U644" s="6">
        <f>-SUBTOTAL(9,INDEX(Main[مقدار (کیلوگرم)],1):Main[[#This Row],[مقدار (کیلوگرم)]])</f>
        <v>33533</v>
      </c>
      <c r="V6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4" s="6">
        <f>Main[[#This Row],[تعداد کل روزهای بدهکار (روز)]]*Main[[#This Row],[مانده در خط کل (کیلوگرم)]]</f>
        <v>0</v>
      </c>
      <c r="X644" s="6">
        <f ca="1">-SUBTOTAL(9,INDEX(Main[مقدار تسویه شده (کیلوگرم)],1):Main[[#This Row],[مقدار تسویه شده (کیلوگرم)]])</f>
        <v>33533</v>
      </c>
      <c r="Y644" s="6">
        <f ca="1">IF(Main[[#This Row],[مانده در خط تسویه شده (کیلوگرم)]]&lt;&gt;0,Main[[#This Row],[تعداد کل روزهای بدهکار (روز)]],0)</f>
        <v>0</v>
      </c>
      <c r="Z644" s="6">
        <f ca="1">Main[[#This Row],[تعداد روزهای بدهکار تسویه شده (روز)]]*Main[[#This Row],[مانده در خط تسویه شده (کیلوگرم)]]</f>
        <v>0</v>
      </c>
      <c r="AA644" s="6">
        <f ca="1">SUBTOTAL(9,INDEX(Main[بدهی تسویه نشده (کیلوگرم)],1):Main[[#This Row],[بدهی تسویه نشده (کیلوگرم)]])</f>
        <v>0</v>
      </c>
      <c r="AB644" s="6">
        <f ca="1">IF(Main[[#This Row],[مانده در خط تسویه نشده (کیلوگرم)]]&lt;&gt;0,Main[[#This Row],[تعداد کل روزهای بدهکار (روز)]],0)</f>
        <v>0</v>
      </c>
      <c r="AC644" s="6">
        <f ca="1">Main[[#This Row],[تعداد روزهای بدهکار  تسویه نشده (روز)]]*Main[[#This Row],[مانده در خط تسویه نشده (کیلوگرم)]]</f>
        <v>0</v>
      </c>
      <c r="AD644" s="6">
        <f ca="1">SUBTOTAL(9,INDEX(Main[بدهی سررسید شده (کیلوگرم)],1):Main[[#This Row],[بدهی سررسید شده (کیلوگرم)]])</f>
        <v>0</v>
      </c>
      <c r="AE644" s="6">
        <f ca="1">IF(Main[[#This Row],[مانده در خط سررسید شده (کیلوگرم)]]&lt;&gt;0,Main[[#This Row],[تعداد کل روزهای بدهکار (روز)]],0)</f>
        <v>0</v>
      </c>
      <c r="AF644" s="6">
        <f ca="1">Main[[#This Row],[تعداد روزهای بدهکار سررسید شده (روز)]]*Main[[#This Row],[مانده در خط سررسید شده (کیلوگرم)]]</f>
        <v>0</v>
      </c>
    </row>
    <row r="645" spans="1:32" hidden="1" x14ac:dyDescent="0.35">
      <c r="A645" s="5">
        <f>ROW()-ROW(INDEX(Main[ردیف],1))+1</f>
        <v>643</v>
      </c>
      <c r="B645" s="31">
        <f>SUBTOTAL(2,INDEX(Main[ردیف],1):Main[[#This Row],[ردیف]])</f>
        <v>60</v>
      </c>
      <c r="C645" s="32" t="s">
        <v>574</v>
      </c>
      <c r="D645" s="32" t="str">
        <f>_xlfn.CONCAT("14",Main[[#This Row],[تاريخ]])</f>
        <v>1400/03/10</v>
      </c>
      <c r="E645" s="33">
        <v>44347</v>
      </c>
      <c r="F645" s="32">
        <v>30026</v>
      </c>
      <c r="G645" s="5" t="str">
        <f>INDEX(customer[عنوان],MATCH(Main[[#This Row],[کد ردیابی]],customer[کد],0))</f>
        <v>آبکامه</v>
      </c>
      <c r="H645">
        <v>-82</v>
      </c>
      <c r="I645" s="6">
        <f ca="1">-Main[[#This Row],[بدهی تسویه شده (کیلوگرم)]]+Main[[#This Row],[بستانکار (کیلوگرم)]]</f>
        <v>-82</v>
      </c>
      <c r="J645" s="6">
        <f>IF(Main[[#This Row],[مقدار (کیلوگرم)]]&gt;0,Main[[#This Row],[مقدار (کیلوگرم)]],0)</f>
        <v>0</v>
      </c>
      <c r="K645" s="6">
        <f>-IF(Main[[#This Row],[مقدار (کیلوگرم)]]&lt;0,Main[[#This Row],[مقدار (کیلوگرم)]],0)</f>
        <v>82</v>
      </c>
      <c r="L6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5" s="7">
        <f>-IF(AND(Main[[#This Row],[مقدار (کیلوگرم)]]&lt;0,Main[[#This Row],[تاريخ میلادی]]&gt;44276),Main[[#This Row],[مقدار (کیلوگرم)]],0)</f>
        <v>82</v>
      </c>
      <c r="N645" s="6">
        <f ca="1">Main[[#This Row],[بدهکار (کیلوگرم)]]-Main[[#This Row],[بدهی تسویه نشده (کیلوگرم)]]</f>
        <v>82</v>
      </c>
      <c r="O645" s="6">
        <f ca="1">Main[[#This Row],[تفکیک]]</f>
        <v>0</v>
      </c>
      <c r="P645" s="6">
        <f ca="1">IF(Main[[#This Row],[تاخیر از سررسید]]&gt;0,Main[[#This Row],[بدهی تسویه نشده (کیلوگرم)]],0)</f>
        <v>0</v>
      </c>
      <c r="Q645" s="6">
        <f ca="1">IF(Main[[#This Row],[بدهی تسویه نشده (کیلوگرم)]]&gt;0,'گزارش فردی'!$B$7-Main[[#This Row],[تاريخ میلادی]],0)</f>
        <v>0</v>
      </c>
      <c r="R645" s="6">
        <f ca="1">IF(Main[[#This Row],[بدهی تسویه نشده (کیلوگرم)]]&gt;0,'گزارش فردی'!$B$7-Main[[#This Row],[تاريخ میلادی]]-'گزارش فردی'!$B$8,0)</f>
        <v>0</v>
      </c>
      <c r="S645" s="6">
        <f ca="1">Main[[#This Row],[روز از ارسال سفارش]]*Main[[#This Row],[بدهی تسویه نشده (کیلوگرم)]]</f>
        <v>0</v>
      </c>
      <c r="T645" s="6">
        <f ca="1">Main[[#This Row],[بدهی سررسید شده (کیلوگرم)]]*Main[[#This Row],[روز از ارسال سفارش]]</f>
        <v>0</v>
      </c>
      <c r="U645" s="6">
        <f>-SUBTOTAL(9,INDEX(Main[مقدار (کیلوگرم)],1):Main[[#This Row],[مقدار (کیلوگرم)]])</f>
        <v>33533</v>
      </c>
      <c r="V6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5" s="6">
        <f>Main[[#This Row],[تعداد کل روزهای بدهکار (روز)]]*Main[[#This Row],[مانده در خط کل (کیلوگرم)]]</f>
        <v>0</v>
      </c>
      <c r="X645" s="6">
        <f ca="1">-SUBTOTAL(9,INDEX(Main[مقدار تسویه شده (کیلوگرم)],1):Main[[#This Row],[مقدار تسویه شده (کیلوگرم)]])</f>
        <v>33533</v>
      </c>
      <c r="Y645" s="6">
        <f ca="1">IF(Main[[#This Row],[مانده در خط تسویه شده (کیلوگرم)]]&lt;&gt;0,Main[[#This Row],[تعداد کل روزهای بدهکار (روز)]],0)</f>
        <v>0</v>
      </c>
      <c r="Z645" s="6">
        <f ca="1">Main[[#This Row],[تعداد روزهای بدهکار تسویه شده (روز)]]*Main[[#This Row],[مانده در خط تسویه شده (کیلوگرم)]]</f>
        <v>0</v>
      </c>
      <c r="AA645" s="6">
        <f ca="1">SUBTOTAL(9,INDEX(Main[بدهی تسویه نشده (کیلوگرم)],1):Main[[#This Row],[بدهی تسویه نشده (کیلوگرم)]])</f>
        <v>0</v>
      </c>
      <c r="AB645" s="6">
        <f ca="1">IF(Main[[#This Row],[مانده در خط تسویه نشده (کیلوگرم)]]&lt;&gt;0,Main[[#This Row],[تعداد کل روزهای بدهکار (روز)]],0)</f>
        <v>0</v>
      </c>
      <c r="AC645" s="6">
        <f ca="1">Main[[#This Row],[تعداد روزهای بدهکار  تسویه نشده (روز)]]*Main[[#This Row],[مانده در خط تسویه نشده (کیلوگرم)]]</f>
        <v>0</v>
      </c>
      <c r="AD645" s="6">
        <f ca="1">SUBTOTAL(9,INDEX(Main[بدهی سررسید شده (کیلوگرم)],1):Main[[#This Row],[بدهی سررسید شده (کیلوگرم)]])</f>
        <v>0</v>
      </c>
      <c r="AE645" s="6">
        <f ca="1">IF(Main[[#This Row],[مانده در خط سررسید شده (کیلوگرم)]]&lt;&gt;0,Main[[#This Row],[تعداد کل روزهای بدهکار (روز)]],0)</f>
        <v>0</v>
      </c>
      <c r="AF645" s="6">
        <f ca="1">Main[[#This Row],[تعداد روزهای بدهکار سررسید شده (روز)]]*Main[[#This Row],[مانده در خط سررسید شده (کیلوگرم)]]</f>
        <v>0</v>
      </c>
    </row>
    <row r="646" spans="1:32" hidden="1" x14ac:dyDescent="0.35">
      <c r="A646" s="5">
        <f>ROW()-ROW(INDEX(Main[ردیف],1))+1</f>
        <v>644</v>
      </c>
      <c r="B646" s="31">
        <f>SUBTOTAL(2,INDEX(Main[ردیف],1):Main[[#This Row],[ردیف]])</f>
        <v>60</v>
      </c>
      <c r="C646" s="32" t="s">
        <v>574</v>
      </c>
      <c r="D646" s="32" t="str">
        <f>_xlfn.CONCAT("14",Main[[#This Row],[تاريخ]])</f>
        <v>1400/03/10</v>
      </c>
      <c r="E646" s="33">
        <v>44347</v>
      </c>
      <c r="F646" s="32">
        <v>30101</v>
      </c>
      <c r="G646" s="5" t="str">
        <f>INDEX(customer[عنوان],MATCH(Main[[#This Row],[کد ردیابی]],customer[کد],0))</f>
        <v>شرکت قاره سبز</v>
      </c>
      <c r="H646">
        <v>428</v>
      </c>
      <c r="I646" s="6">
        <f ca="1">-Main[[#This Row],[بدهی تسویه شده (کیلوگرم)]]+Main[[#This Row],[بستانکار (کیلوگرم)]]</f>
        <v>428</v>
      </c>
      <c r="J646" s="6">
        <f>IF(Main[[#This Row],[مقدار (کیلوگرم)]]&gt;0,Main[[#This Row],[مقدار (کیلوگرم)]],0)</f>
        <v>428</v>
      </c>
      <c r="K646" s="6">
        <f>-IF(Main[[#This Row],[مقدار (کیلوگرم)]]&lt;0,Main[[#This Row],[مقدار (کیلوگرم)]],0)</f>
        <v>0</v>
      </c>
      <c r="L6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6" s="7">
        <f>-IF(AND(Main[[#This Row],[مقدار (کیلوگرم)]]&lt;0,Main[[#This Row],[تاريخ میلادی]]&gt;44276),Main[[#This Row],[مقدار (کیلوگرم)]],0)</f>
        <v>0</v>
      </c>
      <c r="N646" s="6">
        <f ca="1">Main[[#This Row],[بدهکار (کیلوگرم)]]-Main[[#This Row],[بدهی تسویه نشده (کیلوگرم)]]</f>
        <v>0</v>
      </c>
      <c r="O646" s="6">
        <f ca="1">Main[[#This Row],[تفکیک]]</f>
        <v>0</v>
      </c>
      <c r="P646" s="6">
        <f ca="1">IF(Main[[#This Row],[تاخیر از سررسید]]&gt;0,Main[[#This Row],[بدهی تسویه نشده (کیلوگرم)]],0)</f>
        <v>0</v>
      </c>
      <c r="Q646" s="6">
        <f ca="1">IF(Main[[#This Row],[بدهی تسویه نشده (کیلوگرم)]]&gt;0,'گزارش فردی'!$B$7-Main[[#This Row],[تاريخ میلادی]],0)</f>
        <v>0</v>
      </c>
      <c r="R646" s="6">
        <f ca="1">IF(Main[[#This Row],[بدهی تسویه نشده (کیلوگرم)]]&gt;0,'گزارش فردی'!$B$7-Main[[#This Row],[تاريخ میلادی]]-'گزارش فردی'!$B$8,0)</f>
        <v>0</v>
      </c>
      <c r="S646" s="6">
        <f ca="1">Main[[#This Row],[روز از ارسال سفارش]]*Main[[#This Row],[بدهی تسویه نشده (کیلوگرم)]]</f>
        <v>0</v>
      </c>
      <c r="T646" s="6">
        <f ca="1">Main[[#This Row],[بدهی سررسید شده (کیلوگرم)]]*Main[[#This Row],[روز از ارسال سفارش]]</f>
        <v>0</v>
      </c>
      <c r="U646" s="6">
        <f>-SUBTOTAL(9,INDEX(Main[مقدار (کیلوگرم)],1):Main[[#This Row],[مقدار (کیلوگرم)]])</f>
        <v>33533</v>
      </c>
      <c r="V6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6" s="6">
        <f>Main[[#This Row],[تعداد کل روزهای بدهکار (روز)]]*Main[[#This Row],[مانده در خط کل (کیلوگرم)]]</f>
        <v>0</v>
      </c>
      <c r="X646" s="6">
        <f ca="1">-SUBTOTAL(9,INDEX(Main[مقدار تسویه شده (کیلوگرم)],1):Main[[#This Row],[مقدار تسویه شده (کیلوگرم)]])</f>
        <v>33533</v>
      </c>
      <c r="Y646" s="6">
        <f ca="1">IF(Main[[#This Row],[مانده در خط تسویه شده (کیلوگرم)]]&lt;&gt;0,Main[[#This Row],[تعداد کل روزهای بدهکار (روز)]],0)</f>
        <v>0</v>
      </c>
      <c r="Z646" s="6">
        <f ca="1">Main[[#This Row],[تعداد روزهای بدهکار تسویه شده (روز)]]*Main[[#This Row],[مانده در خط تسویه شده (کیلوگرم)]]</f>
        <v>0</v>
      </c>
      <c r="AA646" s="6">
        <f ca="1">SUBTOTAL(9,INDEX(Main[بدهی تسویه نشده (کیلوگرم)],1):Main[[#This Row],[بدهی تسویه نشده (کیلوگرم)]])</f>
        <v>0</v>
      </c>
      <c r="AB646" s="6">
        <f ca="1">IF(Main[[#This Row],[مانده در خط تسویه نشده (کیلوگرم)]]&lt;&gt;0,Main[[#This Row],[تعداد کل روزهای بدهکار (روز)]],0)</f>
        <v>0</v>
      </c>
      <c r="AC646" s="6">
        <f ca="1">Main[[#This Row],[تعداد روزهای بدهکار  تسویه نشده (روز)]]*Main[[#This Row],[مانده در خط تسویه نشده (کیلوگرم)]]</f>
        <v>0</v>
      </c>
      <c r="AD646" s="6">
        <f ca="1">SUBTOTAL(9,INDEX(Main[بدهی سررسید شده (کیلوگرم)],1):Main[[#This Row],[بدهی سررسید شده (کیلوگرم)]])</f>
        <v>0</v>
      </c>
      <c r="AE646" s="6">
        <f ca="1">IF(Main[[#This Row],[مانده در خط سررسید شده (کیلوگرم)]]&lt;&gt;0,Main[[#This Row],[تعداد کل روزهای بدهکار (روز)]],0)</f>
        <v>0</v>
      </c>
      <c r="AF646" s="6">
        <f ca="1">Main[[#This Row],[تعداد روزهای بدهکار سررسید شده (روز)]]*Main[[#This Row],[مانده در خط سررسید شده (کیلوگرم)]]</f>
        <v>0</v>
      </c>
    </row>
    <row r="647" spans="1:32" x14ac:dyDescent="0.35">
      <c r="A647" s="5">
        <f>ROW()-ROW(INDEX(Main[ردیف],1))+1</f>
        <v>645</v>
      </c>
      <c r="B647" s="31">
        <f>SUBTOTAL(2,INDEX(Main[ردیف],1):Main[[#This Row],[ردیف]])</f>
        <v>61</v>
      </c>
      <c r="C647" s="32" t="s">
        <v>574</v>
      </c>
      <c r="D647" s="32" t="str">
        <f>_xlfn.CONCAT("14",Main[[#This Row],[تاريخ]])</f>
        <v>1400/03/10</v>
      </c>
      <c r="E647" s="33">
        <v>44347</v>
      </c>
      <c r="F647" s="32">
        <v>10003</v>
      </c>
      <c r="G647" s="5" t="str">
        <f>INDEX(customer[عنوان],MATCH(Main[[#This Row],[کد ردیابی]],customer[کد],0))</f>
        <v>اصغر نورعلی</v>
      </c>
      <c r="H647">
        <v>-3208</v>
      </c>
      <c r="I647" s="6">
        <f ca="1">-Main[[#This Row],[بدهی تسویه شده (کیلوگرم)]]+Main[[#This Row],[بستانکار (کیلوگرم)]]</f>
        <v>-3208</v>
      </c>
      <c r="J647" s="6">
        <f>IF(Main[[#This Row],[مقدار (کیلوگرم)]]&gt;0,Main[[#This Row],[مقدار (کیلوگرم)]],0)</f>
        <v>0</v>
      </c>
      <c r="K647" s="6">
        <f>-IF(Main[[#This Row],[مقدار (کیلوگرم)]]&lt;0,Main[[#This Row],[مقدار (کیلوگرم)]],0)</f>
        <v>3208</v>
      </c>
      <c r="L6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7" s="7">
        <f>-IF(AND(Main[[#This Row],[مقدار (کیلوگرم)]]&lt;0,Main[[#This Row],[تاريخ میلادی]]&gt;44276),Main[[#This Row],[مقدار (کیلوگرم)]],0)</f>
        <v>3208</v>
      </c>
      <c r="N647" s="6">
        <f ca="1">Main[[#This Row],[بدهکار (کیلوگرم)]]-Main[[#This Row],[بدهی تسویه نشده (کیلوگرم)]]</f>
        <v>3208</v>
      </c>
      <c r="O647" s="6">
        <f ca="1">Main[[#This Row],[تفکیک]]</f>
        <v>0</v>
      </c>
      <c r="P647" s="6">
        <f ca="1">IF(Main[[#This Row],[تاخیر از سررسید]]&gt;0,Main[[#This Row],[بدهی تسویه نشده (کیلوگرم)]],0)</f>
        <v>0</v>
      </c>
      <c r="Q647" s="6">
        <f ca="1">IF(Main[[#This Row],[بدهی تسویه نشده (کیلوگرم)]]&gt;0,'گزارش فردی'!$B$7-Main[[#This Row],[تاريخ میلادی]],0)</f>
        <v>0</v>
      </c>
      <c r="R647" s="6">
        <f ca="1">IF(Main[[#This Row],[بدهی تسویه نشده (کیلوگرم)]]&gt;0,'گزارش فردی'!$B$7-Main[[#This Row],[تاريخ میلادی]]-'گزارش فردی'!$B$8,0)</f>
        <v>0</v>
      </c>
      <c r="S647" s="6">
        <f ca="1">Main[[#This Row],[روز از ارسال سفارش]]*Main[[#This Row],[بدهی تسویه نشده (کیلوگرم)]]</f>
        <v>0</v>
      </c>
      <c r="T647" s="6">
        <f ca="1">Main[[#This Row],[بدهی سررسید شده (کیلوگرم)]]*Main[[#This Row],[روز از ارسال سفارش]]</f>
        <v>0</v>
      </c>
      <c r="U647" s="6">
        <f>-SUBTOTAL(9,INDEX(Main[مقدار (کیلوگرم)],1):Main[[#This Row],[مقدار (کیلوگرم)]])</f>
        <v>36741</v>
      </c>
      <c r="V6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47" s="6">
        <f>Main[[#This Row],[تعداد کل روزهای بدهکار (روز)]]*Main[[#This Row],[مانده در خط کل (کیلوگرم)]]</f>
        <v>36741</v>
      </c>
      <c r="X647" s="6">
        <f ca="1">-SUBTOTAL(9,INDEX(Main[مقدار تسویه شده (کیلوگرم)],1):Main[[#This Row],[مقدار تسویه شده (کیلوگرم)]])</f>
        <v>36741</v>
      </c>
      <c r="Y647" s="6">
        <f ca="1">IF(Main[[#This Row],[مانده در خط تسویه شده (کیلوگرم)]]&lt;&gt;0,Main[[#This Row],[تعداد کل روزهای بدهکار (روز)]],0)</f>
        <v>1</v>
      </c>
      <c r="Z647" s="6">
        <f ca="1">Main[[#This Row],[تعداد روزهای بدهکار تسویه شده (روز)]]*Main[[#This Row],[مانده در خط تسویه شده (کیلوگرم)]]</f>
        <v>36741</v>
      </c>
      <c r="AA647" s="6">
        <f ca="1">SUBTOTAL(9,INDEX(Main[بدهی تسویه نشده (کیلوگرم)],1):Main[[#This Row],[بدهی تسویه نشده (کیلوگرم)]])</f>
        <v>0</v>
      </c>
      <c r="AB647" s="6">
        <f ca="1">IF(Main[[#This Row],[مانده در خط تسویه نشده (کیلوگرم)]]&lt;&gt;0,Main[[#This Row],[تعداد کل روزهای بدهکار (روز)]],0)</f>
        <v>0</v>
      </c>
      <c r="AC647" s="6">
        <f ca="1">Main[[#This Row],[تعداد روزهای بدهکار  تسویه نشده (روز)]]*Main[[#This Row],[مانده در خط تسویه نشده (کیلوگرم)]]</f>
        <v>0</v>
      </c>
      <c r="AD647" s="6">
        <f ca="1">SUBTOTAL(9,INDEX(Main[بدهی سررسید شده (کیلوگرم)],1):Main[[#This Row],[بدهی سررسید شده (کیلوگرم)]])</f>
        <v>0</v>
      </c>
      <c r="AE647" s="6">
        <f ca="1">IF(Main[[#This Row],[مانده در خط سررسید شده (کیلوگرم)]]&lt;&gt;0,Main[[#This Row],[تعداد کل روزهای بدهکار (روز)]],0)</f>
        <v>0</v>
      </c>
      <c r="AF647" s="6">
        <f ca="1">Main[[#This Row],[تعداد روزهای بدهکار سررسید شده (روز)]]*Main[[#This Row],[مانده در خط سررسید شده (کیلوگرم)]]</f>
        <v>0</v>
      </c>
    </row>
    <row r="648" spans="1:32" hidden="1" x14ac:dyDescent="0.35">
      <c r="A648" s="5">
        <f>ROW()-ROW(INDEX(Main[ردیف],1))+1</f>
        <v>646</v>
      </c>
      <c r="B648" s="31">
        <f>SUBTOTAL(2,INDEX(Main[ردیف],1):Main[[#This Row],[ردیف]])</f>
        <v>61</v>
      </c>
      <c r="C648" s="32" t="s">
        <v>574</v>
      </c>
      <c r="D648" s="32" t="str">
        <f>_xlfn.CONCAT("14",Main[[#This Row],[تاريخ]])</f>
        <v>1400/03/10</v>
      </c>
      <c r="E648" s="33">
        <v>44347</v>
      </c>
      <c r="F648" s="32">
        <v>30017</v>
      </c>
      <c r="G648" s="5" t="str">
        <f>INDEX(customer[عنوان],MATCH(Main[[#This Row],[کد ردیابی]],customer[کد],0))</f>
        <v xml:space="preserve">البرز یدک </v>
      </c>
      <c r="H648">
        <v>2930</v>
      </c>
      <c r="I648" s="6">
        <f ca="1">-Main[[#This Row],[بدهی تسویه شده (کیلوگرم)]]+Main[[#This Row],[بستانکار (کیلوگرم)]]</f>
        <v>2930</v>
      </c>
      <c r="J648" s="6">
        <f>IF(Main[[#This Row],[مقدار (کیلوگرم)]]&gt;0,Main[[#This Row],[مقدار (کیلوگرم)]],0)</f>
        <v>2930</v>
      </c>
      <c r="K648" s="6">
        <f>-IF(Main[[#This Row],[مقدار (کیلوگرم)]]&lt;0,Main[[#This Row],[مقدار (کیلوگرم)]],0)</f>
        <v>0</v>
      </c>
      <c r="L6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8" s="7">
        <f>-IF(AND(Main[[#This Row],[مقدار (کیلوگرم)]]&lt;0,Main[[#This Row],[تاريخ میلادی]]&gt;44276),Main[[#This Row],[مقدار (کیلوگرم)]],0)</f>
        <v>0</v>
      </c>
      <c r="N648" s="6">
        <f ca="1">Main[[#This Row],[بدهکار (کیلوگرم)]]-Main[[#This Row],[بدهی تسویه نشده (کیلوگرم)]]</f>
        <v>0</v>
      </c>
      <c r="O648" s="6">
        <f ca="1">Main[[#This Row],[تفکیک]]</f>
        <v>0</v>
      </c>
      <c r="P648" s="6">
        <f ca="1">IF(Main[[#This Row],[تاخیر از سررسید]]&gt;0,Main[[#This Row],[بدهی تسویه نشده (کیلوگرم)]],0)</f>
        <v>0</v>
      </c>
      <c r="Q648" s="6">
        <f ca="1">IF(Main[[#This Row],[بدهی تسویه نشده (کیلوگرم)]]&gt;0,'گزارش فردی'!$B$7-Main[[#This Row],[تاريخ میلادی]],0)</f>
        <v>0</v>
      </c>
      <c r="R648" s="6">
        <f ca="1">IF(Main[[#This Row],[بدهی تسویه نشده (کیلوگرم)]]&gt;0,'گزارش فردی'!$B$7-Main[[#This Row],[تاريخ میلادی]]-'گزارش فردی'!$B$8,0)</f>
        <v>0</v>
      </c>
      <c r="S648" s="6">
        <f ca="1">Main[[#This Row],[روز از ارسال سفارش]]*Main[[#This Row],[بدهی تسویه نشده (کیلوگرم)]]</f>
        <v>0</v>
      </c>
      <c r="T648" s="6">
        <f ca="1">Main[[#This Row],[بدهی سررسید شده (کیلوگرم)]]*Main[[#This Row],[روز از ارسال سفارش]]</f>
        <v>0</v>
      </c>
      <c r="U648" s="6">
        <f>-SUBTOTAL(9,INDEX(Main[مقدار (کیلوگرم)],1):Main[[#This Row],[مقدار (کیلوگرم)]])</f>
        <v>36741</v>
      </c>
      <c r="V6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48" s="6">
        <f>Main[[#This Row],[تعداد کل روزهای بدهکار (روز)]]*Main[[#This Row],[مانده در خط کل (کیلوگرم)]]</f>
        <v>36741</v>
      </c>
      <c r="X648" s="6">
        <f ca="1">-SUBTOTAL(9,INDEX(Main[مقدار تسویه شده (کیلوگرم)],1):Main[[#This Row],[مقدار تسویه شده (کیلوگرم)]])</f>
        <v>36741</v>
      </c>
      <c r="Y648" s="6">
        <f ca="1">IF(Main[[#This Row],[مانده در خط تسویه شده (کیلوگرم)]]&lt;&gt;0,Main[[#This Row],[تعداد کل روزهای بدهکار (روز)]],0)</f>
        <v>1</v>
      </c>
      <c r="Z648" s="6">
        <f ca="1">Main[[#This Row],[تعداد روزهای بدهکار تسویه شده (روز)]]*Main[[#This Row],[مانده در خط تسویه شده (کیلوگرم)]]</f>
        <v>36741</v>
      </c>
      <c r="AA648" s="6">
        <f ca="1">SUBTOTAL(9,INDEX(Main[بدهی تسویه نشده (کیلوگرم)],1):Main[[#This Row],[بدهی تسویه نشده (کیلوگرم)]])</f>
        <v>0</v>
      </c>
      <c r="AB648" s="6">
        <f ca="1">IF(Main[[#This Row],[مانده در خط تسویه نشده (کیلوگرم)]]&lt;&gt;0,Main[[#This Row],[تعداد کل روزهای بدهکار (روز)]],0)</f>
        <v>0</v>
      </c>
      <c r="AC648" s="6">
        <f ca="1">Main[[#This Row],[تعداد روزهای بدهکار  تسویه نشده (روز)]]*Main[[#This Row],[مانده در خط تسویه نشده (کیلوگرم)]]</f>
        <v>0</v>
      </c>
      <c r="AD648" s="6">
        <f ca="1">SUBTOTAL(9,INDEX(Main[بدهی سررسید شده (کیلوگرم)],1):Main[[#This Row],[بدهی سررسید شده (کیلوگرم)]])</f>
        <v>0</v>
      </c>
      <c r="AE648" s="6">
        <f ca="1">IF(Main[[#This Row],[مانده در خط سررسید شده (کیلوگرم)]]&lt;&gt;0,Main[[#This Row],[تعداد کل روزهای بدهکار (روز)]],0)</f>
        <v>0</v>
      </c>
      <c r="AF648" s="6">
        <f ca="1">Main[[#This Row],[تعداد روزهای بدهکار سررسید شده (روز)]]*Main[[#This Row],[مانده در خط سررسید شده (کیلوگرم)]]</f>
        <v>0</v>
      </c>
    </row>
    <row r="649" spans="1:32" hidden="1" x14ac:dyDescent="0.35">
      <c r="A649" s="5">
        <f>ROW()-ROW(INDEX(Main[ردیف],1))+1</f>
        <v>647</v>
      </c>
      <c r="B649" s="31">
        <f>SUBTOTAL(2,INDEX(Main[ردیف],1):Main[[#This Row],[ردیف]])</f>
        <v>61</v>
      </c>
      <c r="C649" s="32" t="s">
        <v>574</v>
      </c>
      <c r="D649" s="32" t="str">
        <f>_xlfn.CONCAT("14",Main[[#This Row],[تاريخ]])</f>
        <v>1400/03/10</v>
      </c>
      <c r="E649" s="33">
        <v>44347</v>
      </c>
      <c r="F649" s="32">
        <v>30009</v>
      </c>
      <c r="G649" s="5" t="str">
        <f>INDEX(customer[عنوان],MATCH(Main[[#This Row],[کد ردیابی]],customer[کد],0))</f>
        <v>شرکت ایمن تک پیشرو</v>
      </c>
      <c r="H649">
        <v>-100</v>
      </c>
      <c r="I649" s="6">
        <f ca="1">-Main[[#This Row],[بدهی تسویه شده (کیلوگرم)]]+Main[[#This Row],[بستانکار (کیلوگرم)]]</f>
        <v>-100</v>
      </c>
      <c r="J649" s="6">
        <f>IF(Main[[#This Row],[مقدار (کیلوگرم)]]&gt;0,Main[[#This Row],[مقدار (کیلوگرم)]],0)</f>
        <v>0</v>
      </c>
      <c r="K649" s="6">
        <f>-IF(Main[[#This Row],[مقدار (کیلوگرم)]]&lt;0,Main[[#This Row],[مقدار (کیلوگرم)]],0)</f>
        <v>100</v>
      </c>
      <c r="L6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9" s="7">
        <f>-IF(AND(Main[[#This Row],[مقدار (کیلوگرم)]]&lt;0,Main[[#This Row],[تاريخ میلادی]]&gt;44276),Main[[#This Row],[مقدار (کیلوگرم)]],0)</f>
        <v>100</v>
      </c>
      <c r="N649" s="6">
        <f ca="1">Main[[#This Row],[بدهکار (کیلوگرم)]]-Main[[#This Row],[بدهی تسویه نشده (کیلوگرم)]]</f>
        <v>100</v>
      </c>
      <c r="O649" s="6">
        <f ca="1">Main[[#This Row],[تفکیک]]</f>
        <v>0</v>
      </c>
      <c r="P649" s="6">
        <f ca="1">IF(Main[[#This Row],[تاخیر از سررسید]]&gt;0,Main[[#This Row],[بدهی تسویه نشده (کیلوگرم)]],0)</f>
        <v>0</v>
      </c>
      <c r="Q649" s="6">
        <f ca="1">IF(Main[[#This Row],[بدهی تسویه نشده (کیلوگرم)]]&gt;0,'گزارش فردی'!$B$7-Main[[#This Row],[تاريخ میلادی]],0)</f>
        <v>0</v>
      </c>
      <c r="R649" s="6">
        <f ca="1">IF(Main[[#This Row],[بدهی تسویه نشده (کیلوگرم)]]&gt;0,'گزارش فردی'!$B$7-Main[[#This Row],[تاريخ میلادی]]-'گزارش فردی'!$B$8,0)</f>
        <v>0</v>
      </c>
      <c r="S649" s="6">
        <f ca="1">Main[[#This Row],[روز از ارسال سفارش]]*Main[[#This Row],[بدهی تسویه نشده (کیلوگرم)]]</f>
        <v>0</v>
      </c>
      <c r="T649" s="6">
        <f ca="1">Main[[#This Row],[بدهی سررسید شده (کیلوگرم)]]*Main[[#This Row],[روز از ارسال سفارش]]</f>
        <v>0</v>
      </c>
      <c r="U649" s="6">
        <f>-SUBTOTAL(9,INDEX(Main[مقدار (کیلوگرم)],1):Main[[#This Row],[مقدار (کیلوگرم)]])</f>
        <v>36741</v>
      </c>
      <c r="V6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49" s="6">
        <f>Main[[#This Row],[تعداد کل روزهای بدهکار (روز)]]*Main[[#This Row],[مانده در خط کل (کیلوگرم)]]</f>
        <v>36741</v>
      </c>
      <c r="X649" s="6">
        <f ca="1">-SUBTOTAL(9,INDEX(Main[مقدار تسویه شده (کیلوگرم)],1):Main[[#This Row],[مقدار تسویه شده (کیلوگرم)]])</f>
        <v>36741</v>
      </c>
      <c r="Y649" s="6">
        <f ca="1">IF(Main[[#This Row],[مانده در خط تسویه شده (کیلوگرم)]]&lt;&gt;0,Main[[#This Row],[تعداد کل روزهای بدهکار (روز)]],0)</f>
        <v>1</v>
      </c>
      <c r="Z649" s="6">
        <f ca="1">Main[[#This Row],[تعداد روزهای بدهکار تسویه شده (روز)]]*Main[[#This Row],[مانده در خط تسویه شده (کیلوگرم)]]</f>
        <v>36741</v>
      </c>
      <c r="AA649" s="6">
        <f ca="1">SUBTOTAL(9,INDEX(Main[بدهی تسویه نشده (کیلوگرم)],1):Main[[#This Row],[بدهی تسویه نشده (کیلوگرم)]])</f>
        <v>0</v>
      </c>
      <c r="AB649" s="6">
        <f ca="1">IF(Main[[#This Row],[مانده در خط تسویه نشده (کیلوگرم)]]&lt;&gt;0,Main[[#This Row],[تعداد کل روزهای بدهکار (روز)]],0)</f>
        <v>0</v>
      </c>
      <c r="AC649" s="6">
        <f ca="1">Main[[#This Row],[تعداد روزهای بدهکار  تسویه نشده (روز)]]*Main[[#This Row],[مانده در خط تسویه نشده (کیلوگرم)]]</f>
        <v>0</v>
      </c>
      <c r="AD649" s="6">
        <f ca="1">SUBTOTAL(9,INDEX(Main[بدهی سررسید شده (کیلوگرم)],1):Main[[#This Row],[بدهی سررسید شده (کیلوگرم)]])</f>
        <v>0</v>
      </c>
      <c r="AE649" s="6">
        <f ca="1">IF(Main[[#This Row],[مانده در خط سررسید شده (کیلوگرم)]]&lt;&gt;0,Main[[#This Row],[تعداد کل روزهای بدهکار (روز)]],0)</f>
        <v>0</v>
      </c>
      <c r="AF649" s="6">
        <f ca="1">Main[[#This Row],[تعداد روزهای بدهکار سررسید شده (روز)]]*Main[[#This Row],[مانده در خط سررسید شده (کیلوگرم)]]</f>
        <v>0</v>
      </c>
    </row>
    <row r="650" spans="1:32" hidden="1" x14ac:dyDescent="0.35">
      <c r="A650" s="5">
        <f>ROW()-ROW(INDEX(Main[ردیف],1))+1</f>
        <v>648</v>
      </c>
      <c r="B650" s="31">
        <f>SUBTOTAL(2,INDEX(Main[ردیف],1):Main[[#This Row],[ردیف]])</f>
        <v>61</v>
      </c>
      <c r="C650" s="32" t="s">
        <v>574</v>
      </c>
      <c r="D650" s="32" t="str">
        <f>_xlfn.CONCAT("14",Main[[#This Row],[تاريخ]])</f>
        <v>1400/03/10</v>
      </c>
      <c r="E650" s="33">
        <v>44347</v>
      </c>
      <c r="F650" s="32">
        <v>10089</v>
      </c>
      <c r="G650" s="5" t="str">
        <f>INDEX(customer[عنوان],MATCH(Main[[#This Row],[کد ردیابی]],customer[کد],0))</f>
        <v>خسروآبادی مهدی</v>
      </c>
      <c r="H650">
        <v>507</v>
      </c>
      <c r="I650" s="6">
        <f ca="1">-Main[[#This Row],[بدهی تسویه شده (کیلوگرم)]]+Main[[#This Row],[بستانکار (کیلوگرم)]]</f>
        <v>507</v>
      </c>
      <c r="J650" s="6">
        <f>IF(Main[[#This Row],[مقدار (کیلوگرم)]]&gt;0,Main[[#This Row],[مقدار (کیلوگرم)]],0)</f>
        <v>507</v>
      </c>
      <c r="K650" s="6">
        <f>-IF(Main[[#This Row],[مقدار (کیلوگرم)]]&lt;0,Main[[#This Row],[مقدار (کیلوگرم)]],0)</f>
        <v>0</v>
      </c>
      <c r="L6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0" s="7">
        <f>-IF(AND(Main[[#This Row],[مقدار (کیلوگرم)]]&lt;0,Main[[#This Row],[تاريخ میلادی]]&gt;44276),Main[[#This Row],[مقدار (کیلوگرم)]],0)</f>
        <v>0</v>
      </c>
      <c r="N650" s="6">
        <f ca="1">Main[[#This Row],[بدهکار (کیلوگرم)]]-Main[[#This Row],[بدهی تسویه نشده (کیلوگرم)]]</f>
        <v>0</v>
      </c>
      <c r="O650" s="6">
        <f ca="1">Main[[#This Row],[تفکیک]]</f>
        <v>0</v>
      </c>
      <c r="P650" s="6">
        <f ca="1">IF(Main[[#This Row],[تاخیر از سررسید]]&gt;0,Main[[#This Row],[بدهی تسویه نشده (کیلوگرم)]],0)</f>
        <v>0</v>
      </c>
      <c r="Q650" s="6">
        <f ca="1">IF(Main[[#This Row],[بدهی تسویه نشده (کیلوگرم)]]&gt;0,'گزارش فردی'!$B$7-Main[[#This Row],[تاريخ میلادی]],0)</f>
        <v>0</v>
      </c>
      <c r="R650" s="6">
        <f ca="1">IF(Main[[#This Row],[بدهی تسویه نشده (کیلوگرم)]]&gt;0,'گزارش فردی'!$B$7-Main[[#This Row],[تاريخ میلادی]]-'گزارش فردی'!$B$8,0)</f>
        <v>0</v>
      </c>
      <c r="S650" s="6">
        <f ca="1">Main[[#This Row],[روز از ارسال سفارش]]*Main[[#This Row],[بدهی تسویه نشده (کیلوگرم)]]</f>
        <v>0</v>
      </c>
      <c r="T650" s="6">
        <f ca="1">Main[[#This Row],[بدهی سررسید شده (کیلوگرم)]]*Main[[#This Row],[روز از ارسال سفارش]]</f>
        <v>0</v>
      </c>
      <c r="U650" s="6">
        <f>-SUBTOTAL(9,INDEX(Main[مقدار (کیلوگرم)],1):Main[[#This Row],[مقدار (کیلوگرم)]])</f>
        <v>36741</v>
      </c>
      <c r="V6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0" s="6">
        <f>Main[[#This Row],[تعداد کل روزهای بدهکار (روز)]]*Main[[#This Row],[مانده در خط کل (کیلوگرم)]]</f>
        <v>36741</v>
      </c>
      <c r="X650" s="6">
        <f ca="1">-SUBTOTAL(9,INDEX(Main[مقدار تسویه شده (کیلوگرم)],1):Main[[#This Row],[مقدار تسویه شده (کیلوگرم)]])</f>
        <v>36741</v>
      </c>
      <c r="Y650" s="6">
        <f ca="1">IF(Main[[#This Row],[مانده در خط تسویه شده (کیلوگرم)]]&lt;&gt;0,Main[[#This Row],[تعداد کل روزهای بدهکار (روز)]],0)</f>
        <v>1</v>
      </c>
      <c r="Z650" s="6">
        <f ca="1">Main[[#This Row],[تعداد روزهای بدهکار تسویه شده (روز)]]*Main[[#This Row],[مانده در خط تسویه شده (کیلوگرم)]]</f>
        <v>36741</v>
      </c>
      <c r="AA650" s="6">
        <f ca="1">SUBTOTAL(9,INDEX(Main[بدهی تسویه نشده (کیلوگرم)],1):Main[[#This Row],[بدهی تسویه نشده (کیلوگرم)]])</f>
        <v>0</v>
      </c>
      <c r="AB650" s="6">
        <f ca="1">IF(Main[[#This Row],[مانده در خط تسویه نشده (کیلوگرم)]]&lt;&gt;0,Main[[#This Row],[تعداد کل روزهای بدهکار (روز)]],0)</f>
        <v>0</v>
      </c>
      <c r="AC650" s="6">
        <f ca="1">Main[[#This Row],[تعداد روزهای بدهکار  تسویه نشده (روز)]]*Main[[#This Row],[مانده در خط تسویه نشده (کیلوگرم)]]</f>
        <v>0</v>
      </c>
      <c r="AD650" s="6">
        <f ca="1">SUBTOTAL(9,INDEX(Main[بدهی سررسید شده (کیلوگرم)],1):Main[[#This Row],[بدهی سررسید شده (کیلوگرم)]])</f>
        <v>0</v>
      </c>
      <c r="AE650" s="6">
        <f ca="1">IF(Main[[#This Row],[مانده در خط سررسید شده (کیلوگرم)]]&lt;&gt;0,Main[[#This Row],[تعداد کل روزهای بدهکار (روز)]],0)</f>
        <v>0</v>
      </c>
      <c r="AF650" s="6">
        <f ca="1">Main[[#This Row],[تعداد روزهای بدهکار سررسید شده (روز)]]*Main[[#This Row],[مانده در خط سررسید شده (کیلوگرم)]]</f>
        <v>0</v>
      </c>
    </row>
    <row r="651" spans="1:32" hidden="1" x14ac:dyDescent="0.35">
      <c r="A651" s="5">
        <f>ROW()-ROW(INDEX(Main[ردیف],1))+1</f>
        <v>649</v>
      </c>
      <c r="B651" s="31">
        <f>SUBTOTAL(2,INDEX(Main[ردیف],1):Main[[#This Row],[ردیف]])</f>
        <v>61</v>
      </c>
      <c r="C651" s="32" t="s">
        <v>574</v>
      </c>
      <c r="D651" s="32" t="str">
        <f>_xlfn.CONCAT("14",Main[[#This Row],[تاريخ]])</f>
        <v>1400/03/10</v>
      </c>
      <c r="E651" s="33">
        <v>44347</v>
      </c>
      <c r="F651" s="32">
        <v>10020</v>
      </c>
      <c r="G651" s="5" t="str">
        <f>INDEX(customer[عنوان],MATCH(Main[[#This Row],[کد ردیابی]],customer[کد],0))</f>
        <v>فرزاد اسماعیل زاده</v>
      </c>
      <c r="H651">
        <v>202</v>
      </c>
      <c r="I651" s="6">
        <f ca="1">-Main[[#This Row],[بدهی تسویه شده (کیلوگرم)]]+Main[[#This Row],[بستانکار (کیلوگرم)]]</f>
        <v>202</v>
      </c>
      <c r="J651" s="6">
        <f>IF(Main[[#This Row],[مقدار (کیلوگرم)]]&gt;0,Main[[#This Row],[مقدار (کیلوگرم)]],0)</f>
        <v>202</v>
      </c>
      <c r="K651" s="6">
        <f>-IF(Main[[#This Row],[مقدار (کیلوگرم)]]&lt;0,Main[[#This Row],[مقدار (کیلوگرم)]],0)</f>
        <v>0</v>
      </c>
      <c r="L6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1" s="7">
        <f>-IF(AND(Main[[#This Row],[مقدار (کیلوگرم)]]&lt;0,Main[[#This Row],[تاريخ میلادی]]&gt;44276),Main[[#This Row],[مقدار (کیلوگرم)]],0)</f>
        <v>0</v>
      </c>
      <c r="N651" s="6">
        <f ca="1">Main[[#This Row],[بدهکار (کیلوگرم)]]-Main[[#This Row],[بدهی تسویه نشده (کیلوگرم)]]</f>
        <v>0</v>
      </c>
      <c r="O651" s="6">
        <f ca="1">Main[[#This Row],[تفکیک]]</f>
        <v>0</v>
      </c>
      <c r="P651" s="6">
        <f ca="1">IF(Main[[#This Row],[تاخیر از سررسید]]&gt;0,Main[[#This Row],[بدهی تسویه نشده (کیلوگرم)]],0)</f>
        <v>0</v>
      </c>
      <c r="Q651" s="6">
        <f ca="1">IF(Main[[#This Row],[بدهی تسویه نشده (کیلوگرم)]]&gt;0,'گزارش فردی'!$B$7-Main[[#This Row],[تاريخ میلادی]],0)</f>
        <v>0</v>
      </c>
      <c r="R651" s="6">
        <f ca="1">IF(Main[[#This Row],[بدهی تسویه نشده (کیلوگرم)]]&gt;0,'گزارش فردی'!$B$7-Main[[#This Row],[تاريخ میلادی]]-'گزارش فردی'!$B$8,0)</f>
        <v>0</v>
      </c>
      <c r="S651" s="6">
        <f ca="1">Main[[#This Row],[روز از ارسال سفارش]]*Main[[#This Row],[بدهی تسویه نشده (کیلوگرم)]]</f>
        <v>0</v>
      </c>
      <c r="T651" s="6">
        <f ca="1">Main[[#This Row],[بدهی سررسید شده (کیلوگرم)]]*Main[[#This Row],[روز از ارسال سفارش]]</f>
        <v>0</v>
      </c>
      <c r="U651" s="6">
        <f>-SUBTOTAL(9,INDEX(Main[مقدار (کیلوگرم)],1):Main[[#This Row],[مقدار (کیلوگرم)]])</f>
        <v>36741</v>
      </c>
      <c r="V6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1" s="6">
        <f>Main[[#This Row],[تعداد کل روزهای بدهکار (روز)]]*Main[[#This Row],[مانده در خط کل (کیلوگرم)]]</f>
        <v>36741</v>
      </c>
      <c r="X651" s="6">
        <f ca="1">-SUBTOTAL(9,INDEX(Main[مقدار تسویه شده (کیلوگرم)],1):Main[[#This Row],[مقدار تسویه شده (کیلوگرم)]])</f>
        <v>36741</v>
      </c>
      <c r="Y651" s="6">
        <f ca="1">IF(Main[[#This Row],[مانده در خط تسویه شده (کیلوگرم)]]&lt;&gt;0,Main[[#This Row],[تعداد کل روزهای بدهکار (روز)]],0)</f>
        <v>1</v>
      </c>
      <c r="Z651" s="6">
        <f ca="1">Main[[#This Row],[تعداد روزهای بدهکار تسویه شده (روز)]]*Main[[#This Row],[مانده در خط تسویه شده (کیلوگرم)]]</f>
        <v>36741</v>
      </c>
      <c r="AA651" s="6">
        <f ca="1">SUBTOTAL(9,INDEX(Main[بدهی تسویه نشده (کیلوگرم)],1):Main[[#This Row],[بدهی تسویه نشده (کیلوگرم)]])</f>
        <v>0</v>
      </c>
      <c r="AB651" s="6">
        <f ca="1">IF(Main[[#This Row],[مانده در خط تسویه نشده (کیلوگرم)]]&lt;&gt;0,Main[[#This Row],[تعداد کل روزهای بدهکار (روز)]],0)</f>
        <v>0</v>
      </c>
      <c r="AC651" s="6">
        <f ca="1">Main[[#This Row],[تعداد روزهای بدهکار  تسویه نشده (روز)]]*Main[[#This Row],[مانده در خط تسویه نشده (کیلوگرم)]]</f>
        <v>0</v>
      </c>
      <c r="AD651" s="6">
        <f ca="1">SUBTOTAL(9,INDEX(Main[بدهی سررسید شده (کیلوگرم)],1):Main[[#This Row],[بدهی سررسید شده (کیلوگرم)]])</f>
        <v>0</v>
      </c>
      <c r="AE651" s="6">
        <f ca="1">IF(Main[[#This Row],[مانده در خط سررسید شده (کیلوگرم)]]&lt;&gt;0,Main[[#This Row],[تعداد کل روزهای بدهکار (روز)]],0)</f>
        <v>0</v>
      </c>
      <c r="AF651" s="6">
        <f ca="1">Main[[#This Row],[تعداد روزهای بدهکار سررسید شده (روز)]]*Main[[#This Row],[مانده در خط سررسید شده (کیلوگرم)]]</f>
        <v>0</v>
      </c>
    </row>
    <row r="652" spans="1:32" hidden="1" x14ac:dyDescent="0.35">
      <c r="A652" s="5">
        <f>ROW()-ROW(INDEX(Main[ردیف],1))+1</f>
        <v>650</v>
      </c>
      <c r="B652" s="31">
        <f>SUBTOTAL(2,INDEX(Main[ردیف],1):Main[[#This Row],[ردیف]])</f>
        <v>61</v>
      </c>
      <c r="C652" s="32" t="s">
        <v>574</v>
      </c>
      <c r="D652" s="32" t="str">
        <f>_xlfn.CONCAT("14",Main[[#This Row],[تاريخ]])</f>
        <v>1400/03/10</v>
      </c>
      <c r="E652" s="33">
        <v>44347</v>
      </c>
      <c r="F652" s="32">
        <v>10020</v>
      </c>
      <c r="G652" s="5" t="str">
        <f>INDEX(customer[عنوان],MATCH(Main[[#This Row],[کد ردیابی]],customer[کد],0))</f>
        <v>فرزاد اسماعیل زاده</v>
      </c>
      <c r="H652">
        <v>896</v>
      </c>
      <c r="I652" s="6">
        <f ca="1">-Main[[#This Row],[بدهی تسویه شده (کیلوگرم)]]+Main[[#This Row],[بستانکار (کیلوگرم)]]</f>
        <v>896</v>
      </c>
      <c r="J652" s="6">
        <f>IF(Main[[#This Row],[مقدار (کیلوگرم)]]&gt;0,Main[[#This Row],[مقدار (کیلوگرم)]],0)</f>
        <v>896</v>
      </c>
      <c r="K652" s="6">
        <f>-IF(Main[[#This Row],[مقدار (کیلوگرم)]]&lt;0,Main[[#This Row],[مقدار (کیلوگرم)]],0)</f>
        <v>0</v>
      </c>
      <c r="L6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2" s="7">
        <f>-IF(AND(Main[[#This Row],[مقدار (کیلوگرم)]]&lt;0,Main[[#This Row],[تاريخ میلادی]]&gt;44276),Main[[#This Row],[مقدار (کیلوگرم)]],0)</f>
        <v>0</v>
      </c>
      <c r="N652" s="6">
        <f ca="1">Main[[#This Row],[بدهکار (کیلوگرم)]]-Main[[#This Row],[بدهی تسویه نشده (کیلوگرم)]]</f>
        <v>0</v>
      </c>
      <c r="O652" s="6">
        <f ca="1">Main[[#This Row],[تفکیک]]</f>
        <v>0</v>
      </c>
      <c r="P652" s="6">
        <f ca="1">IF(Main[[#This Row],[تاخیر از سررسید]]&gt;0,Main[[#This Row],[بدهی تسویه نشده (کیلوگرم)]],0)</f>
        <v>0</v>
      </c>
      <c r="Q652" s="6">
        <f ca="1">IF(Main[[#This Row],[بدهی تسویه نشده (کیلوگرم)]]&gt;0,'گزارش فردی'!$B$7-Main[[#This Row],[تاريخ میلادی]],0)</f>
        <v>0</v>
      </c>
      <c r="R652" s="6">
        <f ca="1">IF(Main[[#This Row],[بدهی تسویه نشده (کیلوگرم)]]&gt;0,'گزارش فردی'!$B$7-Main[[#This Row],[تاريخ میلادی]]-'گزارش فردی'!$B$8,0)</f>
        <v>0</v>
      </c>
      <c r="S652" s="6">
        <f ca="1">Main[[#This Row],[روز از ارسال سفارش]]*Main[[#This Row],[بدهی تسویه نشده (کیلوگرم)]]</f>
        <v>0</v>
      </c>
      <c r="T652" s="6">
        <f ca="1">Main[[#This Row],[بدهی سررسید شده (کیلوگرم)]]*Main[[#This Row],[روز از ارسال سفارش]]</f>
        <v>0</v>
      </c>
      <c r="U652" s="6">
        <f>-SUBTOTAL(9,INDEX(Main[مقدار (کیلوگرم)],1):Main[[#This Row],[مقدار (کیلوگرم)]])</f>
        <v>36741</v>
      </c>
      <c r="V6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2" s="6">
        <f>Main[[#This Row],[تعداد کل روزهای بدهکار (روز)]]*Main[[#This Row],[مانده در خط کل (کیلوگرم)]]</f>
        <v>36741</v>
      </c>
      <c r="X652" s="6">
        <f ca="1">-SUBTOTAL(9,INDEX(Main[مقدار تسویه شده (کیلوگرم)],1):Main[[#This Row],[مقدار تسویه شده (کیلوگرم)]])</f>
        <v>36741</v>
      </c>
      <c r="Y652" s="6">
        <f ca="1">IF(Main[[#This Row],[مانده در خط تسویه شده (کیلوگرم)]]&lt;&gt;0,Main[[#This Row],[تعداد کل روزهای بدهکار (روز)]],0)</f>
        <v>1</v>
      </c>
      <c r="Z652" s="6">
        <f ca="1">Main[[#This Row],[تعداد روزهای بدهکار تسویه شده (روز)]]*Main[[#This Row],[مانده در خط تسویه شده (کیلوگرم)]]</f>
        <v>36741</v>
      </c>
      <c r="AA652" s="6">
        <f ca="1">SUBTOTAL(9,INDEX(Main[بدهی تسویه نشده (کیلوگرم)],1):Main[[#This Row],[بدهی تسویه نشده (کیلوگرم)]])</f>
        <v>0</v>
      </c>
      <c r="AB652" s="6">
        <f ca="1">IF(Main[[#This Row],[مانده در خط تسویه نشده (کیلوگرم)]]&lt;&gt;0,Main[[#This Row],[تعداد کل روزهای بدهکار (روز)]],0)</f>
        <v>0</v>
      </c>
      <c r="AC652" s="6">
        <f ca="1">Main[[#This Row],[تعداد روزهای بدهکار  تسویه نشده (روز)]]*Main[[#This Row],[مانده در خط تسویه نشده (کیلوگرم)]]</f>
        <v>0</v>
      </c>
      <c r="AD652" s="6">
        <f ca="1">SUBTOTAL(9,INDEX(Main[بدهی سررسید شده (کیلوگرم)],1):Main[[#This Row],[بدهی سررسید شده (کیلوگرم)]])</f>
        <v>0</v>
      </c>
      <c r="AE652" s="6">
        <f ca="1">IF(Main[[#This Row],[مانده در خط سررسید شده (کیلوگرم)]]&lt;&gt;0,Main[[#This Row],[تعداد کل روزهای بدهکار (روز)]],0)</f>
        <v>0</v>
      </c>
      <c r="AF652" s="6">
        <f ca="1">Main[[#This Row],[تعداد روزهای بدهکار سررسید شده (روز)]]*Main[[#This Row],[مانده در خط سررسید شده (کیلوگرم)]]</f>
        <v>0</v>
      </c>
    </row>
    <row r="653" spans="1:32" hidden="1" x14ac:dyDescent="0.35">
      <c r="A653" s="5">
        <f>ROW()-ROW(INDEX(Main[ردیف],1))+1</f>
        <v>651</v>
      </c>
      <c r="B653" s="31">
        <f>SUBTOTAL(2,INDEX(Main[ردیف],1):Main[[#This Row],[ردیف]])</f>
        <v>61</v>
      </c>
      <c r="C653" s="32" t="s">
        <v>574</v>
      </c>
      <c r="D653" s="32" t="str">
        <f>_xlfn.CONCAT("14",Main[[#This Row],[تاريخ]])</f>
        <v>1400/03/10</v>
      </c>
      <c r="E653" s="33">
        <v>44347</v>
      </c>
      <c r="F653" s="32">
        <v>30009</v>
      </c>
      <c r="G653" s="5" t="str">
        <f>INDEX(customer[عنوان],MATCH(Main[[#This Row],[کد ردیابی]],customer[کد],0))</f>
        <v>شرکت ایمن تک پیشرو</v>
      </c>
      <c r="H653">
        <v>1746</v>
      </c>
      <c r="I653" s="6">
        <f ca="1">-Main[[#This Row],[بدهی تسویه شده (کیلوگرم)]]+Main[[#This Row],[بستانکار (کیلوگرم)]]</f>
        <v>1746</v>
      </c>
      <c r="J653" s="6">
        <f>IF(Main[[#This Row],[مقدار (کیلوگرم)]]&gt;0,Main[[#This Row],[مقدار (کیلوگرم)]],0)</f>
        <v>1746</v>
      </c>
      <c r="K653" s="6">
        <f>-IF(Main[[#This Row],[مقدار (کیلوگرم)]]&lt;0,Main[[#This Row],[مقدار (کیلوگرم)]],0)</f>
        <v>0</v>
      </c>
      <c r="L6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3" s="7">
        <f>-IF(AND(Main[[#This Row],[مقدار (کیلوگرم)]]&lt;0,Main[[#This Row],[تاريخ میلادی]]&gt;44276),Main[[#This Row],[مقدار (کیلوگرم)]],0)</f>
        <v>0</v>
      </c>
      <c r="N653" s="6">
        <f ca="1">Main[[#This Row],[بدهکار (کیلوگرم)]]-Main[[#This Row],[بدهی تسویه نشده (کیلوگرم)]]</f>
        <v>0</v>
      </c>
      <c r="O653" s="6">
        <f ca="1">Main[[#This Row],[تفکیک]]</f>
        <v>0</v>
      </c>
      <c r="P653" s="6">
        <f ca="1">IF(Main[[#This Row],[تاخیر از سررسید]]&gt;0,Main[[#This Row],[بدهی تسویه نشده (کیلوگرم)]],0)</f>
        <v>0</v>
      </c>
      <c r="Q653" s="6">
        <f ca="1">IF(Main[[#This Row],[بدهی تسویه نشده (کیلوگرم)]]&gt;0,'گزارش فردی'!$B$7-Main[[#This Row],[تاريخ میلادی]],0)</f>
        <v>0</v>
      </c>
      <c r="R653" s="6">
        <f ca="1">IF(Main[[#This Row],[بدهی تسویه نشده (کیلوگرم)]]&gt;0,'گزارش فردی'!$B$7-Main[[#This Row],[تاريخ میلادی]]-'گزارش فردی'!$B$8,0)</f>
        <v>0</v>
      </c>
      <c r="S653" s="6">
        <f ca="1">Main[[#This Row],[روز از ارسال سفارش]]*Main[[#This Row],[بدهی تسویه نشده (کیلوگرم)]]</f>
        <v>0</v>
      </c>
      <c r="T653" s="6">
        <f ca="1">Main[[#This Row],[بدهی سررسید شده (کیلوگرم)]]*Main[[#This Row],[روز از ارسال سفارش]]</f>
        <v>0</v>
      </c>
      <c r="U653" s="6">
        <f>-SUBTOTAL(9,INDEX(Main[مقدار (کیلوگرم)],1):Main[[#This Row],[مقدار (کیلوگرم)]])</f>
        <v>36741</v>
      </c>
      <c r="V6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3" s="6">
        <f>Main[[#This Row],[تعداد کل روزهای بدهکار (روز)]]*Main[[#This Row],[مانده در خط کل (کیلوگرم)]]</f>
        <v>36741</v>
      </c>
      <c r="X653" s="6">
        <f ca="1">-SUBTOTAL(9,INDEX(Main[مقدار تسویه شده (کیلوگرم)],1):Main[[#This Row],[مقدار تسویه شده (کیلوگرم)]])</f>
        <v>36741</v>
      </c>
      <c r="Y653" s="6">
        <f ca="1">IF(Main[[#This Row],[مانده در خط تسویه شده (کیلوگرم)]]&lt;&gt;0,Main[[#This Row],[تعداد کل روزهای بدهکار (روز)]],0)</f>
        <v>1</v>
      </c>
      <c r="Z653" s="6">
        <f ca="1">Main[[#This Row],[تعداد روزهای بدهکار تسویه شده (روز)]]*Main[[#This Row],[مانده در خط تسویه شده (کیلوگرم)]]</f>
        <v>36741</v>
      </c>
      <c r="AA653" s="6">
        <f ca="1">SUBTOTAL(9,INDEX(Main[بدهی تسویه نشده (کیلوگرم)],1):Main[[#This Row],[بدهی تسویه نشده (کیلوگرم)]])</f>
        <v>0</v>
      </c>
      <c r="AB653" s="6">
        <f ca="1">IF(Main[[#This Row],[مانده در خط تسویه نشده (کیلوگرم)]]&lt;&gt;0,Main[[#This Row],[تعداد کل روزهای بدهکار (روز)]],0)</f>
        <v>0</v>
      </c>
      <c r="AC653" s="6">
        <f ca="1">Main[[#This Row],[تعداد روزهای بدهکار  تسویه نشده (روز)]]*Main[[#This Row],[مانده در خط تسویه نشده (کیلوگرم)]]</f>
        <v>0</v>
      </c>
      <c r="AD653" s="6">
        <f ca="1">SUBTOTAL(9,INDEX(Main[بدهی سررسید شده (کیلوگرم)],1):Main[[#This Row],[بدهی سررسید شده (کیلوگرم)]])</f>
        <v>0</v>
      </c>
      <c r="AE653" s="6">
        <f ca="1">IF(Main[[#This Row],[مانده در خط سررسید شده (کیلوگرم)]]&lt;&gt;0,Main[[#This Row],[تعداد کل روزهای بدهکار (روز)]],0)</f>
        <v>0</v>
      </c>
      <c r="AF653" s="6">
        <f ca="1">Main[[#This Row],[تعداد روزهای بدهکار سررسید شده (روز)]]*Main[[#This Row],[مانده در خط سررسید شده (کیلوگرم)]]</f>
        <v>0</v>
      </c>
    </row>
    <row r="654" spans="1:32" hidden="1" x14ac:dyDescent="0.35">
      <c r="A654" s="5">
        <f>ROW()-ROW(INDEX(Main[ردیف],1))+1</f>
        <v>652</v>
      </c>
      <c r="B654" s="31">
        <f>SUBTOTAL(2,INDEX(Main[ردیف],1):Main[[#This Row],[ردیف]])</f>
        <v>61</v>
      </c>
      <c r="C654" s="32" t="s">
        <v>574</v>
      </c>
      <c r="D654" s="32" t="str">
        <f>_xlfn.CONCAT("14",Main[[#This Row],[تاريخ]])</f>
        <v>1400/03/10</v>
      </c>
      <c r="E654" s="33">
        <v>44347</v>
      </c>
      <c r="F654" s="32">
        <v>30013</v>
      </c>
      <c r="G654" s="5" t="str">
        <f>INDEX(customer[عنوان],MATCH(Main[[#This Row],[کد ردیابی]],customer[کد],0))</f>
        <v xml:space="preserve">پارا صنعت </v>
      </c>
      <c r="H654">
        <v>206</v>
      </c>
      <c r="I654" s="6">
        <f ca="1">-Main[[#This Row],[بدهی تسویه شده (کیلوگرم)]]+Main[[#This Row],[بستانکار (کیلوگرم)]]</f>
        <v>206</v>
      </c>
      <c r="J654" s="6">
        <f>IF(Main[[#This Row],[مقدار (کیلوگرم)]]&gt;0,Main[[#This Row],[مقدار (کیلوگرم)]],0)</f>
        <v>206</v>
      </c>
      <c r="K654" s="6">
        <f>-IF(Main[[#This Row],[مقدار (کیلوگرم)]]&lt;0,Main[[#This Row],[مقدار (کیلوگرم)]],0)</f>
        <v>0</v>
      </c>
      <c r="L6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4" s="7">
        <f>-IF(AND(Main[[#This Row],[مقدار (کیلوگرم)]]&lt;0,Main[[#This Row],[تاريخ میلادی]]&gt;44276),Main[[#This Row],[مقدار (کیلوگرم)]],0)</f>
        <v>0</v>
      </c>
      <c r="N654" s="6">
        <f ca="1">Main[[#This Row],[بدهکار (کیلوگرم)]]-Main[[#This Row],[بدهی تسویه نشده (کیلوگرم)]]</f>
        <v>0</v>
      </c>
      <c r="O654" s="6">
        <f ca="1">Main[[#This Row],[تفکیک]]</f>
        <v>0</v>
      </c>
      <c r="P654" s="6">
        <f ca="1">IF(Main[[#This Row],[تاخیر از سررسید]]&gt;0,Main[[#This Row],[بدهی تسویه نشده (کیلوگرم)]],0)</f>
        <v>0</v>
      </c>
      <c r="Q654" s="6">
        <f ca="1">IF(Main[[#This Row],[بدهی تسویه نشده (کیلوگرم)]]&gt;0,'گزارش فردی'!$B$7-Main[[#This Row],[تاريخ میلادی]],0)</f>
        <v>0</v>
      </c>
      <c r="R654" s="6">
        <f ca="1">IF(Main[[#This Row],[بدهی تسویه نشده (کیلوگرم)]]&gt;0,'گزارش فردی'!$B$7-Main[[#This Row],[تاريخ میلادی]]-'گزارش فردی'!$B$8,0)</f>
        <v>0</v>
      </c>
      <c r="S654" s="6">
        <f ca="1">Main[[#This Row],[روز از ارسال سفارش]]*Main[[#This Row],[بدهی تسویه نشده (کیلوگرم)]]</f>
        <v>0</v>
      </c>
      <c r="T654" s="6">
        <f ca="1">Main[[#This Row],[بدهی سررسید شده (کیلوگرم)]]*Main[[#This Row],[روز از ارسال سفارش]]</f>
        <v>0</v>
      </c>
      <c r="U654" s="6">
        <f>-SUBTOTAL(9,INDEX(Main[مقدار (کیلوگرم)],1):Main[[#This Row],[مقدار (کیلوگرم)]])</f>
        <v>36741</v>
      </c>
      <c r="V6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4" s="6">
        <f>Main[[#This Row],[تعداد کل روزهای بدهکار (روز)]]*Main[[#This Row],[مانده در خط کل (کیلوگرم)]]</f>
        <v>36741</v>
      </c>
      <c r="X654" s="6">
        <f ca="1">-SUBTOTAL(9,INDEX(Main[مقدار تسویه شده (کیلوگرم)],1):Main[[#This Row],[مقدار تسویه شده (کیلوگرم)]])</f>
        <v>36741</v>
      </c>
      <c r="Y654" s="6">
        <f ca="1">IF(Main[[#This Row],[مانده در خط تسویه شده (کیلوگرم)]]&lt;&gt;0,Main[[#This Row],[تعداد کل روزهای بدهکار (روز)]],0)</f>
        <v>1</v>
      </c>
      <c r="Z654" s="6">
        <f ca="1">Main[[#This Row],[تعداد روزهای بدهکار تسویه شده (روز)]]*Main[[#This Row],[مانده در خط تسویه شده (کیلوگرم)]]</f>
        <v>36741</v>
      </c>
      <c r="AA654" s="6">
        <f ca="1">SUBTOTAL(9,INDEX(Main[بدهی تسویه نشده (کیلوگرم)],1):Main[[#This Row],[بدهی تسویه نشده (کیلوگرم)]])</f>
        <v>0</v>
      </c>
      <c r="AB654" s="6">
        <f ca="1">IF(Main[[#This Row],[مانده در خط تسویه نشده (کیلوگرم)]]&lt;&gt;0,Main[[#This Row],[تعداد کل روزهای بدهکار (روز)]],0)</f>
        <v>0</v>
      </c>
      <c r="AC654" s="6">
        <f ca="1">Main[[#This Row],[تعداد روزهای بدهکار  تسویه نشده (روز)]]*Main[[#This Row],[مانده در خط تسویه نشده (کیلوگرم)]]</f>
        <v>0</v>
      </c>
      <c r="AD654" s="6">
        <f ca="1">SUBTOTAL(9,INDEX(Main[بدهی سررسید شده (کیلوگرم)],1):Main[[#This Row],[بدهی سررسید شده (کیلوگرم)]])</f>
        <v>0</v>
      </c>
      <c r="AE654" s="6">
        <f ca="1">IF(Main[[#This Row],[مانده در خط سررسید شده (کیلوگرم)]]&lt;&gt;0,Main[[#This Row],[تعداد کل روزهای بدهکار (روز)]],0)</f>
        <v>0</v>
      </c>
      <c r="AF654" s="6">
        <f ca="1">Main[[#This Row],[تعداد روزهای بدهکار سررسید شده (روز)]]*Main[[#This Row],[مانده در خط سررسید شده (کیلوگرم)]]</f>
        <v>0</v>
      </c>
    </row>
    <row r="655" spans="1:32" hidden="1" x14ac:dyDescent="0.35">
      <c r="A655" s="5">
        <f>ROW()-ROW(INDEX(Main[ردیف],1))+1</f>
        <v>653</v>
      </c>
      <c r="B655" s="31">
        <f>SUBTOTAL(2,INDEX(Main[ردیف],1):Main[[#This Row],[ردیف]])</f>
        <v>61</v>
      </c>
      <c r="C655" s="32" t="s">
        <v>574</v>
      </c>
      <c r="D655" s="32" t="str">
        <f>_xlfn.CONCAT("14",Main[[#This Row],[تاريخ]])</f>
        <v>1400/03/10</v>
      </c>
      <c r="E655" s="33">
        <v>44347</v>
      </c>
      <c r="F655" s="32">
        <v>30013</v>
      </c>
      <c r="G655" s="5" t="str">
        <f>INDEX(customer[عنوان],MATCH(Main[[#This Row],[کد ردیابی]],customer[کد],0))</f>
        <v xml:space="preserve">پارا صنعت </v>
      </c>
      <c r="H655">
        <v>700</v>
      </c>
      <c r="I655" s="6">
        <f ca="1">-Main[[#This Row],[بدهی تسویه شده (کیلوگرم)]]+Main[[#This Row],[بستانکار (کیلوگرم)]]</f>
        <v>700</v>
      </c>
      <c r="J655" s="6">
        <f>IF(Main[[#This Row],[مقدار (کیلوگرم)]]&gt;0,Main[[#This Row],[مقدار (کیلوگرم)]],0)</f>
        <v>700</v>
      </c>
      <c r="K655" s="6">
        <f>-IF(Main[[#This Row],[مقدار (کیلوگرم)]]&lt;0,Main[[#This Row],[مقدار (کیلوگرم)]],0)</f>
        <v>0</v>
      </c>
      <c r="L6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5" s="7">
        <f>-IF(AND(Main[[#This Row],[مقدار (کیلوگرم)]]&lt;0,Main[[#This Row],[تاريخ میلادی]]&gt;44276),Main[[#This Row],[مقدار (کیلوگرم)]],0)</f>
        <v>0</v>
      </c>
      <c r="N655" s="6">
        <f ca="1">Main[[#This Row],[بدهکار (کیلوگرم)]]-Main[[#This Row],[بدهی تسویه نشده (کیلوگرم)]]</f>
        <v>0</v>
      </c>
      <c r="O655" s="6">
        <f ca="1">Main[[#This Row],[تفکیک]]</f>
        <v>0</v>
      </c>
      <c r="P655" s="6">
        <f ca="1">IF(Main[[#This Row],[تاخیر از سررسید]]&gt;0,Main[[#This Row],[بدهی تسویه نشده (کیلوگرم)]],0)</f>
        <v>0</v>
      </c>
      <c r="Q655" s="6">
        <f ca="1">IF(Main[[#This Row],[بدهی تسویه نشده (کیلوگرم)]]&gt;0,'گزارش فردی'!$B$7-Main[[#This Row],[تاريخ میلادی]],0)</f>
        <v>0</v>
      </c>
      <c r="R655" s="6">
        <f ca="1">IF(Main[[#This Row],[بدهی تسویه نشده (کیلوگرم)]]&gt;0,'گزارش فردی'!$B$7-Main[[#This Row],[تاريخ میلادی]]-'گزارش فردی'!$B$8,0)</f>
        <v>0</v>
      </c>
      <c r="S655" s="6">
        <f ca="1">Main[[#This Row],[روز از ارسال سفارش]]*Main[[#This Row],[بدهی تسویه نشده (کیلوگرم)]]</f>
        <v>0</v>
      </c>
      <c r="T655" s="6">
        <f ca="1">Main[[#This Row],[بدهی سررسید شده (کیلوگرم)]]*Main[[#This Row],[روز از ارسال سفارش]]</f>
        <v>0</v>
      </c>
      <c r="U655" s="6">
        <f>-SUBTOTAL(9,INDEX(Main[مقدار (کیلوگرم)],1):Main[[#This Row],[مقدار (کیلوگرم)]])</f>
        <v>36741</v>
      </c>
      <c r="V6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5" s="6">
        <f>Main[[#This Row],[تعداد کل روزهای بدهکار (روز)]]*Main[[#This Row],[مانده در خط کل (کیلوگرم)]]</f>
        <v>36741</v>
      </c>
      <c r="X655" s="6">
        <f ca="1">-SUBTOTAL(9,INDEX(Main[مقدار تسویه شده (کیلوگرم)],1):Main[[#This Row],[مقدار تسویه شده (کیلوگرم)]])</f>
        <v>36741</v>
      </c>
      <c r="Y655" s="6">
        <f ca="1">IF(Main[[#This Row],[مانده در خط تسویه شده (کیلوگرم)]]&lt;&gt;0,Main[[#This Row],[تعداد کل روزهای بدهکار (روز)]],0)</f>
        <v>1</v>
      </c>
      <c r="Z655" s="6">
        <f ca="1">Main[[#This Row],[تعداد روزهای بدهکار تسویه شده (روز)]]*Main[[#This Row],[مانده در خط تسویه شده (کیلوگرم)]]</f>
        <v>36741</v>
      </c>
      <c r="AA655" s="6">
        <f ca="1">SUBTOTAL(9,INDEX(Main[بدهی تسویه نشده (کیلوگرم)],1):Main[[#This Row],[بدهی تسویه نشده (کیلوگرم)]])</f>
        <v>0</v>
      </c>
      <c r="AB655" s="6">
        <f ca="1">IF(Main[[#This Row],[مانده در خط تسویه نشده (کیلوگرم)]]&lt;&gt;0,Main[[#This Row],[تعداد کل روزهای بدهکار (روز)]],0)</f>
        <v>0</v>
      </c>
      <c r="AC655" s="6">
        <f ca="1">Main[[#This Row],[تعداد روزهای بدهکار  تسویه نشده (روز)]]*Main[[#This Row],[مانده در خط تسویه نشده (کیلوگرم)]]</f>
        <v>0</v>
      </c>
      <c r="AD655" s="6">
        <f ca="1">SUBTOTAL(9,INDEX(Main[بدهی سررسید شده (کیلوگرم)],1):Main[[#This Row],[بدهی سررسید شده (کیلوگرم)]])</f>
        <v>0</v>
      </c>
      <c r="AE655" s="6">
        <f ca="1">IF(Main[[#This Row],[مانده در خط سررسید شده (کیلوگرم)]]&lt;&gt;0,Main[[#This Row],[تعداد کل روزهای بدهکار (روز)]],0)</f>
        <v>0</v>
      </c>
      <c r="AF655" s="6">
        <f ca="1">Main[[#This Row],[تعداد روزهای بدهکار سررسید شده (روز)]]*Main[[#This Row],[مانده در خط سررسید شده (کیلوگرم)]]</f>
        <v>0</v>
      </c>
    </row>
    <row r="656" spans="1:32" hidden="1" x14ac:dyDescent="0.35">
      <c r="A656" s="5">
        <f>ROW()-ROW(INDEX(Main[ردیف],1))+1</f>
        <v>654</v>
      </c>
      <c r="B656" s="31">
        <f>SUBTOTAL(2,INDEX(Main[ردیف],1):Main[[#This Row],[ردیف]])</f>
        <v>61</v>
      </c>
      <c r="C656" s="32" t="s">
        <v>576</v>
      </c>
      <c r="D656" s="32" t="str">
        <f>_xlfn.CONCAT("14",Main[[#This Row],[تاريخ]])</f>
        <v>1400/03/11</v>
      </c>
      <c r="E656" s="33">
        <v>44348</v>
      </c>
      <c r="F656" s="32">
        <v>30081</v>
      </c>
      <c r="G656" s="5" t="str">
        <f>INDEX(customer[عنوان],MATCH(Main[[#This Row],[کد ردیابی]],customer[کد],0))</f>
        <v xml:space="preserve">شیرآلات بهداشتی راسان </v>
      </c>
      <c r="H656">
        <v>-4032</v>
      </c>
      <c r="I656" s="6">
        <f ca="1">-Main[[#This Row],[بدهی تسویه شده (کیلوگرم)]]+Main[[#This Row],[بستانکار (کیلوگرم)]]</f>
        <v>-4032</v>
      </c>
      <c r="J656" s="6">
        <f>IF(Main[[#This Row],[مقدار (کیلوگرم)]]&gt;0,Main[[#This Row],[مقدار (کیلوگرم)]],0)</f>
        <v>0</v>
      </c>
      <c r="K656" s="6">
        <f>-IF(Main[[#This Row],[مقدار (کیلوگرم)]]&lt;0,Main[[#This Row],[مقدار (کیلوگرم)]],0)</f>
        <v>4032</v>
      </c>
      <c r="L6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6" s="7">
        <f>-IF(AND(Main[[#This Row],[مقدار (کیلوگرم)]]&lt;0,Main[[#This Row],[تاريخ میلادی]]&gt;44276),Main[[#This Row],[مقدار (کیلوگرم)]],0)</f>
        <v>4032</v>
      </c>
      <c r="N656" s="6">
        <f ca="1">Main[[#This Row],[بدهکار (کیلوگرم)]]-Main[[#This Row],[بدهی تسویه نشده (کیلوگرم)]]</f>
        <v>4032</v>
      </c>
      <c r="O656" s="6">
        <f ca="1">Main[[#This Row],[تفکیک]]</f>
        <v>0</v>
      </c>
      <c r="P656" s="6">
        <f ca="1">IF(Main[[#This Row],[تاخیر از سررسید]]&gt;0,Main[[#This Row],[بدهی تسویه نشده (کیلوگرم)]],0)</f>
        <v>0</v>
      </c>
      <c r="Q656" s="6">
        <f ca="1">IF(Main[[#This Row],[بدهی تسویه نشده (کیلوگرم)]]&gt;0,'گزارش فردی'!$B$7-Main[[#This Row],[تاريخ میلادی]],0)</f>
        <v>0</v>
      </c>
      <c r="R656" s="6">
        <f ca="1">IF(Main[[#This Row],[بدهی تسویه نشده (کیلوگرم)]]&gt;0,'گزارش فردی'!$B$7-Main[[#This Row],[تاريخ میلادی]]-'گزارش فردی'!$B$8,0)</f>
        <v>0</v>
      </c>
      <c r="S656" s="6">
        <f ca="1">Main[[#This Row],[روز از ارسال سفارش]]*Main[[#This Row],[بدهی تسویه نشده (کیلوگرم)]]</f>
        <v>0</v>
      </c>
      <c r="T656" s="6">
        <f ca="1">Main[[#This Row],[بدهی سررسید شده (کیلوگرم)]]*Main[[#This Row],[روز از ارسال سفارش]]</f>
        <v>0</v>
      </c>
      <c r="U656" s="6">
        <f>-SUBTOTAL(9,INDEX(Main[مقدار (کیلوگرم)],1):Main[[#This Row],[مقدار (کیلوگرم)]])</f>
        <v>36741</v>
      </c>
      <c r="V6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6" s="6">
        <f>Main[[#This Row],[تعداد کل روزهای بدهکار (روز)]]*Main[[#This Row],[مانده در خط کل (کیلوگرم)]]</f>
        <v>0</v>
      </c>
      <c r="X656" s="6">
        <f ca="1">-SUBTOTAL(9,INDEX(Main[مقدار تسویه شده (کیلوگرم)],1):Main[[#This Row],[مقدار تسویه شده (کیلوگرم)]])</f>
        <v>36741</v>
      </c>
      <c r="Y656" s="6">
        <f ca="1">IF(Main[[#This Row],[مانده در خط تسویه شده (کیلوگرم)]]&lt;&gt;0,Main[[#This Row],[تعداد کل روزهای بدهکار (روز)]],0)</f>
        <v>0</v>
      </c>
      <c r="Z656" s="6">
        <f ca="1">Main[[#This Row],[تعداد روزهای بدهکار تسویه شده (روز)]]*Main[[#This Row],[مانده در خط تسویه شده (کیلوگرم)]]</f>
        <v>0</v>
      </c>
      <c r="AA656" s="6">
        <f ca="1">SUBTOTAL(9,INDEX(Main[بدهی تسویه نشده (کیلوگرم)],1):Main[[#This Row],[بدهی تسویه نشده (کیلوگرم)]])</f>
        <v>0</v>
      </c>
      <c r="AB656" s="6">
        <f ca="1">IF(Main[[#This Row],[مانده در خط تسویه نشده (کیلوگرم)]]&lt;&gt;0,Main[[#This Row],[تعداد کل روزهای بدهکار (روز)]],0)</f>
        <v>0</v>
      </c>
      <c r="AC656" s="6">
        <f ca="1">Main[[#This Row],[تعداد روزهای بدهکار  تسویه نشده (روز)]]*Main[[#This Row],[مانده در خط تسویه نشده (کیلوگرم)]]</f>
        <v>0</v>
      </c>
      <c r="AD656" s="6">
        <f ca="1">SUBTOTAL(9,INDEX(Main[بدهی سررسید شده (کیلوگرم)],1):Main[[#This Row],[بدهی سررسید شده (کیلوگرم)]])</f>
        <v>0</v>
      </c>
      <c r="AE656" s="6">
        <f ca="1">IF(Main[[#This Row],[مانده در خط سررسید شده (کیلوگرم)]]&lt;&gt;0,Main[[#This Row],[تعداد کل روزهای بدهکار (روز)]],0)</f>
        <v>0</v>
      </c>
      <c r="AF656" s="6">
        <f ca="1">Main[[#This Row],[تعداد روزهای بدهکار سررسید شده (روز)]]*Main[[#This Row],[مانده در خط سررسید شده (کیلوگرم)]]</f>
        <v>0</v>
      </c>
    </row>
    <row r="657" spans="1:32" x14ac:dyDescent="0.35">
      <c r="A657" s="5">
        <f>ROW()-ROW(INDEX(Main[ردیف],1))+1</f>
        <v>655</v>
      </c>
      <c r="B657" s="31">
        <f>SUBTOTAL(2,INDEX(Main[ردیف],1):Main[[#This Row],[ردیف]])</f>
        <v>62</v>
      </c>
      <c r="C657" s="32" t="s">
        <v>576</v>
      </c>
      <c r="D657" s="32" t="str">
        <f>_xlfn.CONCAT("14",Main[[#This Row],[تاريخ]])</f>
        <v>1400/03/11</v>
      </c>
      <c r="E657" s="33">
        <v>44348</v>
      </c>
      <c r="F657" s="32">
        <v>10003</v>
      </c>
      <c r="G657" s="5" t="str">
        <f>INDEX(customer[عنوان],MATCH(Main[[#This Row],[کد ردیابی]],customer[کد],0))</f>
        <v>اصغر نورعلی</v>
      </c>
      <c r="H657">
        <v>2980</v>
      </c>
      <c r="I657" s="6">
        <f ca="1">-Main[[#This Row],[بدهی تسویه شده (کیلوگرم)]]+Main[[#This Row],[بستانکار (کیلوگرم)]]</f>
        <v>2980</v>
      </c>
      <c r="J657" s="6">
        <f>IF(Main[[#This Row],[مقدار (کیلوگرم)]]&gt;0,Main[[#This Row],[مقدار (کیلوگرم)]],0)</f>
        <v>2980</v>
      </c>
      <c r="K657" s="6">
        <f>-IF(Main[[#This Row],[مقدار (کیلوگرم)]]&lt;0,Main[[#This Row],[مقدار (کیلوگرم)]],0)</f>
        <v>0</v>
      </c>
      <c r="L6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7" s="7">
        <f>-IF(AND(Main[[#This Row],[مقدار (کیلوگرم)]]&lt;0,Main[[#This Row],[تاريخ میلادی]]&gt;44276),Main[[#This Row],[مقدار (کیلوگرم)]],0)</f>
        <v>0</v>
      </c>
      <c r="N657" s="6">
        <f ca="1">Main[[#This Row],[بدهکار (کیلوگرم)]]-Main[[#This Row],[بدهی تسویه نشده (کیلوگرم)]]</f>
        <v>0</v>
      </c>
      <c r="O657" s="6">
        <f ca="1">Main[[#This Row],[تفکیک]]</f>
        <v>0</v>
      </c>
      <c r="P657" s="6">
        <f ca="1">IF(Main[[#This Row],[تاخیر از سررسید]]&gt;0,Main[[#This Row],[بدهی تسویه نشده (کیلوگرم)]],0)</f>
        <v>0</v>
      </c>
      <c r="Q657" s="6">
        <f ca="1">IF(Main[[#This Row],[بدهی تسویه نشده (کیلوگرم)]]&gt;0,'گزارش فردی'!$B$7-Main[[#This Row],[تاريخ میلادی]],0)</f>
        <v>0</v>
      </c>
      <c r="R657" s="6">
        <f ca="1">IF(Main[[#This Row],[بدهی تسویه نشده (کیلوگرم)]]&gt;0,'گزارش فردی'!$B$7-Main[[#This Row],[تاريخ میلادی]]-'گزارش فردی'!$B$8,0)</f>
        <v>0</v>
      </c>
      <c r="S657" s="6">
        <f ca="1">Main[[#This Row],[روز از ارسال سفارش]]*Main[[#This Row],[بدهی تسویه نشده (کیلوگرم)]]</f>
        <v>0</v>
      </c>
      <c r="T657" s="6">
        <f ca="1">Main[[#This Row],[بدهی سررسید شده (کیلوگرم)]]*Main[[#This Row],[روز از ارسال سفارش]]</f>
        <v>0</v>
      </c>
      <c r="U657" s="6">
        <f>-SUBTOTAL(9,INDEX(Main[مقدار (کیلوگرم)],1):Main[[#This Row],[مقدار (کیلوگرم)]])</f>
        <v>33761</v>
      </c>
      <c r="V6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7" s="6">
        <f>Main[[#This Row],[تعداد کل روزهای بدهکار (روز)]]*Main[[#This Row],[مانده در خط کل (کیلوگرم)]]</f>
        <v>0</v>
      </c>
      <c r="X657" s="6">
        <f ca="1">-SUBTOTAL(9,INDEX(Main[مقدار تسویه شده (کیلوگرم)],1):Main[[#This Row],[مقدار تسویه شده (کیلوگرم)]])</f>
        <v>33761</v>
      </c>
      <c r="Y657" s="6">
        <f ca="1">IF(Main[[#This Row],[مانده در خط تسویه شده (کیلوگرم)]]&lt;&gt;0,Main[[#This Row],[تعداد کل روزهای بدهکار (روز)]],0)</f>
        <v>0</v>
      </c>
      <c r="Z657" s="6">
        <f ca="1">Main[[#This Row],[تعداد روزهای بدهکار تسویه شده (روز)]]*Main[[#This Row],[مانده در خط تسویه شده (کیلوگرم)]]</f>
        <v>0</v>
      </c>
      <c r="AA657" s="6">
        <f ca="1">SUBTOTAL(9,INDEX(Main[بدهی تسویه نشده (کیلوگرم)],1):Main[[#This Row],[بدهی تسویه نشده (کیلوگرم)]])</f>
        <v>0</v>
      </c>
      <c r="AB657" s="6">
        <f ca="1">IF(Main[[#This Row],[مانده در خط تسویه نشده (کیلوگرم)]]&lt;&gt;0,Main[[#This Row],[تعداد کل روزهای بدهکار (روز)]],0)</f>
        <v>0</v>
      </c>
      <c r="AC657" s="6">
        <f ca="1">Main[[#This Row],[تعداد روزهای بدهکار  تسویه نشده (روز)]]*Main[[#This Row],[مانده در خط تسویه نشده (کیلوگرم)]]</f>
        <v>0</v>
      </c>
      <c r="AD657" s="6">
        <f ca="1">SUBTOTAL(9,INDEX(Main[بدهی سررسید شده (کیلوگرم)],1):Main[[#This Row],[بدهی سررسید شده (کیلوگرم)]])</f>
        <v>0</v>
      </c>
      <c r="AE657" s="6">
        <f ca="1">IF(Main[[#This Row],[مانده در خط سررسید شده (کیلوگرم)]]&lt;&gt;0,Main[[#This Row],[تعداد کل روزهای بدهکار (روز)]],0)</f>
        <v>0</v>
      </c>
      <c r="AF657" s="6">
        <f ca="1">Main[[#This Row],[تعداد روزهای بدهکار سررسید شده (روز)]]*Main[[#This Row],[مانده در خط سررسید شده (کیلوگرم)]]</f>
        <v>0</v>
      </c>
    </row>
    <row r="658" spans="1:32" hidden="1" x14ac:dyDescent="0.35">
      <c r="A658" s="5">
        <f>ROW()-ROW(INDEX(Main[ردیف],1))+1</f>
        <v>656</v>
      </c>
      <c r="B658" s="31">
        <f>SUBTOTAL(2,INDEX(Main[ردیف],1):Main[[#This Row],[ردیف]])</f>
        <v>62</v>
      </c>
      <c r="C658" s="32" t="s">
        <v>576</v>
      </c>
      <c r="D658" s="32" t="str">
        <f>_xlfn.CONCAT("14",Main[[#This Row],[تاريخ]])</f>
        <v>1400/03/11</v>
      </c>
      <c r="E658" s="33">
        <v>44348</v>
      </c>
      <c r="F658" s="32">
        <v>30066</v>
      </c>
      <c r="G658" s="5" t="str">
        <f>INDEX(customer[عنوان],MATCH(Main[[#This Row],[کد ردیابی]],customer[کد],0))</f>
        <v xml:space="preserve">شیر آلات بهداشتی قهرمان </v>
      </c>
      <c r="H658">
        <v>-5727</v>
      </c>
      <c r="I658" s="6">
        <f ca="1">-Main[[#This Row],[بدهی تسویه شده (کیلوگرم)]]+Main[[#This Row],[بستانکار (کیلوگرم)]]</f>
        <v>-5727</v>
      </c>
      <c r="J658" s="6">
        <f>IF(Main[[#This Row],[مقدار (کیلوگرم)]]&gt;0,Main[[#This Row],[مقدار (کیلوگرم)]],0)</f>
        <v>0</v>
      </c>
      <c r="K658" s="6">
        <f>-IF(Main[[#This Row],[مقدار (کیلوگرم)]]&lt;0,Main[[#This Row],[مقدار (کیلوگرم)]],0)</f>
        <v>5727</v>
      </c>
      <c r="L6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8" s="7">
        <f>-IF(AND(Main[[#This Row],[مقدار (کیلوگرم)]]&lt;0,Main[[#This Row],[تاريخ میلادی]]&gt;44276),Main[[#This Row],[مقدار (کیلوگرم)]],0)</f>
        <v>5727</v>
      </c>
      <c r="N658" s="6">
        <f ca="1">Main[[#This Row],[بدهکار (کیلوگرم)]]-Main[[#This Row],[بدهی تسویه نشده (کیلوگرم)]]</f>
        <v>5727</v>
      </c>
      <c r="O658" s="6">
        <f ca="1">Main[[#This Row],[تفکیک]]</f>
        <v>0</v>
      </c>
      <c r="P658" s="6">
        <f ca="1">IF(Main[[#This Row],[تاخیر از سررسید]]&gt;0,Main[[#This Row],[بدهی تسویه نشده (کیلوگرم)]],0)</f>
        <v>0</v>
      </c>
      <c r="Q658" s="6">
        <f ca="1">IF(Main[[#This Row],[بدهی تسویه نشده (کیلوگرم)]]&gt;0,'گزارش فردی'!$B$7-Main[[#This Row],[تاريخ میلادی]],0)</f>
        <v>0</v>
      </c>
      <c r="R658" s="6">
        <f ca="1">IF(Main[[#This Row],[بدهی تسویه نشده (کیلوگرم)]]&gt;0,'گزارش فردی'!$B$7-Main[[#This Row],[تاريخ میلادی]]-'گزارش فردی'!$B$8,0)</f>
        <v>0</v>
      </c>
      <c r="S658" s="6">
        <f ca="1">Main[[#This Row],[روز از ارسال سفارش]]*Main[[#This Row],[بدهی تسویه نشده (کیلوگرم)]]</f>
        <v>0</v>
      </c>
      <c r="T658" s="6">
        <f ca="1">Main[[#This Row],[بدهی سررسید شده (کیلوگرم)]]*Main[[#This Row],[روز از ارسال سفارش]]</f>
        <v>0</v>
      </c>
      <c r="U658" s="6">
        <f>-SUBTOTAL(9,INDEX(Main[مقدار (کیلوگرم)],1):Main[[#This Row],[مقدار (کیلوگرم)]])</f>
        <v>33761</v>
      </c>
      <c r="V6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8" s="6">
        <f>Main[[#This Row],[تعداد کل روزهای بدهکار (روز)]]*Main[[#This Row],[مانده در خط کل (کیلوگرم)]]</f>
        <v>0</v>
      </c>
      <c r="X658" s="6">
        <f ca="1">-SUBTOTAL(9,INDEX(Main[مقدار تسویه شده (کیلوگرم)],1):Main[[#This Row],[مقدار تسویه شده (کیلوگرم)]])</f>
        <v>33761</v>
      </c>
      <c r="Y658" s="6">
        <f ca="1">IF(Main[[#This Row],[مانده در خط تسویه شده (کیلوگرم)]]&lt;&gt;0,Main[[#This Row],[تعداد کل روزهای بدهکار (روز)]],0)</f>
        <v>0</v>
      </c>
      <c r="Z658" s="6">
        <f ca="1">Main[[#This Row],[تعداد روزهای بدهکار تسویه شده (روز)]]*Main[[#This Row],[مانده در خط تسویه شده (کیلوگرم)]]</f>
        <v>0</v>
      </c>
      <c r="AA658" s="6">
        <f ca="1">SUBTOTAL(9,INDEX(Main[بدهی تسویه نشده (کیلوگرم)],1):Main[[#This Row],[بدهی تسویه نشده (کیلوگرم)]])</f>
        <v>0</v>
      </c>
      <c r="AB658" s="6">
        <f ca="1">IF(Main[[#This Row],[مانده در خط تسویه نشده (کیلوگرم)]]&lt;&gt;0,Main[[#This Row],[تعداد کل روزهای بدهکار (روز)]],0)</f>
        <v>0</v>
      </c>
      <c r="AC658" s="6">
        <f ca="1">Main[[#This Row],[تعداد روزهای بدهکار  تسویه نشده (روز)]]*Main[[#This Row],[مانده در خط تسویه نشده (کیلوگرم)]]</f>
        <v>0</v>
      </c>
      <c r="AD658" s="6">
        <f ca="1">SUBTOTAL(9,INDEX(Main[بدهی سررسید شده (کیلوگرم)],1):Main[[#This Row],[بدهی سررسید شده (کیلوگرم)]])</f>
        <v>0</v>
      </c>
      <c r="AE658" s="6">
        <f ca="1">IF(Main[[#This Row],[مانده در خط سررسید شده (کیلوگرم)]]&lt;&gt;0,Main[[#This Row],[تعداد کل روزهای بدهکار (روز)]],0)</f>
        <v>0</v>
      </c>
      <c r="AF658" s="6">
        <f ca="1">Main[[#This Row],[تعداد روزهای بدهکار سررسید شده (روز)]]*Main[[#This Row],[مانده در خط سررسید شده (کیلوگرم)]]</f>
        <v>0</v>
      </c>
    </row>
    <row r="659" spans="1:32" hidden="1" x14ac:dyDescent="0.35">
      <c r="A659" s="5">
        <f>ROW()-ROW(INDEX(Main[ردیف],1))+1</f>
        <v>657</v>
      </c>
      <c r="B659" s="31">
        <f>SUBTOTAL(2,INDEX(Main[ردیف],1):Main[[#This Row],[ردیف]])</f>
        <v>62</v>
      </c>
      <c r="C659" s="32" t="s">
        <v>576</v>
      </c>
      <c r="D659" s="32" t="str">
        <f>_xlfn.CONCAT("14",Main[[#This Row],[تاريخ]])</f>
        <v>1400/03/11</v>
      </c>
      <c r="E659" s="33">
        <v>44348</v>
      </c>
      <c r="F659" s="32">
        <v>10055</v>
      </c>
      <c r="G659" s="5" t="str">
        <f>INDEX(customer[عنوان],MATCH(Main[[#This Row],[کد ردیابی]],customer[کد],0))</f>
        <v xml:space="preserve">مریم فیض آبادی  </v>
      </c>
      <c r="H659">
        <v>5728</v>
      </c>
      <c r="I659" s="6">
        <f ca="1">-Main[[#This Row],[بدهی تسویه شده (کیلوگرم)]]+Main[[#This Row],[بستانکار (کیلوگرم)]]</f>
        <v>5728</v>
      </c>
      <c r="J659" s="6">
        <f>IF(Main[[#This Row],[مقدار (کیلوگرم)]]&gt;0,Main[[#This Row],[مقدار (کیلوگرم)]],0)</f>
        <v>5728</v>
      </c>
      <c r="K659" s="6">
        <f>-IF(Main[[#This Row],[مقدار (کیلوگرم)]]&lt;0,Main[[#This Row],[مقدار (کیلوگرم)]],0)</f>
        <v>0</v>
      </c>
      <c r="L6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9" s="7">
        <f>-IF(AND(Main[[#This Row],[مقدار (کیلوگرم)]]&lt;0,Main[[#This Row],[تاريخ میلادی]]&gt;44276),Main[[#This Row],[مقدار (کیلوگرم)]],0)</f>
        <v>0</v>
      </c>
      <c r="N659" s="6">
        <f ca="1">Main[[#This Row],[بدهکار (کیلوگرم)]]-Main[[#This Row],[بدهی تسویه نشده (کیلوگرم)]]</f>
        <v>0</v>
      </c>
      <c r="O659" s="6">
        <f ca="1">Main[[#This Row],[تفکیک]]</f>
        <v>0</v>
      </c>
      <c r="P659" s="6">
        <f ca="1">IF(Main[[#This Row],[تاخیر از سررسید]]&gt;0,Main[[#This Row],[بدهی تسویه نشده (کیلوگرم)]],0)</f>
        <v>0</v>
      </c>
      <c r="Q659" s="6">
        <f ca="1">IF(Main[[#This Row],[بدهی تسویه نشده (کیلوگرم)]]&gt;0,'گزارش فردی'!$B$7-Main[[#This Row],[تاريخ میلادی]],0)</f>
        <v>0</v>
      </c>
      <c r="R659" s="6">
        <f ca="1">IF(Main[[#This Row],[بدهی تسویه نشده (کیلوگرم)]]&gt;0,'گزارش فردی'!$B$7-Main[[#This Row],[تاريخ میلادی]]-'گزارش فردی'!$B$8,0)</f>
        <v>0</v>
      </c>
      <c r="S659" s="6">
        <f ca="1">Main[[#This Row],[روز از ارسال سفارش]]*Main[[#This Row],[بدهی تسویه نشده (کیلوگرم)]]</f>
        <v>0</v>
      </c>
      <c r="T659" s="6">
        <f ca="1">Main[[#This Row],[بدهی سررسید شده (کیلوگرم)]]*Main[[#This Row],[روز از ارسال سفارش]]</f>
        <v>0</v>
      </c>
      <c r="U659" s="6">
        <f>-SUBTOTAL(9,INDEX(Main[مقدار (کیلوگرم)],1):Main[[#This Row],[مقدار (کیلوگرم)]])</f>
        <v>33761</v>
      </c>
      <c r="V6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9" s="6">
        <f>Main[[#This Row],[تعداد کل روزهای بدهکار (روز)]]*Main[[#This Row],[مانده در خط کل (کیلوگرم)]]</f>
        <v>0</v>
      </c>
      <c r="X659" s="6">
        <f ca="1">-SUBTOTAL(9,INDEX(Main[مقدار تسویه شده (کیلوگرم)],1):Main[[#This Row],[مقدار تسویه شده (کیلوگرم)]])</f>
        <v>33761</v>
      </c>
      <c r="Y659" s="6">
        <f ca="1">IF(Main[[#This Row],[مانده در خط تسویه شده (کیلوگرم)]]&lt;&gt;0,Main[[#This Row],[تعداد کل روزهای بدهکار (روز)]],0)</f>
        <v>0</v>
      </c>
      <c r="Z659" s="6">
        <f ca="1">Main[[#This Row],[تعداد روزهای بدهکار تسویه شده (روز)]]*Main[[#This Row],[مانده در خط تسویه شده (کیلوگرم)]]</f>
        <v>0</v>
      </c>
      <c r="AA659" s="6">
        <f ca="1">SUBTOTAL(9,INDEX(Main[بدهی تسویه نشده (کیلوگرم)],1):Main[[#This Row],[بدهی تسویه نشده (کیلوگرم)]])</f>
        <v>0</v>
      </c>
      <c r="AB659" s="6">
        <f ca="1">IF(Main[[#This Row],[مانده در خط تسویه نشده (کیلوگرم)]]&lt;&gt;0,Main[[#This Row],[تعداد کل روزهای بدهکار (روز)]],0)</f>
        <v>0</v>
      </c>
      <c r="AC659" s="6">
        <f ca="1">Main[[#This Row],[تعداد روزهای بدهکار  تسویه نشده (روز)]]*Main[[#This Row],[مانده در خط تسویه نشده (کیلوگرم)]]</f>
        <v>0</v>
      </c>
      <c r="AD659" s="6">
        <f ca="1">SUBTOTAL(9,INDEX(Main[بدهی سررسید شده (کیلوگرم)],1):Main[[#This Row],[بدهی سررسید شده (کیلوگرم)]])</f>
        <v>0</v>
      </c>
      <c r="AE659" s="6">
        <f ca="1">IF(Main[[#This Row],[مانده در خط سررسید شده (کیلوگرم)]]&lt;&gt;0,Main[[#This Row],[تعداد کل روزهای بدهکار (روز)]],0)</f>
        <v>0</v>
      </c>
      <c r="AF659" s="6">
        <f ca="1">Main[[#This Row],[تعداد روزهای بدهکار سررسید شده (روز)]]*Main[[#This Row],[مانده در خط سررسید شده (کیلوگرم)]]</f>
        <v>0</v>
      </c>
    </row>
    <row r="660" spans="1:32" hidden="1" x14ac:dyDescent="0.35">
      <c r="A660" s="5">
        <f>ROW()-ROW(INDEX(Main[ردیف],1))+1</f>
        <v>658</v>
      </c>
      <c r="B660" s="31">
        <f>SUBTOTAL(2,INDEX(Main[ردیف],1):Main[[#This Row],[ردیف]])</f>
        <v>62</v>
      </c>
      <c r="C660" s="32" t="s">
        <v>576</v>
      </c>
      <c r="D660" s="32" t="str">
        <f>_xlfn.CONCAT("14",Main[[#This Row],[تاريخ]])</f>
        <v>1400/03/11</v>
      </c>
      <c r="E660" s="33">
        <v>44348</v>
      </c>
      <c r="F660" s="32">
        <v>10119</v>
      </c>
      <c r="G660" s="5" t="str">
        <f>INDEX(customer[عنوان],MATCH(Main[[#This Row],[کد ردیابی]],customer[کد],0))</f>
        <v>سیف الله اکبری</v>
      </c>
      <c r="H660">
        <v>-344</v>
      </c>
      <c r="I660" s="6">
        <f ca="1">-Main[[#This Row],[بدهی تسویه شده (کیلوگرم)]]+Main[[#This Row],[بستانکار (کیلوگرم)]]</f>
        <v>-344</v>
      </c>
      <c r="J660" s="6">
        <f>IF(Main[[#This Row],[مقدار (کیلوگرم)]]&gt;0,Main[[#This Row],[مقدار (کیلوگرم)]],0)</f>
        <v>0</v>
      </c>
      <c r="K660" s="6">
        <f>-IF(Main[[#This Row],[مقدار (کیلوگرم)]]&lt;0,Main[[#This Row],[مقدار (کیلوگرم)]],0)</f>
        <v>344</v>
      </c>
      <c r="L6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0" s="7">
        <f>-IF(AND(Main[[#This Row],[مقدار (کیلوگرم)]]&lt;0,Main[[#This Row],[تاريخ میلادی]]&gt;44276),Main[[#This Row],[مقدار (کیلوگرم)]],0)</f>
        <v>344</v>
      </c>
      <c r="N660" s="6">
        <f ca="1">Main[[#This Row],[بدهکار (کیلوگرم)]]-Main[[#This Row],[بدهی تسویه نشده (کیلوگرم)]]</f>
        <v>344</v>
      </c>
      <c r="O660" s="6">
        <f ca="1">Main[[#This Row],[تفکیک]]</f>
        <v>0</v>
      </c>
      <c r="P660" s="6">
        <f ca="1">IF(Main[[#This Row],[تاخیر از سررسید]]&gt;0,Main[[#This Row],[بدهی تسویه نشده (کیلوگرم)]],0)</f>
        <v>0</v>
      </c>
      <c r="Q660" s="6">
        <f ca="1">IF(Main[[#This Row],[بدهی تسویه نشده (کیلوگرم)]]&gt;0,'گزارش فردی'!$B$7-Main[[#This Row],[تاريخ میلادی]],0)</f>
        <v>0</v>
      </c>
      <c r="R660" s="6">
        <f ca="1">IF(Main[[#This Row],[بدهی تسویه نشده (کیلوگرم)]]&gt;0,'گزارش فردی'!$B$7-Main[[#This Row],[تاريخ میلادی]]-'گزارش فردی'!$B$8,0)</f>
        <v>0</v>
      </c>
      <c r="S660" s="6">
        <f ca="1">Main[[#This Row],[روز از ارسال سفارش]]*Main[[#This Row],[بدهی تسویه نشده (کیلوگرم)]]</f>
        <v>0</v>
      </c>
      <c r="T660" s="6">
        <f ca="1">Main[[#This Row],[بدهی سررسید شده (کیلوگرم)]]*Main[[#This Row],[روز از ارسال سفارش]]</f>
        <v>0</v>
      </c>
      <c r="U660" s="6">
        <f>-SUBTOTAL(9,INDEX(Main[مقدار (کیلوگرم)],1):Main[[#This Row],[مقدار (کیلوگرم)]])</f>
        <v>33761</v>
      </c>
      <c r="V6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0" s="6">
        <f>Main[[#This Row],[تعداد کل روزهای بدهکار (روز)]]*Main[[#This Row],[مانده در خط کل (کیلوگرم)]]</f>
        <v>0</v>
      </c>
      <c r="X660" s="6">
        <f ca="1">-SUBTOTAL(9,INDEX(Main[مقدار تسویه شده (کیلوگرم)],1):Main[[#This Row],[مقدار تسویه شده (کیلوگرم)]])</f>
        <v>33761</v>
      </c>
      <c r="Y660" s="6">
        <f ca="1">IF(Main[[#This Row],[مانده در خط تسویه شده (کیلوگرم)]]&lt;&gt;0,Main[[#This Row],[تعداد کل روزهای بدهکار (روز)]],0)</f>
        <v>0</v>
      </c>
      <c r="Z660" s="6">
        <f ca="1">Main[[#This Row],[تعداد روزهای بدهکار تسویه شده (روز)]]*Main[[#This Row],[مانده در خط تسویه شده (کیلوگرم)]]</f>
        <v>0</v>
      </c>
      <c r="AA660" s="6">
        <f ca="1">SUBTOTAL(9,INDEX(Main[بدهی تسویه نشده (کیلوگرم)],1):Main[[#This Row],[بدهی تسویه نشده (کیلوگرم)]])</f>
        <v>0</v>
      </c>
      <c r="AB660" s="6">
        <f ca="1">IF(Main[[#This Row],[مانده در خط تسویه نشده (کیلوگرم)]]&lt;&gt;0,Main[[#This Row],[تعداد کل روزهای بدهکار (روز)]],0)</f>
        <v>0</v>
      </c>
      <c r="AC660" s="6">
        <f ca="1">Main[[#This Row],[تعداد روزهای بدهکار  تسویه نشده (روز)]]*Main[[#This Row],[مانده در خط تسویه نشده (کیلوگرم)]]</f>
        <v>0</v>
      </c>
      <c r="AD660" s="6">
        <f ca="1">SUBTOTAL(9,INDEX(Main[بدهی سررسید شده (کیلوگرم)],1):Main[[#This Row],[بدهی سررسید شده (کیلوگرم)]])</f>
        <v>0</v>
      </c>
      <c r="AE660" s="6">
        <f ca="1">IF(Main[[#This Row],[مانده در خط سررسید شده (کیلوگرم)]]&lt;&gt;0,Main[[#This Row],[تعداد کل روزهای بدهکار (روز)]],0)</f>
        <v>0</v>
      </c>
      <c r="AF660" s="6">
        <f ca="1">Main[[#This Row],[تعداد روزهای بدهکار سررسید شده (روز)]]*Main[[#This Row],[مانده در خط سررسید شده (کیلوگرم)]]</f>
        <v>0</v>
      </c>
    </row>
    <row r="661" spans="1:32" hidden="1" x14ac:dyDescent="0.35">
      <c r="A661" s="5">
        <f>ROW()-ROW(INDEX(Main[ردیف],1))+1</f>
        <v>659</v>
      </c>
      <c r="B661" s="31">
        <f>SUBTOTAL(2,INDEX(Main[ردیف],1):Main[[#This Row],[ردیف]])</f>
        <v>62</v>
      </c>
      <c r="C661" s="32" t="s">
        <v>576</v>
      </c>
      <c r="D661" s="32" t="str">
        <f>_xlfn.CONCAT("14",Main[[#This Row],[تاريخ]])</f>
        <v>1400/03/11</v>
      </c>
      <c r="E661" s="33">
        <v>44348</v>
      </c>
      <c r="F661" s="32">
        <v>30081</v>
      </c>
      <c r="G661" s="5" t="str">
        <f>INDEX(customer[عنوان],MATCH(Main[[#This Row],[کد ردیابی]],customer[کد],0))</f>
        <v xml:space="preserve">شیرآلات بهداشتی راسان </v>
      </c>
      <c r="H661">
        <v>4846</v>
      </c>
      <c r="I661" s="6">
        <f ca="1">-Main[[#This Row],[بدهی تسویه شده (کیلوگرم)]]+Main[[#This Row],[بستانکار (کیلوگرم)]]</f>
        <v>4846</v>
      </c>
      <c r="J661" s="6">
        <f>IF(Main[[#This Row],[مقدار (کیلوگرم)]]&gt;0,Main[[#This Row],[مقدار (کیلوگرم)]],0)</f>
        <v>4846</v>
      </c>
      <c r="K661" s="6">
        <f>-IF(Main[[#This Row],[مقدار (کیلوگرم)]]&lt;0,Main[[#This Row],[مقدار (کیلوگرم)]],0)</f>
        <v>0</v>
      </c>
      <c r="L6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1" s="7">
        <f>-IF(AND(Main[[#This Row],[مقدار (کیلوگرم)]]&lt;0,Main[[#This Row],[تاريخ میلادی]]&gt;44276),Main[[#This Row],[مقدار (کیلوگرم)]],0)</f>
        <v>0</v>
      </c>
      <c r="N661" s="6">
        <f ca="1">Main[[#This Row],[بدهکار (کیلوگرم)]]-Main[[#This Row],[بدهی تسویه نشده (کیلوگرم)]]</f>
        <v>0</v>
      </c>
      <c r="O661" s="6">
        <f ca="1">Main[[#This Row],[تفکیک]]</f>
        <v>0</v>
      </c>
      <c r="P661" s="6">
        <f ca="1">IF(Main[[#This Row],[تاخیر از سررسید]]&gt;0,Main[[#This Row],[بدهی تسویه نشده (کیلوگرم)]],0)</f>
        <v>0</v>
      </c>
      <c r="Q661" s="6">
        <f ca="1">IF(Main[[#This Row],[بدهی تسویه نشده (کیلوگرم)]]&gt;0,'گزارش فردی'!$B$7-Main[[#This Row],[تاريخ میلادی]],0)</f>
        <v>0</v>
      </c>
      <c r="R661" s="6">
        <f ca="1">IF(Main[[#This Row],[بدهی تسویه نشده (کیلوگرم)]]&gt;0,'گزارش فردی'!$B$7-Main[[#This Row],[تاريخ میلادی]]-'گزارش فردی'!$B$8,0)</f>
        <v>0</v>
      </c>
      <c r="S661" s="6">
        <f ca="1">Main[[#This Row],[روز از ارسال سفارش]]*Main[[#This Row],[بدهی تسویه نشده (کیلوگرم)]]</f>
        <v>0</v>
      </c>
      <c r="T661" s="6">
        <f ca="1">Main[[#This Row],[بدهی سررسید شده (کیلوگرم)]]*Main[[#This Row],[روز از ارسال سفارش]]</f>
        <v>0</v>
      </c>
      <c r="U661" s="6">
        <f>-SUBTOTAL(9,INDEX(Main[مقدار (کیلوگرم)],1):Main[[#This Row],[مقدار (کیلوگرم)]])</f>
        <v>33761</v>
      </c>
      <c r="V6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1" s="6">
        <f>Main[[#This Row],[تعداد کل روزهای بدهکار (روز)]]*Main[[#This Row],[مانده در خط کل (کیلوگرم)]]</f>
        <v>0</v>
      </c>
      <c r="X661" s="6">
        <f ca="1">-SUBTOTAL(9,INDEX(Main[مقدار تسویه شده (کیلوگرم)],1):Main[[#This Row],[مقدار تسویه شده (کیلوگرم)]])</f>
        <v>33761</v>
      </c>
      <c r="Y661" s="6">
        <f ca="1">IF(Main[[#This Row],[مانده در خط تسویه شده (کیلوگرم)]]&lt;&gt;0,Main[[#This Row],[تعداد کل روزهای بدهکار (روز)]],0)</f>
        <v>0</v>
      </c>
      <c r="Z661" s="6">
        <f ca="1">Main[[#This Row],[تعداد روزهای بدهکار تسویه شده (روز)]]*Main[[#This Row],[مانده در خط تسویه شده (کیلوگرم)]]</f>
        <v>0</v>
      </c>
      <c r="AA661" s="6">
        <f ca="1">SUBTOTAL(9,INDEX(Main[بدهی تسویه نشده (کیلوگرم)],1):Main[[#This Row],[بدهی تسویه نشده (کیلوگرم)]])</f>
        <v>0</v>
      </c>
      <c r="AB661" s="6">
        <f ca="1">IF(Main[[#This Row],[مانده در خط تسویه نشده (کیلوگرم)]]&lt;&gt;0,Main[[#This Row],[تعداد کل روزهای بدهکار (روز)]],0)</f>
        <v>0</v>
      </c>
      <c r="AC661" s="6">
        <f ca="1">Main[[#This Row],[تعداد روزهای بدهکار  تسویه نشده (روز)]]*Main[[#This Row],[مانده در خط تسویه نشده (کیلوگرم)]]</f>
        <v>0</v>
      </c>
      <c r="AD661" s="6">
        <f ca="1">SUBTOTAL(9,INDEX(Main[بدهی سررسید شده (کیلوگرم)],1):Main[[#This Row],[بدهی سررسید شده (کیلوگرم)]])</f>
        <v>0</v>
      </c>
      <c r="AE661" s="6">
        <f ca="1">IF(Main[[#This Row],[مانده در خط سررسید شده (کیلوگرم)]]&lt;&gt;0,Main[[#This Row],[تعداد کل روزهای بدهکار (روز)]],0)</f>
        <v>0</v>
      </c>
      <c r="AF661" s="6">
        <f ca="1">Main[[#This Row],[تعداد روزهای بدهکار سررسید شده (روز)]]*Main[[#This Row],[مانده در خط سررسید شده (کیلوگرم)]]</f>
        <v>0</v>
      </c>
    </row>
    <row r="662" spans="1:32" hidden="1" x14ac:dyDescent="0.35">
      <c r="A662" s="5">
        <f>ROW()-ROW(INDEX(Main[ردیف],1))+1</f>
        <v>660</v>
      </c>
      <c r="B662" s="31">
        <f>SUBTOTAL(2,INDEX(Main[ردیف],1):Main[[#This Row],[ردیف]])</f>
        <v>62</v>
      </c>
      <c r="C662" s="32" t="s">
        <v>576</v>
      </c>
      <c r="D662" s="32" t="str">
        <f>_xlfn.CONCAT("14",Main[[#This Row],[تاريخ]])</f>
        <v>1400/03/11</v>
      </c>
      <c r="E662" s="33">
        <v>44348</v>
      </c>
      <c r="F662" s="32">
        <v>30004</v>
      </c>
      <c r="G662" s="5" t="str">
        <f>INDEX(customer[عنوان],MATCH(Main[[#This Row],[کد ردیابی]],customer[کد],0))</f>
        <v>تولیدی صنعتی صفاشیر پارس</v>
      </c>
      <c r="H662">
        <v>-5054</v>
      </c>
      <c r="I662" s="6">
        <f ca="1">-Main[[#This Row],[بدهی تسویه شده (کیلوگرم)]]+Main[[#This Row],[بستانکار (کیلوگرم)]]</f>
        <v>-5054</v>
      </c>
      <c r="J662" s="6">
        <f>IF(Main[[#This Row],[مقدار (کیلوگرم)]]&gt;0,Main[[#This Row],[مقدار (کیلوگرم)]],0)</f>
        <v>0</v>
      </c>
      <c r="K662" s="6">
        <f>-IF(Main[[#This Row],[مقدار (کیلوگرم)]]&lt;0,Main[[#This Row],[مقدار (کیلوگرم)]],0)</f>
        <v>5054</v>
      </c>
      <c r="L6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2" s="7">
        <f>-IF(AND(Main[[#This Row],[مقدار (کیلوگرم)]]&lt;0,Main[[#This Row],[تاريخ میلادی]]&gt;44276),Main[[#This Row],[مقدار (کیلوگرم)]],0)</f>
        <v>5054</v>
      </c>
      <c r="N662" s="6">
        <f ca="1">Main[[#This Row],[بدهکار (کیلوگرم)]]-Main[[#This Row],[بدهی تسویه نشده (کیلوگرم)]]</f>
        <v>5054</v>
      </c>
      <c r="O662" s="6">
        <f ca="1">Main[[#This Row],[تفکیک]]</f>
        <v>0</v>
      </c>
      <c r="P662" s="6">
        <f ca="1">IF(Main[[#This Row],[تاخیر از سررسید]]&gt;0,Main[[#This Row],[بدهی تسویه نشده (کیلوگرم)]],0)</f>
        <v>0</v>
      </c>
      <c r="Q662" s="6">
        <f ca="1">IF(Main[[#This Row],[بدهی تسویه نشده (کیلوگرم)]]&gt;0,'گزارش فردی'!$B$7-Main[[#This Row],[تاريخ میلادی]],0)</f>
        <v>0</v>
      </c>
      <c r="R662" s="6">
        <f ca="1">IF(Main[[#This Row],[بدهی تسویه نشده (کیلوگرم)]]&gt;0,'گزارش فردی'!$B$7-Main[[#This Row],[تاريخ میلادی]]-'گزارش فردی'!$B$8,0)</f>
        <v>0</v>
      </c>
      <c r="S662" s="6">
        <f ca="1">Main[[#This Row],[روز از ارسال سفارش]]*Main[[#This Row],[بدهی تسویه نشده (کیلوگرم)]]</f>
        <v>0</v>
      </c>
      <c r="T662" s="6">
        <f ca="1">Main[[#This Row],[بدهی سررسید شده (کیلوگرم)]]*Main[[#This Row],[روز از ارسال سفارش]]</f>
        <v>0</v>
      </c>
      <c r="U662" s="6">
        <f>-SUBTOTAL(9,INDEX(Main[مقدار (کیلوگرم)],1):Main[[#This Row],[مقدار (کیلوگرم)]])</f>
        <v>33761</v>
      </c>
      <c r="V6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2" s="6">
        <f>Main[[#This Row],[تعداد کل روزهای بدهکار (روز)]]*Main[[#This Row],[مانده در خط کل (کیلوگرم)]]</f>
        <v>0</v>
      </c>
      <c r="X662" s="6">
        <f ca="1">-SUBTOTAL(9,INDEX(Main[مقدار تسویه شده (کیلوگرم)],1):Main[[#This Row],[مقدار تسویه شده (کیلوگرم)]])</f>
        <v>33761</v>
      </c>
      <c r="Y662" s="6">
        <f ca="1">IF(Main[[#This Row],[مانده در خط تسویه شده (کیلوگرم)]]&lt;&gt;0,Main[[#This Row],[تعداد کل روزهای بدهکار (روز)]],0)</f>
        <v>0</v>
      </c>
      <c r="Z662" s="6">
        <f ca="1">Main[[#This Row],[تعداد روزهای بدهکار تسویه شده (روز)]]*Main[[#This Row],[مانده در خط تسویه شده (کیلوگرم)]]</f>
        <v>0</v>
      </c>
      <c r="AA662" s="6">
        <f ca="1">SUBTOTAL(9,INDEX(Main[بدهی تسویه نشده (کیلوگرم)],1):Main[[#This Row],[بدهی تسویه نشده (کیلوگرم)]])</f>
        <v>0</v>
      </c>
      <c r="AB662" s="6">
        <f ca="1">IF(Main[[#This Row],[مانده در خط تسویه نشده (کیلوگرم)]]&lt;&gt;0,Main[[#This Row],[تعداد کل روزهای بدهکار (روز)]],0)</f>
        <v>0</v>
      </c>
      <c r="AC662" s="6">
        <f ca="1">Main[[#This Row],[تعداد روزهای بدهکار  تسویه نشده (روز)]]*Main[[#This Row],[مانده در خط تسویه نشده (کیلوگرم)]]</f>
        <v>0</v>
      </c>
      <c r="AD662" s="6">
        <f ca="1">SUBTOTAL(9,INDEX(Main[بدهی سررسید شده (کیلوگرم)],1):Main[[#This Row],[بدهی سررسید شده (کیلوگرم)]])</f>
        <v>0</v>
      </c>
      <c r="AE662" s="6">
        <f ca="1">IF(Main[[#This Row],[مانده در خط سررسید شده (کیلوگرم)]]&lt;&gt;0,Main[[#This Row],[تعداد کل روزهای بدهکار (روز)]],0)</f>
        <v>0</v>
      </c>
      <c r="AF662" s="6">
        <f ca="1">Main[[#This Row],[تعداد روزهای بدهکار سررسید شده (روز)]]*Main[[#This Row],[مانده در خط سررسید شده (کیلوگرم)]]</f>
        <v>0</v>
      </c>
    </row>
    <row r="663" spans="1:32" hidden="1" x14ac:dyDescent="0.35">
      <c r="A663" s="5">
        <f>ROW()-ROW(INDEX(Main[ردیف],1))+1</f>
        <v>661</v>
      </c>
      <c r="B663" s="31">
        <f>SUBTOTAL(2,INDEX(Main[ردیف],1):Main[[#This Row],[ردیف]])</f>
        <v>62</v>
      </c>
      <c r="C663" s="32" t="s">
        <v>576</v>
      </c>
      <c r="D663" s="32" t="str">
        <f>_xlfn.CONCAT("14",Main[[#This Row],[تاريخ]])</f>
        <v>1400/03/11</v>
      </c>
      <c r="E663" s="33">
        <v>44348</v>
      </c>
      <c r="F663" s="32">
        <v>30127</v>
      </c>
      <c r="G663" s="5" t="str">
        <f>INDEX(customer[عنوان],MATCH(Main[[#This Row],[کد ردیابی]],customer[کد],0))</f>
        <v>شیر گاز آذران</v>
      </c>
      <c r="H663">
        <v>11437</v>
      </c>
      <c r="I663" s="6">
        <f ca="1">-Main[[#This Row],[بدهی تسویه شده (کیلوگرم)]]+Main[[#This Row],[بستانکار (کیلوگرم)]]</f>
        <v>11437</v>
      </c>
      <c r="J663" s="6">
        <f>IF(Main[[#This Row],[مقدار (کیلوگرم)]]&gt;0,Main[[#This Row],[مقدار (کیلوگرم)]],0)</f>
        <v>11437</v>
      </c>
      <c r="K663" s="6">
        <f>-IF(Main[[#This Row],[مقدار (کیلوگرم)]]&lt;0,Main[[#This Row],[مقدار (کیلوگرم)]],0)</f>
        <v>0</v>
      </c>
      <c r="L6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3" s="7">
        <f>-IF(AND(Main[[#This Row],[مقدار (کیلوگرم)]]&lt;0,Main[[#This Row],[تاريخ میلادی]]&gt;44276),Main[[#This Row],[مقدار (کیلوگرم)]],0)</f>
        <v>0</v>
      </c>
      <c r="N663" s="6">
        <f ca="1">Main[[#This Row],[بدهکار (کیلوگرم)]]-Main[[#This Row],[بدهی تسویه نشده (کیلوگرم)]]</f>
        <v>0</v>
      </c>
      <c r="O663" s="6">
        <f ca="1">Main[[#This Row],[تفکیک]]</f>
        <v>0</v>
      </c>
      <c r="P663" s="6">
        <f ca="1">IF(Main[[#This Row],[تاخیر از سررسید]]&gt;0,Main[[#This Row],[بدهی تسویه نشده (کیلوگرم)]],0)</f>
        <v>0</v>
      </c>
      <c r="Q663" s="6">
        <f ca="1">IF(Main[[#This Row],[بدهی تسویه نشده (کیلوگرم)]]&gt;0,'گزارش فردی'!$B$7-Main[[#This Row],[تاريخ میلادی]],0)</f>
        <v>0</v>
      </c>
      <c r="R663" s="6">
        <f ca="1">IF(Main[[#This Row],[بدهی تسویه نشده (کیلوگرم)]]&gt;0,'گزارش فردی'!$B$7-Main[[#This Row],[تاريخ میلادی]]-'گزارش فردی'!$B$8,0)</f>
        <v>0</v>
      </c>
      <c r="S663" s="6">
        <f ca="1">Main[[#This Row],[روز از ارسال سفارش]]*Main[[#This Row],[بدهی تسویه نشده (کیلوگرم)]]</f>
        <v>0</v>
      </c>
      <c r="T663" s="6">
        <f ca="1">Main[[#This Row],[بدهی سررسید شده (کیلوگرم)]]*Main[[#This Row],[روز از ارسال سفارش]]</f>
        <v>0</v>
      </c>
      <c r="U663" s="6">
        <f>-SUBTOTAL(9,INDEX(Main[مقدار (کیلوگرم)],1):Main[[#This Row],[مقدار (کیلوگرم)]])</f>
        <v>33761</v>
      </c>
      <c r="V6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3" s="6">
        <f>Main[[#This Row],[تعداد کل روزهای بدهکار (روز)]]*Main[[#This Row],[مانده در خط کل (کیلوگرم)]]</f>
        <v>0</v>
      </c>
      <c r="X663" s="6">
        <f ca="1">-SUBTOTAL(9,INDEX(Main[مقدار تسویه شده (کیلوگرم)],1):Main[[#This Row],[مقدار تسویه شده (کیلوگرم)]])</f>
        <v>33761</v>
      </c>
      <c r="Y663" s="6">
        <f ca="1">IF(Main[[#This Row],[مانده در خط تسویه شده (کیلوگرم)]]&lt;&gt;0,Main[[#This Row],[تعداد کل روزهای بدهکار (روز)]],0)</f>
        <v>0</v>
      </c>
      <c r="Z663" s="6">
        <f ca="1">Main[[#This Row],[تعداد روزهای بدهکار تسویه شده (روز)]]*Main[[#This Row],[مانده در خط تسویه شده (کیلوگرم)]]</f>
        <v>0</v>
      </c>
      <c r="AA663" s="6">
        <f ca="1">SUBTOTAL(9,INDEX(Main[بدهی تسویه نشده (کیلوگرم)],1):Main[[#This Row],[بدهی تسویه نشده (کیلوگرم)]])</f>
        <v>0</v>
      </c>
      <c r="AB663" s="6">
        <f ca="1">IF(Main[[#This Row],[مانده در خط تسویه نشده (کیلوگرم)]]&lt;&gt;0,Main[[#This Row],[تعداد کل روزهای بدهکار (روز)]],0)</f>
        <v>0</v>
      </c>
      <c r="AC663" s="6">
        <f ca="1">Main[[#This Row],[تعداد روزهای بدهکار  تسویه نشده (روز)]]*Main[[#This Row],[مانده در خط تسویه نشده (کیلوگرم)]]</f>
        <v>0</v>
      </c>
      <c r="AD663" s="6">
        <f ca="1">SUBTOTAL(9,INDEX(Main[بدهی سررسید شده (کیلوگرم)],1):Main[[#This Row],[بدهی سررسید شده (کیلوگرم)]])</f>
        <v>0</v>
      </c>
      <c r="AE663" s="6">
        <f ca="1">IF(Main[[#This Row],[مانده در خط سررسید شده (کیلوگرم)]]&lt;&gt;0,Main[[#This Row],[تعداد کل روزهای بدهکار (روز)]],0)</f>
        <v>0</v>
      </c>
      <c r="AF663" s="6">
        <f ca="1">Main[[#This Row],[تعداد روزهای بدهکار سررسید شده (روز)]]*Main[[#This Row],[مانده در خط سررسید شده (کیلوگرم)]]</f>
        <v>0</v>
      </c>
    </row>
    <row r="664" spans="1:32" x14ac:dyDescent="0.35">
      <c r="A664" s="5">
        <f>ROW()-ROW(INDEX(Main[ردیف],1))+1</f>
        <v>662</v>
      </c>
      <c r="B664" s="31">
        <f>SUBTOTAL(2,INDEX(Main[ردیف],1):Main[[#This Row],[ردیف]])</f>
        <v>63</v>
      </c>
      <c r="C664" s="32" t="s">
        <v>576</v>
      </c>
      <c r="D664" s="32" t="str">
        <f>_xlfn.CONCAT("14",Main[[#This Row],[تاريخ]])</f>
        <v>1400/03/11</v>
      </c>
      <c r="E664" s="33">
        <v>44348</v>
      </c>
      <c r="F664" s="32">
        <v>10003</v>
      </c>
      <c r="G664" s="5" t="str">
        <f>INDEX(customer[عنوان],MATCH(Main[[#This Row],[کد ردیابی]],customer[کد],0))</f>
        <v>اصغر نورعلی</v>
      </c>
      <c r="H664">
        <v>2475</v>
      </c>
      <c r="I664" s="6">
        <f ca="1">-Main[[#This Row],[بدهی تسویه شده (کیلوگرم)]]+Main[[#This Row],[بستانکار (کیلوگرم)]]</f>
        <v>2475</v>
      </c>
      <c r="J664" s="6">
        <f>IF(Main[[#This Row],[مقدار (کیلوگرم)]]&gt;0,Main[[#This Row],[مقدار (کیلوگرم)]],0)</f>
        <v>2475</v>
      </c>
      <c r="K664" s="6">
        <f>-IF(Main[[#This Row],[مقدار (کیلوگرم)]]&lt;0,Main[[#This Row],[مقدار (کیلوگرم)]],0)</f>
        <v>0</v>
      </c>
      <c r="L6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4" s="7">
        <f>-IF(AND(Main[[#This Row],[مقدار (کیلوگرم)]]&lt;0,Main[[#This Row],[تاريخ میلادی]]&gt;44276),Main[[#This Row],[مقدار (کیلوگرم)]],0)</f>
        <v>0</v>
      </c>
      <c r="N664" s="6">
        <f ca="1">Main[[#This Row],[بدهکار (کیلوگرم)]]-Main[[#This Row],[بدهی تسویه نشده (کیلوگرم)]]</f>
        <v>0</v>
      </c>
      <c r="O664" s="6">
        <f ca="1">Main[[#This Row],[تفکیک]]</f>
        <v>0</v>
      </c>
      <c r="P664" s="6">
        <f ca="1">IF(Main[[#This Row],[تاخیر از سررسید]]&gt;0,Main[[#This Row],[بدهی تسویه نشده (کیلوگرم)]],0)</f>
        <v>0</v>
      </c>
      <c r="Q664" s="6">
        <f ca="1">IF(Main[[#This Row],[بدهی تسویه نشده (کیلوگرم)]]&gt;0,'گزارش فردی'!$B$7-Main[[#This Row],[تاريخ میلادی]],0)</f>
        <v>0</v>
      </c>
      <c r="R664" s="6">
        <f ca="1">IF(Main[[#This Row],[بدهی تسویه نشده (کیلوگرم)]]&gt;0,'گزارش فردی'!$B$7-Main[[#This Row],[تاريخ میلادی]]-'گزارش فردی'!$B$8,0)</f>
        <v>0</v>
      </c>
      <c r="S664" s="6">
        <f ca="1">Main[[#This Row],[روز از ارسال سفارش]]*Main[[#This Row],[بدهی تسویه نشده (کیلوگرم)]]</f>
        <v>0</v>
      </c>
      <c r="T664" s="6">
        <f ca="1">Main[[#This Row],[بدهی سررسید شده (کیلوگرم)]]*Main[[#This Row],[روز از ارسال سفارش]]</f>
        <v>0</v>
      </c>
      <c r="U664" s="6">
        <f>-SUBTOTAL(9,INDEX(Main[مقدار (کیلوگرم)],1):Main[[#This Row],[مقدار (کیلوگرم)]])</f>
        <v>31286</v>
      </c>
      <c r="V6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4" s="6">
        <f>Main[[#This Row],[تعداد کل روزهای بدهکار (روز)]]*Main[[#This Row],[مانده در خط کل (کیلوگرم)]]</f>
        <v>0</v>
      </c>
      <c r="X664" s="6">
        <f ca="1">-SUBTOTAL(9,INDEX(Main[مقدار تسویه شده (کیلوگرم)],1):Main[[#This Row],[مقدار تسویه شده (کیلوگرم)]])</f>
        <v>31286</v>
      </c>
      <c r="Y664" s="6">
        <f ca="1">IF(Main[[#This Row],[مانده در خط تسویه شده (کیلوگرم)]]&lt;&gt;0,Main[[#This Row],[تعداد کل روزهای بدهکار (روز)]],0)</f>
        <v>0</v>
      </c>
      <c r="Z664" s="6">
        <f ca="1">Main[[#This Row],[تعداد روزهای بدهکار تسویه شده (روز)]]*Main[[#This Row],[مانده در خط تسویه شده (کیلوگرم)]]</f>
        <v>0</v>
      </c>
      <c r="AA664" s="6">
        <f ca="1">SUBTOTAL(9,INDEX(Main[بدهی تسویه نشده (کیلوگرم)],1):Main[[#This Row],[بدهی تسویه نشده (کیلوگرم)]])</f>
        <v>0</v>
      </c>
      <c r="AB664" s="6">
        <f ca="1">IF(Main[[#This Row],[مانده در خط تسویه نشده (کیلوگرم)]]&lt;&gt;0,Main[[#This Row],[تعداد کل روزهای بدهکار (روز)]],0)</f>
        <v>0</v>
      </c>
      <c r="AC664" s="6">
        <f ca="1">Main[[#This Row],[تعداد روزهای بدهکار  تسویه نشده (روز)]]*Main[[#This Row],[مانده در خط تسویه نشده (کیلوگرم)]]</f>
        <v>0</v>
      </c>
      <c r="AD664" s="6">
        <f ca="1">SUBTOTAL(9,INDEX(Main[بدهی سررسید شده (کیلوگرم)],1):Main[[#This Row],[بدهی سررسید شده (کیلوگرم)]])</f>
        <v>0</v>
      </c>
      <c r="AE664" s="6">
        <f ca="1">IF(Main[[#This Row],[مانده در خط سررسید شده (کیلوگرم)]]&lt;&gt;0,Main[[#This Row],[تعداد کل روزهای بدهکار (روز)]],0)</f>
        <v>0</v>
      </c>
      <c r="AF664" s="6">
        <f ca="1">Main[[#This Row],[تعداد روزهای بدهکار سررسید شده (روز)]]*Main[[#This Row],[مانده در خط سررسید شده (کیلوگرم)]]</f>
        <v>0</v>
      </c>
    </row>
    <row r="665" spans="1:32" x14ac:dyDescent="0.35">
      <c r="A665" s="5">
        <f>ROW()-ROW(INDEX(Main[ردیف],1))+1</f>
        <v>663</v>
      </c>
      <c r="B665" s="31">
        <f>SUBTOTAL(2,INDEX(Main[ردیف],1):Main[[#This Row],[ردیف]])</f>
        <v>64</v>
      </c>
      <c r="C665" s="32" t="s">
        <v>576</v>
      </c>
      <c r="D665" s="32" t="str">
        <f>_xlfn.CONCAT("14",Main[[#This Row],[تاريخ]])</f>
        <v>1400/03/11</v>
      </c>
      <c r="E665" s="33">
        <v>44348</v>
      </c>
      <c r="F665" s="32">
        <v>10003</v>
      </c>
      <c r="G665" s="5" t="str">
        <f>INDEX(customer[عنوان],MATCH(Main[[#This Row],[کد ردیابی]],customer[کد],0))</f>
        <v>اصغر نورعلی</v>
      </c>
      <c r="H665">
        <v>2750</v>
      </c>
      <c r="I665" s="6">
        <f ca="1">-Main[[#This Row],[بدهی تسویه شده (کیلوگرم)]]+Main[[#This Row],[بستانکار (کیلوگرم)]]</f>
        <v>2750</v>
      </c>
      <c r="J665" s="6">
        <f>IF(Main[[#This Row],[مقدار (کیلوگرم)]]&gt;0,Main[[#This Row],[مقدار (کیلوگرم)]],0)</f>
        <v>2750</v>
      </c>
      <c r="K665" s="6">
        <f>-IF(Main[[#This Row],[مقدار (کیلوگرم)]]&lt;0,Main[[#This Row],[مقدار (کیلوگرم)]],0)</f>
        <v>0</v>
      </c>
      <c r="L6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5" s="7">
        <f>-IF(AND(Main[[#This Row],[مقدار (کیلوگرم)]]&lt;0,Main[[#This Row],[تاريخ میلادی]]&gt;44276),Main[[#This Row],[مقدار (کیلوگرم)]],0)</f>
        <v>0</v>
      </c>
      <c r="N665" s="6">
        <f ca="1">Main[[#This Row],[بدهکار (کیلوگرم)]]-Main[[#This Row],[بدهی تسویه نشده (کیلوگرم)]]</f>
        <v>0</v>
      </c>
      <c r="O665" s="6">
        <f ca="1">Main[[#This Row],[تفکیک]]</f>
        <v>0</v>
      </c>
      <c r="P665" s="6">
        <f ca="1">IF(Main[[#This Row],[تاخیر از سررسید]]&gt;0,Main[[#This Row],[بدهی تسویه نشده (کیلوگرم)]],0)</f>
        <v>0</v>
      </c>
      <c r="Q665" s="6">
        <f ca="1">IF(Main[[#This Row],[بدهی تسویه نشده (کیلوگرم)]]&gt;0,'گزارش فردی'!$B$7-Main[[#This Row],[تاريخ میلادی]],0)</f>
        <v>0</v>
      </c>
      <c r="R665" s="6">
        <f ca="1">IF(Main[[#This Row],[بدهی تسویه نشده (کیلوگرم)]]&gt;0,'گزارش فردی'!$B$7-Main[[#This Row],[تاريخ میلادی]]-'گزارش فردی'!$B$8,0)</f>
        <v>0</v>
      </c>
      <c r="S665" s="6">
        <f ca="1">Main[[#This Row],[روز از ارسال سفارش]]*Main[[#This Row],[بدهی تسویه نشده (کیلوگرم)]]</f>
        <v>0</v>
      </c>
      <c r="T665" s="6">
        <f ca="1">Main[[#This Row],[بدهی سررسید شده (کیلوگرم)]]*Main[[#This Row],[روز از ارسال سفارش]]</f>
        <v>0</v>
      </c>
      <c r="U665" s="6">
        <f>-SUBTOTAL(9,INDEX(Main[مقدار (کیلوگرم)],1):Main[[#This Row],[مقدار (کیلوگرم)]])</f>
        <v>28536</v>
      </c>
      <c r="V6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65" s="6">
        <f>Main[[#This Row],[تعداد کل روزهای بدهکار (روز)]]*Main[[#This Row],[مانده در خط کل (کیلوگرم)]]</f>
        <v>57072</v>
      </c>
      <c r="X665" s="6">
        <f ca="1">-SUBTOTAL(9,INDEX(Main[مقدار تسویه شده (کیلوگرم)],1):Main[[#This Row],[مقدار تسویه شده (کیلوگرم)]])</f>
        <v>28536</v>
      </c>
      <c r="Y665" s="6">
        <f ca="1">IF(Main[[#This Row],[مانده در خط تسویه شده (کیلوگرم)]]&lt;&gt;0,Main[[#This Row],[تعداد کل روزهای بدهکار (روز)]],0)</f>
        <v>2</v>
      </c>
      <c r="Z665" s="6">
        <f ca="1">Main[[#This Row],[تعداد روزهای بدهکار تسویه شده (روز)]]*Main[[#This Row],[مانده در خط تسویه شده (کیلوگرم)]]</f>
        <v>57072</v>
      </c>
      <c r="AA665" s="6">
        <f ca="1">SUBTOTAL(9,INDEX(Main[بدهی تسویه نشده (کیلوگرم)],1):Main[[#This Row],[بدهی تسویه نشده (کیلوگرم)]])</f>
        <v>0</v>
      </c>
      <c r="AB665" s="6">
        <f ca="1">IF(Main[[#This Row],[مانده در خط تسویه نشده (کیلوگرم)]]&lt;&gt;0,Main[[#This Row],[تعداد کل روزهای بدهکار (روز)]],0)</f>
        <v>0</v>
      </c>
      <c r="AC665" s="6">
        <f ca="1">Main[[#This Row],[تعداد روزهای بدهکار  تسویه نشده (روز)]]*Main[[#This Row],[مانده در خط تسویه نشده (کیلوگرم)]]</f>
        <v>0</v>
      </c>
      <c r="AD665" s="6">
        <f ca="1">SUBTOTAL(9,INDEX(Main[بدهی سررسید شده (کیلوگرم)],1):Main[[#This Row],[بدهی سررسید شده (کیلوگرم)]])</f>
        <v>0</v>
      </c>
      <c r="AE665" s="6">
        <f ca="1">IF(Main[[#This Row],[مانده در خط سررسید شده (کیلوگرم)]]&lt;&gt;0,Main[[#This Row],[تعداد کل روزهای بدهکار (روز)]],0)</f>
        <v>0</v>
      </c>
      <c r="AF665" s="6">
        <f ca="1">Main[[#This Row],[تعداد روزهای بدهکار سررسید شده (روز)]]*Main[[#This Row],[مانده در خط سررسید شده (کیلوگرم)]]</f>
        <v>0</v>
      </c>
    </row>
    <row r="666" spans="1:32" hidden="1" x14ac:dyDescent="0.35">
      <c r="A666" s="5">
        <f>ROW()-ROW(INDEX(Main[ردیف],1))+1</f>
        <v>664</v>
      </c>
      <c r="B666" s="31">
        <f>SUBTOTAL(2,INDEX(Main[ردیف],1):Main[[#This Row],[ردیف]])</f>
        <v>64</v>
      </c>
      <c r="C666" s="32" t="s">
        <v>578</v>
      </c>
      <c r="D666" s="32" t="str">
        <f>_xlfn.CONCAT("14",Main[[#This Row],[تاريخ]])</f>
        <v>1400/03/12</v>
      </c>
      <c r="E666" s="33">
        <v>44349</v>
      </c>
      <c r="F666" s="32">
        <v>30003</v>
      </c>
      <c r="G666" s="5" t="str">
        <f>INDEX(customer[عنوان],MATCH(Main[[#This Row],[کد ردیابی]],customer[کد],0))</f>
        <v xml:space="preserve">شهاب گاز سوز </v>
      </c>
      <c r="H666">
        <v>-756</v>
      </c>
      <c r="I666" s="6">
        <f ca="1">-Main[[#This Row],[بدهی تسویه شده (کیلوگرم)]]+Main[[#This Row],[بستانکار (کیلوگرم)]]</f>
        <v>-756</v>
      </c>
      <c r="J666" s="6">
        <f>IF(Main[[#This Row],[مقدار (کیلوگرم)]]&gt;0,Main[[#This Row],[مقدار (کیلوگرم)]],0)</f>
        <v>0</v>
      </c>
      <c r="K666" s="6">
        <f>-IF(Main[[#This Row],[مقدار (کیلوگرم)]]&lt;0,Main[[#This Row],[مقدار (کیلوگرم)]],0)</f>
        <v>756</v>
      </c>
      <c r="L6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6" s="7">
        <f>-IF(AND(Main[[#This Row],[مقدار (کیلوگرم)]]&lt;0,Main[[#This Row],[تاريخ میلادی]]&gt;44276),Main[[#This Row],[مقدار (کیلوگرم)]],0)</f>
        <v>756</v>
      </c>
      <c r="N666" s="6">
        <f ca="1">Main[[#This Row],[بدهکار (کیلوگرم)]]-Main[[#This Row],[بدهی تسویه نشده (کیلوگرم)]]</f>
        <v>756</v>
      </c>
      <c r="O666" s="6">
        <f ca="1">Main[[#This Row],[تفکیک]]</f>
        <v>0</v>
      </c>
      <c r="P666" s="6">
        <f ca="1">IF(Main[[#This Row],[تاخیر از سررسید]]&gt;0,Main[[#This Row],[بدهی تسویه نشده (کیلوگرم)]],0)</f>
        <v>0</v>
      </c>
      <c r="Q666" s="6">
        <f ca="1">IF(Main[[#This Row],[بدهی تسویه نشده (کیلوگرم)]]&gt;0,'گزارش فردی'!$B$7-Main[[#This Row],[تاريخ میلادی]],0)</f>
        <v>0</v>
      </c>
      <c r="R666" s="6">
        <f ca="1">IF(Main[[#This Row],[بدهی تسویه نشده (کیلوگرم)]]&gt;0,'گزارش فردی'!$B$7-Main[[#This Row],[تاريخ میلادی]]-'گزارش فردی'!$B$8,0)</f>
        <v>0</v>
      </c>
      <c r="S666" s="6">
        <f ca="1">Main[[#This Row],[روز از ارسال سفارش]]*Main[[#This Row],[بدهی تسویه نشده (کیلوگرم)]]</f>
        <v>0</v>
      </c>
      <c r="T666" s="6">
        <f ca="1">Main[[#This Row],[بدهی سررسید شده (کیلوگرم)]]*Main[[#This Row],[روز از ارسال سفارش]]</f>
        <v>0</v>
      </c>
      <c r="U666" s="6">
        <f>-SUBTOTAL(9,INDEX(Main[مقدار (کیلوگرم)],1):Main[[#This Row],[مقدار (کیلوگرم)]])</f>
        <v>28536</v>
      </c>
      <c r="V6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6" s="6">
        <f>Main[[#This Row],[تعداد کل روزهای بدهکار (روز)]]*Main[[#This Row],[مانده در خط کل (کیلوگرم)]]</f>
        <v>28536</v>
      </c>
      <c r="X666" s="6">
        <f ca="1">-SUBTOTAL(9,INDEX(Main[مقدار تسویه شده (کیلوگرم)],1):Main[[#This Row],[مقدار تسویه شده (کیلوگرم)]])</f>
        <v>28536</v>
      </c>
      <c r="Y666" s="6">
        <f ca="1">IF(Main[[#This Row],[مانده در خط تسویه شده (کیلوگرم)]]&lt;&gt;0,Main[[#This Row],[تعداد کل روزهای بدهکار (روز)]],0)</f>
        <v>1</v>
      </c>
      <c r="Z666" s="6">
        <f ca="1">Main[[#This Row],[تعداد روزهای بدهکار تسویه شده (روز)]]*Main[[#This Row],[مانده در خط تسویه شده (کیلوگرم)]]</f>
        <v>28536</v>
      </c>
      <c r="AA666" s="6">
        <f ca="1">SUBTOTAL(9,INDEX(Main[بدهی تسویه نشده (کیلوگرم)],1):Main[[#This Row],[بدهی تسویه نشده (کیلوگرم)]])</f>
        <v>0</v>
      </c>
      <c r="AB666" s="6">
        <f ca="1">IF(Main[[#This Row],[مانده در خط تسویه نشده (کیلوگرم)]]&lt;&gt;0,Main[[#This Row],[تعداد کل روزهای بدهکار (روز)]],0)</f>
        <v>0</v>
      </c>
      <c r="AC666" s="6">
        <f ca="1">Main[[#This Row],[تعداد روزهای بدهکار  تسویه نشده (روز)]]*Main[[#This Row],[مانده در خط تسویه نشده (کیلوگرم)]]</f>
        <v>0</v>
      </c>
      <c r="AD666" s="6">
        <f ca="1">SUBTOTAL(9,INDEX(Main[بدهی سررسید شده (کیلوگرم)],1):Main[[#This Row],[بدهی سررسید شده (کیلوگرم)]])</f>
        <v>0</v>
      </c>
      <c r="AE666" s="6">
        <f ca="1">IF(Main[[#This Row],[مانده در خط سررسید شده (کیلوگرم)]]&lt;&gt;0,Main[[#This Row],[تعداد کل روزهای بدهکار (روز)]],0)</f>
        <v>0</v>
      </c>
      <c r="AF666" s="6">
        <f ca="1">Main[[#This Row],[تعداد روزهای بدهکار سررسید شده (روز)]]*Main[[#This Row],[مانده در خط سررسید شده (کیلوگرم)]]</f>
        <v>0</v>
      </c>
    </row>
    <row r="667" spans="1:32" hidden="1" x14ac:dyDescent="0.35">
      <c r="A667" s="5">
        <f>ROW()-ROW(INDEX(Main[ردیف],1))+1</f>
        <v>665</v>
      </c>
      <c r="B667" s="31">
        <f>SUBTOTAL(2,INDEX(Main[ردیف],1):Main[[#This Row],[ردیف]])</f>
        <v>64</v>
      </c>
      <c r="C667" s="32" t="s">
        <v>578</v>
      </c>
      <c r="D667" s="32" t="str">
        <f>_xlfn.CONCAT("14",Main[[#This Row],[تاريخ]])</f>
        <v>1400/03/12</v>
      </c>
      <c r="E667" s="33">
        <v>44349</v>
      </c>
      <c r="F667" s="32">
        <v>30003</v>
      </c>
      <c r="G667" s="5" t="str">
        <f>INDEX(customer[عنوان],MATCH(Main[[#This Row],[کد ردیابی]],customer[کد],0))</f>
        <v xml:space="preserve">شهاب گاز سوز </v>
      </c>
      <c r="H667">
        <v>271</v>
      </c>
      <c r="I667" s="6">
        <f ca="1">-Main[[#This Row],[بدهی تسویه شده (کیلوگرم)]]+Main[[#This Row],[بستانکار (کیلوگرم)]]</f>
        <v>271</v>
      </c>
      <c r="J667" s="6">
        <f>IF(Main[[#This Row],[مقدار (کیلوگرم)]]&gt;0,Main[[#This Row],[مقدار (کیلوگرم)]],0)</f>
        <v>271</v>
      </c>
      <c r="K667" s="6">
        <f>-IF(Main[[#This Row],[مقدار (کیلوگرم)]]&lt;0,Main[[#This Row],[مقدار (کیلوگرم)]],0)</f>
        <v>0</v>
      </c>
      <c r="L6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7" s="7">
        <f>-IF(AND(Main[[#This Row],[مقدار (کیلوگرم)]]&lt;0,Main[[#This Row],[تاريخ میلادی]]&gt;44276),Main[[#This Row],[مقدار (کیلوگرم)]],0)</f>
        <v>0</v>
      </c>
      <c r="N667" s="6">
        <f ca="1">Main[[#This Row],[بدهکار (کیلوگرم)]]-Main[[#This Row],[بدهی تسویه نشده (کیلوگرم)]]</f>
        <v>0</v>
      </c>
      <c r="O667" s="6">
        <f ca="1">Main[[#This Row],[تفکیک]]</f>
        <v>0</v>
      </c>
      <c r="P667" s="6">
        <f ca="1">IF(Main[[#This Row],[تاخیر از سررسید]]&gt;0,Main[[#This Row],[بدهی تسویه نشده (کیلوگرم)]],0)</f>
        <v>0</v>
      </c>
      <c r="Q667" s="6">
        <f ca="1">IF(Main[[#This Row],[بدهی تسویه نشده (کیلوگرم)]]&gt;0,'گزارش فردی'!$B$7-Main[[#This Row],[تاريخ میلادی]],0)</f>
        <v>0</v>
      </c>
      <c r="R667" s="6">
        <f ca="1">IF(Main[[#This Row],[بدهی تسویه نشده (کیلوگرم)]]&gt;0,'گزارش فردی'!$B$7-Main[[#This Row],[تاريخ میلادی]]-'گزارش فردی'!$B$8,0)</f>
        <v>0</v>
      </c>
      <c r="S667" s="6">
        <f ca="1">Main[[#This Row],[روز از ارسال سفارش]]*Main[[#This Row],[بدهی تسویه نشده (کیلوگرم)]]</f>
        <v>0</v>
      </c>
      <c r="T667" s="6">
        <f ca="1">Main[[#This Row],[بدهی سررسید شده (کیلوگرم)]]*Main[[#This Row],[روز از ارسال سفارش]]</f>
        <v>0</v>
      </c>
      <c r="U667" s="6">
        <f>-SUBTOTAL(9,INDEX(Main[مقدار (کیلوگرم)],1):Main[[#This Row],[مقدار (کیلوگرم)]])</f>
        <v>28536</v>
      </c>
      <c r="V6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7" s="6">
        <f>Main[[#This Row],[تعداد کل روزهای بدهکار (روز)]]*Main[[#This Row],[مانده در خط کل (کیلوگرم)]]</f>
        <v>28536</v>
      </c>
      <c r="X667" s="6">
        <f ca="1">-SUBTOTAL(9,INDEX(Main[مقدار تسویه شده (کیلوگرم)],1):Main[[#This Row],[مقدار تسویه شده (کیلوگرم)]])</f>
        <v>28536</v>
      </c>
      <c r="Y667" s="6">
        <f ca="1">IF(Main[[#This Row],[مانده در خط تسویه شده (کیلوگرم)]]&lt;&gt;0,Main[[#This Row],[تعداد کل روزهای بدهکار (روز)]],0)</f>
        <v>1</v>
      </c>
      <c r="Z667" s="6">
        <f ca="1">Main[[#This Row],[تعداد روزهای بدهکار تسویه شده (روز)]]*Main[[#This Row],[مانده در خط تسویه شده (کیلوگرم)]]</f>
        <v>28536</v>
      </c>
      <c r="AA667" s="6">
        <f ca="1">SUBTOTAL(9,INDEX(Main[بدهی تسویه نشده (کیلوگرم)],1):Main[[#This Row],[بدهی تسویه نشده (کیلوگرم)]])</f>
        <v>0</v>
      </c>
      <c r="AB667" s="6">
        <f ca="1">IF(Main[[#This Row],[مانده در خط تسویه نشده (کیلوگرم)]]&lt;&gt;0,Main[[#This Row],[تعداد کل روزهای بدهکار (روز)]],0)</f>
        <v>0</v>
      </c>
      <c r="AC667" s="6">
        <f ca="1">Main[[#This Row],[تعداد روزهای بدهکار  تسویه نشده (روز)]]*Main[[#This Row],[مانده در خط تسویه نشده (کیلوگرم)]]</f>
        <v>0</v>
      </c>
      <c r="AD667" s="6">
        <f ca="1">SUBTOTAL(9,INDEX(Main[بدهی سررسید شده (کیلوگرم)],1):Main[[#This Row],[بدهی سررسید شده (کیلوگرم)]])</f>
        <v>0</v>
      </c>
      <c r="AE667" s="6">
        <f ca="1">IF(Main[[#This Row],[مانده در خط سررسید شده (کیلوگرم)]]&lt;&gt;0,Main[[#This Row],[تعداد کل روزهای بدهکار (روز)]],0)</f>
        <v>0</v>
      </c>
      <c r="AF667" s="6">
        <f ca="1">Main[[#This Row],[تعداد روزهای بدهکار سررسید شده (روز)]]*Main[[#This Row],[مانده در خط سررسید شده (کیلوگرم)]]</f>
        <v>0</v>
      </c>
    </row>
    <row r="668" spans="1:32" hidden="1" x14ac:dyDescent="0.35">
      <c r="A668" s="5">
        <f>ROW()-ROW(INDEX(Main[ردیف],1))+1</f>
        <v>666</v>
      </c>
      <c r="B668" s="31">
        <f>SUBTOTAL(2,INDEX(Main[ردیف],1):Main[[#This Row],[ردیف]])</f>
        <v>64</v>
      </c>
      <c r="C668" s="32" t="s">
        <v>578</v>
      </c>
      <c r="D668" s="32" t="str">
        <f>_xlfn.CONCAT("14",Main[[#This Row],[تاريخ]])</f>
        <v>1400/03/12</v>
      </c>
      <c r="E668" s="33">
        <v>44349</v>
      </c>
      <c r="F668" s="32">
        <v>30146</v>
      </c>
      <c r="G668" s="5" t="str">
        <f>INDEX(customer[عنوان],MATCH(Main[[#This Row],[کد ردیابی]],customer[کد],0))</f>
        <v>شرکت آذرپاد</v>
      </c>
      <c r="H668">
        <v>-2809</v>
      </c>
      <c r="I668" s="6">
        <f ca="1">-Main[[#This Row],[بدهی تسویه شده (کیلوگرم)]]+Main[[#This Row],[بستانکار (کیلوگرم)]]</f>
        <v>-2809</v>
      </c>
      <c r="J668" s="6">
        <f>IF(Main[[#This Row],[مقدار (کیلوگرم)]]&gt;0,Main[[#This Row],[مقدار (کیلوگرم)]],0)</f>
        <v>0</v>
      </c>
      <c r="K668" s="6">
        <f>-IF(Main[[#This Row],[مقدار (کیلوگرم)]]&lt;0,Main[[#This Row],[مقدار (کیلوگرم)]],0)</f>
        <v>2809</v>
      </c>
      <c r="L6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8" s="7">
        <f>-IF(AND(Main[[#This Row],[مقدار (کیلوگرم)]]&lt;0,Main[[#This Row],[تاريخ میلادی]]&gt;44276),Main[[#This Row],[مقدار (کیلوگرم)]],0)</f>
        <v>2809</v>
      </c>
      <c r="N668" s="6">
        <f ca="1">Main[[#This Row],[بدهکار (کیلوگرم)]]-Main[[#This Row],[بدهی تسویه نشده (کیلوگرم)]]</f>
        <v>2809</v>
      </c>
      <c r="O668" s="6">
        <f ca="1">Main[[#This Row],[تفکیک]]</f>
        <v>0</v>
      </c>
      <c r="P668" s="6">
        <f ca="1">IF(Main[[#This Row],[تاخیر از سررسید]]&gt;0,Main[[#This Row],[بدهی تسویه نشده (کیلوگرم)]],0)</f>
        <v>0</v>
      </c>
      <c r="Q668" s="6">
        <f ca="1">IF(Main[[#This Row],[بدهی تسویه نشده (کیلوگرم)]]&gt;0,'گزارش فردی'!$B$7-Main[[#This Row],[تاريخ میلادی]],0)</f>
        <v>0</v>
      </c>
      <c r="R668" s="6">
        <f ca="1">IF(Main[[#This Row],[بدهی تسویه نشده (کیلوگرم)]]&gt;0,'گزارش فردی'!$B$7-Main[[#This Row],[تاريخ میلادی]]-'گزارش فردی'!$B$8,0)</f>
        <v>0</v>
      </c>
      <c r="S668" s="6">
        <f ca="1">Main[[#This Row],[روز از ارسال سفارش]]*Main[[#This Row],[بدهی تسویه نشده (کیلوگرم)]]</f>
        <v>0</v>
      </c>
      <c r="T668" s="6">
        <f ca="1">Main[[#This Row],[بدهی سررسید شده (کیلوگرم)]]*Main[[#This Row],[روز از ارسال سفارش]]</f>
        <v>0</v>
      </c>
      <c r="U668" s="6">
        <f>-SUBTOTAL(9,INDEX(Main[مقدار (کیلوگرم)],1):Main[[#This Row],[مقدار (کیلوگرم)]])</f>
        <v>28536</v>
      </c>
      <c r="V6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8" s="6">
        <f>Main[[#This Row],[تعداد کل روزهای بدهکار (روز)]]*Main[[#This Row],[مانده در خط کل (کیلوگرم)]]</f>
        <v>28536</v>
      </c>
      <c r="X668" s="6">
        <f ca="1">-SUBTOTAL(9,INDEX(Main[مقدار تسویه شده (کیلوگرم)],1):Main[[#This Row],[مقدار تسویه شده (کیلوگرم)]])</f>
        <v>28536</v>
      </c>
      <c r="Y668" s="6">
        <f ca="1">IF(Main[[#This Row],[مانده در خط تسویه شده (کیلوگرم)]]&lt;&gt;0,Main[[#This Row],[تعداد کل روزهای بدهکار (روز)]],0)</f>
        <v>1</v>
      </c>
      <c r="Z668" s="6">
        <f ca="1">Main[[#This Row],[تعداد روزهای بدهکار تسویه شده (روز)]]*Main[[#This Row],[مانده در خط تسویه شده (کیلوگرم)]]</f>
        <v>28536</v>
      </c>
      <c r="AA668" s="6">
        <f ca="1">SUBTOTAL(9,INDEX(Main[بدهی تسویه نشده (کیلوگرم)],1):Main[[#This Row],[بدهی تسویه نشده (کیلوگرم)]])</f>
        <v>0</v>
      </c>
      <c r="AB668" s="6">
        <f ca="1">IF(Main[[#This Row],[مانده در خط تسویه نشده (کیلوگرم)]]&lt;&gt;0,Main[[#This Row],[تعداد کل روزهای بدهکار (روز)]],0)</f>
        <v>0</v>
      </c>
      <c r="AC668" s="6">
        <f ca="1">Main[[#This Row],[تعداد روزهای بدهکار  تسویه نشده (روز)]]*Main[[#This Row],[مانده در خط تسویه نشده (کیلوگرم)]]</f>
        <v>0</v>
      </c>
      <c r="AD668" s="6">
        <f ca="1">SUBTOTAL(9,INDEX(Main[بدهی سررسید شده (کیلوگرم)],1):Main[[#This Row],[بدهی سررسید شده (کیلوگرم)]])</f>
        <v>0</v>
      </c>
      <c r="AE668" s="6">
        <f ca="1">IF(Main[[#This Row],[مانده در خط سررسید شده (کیلوگرم)]]&lt;&gt;0,Main[[#This Row],[تعداد کل روزهای بدهکار (روز)]],0)</f>
        <v>0</v>
      </c>
      <c r="AF668" s="6">
        <f ca="1">Main[[#This Row],[تعداد روزهای بدهکار سررسید شده (روز)]]*Main[[#This Row],[مانده در خط سررسید شده (کیلوگرم)]]</f>
        <v>0</v>
      </c>
    </row>
    <row r="669" spans="1:32" hidden="1" x14ac:dyDescent="0.35">
      <c r="A669" s="5">
        <f>ROW()-ROW(INDEX(Main[ردیف],1))+1</f>
        <v>667</v>
      </c>
      <c r="B669" s="31">
        <f>SUBTOTAL(2,INDEX(Main[ردیف],1):Main[[#This Row],[ردیف]])</f>
        <v>64</v>
      </c>
      <c r="C669" s="32" t="s">
        <v>578</v>
      </c>
      <c r="D669" s="32" t="str">
        <f>_xlfn.CONCAT("14",Main[[#This Row],[تاريخ]])</f>
        <v>1400/03/12</v>
      </c>
      <c r="E669" s="33">
        <v>44349</v>
      </c>
      <c r="F669" s="32">
        <v>30003</v>
      </c>
      <c r="G669" s="5" t="str">
        <f>INDEX(customer[عنوان],MATCH(Main[[#This Row],[کد ردیابی]],customer[کد],0))</f>
        <v xml:space="preserve">شهاب گاز سوز </v>
      </c>
      <c r="H669">
        <v>86</v>
      </c>
      <c r="I669" s="6">
        <f ca="1">-Main[[#This Row],[بدهی تسویه شده (کیلوگرم)]]+Main[[#This Row],[بستانکار (کیلوگرم)]]</f>
        <v>86</v>
      </c>
      <c r="J669" s="6">
        <f>IF(Main[[#This Row],[مقدار (کیلوگرم)]]&gt;0,Main[[#This Row],[مقدار (کیلوگرم)]],0)</f>
        <v>86</v>
      </c>
      <c r="K669" s="6">
        <f>-IF(Main[[#This Row],[مقدار (کیلوگرم)]]&lt;0,Main[[#This Row],[مقدار (کیلوگرم)]],0)</f>
        <v>0</v>
      </c>
      <c r="L6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9" s="7">
        <f>-IF(AND(Main[[#This Row],[مقدار (کیلوگرم)]]&lt;0,Main[[#This Row],[تاريخ میلادی]]&gt;44276),Main[[#This Row],[مقدار (کیلوگرم)]],0)</f>
        <v>0</v>
      </c>
      <c r="N669" s="6">
        <f ca="1">Main[[#This Row],[بدهکار (کیلوگرم)]]-Main[[#This Row],[بدهی تسویه نشده (کیلوگرم)]]</f>
        <v>0</v>
      </c>
      <c r="O669" s="6">
        <f ca="1">Main[[#This Row],[تفکیک]]</f>
        <v>0</v>
      </c>
      <c r="P669" s="6">
        <f ca="1">IF(Main[[#This Row],[تاخیر از سررسید]]&gt;0,Main[[#This Row],[بدهی تسویه نشده (کیلوگرم)]],0)</f>
        <v>0</v>
      </c>
      <c r="Q669" s="6">
        <f ca="1">IF(Main[[#This Row],[بدهی تسویه نشده (کیلوگرم)]]&gt;0,'گزارش فردی'!$B$7-Main[[#This Row],[تاريخ میلادی]],0)</f>
        <v>0</v>
      </c>
      <c r="R669" s="6">
        <f ca="1">IF(Main[[#This Row],[بدهی تسویه نشده (کیلوگرم)]]&gt;0,'گزارش فردی'!$B$7-Main[[#This Row],[تاريخ میلادی]]-'گزارش فردی'!$B$8,0)</f>
        <v>0</v>
      </c>
      <c r="S669" s="6">
        <f ca="1">Main[[#This Row],[روز از ارسال سفارش]]*Main[[#This Row],[بدهی تسویه نشده (کیلوگرم)]]</f>
        <v>0</v>
      </c>
      <c r="T669" s="6">
        <f ca="1">Main[[#This Row],[بدهی سررسید شده (کیلوگرم)]]*Main[[#This Row],[روز از ارسال سفارش]]</f>
        <v>0</v>
      </c>
      <c r="U669" s="6">
        <f>-SUBTOTAL(9,INDEX(Main[مقدار (کیلوگرم)],1):Main[[#This Row],[مقدار (کیلوگرم)]])</f>
        <v>28536</v>
      </c>
      <c r="V6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9" s="6">
        <f>Main[[#This Row],[تعداد کل روزهای بدهکار (روز)]]*Main[[#This Row],[مانده در خط کل (کیلوگرم)]]</f>
        <v>28536</v>
      </c>
      <c r="X669" s="6">
        <f ca="1">-SUBTOTAL(9,INDEX(Main[مقدار تسویه شده (کیلوگرم)],1):Main[[#This Row],[مقدار تسویه شده (کیلوگرم)]])</f>
        <v>28536</v>
      </c>
      <c r="Y669" s="6">
        <f ca="1">IF(Main[[#This Row],[مانده در خط تسویه شده (کیلوگرم)]]&lt;&gt;0,Main[[#This Row],[تعداد کل روزهای بدهکار (روز)]],0)</f>
        <v>1</v>
      </c>
      <c r="Z669" s="6">
        <f ca="1">Main[[#This Row],[تعداد روزهای بدهکار تسویه شده (روز)]]*Main[[#This Row],[مانده در خط تسویه شده (کیلوگرم)]]</f>
        <v>28536</v>
      </c>
      <c r="AA669" s="6">
        <f ca="1">SUBTOTAL(9,INDEX(Main[بدهی تسویه نشده (کیلوگرم)],1):Main[[#This Row],[بدهی تسویه نشده (کیلوگرم)]])</f>
        <v>0</v>
      </c>
      <c r="AB669" s="6">
        <f ca="1">IF(Main[[#This Row],[مانده در خط تسویه نشده (کیلوگرم)]]&lt;&gt;0,Main[[#This Row],[تعداد کل روزهای بدهکار (روز)]],0)</f>
        <v>0</v>
      </c>
      <c r="AC669" s="6">
        <f ca="1">Main[[#This Row],[تعداد روزهای بدهکار  تسویه نشده (روز)]]*Main[[#This Row],[مانده در خط تسویه نشده (کیلوگرم)]]</f>
        <v>0</v>
      </c>
      <c r="AD669" s="6">
        <f ca="1">SUBTOTAL(9,INDEX(Main[بدهی سررسید شده (کیلوگرم)],1):Main[[#This Row],[بدهی سررسید شده (کیلوگرم)]])</f>
        <v>0</v>
      </c>
      <c r="AE669" s="6">
        <f ca="1">IF(Main[[#This Row],[مانده در خط سررسید شده (کیلوگرم)]]&lt;&gt;0,Main[[#This Row],[تعداد کل روزهای بدهکار (روز)]],0)</f>
        <v>0</v>
      </c>
      <c r="AF669" s="6">
        <f ca="1">Main[[#This Row],[تعداد روزهای بدهکار سررسید شده (روز)]]*Main[[#This Row],[مانده در خط سررسید شده (کیلوگرم)]]</f>
        <v>0</v>
      </c>
    </row>
    <row r="670" spans="1:32" hidden="1" x14ac:dyDescent="0.35">
      <c r="A670" s="5">
        <f>ROW()-ROW(INDEX(Main[ردیف],1))+1</f>
        <v>668</v>
      </c>
      <c r="B670" s="31">
        <f>SUBTOTAL(2,INDEX(Main[ردیف],1):Main[[#This Row],[ردیف]])</f>
        <v>64</v>
      </c>
      <c r="C670" s="32" t="s">
        <v>578</v>
      </c>
      <c r="D670" s="32" t="str">
        <f>_xlfn.CONCAT("14",Main[[#This Row],[تاريخ]])</f>
        <v>1400/03/12</v>
      </c>
      <c r="E670" s="33">
        <v>44349</v>
      </c>
      <c r="F670" s="32">
        <v>50011</v>
      </c>
      <c r="G670" s="5" t="str">
        <f>INDEX(customer[عنوان],MATCH(Main[[#This Row],[کد ردیابی]],customer[کد],0))</f>
        <v xml:space="preserve">جعفر هوشمند </v>
      </c>
      <c r="H670">
        <v>-1771</v>
      </c>
      <c r="I670" s="6">
        <f ca="1">-Main[[#This Row],[بدهی تسویه شده (کیلوگرم)]]+Main[[#This Row],[بستانکار (کیلوگرم)]]</f>
        <v>-1771</v>
      </c>
      <c r="J670" s="6">
        <f>IF(Main[[#This Row],[مقدار (کیلوگرم)]]&gt;0,Main[[#This Row],[مقدار (کیلوگرم)]],0)</f>
        <v>0</v>
      </c>
      <c r="K670" s="6">
        <f>-IF(Main[[#This Row],[مقدار (کیلوگرم)]]&lt;0,Main[[#This Row],[مقدار (کیلوگرم)]],0)</f>
        <v>1771</v>
      </c>
      <c r="L6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0" s="7">
        <f>-IF(AND(Main[[#This Row],[مقدار (کیلوگرم)]]&lt;0,Main[[#This Row],[تاريخ میلادی]]&gt;44276),Main[[#This Row],[مقدار (کیلوگرم)]],0)</f>
        <v>1771</v>
      </c>
      <c r="N670" s="6">
        <f ca="1">Main[[#This Row],[بدهکار (کیلوگرم)]]-Main[[#This Row],[بدهی تسویه نشده (کیلوگرم)]]</f>
        <v>1771</v>
      </c>
      <c r="O670" s="6">
        <f ca="1">Main[[#This Row],[تفکیک]]</f>
        <v>0</v>
      </c>
      <c r="P670" s="6">
        <f ca="1">IF(Main[[#This Row],[تاخیر از سررسید]]&gt;0,Main[[#This Row],[بدهی تسویه نشده (کیلوگرم)]],0)</f>
        <v>0</v>
      </c>
      <c r="Q670" s="6">
        <f ca="1">IF(Main[[#This Row],[بدهی تسویه نشده (کیلوگرم)]]&gt;0,'گزارش فردی'!$B$7-Main[[#This Row],[تاريخ میلادی]],0)</f>
        <v>0</v>
      </c>
      <c r="R670" s="6">
        <f ca="1">IF(Main[[#This Row],[بدهی تسویه نشده (کیلوگرم)]]&gt;0,'گزارش فردی'!$B$7-Main[[#This Row],[تاريخ میلادی]]-'گزارش فردی'!$B$8,0)</f>
        <v>0</v>
      </c>
      <c r="S670" s="6">
        <f ca="1">Main[[#This Row],[روز از ارسال سفارش]]*Main[[#This Row],[بدهی تسویه نشده (کیلوگرم)]]</f>
        <v>0</v>
      </c>
      <c r="T670" s="6">
        <f ca="1">Main[[#This Row],[بدهی سررسید شده (کیلوگرم)]]*Main[[#This Row],[روز از ارسال سفارش]]</f>
        <v>0</v>
      </c>
      <c r="U670" s="6">
        <f>-SUBTOTAL(9,INDEX(Main[مقدار (کیلوگرم)],1):Main[[#This Row],[مقدار (کیلوگرم)]])</f>
        <v>28536</v>
      </c>
      <c r="V6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0" s="6">
        <f>Main[[#This Row],[تعداد کل روزهای بدهکار (روز)]]*Main[[#This Row],[مانده در خط کل (کیلوگرم)]]</f>
        <v>28536</v>
      </c>
      <c r="X670" s="6">
        <f ca="1">-SUBTOTAL(9,INDEX(Main[مقدار تسویه شده (کیلوگرم)],1):Main[[#This Row],[مقدار تسویه شده (کیلوگرم)]])</f>
        <v>28536</v>
      </c>
      <c r="Y670" s="6">
        <f ca="1">IF(Main[[#This Row],[مانده در خط تسویه شده (کیلوگرم)]]&lt;&gt;0,Main[[#This Row],[تعداد کل روزهای بدهکار (روز)]],0)</f>
        <v>1</v>
      </c>
      <c r="Z670" s="6">
        <f ca="1">Main[[#This Row],[تعداد روزهای بدهکار تسویه شده (روز)]]*Main[[#This Row],[مانده در خط تسویه شده (کیلوگرم)]]</f>
        <v>28536</v>
      </c>
      <c r="AA670" s="6">
        <f ca="1">SUBTOTAL(9,INDEX(Main[بدهی تسویه نشده (کیلوگرم)],1):Main[[#This Row],[بدهی تسویه نشده (کیلوگرم)]])</f>
        <v>0</v>
      </c>
      <c r="AB670" s="6">
        <f ca="1">IF(Main[[#This Row],[مانده در خط تسویه نشده (کیلوگرم)]]&lt;&gt;0,Main[[#This Row],[تعداد کل روزهای بدهکار (روز)]],0)</f>
        <v>0</v>
      </c>
      <c r="AC670" s="6">
        <f ca="1">Main[[#This Row],[تعداد روزهای بدهکار  تسویه نشده (روز)]]*Main[[#This Row],[مانده در خط تسویه نشده (کیلوگرم)]]</f>
        <v>0</v>
      </c>
      <c r="AD670" s="6">
        <f ca="1">SUBTOTAL(9,INDEX(Main[بدهی سررسید شده (کیلوگرم)],1):Main[[#This Row],[بدهی سررسید شده (کیلوگرم)]])</f>
        <v>0</v>
      </c>
      <c r="AE670" s="6">
        <f ca="1">IF(Main[[#This Row],[مانده در خط سررسید شده (کیلوگرم)]]&lt;&gt;0,Main[[#This Row],[تعداد کل روزهای بدهکار (روز)]],0)</f>
        <v>0</v>
      </c>
      <c r="AF670" s="6">
        <f ca="1">Main[[#This Row],[تعداد روزهای بدهکار سررسید شده (روز)]]*Main[[#This Row],[مانده در خط سررسید شده (کیلوگرم)]]</f>
        <v>0</v>
      </c>
    </row>
    <row r="671" spans="1:32" hidden="1" x14ac:dyDescent="0.35">
      <c r="A671" s="5">
        <f>ROW()-ROW(INDEX(Main[ردیف],1))+1</f>
        <v>669</v>
      </c>
      <c r="B671" s="31">
        <f>SUBTOTAL(2,INDEX(Main[ردیف],1):Main[[#This Row],[ردیف]])</f>
        <v>64</v>
      </c>
      <c r="C671" s="32" t="s">
        <v>578</v>
      </c>
      <c r="D671" s="32" t="str">
        <f>_xlfn.CONCAT("14",Main[[#This Row],[تاريخ]])</f>
        <v>1400/03/12</v>
      </c>
      <c r="E671" s="33">
        <v>44349</v>
      </c>
      <c r="F671" s="32">
        <v>30127</v>
      </c>
      <c r="G671" s="5" t="str">
        <f>INDEX(customer[عنوان],MATCH(Main[[#This Row],[کد ردیابی]],customer[کد],0))</f>
        <v>شیر گاز آذران</v>
      </c>
      <c r="H671">
        <v>1692</v>
      </c>
      <c r="I671" s="6">
        <f ca="1">-Main[[#This Row],[بدهی تسویه شده (کیلوگرم)]]+Main[[#This Row],[بستانکار (کیلوگرم)]]</f>
        <v>1692</v>
      </c>
      <c r="J671" s="6">
        <f>IF(Main[[#This Row],[مقدار (کیلوگرم)]]&gt;0,Main[[#This Row],[مقدار (کیلوگرم)]],0)</f>
        <v>1692</v>
      </c>
      <c r="K671" s="6">
        <f>-IF(Main[[#This Row],[مقدار (کیلوگرم)]]&lt;0,Main[[#This Row],[مقدار (کیلوگرم)]],0)</f>
        <v>0</v>
      </c>
      <c r="L6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1" s="7">
        <f>-IF(AND(Main[[#This Row],[مقدار (کیلوگرم)]]&lt;0,Main[[#This Row],[تاريخ میلادی]]&gt;44276),Main[[#This Row],[مقدار (کیلوگرم)]],0)</f>
        <v>0</v>
      </c>
      <c r="N671" s="6">
        <f ca="1">Main[[#This Row],[بدهکار (کیلوگرم)]]-Main[[#This Row],[بدهی تسویه نشده (کیلوگرم)]]</f>
        <v>0</v>
      </c>
      <c r="O671" s="6">
        <f ca="1">Main[[#This Row],[تفکیک]]</f>
        <v>0</v>
      </c>
      <c r="P671" s="6">
        <f ca="1">IF(Main[[#This Row],[تاخیر از سررسید]]&gt;0,Main[[#This Row],[بدهی تسویه نشده (کیلوگرم)]],0)</f>
        <v>0</v>
      </c>
      <c r="Q671" s="6">
        <f ca="1">IF(Main[[#This Row],[بدهی تسویه نشده (کیلوگرم)]]&gt;0,'گزارش فردی'!$B$7-Main[[#This Row],[تاريخ میلادی]],0)</f>
        <v>0</v>
      </c>
      <c r="R671" s="6">
        <f ca="1">IF(Main[[#This Row],[بدهی تسویه نشده (کیلوگرم)]]&gt;0,'گزارش فردی'!$B$7-Main[[#This Row],[تاريخ میلادی]]-'گزارش فردی'!$B$8,0)</f>
        <v>0</v>
      </c>
      <c r="S671" s="6">
        <f ca="1">Main[[#This Row],[روز از ارسال سفارش]]*Main[[#This Row],[بدهی تسویه نشده (کیلوگرم)]]</f>
        <v>0</v>
      </c>
      <c r="T671" s="6">
        <f ca="1">Main[[#This Row],[بدهی سررسید شده (کیلوگرم)]]*Main[[#This Row],[روز از ارسال سفارش]]</f>
        <v>0</v>
      </c>
      <c r="U671" s="6">
        <f>-SUBTOTAL(9,INDEX(Main[مقدار (کیلوگرم)],1):Main[[#This Row],[مقدار (کیلوگرم)]])</f>
        <v>28536</v>
      </c>
      <c r="V6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1" s="6">
        <f>Main[[#This Row],[تعداد کل روزهای بدهکار (روز)]]*Main[[#This Row],[مانده در خط کل (کیلوگرم)]]</f>
        <v>28536</v>
      </c>
      <c r="X671" s="6">
        <f ca="1">-SUBTOTAL(9,INDEX(Main[مقدار تسویه شده (کیلوگرم)],1):Main[[#This Row],[مقدار تسویه شده (کیلوگرم)]])</f>
        <v>28536</v>
      </c>
      <c r="Y671" s="6">
        <f ca="1">IF(Main[[#This Row],[مانده در خط تسویه شده (کیلوگرم)]]&lt;&gt;0,Main[[#This Row],[تعداد کل روزهای بدهکار (روز)]],0)</f>
        <v>1</v>
      </c>
      <c r="Z671" s="6">
        <f ca="1">Main[[#This Row],[تعداد روزهای بدهکار تسویه شده (روز)]]*Main[[#This Row],[مانده در خط تسویه شده (کیلوگرم)]]</f>
        <v>28536</v>
      </c>
      <c r="AA671" s="6">
        <f ca="1">SUBTOTAL(9,INDEX(Main[بدهی تسویه نشده (کیلوگرم)],1):Main[[#This Row],[بدهی تسویه نشده (کیلوگرم)]])</f>
        <v>0</v>
      </c>
      <c r="AB671" s="6">
        <f ca="1">IF(Main[[#This Row],[مانده در خط تسویه نشده (کیلوگرم)]]&lt;&gt;0,Main[[#This Row],[تعداد کل روزهای بدهکار (روز)]],0)</f>
        <v>0</v>
      </c>
      <c r="AC671" s="6">
        <f ca="1">Main[[#This Row],[تعداد روزهای بدهکار  تسویه نشده (روز)]]*Main[[#This Row],[مانده در خط تسویه نشده (کیلوگرم)]]</f>
        <v>0</v>
      </c>
      <c r="AD671" s="6">
        <f ca="1">SUBTOTAL(9,INDEX(Main[بدهی سررسید شده (کیلوگرم)],1):Main[[#This Row],[بدهی سررسید شده (کیلوگرم)]])</f>
        <v>0</v>
      </c>
      <c r="AE671" s="6">
        <f ca="1">IF(Main[[#This Row],[مانده در خط سررسید شده (کیلوگرم)]]&lt;&gt;0,Main[[#This Row],[تعداد کل روزهای بدهکار (روز)]],0)</f>
        <v>0</v>
      </c>
      <c r="AF671" s="6">
        <f ca="1">Main[[#This Row],[تعداد روزهای بدهکار سررسید شده (روز)]]*Main[[#This Row],[مانده در خط سررسید شده (کیلوگرم)]]</f>
        <v>0</v>
      </c>
    </row>
    <row r="672" spans="1:32" hidden="1" x14ac:dyDescent="0.35">
      <c r="A672" s="5">
        <f>ROW()-ROW(INDEX(Main[ردیف],1))+1</f>
        <v>670</v>
      </c>
      <c r="B672" s="31">
        <f>SUBTOTAL(2,INDEX(Main[ردیف],1):Main[[#This Row],[ردیف]])</f>
        <v>64</v>
      </c>
      <c r="C672" s="32" t="s">
        <v>578</v>
      </c>
      <c r="D672" s="32" t="str">
        <f>_xlfn.CONCAT("14",Main[[#This Row],[تاريخ]])</f>
        <v>1400/03/12</v>
      </c>
      <c r="E672" s="33">
        <v>44349</v>
      </c>
      <c r="F672" s="32">
        <v>10009</v>
      </c>
      <c r="G672" s="5" t="str">
        <f>INDEX(customer[عنوان],MATCH(Main[[#This Row],[کد ردیابی]],customer[کد],0))</f>
        <v>محمد نمازی</v>
      </c>
      <c r="H672">
        <v>-2193</v>
      </c>
      <c r="I672" s="6">
        <f ca="1">-Main[[#This Row],[بدهی تسویه شده (کیلوگرم)]]+Main[[#This Row],[بستانکار (کیلوگرم)]]</f>
        <v>-2193</v>
      </c>
      <c r="J672" s="6">
        <f>IF(Main[[#This Row],[مقدار (کیلوگرم)]]&gt;0,Main[[#This Row],[مقدار (کیلوگرم)]],0)</f>
        <v>0</v>
      </c>
      <c r="K672" s="6">
        <f>-IF(Main[[#This Row],[مقدار (کیلوگرم)]]&lt;0,Main[[#This Row],[مقدار (کیلوگرم)]],0)</f>
        <v>2193</v>
      </c>
      <c r="L6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2" s="7">
        <f>-IF(AND(Main[[#This Row],[مقدار (کیلوگرم)]]&lt;0,Main[[#This Row],[تاريخ میلادی]]&gt;44276),Main[[#This Row],[مقدار (کیلوگرم)]],0)</f>
        <v>2193</v>
      </c>
      <c r="N672" s="6">
        <f ca="1">Main[[#This Row],[بدهکار (کیلوگرم)]]-Main[[#This Row],[بدهی تسویه نشده (کیلوگرم)]]</f>
        <v>2193</v>
      </c>
      <c r="O672" s="6">
        <f ca="1">Main[[#This Row],[تفکیک]]</f>
        <v>0</v>
      </c>
      <c r="P672" s="6">
        <f ca="1">IF(Main[[#This Row],[تاخیر از سررسید]]&gt;0,Main[[#This Row],[بدهی تسویه نشده (کیلوگرم)]],0)</f>
        <v>0</v>
      </c>
      <c r="Q672" s="6">
        <f ca="1">IF(Main[[#This Row],[بدهی تسویه نشده (کیلوگرم)]]&gt;0,'گزارش فردی'!$B$7-Main[[#This Row],[تاريخ میلادی]],0)</f>
        <v>0</v>
      </c>
      <c r="R672" s="6">
        <f ca="1">IF(Main[[#This Row],[بدهی تسویه نشده (کیلوگرم)]]&gt;0,'گزارش فردی'!$B$7-Main[[#This Row],[تاريخ میلادی]]-'گزارش فردی'!$B$8,0)</f>
        <v>0</v>
      </c>
      <c r="S672" s="6">
        <f ca="1">Main[[#This Row],[روز از ارسال سفارش]]*Main[[#This Row],[بدهی تسویه نشده (کیلوگرم)]]</f>
        <v>0</v>
      </c>
      <c r="T672" s="6">
        <f ca="1">Main[[#This Row],[بدهی سررسید شده (کیلوگرم)]]*Main[[#This Row],[روز از ارسال سفارش]]</f>
        <v>0</v>
      </c>
      <c r="U672" s="6">
        <f>-SUBTOTAL(9,INDEX(Main[مقدار (کیلوگرم)],1):Main[[#This Row],[مقدار (کیلوگرم)]])</f>
        <v>28536</v>
      </c>
      <c r="V6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2" s="6">
        <f>Main[[#This Row],[تعداد کل روزهای بدهکار (روز)]]*Main[[#This Row],[مانده در خط کل (کیلوگرم)]]</f>
        <v>28536</v>
      </c>
      <c r="X672" s="6">
        <f ca="1">-SUBTOTAL(9,INDEX(Main[مقدار تسویه شده (کیلوگرم)],1):Main[[#This Row],[مقدار تسویه شده (کیلوگرم)]])</f>
        <v>28536</v>
      </c>
      <c r="Y672" s="6">
        <f ca="1">IF(Main[[#This Row],[مانده در خط تسویه شده (کیلوگرم)]]&lt;&gt;0,Main[[#This Row],[تعداد کل روزهای بدهکار (روز)]],0)</f>
        <v>1</v>
      </c>
      <c r="Z672" s="6">
        <f ca="1">Main[[#This Row],[تعداد روزهای بدهکار تسویه شده (روز)]]*Main[[#This Row],[مانده در خط تسویه شده (کیلوگرم)]]</f>
        <v>28536</v>
      </c>
      <c r="AA672" s="6">
        <f ca="1">SUBTOTAL(9,INDEX(Main[بدهی تسویه نشده (کیلوگرم)],1):Main[[#This Row],[بدهی تسویه نشده (کیلوگرم)]])</f>
        <v>0</v>
      </c>
      <c r="AB672" s="6">
        <f ca="1">IF(Main[[#This Row],[مانده در خط تسویه نشده (کیلوگرم)]]&lt;&gt;0,Main[[#This Row],[تعداد کل روزهای بدهکار (روز)]],0)</f>
        <v>0</v>
      </c>
      <c r="AC672" s="6">
        <f ca="1">Main[[#This Row],[تعداد روزهای بدهکار  تسویه نشده (روز)]]*Main[[#This Row],[مانده در خط تسویه نشده (کیلوگرم)]]</f>
        <v>0</v>
      </c>
      <c r="AD672" s="6">
        <f ca="1">SUBTOTAL(9,INDEX(Main[بدهی سررسید شده (کیلوگرم)],1):Main[[#This Row],[بدهی سررسید شده (کیلوگرم)]])</f>
        <v>0</v>
      </c>
      <c r="AE672" s="6">
        <f ca="1">IF(Main[[#This Row],[مانده در خط سررسید شده (کیلوگرم)]]&lt;&gt;0,Main[[#This Row],[تعداد کل روزهای بدهکار (روز)]],0)</f>
        <v>0</v>
      </c>
      <c r="AF672" s="6">
        <f ca="1">Main[[#This Row],[تعداد روزهای بدهکار سررسید شده (روز)]]*Main[[#This Row],[مانده در خط سررسید شده (کیلوگرم)]]</f>
        <v>0</v>
      </c>
    </row>
    <row r="673" spans="1:32" hidden="1" x14ac:dyDescent="0.35">
      <c r="A673" s="5">
        <f>ROW()-ROW(INDEX(Main[ردیف],1))+1</f>
        <v>671</v>
      </c>
      <c r="B673" s="31">
        <f>SUBTOTAL(2,INDEX(Main[ردیف],1):Main[[#This Row],[ردیف]])</f>
        <v>64</v>
      </c>
      <c r="C673" s="32" t="s">
        <v>578</v>
      </c>
      <c r="D673" s="32" t="str">
        <f>_xlfn.CONCAT("14",Main[[#This Row],[تاريخ]])</f>
        <v>1400/03/12</v>
      </c>
      <c r="E673" s="33">
        <v>44349</v>
      </c>
      <c r="F673" s="32">
        <v>30003</v>
      </c>
      <c r="G673" s="5" t="str">
        <f>INDEX(customer[عنوان],MATCH(Main[[#This Row],[کد ردیابی]],customer[کد],0))</f>
        <v xml:space="preserve">شهاب گاز سوز </v>
      </c>
      <c r="H673">
        <v>381</v>
      </c>
      <c r="I673" s="6">
        <f ca="1">-Main[[#This Row],[بدهی تسویه شده (کیلوگرم)]]+Main[[#This Row],[بستانکار (کیلوگرم)]]</f>
        <v>381</v>
      </c>
      <c r="J673" s="6">
        <f>IF(Main[[#This Row],[مقدار (کیلوگرم)]]&gt;0,Main[[#This Row],[مقدار (کیلوگرم)]],0)</f>
        <v>381</v>
      </c>
      <c r="K673" s="6">
        <f>-IF(Main[[#This Row],[مقدار (کیلوگرم)]]&lt;0,Main[[#This Row],[مقدار (کیلوگرم)]],0)</f>
        <v>0</v>
      </c>
      <c r="L6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3" s="7">
        <f>-IF(AND(Main[[#This Row],[مقدار (کیلوگرم)]]&lt;0,Main[[#This Row],[تاريخ میلادی]]&gt;44276),Main[[#This Row],[مقدار (کیلوگرم)]],0)</f>
        <v>0</v>
      </c>
      <c r="N673" s="6">
        <f ca="1">Main[[#This Row],[بدهکار (کیلوگرم)]]-Main[[#This Row],[بدهی تسویه نشده (کیلوگرم)]]</f>
        <v>0</v>
      </c>
      <c r="O673" s="6">
        <f ca="1">Main[[#This Row],[تفکیک]]</f>
        <v>0</v>
      </c>
      <c r="P673" s="6">
        <f ca="1">IF(Main[[#This Row],[تاخیر از سررسید]]&gt;0,Main[[#This Row],[بدهی تسویه نشده (کیلوگرم)]],0)</f>
        <v>0</v>
      </c>
      <c r="Q673" s="6">
        <f ca="1">IF(Main[[#This Row],[بدهی تسویه نشده (کیلوگرم)]]&gt;0,'گزارش فردی'!$B$7-Main[[#This Row],[تاريخ میلادی]],0)</f>
        <v>0</v>
      </c>
      <c r="R673" s="6">
        <f ca="1">IF(Main[[#This Row],[بدهی تسویه نشده (کیلوگرم)]]&gt;0,'گزارش فردی'!$B$7-Main[[#This Row],[تاريخ میلادی]]-'گزارش فردی'!$B$8,0)</f>
        <v>0</v>
      </c>
      <c r="S673" s="6">
        <f ca="1">Main[[#This Row],[روز از ارسال سفارش]]*Main[[#This Row],[بدهی تسویه نشده (کیلوگرم)]]</f>
        <v>0</v>
      </c>
      <c r="T673" s="6">
        <f ca="1">Main[[#This Row],[بدهی سررسید شده (کیلوگرم)]]*Main[[#This Row],[روز از ارسال سفارش]]</f>
        <v>0</v>
      </c>
      <c r="U673" s="6">
        <f>-SUBTOTAL(9,INDEX(Main[مقدار (کیلوگرم)],1):Main[[#This Row],[مقدار (کیلوگرم)]])</f>
        <v>28536</v>
      </c>
      <c r="V6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3" s="6">
        <f>Main[[#This Row],[تعداد کل روزهای بدهکار (روز)]]*Main[[#This Row],[مانده در خط کل (کیلوگرم)]]</f>
        <v>28536</v>
      </c>
      <c r="X673" s="6">
        <f ca="1">-SUBTOTAL(9,INDEX(Main[مقدار تسویه شده (کیلوگرم)],1):Main[[#This Row],[مقدار تسویه شده (کیلوگرم)]])</f>
        <v>28536</v>
      </c>
      <c r="Y673" s="6">
        <f ca="1">IF(Main[[#This Row],[مانده در خط تسویه شده (کیلوگرم)]]&lt;&gt;0,Main[[#This Row],[تعداد کل روزهای بدهکار (روز)]],0)</f>
        <v>1</v>
      </c>
      <c r="Z673" s="6">
        <f ca="1">Main[[#This Row],[تعداد روزهای بدهکار تسویه شده (روز)]]*Main[[#This Row],[مانده در خط تسویه شده (کیلوگرم)]]</f>
        <v>28536</v>
      </c>
      <c r="AA673" s="6">
        <f ca="1">SUBTOTAL(9,INDEX(Main[بدهی تسویه نشده (کیلوگرم)],1):Main[[#This Row],[بدهی تسویه نشده (کیلوگرم)]])</f>
        <v>0</v>
      </c>
      <c r="AB673" s="6">
        <f ca="1">IF(Main[[#This Row],[مانده در خط تسویه نشده (کیلوگرم)]]&lt;&gt;0,Main[[#This Row],[تعداد کل روزهای بدهکار (روز)]],0)</f>
        <v>0</v>
      </c>
      <c r="AC673" s="6">
        <f ca="1">Main[[#This Row],[تعداد روزهای بدهکار  تسویه نشده (روز)]]*Main[[#This Row],[مانده در خط تسویه نشده (کیلوگرم)]]</f>
        <v>0</v>
      </c>
      <c r="AD673" s="6">
        <f ca="1">SUBTOTAL(9,INDEX(Main[بدهی سررسید شده (کیلوگرم)],1):Main[[#This Row],[بدهی سررسید شده (کیلوگرم)]])</f>
        <v>0</v>
      </c>
      <c r="AE673" s="6">
        <f ca="1">IF(Main[[#This Row],[مانده در خط سررسید شده (کیلوگرم)]]&lt;&gt;0,Main[[#This Row],[تعداد کل روزهای بدهکار (روز)]],0)</f>
        <v>0</v>
      </c>
      <c r="AF673" s="6">
        <f ca="1">Main[[#This Row],[تعداد روزهای بدهکار سررسید شده (روز)]]*Main[[#This Row],[مانده در خط سررسید شده (کیلوگرم)]]</f>
        <v>0</v>
      </c>
    </row>
    <row r="674" spans="1:32" hidden="1" x14ac:dyDescent="0.35">
      <c r="A674" s="5">
        <f>ROW()-ROW(INDEX(Main[ردیف],1))+1</f>
        <v>672</v>
      </c>
      <c r="B674" s="31">
        <f>SUBTOTAL(2,INDEX(Main[ردیف],1):Main[[#This Row],[ردیف]])</f>
        <v>64</v>
      </c>
      <c r="C674" s="32" t="s">
        <v>578</v>
      </c>
      <c r="D674" s="32" t="str">
        <f>_xlfn.CONCAT("14",Main[[#This Row],[تاريخ]])</f>
        <v>1400/03/12</v>
      </c>
      <c r="E674" s="33">
        <v>44349</v>
      </c>
      <c r="F674" s="32">
        <v>10055</v>
      </c>
      <c r="G674" s="5" t="str">
        <f>INDEX(customer[عنوان],MATCH(Main[[#This Row],[کد ردیابی]],customer[کد],0))</f>
        <v xml:space="preserve">مریم فیض آبادی  </v>
      </c>
      <c r="H674">
        <v>-4289</v>
      </c>
      <c r="I674" s="6">
        <f ca="1">-Main[[#This Row],[بدهی تسویه شده (کیلوگرم)]]+Main[[#This Row],[بستانکار (کیلوگرم)]]</f>
        <v>-4289</v>
      </c>
      <c r="J674" s="6">
        <f>IF(Main[[#This Row],[مقدار (کیلوگرم)]]&gt;0,Main[[#This Row],[مقدار (کیلوگرم)]],0)</f>
        <v>0</v>
      </c>
      <c r="K674" s="6">
        <f>-IF(Main[[#This Row],[مقدار (کیلوگرم)]]&lt;0,Main[[#This Row],[مقدار (کیلوگرم)]],0)</f>
        <v>4289</v>
      </c>
      <c r="L6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4" s="7">
        <f>-IF(AND(Main[[#This Row],[مقدار (کیلوگرم)]]&lt;0,Main[[#This Row],[تاريخ میلادی]]&gt;44276),Main[[#This Row],[مقدار (کیلوگرم)]],0)</f>
        <v>4289</v>
      </c>
      <c r="N674" s="6">
        <f ca="1">Main[[#This Row],[بدهکار (کیلوگرم)]]-Main[[#This Row],[بدهی تسویه نشده (کیلوگرم)]]</f>
        <v>4289</v>
      </c>
      <c r="O674" s="6">
        <f ca="1">Main[[#This Row],[تفکیک]]</f>
        <v>0</v>
      </c>
      <c r="P674" s="6">
        <f ca="1">IF(Main[[#This Row],[تاخیر از سررسید]]&gt;0,Main[[#This Row],[بدهی تسویه نشده (کیلوگرم)]],0)</f>
        <v>0</v>
      </c>
      <c r="Q674" s="6">
        <f ca="1">IF(Main[[#This Row],[بدهی تسویه نشده (کیلوگرم)]]&gt;0,'گزارش فردی'!$B$7-Main[[#This Row],[تاريخ میلادی]],0)</f>
        <v>0</v>
      </c>
      <c r="R674" s="6">
        <f ca="1">IF(Main[[#This Row],[بدهی تسویه نشده (کیلوگرم)]]&gt;0,'گزارش فردی'!$B$7-Main[[#This Row],[تاريخ میلادی]]-'گزارش فردی'!$B$8,0)</f>
        <v>0</v>
      </c>
      <c r="S674" s="6">
        <f ca="1">Main[[#This Row],[روز از ارسال سفارش]]*Main[[#This Row],[بدهی تسویه نشده (کیلوگرم)]]</f>
        <v>0</v>
      </c>
      <c r="T674" s="6">
        <f ca="1">Main[[#This Row],[بدهی سررسید شده (کیلوگرم)]]*Main[[#This Row],[روز از ارسال سفارش]]</f>
        <v>0</v>
      </c>
      <c r="U674" s="6">
        <f>-SUBTOTAL(9,INDEX(Main[مقدار (کیلوگرم)],1):Main[[#This Row],[مقدار (کیلوگرم)]])</f>
        <v>28536</v>
      </c>
      <c r="V6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4" s="6">
        <f>Main[[#This Row],[تعداد کل روزهای بدهکار (روز)]]*Main[[#This Row],[مانده در خط کل (کیلوگرم)]]</f>
        <v>28536</v>
      </c>
      <c r="X674" s="6">
        <f ca="1">-SUBTOTAL(9,INDEX(Main[مقدار تسویه شده (کیلوگرم)],1):Main[[#This Row],[مقدار تسویه شده (کیلوگرم)]])</f>
        <v>28536</v>
      </c>
      <c r="Y674" s="6">
        <f ca="1">IF(Main[[#This Row],[مانده در خط تسویه شده (کیلوگرم)]]&lt;&gt;0,Main[[#This Row],[تعداد کل روزهای بدهکار (روز)]],0)</f>
        <v>1</v>
      </c>
      <c r="Z674" s="6">
        <f ca="1">Main[[#This Row],[تعداد روزهای بدهکار تسویه شده (روز)]]*Main[[#This Row],[مانده در خط تسویه شده (کیلوگرم)]]</f>
        <v>28536</v>
      </c>
      <c r="AA674" s="6">
        <f ca="1">SUBTOTAL(9,INDEX(Main[بدهی تسویه نشده (کیلوگرم)],1):Main[[#This Row],[بدهی تسویه نشده (کیلوگرم)]])</f>
        <v>0</v>
      </c>
      <c r="AB674" s="6">
        <f ca="1">IF(Main[[#This Row],[مانده در خط تسویه نشده (کیلوگرم)]]&lt;&gt;0,Main[[#This Row],[تعداد کل روزهای بدهکار (روز)]],0)</f>
        <v>0</v>
      </c>
      <c r="AC674" s="6">
        <f ca="1">Main[[#This Row],[تعداد روزهای بدهکار  تسویه نشده (روز)]]*Main[[#This Row],[مانده در خط تسویه نشده (کیلوگرم)]]</f>
        <v>0</v>
      </c>
      <c r="AD674" s="6">
        <f ca="1">SUBTOTAL(9,INDEX(Main[بدهی سررسید شده (کیلوگرم)],1):Main[[#This Row],[بدهی سررسید شده (کیلوگرم)]])</f>
        <v>0</v>
      </c>
      <c r="AE674" s="6">
        <f ca="1">IF(Main[[#This Row],[مانده در خط سررسید شده (کیلوگرم)]]&lt;&gt;0,Main[[#This Row],[تعداد کل روزهای بدهکار (روز)]],0)</f>
        <v>0</v>
      </c>
      <c r="AF674" s="6">
        <f ca="1">Main[[#This Row],[تعداد روزهای بدهکار سررسید شده (روز)]]*Main[[#This Row],[مانده در خط سررسید شده (کیلوگرم)]]</f>
        <v>0</v>
      </c>
    </row>
    <row r="675" spans="1:32" hidden="1" x14ac:dyDescent="0.35">
      <c r="A675" s="5">
        <f>ROW()-ROW(INDEX(Main[ردیف],1))+1</f>
        <v>673</v>
      </c>
      <c r="B675" s="31">
        <f>SUBTOTAL(2,INDEX(Main[ردیف],1):Main[[#This Row],[ردیف]])</f>
        <v>64</v>
      </c>
      <c r="C675" s="32" t="s">
        <v>578</v>
      </c>
      <c r="D675" s="32" t="str">
        <f>_xlfn.CONCAT("14",Main[[#This Row],[تاريخ]])</f>
        <v>1400/03/12</v>
      </c>
      <c r="E675" s="33">
        <v>44349</v>
      </c>
      <c r="F675" s="32">
        <v>30058</v>
      </c>
      <c r="G675" s="5" t="str">
        <f>INDEX(customer[عنوان],MATCH(Main[[#This Row],[کد ردیابی]],customer[کد],0))</f>
        <v xml:space="preserve">پارس شیر </v>
      </c>
      <c r="H675">
        <v>3910</v>
      </c>
      <c r="I675" s="6">
        <f ca="1">-Main[[#This Row],[بدهی تسویه شده (کیلوگرم)]]+Main[[#This Row],[بستانکار (کیلوگرم)]]</f>
        <v>3910</v>
      </c>
      <c r="J675" s="6">
        <f>IF(Main[[#This Row],[مقدار (کیلوگرم)]]&gt;0,Main[[#This Row],[مقدار (کیلوگرم)]],0)</f>
        <v>3910</v>
      </c>
      <c r="K675" s="6">
        <f>-IF(Main[[#This Row],[مقدار (کیلوگرم)]]&lt;0,Main[[#This Row],[مقدار (کیلوگرم)]],0)</f>
        <v>0</v>
      </c>
      <c r="L6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5" s="7">
        <f>-IF(AND(Main[[#This Row],[مقدار (کیلوگرم)]]&lt;0,Main[[#This Row],[تاريخ میلادی]]&gt;44276),Main[[#This Row],[مقدار (کیلوگرم)]],0)</f>
        <v>0</v>
      </c>
      <c r="N675" s="6">
        <f ca="1">Main[[#This Row],[بدهکار (کیلوگرم)]]-Main[[#This Row],[بدهی تسویه نشده (کیلوگرم)]]</f>
        <v>0</v>
      </c>
      <c r="O675" s="6">
        <f ca="1">Main[[#This Row],[تفکیک]]</f>
        <v>0</v>
      </c>
      <c r="P675" s="6">
        <f ca="1">IF(Main[[#This Row],[تاخیر از سررسید]]&gt;0,Main[[#This Row],[بدهی تسویه نشده (کیلوگرم)]],0)</f>
        <v>0</v>
      </c>
      <c r="Q675" s="6">
        <f ca="1">IF(Main[[#This Row],[بدهی تسویه نشده (کیلوگرم)]]&gt;0,'گزارش فردی'!$B$7-Main[[#This Row],[تاريخ میلادی]],0)</f>
        <v>0</v>
      </c>
      <c r="R675" s="6">
        <f ca="1">IF(Main[[#This Row],[بدهی تسویه نشده (کیلوگرم)]]&gt;0,'گزارش فردی'!$B$7-Main[[#This Row],[تاريخ میلادی]]-'گزارش فردی'!$B$8,0)</f>
        <v>0</v>
      </c>
      <c r="S675" s="6">
        <f ca="1">Main[[#This Row],[روز از ارسال سفارش]]*Main[[#This Row],[بدهی تسویه نشده (کیلوگرم)]]</f>
        <v>0</v>
      </c>
      <c r="T675" s="6">
        <f ca="1">Main[[#This Row],[بدهی سررسید شده (کیلوگرم)]]*Main[[#This Row],[روز از ارسال سفارش]]</f>
        <v>0</v>
      </c>
      <c r="U675" s="6">
        <f>-SUBTOTAL(9,INDEX(Main[مقدار (کیلوگرم)],1):Main[[#This Row],[مقدار (کیلوگرم)]])</f>
        <v>28536</v>
      </c>
      <c r="V6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5" s="6">
        <f>Main[[#This Row],[تعداد کل روزهای بدهکار (روز)]]*Main[[#This Row],[مانده در خط کل (کیلوگرم)]]</f>
        <v>28536</v>
      </c>
      <c r="X675" s="6">
        <f ca="1">-SUBTOTAL(9,INDEX(Main[مقدار تسویه شده (کیلوگرم)],1):Main[[#This Row],[مقدار تسویه شده (کیلوگرم)]])</f>
        <v>28536</v>
      </c>
      <c r="Y675" s="6">
        <f ca="1">IF(Main[[#This Row],[مانده در خط تسویه شده (کیلوگرم)]]&lt;&gt;0,Main[[#This Row],[تعداد کل روزهای بدهکار (روز)]],0)</f>
        <v>1</v>
      </c>
      <c r="Z675" s="6">
        <f ca="1">Main[[#This Row],[تعداد روزهای بدهکار تسویه شده (روز)]]*Main[[#This Row],[مانده در خط تسویه شده (کیلوگرم)]]</f>
        <v>28536</v>
      </c>
      <c r="AA675" s="6">
        <f ca="1">SUBTOTAL(9,INDEX(Main[بدهی تسویه نشده (کیلوگرم)],1):Main[[#This Row],[بدهی تسویه نشده (کیلوگرم)]])</f>
        <v>0</v>
      </c>
      <c r="AB675" s="6">
        <f ca="1">IF(Main[[#This Row],[مانده در خط تسویه نشده (کیلوگرم)]]&lt;&gt;0,Main[[#This Row],[تعداد کل روزهای بدهکار (روز)]],0)</f>
        <v>0</v>
      </c>
      <c r="AC675" s="6">
        <f ca="1">Main[[#This Row],[تعداد روزهای بدهکار  تسویه نشده (روز)]]*Main[[#This Row],[مانده در خط تسویه نشده (کیلوگرم)]]</f>
        <v>0</v>
      </c>
      <c r="AD675" s="6">
        <f ca="1">SUBTOTAL(9,INDEX(Main[بدهی سررسید شده (کیلوگرم)],1):Main[[#This Row],[بدهی سررسید شده (کیلوگرم)]])</f>
        <v>0</v>
      </c>
      <c r="AE675" s="6">
        <f ca="1">IF(Main[[#This Row],[مانده در خط سررسید شده (کیلوگرم)]]&lt;&gt;0,Main[[#This Row],[تعداد کل روزهای بدهکار (روز)]],0)</f>
        <v>0</v>
      </c>
      <c r="AF675" s="6">
        <f ca="1">Main[[#This Row],[تعداد روزهای بدهکار سررسید شده (روز)]]*Main[[#This Row],[مانده در خط سررسید شده (کیلوگرم)]]</f>
        <v>0</v>
      </c>
    </row>
    <row r="676" spans="1:32" hidden="1" x14ac:dyDescent="0.35">
      <c r="A676" s="5">
        <f>ROW()-ROW(INDEX(Main[ردیف],1))+1</f>
        <v>674</v>
      </c>
      <c r="B676" s="31">
        <f>SUBTOTAL(2,INDEX(Main[ردیف],1):Main[[#This Row],[ردیف]])</f>
        <v>64</v>
      </c>
      <c r="C676" s="32" t="s">
        <v>578</v>
      </c>
      <c r="D676" s="32" t="str">
        <f>_xlfn.CONCAT("14",Main[[#This Row],[تاريخ]])</f>
        <v>1400/03/12</v>
      </c>
      <c r="E676" s="33">
        <v>44349</v>
      </c>
      <c r="F676" s="32">
        <v>30190</v>
      </c>
      <c r="G676" s="5" t="str">
        <f>INDEX(customer[عنوان],MATCH(Main[[#This Row],[کد ردیابی]],customer[کد],0))</f>
        <v>ایران طلق</v>
      </c>
      <c r="H676">
        <v>-501</v>
      </c>
      <c r="I676" s="6">
        <f ca="1">-Main[[#This Row],[بدهی تسویه شده (کیلوگرم)]]+Main[[#This Row],[بستانکار (کیلوگرم)]]</f>
        <v>-501</v>
      </c>
      <c r="J676" s="6">
        <f>IF(Main[[#This Row],[مقدار (کیلوگرم)]]&gt;0,Main[[#This Row],[مقدار (کیلوگرم)]],0)</f>
        <v>0</v>
      </c>
      <c r="K676" s="6">
        <f>-IF(Main[[#This Row],[مقدار (کیلوگرم)]]&lt;0,Main[[#This Row],[مقدار (کیلوگرم)]],0)</f>
        <v>501</v>
      </c>
      <c r="L6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6" s="7">
        <f>-IF(AND(Main[[#This Row],[مقدار (کیلوگرم)]]&lt;0,Main[[#This Row],[تاريخ میلادی]]&gt;44276),Main[[#This Row],[مقدار (کیلوگرم)]],0)</f>
        <v>501</v>
      </c>
      <c r="N676" s="6">
        <f ca="1">Main[[#This Row],[بدهکار (کیلوگرم)]]-Main[[#This Row],[بدهی تسویه نشده (کیلوگرم)]]</f>
        <v>501</v>
      </c>
      <c r="O676" s="6">
        <f ca="1">Main[[#This Row],[تفکیک]]</f>
        <v>0</v>
      </c>
      <c r="P676" s="6">
        <f ca="1">IF(Main[[#This Row],[تاخیر از سررسید]]&gt;0,Main[[#This Row],[بدهی تسویه نشده (کیلوگرم)]],0)</f>
        <v>0</v>
      </c>
      <c r="Q676" s="6">
        <f ca="1">IF(Main[[#This Row],[بدهی تسویه نشده (کیلوگرم)]]&gt;0,'گزارش فردی'!$B$7-Main[[#This Row],[تاريخ میلادی]],0)</f>
        <v>0</v>
      </c>
      <c r="R676" s="6">
        <f ca="1">IF(Main[[#This Row],[بدهی تسویه نشده (کیلوگرم)]]&gt;0,'گزارش فردی'!$B$7-Main[[#This Row],[تاريخ میلادی]]-'گزارش فردی'!$B$8,0)</f>
        <v>0</v>
      </c>
      <c r="S676" s="6">
        <f ca="1">Main[[#This Row],[روز از ارسال سفارش]]*Main[[#This Row],[بدهی تسویه نشده (کیلوگرم)]]</f>
        <v>0</v>
      </c>
      <c r="T676" s="6">
        <f ca="1">Main[[#This Row],[بدهی سررسید شده (کیلوگرم)]]*Main[[#This Row],[روز از ارسال سفارش]]</f>
        <v>0</v>
      </c>
      <c r="U676" s="6">
        <f>-SUBTOTAL(9,INDEX(Main[مقدار (کیلوگرم)],1):Main[[#This Row],[مقدار (کیلوگرم)]])</f>
        <v>28536</v>
      </c>
      <c r="V6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6" s="6">
        <f>Main[[#This Row],[تعداد کل روزهای بدهکار (روز)]]*Main[[#This Row],[مانده در خط کل (کیلوگرم)]]</f>
        <v>28536</v>
      </c>
      <c r="X676" s="6">
        <f ca="1">-SUBTOTAL(9,INDEX(Main[مقدار تسویه شده (کیلوگرم)],1):Main[[#This Row],[مقدار تسویه شده (کیلوگرم)]])</f>
        <v>28536</v>
      </c>
      <c r="Y676" s="6">
        <f ca="1">IF(Main[[#This Row],[مانده در خط تسویه شده (کیلوگرم)]]&lt;&gt;0,Main[[#This Row],[تعداد کل روزهای بدهکار (روز)]],0)</f>
        <v>1</v>
      </c>
      <c r="Z676" s="6">
        <f ca="1">Main[[#This Row],[تعداد روزهای بدهکار تسویه شده (روز)]]*Main[[#This Row],[مانده در خط تسویه شده (کیلوگرم)]]</f>
        <v>28536</v>
      </c>
      <c r="AA676" s="6">
        <f ca="1">SUBTOTAL(9,INDEX(Main[بدهی تسویه نشده (کیلوگرم)],1):Main[[#This Row],[بدهی تسویه نشده (کیلوگرم)]])</f>
        <v>0</v>
      </c>
      <c r="AB676" s="6">
        <f ca="1">IF(Main[[#This Row],[مانده در خط تسویه نشده (کیلوگرم)]]&lt;&gt;0,Main[[#This Row],[تعداد کل روزهای بدهکار (روز)]],0)</f>
        <v>0</v>
      </c>
      <c r="AC676" s="6">
        <f ca="1">Main[[#This Row],[تعداد روزهای بدهکار  تسویه نشده (روز)]]*Main[[#This Row],[مانده در خط تسویه نشده (کیلوگرم)]]</f>
        <v>0</v>
      </c>
      <c r="AD676" s="6">
        <f ca="1">SUBTOTAL(9,INDEX(Main[بدهی سررسید شده (کیلوگرم)],1):Main[[#This Row],[بدهی سررسید شده (کیلوگرم)]])</f>
        <v>0</v>
      </c>
      <c r="AE676" s="6">
        <f ca="1">IF(Main[[#This Row],[مانده در خط سررسید شده (کیلوگرم)]]&lt;&gt;0,Main[[#This Row],[تعداد کل روزهای بدهکار (روز)]],0)</f>
        <v>0</v>
      </c>
      <c r="AF676" s="6">
        <f ca="1">Main[[#This Row],[تعداد روزهای بدهکار سررسید شده (روز)]]*Main[[#This Row],[مانده در خط سررسید شده (کیلوگرم)]]</f>
        <v>0</v>
      </c>
    </row>
    <row r="677" spans="1:32" hidden="1" x14ac:dyDescent="0.35">
      <c r="A677" s="5">
        <f>ROW()-ROW(INDEX(Main[ردیف],1))+1</f>
        <v>675</v>
      </c>
      <c r="B677" s="31">
        <f>SUBTOTAL(2,INDEX(Main[ردیف],1):Main[[#This Row],[ردیف]])</f>
        <v>64</v>
      </c>
      <c r="C677" s="32" t="s">
        <v>578</v>
      </c>
      <c r="D677" s="32" t="str">
        <f>_xlfn.CONCAT("14",Main[[#This Row],[تاريخ]])</f>
        <v>1400/03/12</v>
      </c>
      <c r="E677" s="33">
        <v>44349</v>
      </c>
      <c r="F677" s="32">
        <v>30012</v>
      </c>
      <c r="G677" s="5" t="str">
        <f>INDEX(customer[عنوان],MATCH(Main[[#This Row],[کد ردیابی]],customer[کد],0))</f>
        <v xml:space="preserve">پارس قفل </v>
      </c>
      <c r="H677">
        <v>2226</v>
      </c>
      <c r="I677" s="6">
        <f ca="1">-Main[[#This Row],[بدهی تسویه شده (کیلوگرم)]]+Main[[#This Row],[بستانکار (کیلوگرم)]]</f>
        <v>2226</v>
      </c>
      <c r="J677" s="6">
        <f>IF(Main[[#This Row],[مقدار (کیلوگرم)]]&gt;0,Main[[#This Row],[مقدار (کیلوگرم)]],0)</f>
        <v>2226</v>
      </c>
      <c r="K677" s="6">
        <f>-IF(Main[[#This Row],[مقدار (کیلوگرم)]]&lt;0,Main[[#This Row],[مقدار (کیلوگرم)]],0)</f>
        <v>0</v>
      </c>
      <c r="L6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7" s="7">
        <f>-IF(AND(Main[[#This Row],[مقدار (کیلوگرم)]]&lt;0,Main[[#This Row],[تاريخ میلادی]]&gt;44276),Main[[#This Row],[مقدار (کیلوگرم)]],0)</f>
        <v>0</v>
      </c>
      <c r="N677" s="6">
        <f ca="1">Main[[#This Row],[بدهکار (کیلوگرم)]]-Main[[#This Row],[بدهی تسویه نشده (کیلوگرم)]]</f>
        <v>0</v>
      </c>
      <c r="O677" s="6">
        <f ca="1">Main[[#This Row],[تفکیک]]</f>
        <v>0</v>
      </c>
      <c r="P677" s="6">
        <f ca="1">IF(Main[[#This Row],[تاخیر از سررسید]]&gt;0,Main[[#This Row],[بدهی تسویه نشده (کیلوگرم)]],0)</f>
        <v>0</v>
      </c>
      <c r="Q677" s="6">
        <f ca="1">IF(Main[[#This Row],[بدهی تسویه نشده (کیلوگرم)]]&gt;0,'گزارش فردی'!$B$7-Main[[#This Row],[تاريخ میلادی]],0)</f>
        <v>0</v>
      </c>
      <c r="R677" s="6">
        <f ca="1">IF(Main[[#This Row],[بدهی تسویه نشده (کیلوگرم)]]&gt;0,'گزارش فردی'!$B$7-Main[[#This Row],[تاريخ میلادی]]-'گزارش فردی'!$B$8,0)</f>
        <v>0</v>
      </c>
      <c r="S677" s="6">
        <f ca="1">Main[[#This Row],[روز از ارسال سفارش]]*Main[[#This Row],[بدهی تسویه نشده (کیلوگرم)]]</f>
        <v>0</v>
      </c>
      <c r="T677" s="6">
        <f ca="1">Main[[#This Row],[بدهی سررسید شده (کیلوگرم)]]*Main[[#This Row],[روز از ارسال سفارش]]</f>
        <v>0</v>
      </c>
      <c r="U677" s="6">
        <f>-SUBTOTAL(9,INDEX(Main[مقدار (کیلوگرم)],1):Main[[#This Row],[مقدار (کیلوگرم)]])</f>
        <v>28536</v>
      </c>
      <c r="V6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7" s="6">
        <f>Main[[#This Row],[تعداد کل روزهای بدهکار (روز)]]*Main[[#This Row],[مانده در خط کل (کیلوگرم)]]</f>
        <v>28536</v>
      </c>
      <c r="X677" s="6">
        <f ca="1">-SUBTOTAL(9,INDEX(Main[مقدار تسویه شده (کیلوگرم)],1):Main[[#This Row],[مقدار تسویه شده (کیلوگرم)]])</f>
        <v>28536</v>
      </c>
      <c r="Y677" s="6">
        <f ca="1">IF(Main[[#This Row],[مانده در خط تسویه شده (کیلوگرم)]]&lt;&gt;0,Main[[#This Row],[تعداد کل روزهای بدهکار (روز)]],0)</f>
        <v>1</v>
      </c>
      <c r="Z677" s="6">
        <f ca="1">Main[[#This Row],[تعداد روزهای بدهکار تسویه شده (روز)]]*Main[[#This Row],[مانده در خط تسویه شده (کیلوگرم)]]</f>
        <v>28536</v>
      </c>
      <c r="AA677" s="6">
        <f ca="1">SUBTOTAL(9,INDEX(Main[بدهی تسویه نشده (کیلوگرم)],1):Main[[#This Row],[بدهی تسویه نشده (کیلوگرم)]])</f>
        <v>0</v>
      </c>
      <c r="AB677" s="6">
        <f ca="1">IF(Main[[#This Row],[مانده در خط تسویه نشده (کیلوگرم)]]&lt;&gt;0,Main[[#This Row],[تعداد کل روزهای بدهکار (روز)]],0)</f>
        <v>0</v>
      </c>
      <c r="AC677" s="6">
        <f ca="1">Main[[#This Row],[تعداد روزهای بدهکار  تسویه نشده (روز)]]*Main[[#This Row],[مانده در خط تسویه نشده (کیلوگرم)]]</f>
        <v>0</v>
      </c>
      <c r="AD677" s="6">
        <f ca="1">SUBTOTAL(9,INDEX(Main[بدهی سررسید شده (کیلوگرم)],1):Main[[#This Row],[بدهی سررسید شده (کیلوگرم)]])</f>
        <v>0</v>
      </c>
      <c r="AE677" s="6">
        <f ca="1">IF(Main[[#This Row],[مانده در خط سررسید شده (کیلوگرم)]]&lt;&gt;0,Main[[#This Row],[تعداد کل روزهای بدهکار (روز)]],0)</f>
        <v>0</v>
      </c>
      <c r="AF677" s="6">
        <f ca="1">Main[[#This Row],[تعداد روزهای بدهکار سررسید شده (روز)]]*Main[[#This Row],[مانده در خط سررسید شده (کیلوگرم)]]</f>
        <v>0</v>
      </c>
    </row>
    <row r="678" spans="1:32" hidden="1" x14ac:dyDescent="0.35">
      <c r="A678" s="5">
        <f>ROW()-ROW(INDEX(Main[ردیف],1))+1</f>
        <v>676</v>
      </c>
      <c r="B678" s="31">
        <f>SUBTOTAL(2,INDEX(Main[ردیف],1):Main[[#This Row],[ردیف]])</f>
        <v>64</v>
      </c>
      <c r="C678" s="32" t="s">
        <v>578</v>
      </c>
      <c r="D678" s="32" t="str">
        <f>_xlfn.CONCAT("14",Main[[#This Row],[تاريخ]])</f>
        <v>1400/03/12</v>
      </c>
      <c r="E678" s="33">
        <v>44349</v>
      </c>
      <c r="F678" s="32">
        <v>30124</v>
      </c>
      <c r="G678" s="5" t="str">
        <f>INDEX(customer[عنوان],MATCH(Main[[#This Row],[کد ردیابی]],customer[کد],0))</f>
        <v>شرکت لنگرمرواریدسبز</v>
      </c>
      <c r="H678">
        <v>343</v>
      </c>
      <c r="I678" s="6">
        <f ca="1">-Main[[#This Row],[بدهی تسویه شده (کیلوگرم)]]+Main[[#This Row],[بستانکار (کیلوگرم)]]</f>
        <v>343</v>
      </c>
      <c r="J678" s="6">
        <f>IF(Main[[#This Row],[مقدار (کیلوگرم)]]&gt;0,Main[[#This Row],[مقدار (کیلوگرم)]],0)</f>
        <v>343</v>
      </c>
      <c r="K678" s="6">
        <f>-IF(Main[[#This Row],[مقدار (کیلوگرم)]]&lt;0,Main[[#This Row],[مقدار (کیلوگرم)]],0)</f>
        <v>0</v>
      </c>
      <c r="L6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8" s="7">
        <f>-IF(AND(Main[[#This Row],[مقدار (کیلوگرم)]]&lt;0,Main[[#This Row],[تاريخ میلادی]]&gt;44276),Main[[#This Row],[مقدار (کیلوگرم)]],0)</f>
        <v>0</v>
      </c>
      <c r="N678" s="6">
        <f ca="1">Main[[#This Row],[بدهکار (کیلوگرم)]]-Main[[#This Row],[بدهی تسویه نشده (کیلوگرم)]]</f>
        <v>0</v>
      </c>
      <c r="O678" s="6">
        <f ca="1">Main[[#This Row],[تفکیک]]</f>
        <v>0</v>
      </c>
      <c r="P678" s="6">
        <f ca="1">IF(Main[[#This Row],[تاخیر از سررسید]]&gt;0,Main[[#This Row],[بدهی تسویه نشده (کیلوگرم)]],0)</f>
        <v>0</v>
      </c>
      <c r="Q678" s="6">
        <f ca="1">IF(Main[[#This Row],[بدهی تسویه نشده (کیلوگرم)]]&gt;0,'گزارش فردی'!$B$7-Main[[#This Row],[تاريخ میلادی]],0)</f>
        <v>0</v>
      </c>
      <c r="R678" s="6">
        <f ca="1">IF(Main[[#This Row],[بدهی تسویه نشده (کیلوگرم)]]&gt;0,'گزارش فردی'!$B$7-Main[[#This Row],[تاريخ میلادی]]-'گزارش فردی'!$B$8,0)</f>
        <v>0</v>
      </c>
      <c r="S678" s="6">
        <f ca="1">Main[[#This Row],[روز از ارسال سفارش]]*Main[[#This Row],[بدهی تسویه نشده (کیلوگرم)]]</f>
        <v>0</v>
      </c>
      <c r="T678" s="6">
        <f ca="1">Main[[#This Row],[بدهی سررسید شده (کیلوگرم)]]*Main[[#This Row],[روز از ارسال سفارش]]</f>
        <v>0</v>
      </c>
      <c r="U678" s="6">
        <f>-SUBTOTAL(9,INDEX(Main[مقدار (کیلوگرم)],1):Main[[#This Row],[مقدار (کیلوگرم)]])</f>
        <v>28536</v>
      </c>
      <c r="V6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8" s="6">
        <f>Main[[#This Row],[تعداد کل روزهای بدهکار (روز)]]*Main[[#This Row],[مانده در خط کل (کیلوگرم)]]</f>
        <v>28536</v>
      </c>
      <c r="X678" s="6">
        <f ca="1">-SUBTOTAL(9,INDEX(Main[مقدار تسویه شده (کیلوگرم)],1):Main[[#This Row],[مقدار تسویه شده (کیلوگرم)]])</f>
        <v>28536</v>
      </c>
      <c r="Y678" s="6">
        <f ca="1">IF(Main[[#This Row],[مانده در خط تسویه شده (کیلوگرم)]]&lt;&gt;0,Main[[#This Row],[تعداد کل روزهای بدهکار (روز)]],0)</f>
        <v>1</v>
      </c>
      <c r="Z678" s="6">
        <f ca="1">Main[[#This Row],[تعداد روزهای بدهکار تسویه شده (روز)]]*Main[[#This Row],[مانده در خط تسویه شده (کیلوگرم)]]</f>
        <v>28536</v>
      </c>
      <c r="AA678" s="6">
        <f ca="1">SUBTOTAL(9,INDEX(Main[بدهی تسویه نشده (کیلوگرم)],1):Main[[#This Row],[بدهی تسویه نشده (کیلوگرم)]])</f>
        <v>0</v>
      </c>
      <c r="AB678" s="6">
        <f ca="1">IF(Main[[#This Row],[مانده در خط تسویه نشده (کیلوگرم)]]&lt;&gt;0,Main[[#This Row],[تعداد کل روزهای بدهکار (روز)]],0)</f>
        <v>0</v>
      </c>
      <c r="AC678" s="6">
        <f ca="1">Main[[#This Row],[تعداد روزهای بدهکار  تسویه نشده (روز)]]*Main[[#This Row],[مانده در خط تسویه نشده (کیلوگرم)]]</f>
        <v>0</v>
      </c>
      <c r="AD678" s="6">
        <f ca="1">SUBTOTAL(9,INDEX(Main[بدهی سررسید شده (کیلوگرم)],1):Main[[#This Row],[بدهی سررسید شده (کیلوگرم)]])</f>
        <v>0</v>
      </c>
      <c r="AE678" s="6">
        <f ca="1">IF(Main[[#This Row],[مانده در خط سررسید شده (کیلوگرم)]]&lt;&gt;0,Main[[#This Row],[تعداد کل روزهای بدهکار (روز)]],0)</f>
        <v>0</v>
      </c>
      <c r="AF678" s="6">
        <f ca="1">Main[[#This Row],[تعداد روزهای بدهکار سررسید شده (روز)]]*Main[[#This Row],[مانده در خط سررسید شده (کیلوگرم)]]</f>
        <v>0</v>
      </c>
    </row>
    <row r="679" spans="1:32" hidden="1" x14ac:dyDescent="0.35">
      <c r="A679" s="5">
        <f>ROW()-ROW(INDEX(Main[ردیف],1))+1</f>
        <v>677</v>
      </c>
      <c r="B679" s="31">
        <f>SUBTOTAL(2,INDEX(Main[ردیف],1):Main[[#This Row],[ردیف]])</f>
        <v>64</v>
      </c>
      <c r="C679" s="32" t="s">
        <v>578</v>
      </c>
      <c r="D679" s="32" t="str">
        <f>_xlfn.CONCAT("14",Main[[#This Row],[تاريخ]])</f>
        <v>1400/03/12</v>
      </c>
      <c r="E679" s="33">
        <v>44349</v>
      </c>
      <c r="F679" s="32">
        <v>10009</v>
      </c>
      <c r="G679" s="5" t="str">
        <f>INDEX(customer[عنوان],MATCH(Main[[#This Row],[کد ردیابی]],customer[کد],0))</f>
        <v>محمد نمازی</v>
      </c>
      <c r="H679">
        <v>710</v>
      </c>
      <c r="I679" s="6">
        <f ca="1">-Main[[#This Row],[بدهی تسویه شده (کیلوگرم)]]+Main[[#This Row],[بستانکار (کیلوگرم)]]</f>
        <v>710</v>
      </c>
      <c r="J679" s="6">
        <f>IF(Main[[#This Row],[مقدار (کیلوگرم)]]&gt;0,Main[[#This Row],[مقدار (کیلوگرم)]],0)</f>
        <v>710</v>
      </c>
      <c r="K679" s="6">
        <f>-IF(Main[[#This Row],[مقدار (کیلوگرم)]]&lt;0,Main[[#This Row],[مقدار (کیلوگرم)]],0)</f>
        <v>0</v>
      </c>
      <c r="L6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9" s="7">
        <f>-IF(AND(Main[[#This Row],[مقدار (کیلوگرم)]]&lt;0,Main[[#This Row],[تاريخ میلادی]]&gt;44276),Main[[#This Row],[مقدار (کیلوگرم)]],0)</f>
        <v>0</v>
      </c>
      <c r="N679" s="6">
        <f ca="1">Main[[#This Row],[بدهکار (کیلوگرم)]]-Main[[#This Row],[بدهی تسویه نشده (کیلوگرم)]]</f>
        <v>0</v>
      </c>
      <c r="O679" s="6">
        <f ca="1">Main[[#This Row],[تفکیک]]</f>
        <v>0</v>
      </c>
      <c r="P679" s="6">
        <f ca="1">IF(Main[[#This Row],[تاخیر از سررسید]]&gt;0,Main[[#This Row],[بدهی تسویه نشده (کیلوگرم)]],0)</f>
        <v>0</v>
      </c>
      <c r="Q679" s="6">
        <f ca="1">IF(Main[[#This Row],[بدهی تسویه نشده (کیلوگرم)]]&gt;0,'گزارش فردی'!$B$7-Main[[#This Row],[تاريخ میلادی]],0)</f>
        <v>0</v>
      </c>
      <c r="R679" s="6">
        <f ca="1">IF(Main[[#This Row],[بدهی تسویه نشده (کیلوگرم)]]&gt;0,'گزارش فردی'!$B$7-Main[[#This Row],[تاريخ میلادی]]-'گزارش فردی'!$B$8,0)</f>
        <v>0</v>
      </c>
      <c r="S679" s="6">
        <f ca="1">Main[[#This Row],[روز از ارسال سفارش]]*Main[[#This Row],[بدهی تسویه نشده (کیلوگرم)]]</f>
        <v>0</v>
      </c>
      <c r="T679" s="6">
        <f ca="1">Main[[#This Row],[بدهی سررسید شده (کیلوگرم)]]*Main[[#This Row],[روز از ارسال سفارش]]</f>
        <v>0</v>
      </c>
      <c r="U679" s="6">
        <f>-SUBTOTAL(9,INDEX(Main[مقدار (کیلوگرم)],1):Main[[#This Row],[مقدار (کیلوگرم)]])</f>
        <v>28536</v>
      </c>
      <c r="V6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9" s="6">
        <f>Main[[#This Row],[تعداد کل روزهای بدهکار (روز)]]*Main[[#This Row],[مانده در خط کل (کیلوگرم)]]</f>
        <v>28536</v>
      </c>
      <c r="X679" s="6">
        <f ca="1">-SUBTOTAL(9,INDEX(Main[مقدار تسویه شده (کیلوگرم)],1):Main[[#This Row],[مقدار تسویه شده (کیلوگرم)]])</f>
        <v>28536</v>
      </c>
      <c r="Y679" s="6">
        <f ca="1">IF(Main[[#This Row],[مانده در خط تسویه شده (کیلوگرم)]]&lt;&gt;0,Main[[#This Row],[تعداد کل روزهای بدهکار (روز)]],0)</f>
        <v>1</v>
      </c>
      <c r="Z679" s="6">
        <f ca="1">Main[[#This Row],[تعداد روزهای بدهکار تسویه شده (روز)]]*Main[[#This Row],[مانده در خط تسویه شده (کیلوگرم)]]</f>
        <v>28536</v>
      </c>
      <c r="AA679" s="6">
        <f ca="1">SUBTOTAL(9,INDEX(Main[بدهی تسویه نشده (کیلوگرم)],1):Main[[#This Row],[بدهی تسویه نشده (کیلوگرم)]])</f>
        <v>0</v>
      </c>
      <c r="AB679" s="6">
        <f ca="1">IF(Main[[#This Row],[مانده در خط تسویه نشده (کیلوگرم)]]&lt;&gt;0,Main[[#This Row],[تعداد کل روزهای بدهکار (روز)]],0)</f>
        <v>0</v>
      </c>
      <c r="AC679" s="6">
        <f ca="1">Main[[#This Row],[تعداد روزهای بدهکار  تسویه نشده (روز)]]*Main[[#This Row],[مانده در خط تسویه نشده (کیلوگرم)]]</f>
        <v>0</v>
      </c>
      <c r="AD679" s="6">
        <f ca="1">SUBTOTAL(9,INDEX(Main[بدهی سررسید شده (کیلوگرم)],1):Main[[#This Row],[بدهی سررسید شده (کیلوگرم)]])</f>
        <v>0</v>
      </c>
      <c r="AE679" s="6">
        <f ca="1">IF(Main[[#This Row],[مانده در خط سررسید شده (کیلوگرم)]]&lt;&gt;0,Main[[#This Row],[تعداد کل روزهای بدهکار (روز)]],0)</f>
        <v>0</v>
      </c>
      <c r="AF679" s="6">
        <f ca="1">Main[[#This Row],[تعداد روزهای بدهکار سررسید شده (روز)]]*Main[[#This Row],[مانده در خط سررسید شده (کیلوگرم)]]</f>
        <v>0</v>
      </c>
    </row>
    <row r="680" spans="1:32" hidden="1" x14ac:dyDescent="0.35">
      <c r="A680" s="5">
        <f>ROW()-ROW(INDEX(Main[ردیف],1))+1</f>
        <v>678</v>
      </c>
      <c r="B680" s="31">
        <f>SUBTOTAL(2,INDEX(Main[ردیف],1):Main[[#This Row],[ردیف]])</f>
        <v>64</v>
      </c>
      <c r="C680" s="32" t="s">
        <v>578</v>
      </c>
      <c r="D680" s="32" t="str">
        <f>_xlfn.CONCAT("14",Main[[#This Row],[تاريخ]])</f>
        <v>1400/03/12</v>
      </c>
      <c r="E680" s="33">
        <v>44349</v>
      </c>
      <c r="F680" s="32">
        <v>10015</v>
      </c>
      <c r="G680" s="5" t="str">
        <f>INDEX(customer[عنوان],MATCH(Main[[#This Row],[کد ردیابی]],customer[کد],0))</f>
        <v xml:space="preserve">مصدقی </v>
      </c>
      <c r="H680">
        <v>998</v>
      </c>
      <c r="I680" s="6">
        <f ca="1">-Main[[#This Row],[بدهی تسویه شده (کیلوگرم)]]+Main[[#This Row],[بستانکار (کیلوگرم)]]</f>
        <v>998</v>
      </c>
      <c r="J680" s="6">
        <f>IF(Main[[#This Row],[مقدار (کیلوگرم)]]&gt;0,Main[[#This Row],[مقدار (کیلوگرم)]],0)</f>
        <v>998</v>
      </c>
      <c r="K680" s="6">
        <f>-IF(Main[[#This Row],[مقدار (کیلوگرم)]]&lt;0,Main[[#This Row],[مقدار (کیلوگرم)]],0)</f>
        <v>0</v>
      </c>
      <c r="L6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0" s="7">
        <f>-IF(AND(Main[[#This Row],[مقدار (کیلوگرم)]]&lt;0,Main[[#This Row],[تاريخ میلادی]]&gt;44276),Main[[#This Row],[مقدار (کیلوگرم)]],0)</f>
        <v>0</v>
      </c>
      <c r="N680" s="6">
        <f ca="1">Main[[#This Row],[بدهکار (کیلوگرم)]]-Main[[#This Row],[بدهی تسویه نشده (کیلوگرم)]]</f>
        <v>0</v>
      </c>
      <c r="O680" s="6">
        <f ca="1">Main[[#This Row],[تفکیک]]</f>
        <v>0</v>
      </c>
      <c r="P680" s="6">
        <f ca="1">IF(Main[[#This Row],[تاخیر از سررسید]]&gt;0,Main[[#This Row],[بدهی تسویه نشده (کیلوگرم)]],0)</f>
        <v>0</v>
      </c>
      <c r="Q680" s="6">
        <f ca="1">IF(Main[[#This Row],[بدهی تسویه نشده (کیلوگرم)]]&gt;0,'گزارش فردی'!$B$7-Main[[#This Row],[تاريخ میلادی]],0)</f>
        <v>0</v>
      </c>
      <c r="R680" s="6">
        <f ca="1">IF(Main[[#This Row],[بدهی تسویه نشده (کیلوگرم)]]&gt;0,'گزارش فردی'!$B$7-Main[[#This Row],[تاريخ میلادی]]-'گزارش فردی'!$B$8,0)</f>
        <v>0</v>
      </c>
      <c r="S680" s="6">
        <f ca="1">Main[[#This Row],[روز از ارسال سفارش]]*Main[[#This Row],[بدهی تسویه نشده (کیلوگرم)]]</f>
        <v>0</v>
      </c>
      <c r="T680" s="6">
        <f ca="1">Main[[#This Row],[بدهی سررسید شده (کیلوگرم)]]*Main[[#This Row],[روز از ارسال سفارش]]</f>
        <v>0</v>
      </c>
      <c r="U680" s="6">
        <f>-SUBTOTAL(9,INDEX(Main[مقدار (کیلوگرم)],1):Main[[#This Row],[مقدار (کیلوگرم)]])</f>
        <v>28536</v>
      </c>
      <c r="V6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80" s="6">
        <f>Main[[#This Row],[تعداد کل روزهای بدهکار (روز)]]*Main[[#This Row],[مانده در خط کل (کیلوگرم)]]</f>
        <v>28536</v>
      </c>
      <c r="X680" s="6">
        <f ca="1">-SUBTOTAL(9,INDEX(Main[مقدار تسویه شده (کیلوگرم)],1):Main[[#This Row],[مقدار تسویه شده (کیلوگرم)]])</f>
        <v>28536</v>
      </c>
      <c r="Y680" s="6">
        <f ca="1">IF(Main[[#This Row],[مانده در خط تسویه شده (کیلوگرم)]]&lt;&gt;0,Main[[#This Row],[تعداد کل روزهای بدهکار (روز)]],0)</f>
        <v>1</v>
      </c>
      <c r="Z680" s="6">
        <f ca="1">Main[[#This Row],[تعداد روزهای بدهکار تسویه شده (روز)]]*Main[[#This Row],[مانده در خط تسویه شده (کیلوگرم)]]</f>
        <v>28536</v>
      </c>
      <c r="AA680" s="6">
        <f ca="1">SUBTOTAL(9,INDEX(Main[بدهی تسویه نشده (کیلوگرم)],1):Main[[#This Row],[بدهی تسویه نشده (کیلوگرم)]])</f>
        <v>0</v>
      </c>
      <c r="AB680" s="6">
        <f ca="1">IF(Main[[#This Row],[مانده در خط تسویه نشده (کیلوگرم)]]&lt;&gt;0,Main[[#This Row],[تعداد کل روزهای بدهکار (روز)]],0)</f>
        <v>0</v>
      </c>
      <c r="AC680" s="6">
        <f ca="1">Main[[#This Row],[تعداد روزهای بدهکار  تسویه نشده (روز)]]*Main[[#This Row],[مانده در خط تسویه نشده (کیلوگرم)]]</f>
        <v>0</v>
      </c>
      <c r="AD680" s="6">
        <f ca="1">SUBTOTAL(9,INDEX(Main[بدهی سررسید شده (کیلوگرم)],1):Main[[#This Row],[بدهی سررسید شده (کیلوگرم)]])</f>
        <v>0</v>
      </c>
      <c r="AE680" s="6">
        <f ca="1">IF(Main[[#This Row],[مانده در خط سررسید شده (کیلوگرم)]]&lt;&gt;0,Main[[#This Row],[تعداد کل روزهای بدهکار (روز)]],0)</f>
        <v>0</v>
      </c>
      <c r="AF680" s="6">
        <f ca="1">Main[[#This Row],[تعداد روزهای بدهکار سررسید شده (روز)]]*Main[[#This Row],[مانده در خط سررسید شده (کیلوگرم)]]</f>
        <v>0</v>
      </c>
    </row>
    <row r="681" spans="1:32" hidden="1" x14ac:dyDescent="0.35">
      <c r="A681" s="5">
        <f>ROW()-ROW(INDEX(Main[ردیف],1))+1</f>
        <v>679</v>
      </c>
      <c r="B681" s="31">
        <f>SUBTOTAL(2,INDEX(Main[ردیف],1):Main[[#This Row],[ردیف]])</f>
        <v>64</v>
      </c>
      <c r="C681" s="32" t="s">
        <v>578</v>
      </c>
      <c r="D681" s="32" t="str">
        <f>_xlfn.CONCAT("14",Main[[#This Row],[تاريخ]])</f>
        <v>1400/03/12</v>
      </c>
      <c r="E681" s="33">
        <v>44349</v>
      </c>
      <c r="F681" s="32">
        <v>10009</v>
      </c>
      <c r="G681" s="5" t="str">
        <f>INDEX(customer[عنوان],MATCH(Main[[#This Row],[کد ردیابی]],customer[کد],0))</f>
        <v>محمد نمازی</v>
      </c>
      <c r="H681">
        <v>2436</v>
      </c>
      <c r="I681" s="6">
        <f ca="1">-Main[[#This Row],[بدهی تسویه شده (کیلوگرم)]]+Main[[#This Row],[بستانکار (کیلوگرم)]]</f>
        <v>2436</v>
      </c>
      <c r="J681" s="6">
        <f>IF(Main[[#This Row],[مقدار (کیلوگرم)]]&gt;0,Main[[#This Row],[مقدار (کیلوگرم)]],0)</f>
        <v>2436</v>
      </c>
      <c r="K681" s="6">
        <f>-IF(Main[[#This Row],[مقدار (کیلوگرم)]]&lt;0,Main[[#This Row],[مقدار (کیلوگرم)]],0)</f>
        <v>0</v>
      </c>
      <c r="L6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1" s="7">
        <f>-IF(AND(Main[[#This Row],[مقدار (کیلوگرم)]]&lt;0,Main[[#This Row],[تاريخ میلادی]]&gt;44276),Main[[#This Row],[مقدار (کیلوگرم)]],0)</f>
        <v>0</v>
      </c>
      <c r="N681" s="6">
        <f ca="1">Main[[#This Row],[بدهکار (کیلوگرم)]]-Main[[#This Row],[بدهی تسویه نشده (کیلوگرم)]]</f>
        <v>0</v>
      </c>
      <c r="O681" s="6">
        <f ca="1">Main[[#This Row],[تفکیک]]</f>
        <v>0</v>
      </c>
      <c r="P681" s="6">
        <f ca="1">IF(Main[[#This Row],[تاخیر از سررسید]]&gt;0,Main[[#This Row],[بدهی تسویه نشده (کیلوگرم)]],0)</f>
        <v>0</v>
      </c>
      <c r="Q681" s="6">
        <f ca="1">IF(Main[[#This Row],[بدهی تسویه نشده (کیلوگرم)]]&gt;0,'گزارش فردی'!$B$7-Main[[#This Row],[تاريخ میلادی]],0)</f>
        <v>0</v>
      </c>
      <c r="R681" s="6">
        <f ca="1">IF(Main[[#This Row],[بدهی تسویه نشده (کیلوگرم)]]&gt;0,'گزارش فردی'!$B$7-Main[[#This Row],[تاريخ میلادی]]-'گزارش فردی'!$B$8,0)</f>
        <v>0</v>
      </c>
      <c r="S681" s="6">
        <f ca="1">Main[[#This Row],[روز از ارسال سفارش]]*Main[[#This Row],[بدهی تسویه نشده (کیلوگرم)]]</f>
        <v>0</v>
      </c>
      <c r="T681" s="6">
        <f ca="1">Main[[#This Row],[بدهی سررسید شده (کیلوگرم)]]*Main[[#This Row],[روز از ارسال سفارش]]</f>
        <v>0</v>
      </c>
      <c r="U681" s="6">
        <f>-SUBTOTAL(9,INDEX(Main[مقدار (کیلوگرم)],1):Main[[#This Row],[مقدار (کیلوگرم)]])</f>
        <v>28536</v>
      </c>
      <c r="V6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81" s="6">
        <f>Main[[#This Row],[تعداد کل روزهای بدهکار (روز)]]*Main[[#This Row],[مانده در خط کل (کیلوگرم)]]</f>
        <v>28536</v>
      </c>
      <c r="X681" s="6">
        <f ca="1">-SUBTOTAL(9,INDEX(Main[مقدار تسویه شده (کیلوگرم)],1):Main[[#This Row],[مقدار تسویه شده (کیلوگرم)]])</f>
        <v>28536</v>
      </c>
      <c r="Y681" s="6">
        <f ca="1">IF(Main[[#This Row],[مانده در خط تسویه شده (کیلوگرم)]]&lt;&gt;0,Main[[#This Row],[تعداد کل روزهای بدهکار (روز)]],0)</f>
        <v>1</v>
      </c>
      <c r="Z681" s="6">
        <f ca="1">Main[[#This Row],[تعداد روزهای بدهکار تسویه شده (روز)]]*Main[[#This Row],[مانده در خط تسویه شده (کیلوگرم)]]</f>
        <v>28536</v>
      </c>
      <c r="AA681" s="6">
        <f ca="1">SUBTOTAL(9,INDEX(Main[بدهی تسویه نشده (کیلوگرم)],1):Main[[#This Row],[بدهی تسویه نشده (کیلوگرم)]])</f>
        <v>0</v>
      </c>
      <c r="AB681" s="6">
        <f ca="1">IF(Main[[#This Row],[مانده در خط تسویه نشده (کیلوگرم)]]&lt;&gt;0,Main[[#This Row],[تعداد کل روزهای بدهکار (روز)]],0)</f>
        <v>0</v>
      </c>
      <c r="AC681" s="6">
        <f ca="1">Main[[#This Row],[تعداد روزهای بدهکار  تسویه نشده (روز)]]*Main[[#This Row],[مانده در خط تسویه نشده (کیلوگرم)]]</f>
        <v>0</v>
      </c>
      <c r="AD681" s="6">
        <f ca="1">SUBTOTAL(9,INDEX(Main[بدهی سررسید شده (کیلوگرم)],1):Main[[#This Row],[بدهی سررسید شده (کیلوگرم)]])</f>
        <v>0</v>
      </c>
      <c r="AE681" s="6">
        <f ca="1">IF(Main[[#This Row],[مانده در خط سررسید شده (کیلوگرم)]]&lt;&gt;0,Main[[#This Row],[تعداد کل روزهای بدهکار (روز)]],0)</f>
        <v>0</v>
      </c>
      <c r="AF681" s="6">
        <f ca="1">Main[[#This Row],[تعداد روزهای بدهکار سررسید شده (روز)]]*Main[[#This Row],[مانده در خط سررسید شده (کیلوگرم)]]</f>
        <v>0</v>
      </c>
    </row>
    <row r="682" spans="1:32" hidden="1" x14ac:dyDescent="0.35">
      <c r="A682" s="5">
        <f>ROW()-ROW(INDEX(Main[ردیف],1))+1</f>
        <v>680</v>
      </c>
      <c r="B682" s="31">
        <f>SUBTOTAL(2,INDEX(Main[ردیف],1):Main[[#This Row],[ردیف]])</f>
        <v>64</v>
      </c>
      <c r="C682" s="32" t="s">
        <v>580</v>
      </c>
      <c r="D682" s="32" t="str">
        <f>_xlfn.CONCAT("14",Main[[#This Row],[تاريخ]])</f>
        <v>1400/03/13</v>
      </c>
      <c r="E682" s="33">
        <v>44350</v>
      </c>
      <c r="F682" s="32">
        <v>30137</v>
      </c>
      <c r="G682" s="5" t="str">
        <f>INDEX(customer[عنوان],MATCH(Main[[#This Row],[کد ردیابی]],customer[کد],0))</f>
        <v>شرکت آفتابگردان</v>
      </c>
      <c r="H682">
        <v>-1031</v>
      </c>
      <c r="I682" s="6">
        <f ca="1">-Main[[#This Row],[بدهی تسویه شده (کیلوگرم)]]+Main[[#This Row],[بستانکار (کیلوگرم)]]</f>
        <v>-1031</v>
      </c>
      <c r="J682" s="6">
        <f>IF(Main[[#This Row],[مقدار (کیلوگرم)]]&gt;0,Main[[#This Row],[مقدار (کیلوگرم)]],0)</f>
        <v>0</v>
      </c>
      <c r="K682" s="6">
        <f>-IF(Main[[#This Row],[مقدار (کیلوگرم)]]&lt;0,Main[[#This Row],[مقدار (کیلوگرم)]],0)</f>
        <v>1031</v>
      </c>
      <c r="L6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2" s="7">
        <f>-IF(AND(Main[[#This Row],[مقدار (کیلوگرم)]]&lt;0,Main[[#This Row],[تاريخ میلادی]]&gt;44276),Main[[#This Row],[مقدار (کیلوگرم)]],0)</f>
        <v>1031</v>
      </c>
      <c r="N682" s="6">
        <f ca="1">Main[[#This Row],[بدهکار (کیلوگرم)]]-Main[[#This Row],[بدهی تسویه نشده (کیلوگرم)]]</f>
        <v>1031</v>
      </c>
      <c r="O682" s="6">
        <f ca="1">Main[[#This Row],[تفکیک]]</f>
        <v>0</v>
      </c>
      <c r="P682" s="6">
        <f ca="1">IF(Main[[#This Row],[تاخیر از سررسید]]&gt;0,Main[[#This Row],[بدهی تسویه نشده (کیلوگرم)]],0)</f>
        <v>0</v>
      </c>
      <c r="Q682" s="6">
        <f ca="1">IF(Main[[#This Row],[بدهی تسویه نشده (کیلوگرم)]]&gt;0,'گزارش فردی'!$B$7-Main[[#This Row],[تاريخ میلادی]],0)</f>
        <v>0</v>
      </c>
      <c r="R682" s="6">
        <f ca="1">IF(Main[[#This Row],[بدهی تسویه نشده (کیلوگرم)]]&gt;0,'گزارش فردی'!$B$7-Main[[#This Row],[تاريخ میلادی]]-'گزارش فردی'!$B$8,0)</f>
        <v>0</v>
      </c>
      <c r="S682" s="6">
        <f ca="1">Main[[#This Row],[روز از ارسال سفارش]]*Main[[#This Row],[بدهی تسویه نشده (کیلوگرم)]]</f>
        <v>0</v>
      </c>
      <c r="T682" s="6">
        <f ca="1">Main[[#This Row],[بدهی سررسید شده (کیلوگرم)]]*Main[[#This Row],[روز از ارسال سفارش]]</f>
        <v>0</v>
      </c>
      <c r="U682" s="6">
        <f>-SUBTOTAL(9,INDEX(Main[مقدار (کیلوگرم)],1):Main[[#This Row],[مقدار (کیلوگرم)]])</f>
        <v>28536</v>
      </c>
      <c r="V6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2" s="6">
        <f>Main[[#This Row],[تعداد کل روزهای بدهکار (روز)]]*Main[[#This Row],[مانده در خط کل (کیلوگرم)]]</f>
        <v>0</v>
      </c>
      <c r="X682" s="6">
        <f ca="1">-SUBTOTAL(9,INDEX(Main[مقدار تسویه شده (کیلوگرم)],1):Main[[#This Row],[مقدار تسویه شده (کیلوگرم)]])</f>
        <v>28536</v>
      </c>
      <c r="Y682" s="6">
        <f ca="1">IF(Main[[#This Row],[مانده در خط تسویه شده (کیلوگرم)]]&lt;&gt;0,Main[[#This Row],[تعداد کل روزهای بدهکار (روز)]],0)</f>
        <v>0</v>
      </c>
      <c r="Z682" s="6">
        <f ca="1">Main[[#This Row],[تعداد روزهای بدهکار تسویه شده (روز)]]*Main[[#This Row],[مانده در خط تسویه شده (کیلوگرم)]]</f>
        <v>0</v>
      </c>
      <c r="AA682" s="6">
        <f ca="1">SUBTOTAL(9,INDEX(Main[بدهی تسویه نشده (کیلوگرم)],1):Main[[#This Row],[بدهی تسویه نشده (کیلوگرم)]])</f>
        <v>0</v>
      </c>
      <c r="AB682" s="6">
        <f ca="1">IF(Main[[#This Row],[مانده در خط تسویه نشده (کیلوگرم)]]&lt;&gt;0,Main[[#This Row],[تعداد کل روزهای بدهکار (روز)]],0)</f>
        <v>0</v>
      </c>
      <c r="AC682" s="6">
        <f ca="1">Main[[#This Row],[تعداد روزهای بدهکار  تسویه نشده (روز)]]*Main[[#This Row],[مانده در خط تسویه نشده (کیلوگرم)]]</f>
        <v>0</v>
      </c>
      <c r="AD682" s="6">
        <f ca="1">SUBTOTAL(9,INDEX(Main[بدهی سررسید شده (کیلوگرم)],1):Main[[#This Row],[بدهی سررسید شده (کیلوگرم)]])</f>
        <v>0</v>
      </c>
      <c r="AE682" s="6">
        <f ca="1">IF(Main[[#This Row],[مانده در خط سررسید شده (کیلوگرم)]]&lt;&gt;0,Main[[#This Row],[تعداد کل روزهای بدهکار (روز)]],0)</f>
        <v>0</v>
      </c>
      <c r="AF682" s="6">
        <f ca="1">Main[[#This Row],[تعداد روزهای بدهکار سررسید شده (روز)]]*Main[[#This Row],[مانده در خط سررسید شده (کیلوگرم)]]</f>
        <v>0</v>
      </c>
    </row>
    <row r="683" spans="1:32" hidden="1" x14ac:dyDescent="0.35">
      <c r="A683" s="5">
        <f>ROW()-ROW(INDEX(Main[ردیف],1))+1</f>
        <v>681</v>
      </c>
      <c r="B683" s="31">
        <f>SUBTOTAL(2,INDEX(Main[ردیف],1):Main[[#This Row],[ردیف]])</f>
        <v>64</v>
      </c>
      <c r="C683" s="32" t="s">
        <v>580</v>
      </c>
      <c r="D683" s="32" t="str">
        <f>_xlfn.CONCAT("14",Main[[#This Row],[تاريخ]])</f>
        <v>1400/03/13</v>
      </c>
      <c r="E683" s="33">
        <v>44350</v>
      </c>
      <c r="F683" s="32">
        <v>10089</v>
      </c>
      <c r="G683" s="5" t="str">
        <f>INDEX(customer[عنوان],MATCH(Main[[#This Row],[کد ردیابی]],customer[کد],0))</f>
        <v>خسروآبادی مهدی</v>
      </c>
      <c r="H683">
        <v>426</v>
      </c>
      <c r="I683" s="6">
        <f ca="1">-Main[[#This Row],[بدهی تسویه شده (کیلوگرم)]]+Main[[#This Row],[بستانکار (کیلوگرم)]]</f>
        <v>426</v>
      </c>
      <c r="J683" s="6">
        <f>IF(Main[[#This Row],[مقدار (کیلوگرم)]]&gt;0,Main[[#This Row],[مقدار (کیلوگرم)]],0)</f>
        <v>426</v>
      </c>
      <c r="K683" s="6">
        <f>-IF(Main[[#This Row],[مقدار (کیلوگرم)]]&lt;0,Main[[#This Row],[مقدار (کیلوگرم)]],0)</f>
        <v>0</v>
      </c>
      <c r="L6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3" s="7">
        <f>-IF(AND(Main[[#This Row],[مقدار (کیلوگرم)]]&lt;0,Main[[#This Row],[تاريخ میلادی]]&gt;44276),Main[[#This Row],[مقدار (کیلوگرم)]],0)</f>
        <v>0</v>
      </c>
      <c r="N683" s="6">
        <f ca="1">Main[[#This Row],[بدهکار (کیلوگرم)]]-Main[[#This Row],[بدهی تسویه نشده (کیلوگرم)]]</f>
        <v>0</v>
      </c>
      <c r="O683" s="6">
        <f ca="1">Main[[#This Row],[تفکیک]]</f>
        <v>0</v>
      </c>
      <c r="P683" s="6">
        <f ca="1">IF(Main[[#This Row],[تاخیر از سررسید]]&gt;0,Main[[#This Row],[بدهی تسویه نشده (کیلوگرم)]],0)</f>
        <v>0</v>
      </c>
      <c r="Q683" s="6">
        <f ca="1">IF(Main[[#This Row],[بدهی تسویه نشده (کیلوگرم)]]&gt;0,'گزارش فردی'!$B$7-Main[[#This Row],[تاريخ میلادی]],0)</f>
        <v>0</v>
      </c>
      <c r="R683" s="6">
        <f ca="1">IF(Main[[#This Row],[بدهی تسویه نشده (کیلوگرم)]]&gt;0,'گزارش فردی'!$B$7-Main[[#This Row],[تاريخ میلادی]]-'گزارش فردی'!$B$8,0)</f>
        <v>0</v>
      </c>
      <c r="S683" s="6">
        <f ca="1">Main[[#This Row],[روز از ارسال سفارش]]*Main[[#This Row],[بدهی تسویه نشده (کیلوگرم)]]</f>
        <v>0</v>
      </c>
      <c r="T683" s="6">
        <f ca="1">Main[[#This Row],[بدهی سررسید شده (کیلوگرم)]]*Main[[#This Row],[روز از ارسال سفارش]]</f>
        <v>0</v>
      </c>
      <c r="U683" s="6">
        <f>-SUBTOTAL(9,INDEX(Main[مقدار (کیلوگرم)],1):Main[[#This Row],[مقدار (کیلوگرم)]])</f>
        <v>28536</v>
      </c>
      <c r="V6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3" s="6">
        <f>Main[[#This Row],[تعداد کل روزهای بدهکار (روز)]]*Main[[#This Row],[مانده در خط کل (کیلوگرم)]]</f>
        <v>0</v>
      </c>
      <c r="X683" s="6">
        <f ca="1">-SUBTOTAL(9,INDEX(Main[مقدار تسویه شده (کیلوگرم)],1):Main[[#This Row],[مقدار تسویه شده (کیلوگرم)]])</f>
        <v>28536</v>
      </c>
      <c r="Y683" s="6">
        <f ca="1">IF(Main[[#This Row],[مانده در خط تسویه شده (کیلوگرم)]]&lt;&gt;0,Main[[#This Row],[تعداد کل روزهای بدهکار (روز)]],0)</f>
        <v>0</v>
      </c>
      <c r="Z683" s="6">
        <f ca="1">Main[[#This Row],[تعداد روزهای بدهکار تسویه شده (روز)]]*Main[[#This Row],[مانده در خط تسویه شده (کیلوگرم)]]</f>
        <v>0</v>
      </c>
      <c r="AA683" s="6">
        <f ca="1">SUBTOTAL(9,INDEX(Main[بدهی تسویه نشده (کیلوگرم)],1):Main[[#This Row],[بدهی تسویه نشده (کیلوگرم)]])</f>
        <v>0</v>
      </c>
      <c r="AB683" s="6">
        <f ca="1">IF(Main[[#This Row],[مانده در خط تسویه نشده (کیلوگرم)]]&lt;&gt;0,Main[[#This Row],[تعداد کل روزهای بدهکار (روز)]],0)</f>
        <v>0</v>
      </c>
      <c r="AC683" s="6">
        <f ca="1">Main[[#This Row],[تعداد روزهای بدهکار  تسویه نشده (روز)]]*Main[[#This Row],[مانده در خط تسویه نشده (کیلوگرم)]]</f>
        <v>0</v>
      </c>
      <c r="AD683" s="6">
        <f ca="1">SUBTOTAL(9,INDEX(Main[بدهی سررسید شده (کیلوگرم)],1):Main[[#This Row],[بدهی سررسید شده (کیلوگرم)]])</f>
        <v>0</v>
      </c>
      <c r="AE683" s="6">
        <f ca="1">IF(Main[[#This Row],[مانده در خط سررسید شده (کیلوگرم)]]&lt;&gt;0,Main[[#This Row],[تعداد کل روزهای بدهکار (روز)]],0)</f>
        <v>0</v>
      </c>
      <c r="AF683" s="6">
        <f ca="1">Main[[#This Row],[تعداد روزهای بدهکار سررسید شده (روز)]]*Main[[#This Row],[مانده در خط سررسید شده (کیلوگرم)]]</f>
        <v>0</v>
      </c>
    </row>
    <row r="684" spans="1:32" hidden="1" x14ac:dyDescent="0.35">
      <c r="A684" s="5">
        <f>ROW()-ROW(INDEX(Main[ردیف],1))+1</f>
        <v>682</v>
      </c>
      <c r="B684" s="31">
        <f>SUBTOTAL(2,INDEX(Main[ردیف],1):Main[[#This Row],[ردیف]])</f>
        <v>64</v>
      </c>
      <c r="C684" s="32" t="s">
        <v>580</v>
      </c>
      <c r="D684" s="32" t="str">
        <f>_xlfn.CONCAT("14",Main[[#This Row],[تاريخ]])</f>
        <v>1400/03/13</v>
      </c>
      <c r="E684" s="33">
        <v>44350</v>
      </c>
      <c r="F684" s="32">
        <v>30186</v>
      </c>
      <c r="G684" s="5" t="str">
        <f>INDEX(customer[عنوان],MATCH(Main[[#This Row],[کد ردیابی]],customer[کد],0))</f>
        <v>سارا گاز</v>
      </c>
      <c r="H684">
        <v>-1974</v>
      </c>
      <c r="I684" s="6">
        <f ca="1">-Main[[#This Row],[بدهی تسویه شده (کیلوگرم)]]+Main[[#This Row],[بستانکار (کیلوگرم)]]</f>
        <v>-1974</v>
      </c>
      <c r="J684" s="6">
        <f>IF(Main[[#This Row],[مقدار (کیلوگرم)]]&gt;0,Main[[#This Row],[مقدار (کیلوگرم)]],0)</f>
        <v>0</v>
      </c>
      <c r="K684" s="6">
        <f>-IF(Main[[#This Row],[مقدار (کیلوگرم)]]&lt;0,Main[[#This Row],[مقدار (کیلوگرم)]],0)</f>
        <v>1974</v>
      </c>
      <c r="L6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4" s="7">
        <f>-IF(AND(Main[[#This Row],[مقدار (کیلوگرم)]]&lt;0,Main[[#This Row],[تاريخ میلادی]]&gt;44276),Main[[#This Row],[مقدار (کیلوگرم)]],0)</f>
        <v>1974</v>
      </c>
      <c r="N684" s="6">
        <f ca="1">Main[[#This Row],[بدهکار (کیلوگرم)]]-Main[[#This Row],[بدهی تسویه نشده (کیلوگرم)]]</f>
        <v>1974</v>
      </c>
      <c r="O684" s="6">
        <f ca="1">Main[[#This Row],[تفکیک]]</f>
        <v>0</v>
      </c>
      <c r="P684" s="6">
        <f ca="1">IF(Main[[#This Row],[تاخیر از سررسید]]&gt;0,Main[[#This Row],[بدهی تسویه نشده (کیلوگرم)]],0)</f>
        <v>0</v>
      </c>
      <c r="Q684" s="6">
        <f ca="1">IF(Main[[#This Row],[بدهی تسویه نشده (کیلوگرم)]]&gt;0,'گزارش فردی'!$B$7-Main[[#This Row],[تاريخ میلادی]],0)</f>
        <v>0</v>
      </c>
      <c r="R684" s="6">
        <f ca="1">IF(Main[[#This Row],[بدهی تسویه نشده (کیلوگرم)]]&gt;0,'گزارش فردی'!$B$7-Main[[#This Row],[تاريخ میلادی]]-'گزارش فردی'!$B$8,0)</f>
        <v>0</v>
      </c>
      <c r="S684" s="6">
        <f ca="1">Main[[#This Row],[روز از ارسال سفارش]]*Main[[#This Row],[بدهی تسویه نشده (کیلوگرم)]]</f>
        <v>0</v>
      </c>
      <c r="T684" s="6">
        <f ca="1">Main[[#This Row],[بدهی سررسید شده (کیلوگرم)]]*Main[[#This Row],[روز از ارسال سفارش]]</f>
        <v>0</v>
      </c>
      <c r="U684" s="6">
        <f>-SUBTOTAL(9,INDEX(Main[مقدار (کیلوگرم)],1):Main[[#This Row],[مقدار (کیلوگرم)]])</f>
        <v>28536</v>
      </c>
      <c r="V6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4" s="6">
        <f>Main[[#This Row],[تعداد کل روزهای بدهکار (روز)]]*Main[[#This Row],[مانده در خط کل (کیلوگرم)]]</f>
        <v>0</v>
      </c>
      <c r="X684" s="6">
        <f ca="1">-SUBTOTAL(9,INDEX(Main[مقدار تسویه شده (کیلوگرم)],1):Main[[#This Row],[مقدار تسویه شده (کیلوگرم)]])</f>
        <v>28536</v>
      </c>
      <c r="Y684" s="6">
        <f ca="1">IF(Main[[#This Row],[مانده در خط تسویه شده (کیلوگرم)]]&lt;&gt;0,Main[[#This Row],[تعداد کل روزهای بدهکار (روز)]],0)</f>
        <v>0</v>
      </c>
      <c r="Z684" s="6">
        <f ca="1">Main[[#This Row],[تعداد روزهای بدهکار تسویه شده (روز)]]*Main[[#This Row],[مانده در خط تسویه شده (کیلوگرم)]]</f>
        <v>0</v>
      </c>
      <c r="AA684" s="6">
        <f ca="1">SUBTOTAL(9,INDEX(Main[بدهی تسویه نشده (کیلوگرم)],1):Main[[#This Row],[بدهی تسویه نشده (کیلوگرم)]])</f>
        <v>0</v>
      </c>
      <c r="AB684" s="6">
        <f ca="1">IF(Main[[#This Row],[مانده در خط تسویه نشده (کیلوگرم)]]&lt;&gt;0,Main[[#This Row],[تعداد کل روزهای بدهکار (روز)]],0)</f>
        <v>0</v>
      </c>
      <c r="AC684" s="6">
        <f ca="1">Main[[#This Row],[تعداد روزهای بدهکار  تسویه نشده (روز)]]*Main[[#This Row],[مانده در خط تسویه نشده (کیلوگرم)]]</f>
        <v>0</v>
      </c>
      <c r="AD684" s="6">
        <f ca="1">SUBTOTAL(9,INDEX(Main[بدهی سررسید شده (کیلوگرم)],1):Main[[#This Row],[بدهی سررسید شده (کیلوگرم)]])</f>
        <v>0</v>
      </c>
      <c r="AE684" s="6">
        <f ca="1">IF(Main[[#This Row],[مانده در خط سررسید شده (کیلوگرم)]]&lt;&gt;0,Main[[#This Row],[تعداد کل روزهای بدهکار (روز)]],0)</f>
        <v>0</v>
      </c>
      <c r="AF684" s="6">
        <f ca="1">Main[[#This Row],[تعداد روزهای بدهکار سررسید شده (روز)]]*Main[[#This Row],[مانده در خط سررسید شده (کیلوگرم)]]</f>
        <v>0</v>
      </c>
    </row>
    <row r="685" spans="1:32" hidden="1" x14ac:dyDescent="0.35">
      <c r="A685" s="5">
        <f>ROW()-ROW(INDEX(Main[ردیف],1))+1</f>
        <v>683</v>
      </c>
      <c r="B685" s="31">
        <f>SUBTOTAL(2,INDEX(Main[ردیف],1):Main[[#This Row],[ردیف]])</f>
        <v>64</v>
      </c>
      <c r="C685" s="32" t="s">
        <v>580</v>
      </c>
      <c r="D685" s="32" t="str">
        <f>_xlfn.CONCAT("14",Main[[#This Row],[تاريخ]])</f>
        <v>1400/03/13</v>
      </c>
      <c r="E685" s="33">
        <v>44350</v>
      </c>
      <c r="F685" s="32">
        <v>10089</v>
      </c>
      <c r="G685" s="5" t="str">
        <f>INDEX(customer[عنوان],MATCH(Main[[#This Row],[کد ردیابی]],customer[کد],0))</f>
        <v>خسروآبادی مهدی</v>
      </c>
      <c r="H685">
        <v>36</v>
      </c>
      <c r="I685" s="6">
        <f ca="1">-Main[[#This Row],[بدهی تسویه شده (کیلوگرم)]]+Main[[#This Row],[بستانکار (کیلوگرم)]]</f>
        <v>36</v>
      </c>
      <c r="J685" s="6">
        <f>IF(Main[[#This Row],[مقدار (کیلوگرم)]]&gt;0,Main[[#This Row],[مقدار (کیلوگرم)]],0)</f>
        <v>36</v>
      </c>
      <c r="K685" s="6">
        <f>-IF(Main[[#This Row],[مقدار (کیلوگرم)]]&lt;0,Main[[#This Row],[مقدار (کیلوگرم)]],0)</f>
        <v>0</v>
      </c>
      <c r="L6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5" s="7">
        <f>-IF(AND(Main[[#This Row],[مقدار (کیلوگرم)]]&lt;0,Main[[#This Row],[تاريخ میلادی]]&gt;44276),Main[[#This Row],[مقدار (کیلوگرم)]],0)</f>
        <v>0</v>
      </c>
      <c r="N685" s="6">
        <f ca="1">Main[[#This Row],[بدهکار (کیلوگرم)]]-Main[[#This Row],[بدهی تسویه نشده (کیلوگرم)]]</f>
        <v>0</v>
      </c>
      <c r="O685" s="6">
        <f ca="1">Main[[#This Row],[تفکیک]]</f>
        <v>0</v>
      </c>
      <c r="P685" s="6">
        <f ca="1">IF(Main[[#This Row],[تاخیر از سررسید]]&gt;0,Main[[#This Row],[بدهی تسویه نشده (کیلوگرم)]],0)</f>
        <v>0</v>
      </c>
      <c r="Q685" s="6">
        <f ca="1">IF(Main[[#This Row],[بدهی تسویه نشده (کیلوگرم)]]&gt;0,'گزارش فردی'!$B$7-Main[[#This Row],[تاريخ میلادی]],0)</f>
        <v>0</v>
      </c>
      <c r="R685" s="6">
        <f ca="1">IF(Main[[#This Row],[بدهی تسویه نشده (کیلوگرم)]]&gt;0,'گزارش فردی'!$B$7-Main[[#This Row],[تاريخ میلادی]]-'گزارش فردی'!$B$8,0)</f>
        <v>0</v>
      </c>
      <c r="S685" s="6">
        <f ca="1">Main[[#This Row],[روز از ارسال سفارش]]*Main[[#This Row],[بدهی تسویه نشده (کیلوگرم)]]</f>
        <v>0</v>
      </c>
      <c r="T685" s="6">
        <f ca="1">Main[[#This Row],[بدهی سررسید شده (کیلوگرم)]]*Main[[#This Row],[روز از ارسال سفارش]]</f>
        <v>0</v>
      </c>
      <c r="U685" s="6">
        <f>-SUBTOTAL(9,INDEX(Main[مقدار (کیلوگرم)],1):Main[[#This Row],[مقدار (کیلوگرم)]])</f>
        <v>28536</v>
      </c>
      <c r="V6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5" s="6">
        <f>Main[[#This Row],[تعداد کل روزهای بدهکار (روز)]]*Main[[#This Row],[مانده در خط کل (کیلوگرم)]]</f>
        <v>0</v>
      </c>
      <c r="X685" s="6">
        <f ca="1">-SUBTOTAL(9,INDEX(Main[مقدار تسویه شده (کیلوگرم)],1):Main[[#This Row],[مقدار تسویه شده (کیلوگرم)]])</f>
        <v>28536</v>
      </c>
      <c r="Y685" s="6">
        <f ca="1">IF(Main[[#This Row],[مانده در خط تسویه شده (کیلوگرم)]]&lt;&gt;0,Main[[#This Row],[تعداد کل روزهای بدهکار (روز)]],0)</f>
        <v>0</v>
      </c>
      <c r="Z685" s="6">
        <f ca="1">Main[[#This Row],[تعداد روزهای بدهکار تسویه شده (روز)]]*Main[[#This Row],[مانده در خط تسویه شده (کیلوگرم)]]</f>
        <v>0</v>
      </c>
      <c r="AA685" s="6">
        <f ca="1">SUBTOTAL(9,INDEX(Main[بدهی تسویه نشده (کیلوگرم)],1):Main[[#This Row],[بدهی تسویه نشده (کیلوگرم)]])</f>
        <v>0</v>
      </c>
      <c r="AB685" s="6">
        <f ca="1">IF(Main[[#This Row],[مانده در خط تسویه نشده (کیلوگرم)]]&lt;&gt;0,Main[[#This Row],[تعداد کل روزهای بدهکار (روز)]],0)</f>
        <v>0</v>
      </c>
      <c r="AC685" s="6">
        <f ca="1">Main[[#This Row],[تعداد روزهای بدهکار  تسویه نشده (روز)]]*Main[[#This Row],[مانده در خط تسویه نشده (کیلوگرم)]]</f>
        <v>0</v>
      </c>
      <c r="AD685" s="6">
        <f ca="1">SUBTOTAL(9,INDEX(Main[بدهی سررسید شده (کیلوگرم)],1):Main[[#This Row],[بدهی سررسید شده (کیلوگرم)]])</f>
        <v>0</v>
      </c>
      <c r="AE685" s="6">
        <f ca="1">IF(Main[[#This Row],[مانده در خط سررسید شده (کیلوگرم)]]&lt;&gt;0,Main[[#This Row],[تعداد کل روزهای بدهکار (روز)]],0)</f>
        <v>0</v>
      </c>
      <c r="AF685" s="6">
        <f ca="1">Main[[#This Row],[تعداد روزهای بدهکار سررسید شده (روز)]]*Main[[#This Row],[مانده در خط سررسید شده (کیلوگرم)]]</f>
        <v>0</v>
      </c>
    </row>
    <row r="686" spans="1:32" hidden="1" x14ac:dyDescent="0.35">
      <c r="A686" s="5">
        <f>ROW()-ROW(INDEX(Main[ردیف],1))+1</f>
        <v>684</v>
      </c>
      <c r="B686" s="31">
        <f>SUBTOTAL(2,INDEX(Main[ردیف],1):Main[[#This Row],[ردیف]])</f>
        <v>64</v>
      </c>
      <c r="C686" s="32" t="s">
        <v>580</v>
      </c>
      <c r="D686" s="32" t="str">
        <f>_xlfn.CONCAT("14",Main[[#This Row],[تاريخ]])</f>
        <v>1400/03/13</v>
      </c>
      <c r="E686" s="33">
        <v>44350</v>
      </c>
      <c r="F686" s="32">
        <v>30127</v>
      </c>
      <c r="G686" s="5" t="str">
        <f>INDEX(customer[عنوان],MATCH(Main[[#This Row],[کد ردیابی]],customer[کد],0))</f>
        <v>شیر گاز آذران</v>
      </c>
      <c r="H686">
        <v>-16613</v>
      </c>
      <c r="I686" s="6">
        <f ca="1">-Main[[#This Row],[بدهی تسویه شده (کیلوگرم)]]+Main[[#This Row],[بستانکار (کیلوگرم)]]</f>
        <v>-16613</v>
      </c>
      <c r="J686" s="6">
        <f>IF(Main[[#This Row],[مقدار (کیلوگرم)]]&gt;0,Main[[#This Row],[مقدار (کیلوگرم)]],0)</f>
        <v>0</v>
      </c>
      <c r="K686" s="6">
        <f>-IF(Main[[#This Row],[مقدار (کیلوگرم)]]&lt;0,Main[[#This Row],[مقدار (کیلوگرم)]],0)</f>
        <v>16613</v>
      </c>
      <c r="L6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6" s="7">
        <f>-IF(AND(Main[[#This Row],[مقدار (کیلوگرم)]]&lt;0,Main[[#This Row],[تاريخ میلادی]]&gt;44276),Main[[#This Row],[مقدار (کیلوگرم)]],0)</f>
        <v>16613</v>
      </c>
      <c r="N686" s="6">
        <f ca="1">Main[[#This Row],[بدهکار (کیلوگرم)]]-Main[[#This Row],[بدهی تسویه نشده (کیلوگرم)]]</f>
        <v>16613</v>
      </c>
      <c r="O686" s="6">
        <f ca="1">Main[[#This Row],[تفکیک]]</f>
        <v>0</v>
      </c>
      <c r="P686" s="6">
        <f ca="1">IF(Main[[#This Row],[تاخیر از سررسید]]&gt;0,Main[[#This Row],[بدهی تسویه نشده (کیلوگرم)]],0)</f>
        <v>0</v>
      </c>
      <c r="Q686" s="6">
        <f ca="1">IF(Main[[#This Row],[بدهی تسویه نشده (کیلوگرم)]]&gt;0,'گزارش فردی'!$B$7-Main[[#This Row],[تاريخ میلادی]],0)</f>
        <v>0</v>
      </c>
      <c r="R686" s="6">
        <f ca="1">IF(Main[[#This Row],[بدهی تسویه نشده (کیلوگرم)]]&gt;0,'گزارش فردی'!$B$7-Main[[#This Row],[تاريخ میلادی]]-'گزارش فردی'!$B$8,0)</f>
        <v>0</v>
      </c>
      <c r="S686" s="6">
        <f ca="1">Main[[#This Row],[روز از ارسال سفارش]]*Main[[#This Row],[بدهی تسویه نشده (کیلوگرم)]]</f>
        <v>0</v>
      </c>
      <c r="T686" s="6">
        <f ca="1">Main[[#This Row],[بدهی سررسید شده (کیلوگرم)]]*Main[[#This Row],[روز از ارسال سفارش]]</f>
        <v>0</v>
      </c>
      <c r="U686" s="6">
        <f>-SUBTOTAL(9,INDEX(Main[مقدار (کیلوگرم)],1):Main[[#This Row],[مقدار (کیلوگرم)]])</f>
        <v>28536</v>
      </c>
      <c r="V6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6" s="6">
        <f>Main[[#This Row],[تعداد کل روزهای بدهکار (روز)]]*Main[[#This Row],[مانده در خط کل (کیلوگرم)]]</f>
        <v>0</v>
      </c>
      <c r="X686" s="6">
        <f ca="1">-SUBTOTAL(9,INDEX(Main[مقدار تسویه شده (کیلوگرم)],1):Main[[#This Row],[مقدار تسویه شده (کیلوگرم)]])</f>
        <v>28536</v>
      </c>
      <c r="Y686" s="6">
        <f ca="1">IF(Main[[#This Row],[مانده در خط تسویه شده (کیلوگرم)]]&lt;&gt;0,Main[[#This Row],[تعداد کل روزهای بدهکار (روز)]],0)</f>
        <v>0</v>
      </c>
      <c r="Z686" s="6">
        <f ca="1">Main[[#This Row],[تعداد روزهای بدهکار تسویه شده (روز)]]*Main[[#This Row],[مانده در خط تسویه شده (کیلوگرم)]]</f>
        <v>0</v>
      </c>
      <c r="AA686" s="6">
        <f ca="1">SUBTOTAL(9,INDEX(Main[بدهی تسویه نشده (کیلوگرم)],1):Main[[#This Row],[بدهی تسویه نشده (کیلوگرم)]])</f>
        <v>0</v>
      </c>
      <c r="AB686" s="6">
        <f ca="1">IF(Main[[#This Row],[مانده در خط تسویه نشده (کیلوگرم)]]&lt;&gt;0,Main[[#This Row],[تعداد کل روزهای بدهکار (روز)]],0)</f>
        <v>0</v>
      </c>
      <c r="AC686" s="6">
        <f ca="1">Main[[#This Row],[تعداد روزهای بدهکار  تسویه نشده (روز)]]*Main[[#This Row],[مانده در خط تسویه نشده (کیلوگرم)]]</f>
        <v>0</v>
      </c>
      <c r="AD686" s="6">
        <f ca="1">SUBTOTAL(9,INDEX(Main[بدهی سررسید شده (کیلوگرم)],1):Main[[#This Row],[بدهی سررسید شده (کیلوگرم)]])</f>
        <v>0</v>
      </c>
      <c r="AE686" s="6">
        <f ca="1">IF(Main[[#This Row],[مانده در خط سررسید شده (کیلوگرم)]]&lt;&gt;0,Main[[#This Row],[تعداد کل روزهای بدهکار (روز)]],0)</f>
        <v>0</v>
      </c>
      <c r="AF686" s="6">
        <f ca="1">Main[[#This Row],[تعداد روزهای بدهکار سررسید شده (روز)]]*Main[[#This Row],[مانده در خط سررسید شده (کیلوگرم)]]</f>
        <v>0</v>
      </c>
    </row>
    <row r="687" spans="1:32" hidden="1" x14ac:dyDescent="0.35">
      <c r="A687" s="5">
        <f>ROW()-ROW(INDEX(Main[ردیف],1))+1</f>
        <v>685</v>
      </c>
      <c r="B687" s="31">
        <f>SUBTOTAL(2,INDEX(Main[ردیف],1):Main[[#This Row],[ردیف]])</f>
        <v>64</v>
      </c>
      <c r="C687" s="32" t="s">
        <v>580</v>
      </c>
      <c r="D687" s="32" t="str">
        <f>_xlfn.CONCAT("14",Main[[#This Row],[تاريخ]])</f>
        <v>1400/03/13</v>
      </c>
      <c r="E687" s="33">
        <v>44350</v>
      </c>
      <c r="F687" s="32">
        <v>10089</v>
      </c>
      <c r="G687" s="5" t="str">
        <f>INDEX(customer[عنوان],MATCH(Main[[#This Row],[کد ردیابی]],customer[کد],0))</f>
        <v>خسروآبادی مهدی</v>
      </c>
      <c r="H687">
        <v>225</v>
      </c>
      <c r="I687" s="6">
        <f ca="1">-Main[[#This Row],[بدهی تسویه شده (کیلوگرم)]]+Main[[#This Row],[بستانکار (کیلوگرم)]]</f>
        <v>225</v>
      </c>
      <c r="J687" s="6">
        <f>IF(Main[[#This Row],[مقدار (کیلوگرم)]]&gt;0,Main[[#This Row],[مقدار (کیلوگرم)]],0)</f>
        <v>225</v>
      </c>
      <c r="K687" s="6">
        <f>-IF(Main[[#This Row],[مقدار (کیلوگرم)]]&lt;0,Main[[#This Row],[مقدار (کیلوگرم)]],0)</f>
        <v>0</v>
      </c>
      <c r="L6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7" s="7">
        <f>-IF(AND(Main[[#This Row],[مقدار (کیلوگرم)]]&lt;0,Main[[#This Row],[تاريخ میلادی]]&gt;44276),Main[[#This Row],[مقدار (کیلوگرم)]],0)</f>
        <v>0</v>
      </c>
      <c r="N687" s="6">
        <f ca="1">Main[[#This Row],[بدهکار (کیلوگرم)]]-Main[[#This Row],[بدهی تسویه نشده (کیلوگرم)]]</f>
        <v>0</v>
      </c>
      <c r="O687" s="6">
        <f ca="1">Main[[#This Row],[تفکیک]]</f>
        <v>0</v>
      </c>
      <c r="P687" s="6">
        <f ca="1">IF(Main[[#This Row],[تاخیر از سررسید]]&gt;0,Main[[#This Row],[بدهی تسویه نشده (کیلوگرم)]],0)</f>
        <v>0</v>
      </c>
      <c r="Q687" s="6">
        <f ca="1">IF(Main[[#This Row],[بدهی تسویه نشده (کیلوگرم)]]&gt;0,'گزارش فردی'!$B$7-Main[[#This Row],[تاريخ میلادی]],0)</f>
        <v>0</v>
      </c>
      <c r="R687" s="6">
        <f ca="1">IF(Main[[#This Row],[بدهی تسویه نشده (کیلوگرم)]]&gt;0,'گزارش فردی'!$B$7-Main[[#This Row],[تاريخ میلادی]]-'گزارش فردی'!$B$8,0)</f>
        <v>0</v>
      </c>
      <c r="S687" s="6">
        <f ca="1">Main[[#This Row],[روز از ارسال سفارش]]*Main[[#This Row],[بدهی تسویه نشده (کیلوگرم)]]</f>
        <v>0</v>
      </c>
      <c r="T687" s="6">
        <f ca="1">Main[[#This Row],[بدهی سررسید شده (کیلوگرم)]]*Main[[#This Row],[روز از ارسال سفارش]]</f>
        <v>0</v>
      </c>
      <c r="U687" s="6">
        <f>-SUBTOTAL(9,INDEX(Main[مقدار (کیلوگرم)],1):Main[[#This Row],[مقدار (کیلوگرم)]])</f>
        <v>28536</v>
      </c>
      <c r="V6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7" s="6">
        <f>Main[[#This Row],[تعداد کل روزهای بدهکار (روز)]]*Main[[#This Row],[مانده در خط کل (کیلوگرم)]]</f>
        <v>0</v>
      </c>
      <c r="X687" s="6">
        <f ca="1">-SUBTOTAL(9,INDEX(Main[مقدار تسویه شده (کیلوگرم)],1):Main[[#This Row],[مقدار تسویه شده (کیلوگرم)]])</f>
        <v>28536</v>
      </c>
      <c r="Y687" s="6">
        <f ca="1">IF(Main[[#This Row],[مانده در خط تسویه شده (کیلوگرم)]]&lt;&gt;0,Main[[#This Row],[تعداد کل روزهای بدهکار (روز)]],0)</f>
        <v>0</v>
      </c>
      <c r="Z687" s="6">
        <f ca="1">Main[[#This Row],[تعداد روزهای بدهکار تسویه شده (روز)]]*Main[[#This Row],[مانده در خط تسویه شده (کیلوگرم)]]</f>
        <v>0</v>
      </c>
      <c r="AA687" s="6">
        <f ca="1">SUBTOTAL(9,INDEX(Main[بدهی تسویه نشده (کیلوگرم)],1):Main[[#This Row],[بدهی تسویه نشده (کیلوگرم)]])</f>
        <v>0</v>
      </c>
      <c r="AB687" s="6">
        <f ca="1">IF(Main[[#This Row],[مانده در خط تسویه نشده (کیلوگرم)]]&lt;&gt;0,Main[[#This Row],[تعداد کل روزهای بدهکار (روز)]],0)</f>
        <v>0</v>
      </c>
      <c r="AC687" s="6">
        <f ca="1">Main[[#This Row],[تعداد روزهای بدهکار  تسویه نشده (روز)]]*Main[[#This Row],[مانده در خط تسویه نشده (کیلوگرم)]]</f>
        <v>0</v>
      </c>
      <c r="AD687" s="6">
        <f ca="1">SUBTOTAL(9,INDEX(Main[بدهی سررسید شده (کیلوگرم)],1):Main[[#This Row],[بدهی سررسید شده (کیلوگرم)]])</f>
        <v>0</v>
      </c>
      <c r="AE687" s="6">
        <f ca="1">IF(Main[[#This Row],[مانده در خط سررسید شده (کیلوگرم)]]&lt;&gt;0,Main[[#This Row],[تعداد کل روزهای بدهکار (روز)]],0)</f>
        <v>0</v>
      </c>
      <c r="AF687" s="6">
        <f ca="1">Main[[#This Row],[تعداد روزهای بدهکار سررسید شده (روز)]]*Main[[#This Row],[مانده در خط سررسید شده (کیلوگرم)]]</f>
        <v>0</v>
      </c>
    </row>
    <row r="688" spans="1:32" x14ac:dyDescent="0.35">
      <c r="A688" s="5">
        <f>ROW()-ROW(INDEX(Main[ردیف],1))+1</f>
        <v>686</v>
      </c>
      <c r="B688" s="31">
        <f>SUBTOTAL(2,INDEX(Main[ردیف],1):Main[[#This Row],[ردیف]])</f>
        <v>65</v>
      </c>
      <c r="C688" s="32" t="s">
        <v>580</v>
      </c>
      <c r="D688" s="32" t="str">
        <f>_xlfn.CONCAT("14",Main[[#This Row],[تاريخ]])</f>
        <v>1400/03/13</v>
      </c>
      <c r="E688" s="33">
        <v>44350</v>
      </c>
      <c r="F688" s="32">
        <v>10003</v>
      </c>
      <c r="G688" s="5" t="str">
        <f>INDEX(customer[عنوان],MATCH(Main[[#This Row],[کد ردیابی]],customer[کد],0))</f>
        <v>اصغر نورعلی</v>
      </c>
      <c r="H688">
        <v>-2038</v>
      </c>
      <c r="I688" s="6">
        <f ca="1">-Main[[#This Row],[بدهی تسویه شده (کیلوگرم)]]+Main[[#This Row],[بستانکار (کیلوگرم)]]</f>
        <v>-2038</v>
      </c>
      <c r="J688" s="6">
        <f>IF(Main[[#This Row],[مقدار (کیلوگرم)]]&gt;0,Main[[#This Row],[مقدار (کیلوگرم)]],0)</f>
        <v>0</v>
      </c>
      <c r="K688" s="6">
        <f>-IF(Main[[#This Row],[مقدار (کیلوگرم)]]&lt;0,Main[[#This Row],[مقدار (کیلوگرم)]],0)</f>
        <v>2038</v>
      </c>
      <c r="L6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8" s="7">
        <f>-IF(AND(Main[[#This Row],[مقدار (کیلوگرم)]]&lt;0,Main[[#This Row],[تاريخ میلادی]]&gt;44276),Main[[#This Row],[مقدار (کیلوگرم)]],0)</f>
        <v>2038</v>
      </c>
      <c r="N688" s="6">
        <f ca="1">Main[[#This Row],[بدهکار (کیلوگرم)]]-Main[[#This Row],[بدهی تسویه نشده (کیلوگرم)]]</f>
        <v>2038</v>
      </c>
      <c r="O688" s="6">
        <f ca="1">Main[[#This Row],[تفکیک]]</f>
        <v>0</v>
      </c>
      <c r="P688" s="6">
        <f ca="1">IF(Main[[#This Row],[تاخیر از سررسید]]&gt;0,Main[[#This Row],[بدهی تسویه نشده (کیلوگرم)]],0)</f>
        <v>0</v>
      </c>
      <c r="Q688" s="6">
        <f ca="1">IF(Main[[#This Row],[بدهی تسویه نشده (کیلوگرم)]]&gt;0,'گزارش فردی'!$B$7-Main[[#This Row],[تاريخ میلادی]],0)</f>
        <v>0</v>
      </c>
      <c r="R688" s="6">
        <f ca="1">IF(Main[[#This Row],[بدهی تسویه نشده (کیلوگرم)]]&gt;0,'گزارش فردی'!$B$7-Main[[#This Row],[تاريخ میلادی]]-'گزارش فردی'!$B$8,0)</f>
        <v>0</v>
      </c>
      <c r="S688" s="6">
        <f ca="1">Main[[#This Row],[روز از ارسال سفارش]]*Main[[#This Row],[بدهی تسویه نشده (کیلوگرم)]]</f>
        <v>0</v>
      </c>
      <c r="T688" s="6">
        <f ca="1">Main[[#This Row],[بدهی سررسید شده (کیلوگرم)]]*Main[[#This Row],[روز از ارسال سفارش]]</f>
        <v>0</v>
      </c>
      <c r="U688" s="6">
        <f>-SUBTOTAL(9,INDEX(Main[مقدار (کیلوگرم)],1):Main[[#This Row],[مقدار (کیلوگرم)]])</f>
        <v>30574</v>
      </c>
      <c r="V68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88" s="6">
        <f>Main[[#This Row],[تعداد کل روزهای بدهکار (روز)]]*Main[[#This Row],[مانده در خط کل (کیلوگرم)]]</f>
        <v>122296</v>
      </c>
      <c r="X688" s="6">
        <f ca="1">-SUBTOTAL(9,INDEX(Main[مقدار تسویه شده (کیلوگرم)],1):Main[[#This Row],[مقدار تسویه شده (کیلوگرم)]])</f>
        <v>30574</v>
      </c>
      <c r="Y688" s="6">
        <f ca="1">IF(Main[[#This Row],[مانده در خط تسویه شده (کیلوگرم)]]&lt;&gt;0,Main[[#This Row],[تعداد کل روزهای بدهکار (روز)]],0)</f>
        <v>4</v>
      </c>
      <c r="Z688" s="6">
        <f ca="1">Main[[#This Row],[تعداد روزهای بدهکار تسویه شده (روز)]]*Main[[#This Row],[مانده در خط تسویه شده (کیلوگرم)]]</f>
        <v>122296</v>
      </c>
      <c r="AA688" s="6">
        <f ca="1">SUBTOTAL(9,INDEX(Main[بدهی تسویه نشده (کیلوگرم)],1):Main[[#This Row],[بدهی تسویه نشده (کیلوگرم)]])</f>
        <v>0</v>
      </c>
      <c r="AB688" s="6">
        <f ca="1">IF(Main[[#This Row],[مانده در خط تسویه نشده (کیلوگرم)]]&lt;&gt;0,Main[[#This Row],[تعداد کل روزهای بدهکار (روز)]],0)</f>
        <v>0</v>
      </c>
      <c r="AC688" s="6">
        <f ca="1">Main[[#This Row],[تعداد روزهای بدهکار  تسویه نشده (روز)]]*Main[[#This Row],[مانده در خط تسویه نشده (کیلوگرم)]]</f>
        <v>0</v>
      </c>
      <c r="AD688" s="6">
        <f ca="1">SUBTOTAL(9,INDEX(Main[بدهی سررسید شده (کیلوگرم)],1):Main[[#This Row],[بدهی سررسید شده (کیلوگرم)]])</f>
        <v>0</v>
      </c>
      <c r="AE688" s="6">
        <f ca="1">IF(Main[[#This Row],[مانده در خط سررسید شده (کیلوگرم)]]&lt;&gt;0,Main[[#This Row],[تعداد کل روزهای بدهکار (روز)]],0)</f>
        <v>0</v>
      </c>
      <c r="AF688" s="6">
        <f ca="1">Main[[#This Row],[تعداد روزهای بدهکار سررسید شده (روز)]]*Main[[#This Row],[مانده در خط سررسید شده (کیلوگرم)]]</f>
        <v>0</v>
      </c>
    </row>
    <row r="689" spans="1:32" hidden="1" x14ac:dyDescent="0.35">
      <c r="A689" s="5">
        <f>ROW()-ROW(INDEX(Main[ردیف],1))+1</f>
        <v>687</v>
      </c>
      <c r="B689" s="31">
        <f>SUBTOTAL(2,INDEX(Main[ردیف],1):Main[[#This Row],[ردیف]])</f>
        <v>65</v>
      </c>
      <c r="C689" s="32" t="s">
        <v>580</v>
      </c>
      <c r="D689" s="32" t="str">
        <f>_xlfn.CONCAT("14",Main[[#This Row],[تاريخ]])</f>
        <v>1400/03/13</v>
      </c>
      <c r="E689" s="33">
        <v>44350</v>
      </c>
      <c r="F689" s="32">
        <v>10131</v>
      </c>
      <c r="G689" s="5" t="str">
        <f>INDEX(customer[عنوان],MATCH(Main[[#This Row],[کد ردیابی]],customer[کد],0))</f>
        <v>بهرام چرخیان</v>
      </c>
      <c r="H689">
        <v>259</v>
      </c>
      <c r="I689" s="6">
        <f ca="1">-Main[[#This Row],[بدهی تسویه شده (کیلوگرم)]]+Main[[#This Row],[بستانکار (کیلوگرم)]]</f>
        <v>259</v>
      </c>
      <c r="J689" s="6">
        <f>IF(Main[[#This Row],[مقدار (کیلوگرم)]]&gt;0,Main[[#This Row],[مقدار (کیلوگرم)]],0)</f>
        <v>259</v>
      </c>
      <c r="K689" s="6">
        <f>-IF(Main[[#This Row],[مقدار (کیلوگرم)]]&lt;0,Main[[#This Row],[مقدار (کیلوگرم)]],0)</f>
        <v>0</v>
      </c>
      <c r="L6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9" s="7">
        <f>-IF(AND(Main[[#This Row],[مقدار (کیلوگرم)]]&lt;0,Main[[#This Row],[تاريخ میلادی]]&gt;44276),Main[[#This Row],[مقدار (کیلوگرم)]],0)</f>
        <v>0</v>
      </c>
      <c r="N689" s="6">
        <f ca="1">Main[[#This Row],[بدهکار (کیلوگرم)]]-Main[[#This Row],[بدهی تسویه نشده (کیلوگرم)]]</f>
        <v>0</v>
      </c>
      <c r="O689" s="6">
        <f ca="1">Main[[#This Row],[تفکیک]]</f>
        <v>0</v>
      </c>
      <c r="P689" s="6">
        <f ca="1">IF(Main[[#This Row],[تاخیر از سررسید]]&gt;0,Main[[#This Row],[بدهی تسویه نشده (کیلوگرم)]],0)</f>
        <v>0</v>
      </c>
      <c r="Q689" s="6">
        <f ca="1">IF(Main[[#This Row],[بدهی تسویه نشده (کیلوگرم)]]&gt;0,'گزارش فردی'!$B$7-Main[[#This Row],[تاريخ میلادی]],0)</f>
        <v>0</v>
      </c>
      <c r="R689" s="6">
        <f ca="1">IF(Main[[#This Row],[بدهی تسویه نشده (کیلوگرم)]]&gt;0,'گزارش فردی'!$B$7-Main[[#This Row],[تاريخ میلادی]]-'گزارش فردی'!$B$8,0)</f>
        <v>0</v>
      </c>
      <c r="S689" s="6">
        <f ca="1">Main[[#This Row],[روز از ارسال سفارش]]*Main[[#This Row],[بدهی تسویه نشده (کیلوگرم)]]</f>
        <v>0</v>
      </c>
      <c r="T689" s="6">
        <f ca="1">Main[[#This Row],[بدهی سررسید شده (کیلوگرم)]]*Main[[#This Row],[روز از ارسال سفارش]]</f>
        <v>0</v>
      </c>
      <c r="U689" s="6">
        <f>-SUBTOTAL(9,INDEX(Main[مقدار (کیلوگرم)],1):Main[[#This Row],[مقدار (کیلوگرم)]])</f>
        <v>30574</v>
      </c>
      <c r="V68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89" s="6">
        <f>Main[[#This Row],[تعداد کل روزهای بدهکار (روز)]]*Main[[#This Row],[مانده در خط کل (کیلوگرم)]]</f>
        <v>122296</v>
      </c>
      <c r="X689" s="6">
        <f ca="1">-SUBTOTAL(9,INDEX(Main[مقدار تسویه شده (کیلوگرم)],1):Main[[#This Row],[مقدار تسویه شده (کیلوگرم)]])</f>
        <v>30574</v>
      </c>
      <c r="Y689" s="6">
        <f ca="1">IF(Main[[#This Row],[مانده در خط تسویه شده (کیلوگرم)]]&lt;&gt;0,Main[[#This Row],[تعداد کل روزهای بدهکار (روز)]],0)</f>
        <v>4</v>
      </c>
      <c r="Z689" s="6">
        <f ca="1">Main[[#This Row],[تعداد روزهای بدهکار تسویه شده (روز)]]*Main[[#This Row],[مانده در خط تسویه شده (کیلوگرم)]]</f>
        <v>122296</v>
      </c>
      <c r="AA689" s="6">
        <f ca="1">SUBTOTAL(9,INDEX(Main[بدهی تسویه نشده (کیلوگرم)],1):Main[[#This Row],[بدهی تسویه نشده (کیلوگرم)]])</f>
        <v>0</v>
      </c>
      <c r="AB689" s="6">
        <f ca="1">IF(Main[[#This Row],[مانده در خط تسویه نشده (کیلوگرم)]]&lt;&gt;0,Main[[#This Row],[تعداد کل روزهای بدهکار (روز)]],0)</f>
        <v>0</v>
      </c>
      <c r="AC689" s="6">
        <f ca="1">Main[[#This Row],[تعداد روزهای بدهکار  تسویه نشده (روز)]]*Main[[#This Row],[مانده در خط تسویه نشده (کیلوگرم)]]</f>
        <v>0</v>
      </c>
      <c r="AD689" s="6">
        <f ca="1">SUBTOTAL(9,INDEX(Main[بدهی سررسید شده (کیلوگرم)],1):Main[[#This Row],[بدهی سررسید شده (کیلوگرم)]])</f>
        <v>0</v>
      </c>
      <c r="AE689" s="6">
        <f ca="1">IF(Main[[#This Row],[مانده در خط سررسید شده (کیلوگرم)]]&lt;&gt;0,Main[[#This Row],[تعداد کل روزهای بدهکار (روز)]],0)</f>
        <v>0</v>
      </c>
      <c r="AF689" s="6">
        <f ca="1">Main[[#This Row],[تعداد روزهای بدهکار سررسید شده (روز)]]*Main[[#This Row],[مانده در خط سررسید شده (کیلوگرم)]]</f>
        <v>0</v>
      </c>
    </row>
    <row r="690" spans="1:32" hidden="1" x14ac:dyDescent="0.35">
      <c r="A690" s="5">
        <f>ROW()-ROW(INDEX(Main[ردیف],1))+1</f>
        <v>688</v>
      </c>
      <c r="B690" s="31">
        <f>SUBTOTAL(2,INDEX(Main[ردیف],1):Main[[#This Row],[ردیف]])</f>
        <v>65</v>
      </c>
      <c r="C690" s="32" t="s">
        <v>580</v>
      </c>
      <c r="D690" s="32" t="str">
        <f>_xlfn.CONCAT("14",Main[[#This Row],[تاريخ]])</f>
        <v>1400/03/13</v>
      </c>
      <c r="E690" s="33">
        <v>44350</v>
      </c>
      <c r="F690" s="32">
        <v>10131</v>
      </c>
      <c r="G690" s="5" t="str">
        <f>INDEX(customer[عنوان],MATCH(Main[[#This Row],[کد ردیابی]],customer[کد],0))</f>
        <v>بهرام چرخیان</v>
      </c>
      <c r="H690">
        <v>-174</v>
      </c>
      <c r="I690" s="6">
        <f ca="1">-Main[[#This Row],[بدهی تسویه شده (کیلوگرم)]]+Main[[#This Row],[بستانکار (کیلوگرم)]]</f>
        <v>-174</v>
      </c>
      <c r="J690" s="6">
        <f>IF(Main[[#This Row],[مقدار (کیلوگرم)]]&gt;0,Main[[#This Row],[مقدار (کیلوگرم)]],0)</f>
        <v>0</v>
      </c>
      <c r="K690" s="6">
        <f>-IF(Main[[#This Row],[مقدار (کیلوگرم)]]&lt;0,Main[[#This Row],[مقدار (کیلوگرم)]],0)</f>
        <v>174</v>
      </c>
      <c r="L6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0" s="7">
        <f>-IF(AND(Main[[#This Row],[مقدار (کیلوگرم)]]&lt;0,Main[[#This Row],[تاريخ میلادی]]&gt;44276),Main[[#This Row],[مقدار (کیلوگرم)]],0)</f>
        <v>174</v>
      </c>
      <c r="N690" s="6">
        <f ca="1">Main[[#This Row],[بدهکار (کیلوگرم)]]-Main[[#This Row],[بدهی تسویه نشده (کیلوگرم)]]</f>
        <v>174</v>
      </c>
      <c r="O690" s="6">
        <f ca="1">Main[[#This Row],[تفکیک]]</f>
        <v>0</v>
      </c>
      <c r="P690" s="6">
        <f ca="1">IF(Main[[#This Row],[تاخیر از سررسید]]&gt;0,Main[[#This Row],[بدهی تسویه نشده (کیلوگرم)]],0)</f>
        <v>0</v>
      </c>
      <c r="Q690" s="6">
        <f ca="1">IF(Main[[#This Row],[بدهی تسویه نشده (کیلوگرم)]]&gt;0,'گزارش فردی'!$B$7-Main[[#This Row],[تاريخ میلادی]],0)</f>
        <v>0</v>
      </c>
      <c r="R690" s="6">
        <f ca="1">IF(Main[[#This Row],[بدهی تسویه نشده (کیلوگرم)]]&gt;0,'گزارش فردی'!$B$7-Main[[#This Row],[تاريخ میلادی]]-'گزارش فردی'!$B$8,0)</f>
        <v>0</v>
      </c>
      <c r="S690" s="6">
        <f ca="1">Main[[#This Row],[روز از ارسال سفارش]]*Main[[#This Row],[بدهی تسویه نشده (کیلوگرم)]]</f>
        <v>0</v>
      </c>
      <c r="T690" s="6">
        <f ca="1">Main[[#This Row],[بدهی سررسید شده (کیلوگرم)]]*Main[[#This Row],[روز از ارسال سفارش]]</f>
        <v>0</v>
      </c>
      <c r="U690" s="6">
        <f>-SUBTOTAL(9,INDEX(Main[مقدار (کیلوگرم)],1):Main[[#This Row],[مقدار (کیلوگرم)]])</f>
        <v>30574</v>
      </c>
      <c r="V69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90" s="6">
        <f>Main[[#This Row],[تعداد کل روزهای بدهکار (روز)]]*Main[[#This Row],[مانده در خط کل (کیلوگرم)]]</f>
        <v>122296</v>
      </c>
      <c r="X690" s="6">
        <f ca="1">-SUBTOTAL(9,INDEX(Main[مقدار تسویه شده (کیلوگرم)],1):Main[[#This Row],[مقدار تسویه شده (کیلوگرم)]])</f>
        <v>30574</v>
      </c>
      <c r="Y690" s="6">
        <f ca="1">IF(Main[[#This Row],[مانده در خط تسویه شده (کیلوگرم)]]&lt;&gt;0,Main[[#This Row],[تعداد کل روزهای بدهکار (روز)]],0)</f>
        <v>4</v>
      </c>
      <c r="Z690" s="6">
        <f ca="1">Main[[#This Row],[تعداد روزهای بدهکار تسویه شده (روز)]]*Main[[#This Row],[مانده در خط تسویه شده (کیلوگرم)]]</f>
        <v>122296</v>
      </c>
      <c r="AA690" s="6">
        <f ca="1">SUBTOTAL(9,INDEX(Main[بدهی تسویه نشده (کیلوگرم)],1):Main[[#This Row],[بدهی تسویه نشده (کیلوگرم)]])</f>
        <v>0</v>
      </c>
      <c r="AB690" s="6">
        <f ca="1">IF(Main[[#This Row],[مانده در خط تسویه نشده (کیلوگرم)]]&lt;&gt;0,Main[[#This Row],[تعداد کل روزهای بدهکار (روز)]],0)</f>
        <v>0</v>
      </c>
      <c r="AC690" s="6">
        <f ca="1">Main[[#This Row],[تعداد روزهای بدهکار  تسویه نشده (روز)]]*Main[[#This Row],[مانده در خط تسویه نشده (کیلوگرم)]]</f>
        <v>0</v>
      </c>
      <c r="AD690" s="6">
        <f ca="1">SUBTOTAL(9,INDEX(Main[بدهی سررسید شده (کیلوگرم)],1):Main[[#This Row],[بدهی سررسید شده (کیلوگرم)]])</f>
        <v>0</v>
      </c>
      <c r="AE690" s="6">
        <f ca="1">IF(Main[[#This Row],[مانده در خط سررسید شده (کیلوگرم)]]&lt;&gt;0,Main[[#This Row],[تعداد کل روزهای بدهکار (روز)]],0)</f>
        <v>0</v>
      </c>
      <c r="AF690" s="6">
        <f ca="1">Main[[#This Row],[تعداد روزهای بدهکار سررسید شده (روز)]]*Main[[#This Row],[مانده در خط سررسید شده (کیلوگرم)]]</f>
        <v>0</v>
      </c>
    </row>
    <row r="691" spans="1:32" hidden="1" x14ac:dyDescent="0.35">
      <c r="A691" s="5">
        <f>ROW()-ROW(INDEX(Main[ردیف],1))+1</f>
        <v>689</v>
      </c>
      <c r="B691" s="31">
        <f>SUBTOTAL(2,INDEX(Main[ردیف],1):Main[[#This Row],[ردیف]])</f>
        <v>65</v>
      </c>
      <c r="C691" s="32" t="s">
        <v>580</v>
      </c>
      <c r="D691" s="32" t="str">
        <f>_xlfn.CONCAT("14",Main[[#This Row],[تاريخ]])</f>
        <v>1400/03/13</v>
      </c>
      <c r="E691" s="33">
        <v>44350</v>
      </c>
      <c r="F691" s="32">
        <v>30186</v>
      </c>
      <c r="G691" s="5" t="str">
        <f>INDEX(customer[عنوان],MATCH(Main[[#This Row],[کد ردیابی]],customer[کد],0))</f>
        <v>سارا گاز</v>
      </c>
      <c r="H691">
        <v>2104</v>
      </c>
      <c r="I691" s="6">
        <f ca="1">-Main[[#This Row],[بدهی تسویه شده (کیلوگرم)]]+Main[[#This Row],[بستانکار (کیلوگرم)]]</f>
        <v>2104</v>
      </c>
      <c r="J691" s="6">
        <f>IF(Main[[#This Row],[مقدار (کیلوگرم)]]&gt;0,Main[[#This Row],[مقدار (کیلوگرم)]],0)</f>
        <v>2104</v>
      </c>
      <c r="K691" s="6">
        <f>-IF(Main[[#This Row],[مقدار (کیلوگرم)]]&lt;0,Main[[#This Row],[مقدار (کیلوگرم)]],0)</f>
        <v>0</v>
      </c>
      <c r="L6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1" s="7">
        <f>-IF(AND(Main[[#This Row],[مقدار (کیلوگرم)]]&lt;0,Main[[#This Row],[تاريخ میلادی]]&gt;44276),Main[[#This Row],[مقدار (کیلوگرم)]],0)</f>
        <v>0</v>
      </c>
      <c r="N691" s="6">
        <f ca="1">Main[[#This Row],[بدهکار (کیلوگرم)]]-Main[[#This Row],[بدهی تسویه نشده (کیلوگرم)]]</f>
        <v>0</v>
      </c>
      <c r="O691" s="6">
        <f ca="1">Main[[#This Row],[تفکیک]]</f>
        <v>0</v>
      </c>
      <c r="P691" s="6">
        <f ca="1">IF(Main[[#This Row],[تاخیر از سررسید]]&gt;0,Main[[#This Row],[بدهی تسویه نشده (کیلوگرم)]],0)</f>
        <v>0</v>
      </c>
      <c r="Q691" s="6">
        <f ca="1">IF(Main[[#This Row],[بدهی تسویه نشده (کیلوگرم)]]&gt;0,'گزارش فردی'!$B$7-Main[[#This Row],[تاريخ میلادی]],0)</f>
        <v>0</v>
      </c>
      <c r="R691" s="6">
        <f ca="1">IF(Main[[#This Row],[بدهی تسویه نشده (کیلوگرم)]]&gt;0,'گزارش فردی'!$B$7-Main[[#This Row],[تاريخ میلادی]]-'گزارش فردی'!$B$8,0)</f>
        <v>0</v>
      </c>
      <c r="S691" s="6">
        <f ca="1">Main[[#This Row],[روز از ارسال سفارش]]*Main[[#This Row],[بدهی تسویه نشده (کیلوگرم)]]</f>
        <v>0</v>
      </c>
      <c r="T691" s="6">
        <f ca="1">Main[[#This Row],[بدهی سررسید شده (کیلوگرم)]]*Main[[#This Row],[روز از ارسال سفارش]]</f>
        <v>0</v>
      </c>
      <c r="U691" s="6">
        <f>-SUBTOTAL(9,INDEX(Main[مقدار (کیلوگرم)],1):Main[[#This Row],[مقدار (کیلوگرم)]])</f>
        <v>30574</v>
      </c>
      <c r="V69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91" s="6">
        <f>Main[[#This Row],[تعداد کل روزهای بدهکار (روز)]]*Main[[#This Row],[مانده در خط کل (کیلوگرم)]]</f>
        <v>122296</v>
      </c>
      <c r="X691" s="6">
        <f ca="1">-SUBTOTAL(9,INDEX(Main[مقدار تسویه شده (کیلوگرم)],1):Main[[#This Row],[مقدار تسویه شده (کیلوگرم)]])</f>
        <v>30574</v>
      </c>
      <c r="Y691" s="6">
        <f ca="1">IF(Main[[#This Row],[مانده در خط تسویه شده (کیلوگرم)]]&lt;&gt;0,Main[[#This Row],[تعداد کل روزهای بدهکار (روز)]],0)</f>
        <v>4</v>
      </c>
      <c r="Z691" s="6">
        <f ca="1">Main[[#This Row],[تعداد روزهای بدهکار تسویه شده (روز)]]*Main[[#This Row],[مانده در خط تسویه شده (کیلوگرم)]]</f>
        <v>122296</v>
      </c>
      <c r="AA691" s="6">
        <f ca="1">SUBTOTAL(9,INDEX(Main[بدهی تسویه نشده (کیلوگرم)],1):Main[[#This Row],[بدهی تسویه نشده (کیلوگرم)]])</f>
        <v>0</v>
      </c>
      <c r="AB691" s="6">
        <f ca="1">IF(Main[[#This Row],[مانده در خط تسویه نشده (کیلوگرم)]]&lt;&gt;0,Main[[#This Row],[تعداد کل روزهای بدهکار (روز)]],0)</f>
        <v>0</v>
      </c>
      <c r="AC691" s="6">
        <f ca="1">Main[[#This Row],[تعداد روزهای بدهکار  تسویه نشده (روز)]]*Main[[#This Row],[مانده در خط تسویه نشده (کیلوگرم)]]</f>
        <v>0</v>
      </c>
      <c r="AD691" s="6">
        <f ca="1">SUBTOTAL(9,INDEX(Main[بدهی سررسید شده (کیلوگرم)],1):Main[[#This Row],[بدهی سررسید شده (کیلوگرم)]])</f>
        <v>0</v>
      </c>
      <c r="AE691" s="6">
        <f ca="1">IF(Main[[#This Row],[مانده در خط سررسید شده (کیلوگرم)]]&lt;&gt;0,Main[[#This Row],[تعداد کل روزهای بدهکار (روز)]],0)</f>
        <v>0</v>
      </c>
      <c r="AF691" s="6">
        <f ca="1">Main[[#This Row],[تعداد روزهای بدهکار سررسید شده (روز)]]*Main[[#This Row],[مانده در خط سررسید شده (کیلوگرم)]]</f>
        <v>0</v>
      </c>
    </row>
    <row r="692" spans="1:32" hidden="1" x14ac:dyDescent="0.35">
      <c r="A692" s="5">
        <f>ROW()-ROW(INDEX(Main[ردیف],1))+1</f>
        <v>690</v>
      </c>
      <c r="B692" s="31">
        <f>SUBTOTAL(2,INDEX(Main[ردیف],1):Main[[#This Row],[ردیف]])</f>
        <v>65</v>
      </c>
      <c r="C692" s="32" t="s">
        <v>580</v>
      </c>
      <c r="D692" s="32" t="str">
        <f>_xlfn.CONCAT("14",Main[[#This Row],[تاريخ]])</f>
        <v>1400/03/13</v>
      </c>
      <c r="E692" s="33">
        <v>44350</v>
      </c>
      <c r="F692" s="32">
        <v>30146</v>
      </c>
      <c r="G692" s="5" t="str">
        <f>INDEX(customer[عنوان],MATCH(Main[[#This Row],[کد ردیابی]],customer[کد],0))</f>
        <v>شرکت آذرپاد</v>
      </c>
      <c r="H692">
        <v>2809</v>
      </c>
      <c r="I692" s="6">
        <f ca="1">-Main[[#This Row],[بدهی تسویه شده (کیلوگرم)]]+Main[[#This Row],[بستانکار (کیلوگرم)]]</f>
        <v>2809</v>
      </c>
      <c r="J692" s="6">
        <f>IF(Main[[#This Row],[مقدار (کیلوگرم)]]&gt;0,Main[[#This Row],[مقدار (کیلوگرم)]],0)</f>
        <v>2809</v>
      </c>
      <c r="K692" s="6">
        <f>-IF(Main[[#This Row],[مقدار (کیلوگرم)]]&lt;0,Main[[#This Row],[مقدار (کیلوگرم)]],0)</f>
        <v>0</v>
      </c>
      <c r="L6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2" s="7">
        <f>-IF(AND(Main[[#This Row],[مقدار (کیلوگرم)]]&lt;0,Main[[#This Row],[تاريخ میلادی]]&gt;44276),Main[[#This Row],[مقدار (کیلوگرم)]],0)</f>
        <v>0</v>
      </c>
      <c r="N692" s="6">
        <f ca="1">Main[[#This Row],[بدهکار (کیلوگرم)]]-Main[[#This Row],[بدهی تسویه نشده (کیلوگرم)]]</f>
        <v>0</v>
      </c>
      <c r="O692" s="6">
        <f ca="1">Main[[#This Row],[تفکیک]]</f>
        <v>0</v>
      </c>
      <c r="P692" s="6">
        <f ca="1">IF(Main[[#This Row],[تاخیر از سررسید]]&gt;0,Main[[#This Row],[بدهی تسویه نشده (کیلوگرم)]],0)</f>
        <v>0</v>
      </c>
      <c r="Q692" s="6">
        <f ca="1">IF(Main[[#This Row],[بدهی تسویه نشده (کیلوگرم)]]&gt;0,'گزارش فردی'!$B$7-Main[[#This Row],[تاريخ میلادی]],0)</f>
        <v>0</v>
      </c>
      <c r="R692" s="6">
        <f ca="1">IF(Main[[#This Row],[بدهی تسویه نشده (کیلوگرم)]]&gt;0,'گزارش فردی'!$B$7-Main[[#This Row],[تاريخ میلادی]]-'گزارش فردی'!$B$8,0)</f>
        <v>0</v>
      </c>
      <c r="S692" s="6">
        <f ca="1">Main[[#This Row],[روز از ارسال سفارش]]*Main[[#This Row],[بدهی تسویه نشده (کیلوگرم)]]</f>
        <v>0</v>
      </c>
      <c r="T692" s="6">
        <f ca="1">Main[[#This Row],[بدهی سررسید شده (کیلوگرم)]]*Main[[#This Row],[روز از ارسال سفارش]]</f>
        <v>0</v>
      </c>
      <c r="U692" s="6">
        <f>-SUBTOTAL(9,INDEX(Main[مقدار (کیلوگرم)],1):Main[[#This Row],[مقدار (کیلوگرم)]])</f>
        <v>30574</v>
      </c>
      <c r="V69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92" s="6">
        <f>Main[[#This Row],[تعداد کل روزهای بدهکار (روز)]]*Main[[#This Row],[مانده در خط کل (کیلوگرم)]]</f>
        <v>122296</v>
      </c>
      <c r="X692" s="6">
        <f ca="1">-SUBTOTAL(9,INDEX(Main[مقدار تسویه شده (کیلوگرم)],1):Main[[#This Row],[مقدار تسویه شده (کیلوگرم)]])</f>
        <v>30574</v>
      </c>
      <c r="Y692" s="6">
        <f ca="1">IF(Main[[#This Row],[مانده در خط تسویه شده (کیلوگرم)]]&lt;&gt;0,Main[[#This Row],[تعداد کل روزهای بدهکار (روز)]],0)</f>
        <v>4</v>
      </c>
      <c r="Z692" s="6">
        <f ca="1">Main[[#This Row],[تعداد روزهای بدهکار تسویه شده (روز)]]*Main[[#This Row],[مانده در خط تسویه شده (کیلوگرم)]]</f>
        <v>122296</v>
      </c>
      <c r="AA692" s="6">
        <f ca="1">SUBTOTAL(9,INDEX(Main[بدهی تسویه نشده (کیلوگرم)],1):Main[[#This Row],[بدهی تسویه نشده (کیلوگرم)]])</f>
        <v>0</v>
      </c>
      <c r="AB692" s="6">
        <f ca="1">IF(Main[[#This Row],[مانده در خط تسویه نشده (کیلوگرم)]]&lt;&gt;0,Main[[#This Row],[تعداد کل روزهای بدهکار (روز)]],0)</f>
        <v>0</v>
      </c>
      <c r="AC692" s="6">
        <f ca="1">Main[[#This Row],[تعداد روزهای بدهکار  تسویه نشده (روز)]]*Main[[#This Row],[مانده در خط تسویه نشده (کیلوگرم)]]</f>
        <v>0</v>
      </c>
      <c r="AD692" s="6">
        <f ca="1">SUBTOTAL(9,INDEX(Main[بدهی سررسید شده (کیلوگرم)],1):Main[[#This Row],[بدهی سررسید شده (کیلوگرم)]])</f>
        <v>0</v>
      </c>
      <c r="AE692" s="6">
        <f ca="1">IF(Main[[#This Row],[مانده در خط سررسید شده (کیلوگرم)]]&lt;&gt;0,Main[[#This Row],[تعداد کل روزهای بدهکار (روز)]],0)</f>
        <v>0</v>
      </c>
      <c r="AF692" s="6">
        <f ca="1">Main[[#This Row],[تعداد روزهای بدهکار سررسید شده (روز)]]*Main[[#This Row],[مانده در خط سررسید شده (کیلوگرم)]]</f>
        <v>0</v>
      </c>
    </row>
    <row r="693" spans="1:32" hidden="1" x14ac:dyDescent="0.35">
      <c r="A693" s="5">
        <f>ROW()-ROW(INDEX(Main[ردیف],1))+1</f>
        <v>691</v>
      </c>
      <c r="B693" s="31">
        <f>SUBTOTAL(2,INDEX(Main[ردیف],1):Main[[#This Row],[ردیف]])</f>
        <v>65</v>
      </c>
      <c r="C693" s="32" t="s">
        <v>582</v>
      </c>
      <c r="D693" s="32" t="str">
        <f>_xlfn.CONCAT("14",Main[[#This Row],[تاريخ]])</f>
        <v>1400/03/17</v>
      </c>
      <c r="E693" s="33">
        <v>44354</v>
      </c>
      <c r="F693" s="32">
        <v>30009</v>
      </c>
      <c r="G693" s="5" t="str">
        <f>INDEX(customer[عنوان],MATCH(Main[[#This Row],[کد ردیابی]],customer[کد],0))</f>
        <v>شرکت ایمن تک پیشرو</v>
      </c>
      <c r="H693">
        <v>-25</v>
      </c>
      <c r="I693" s="6">
        <f ca="1">-Main[[#This Row],[بدهی تسویه شده (کیلوگرم)]]+Main[[#This Row],[بستانکار (کیلوگرم)]]</f>
        <v>-25</v>
      </c>
      <c r="J693" s="6">
        <f>IF(Main[[#This Row],[مقدار (کیلوگرم)]]&gt;0,Main[[#This Row],[مقدار (کیلوگرم)]],0)</f>
        <v>0</v>
      </c>
      <c r="K693" s="6">
        <f>-IF(Main[[#This Row],[مقدار (کیلوگرم)]]&lt;0,Main[[#This Row],[مقدار (کیلوگرم)]],0)</f>
        <v>25</v>
      </c>
      <c r="L6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3" s="7">
        <f>-IF(AND(Main[[#This Row],[مقدار (کیلوگرم)]]&lt;0,Main[[#This Row],[تاريخ میلادی]]&gt;44276),Main[[#This Row],[مقدار (کیلوگرم)]],0)</f>
        <v>25</v>
      </c>
      <c r="N693" s="6">
        <f ca="1">Main[[#This Row],[بدهکار (کیلوگرم)]]-Main[[#This Row],[بدهی تسویه نشده (کیلوگرم)]]</f>
        <v>25</v>
      </c>
      <c r="O693" s="6">
        <f ca="1">Main[[#This Row],[تفکیک]]</f>
        <v>0</v>
      </c>
      <c r="P693" s="6">
        <f ca="1">IF(Main[[#This Row],[تاخیر از سررسید]]&gt;0,Main[[#This Row],[بدهی تسویه نشده (کیلوگرم)]],0)</f>
        <v>0</v>
      </c>
      <c r="Q693" s="6">
        <f ca="1">IF(Main[[#This Row],[بدهی تسویه نشده (کیلوگرم)]]&gt;0,'گزارش فردی'!$B$7-Main[[#This Row],[تاريخ میلادی]],0)</f>
        <v>0</v>
      </c>
      <c r="R693" s="6">
        <f ca="1">IF(Main[[#This Row],[بدهی تسویه نشده (کیلوگرم)]]&gt;0,'گزارش فردی'!$B$7-Main[[#This Row],[تاريخ میلادی]]-'گزارش فردی'!$B$8,0)</f>
        <v>0</v>
      </c>
      <c r="S693" s="6">
        <f ca="1">Main[[#This Row],[روز از ارسال سفارش]]*Main[[#This Row],[بدهی تسویه نشده (کیلوگرم)]]</f>
        <v>0</v>
      </c>
      <c r="T693" s="6">
        <f ca="1">Main[[#This Row],[بدهی سررسید شده (کیلوگرم)]]*Main[[#This Row],[روز از ارسال سفارش]]</f>
        <v>0</v>
      </c>
      <c r="U693" s="6">
        <f>-SUBTOTAL(9,INDEX(Main[مقدار (کیلوگرم)],1):Main[[#This Row],[مقدار (کیلوگرم)]])</f>
        <v>30574</v>
      </c>
      <c r="V6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3" s="6">
        <f>Main[[#This Row],[تعداد کل روزهای بدهکار (روز)]]*Main[[#This Row],[مانده در خط کل (کیلوگرم)]]</f>
        <v>0</v>
      </c>
      <c r="X693" s="6">
        <f ca="1">-SUBTOTAL(9,INDEX(Main[مقدار تسویه شده (کیلوگرم)],1):Main[[#This Row],[مقدار تسویه شده (کیلوگرم)]])</f>
        <v>30574</v>
      </c>
      <c r="Y693" s="6">
        <f ca="1">IF(Main[[#This Row],[مانده در خط تسویه شده (کیلوگرم)]]&lt;&gt;0,Main[[#This Row],[تعداد کل روزهای بدهکار (روز)]],0)</f>
        <v>0</v>
      </c>
      <c r="Z693" s="6">
        <f ca="1">Main[[#This Row],[تعداد روزهای بدهکار تسویه شده (روز)]]*Main[[#This Row],[مانده در خط تسویه شده (کیلوگرم)]]</f>
        <v>0</v>
      </c>
      <c r="AA693" s="6">
        <f ca="1">SUBTOTAL(9,INDEX(Main[بدهی تسویه نشده (کیلوگرم)],1):Main[[#This Row],[بدهی تسویه نشده (کیلوگرم)]])</f>
        <v>0</v>
      </c>
      <c r="AB693" s="6">
        <f ca="1">IF(Main[[#This Row],[مانده در خط تسویه نشده (کیلوگرم)]]&lt;&gt;0,Main[[#This Row],[تعداد کل روزهای بدهکار (روز)]],0)</f>
        <v>0</v>
      </c>
      <c r="AC693" s="6">
        <f ca="1">Main[[#This Row],[تعداد روزهای بدهکار  تسویه نشده (روز)]]*Main[[#This Row],[مانده در خط تسویه نشده (کیلوگرم)]]</f>
        <v>0</v>
      </c>
      <c r="AD693" s="6">
        <f ca="1">SUBTOTAL(9,INDEX(Main[بدهی سررسید شده (کیلوگرم)],1):Main[[#This Row],[بدهی سررسید شده (کیلوگرم)]])</f>
        <v>0</v>
      </c>
      <c r="AE693" s="6">
        <f ca="1">IF(Main[[#This Row],[مانده در خط سررسید شده (کیلوگرم)]]&lt;&gt;0,Main[[#This Row],[تعداد کل روزهای بدهکار (روز)]],0)</f>
        <v>0</v>
      </c>
      <c r="AF693" s="6">
        <f ca="1">Main[[#This Row],[تعداد روزهای بدهکار سررسید شده (روز)]]*Main[[#This Row],[مانده در خط سررسید شده (کیلوگرم)]]</f>
        <v>0</v>
      </c>
    </row>
    <row r="694" spans="1:32" x14ac:dyDescent="0.35">
      <c r="A694" s="5">
        <f>ROW()-ROW(INDEX(Main[ردیف],1))+1</f>
        <v>692</v>
      </c>
      <c r="B694" s="31">
        <f>SUBTOTAL(2,INDEX(Main[ردیف],1):Main[[#This Row],[ردیف]])</f>
        <v>66</v>
      </c>
      <c r="C694" s="32" t="s">
        <v>582</v>
      </c>
      <c r="D694" s="32" t="str">
        <f>_xlfn.CONCAT("14",Main[[#This Row],[تاريخ]])</f>
        <v>1400/03/17</v>
      </c>
      <c r="E694" s="33">
        <v>44354</v>
      </c>
      <c r="F694" s="32">
        <v>10003</v>
      </c>
      <c r="G694" s="5" t="str">
        <f>INDEX(customer[عنوان],MATCH(Main[[#This Row],[کد ردیابی]],customer[کد],0))</f>
        <v>اصغر نورعلی</v>
      </c>
      <c r="H694">
        <v>2308</v>
      </c>
      <c r="I694" s="6">
        <f ca="1">-Main[[#This Row],[بدهی تسویه شده (کیلوگرم)]]+Main[[#This Row],[بستانکار (کیلوگرم)]]</f>
        <v>2308</v>
      </c>
      <c r="J694" s="6">
        <f>IF(Main[[#This Row],[مقدار (کیلوگرم)]]&gt;0,Main[[#This Row],[مقدار (کیلوگرم)]],0)</f>
        <v>2308</v>
      </c>
      <c r="K694" s="6">
        <f>-IF(Main[[#This Row],[مقدار (کیلوگرم)]]&lt;0,Main[[#This Row],[مقدار (کیلوگرم)]],0)</f>
        <v>0</v>
      </c>
      <c r="L6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4" s="7">
        <f>-IF(AND(Main[[#This Row],[مقدار (کیلوگرم)]]&lt;0,Main[[#This Row],[تاريخ میلادی]]&gt;44276),Main[[#This Row],[مقدار (کیلوگرم)]],0)</f>
        <v>0</v>
      </c>
      <c r="N694" s="6">
        <f ca="1">Main[[#This Row],[بدهکار (کیلوگرم)]]-Main[[#This Row],[بدهی تسویه نشده (کیلوگرم)]]</f>
        <v>0</v>
      </c>
      <c r="O694" s="6">
        <f ca="1">Main[[#This Row],[تفکیک]]</f>
        <v>0</v>
      </c>
      <c r="P694" s="6">
        <f ca="1">IF(Main[[#This Row],[تاخیر از سررسید]]&gt;0,Main[[#This Row],[بدهی تسویه نشده (کیلوگرم)]],0)</f>
        <v>0</v>
      </c>
      <c r="Q694" s="6">
        <f ca="1">IF(Main[[#This Row],[بدهی تسویه نشده (کیلوگرم)]]&gt;0,'گزارش فردی'!$B$7-Main[[#This Row],[تاريخ میلادی]],0)</f>
        <v>0</v>
      </c>
      <c r="R694" s="6">
        <f ca="1">IF(Main[[#This Row],[بدهی تسویه نشده (کیلوگرم)]]&gt;0,'گزارش فردی'!$B$7-Main[[#This Row],[تاريخ میلادی]]-'گزارش فردی'!$B$8,0)</f>
        <v>0</v>
      </c>
      <c r="S694" s="6">
        <f ca="1">Main[[#This Row],[روز از ارسال سفارش]]*Main[[#This Row],[بدهی تسویه نشده (کیلوگرم)]]</f>
        <v>0</v>
      </c>
      <c r="T694" s="6">
        <f ca="1">Main[[#This Row],[بدهی سررسید شده (کیلوگرم)]]*Main[[#This Row],[روز از ارسال سفارش]]</f>
        <v>0</v>
      </c>
      <c r="U694" s="6">
        <f>-SUBTOTAL(9,INDEX(Main[مقدار (کیلوگرم)],1):Main[[#This Row],[مقدار (کیلوگرم)]])</f>
        <v>28266</v>
      </c>
      <c r="V6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4" s="6">
        <f>Main[[#This Row],[تعداد کل روزهای بدهکار (روز)]]*Main[[#This Row],[مانده در خط کل (کیلوگرم)]]</f>
        <v>0</v>
      </c>
      <c r="X694" s="6">
        <f ca="1">-SUBTOTAL(9,INDEX(Main[مقدار تسویه شده (کیلوگرم)],1):Main[[#This Row],[مقدار تسویه شده (کیلوگرم)]])</f>
        <v>28266</v>
      </c>
      <c r="Y694" s="6">
        <f ca="1">IF(Main[[#This Row],[مانده در خط تسویه شده (کیلوگرم)]]&lt;&gt;0,Main[[#This Row],[تعداد کل روزهای بدهکار (روز)]],0)</f>
        <v>0</v>
      </c>
      <c r="Z694" s="6">
        <f ca="1">Main[[#This Row],[تعداد روزهای بدهکار تسویه شده (روز)]]*Main[[#This Row],[مانده در خط تسویه شده (کیلوگرم)]]</f>
        <v>0</v>
      </c>
      <c r="AA694" s="6">
        <f ca="1">SUBTOTAL(9,INDEX(Main[بدهی تسویه نشده (کیلوگرم)],1):Main[[#This Row],[بدهی تسویه نشده (کیلوگرم)]])</f>
        <v>0</v>
      </c>
      <c r="AB694" s="6">
        <f ca="1">IF(Main[[#This Row],[مانده در خط تسویه نشده (کیلوگرم)]]&lt;&gt;0,Main[[#This Row],[تعداد کل روزهای بدهکار (روز)]],0)</f>
        <v>0</v>
      </c>
      <c r="AC694" s="6">
        <f ca="1">Main[[#This Row],[تعداد روزهای بدهکار  تسویه نشده (روز)]]*Main[[#This Row],[مانده در خط تسویه نشده (کیلوگرم)]]</f>
        <v>0</v>
      </c>
      <c r="AD694" s="6">
        <f ca="1">SUBTOTAL(9,INDEX(Main[بدهی سررسید شده (کیلوگرم)],1):Main[[#This Row],[بدهی سررسید شده (کیلوگرم)]])</f>
        <v>0</v>
      </c>
      <c r="AE694" s="6">
        <f ca="1">IF(Main[[#This Row],[مانده در خط سررسید شده (کیلوگرم)]]&lt;&gt;0,Main[[#This Row],[تعداد کل روزهای بدهکار (روز)]],0)</f>
        <v>0</v>
      </c>
      <c r="AF694" s="6">
        <f ca="1">Main[[#This Row],[تعداد روزهای بدهکار سررسید شده (روز)]]*Main[[#This Row],[مانده در خط سررسید شده (کیلوگرم)]]</f>
        <v>0</v>
      </c>
    </row>
    <row r="695" spans="1:32" hidden="1" x14ac:dyDescent="0.35">
      <c r="A695" s="5">
        <f>ROW()-ROW(INDEX(Main[ردیف],1))+1</f>
        <v>693</v>
      </c>
      <c r="B695" s="31">
        <f>SUBTOTAL(2,INDEX(Main[ردیف],1):Main[[#This Row],[ردیف]])</f>
        <v>66</v>
      </c>
      <c r="C695" s="32" t="s">
        <v>582</v>
      </c>
      <c r="D695" s="32" t="str">
        <f>_xlfn.CONCAT("14",Main[[#This Row],[تاريخ]])</f>
        <v>1400/03/17</v>
      </c>
      <c r="E695" s="33">
        <v>44354</v>
      </c>
      <c r="F695" s="32">
        <v>30017</v>
      </c>
      <c r="G695" s="5" t="str">
        <f>INDEX(customer[عنوان],MATCH(Main[[#This Row],[کد ردیابی]],customer[کد],0))</f>
        <v xml:space="preserve">البرز یدک </v>
      </c>
      <c r="H695">
        <v>-4982</v>
      </c>
      <c r="I695" s="6">
        <f ca="1">-Main[[#This Row],[بدهی تسویه شده (کیلوگرم)]]+Main[[#This Row],[بستانکار (کیلوگرم)]]</f>
        <v>-4982</v>
      </c>
      <c r="J695" s="6">
        <f>IF(Main[[#This Row],[مقدار (کیلوگرم)]]&gt;0,Main[[#This Row],[مقدار (کیلوگرم)]],0)</f>
        <v>0</v>
      </c>
      <c r="K695" s="6">
        <f>-IF(Main[[#This Row],[مقدار (کیلوگرم)]]&lt;0,Main[[#This Row],[مقدار (کیلوگرم)]],0)</f>
        <v>4982</v>
      </c>
      <c r="L6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5" s="7">
        <f>-IF(AND(Main[[#This Row],[مقدار (کیلوگرم)]]&lt;0,Main[[#This Row],[تاريخ میلادی]]&gt;44276),Main[[#This Row],[مقدار (کیلوگرم)]],0)</f>
        <v>4982</v>
      </c>
      <c r="N695" s="6">
        <f ca="1">Main[[#This Row],[بدهکار (کیلوگرم)]]-Main[[#This Row],[بدهی تسویه نشده (کیلوگرم)]]</f>
        <v>4982</v>
      </c>
      <c r="O695" s="6">
        <f ca="1">Main[[#This Row],[تفکیک]]</f>
        <v>0</v>
      </c>
      <c r="P695" s="6">
        <f ca="1">IF(Main[[#This Row],[تاخیر از سررسید]]&gt;0,Main[[#This Row],[بدهی تسویه نشده (کیلوگرم)]],0)</f>
        <v>0</v>
      </c>
      <c r="Q695" s="6">
        <f ca="1">IF(Main[[#This Row],[بدهی تسویه نشده (کیلوگرم)]]&gt;0,'گزارش فردی'!$B$7-Main[[#This Row],[تاريخ میلادی]],0)</f>
        <v>0</v>
      </c>
      <c r="R695" s="6">
        <f ca="1">IF(Main[[#This Row],[بدهی تسویه نشده (کیلوگرم)]]&gt;0,'گزارش فردی'!$B$7-Main[[#This Row],[تاريخ میلادی]]-'گزارش فردی'!$B$8,0)</f>
        <v>0</v>
      </c>
      <c r="S695" s="6">
        <f ca="1">Main[[#This Row],[روز از ارسال سفارش]]*Main[[#This Row],[بدهی تسویه نشده (کیلوگرم)]]</f>
        <v>0</v>
      </c>
      <c r="T695" s="6">
        <f ca="1">Main[[#This Row],[بدهی سررسید شده (کیلوگرم)]]*Main[[#This Row],[روز از ارسال سفارش]]</f>
        <v>0</v>
      </c>
      <c r="U695" s="6">
        <f>-SUBTOTAL(9,INDEX(Main[مقدار (کیلوگرم)],1):Main[[#This Row],[مقدار (کیلوگرم)]])</f>
        <v>28266</v>
      </c>
      <c r="V6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5" s="6">
        <f>Main[[#This Row],[تعداد کل روزهای بدهکار (روز)]]*Main[[#This Row],[مانده در خط کل (کیلوگرم)]]</f>
        <v>0</v>
      </c>
      <c r="X695" s="6">
        <f ca="1">-SUBTOTAL(9,INDEX(Main[مقدار تسویه شده (کیلوگرم)],1):Main[[#This Row],[مقدار تسویه شده (کیلوگرم)]])</f>
        <v>28266</v>
      </c>
      <c r="Y695" s="6">
        <f ca="1">IF(Main[[#This Row],[مانده در خط تسویه شده (کیلوگرم)]]&lt;&gt;0,Main[[#This Row],[تعداد کل روزهای بدهکار (روز)]],0)</f>
        <v>0</v>
      </c>
      <c r="Z695" s="6">
        <f ca="1">Main[[#This Row],[تعداد روزهای بدهکار تسویه شده (روز)]]*Main[[#This Row],[مانده در خط تسویه شده (کیلوگرم)]]</f>
        <v>0</v>
      </c>
      <c r="AA695" s="6">
        <f ca="1">SUBTOTAL(9,INDEX(Main[بدهی تسویه نشده (کیلوگرم)],1):Main[[#This Row],[بدهی تسویه نشده (کیلوگرم)]])</f>
        <v>0</v>
      </c>
      <c r="AB695" s="6">
        <f ca="1">IF(Main[[#This Row],[مانده در خط تسویه نشده (کیلوگرم)]]&lt;&gt;0,Main[[#This Row],[تعداد کل روزهای بدهکار (روز)]],0)</f>
        <v>0</v>
      </c>
      <c r="AC695" s="6">
        <f ca="1">Main[[#This Row],[تعداد روزهای بدهکار  تسویه نشده (روز)]]*Main[[#This Row],[مانده در خط تسویه نشده (کیلوگرم)]]</f>
        <v>0</v>
      </c>
      <c r="AD695" s="6">
        <f ca="1">SUBTOTAL(9,INDEX(Main[بدهی سررسید شده (کیلوگرم)],1):Main[[#This Row],[بدهی سررسید شده (کیلوگرم)]])</f>
        <v>0</v>
      </c>
      <c r="AE695" s="6">
        <f ca="1">IF(Main[[#This Row],[مانده در خط سررسید شده (کیلوگرم)]]&lt;&gt;0,Main[[#This Row],[تعداد کل روزهای بدهکار (روز)]],0)</f>
        <v>0</v>
      </c>
      <c r="AF695" s="6">
        <f ca="1">Main[[#This Row],[تعداد روزهای بدهکار سررسید شده (روز)]]*Main[[#This Row],[مانده در خط سررسید شده (کیلوگرم)]]</f>
        <v>0</v>
      </c>
    </row>
    <row r="696" spans="1:32" hidden="1" x14ac:dyDescent="0.35">
      <c r="A696" s="5">
        <f>ROW()-ROW(INDEX(Main[ردیف],1))+1</f>
        <v>694</v>
      </c>
      <c r="B696" s="31">
        <f>SUBTOTAL(2,INDEX(Main[ردیف],1):Main[[#This Row],[ردیف]])</f>
        <v>66</v>
      </c>
      <c r="C696" s="32" t="s">
        <v>582</v>
      </c>
      <c r="D696" s="32" t="str">
        <f>_xlfn.CONCAT("14",Main[[#This Row],[تاريخ]])</f>
        <v>1400/03/17</v>
      </c>
      <c r="E696" s="33">
        <v>44354</v>
      </c>
      <c r="F696" s="32">
        <v>10055</v>
      </c>
      <c r="G696" s="5" t="str">
        <f>INDEX(customer[عنوان],MATCH(Main[[#This Row],[کد ردیابی]],customer[کد],0))</f>
        <v xml:space="preserve">مریم فیض آبادی  </v>
      </c>
      <c r="H696">
        <v>4457</v>
      </c>
      <c r="I696" s="6">
        <f ca="1">-Main[[#This Row],[بدهی تسویه شده (کیلوگرم)]]+Main[[#This Row],[بستانکار (کیلوگرم)]]</f>
        <v>4457</v>
      </c>
      <c r="J696" s="6">
        <f>IF(Main[[#This Row],[مقدار (کیلوگرم)]]&gt;0,Main[[#This Row],[مقدار (کیلوگرم)]],0)</f>
        <v>4457</v>
      </c>
      <c r="K696" s="6">
        <f>-IF(Main[[#This Row],[مقدار (کیلوگرم)]]&lt;0,Main[[#This Row],[مقدار (کیلوگرم)]],0)</f>
        <v>0</v>
      </c>
      <c r="L6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6" s="7">
        <f>-IF(AND(Main[[#This Row],[مقدار (کیلوگرم)]]&lt;0,Main[[#This Row],[تاريخ میلادی]]&gt;44276),Main[[#This Row],[مقدار (کیلوگرم)]],0)</f>
        <v>0</v>
      </c>
      <c r="N696" s="6">
        <f ca="1">Main[[#This Row],[بدهکار (کیلوگرم)]]-Main[[#This Row],[بدهی تسویه نشده (کیلوگرم)]]</f>
        <v>0</v>
      </c>
      <c r="O696" s="6">
        <f ca="1">Main[[#This Row],[تفکیک]]</f>
        <v>0</v>
      </c>
      <c r="P696" s="6">
        <f ca="1">IF(Main[[#This Row],[تاخیر از سررسید]]&gt;0,Main[[#This Row],[بدهی تسویه نشده (کیلوگرم)]],0)</f>
        <v>0</v>
      </c>
      <c r="Q696" s="6">
        <f ca="1">IF(Main[[#This Row],[بدهی تسویه نشده (کیلوگرم)]]&gt;0,'گزارش فردی'!$B$7-Main[[#This Row],[تاريخ میلادی]],0)</f>
        <v>0</v>
      </c>
      <c r="R696" s="6">
        <f ca="1">IF(Main[[#This Row],[بدهی تسویه نشده (کیلوگرم)]]&gt;0,'گزارش فردی'!$B$7-Main[[#This Row],[تاريخ میلادی]]-'گزارش فردی'!$B$8,0)</f>
        <v>0</v>
      </c>
      <c r="S696" s="6">
        <f ca="1">Main[[#This Row],[روز از ارسال سفارش]]*Main[[#This Row],[بدهی تسویه نشده (کیلوگرم)]]</f>
        <v>0</v>
      </c>
      <c r="T696" s="6">
        <f ca="1">Main[[#This Row],[بدهی سررسید شده (کیلوگرم)]]*Main[[#This Row],[روز از ارسال سفارش]]</f>
        <v>0</v>
      </c>
      <c r="U696" s="6">
        <f>-SUBTOTAL(9,INDEX(Main[مقدار (کیلوگرم)],1):Main[[#This Row],[مقدار (کیلوگرم)]])</f>
        <v>28266</v>
      </c>
      <c r="V6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6" s="6">
        <f>Main[[#This Row],[تعداد کل روزهای بدهکار (روز)]]*Main[[#This Row],[مانده در خط کل (کیلوگرم)]]</f>
        <v>0</v>
      </c>
      <c r="X696" s="6">
        <f ca="1">-SUBTOTAL(9,INDEX(Main[مقدار تسویه شده (کیلوگرم)],1):Main[[#This Row],[مقدار تسویه شده (کیلوگرم)]])</f>
        <v>28266</v>
      </c>
      <c r="Y696" s="6">
        <f ca="1">IF(Main[[#This Row],[مانده در خط تسویه شده (کیلوگرم)]]&lt;&gt;0,Main[[#This Row],[تعداد کل روزهای بدهکار (روز)]],0)</f>
        <v>0</v>
      </c>
      <c r="Z696" s="6">
        <f ca="1">Main[[#This Row],[تعداد روزهای بدهکار تسویه شده (روز)]]*Main[[#This Row],[مانده در خط تسویه شده (کیلوگرم)]]</f>
        <v>0</v>
      </c>
      <c r="AA696" s="6">
        <f ca="1">SUBTOTAL(9,INDEX(Main[بدهی تسویه نشده (کیلوگرم)],1):Main[[#This Row],[بدهی تسویه نشده (کیلوگرم)]])</f>
        <v>0</v>
      </c>
      <c r="AB696" s="6">
        <f ca="1">IF(Main[[#This Row],[مانده در خط تسویه نشده (کیلوگرم)]]&lt;&gt;0,Main[[#This Row],[تعداد کل روزهای بدهکار (روز)]],0)</f>
        <v>0</v>
      </c>
      <c r="AC696" s="6">
        <f ca="1">Main[[#This Row],[تعداد روزهای بدهکار  تسویه نشده (روز)]]*Main[[#This Row],[مانده در خط تسویه نشده (کیلوگرم)]]</f>
        <v>0</v>
      </c>
      <c r="AD696" s="6">
        <f ca="1">SUBTOTAL(9,INDEX(Main[بدهی سررسید شده (کیلوگرم)],1):Main[[#This Row],[بدهی سررسید شده (کیلوگرم)]])</f>
        <v>0</v>
      </c>
      <c r="AE696" s="6">
        <f ca="1">IF(Main[[#This Row],[مانده در خط سررسید شده (کیلوگرم)]]&lt;&gt;0,Main[[#This Row],[تعداد کل روزهای بدهکار (روز)]],0)</f>
        <v>0</v>
      </c>
      <c r="AF696" s="6">
        <f ca="1">Main[[#This Row],[تعداد روزهای بدهکار سررسید شده (روز)]]*Main[[#This Row],[مانده در خط سررسید شده (کیلوگرم)]]</f>
        <v>0</v>
      </c>
    </row>
    <row r="697" spans="1:32" hidden="1" x14ac:dyDescent="0.35">
      <c r="A697" s="5">
        <f>ROW()-ROW(INDEX(Main[ردیف],1))+1</f>
        <v>695</v>
      </c>
      <c r="B697" s="31">
        <f>SUBTOTAL(2,INDEX(Main[ردیف],1):Main[[#This Row],[ردیف]])</f>
        <v>66</v>
      </c>
      <c r="C697" s="32" t="s">
        <v>582</v>
      </c>
      <c r="D697" s="32" t="str">
        <f>_xlfn.CONCAT("14",Main[[#This Row],[تاريخ]])</f>
        <v>1400/03/17</v>
      </c>
      <c r="E697" s="33">
        <v>44354</v>
      </c>
      <c r="F697" s="32">
        <v>10128</v>
      </c>
      <c r="G697" s="5" t="str">
        <f>INDEX(customer[عنوان],MATCH(Main[[#This Row],[کد ردیابی]],customer[کد],0))</f>
        <v xml:space="preserve">رویا اصلانی </v>
      </c>
      <c r="H697">
        <v>-26</v>
      </c>
      <c r="I697" s="6">
        <f ca="1">-Main[[#This Row],[بدهی تسویه شده (کیلوگرم)]]+Main[[#This Row],[بستانکار (کیلوگرم)]]</f>
        <v>-26</v>
      </c>
      <c r="J697" s="6">
        <f>IF(Main[[#This Row],[مقدار (کیلوگرم)]]&gt;0,Main[[#This Row],[مقدار (کیلوگرم)]],0)</f>
        <v>0</v>
      </c>
      <c r="K697" s="6">
        <f>-IF(Main[[#This Row],[مقدار (کیلوگرم)]]&lt;0,Main[[#This Row],[مقدار (کیلوگرم)]],0)</f>
        <v>26</v>
      </c>
      <c r="L6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7" s="7">
        <f>-IF(AND(Main[[#This Row],[مقدار (کیلوگرم)]]&lt;0,Main[[#This Row],[تاريخ میلادی]]&gt;44276),Main[[#This Row],[مقدار (کیلوگرم)]],0)</f>
        <v>26</v>
      </c>
      <c r="N697" s="6">
        <f ca="1">Main[[#This Row],[بدهکار (کیلوگرم)]]-Main[[#This Row],[بدهی تسویه نشده (کیلوگرم)]]</f>
        <v>26</v>
      </c>
      <c r="O697" s="6">
        <f ca="1">Main[[#This Row],[تفکیک]]</f>
        <v>0</v>
      </c>
      <c r="P697" s="6">
        <f ca="1">IF(Main[[#This Row],[تاخیر از سررسید]]&gt;0,Main[[#This Row],[بدهی تسویه نشده (کیلوگرم)]],0)</f>
        <v>0</v>
      </c>
      <c r="Q697" s="6">
        <f ca="1">IF(Main[[#This Row],[بدهی تسویه نشده (کیلوگرم)]]&gt;0,'گزارش فردی'!$B$7-Main[[#This Row],[تاريخ میلادی]],0)</f>
        <v>0</v>
      </c>
      <c r="R697" s="6">
        <f ca="1">IF(Main[[#This Row],[بدهی تسویه نشده (کیلوگرم)]]&gt;0,'گزارش فردی'!$B$7-Main[[#This Row],[تاريخ میلادی]]-'گزارش فردی'!$B$8,0)</f>
        <v>0</v>
      </c>
      <c r="S697" s="6">
        <f ca="1">Main[[#This Row],[روز از ارسال سفارش]]*Main[[#This Row],[بدهی تسویه نشده (کیلوگرم)]]</f>
        <v>0</v>
      </c>
      <c r="T697" s="6">
        <f ca="1">Main[[#This Row],[بدهی سررسید شده (کیلوگرم)]]*Main[[#This Row],[روز از ارسال سفارش]]</f>
        <v>0</v>
      </c>
      <c r="U697" s="6">
        <f>-SUBTOTAL(9,INDEX(Main[مقدار (کیلوگرم)],1):Main[[#This Row],[مقدار (کیلوگرم)]])</f>
        <v>28266</v>
      </c>
      <c r="V6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7" s="6">
        <f>Main[[#This Row],[تعداد کل روزهای بدهکار (روز)]]*Main[[#This Row],[مانده در خط کل (کیلوگرم)]]</f>
        <v>0</v>
      </c>
      <c r="X697" s="6">
        <f ca="1">-SUBTOTAL(9,INDEX(Main[مقدار تسویه شده (کیلوگرم)],1):Main[[#This Row],[مقدار تسویه شده (کیلوگرم)]])</f>
        <v>28266</v>
      </c>
      <c r="Y697" s="6">
        <f ca="1">IF(Main[[#This Row],[مانده در خط تسویه شده (کیلوگرم)]]&lt;&gt;0,Main[[#This Row],[تعداد کل روزهای بدهکار (روز)]],0)</f>
        <v>0</v>
      </c>
      <c r="Z697" s="6">
        <f ca="1">Main[[#This Row],[تعداد روزهای بدهکار تسویه شده (روز)]]*Main[[#This Row],[مانده در خط تسویه شده (کیلوگرم)]]</f>
        <v>0</v>
      </c>
      <c r="AA697" s="6">
        <f ca="1">SUBTOTAL(9,INDEX(Main[بدهی تسویه نشده (کیلوگرم)],1):Main[[#This Row],[بدهی تسویه نشده (کیلوگرم)]])</f>
        <v>0</v>
      </c>
      <c r="AB697" s="6">
        <f ca="1">IF(Main[[#This Row],[مانده در خط تسویه نشده (کیلوگرم)]]&lt;&gt;0,Main[[#This Row],[تعداد کل روزهای بدهکار (روز)]],0)</f>
        <v>0</v>
      </c>
      <c r="AC697" s="6">
        <f ca="1">Main[[#This Row],[تعداد روزهای بدهکار  تسویه نشده (روز)]]*Main[[#This Row],[مانده در خط تسویه نشده (کیلوگرم)]]</f>
        <v>0</v>
      </c>
      <c r="AD697" s="6">
        <f ca="1">SUBTOTAL(9,INDEX(Main[بدهی سررسید شده (کیلوگرم)],1):Main[[#This Row],[بدهی سررسید شده (کیلوگرم)]])</f>
        <v>0</v>
      </c>
      <c r="AE697" s="6">
        <f ca="1">IF(Main[[#This Row],[مانده در خط سررسید شده (کیلوگرم)]]&lt;&gt;0,Main[[#This Row],[تعداد کل روزهای بدهکار (روز)]],0)</f>
        <v>0</v>
      </c>
      <c r="AF697" s="6">
        <f ca="1">Main[[#This Row],[تعداد روزهای بدهکار سررسید شده (روز)]]*Main[[#This Row],[مانده در خط سررسید شده (کیلوگرم)]]</f>
        <v>0</v>
      </c>
    </row>
    <row r="698" spans="1:32" hidden="1" x14ac:dyDescent="0.35">
      <c r="A698" s="5">
        <f>ROW()-ROW(INDEX(Main[ردیف],1))+1</f>
        <v>696</v>
      </c>
      <c r="B698" s="31">
        <f>SUBTOTAL(2,INDEX(Main[ردیف],1):Main[[#This Row],[ردیف]])</f>
        <v>66</v>
      </c>
      <c r="C698" s="32" t="s">
        <v>582</v>
      </c>
      <c r="D698" s="32" t="str">
        <f>_xlfn.CONCAT("14",Main[[#This Row],[تاريخ]])</f>
        <v>1400/03/17</v>
      </c>
      <c r="E698" s="33">
        <v>44354</v>
      </c>
      <c r="F698" s="32">
        <v>10026</v>
      </c>
      <c r="G698" s="5" t="str">
        <f>INDEX(customer[عنوان],MATCH(Main[[#This Row],[کد ردیابی]],customer[کد],0))</f>
        <v xml:space="preserve">محسن فیاض بخش </v>
      </c>
      <c r="H698">
        <v>3150</v>
      </c>
      <c r="I698" s="6">
        <f ca="1">-Main[[#This Row],[بدهی تسویه شده (کیلوگرم)]]+Main[[#This Row],[بستانکار (کیلوگرم)]]</f>
        <v>3150</v>
      </c>
      <c r="J698" s="6">
        <f>IF(Main[[#This Row],[مقدار (کیلوگرم)]]&gt;0,Main[[#This Row],[مقدار (کیلوگرم)]],0)</f>
        <v>3150</v>
      </c>
      <c r="K698" s="6">
        <f>-IF(Main[[#This Row],[مقدار (کیلوگرم)]]&lt;0,Main[[#This Row],[مقدار (کیلوگرم)]],0)</f>
        <v>0</v>
      </c>
      <c r="L6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8" s="7">
        <f>-IF(AND(Main[[#This Row],[مقدار (کیلوگرم)]]&lt;0,Main[[#This Row],[تاريخ میلادی]]&gt;44276),Main[[#This Row],[مقدار (کیلوگرم)]],0)</f>
        <v>0</v>
      </c>
      <c r="N698" s="6">
        <f ca="1">Main[[#This Row],[بدهکار (کیلوگرم)]]-Main[[#This Row],[بدهی تسویه نشده (کیلوگرم)]]</f>
        <v>0</v>
      </c>
      <c r="O698" s="6">
        <f ca="1">Main[[#This Row],[تفکیک]]</f>
        <v>0</v>
      </c>
      <c r="P698" s="6">
        <f ca="1">IF(Main[[#This Row],[تاخیر از سررسید]]&gt;0,Main[[#This Row],[بدهی تسویه نشده (کیلوگرم)]],0)</f>
        <v>0</v>
      </c>
      <c r="Q698" s="6">
        <f ca="1">IF(Main[[#This Row],[بدهی تسویه نشده (کیلوگرم)]]&gt;0,'گزارش فردی'!$B$7-Main[[#This Row],[تاريخ میلادی]],0)</f>
        <v>0</v>
      </c>
      <c r="R698" s="6">
        <f ca="1">IF(Main[[#This Row],[بدهی تسویه نشده (کیلوگرم)]]&gt;0,'گزارش فردی'!$B$7-Main[[#This Row],[تاريخ میلادی]]-'گزارش فردی'!$B$8,0)</f>
        <v>0</v>
      </c>
      <c r="S698" s="6">
        <f ca="1">Main[[#This Row],[روز از ارسال سفارش]]*Main[[#This Row],[بدهی تسویه نشده (کیلوگرم)]]</f>
        <v>0</v>
      </c>
      <c r="T698" s="6">
        <f ca="1">Main[[#This Row],[بدهی سررسید شده (کیلوگرم)]]*Main[[#This Row],[روز از ارسال سفارش]]</f>
        <v>0</v>
      </c>
      <c r="U698" s="6">
        <f>-SUBTOTAL(9,INDEX(Main[مقدار (کیلوگرم)],1):Main[[#This Row],[مقدار (کیلوگرم)]])</f>
        <v>28266</v>
      </c>
      <c r="V6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8" s="6">
        <f>Main[[#This Row],[تعداد کل روزهای بدهکار (روز)]]*Main[[#This Row],[مانده در خط کل (کیلوگرم)]]</f>
        <v>0</v>
      </c>
      <c r="X698" s="6">
        <f ca="1">-SUBTOTAL(9,INDEX(Main[مقدار تسویه شده (کیلوگرم)],1):Main[[#This Row],[مقدار تسویه شده (کیلوگرم)]])</f>
        <v>28266</v>
      </c>
      <c r="Y698" s="6">
        <f ca="1">IF(Main[[#This Row],[مانده در خط تسویه شده (کیلوگرم)]]&lt;&gt;0,Main[[#This Row],[تعداد کل روزهای بدهکار (روز)]],0)</f>
        <v>0</v>
      </c>
      <c r="Z698" s="6">
        <f ca="1">Main[[#This Row],[تعداد روزهای بدهکار تسویه شده (روز)]]*Main[[#This Row],[مانده در خط تسویه شده (کیلوگرم)]]</f>
        <v>0</v>
      </c>
      <c r="AA698" s="6">
        <f ca="1">SUBTOTAL(9,INDEX(Main[بدهی تسویه نشده (کیلوگرم)],1):Main[[#This Row],[بدهی تسویه نشده (کیلوگرم)]])</f>
        <v>0</v>
      </c>
      <c r="AB698" s="6">
        <f ca="1">IF(Main[[#This Row],[مانده در خط تسویه نشده (کیلوگرم)]]&lt;&gt;0,Main[[#This Row],[تعداد کل روزهای بدهکار (روز)]],0)</f>
        <v>0</v>
      </c>
      <c r="AC698" s="6">
        <f ca="1">Main[[#This Row],[تعداد روزهای بدهکار  تسویه نشده (روز)]]*Main[[#This Row],[مانده در خط تسویه نشده (کیلوگرم)]]</f>
        <v>0</v>
      </c>
      <c r="AD698" s="6">
        <f ca="1">SUBTOTAL(9,INDEX(Main[بدهی سررسید شده (کیلوگرم)],1):Main[[#This Row],[بدهی سررسید شده (کیلوگرم)]])</f>
        <v>0</v>
      </c>
      <c r="AE698" s="6">
        <f ca="1">IF(Main[[#This Row],[مانده در خط سررسید شده (کیلوگرم)]]&lt;&gt;0,Main[[#This Row],[تعداد کل روزهای بدهکار (روز)]],0)</f>
        <v>0</v>
      </c>
      <c r="AF698" s="6">
        <f ca="1">Main[[#This Row],[تعداد روزهای بدهکار سررسید شده (روز)]]*Main[[#This Row],[مانده در خط سررسید شده (کیلوگرم)]]</f>
        <v>0</v>
      </c>
    </row>
    <row r="699" spans="1:32" x14ac:dyDescent="0.35">
      <c r="A699" s="5">
        <f>ROW()-ROW(INDEX(Main[ردیف],1))+1</f>
        <v>697</v>
      </c>
      <c r="B699" s="31">
        <f>SUBTOTAL(2,INDEX(Main[ردیف],1):Main[[#This Row],[ردیف]])</f>
        <v>67</v>
      </c>
      <c r="C699" s="32" t="s">
        <v>582</v>
      </c>
      <c r="D699" s="32" t="str">
        <f>_xlfn.CONCAT("14",Main[[#This Row],[تاريخ]])</f>
        <v>1400/03/17</v>
      </c>
      <c r="E699" s="33">
        <v>44354</v>
      </c>
      <c r="F699" s="32">
        <v>10003</v>
      </c>
      <c r="G699" s="5" t="str">
        <f>INDEX(customer[عنوان],MATCH(Main[[#This Row],[کد ردیابی]],customer[کد],0))</f>
        <v>اصغر نورعلی</v>
      </c>
      <c r="H699">
        <v>-6137</v>
      </c>
      <c r="I699" s="6">
        <f ca="1">-Main[[#This Row],[بدهی تسویه شده (کیلوگرم)]]+Main[[#This Row],[بستانکار (کیلوگرم)]]</f>
        <v>-6137</v>
      </c>
      <c r="J699" s="6">
        <f>IF(Main[[#This Row],[مقدار (کیلوگرم)]]&gt;0,Main[[#This Row],[مقدار (کیلوگرم)]],0)</f>
        <v>0</v>
      </c>
      <c r="K699" s="6">
        <f>-IF(Main[[#This Row],[مقدار (کیلوگرم)]]&lt;0,Main[[#This Row],[مقدار (کیلوگرم)]],0)</f>
        <v>6137</v>
      </c>
      <c r="L6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9" s="7">
        <f>-IF(AND(Main[[#This Row],[مقدار (کیلوگرم)]]&lt;0,Main[[#This Row],[تاريخ میلادی]]&gt;44276),Main[[#This Row],[مقدار (کیلوگرم)]],0)</f>
        <v>6137</v>
      </c>
      <c r="N699" s="6">
        <f ca="1">Main[[#This Row],[بدهکار (کیلوگرم)]]-Main[[#This Row],[بدهی تسویه نشده (کیلوگرم)]]</f>
        <v>6137</v>
      </c>
      <c r="O699" s="6">
        <f ca="1">Main[[#This Row],[تفکیک]]</f>
        <v>0</v>
      </c>
      <c r="P699" s="6">
        <f ca="1">IF(Main[[#This Row],[تاخیر از سررسید]]&gt;0,Main[[#This Row],[بدهی تسویه نشده (کیلوگرم)]],0)</f>
        <v>0</v>
      </c>
      <c r="Q699" s="6">
        <f ca="1">IF(Main[[#This Row],[بدهی تسویه نشده (کیلوگرم)]]&gt;0,'گزارش فردی'!$B$7-Main[[#This Row],[تاريخ میلادی]],0)</f>
        <v>0</v>
      </c>
      <c r="R699" s="6">
        <f ca="1">IF(Main[[#This Row],[بدهی تسویه نشده (کیلوگرم)]]&gt;0,'گزارش فردی'!$B$7-Main[[#This Row],[تاريخ میلادی]]-'گزارش فردی'!$B$8,0)</f>
        <v>0</v>
      </c>
      <c r="S699" s="6">
        <f ca="1">Main[[#This Row],[روز از ارسال سفارش]]*Main[[#This Row],[بدهی تسویه نشده (کیلوگرم)]]</f>
        <v>0</v>
      </c>
      <c r="T699" s="6">
        <f ca="1">Main[[#This Row],[بدهی سررسید شده (کیلوگرم)]]*Main[[#This Row],[روز از ارسال سفارش]]</f>
        <v>0</v>
      </c>
      <c r="U699" s="6">
        <f>-SUBTOTAL(9,INDEX(Main[مقدار (کیلوگرم)],1):Main[[#This Row],[مقدار (کیلوگرم)]])</f>
        <v>34403</v>
      </c>
      <c r="V6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99" s="6">
        <f>Main[[#This Row],[تعداد کل روزهای بدهکار (روز)]]*Main[[#This Row],[مانده در خط کل (کیلوگرم)]]</f>
        <v>34403</v>
      </c>
      <c r="X699" s="6">
        <f ca="1">-SUBTOTAL(9,INDEX(Main[مقدار تسویه شده (کیلوگرم)],1):Main[[#This Row],[مقدار تسویه شده (کیلوگرم)]])</f>
        <v>34403</v>
      </c>
      <c r="Y699" s="6">
        <f ca="1">IF(Main[[#This Row],[مانده در خط تسویه شده (کیلوگرم)]]&lt;&gt;0,Main[[#This Row],[تعداد کل روزهای بدهکار (روز)]],0)</f>
        <v>1</v>
      </c>
      <c r="Z699" s="6">
        <f ca="1">Main[[#This Row],[تعداد روزهای بدهکار تسویه شده (روز)]]*Main[[#This Row],[مانده در خط تسویه شده (کیلوگرم)]]</f>
        <v>34403</v>
      </c>
      <c r="AA699" s="6">
        <f ca="1">SUBTOTAL(9,INDEX(Main[بدهی تسویه نشده (کیلوگرم)],1):Main[[#This Row],[بدهی تسویه نشده (کیلوگرم)]])</f>
        <v>0</v>
      </c>
      <c r="AB699" s="6">
        <f ca="1">IF(Main[[#This Row],[مانده در خط تسویه نشده (کیلوگرم)]]&lt;&gt;0,Main[[#This Row],[تعداد کل روزهای بدهکار (روز)]],0)</f>
        <v>0</v>
      </c>
      <c r="AC699" s="6">
        <f ca="1">Main[[#This Row],[تعداد روزهای بدهکار  تسویه نشده (روز)]]*Main[[#This Row],[مانده در خط تسویه نشده (کیلوگرم)]]</f>
        <v>0</v>
      </c>
      <c r="AD699" s="6">
        <f ca="1">SUBTOTAL(9,INDEX(Main[بدهی سررسید شده (کیلوگرم)],1):Main[[#This Row],[بدهی سررسید شده (کیلوگرم)]])</f>
        <v>0</v>
      </c>
      <c r="AE699" s="6">
        <f ca="1">IF(Main[[#This Row],[مانده در خط سررسید شده (کیلوگرم)]]&lt;&gt;0,Main[[#This Row],[تعداد کل روزهای بدهکار (روز)]],0)</f>
        <v>0</v>
      </c>
      <c r="AF699" s="6">
        <f ca="1">Main[[#This Row],[تعداد روزهای بدهکار سررسید شده (روز)]]*Main[[#This Row],[مانده در خط سررسید شده (کیلوگرم)]]</f>
        <v>0</v>
      </c>
    </row>
    <row r="700" spans="1:32" hidden="1" x14ac:dyDescent="0.35">
      <c r="A700" s="5">
        <f>ROW()-ROW(INDEX(Main[ردیف],1))+1</f>
        <v>698</v>
      </c>
      <c r="B700" s="31">
        <f>SUBTOTAL(2,INDEX(Main[ردیف],1):Main[[#This Row],[ردیف]])</f>
        <v>67</v>
      </c>
      <c r="C700" s="32" t="s">
        <v>582</v>
      </c>
      <c r="D700" s="32" t="str">
        <f>_xlfn.CONCAT("14",Main[[#This Row],[تاريخ]])</f>
        <v>1400/03/17</v>
      </c>
      <c r="E700" s="33">
        <v>44354</v>
      </c>
      <c r="F700" s="32">
        <v>10048</v>
      </c>
      <c r="G700" s="5" t="str">
        <f>INDEX(customer[عنوان],MATCH(Main[[#This Row],[کد ردیابی]],customer[کد],0))</f>
        <v xml:space="preserve">حسام کریمان  </v>
      </c>
      <c r="H700">
        <v>1329</v>
      </c>
      <c r="I700" s="6">
        <f ca="1">-Main[[#This Row],[بدهی تسویه شده (کیلوگرم)]]+Main[[#This Row],[بستانکار (کیلوگرم)]]</f>
        <v>1329</v>
      </c>
      <c r="J700" s="6">
        <f>IF(Main[[#This Row],[مقدار (کیلوگرم)]]&gt;0,Main[[#This Row],[مقدار (کیلوگرم)]],0)</f>
        <v>1329</v>
      </c>
      <c r="K700" s="6">
        <f>-IF(Main[[#This Row],[مقدار (کیلوگرم)]]&lt;0,Main[[#This Row],[مقدار (کیلوگرم)]],0)</f>
        <v>0</v>
      </c>
      <c r="L7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0" s="7">
        <f>-IF(AND(Main[[#This Row],[مقدار (کیلوگرم)]]&lt;0,Main[[#This Row],[تاريخ میلادی]]&gt;44276),Main[[#This Row],[مقدار (کیلوگرم)]],0)</f>
        <v>0</v>
      </c>
      <c r="N700" s="6">
        <f ca="1">Main[[#This Row],[بدهکار (کیلوگرم)]]-Main[[#This Row],[بدهی تسویه نشده (کیلوگرم)]]</f>
        <v>0</v>
      </c>
      <c r="O700" s="6">
        <f ca="1">Main[[#This Row],[تفکیک]]</f>
        <v>0</v>
      </c>
      <c r="P700" s="6">
        <f ca="1">IF(Main[[#This Row],[تاخیر از سررسید]]&gt;0,Main[[#This Row],[بدهی تسویه نشده (کیلوگرم)]],0)</f>
        <v>0</v>
      </c>
      <c r="Q700" s="6">
        <f ca="1">IF(Main[[#This Row],[بدهی تسویه نشده (کیلوگرم)]]&gt;0,'گزارش فردی'!$B$7-Main[[#This Row],[تاريخ میلادی]],0)</f>
        <v>0</v>
      </c>
      <c r="R700" s="6">
        <f ca="1">IF(Main[[#This Row],[بدهی تسویه نشده (کیلوگرم)]]&gt;0,'گزارش فردی'!$B$7-Main[[#This Row],[تاريخ میلادی]]-'گزارش فردی'!$B$8,0)</f>
        <v>0</v>
      </c>
      <c r="S700" s="6">
        <f ca="1">Main[[#This Row],[روز از ارسال سفارش]]*Main[[#This Row],[بدهی تسویه نشده (کیلوگرم)]]</f>
        <v>0</v>
      </c>
      <c r="T700" s="6">
        <f ca="1">Main[[#This Row],[بدهی سررسید شده (کیلوگرم)]]*Main[[#This Row],[روز از ارسال سفارش]]</f>
        <v>0</v>
      </c>
      <c r="U700" s="6">
        <f>-SUBTOTAL(9,INDEX(Main[مقدار (کیلوگرم)],1):Main[[#This Row],[مقدار (کیلوگرم)]])</f>
        <v>34403</v>
      </c>
      <c r="V7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0" s="6">
        <f>Main[[#This Row],[تعداد کل روزهای بدهکار (روز)]]*Main[[#This Row],[مانده در خط کل (کیلوگرم)]]</f>
        <v>34403</v>
      </c>
      <c r="X700" s="6">
        <f ca="1">-SUBTOTAL(9,INDEX(Main[مقدار تسویه شده (کیلوگرم)],1):Main[[#This Row],[مقدار تسویه شده (کیلوگرم)]])</f>
        <v>34403</v>
      </c>
      <c r="Y700" s="6">
        <f ca="1">IF(Main[[#This Row],[مانده در خط تسویه شده (کیلوگرم)]]&lt;&gt;0,Main[[#This Row],[تعداد کل روزهای بدهکار (روز)]],0)</f>
        <v>1</v>
      </c>
      <c r="Z700" s="6">
        <f ca="1">Main[[#This Row],[تعداد روزهای بدهکار تسویه شده (روز)]]*Main[[#This Row],[مانده در خط تسویه شده (کیلوگرم)]]</f>
        <v>34403</v>
      </c>
      <c r="AA700" s="6">
        <f ca="1">SUBTOTAL(9,INDEX(Main[بدهی تسویه نشده (کیلوگرم)],1):Main[[#This Row],[بدهی تسویه نشده (کیلوگرم)]])</f>
        <v>0</v>
      </c>
      <c r="AB700" s="6">
        <f ca="1">IF(Main[[#This Row],[مانده در خط تسویه نشده (کیلوگرم)]]&lt;&gt;0,Main[[#This Row],[تعداد کل روزهای بدهکار (روز)]],0)</f>
        <v>0</v>
      </c>
      <c r="AC700" s="6">
        <f ca="1">Main[[#This Row],[تعداد روزهای بدهکار  تسویه نشده (روز)]]*Main[[#This Row],[مانده در خط تسویه نشده (کیلوگرم)]]</f>
        <v>0</v>
      </c>
      <c r="AD700" s="6">
        <f ca="1">SUBTOTAL(9,INDEX(Main[بدهی سررسید شده (کیلوگرم)],1):Main[[#This Row],[بدهی سررسید شده (کیلوگرم)]])</f>
        <v>0</v>
      </c>
      <c r="AE700" s="6">
        <f ca="1">IF(Main[[#This Row],[مانده در خط سررسید شده (کیلوگرم)]]&lt;&gt;0,Main[[#This Row],[تعداد کل روزهای بدهکار (روز)]],0)</f>
        <v>0</v>
      </c>
      <c r="AF700" s="6">
        <f ca="1">Main[[#This Row],[تعداد روزهای بدهکار سررسید شده (روز)]]*Main[[#This Row],[مانده در خط سررسید شده (کیلوگرم)]]</f>
        <v>0</v>
      </c>
    </row>
    <row r="701" spans="1:32" hidden="1" x14ac:dyDescent="0.35">
      <c r="A701" s="5">
        <f>ROW()-ROW(INDEX(Main[ردیف],1))+1</f>
        <v>699</v>
      </c>
      <c r="B701" s="31">
        <f>SUBTOTAL(2,INDEX(Main[ردیف],1):Main[[#This Row],[ردیف]])</f>
        <v>67</v>
      </c>
      <c r="C701" s="32" t="s">
        <v>582</v>
      </c>
      <c r="D701" s="32" t="str">
        <f>_xlfn.CONCAT("14",Main[[#This Row],[تاريخ]])</f>
        <v>1400/03/17</v>
      </c>
      <c r="E701" s="33">
        <v>44354</v>
      </c>
      <c r="F701" s="32">
        <v>10048</v>
      </c>
      <c r="G701" s="5" t="str">
        <f>INDEX(customer[عنوان],MATCH(Main[[#This Row],[کد ردیابی]],customer[کد],0))</f>
        <v xml:space="preserve">حسام کریمان  </v>
      </c>
      <c r="H701">
        <v>-1258</v>
      </c>
      <c r="I701" s="6">
        <f ca="1">-Main[[#This Row],[بدهی تسویه شده (کیلوگرم)]]+Main[[#This Row],[بستانکار (کیلوگرم)]]</f>
        <v>-1258</v>
      </c>
      <c r="J701" s="6">
        <f>IF(Main[[#This Row],[مقدار (کیلوگرم)]]&gt;0,Main[[#This Row],[مقدار (کیلوگرم)]],0)</f>
        <v>0</v>
      </c>
      <c r="K701" s="6">
        <f>-IF(Main[[#This Row],[مقدار (کیلوگرم)]]&lt;0,Main[[#This Row],[مقدار (کیلوگرم)]],0)</f>
        <v>1258</v>
      </c>
      <c r="L7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1" s="7">
        <f>-IF(AND(Main[[#This Row],[مقدار (کیلوگرم)]]&lt;0,Main[[#This Row],[تاريخ میلادی]]&gt;44276),Main[[#This Row],[مقدار (کیلوگرم)]],0)</f>
        <v>1258</v>
      </c>
      <c r="N701" s="6">
        <f ca="1">Main[[#This Row],[بدهکار (کیلوگرم)]]-Main[[#This Row],[بدهی تسویه نشده (کیلوگرم)]]</f>
        <v>1258</v>
      </c>
      <c r="O701" s="6">
        <f ca="1">Main[[#This Row],[تفکیک]]</f>
        <v>0</v>
      </c>
      <c r="P701" s="6">
        <f ca="1">IF(Main[[#This Row],[تاخیر از سررسید]]&gt;0,Main[[#This Row],[بدهی تسویه نشده (کیلوگرم)]],0)</f>
        <v>0</v>
      </c>
      <c r="Q701" s="6">
        <f ca="1">IF(Main[[#This Row],[بدهی تسویه نشده (کیلوگرم)]]&gt;0,'گزارش فردی'!$B$7-Main[[#This Row],[تاريخ میلادی]],0)</f>
        <v>0</v>
      </c>
      <c r="R701" s="6">
        <f ca="1">IF(Main[[#This Row],[بدهی تسویه نشده (کیلوگرم)]]&gt;0,'گزارش فردی'!$B$7-Main[[#This Row],[تاريخ میلادی]]-'گزارش فردی'!$B$8,0)</f>
        <v>0</v>
      </c>
      <c r="S701" s="6">
        <f ca="1">Main[[#This Row],[روز از ارسال سفارش]]*Main[[#This Row],[بدهی تسویه نشده (کیلوگرم)]]</f>
        <v>0</v>
      </c>
      <c r="T701" s="6">
        <f ca="1">Main[[#This Row],[بدهی سررسید شده (کیلوگرم)]]*Main[[#This Row],[روز از ارسال سفارش]]</f>
        <v>0</v>
      </c>
      <c r="U701" s="6">
        <f>-SUBTOTAL(9,INDEX(Main[مقدار (کیلوگرم)],1):Main[[#This Row],[مقدار (کیلوگرم)]])</f>
        <v>34403</v>
      </c>
      <c r="V7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1" s="6">
        <f>Main[[#This Row],[تعداد کل روزهای بدهکار (روز)]]*Main[[#This Row],[مانده در خط کل (کیلوگرم)]]</f>
        <v>34403</v>
      </c>
      <c r="X701" s="6">
        <f ca="1">-SUBTOTAL(9,INDEX(Main[مقدار تسویه شده (کیلوگرم)],1):Main[[#This Row],[مقدار تسویه شده (کیلوگرم)]])</f>
        <v>34403</v>
      </c>
      <c r="Y701" s="6">
        <f ca="1">IF(Main[[#This Row],[مانده در خط تسویه شده (کیلوگرم)]]&lt;&gt;0,Main[[#This Row],[تعداد کل روزهای بدهکار (روز)]],0)</f>
        <v>1</v>
      </c>
      <c r="Z701" s="6">
        <f ca="1">Main[[#This Row],[تعداد روزهای بدهکار تسویه شده (روز)]]*Main[[#This Row],[مانده در خط تسویه شده (کیلوگرم)]]</f>
        <v>34403</v>
      </c>
      <c r="AA701" s="6">
        <f ca="1">SUBTOTAL(9,INDEX(Main[بدهی تسویه نشده (کیلوگرم)],1):Main[[#This Row],[بدهی تسویه نشده (کیلوگرم)]])</f>
        <v>0</v>
      </c>
      <c r="AB701" s="6">
        <f ca="1">IF(Main[[#This Row],[مانده در خط تسویه نشده (کیلوگرم)]]&lt;&gt;0,Main[[#This Row],[تعداد کل روزهای بدهکار (روز)]],0)</f>
        <v>0</v>
      </c>
      <c r="AC701" s="6">
        <f ca="1">Main[[#This Row],[تعداد روزهای بدهکار  تسویه نشده (روز)]]*Main[[#This Row],[مانده در خط تسویه نشده (کیلوگرم)]]</f>
        <v>0</v>
      </c>
      <c r="AD701" s="6">
        <f ca="1">SUBTOTAL(9,INDEX(Main[بدهی سررسید شده (کیلوگرم)],1):Main[[#This Row],[بدهی سررسید شده (کیلوگرم)]])</f>
        <v>0</v>
      </c>
      <c r="AE701" s="6">
        <f ca="1">IF(Main[[#This Row],[مانده در خط سررسید شده (کیلوگرم)]]&lt;&gt;0,Main[[#This Row],[تعداد کل روزهای بدهکار (روز)]],0)</f>
        <v>0</v>
      </c>
      <c r="AF701" s="6">
        <f ca="1">Main[[#This Row],[تعداد روزهای بدهکار سررسید شده (روز)]]*Main[[#This Row],[مانده در خط سررسید شده (کیلوگرم)]]</f>
        <v>0</v>
      </c>
    </row>
    <row r="702" spans="1:32" hidden="1" x14ac:dyDescent="0.35">
      <c r="A702" s="5">
        <f>ROW()-ROW(INDEX(Main[ردیف],1))+1</f>
        <v>700</v>
      </c>
      <c r="B702" s="31">
        <f>SUBTOTAL(2,INDEX(Main[ردیف],1):Main[[#This Row],[ردیف]])</f>
        <v>67</v>
      </c>
      <c r="C702" s="32" t="s">
        <v>582</v>
      </c>
      <c r="D702" s="32" t="str">
        <f>_xlfn.CONCAT("14",Main[[#This Row],[تاريخ]])</f>
        <v>1400/03/17</v>
      </c>
      <c r="E702" s="33">
        <v>44354</v>
      </c>
      <c r="F702" s="32">
        <v>30190</v>
      </c>
      <c r="G702" s="5" t="str">
        <f>INDEX(customer[عنوان],MATCH(Main[[#This Row],[کد ردیابی]],customer[کد],0))</f>
        <v>ایران طلق</v>
      </c>
      <c r="H702">
        <v>766</v>
      </c>
      <c r="I702" s="6">
        <f ca="1">-Main[[#This Row],[بدهی تسویه شده (کیلوگرم)]]+Main[[#This Row],[بستانکار (کیلوگرم)]]</f>
        <v>766</v>
      </c>
      <c r="J702" s="6">
        <f>IF(Main[[#This Row],[مقدار (کیلوگرم)]]&gt;0,Main[[#This Row],[مقدار (کیلوگرم)]],0)</f>
        <v>766</v>
      </c>
      <c r="K702" s="6">
        <f>-IF(Main[[#This Row],[مقدار (کیلوگرم)]]&lt;0,Main[[#This Row],[مقدار (کیلوگرم)]],0)</f>
        <v>0</v>
      </c>
      <c r="L7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2" s="7">
        <f>-IF(AND(Main[[#This Row],[مقدار (کیلوگرم)]]&lt;0,Main[[#This Row],[تاريخ میلادی]]&gt;44276),Main[[#This Row],[مقدار (کیلوگرم)]],0)</f>
        <v>0</v>
      </c>
      <c r="N702" s="6">
        <f ca="1">Main[[#This Row],[بدهکار (کیلوگرم)]]-Main[[#This Row],[بدهی تسویه نشده (کیلوگرم)]]</f>
        <v>0</v>
      </c>
      <c r="O702" s="6">
        <f ca="1">Main[[#This Row],[تفکیک]]</f>
        <v>0</v>
      </c>
      <c r="P702" s="6">
        <f ca="1">IF(Main[[#This Row],[تاخیر از سررسید]]&gt;0,Main[[#This Row],[بدهی تسویه نشده (کیلوگرم)]],0)</f>
        <v>0</v>
      </c>
      <c r="Q702" s="6">
        <f ca="1">IF(Main[[#This Row],[بدهی تسویه نشده (کیلوگرم)]]&gt;0,'گزارش فردی'!$B$7-Main[[#This Row],[تاريخ میلادی]],0)</f>
        <v>0</v>
      </c>
      <c r="R702" s="6">
        <f ca="1">IF(Main[[#This Row],[بدهی تسویه نشده (کیلوگرم)]]&gt;0,'گزارش فردی'!$B$7-Main[[#This Row],[تاريخ میلادی]]-'گزارش فردی'!$B$8,0)</f>
        <v>0</v>
      </c>
      <c r="S702" s="6">
        <f ca="1">Main[[#This Row],[روز از ارسال سفارش]]*Main[[#This Row],[بدهی تسویه نشده (کیلوگرم)]]</f>
        <v>0</v>
      </c>
      <c r="T702" s="6">
        <f ca="1">Main[[#This Row],[بدهی سررسید شده (کیلوگرم)]]*Main[[#This Row],[روز از ارسال سفارش]]</f>
        <v>0</v>
      </c>
      <c r="U702" s="6">
        <f>-SUBTOTAL(9,INDEX(Main[مقدار (کیلوگرم)],1):Main[[#This Row],[مقدار (کیلوگرم)]])</f>
        <v>34403</v>
      </c>
      <c r="V7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2" s="6">
        <f>Main[[#This Row],[تعداد کل روزهای بدهکار (روز)]]*Main[[#This Row],[مانده در خط کل (کیلوگرم)]]</f>
        <v>34403</v>
      </c>
      <c r="X702" s="6">
        <f ca="1">-SUBTOTAL(9,INDEX(Main[مقدار تسویه شده (کیلوگرم)],1):Main[[#This Row],[مقدار تسویه شده (کیلوگرم)]])</f>
        <v>34403</v>
      </c>
      <c r="Y702" s="6">
        <f ca="1">IF(Main[[#This Row],[مانده در خط تسویه شده (کیلوگرم)]]&lt;&gt;0,Main[[#This Row],[تعداد کل روزهای بدهکار (روز)]],0)</f>
        <v>1</v>
      </c>
      <c r="Z702" s="6">
        <f ca="1">Main[[#This Row],[تعداد روزهای بدهکار تسویه شده (روز)]]*Main[[#This Row],[مانده در خط تسویه شده (کیلوگرم)]]</f>
        <v>34403</v>
      </c>
      <c r="AA702" s="6">
        <f ca="1">SUBTOTAL(9,INDEX(Main[بدهی تسویه نشده (کیلوگرم)],1):Main[[#This Row],[بدهی تسویه نشده (کیلوگرم)]])</f>
        <v>0</v>
      </c>
      <c r="AB702" s="6">
        <f ca="1">IF(Main[[#This Row],[مانده در خط تسویه نشده (کیلوگرم)]]&lt;&gt;0,Main[[#This Row],[تعداد کل روزهای بدهکار (روز)]],0)</f>
        <v>0</v>
      </c>
      <c r="AC702" s="6">
        <f ca="1">Main[[#This Row],[تعداد روزهای بدهکار  تسویه نشده (روز)]]*Main[[#This Row],[مانده در خط تسویه نشده (کیلوگرم)]]</f>
        <v>0</v>
      </c>
      <c r="AD702" s="6">
        <f ca="1">SUBTOTAL(9,INDEX(Main[بدهی سررسید شده (کیلوگرم)],1):Main[[#This Row],[بدهی سررسید شده (کیلوگرم)]])</f>
        <v>0</v>
      </c>
      <c r="AE702" s="6">
        <f ca="1">IF(Main[[#This Row],[مانده در خط سررسید شده (کیلوگرم)]]&lt;&gt;0,Main[[#This Row],[تعداد کل روزهای بدهکار (روز)]],0)</f>
        <v>0</v>
      </c>
      <c r="AF702" s="6">
        <f ca="1">Main[[#This Row],[تعداد روزهای بدهکار سررسید شده (روز)]]*Main[[#This Row],[مانده در خط سررسید شده (کیلوگرم)]]</f>
        <v>0</v>
      </c>
    </row>
    <row r="703" spans="1:32" hidden="1" x14ac:dyDescent="0.35">
      <c r="A703" s="5">
        <f>ROW()-ROW(INDEX(Main[ردیف],1))+1</f>
        <v>701</v>
      </c>
      <c r="B703" s="31">
        <f>SUBTOTAL(2,INDEX(Main[ردیف],1):Main[[#This Row],[ردیف]])</f>
        <v>67</v>
      </c>
      <c r="C703" s="32" t="s">
        <v>582</v>
      </c>
      <c r="D703" s="32" t="str">
        <f>_xlfn.CONCAT("14",Main[[#This Row],[تاريخ]])</f>
        <v>1400/03/17</v>
      </c>
      <c r="E703" s="33">
        <v>44354</v>
      </c>
      <c r="F703" s="32">
        <v>10128</v>
      </c>
      <c r="G703" s="5" t="str">
        <f>INDEX(customer[عنوان],MATCH(Main[[#This Row],[کد ردیابی]],customer[کد],0))</f>
        <v xml:space="preserve">رویا اصلانی </v>
      </c>
      <c r="H703">
        <v>-198</v>
      </c>
      <c r="I703" s="6">
        <f ca="1">-Main[[#This Row],[بدهی تسویه شده (کیلوگرم)]]+Main[[#This Row],[بستانکار (کیلوگرم)]]</f>
        <v>-198</v>
      </c>
      <c r="J703" s="6">
        <f>IF(Main[[#This Row],[مقدار (کیلوگرم)]]&gt;0,Main[[#This Row],[مقدار (کیلوگرم)]],0)</f>
        <v>0</v>
      </c>
      <c r="K703" s="6">
        <f>-IF(Main[[#This Row],[مقدار (کیلوگرم)]]&lt;0,Main[[#This Row],[مقدار (کیلوگرم)]],0)</f>
        <v>198</v>
      </c>
      <c r="L7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3" s="7">
        <f>-IF(AND(Main[[#This Row],[مقدار (کیلوگرم)]]&lt;0,Main[[#This Row],[تاريخ میلادی]]&gt;44276),Main[[#This Row],[مقدار (کیلوگرم)]],0)</f>
        <v>198</v>
      </c>
      <c r="N703" s="6">
        <f ca="1">Main[[#This Row],[بدهکار (کیلوگرم)]]-Main[[#This Row],[بدهی تسویه نشده (کیلوگرم)]]</f>
        <v>198</v>
      </c>
      <c r="O703" s="6">
        <f ca="1">Main[[#This Row],[تفکیک]]</f>
        <v>0</v>
      </c>
      <c r="P703" s="6">
        <f ca="1">IF(Main[[#This Row],[تاخیر از سررسید]]&gt;0,Main[[#This Row],[بدهی تسویه نشده (کیلوگرم)]],0)</f>
        <v>0</v>
      </c>
      <c r="Q703" s="6">
        <f ca="1">IF(Main[[#This Row],[بدهی تسویه نشده (کیلوگرم)]]&gt;0,'گزارش فردی'!$B$7-Main[[#This Row],[تاريخ میلادی]],0)</f>
        <v>0</v>
      </c>
      <c r="R703" s="6">
        <f ca="1">IF(Main[[#This Row],[بدهی تسویه نشده (کیلوگرم)]]&gt;0,'گزارش فردی'!$B$7-Main[[#This Row],[تاريخ میلادی]]-'گزارش فردی'!$B$8,0)</f>
        <v>0</v>
      </c>
      <c r="S703" s="6">
        <f ca="1">Main[[#This Row],[روز از ارسال سفارش]]*Main[[#This Row],[بدهی تسویه نشده (کیلوگرم)]]</f>
        <v>0</v>
      </c>
      <c r="T703" s="6">
        <f ca="1">Main[[#This Row],[بدهی سررسید شده (کیلوگرم)]]*Main[[#This Row],[روز از ارسال سفارش]]</f>
        <v>0</v>
      </c>
      <c r="U703" s="6">
        <f>-SUBTOTAL(9,INDEX(Main[مقدار (کیلوگرم)],1):Main[[#This Row],[مقدار (کیلوگرم)]])</f>
        <v>34403</v>
      </c>
      <c r="V7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3" s="6">
        <f>Main[[#This Row],[تعداد کل روزهای بدهکار (روز)]]*Main[[#This Row],[مانده در خط کل (کیلوگرم)]]</f>
        <v>34403</v>
      </c>
      <c r="X703" s="6">
        <f ca="1">-SUBTOTAL(9,INDEX(Main[مقدار تسویه شده (کیلوگرم)],1):Main[[#This Row],[مقدار تسویه شده (کیلوگرم)]])</f>
        <v>34403</v>
      </c>
      <c r="Y703" s="6">
        <f ca="1">IF(Main[[#This Row],[مانده در خط تسویه شده (کیلوگرم)]]&lt;&gt;0,Main[[#This Row],[تعداد کل روزهای بدهکار (روز)]],0)</f>
        <v>1</v>
      </c>
      <c r="Z703" s="6">
        <f ca="1">Main[[#This Row],[تعداد روزهای بدهکار تسویه شده (روز)]]*Main[[#This Row],[مانده در خط تسویه شده (کیلوگرم)]]</f>
        <v>34403</v>
      </c>
      <c r="AA703" s="6">
        <f ca="1">SUBTOTAL(9,INDEX(Main[بدهی تسویه نشده (کیلوگرم)],1):Main[[#This Row],[بدهی تسویه نشده (کیلوگرم)]])</f>
        <v>0</v>
      </c>
      <c r="AB703" s="6">
        <f ca="1">IF(Main[[#This Row],[مانده در خط تسویه نشده (کیلوگرم)]]&lt;&gt;0,Main[[#This Row],[تعداد کل روزهای بدهکار (روز)]],0)</f>
        <v>0</v>
      </c>
      <c r="AC703" s="6">
        <f ca="1">Main[[#This Row],[تعداد روزهای بدهکار  تسویه نشده (روز)]]*Main[[#This Row],[مانده در خط تسویه نشده (کیلوگرم)]]</f>
        <v>0</v>
      </c>
      <c r="AD703" s="6">
        <f ca="1">SUBTOTAL(9,INDEX(Main[بدهی سررسید شده (کیلوگرم)],1):Main[[#This Row],[بدهی سررسید شده (کیلوگرم)]])</f>
        <v>0</v>
      </c>
      <c r="AE703" s="6">
        <f ca="1">IF(Main[[#This Row],[مانده در خط سررسید شده (کیلوگرم)]]&lt;&gt;0,Main[[#This Row],[تعداد کل روزهای بدهکار (روز)]],0)</f>
        <v>0</v>
      </c>
      <c r="AF703" s="6">
        <f ca="1">Main[[#This Row],[تعداد روزهای بدهکار سررسید شده (روز)]]*Main[[#This Row],[مانده در خط سررسید شده (کیلوگرم)]]</f>
        <v>0</v>
      </c>
    </row>
    <row r="704" spans="1:32" hidden="1" x14ac:dyDescent="0.35">
      <c r="A704" s="5">
        <f>ROW()-ROW(INDEX(Main[ردیف],1))+1</f>
        <v>702</v>
      </c>
      <c r="B704" s="31">
        <f>SUBTOTAL(2,INDEX(Main[ردیف],1):Main[[#This Row],[ردیف]])</f>
        <v>67</v>
      </c>
      <c r="C704" s="32" t="s">
        <v>582</v>
      </c>
      <c r="D704" s="32" t="str">
        <f>_xlfn.CONCAT("14",Main[[#This Row],[تاريخ]])</f>
        <v>1400/03/17</v>
      </c>
      <c r="E704" s="33">
        <v>44354</v>
      </c>
      <c r="F704" s="32">
        <v>30190</v>
      </c>
      <c r="G704" s="5" t="str">
        <f>INDEX(customer[عنوان],MATCH(Main[[#This Row],[کد ردیابی]],customer[کد],0))</f>
        <v>ایران طلق</v>
      </c>
      <c r="H704">
        <v>137</v>
      </c>
      <c r="I704" s="6">
        <f ca="1">-Main[[#This Row],[بدهی تسویه شده (کیلوگرم)]]+Main[[#This Row],[بستانکار (کیلوگرم)]]</f>
        <v>137</v>
      </c>
      <c r="J704" s="6">
        <f>IF(Main[[#This Row],[مقدار (کیلوگرم)]]&gt;0,Main[[#This Row],[مقدار (کیلوگرم)]],0)</f>
        <v>137</v>
      </c>
      <c r="K704" s="6">
        <f>-IF(Main[[#This Row],[مقدار (کیلوگرم)]]&lt;0,Main[[#This Row],[مقدار (کیلوگرم)]],0)</f>
        <v>0</v>
      </c>
      <c r="L7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4" s="7">
        <f>-IF(AND(Main[[#This Row],[مقدار (کیلوگرم)]]&lt;0,Main[[#This Row],[تاريخ میلادی]]&gt;44276),Main[[#This Row],[مقدار (کیلوگرم)]],0)</f>
        <v>0</v>
      </c>
      <c r="N704" s="6">
        <f ca="1">Main[[#This Row],[بدهکار (کیلوگرم)]]-Main[[#This Row],[بدهی تسویه نشده (کیلوگرم)]]</f>
        <v>0</v>
      </c>
      <c r="O704" s="6">
        <f ca="1">Main[[#This Row],[تفکیک]]</f>
        <v>0</v>
      </c>
      <c r="P704" s="6">
        <f ca="1">IF(Main[[#This Row],[تاخیر از سررسید]]&gt;0,Main[[#This Row],[بدهی تسویه نشده (کیلوگرم)]],0)</f>
        <v>0</v>
      </c>
      <c r="Q704" s="6">
        <f ca="1">IF(Main[[#This Row],[بدهی تسویه نشده (کیلوگرم)]]&gt;0,'گزارش فردی'!$B$7-Main[[#This Row],[تاريخ میلادی]],0)</f>
        <v>0</v>
      </c>
      <c r="R704" s="6">
        <f ca="1">IF(Main[[#This Row],[بدهی تسویه نشده (کیلوگرم)]]&gt;0,'گزارش فردی'!$B$7-Main[[#This Row],[تاريخ میلادی]]-'گزارش فردی'!$B$8,0)</f>
        <v>0</v>
      </c>
      <c r="S704" s="6">
        <f ca="1">Main[[#This Row],[روز از ارسال سفارش]]*Main[[#This Row],[بدهی تسویه نشده (کیلوگرم)]]</f>
        <v>0</v>
      </c>
      <c r="T704" s="6">
        <f ca="1">Main[[#This Row],[بدهی سررسید شده (کیلوگرم)]]*Main[[#This Row],[روز از ارسال سفارش]]</f>
        <v>0</v>
      </c>
      <c r="U704" s="6">
        <f>-SUBTOTAL(9,INDEX(Main[مقدار (کیلوگرم)],1):Main[[#This Row],[مقدار (کیلوگرم)]])</f>
        <v>34403</v>
      </c>
      <c r="V7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4" s="6">
        <f>Main[[#This Row],[تعداد کل روزهای بدهکار (روز)]]*Main[[#This Row],[مانده در خط کل (کیلوگرم)]]</f>
        <v>34403</v>
      </c>
      <c r="X704" s="6">
        <f ca="1">-SUBTOTAL(9,INDEX(Main[مقدار تسویه شده (کیلوگرم)],1):Main[[#This Row],[مقدار تسویه شده (کیلوگرم)]])</f>
        <v>34403</v>
      </c>
      <c r="Y704" s="6">
        <f ca="1">IF(Main[[#This Row],[مانده در خط تسویه شده (کیلوگرم)]]&lt;&gt;0,Main[[#This Row],[تعداد کل روزهای بدهکار (روز)]],0)</f>
        <v>1</v>
      </c>
      <c r="Z704" s="6">
        <f ca="1">Main[[#This Row],[تعداد روزهای بدهکار تسویه شده (روز)]]*Main[[#This Row],[مانده در خط تسویه شده (کیلوگرم)]]</f>
        <v>34403</v>
      </c>
      <c r="AA704" s="6">
        <f ca="1">SUBTOTAL(9,INDEX(Main[بدهی تسویه نشده (کیلوگرم)],1):Main[[#This Row],[بدهی تسویه نشده (کیلوگرم)]])</f>
        <v>0</v>
      </c>
      <c r="AB704" s="6">
        <f ca="1">IF(Main[[#This Row],[مانده در خط تسویه نشده (کیلوگرم)]]&lt;&gt;0,Main[[#This Row],[تعداد کل روزهای بدهکار (روز)]],0)</f>
        <v>0</v>
      </c>
      <c r="AC704" s="6">
        <f ca="1">Main[[#This Row],[تعداد روزهای بدهکار  تسویه نشده (روز)]]*Main[[#This Row],[مانده در خط تسویه نشده (کیلوگرم)]]</f>
        <v>0</v>
      </c>
      <c r="AD704" s="6">
        <f ca="1">SUBTOTAL(9,INDEX(Main[بدهی سررسید شده (کیلوگرم)],1):Main[[#This Row],[بدهی سررسید شده (کیلوگرم)]])</f>
        <v>0</v>
      </c>
      <c r="AE704" s="6">
        <f ca="1">IF(Main[[#This Row],[مانده در خط سررسید شده (کیلوگرم)]]&lt;&gt;0,Main[[#This Row],[تعداد کل روزهای بدهکار (روز)]],0)</f>
        <v>0</v>
      </c>
      <c r="AF704" s="6">
        <f ca="1">Main[[#This Row],[تعداد روزهای بدهکار سررسید شده (روز)]]*Main[[#This Row],[مانده در خط سررسید شده (کیلوگرم)]]</f>
        <v>0</v>
      </c>
    </row>
    <row r="705" spans="1:32" hidden="1" x14ac:dyDescent="0.35">
      <c r="A705" s="5">
        <f>ROW()-ROW(INDEX(Main[ردیف],1))+1</f>
        <v>703</v>
      </c>
      <c r="B705" s="31">
        <f>SUBTOTAL(2,INDEX(Main[ردیف],1):Main[[#This Row],[ردیف]])</f>
        <v>67</v>
      </c>
      <c r="C705" s="32" t="s">
        <v>582</v>
      </c>
      <c r="D705" s="32" t="str">
        <f>_xlfn.CONCAT("14",Main[[#This Row],[تاريخ]])</f>
        <v>1400/03/17</v>
      </c>
      <c r="E705" s="33">
        <v>44354</v>
      </c>
      <c r="F705" s="32">
        <v>30066</v>
      </c>
      <c r="G705" s="5" t="str">
        <f>INDEX(customer[عنوان],MATCH(Main[[#This Row],[کد ردیابی]],customer[کد],0))</f>
        <v xml:space="preserve">شیر آلات بهداشتی قهرمان </v>
      </c>
      <c r="H705">
        <v>2289</v>
      </c>
      <c r="I705" s="6">
        <f ca="1">-Main[[#This Row],[بدهی تسویه شده (کیلوگرم)]]+Main[[#This Row],[بستانکار (کیلوگرم)]]</f>
        <v>2289</v>
      </c>
      <c r="J705" s="6">
        <f>IF(Main[[#This Row],[مقدار (کیلوگرم)]]&gt;0,Main[[#This Row],[مقدار (کیلوگرم)]],0)</f>
        <v>2289</v>
      </c>
      <c r="K705" s="6">
        <f>-IF(Main[[#This Row],[مقدار (کیلوگرم)]]&lt;0,Main[[#This Row],[مقدار (کیلوگرم)]],0)</f>
        <v>0</v>
      </c>
      <c r="L7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5" s="7">
        <f>-IF(AND(Main[[#This Row],[مقدار (کیلوگرم)]]&lt;0,Main[[#This Row],[تاريخ میلادی]]&gt;44276),Main[[#This Row],[مقدار (کیلوگرم)]],0)</f>
        <v>0</v>
      </c>
      <c r="N705" s="6">
        <f ca="1">Main[[#This Row],[بدهکار (کیلوگرم)]]-Main[[#This Row],[بدهی تسویه نشده (کیلوگرم)]]</f>
        <v>0</v>
      </c>
      <c r="O705" s="6">
        <f ca="1">Main[[#This Row],[تفکیک]]</f>
        <v>0</v>
      </c>
      <c r="P705" s="6">
        <f ca="1">IF(Main[[#This Row],[تاخیر از سررسید]]&gt;0,Main[[#This Row],[بدهی تسویه نشده (کیلوگرم)]],0)</f>
        <v>0</v>
      </c>
      <c r="Q705" s="6">
        <f ca="1">IF(Main[[#This Row],[بدهی تسویه نشده (کیلوگرم)]]&gt;0,'گزارش فردی'!$B$7-Main[[#This Row],[تاريخ میلادی]],0)</f>
        <v>0</v>
      </c>
      <c r="R705" s="6">
        <f ca="1">IF(Main[[#This Row],[بدهی تسویه نشده (کیلوگرم)]]&gt;0,'گزارش فردی'!$B$7-Main[[#This Row],[تاريخ میلادی]]-'گزارش فردی'!$B$8,0)</f>
        <v>0</v>
      </c>
      <c r="S705" s="6">
        <f ca="1">Main[[#This Row],[روز از ارسال سفارش]]*Main[[#This Row],[بدهی تسویه نشده (کیلوگرم)]]</f>
        <v>0</v>
      </c>
      <c r="T705" s="6">
        <f ca="1">Main[[#This Row],[بدهی سررسید شده (کیلوگرم)]]*Main[[#This Row],[روز از ارسال سفارش]]</f>
        <v>0</v>
      </c>
      <c r="U705" s="6">
        <f>-SUBTOTAL(9,INDEX(Main[مقدار (کیلوگرم)],1):Main[[#This Row],[مقدار (کیلوگرم)]])</f>
        <v>34403</v>
      </c>
      <c r="V7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5" s="6">
        <f>Main[[#This Row],[تعداد کل روزهای بدهکار (روز)]]*Main[[#This Row],[مانده در خط کل (کیلوگرم)]]</f>
        <v>34403</v>
      </c>
      <c r="X705" s="6">
        <f ca="1">-SUBTOTAL(9,INDEX(Main[مقدار تسویه شده (کیلوگرم)],1):Main[[#This Row],[مقدار تسویه شده (کیلوگرم)]])</f>
        <v>34403</v>
      </c>
      <c r="Y705" s="6">
        <f ca="1">IF(Main[[#This Row],[مانده در خط تسویه شده (کیلوگرم)]]&lt;&gt;0,Main[[#This Row],[تعداد کل روزهای بدهکار (روز)]],0)</f>
        <v>1</v>
      </c>
      <c r="Z705" s="6">
        <f ca="1">Main[[#This Row],[تعداد روزهای بدهکار تسویه شده (روز)]]*Main[[#This Row],[مانده در خط تسویه شده (کیلوگرم)]]</f>
        <v>34403</v>
      </c>
      <c r="AA705" s="6">
        <f ca="1">SUBTOTAL(9,INDEX(Main[بدهی تسویه نشده (کیلوگرم)],1):Main[[#This Row],[بدهی تسویه نشده (کیلوگرم)]])</f>
        <v>0</v>
      </c>
      <c r="AB705" s="6">
        <f ca="1">IF(Main[[#This Row],[مانده در خط تسویه نشده (کیلوگرم)]]&lt;&gt;0,Main[[#This Row],[تعداد کل روزهای بدهکار (روز)]],0)</f>
        <v>0</v>
      </c>
      <c r="AC705" s="6">
        <f ca="1">Main[[#This Row],[تعداد روزهای بدهکار  تسویه نشده (روز)]]*Main[[#This Row],[مانده در خط تسویه نشده (کیلوگرم)]]</f>
        <v>0</v>
      </c>
      <c r="AD705" s="6">
        <f ca="1">SUBTOTAL(9,INDEX(Main[بدهی سررسید شده (کیلوگرم)],1):Main[[#This Row],[بدهی سررسید شده (کیلوگرم)]])</f>
        <v>0</v>
      </c>
      <c r="AE705" s="6">
        <f ca="1">IF(Main[[#This Row],[مانده در خط سررسید شده (کیلوگرم)]]&lt;&gt;0,Main[[#This Row],[تعداد کل روزهای بدهکار (روز)]],0)</f>
        <v>0</v>
      </c>
      <c r="AF705" s="6">
        <f ca="1">Main[[#This Row],[تعداد روزهای بدهکار سررسید شده (روز)]]*Main[[#This Row],[مانده در خط سررسید شده (کیلوگرم)]]</f>
        <v>0</v>
      </c>
    </row>
    <row r="706" spans="1:32" hidden="1" x14ac:dyDescent="0.35">
      <c r="A706" s="5">
        <f>ROW()-ROW(INDEX(Main[ردیف],1))+1</f>
        <v>704</v>
      </c>
      <c r="B706" s="31">
        <f>SUBTOTAL(2,INDEX(Main[ردیف],1):Main[[#This Row],[ردیف]])</f>
        <v>67</v>
      </c>
      <c r="C706" s="32" t="s">
        <v>582</v>
      </c>
      <c r="D706" s="32" t="str">
        <f>_xlfn.CONCAT("14",Main[[#This Row],[تاريخ]])</f>
        <v>1400/03/17</v>
      </c>
      <c r="E706" s="33">
        <v>44354</v>
      </c>
      <c r="F706" s="32">
        <v>30190</v>
      </c>
      <c r="G706" s="5" t="str">
        <f>INDEX(customer[عنوان],MATCH(Main[[#This Row],[کد ردیابی]],customer[کد],0))</f>
        <v>ایران طلق</v>
      </c>
      <c r="H706">
        <v>390</v>
      </c>
      <c r="I706" s="6">
        <f ca="1">-Main[[#This Row],[بدهی تسویه شده (کیلوگرم)]]+Main[[#This Row],[بستانکار (کیلوگرم)]]</f>
        <v>390</v>
      </c>
      <c r="J706" s="6">
        <f>IF(Main[[#This Row],[مقدار (کیلوگرم)]]&gt;0,Main[[#This Row],[مقدار (کیلوگرم)]],0)</f>
        <v>390</v>
      </c>
      <c r="K706" s="6">
        <f>-IF(Main[[#This Row],[مقدار (کیلوگرم)]]&lt;0,Main[[#This Row],[مقدار (کیلوگرم)]],0)</f>
        <v>0</v>
      </c>
      <c r="L7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6" s="7">
        <f>-IF(AND(Main[[#This Row],[مقدار (کیلوگرم)]]&lt;0,Main[[#This Row],[تاريخ میلادی]]&gt;44276),Main[[#This Row],[مقدار (کیلوگرم)]],0)</f>
        <v>0</v>
      </c>
      <c r="N706" s="6">
        <f ca="1">Main[[#This Row],[بدهکار (کیلوگرم)]]-Main[[#This Row],[بدهی تسویه نشده (کیلوگرم)]]</f>
        <v>0</v>
      </c>
      <c r="O706" s="6">
        <f ca="1">Main[[#This Row],[تفکیک]]</f>
        <v>0</v>
      </c>
      <c r="P706" s="6">
        <f ca="1">IF(Main[[#This Row],[تاخیر از سررسید]]&gt;0,Main[[#This Row],[بدهی تسویه نشده (کیلوگرم)]],0)</f>
        <v>0</v>
      </c>
      <c r="Q706" s="6">
        <f ca="1">IF(Main[[#This Row],[بدهی تسویه نشده (کیلوگرم)]]&gt;0,'گزارش فردی'!$B$7-Main[[#This Row],[تاريخ میلادی]],0)</f>
        <v>0</v>
      </c>
      <c r="R706" s="6">
        <f ca="1">IF(Main[[#This Row],[بدهی تسویه نشده (کیلوگرم)]]&gt;0,'گزارش فردی'!$B$7-Main[[#This Row],[تاريخ میلادی]]-'گزارش فردی'!$B$8,0)</f>
        <v>0</v>
      </c>
      <c r="S706" s="6">
        <f ca="1">Main[[#This Row],[روز از ارسال سفارش]]*Main[[#This Row],[بدهی تسویه نشده (کیلوگرم)]]</f>
        <v>0</v>
      </c>
      <c r="T706" s="6">
        <f ca="1">Main[[#This Row],[بدهی سررسید شده (کیلوگرم)]]*Main[[#This Row],[روز از ارسال سفارش]]</f>
        <v>0</v>
      </c>
      <c r="U706" s="6">
        <f>-SUBTOTAL(9,INDEX(Main[مقدار (کیلوگرم)],1):Main[[#This Row],[مقدار (کیلوگرم)]])</f>
        <v>34403</v>
      </c>
      <c r="V7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6" s="6">
        <f>Main[[#This Row],[تعداد کل روزهای بدهکار (روز)]]*Main[[#This Row],[مانده در خط کل (کیلوگرم)]]</f>
        <v>34403</v>
      </c>
      <c r="X706" s="6">
        <f ca="1">-SUBTOTAL(9,INDEX(Main[مقدار تسویه شده (کیلوگرم)],1):Main[[#This Row],[مقدار تسویه شده (کیلوگرم)]])</f>
        <v>34403</v>
      </c>
      <c r="Y706" s="6">
        <f ca="1">IF(Main[[#This Row],[مانده در خط تسویه شده (کیلوگرم)]]&lt;&gt;0,Main[[#This Row],[تعداد کل روزهای بدهکار (روز)]],0)</f>
        <v>1</v>
      </c>
      <c r="Z706" s="6">
        <f ca="1">Main[[#This Row],[تعداد روزهای بدهکار تسویه شده (روز)]]*Main[[#This Row],[مانده در خط تسویه شده (کیلوگرم)]]</f>
        <v>34403</v>
      </c>
      <c r="AA706" s="6">
        <f ca="1">SUBTOTAL(9,INDEX(Main[بدهی تسویه نشده (کیلوگرم)],1):Main[[#This Row],[بدهی تسویه نشده (کیلوگرم)]])</f>
        <v>0</v>
      </c>
      <c r="AB706" s="6">
        <f ca="1">IF(Main[[#This Row],[مانده در خط تسویه نشده (کیلوگرم)]]&lt;&gt;0,Main[[#This Row],[تعداد کل روزهای بدهکار (روز)]],0)</f>
        <v>0</v>
      </c>
      <c r="AC706" s="6">
        <f ca="1">Main[[#This Row],[تعداد روزهای بدهکار  تسویه نشده (روز)]]*Main[[#This Row],[مانده در خط تسویه نشده (کیلوگرم)]]</f>
        <v>0</v>
      </c>
      <c r="AD706" s="6">
        <f ca="1">SUBTOTAL(9,INDEX(Main[بدهی سررسید شده (کیلوگرم)],1):Main[[#This Row],[بدهی سررسید شده (کیلوگرم)]])</f>
        <v>0</v>
      </c>
      <c r="AE706" s="6">
        <f ca="1">IF(Main[[#This Row],[مانده در خط سررسید شده (کیلوگرم)]]&lt;&gt;0,Main[[#This Row],[تعداد کل روزهای بدهکار (روز)]],0)</f>
        <v>0</v>
      </c>
      <c r="AF706" s="6">
        <f ca="1">Main[[#This Row],[تعداد روزهای بدهکار سررسید شده (روز)]]*Main[[#This Row],[مانده در خط سررسید شده (کیلوگرم)]]</f>
        <v>0</v>
      </c>
    </row>
    <row r="707" spans="1:32" hidden="1" x14ac:dyDescent="0.35">
      <c r="A707" s="5">
        <f>ROW()-ROW(INDEX(Main[ردیف],1))+1</f>
        <v>705</v>
      </c>
      <c r="B707" s="31">
        <f>SUBTOTAL(2,INDEX(Main[ردیف],1):Main[[#This Row],[ردیف]])</f>
        <v>67</v>
      </c>
      <c r="C707" s="32" t="s">
        <v>583</v>
      </c>
      <c r="D707" s="32" t="str">
        <f>_xlfn.CONCAT("14",Main[[#This Row],[تاريخ]])</f>
        <v>1400/03/18</v>
      </c>
      <c r="E707" s="33">
        <v>44355</v>
      </c>
      <c r="F707" s="32">
        <v>30127</v>
      </c>
      <c r="G707" s="5" t="str">
        <f>INDEX(customer[عنوان],MATCH(Main[[#This Row],[کد ردیابی]],customer[کد],0))</f>
        <v>شیر گاز آذران</v>
      </c>
      <c r="H707">
        <v>-15518</v>
      </c>
      <c r="I707" s="6">
        <f ca="1">-Main[[#This Row],[بدهی تسویه شده (کیلوگرم)]]+Main[[#This Row],[بستانکار (کیلوگرم)]]</f>
        <v>-15518</v>
      </c>
      <c r="J707" s="6">
        <f>IF(Main[[#This Row],[مقدار (کیلوگرم)]]&gt;0,Main[[#This Row],[مقدار (کیلوگرم)]],0)</f>
        <v>0</v>
      </c>
      <c r="K707" s="6">
        <f>-IF(Main[[#This Row],[مقدار (کیلوگرم)]]&lt;0,Main[[#This Row],[مقدار (کیلوگرم)]],0)</f>
        <v>15518</v>
      </c>
      <c r="L7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7" s="7">
        <f>-IF(AND(Main[[#This Row],[مقدار (کیلوگرم)]]&lt;0,Main[[#This Row],[تاريخ میلادی]]&gt;44276),Main[[#This Row],[مقدار (کیلوگرم)]],0)</f>
        <v>15518</v>
      </c>
      <c r="N707" s="6">
        <f ca="1">Main[[#This Row],[بدهکار (کیلوگرم)]]-Main[[#This Row],[بدهی تسویه نشده (کیلوگرم)]]</f>
        <v>15518</v>
      </c>
      <c r="O707" s="6">
        <f ca="1">Main[[#This Row],[تفکیک]]</f>
        <v>0</v>
      </c>
      <c r="P707" s="6">
        <f ca="1">IF(Main[[#This Row],[تاخیر از سررسید]]&gt;0,Main[[#This Row],[بدهی تسویه نشده (کیلوگرم)]],0)</f>
        <v>0</v>
      </c>
      <c r="Q707" s="6">
        <f ca="1">IF(Main[[#This Row],[بدهی تسویه نشده (کیلوگرم)]]&gt;0,'گزارش فردی'!$B$7-Main[[#This Row],[تاريخ میلادی]],0)</f>
        <v>0</v>
      </c>
      <c r="R707" s="6">
        <f ca="1">IF(Main[[#This Row],[بدهی تسویه نشده (کیلوگرم)]]&gt;0,'گزارش فردی'!$B$7-Main[[#This Row],[تاريخ میلادی]]-'گزارش فردی'!$B$8,0)</f>
        <v>0</v>
      </c>
      <c r="S707" s="6">
        <f ca="1">Main[[#This Row],[روز از ارسال سفارش]]*Main[[#This Row],[بدهی تسویه نشده (کیلوگرم)]]</f>
        <v>0</v>
      </c>
      <c r="T707" s="6">
        <f ca="1">Main[[#This Row],[بدهی سررسید شده (کیلوگرم)]]*Main[[#This Row],[روز از ارسال سفارش]]</f>
        <v>0</v>
      </c>
      <c r="U707" s="6">
        <f>-SUBTOTAL(9,INDEX(Main[مقدار (کیلوگرم)],1):Main[[#This Row],[مقدار (کیلوگرم)]])</f>
        <v>34403</v>
      </c>
      <c r="V7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7" s="6">
        <f>Main[[#This Row],[تعداد کل روزهای بدهکار (روز)]]*Main[[#This Row],[مانده در خط کل (کیلوگرم)]]</f>
        <v>0</v>
      </c>
      <c r="X707" s="6">
        <f ca="1">-SUBTOTAL(9,INDEX(Main[مقدار تسویه شده (کیلوگرم)],1):Main[[#This Row],[مقدار تسویه شده (کیلوگرم)]])</f>
        <v>34403</v>
      </c>
      <c r="Y707" s="6">
        <f ca="1">IF(Main[[#This Row],[مانده در خط تسویه شده (کیلوگرم)]]&lt;&gt;0,Main[[#This Row],[تعداد کل روزهای بدهکار (روز)]],0)</f>
        <v>0</v>
      </c>
      <c r="Z707" s="6">
        <f ca="1">Main[[#This Row],[تعداد روزهای بدهکار تسویه شده (روز)]]*Main[[#This Row],[مانده در خط تسویه شده (کیلوگرم)]]</f>
        <v>0</v>
      </c>
      <c r="AA707" s="6">
        <f ca="1">SUBTOTAL(9,INDEX(Main[بدهی تسویه نشده (کیلوگرم)],1):Main[[#This Row],[بدهی تسویه نشده (کیلوگرم)]])</f>
        <v>0</v>
      </c>
      <c r="AB707" s="6">
        <f ca="1">IF(Main[[#This Row],[مانده در خط تسویه نشده (کیلوگرم)]]&lt;&gt;0,Main[[#This Row],[تعداد کل روزهای بدهکار (روز)]],0)</f>
        <v>0</v>
      </c>
      <c r="AC707" s="6">
        <f ca="1">Main[[#This Row],[تعداد روزهای بدهکار  تسویه نشده (روز)]]*Main[[#This Row],[مانده در خط تسویه نشده (کیلوگرم)]]</f>
        <v>0</v>
      </c>
      <c r="AD707" s="6">
        <f ca="1">SUBTOTAL(9,INDEX(Main[بدهی سررسید شده (کیلوگرم)],1):Main[[#This Row],[بدهی سررسید شده (کیلوگرم)]])</f>
        <v>0</v>
      </c>
      <c r="AE707" s="6">
        <f ca="1">IF(Main[[#This Row],[مانده در خط سررسید شده (کیلوگرم)]]&lt;&gt;0,Main[[#This Row],[تعداد کل روزهای بدهکار (روز)]],0)</f>
        <v>0</v>
      </c>
      <c r="AF707" s="6">
        <f ca="1">Main[[#This Row],[تعداد روزهای بدهکار سررسید شده (روز)]]*Main[[#This Row],[مانده در خط سررسید شده (کیلوگرم)]]</f>
        <v>0</v>
      </c>
    </row>
    <row r="708" spans="1:32" hidden="1" x14ac:dyDescent="0.35">
      <c r="A708" s="5">
        <f>ROW()-ROW(INDEX(Main[ردیف],1))+1</f>
        <v>706</v>
      </c>
      <c r="B708" s="31">
        <f>SUBTOTAL(2,INDEX(Main[ردیف],1):Main[[#This Row],[ردیف]])</f>
        <v>67</v>
      </c>
      <c r="C708" s="32" t="s">
        <v>583</v>
      </c>
      <c r="D708" s="32" t="str">
        <f>_xlfn.CONCAT("14",Main[[#This Row],[تاريخ]])</f>
        <v>1400/03/18</v>
      </c>
      <c r="E708" s="33">
        <v>44355</v>
      </c>
      <c r="F708" s="32">
        <v>30155</v>
      </c>
      <c r="G708" s="5" t="str">
        <f>INDEX(customer[عنوان],MATCH(Main[[#This Row],[کد ردیابی]],customer[کد],0))</f>
        <v>سری تراشی طاهری</v>
      </c>
      <c r="H708">
        <v>2081</v>
      </c>
      <c r="I708" s="6">
        <f ca="1">-Main[[#This Row],[بدهی تسویه شده (کیلوگرم)]]+Main[[#This Row],[بستانکار (کیلوگرم)]]</f>
        <v>2081</v>
      </c>
      <c r="J708" s="6">
        <f>IF(Main[[#This Row],[مقدار (کیلوگرم)]]&gt;0,Main[[#This Row],[مقدار (کیلوگرم)]],0)</f>
        <v>2081</v>
      </c>
      <c r="K708" s="6">
        <f>-IF(Main[[#This Row],[مقدار (کیلوگرم)]]&lt;0,Main[[#This Row],[مقدار (کیلوگرم)]],0)</f>
        <v>0</v>
      </c>
      <c r="L7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8" s="7">
        <f>-IF(AND(Main[[#This Row],[مقدار (کیلوگرم)]]&lt;0,Main[[#This Row],[تاريخ میلادی]]&gt;44276),Main[[#This Row],[مقدار (کیلوگرم)]],0)</f>
        <v>0</v>
      </c>
      <c r="N708" s="6">
        <f ca="1">Main[[#This Row],[بدهکار (کیلوگرم)]]-Main[[#This Row],[بدهی تسویه نشده (کیلوگرم)]]</f>
        <v>0</v>
      </c>
      <c r="O708" s="6">
        <f ca="1">Main[[#This Row],[تفکیک]]</f>
        <v>0</v>
      </c>
      <c r="P708" s="6">
        <f ca="1">IF(Main[[#This Row],[تاخیر از سررسید]]&gt;0,Main[[#This Row],[بدهی تسویه نشده (کیلوگرم)]],0)</f>
        <v>0</v>
      </c>
      <c r="Q708" s="6">
        <f ca="1">IF(Main[[#This Row],[بدهی تسویه نشده (کیلوگرم)]]&gt;0,'گزارش فردی'!$B$7-Main[[#This Row],[تاريخ میلادی]],0)</f>
        <v>0</v>
      </c>
      <c r="R708" s="6">
        <f ca="1">IF(Main[[#This Row],[بدهی تسویه نشده (کیلوگرم)]]&gt;0,'گزارش فردی'!$B$7-Main[[#This Row],[تاريخ میلادی]]-'گزارش فردی'!$B$8,0)</f>
        <v>0</v>
      </c>
      <c r="S708" s="6">
        <f ca="1">Main[[#This Row],[روز از ارسال سفارش]]*Main[[#This Row],[بدهی تسویه نشده (کیلوگرم)]]</f>
        <v>0</v>
      </c>
      <c r="T708" s="6">
        <f ca="1">Main[[#This Row],[بدهی سررسید شده (کیلوگرم)]]*Main[[#This Row],[روز از ارسال سفارش]]</f>
        <v>0</v>
      </c>
      <c r="U708" s="6">
        <f>-SUBTOTAL(9,INDEX(Main[مقدار (کیلوگرم)],1):Main[[#This Row],[مقدار (کیلوگرم)]])</f>
        <v>34403</v>
      </c>
      <c r="V7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8" s="6">
        <f>Main[[#This Row],[تعداد کل روزهای بدهکار (روز)]]*Main[[#This Row],[مانده در خط کل (کیلوگرم)]]</f>
        <v>0</v>
      </c>
      <c r="X708" s="6">
        <f ca="1">-SUBTOTAL(9,INDEX(Main[مقدار تسویه شده (کیلوگرم)],1):Main[[#This Row],[مقدار تسویه شده (کیلوگرم)]])</f>
        <v>34403</v>
      </c>
      <c r="Y708" s="6">
        <f ca="1">IF(Main[[#This Row],[مانده در خط تسویه شده (کیلوگرم)]]&lt;&gt;0,Main[[#This Row],[تعداد کل روزهای بدهکار (روز)]],0)</f>
        <v>0</v>
      </c>
      <c r="Z708" s="6">
        <f ca="1">Main[[#This Row],[تعداد روزهای بدهکار تسویه شده (روز)]]*Main[[#This Row],[مانده در خط تسویه شده (کیلوگرم)]]</f>
        <v>0</v>
      </c>
      <c r="AA708" s="6">
        <f ca="1">SUBTOTAL(9,INDEX(Main[بدهی تسویه نشده (کیلوگرم)],1):Main[[#This Row],[بدهی تسویه نشده (کیلوگرم)]])</f>
        <v>0</v>
      </c>
      <c r="AB708" s="6">
        <f ca="1">IF(Main[[#This Row],[مانده در خط تسویه نشده (کیلوگرم)]]&lt;&gt;0,Main[[#This Row],[تعداد کل روزهای بدهکار (روز)]],0)</f>
        <v>0</v>
      </c>
      <c r="AC708" s="6">
        <f ca="1">Main[[#This Row],[تعداد روزهای بدهکار  تسویه نشده (روز)]]*Main[[#This Row],[مانده در خط تسویه نشده (کیلوگرم)]]</f>
        <v>0</v>
      </c>
      <c r="AD708" s="6">
        <f ca="1">SUBTOTAL(9,INDEX(Main[بدهی سررسید شده (کیلوگرم)],1):Main[[#This Row],[بدهی سررسید شده (کیلوگرم)]])</f>
        <v>0</v>
      </c>
      <c r="AE708" s="6">
        <f ca="1">IF(Main[[#This Row],[مانده در خط سررسید شده (کیلوگرم)]]&lt;&gt;0,Main[[#This Row],[تعداد کل روزهای بدهکار (روز)]],0)</f>
        <v>0</v>
      </c>
      <c r="AF708" s="6">
        <f ca="1">Main[[#This Row],[تعداد روزهای بدهکار سررسید شده (روز)]]*Main[[#This Row],[مانده در خط سررسید شده (کیلوگرم)]]</f>
        <v>0</v>
      </c>
    </row>
    <row r="709" spans="1:32" hidden="1" x14ac:dyDescent="0.35">
      <c r="A709" s="5">
        <f>ROW()-ROW(INDEX(Main[ردیف],1))+1</f>
        <v>707</v>
      </c>
      <c r="B709" s="31">
        <f>SUBTOTAL(2,INDEX(Main[ردیف],1):Main[[#This Row],[ردیف]])</f>
        <v>67</v>
      </c>
      <c r="C709" s="32" t="s">
        <v>583</v>
      </c>
      <c r="D709" s="32" t="str">
        <f>_xlfn.CONCAT("14",Main[[#This Row],[تاريخ]])</f>
        <v>1400/03/18</v>
      </c>
      <c r="E709" s="33">
        <v>44355</v>
      </c>
      <c r="F709" s="32">
        <v>30155</v>
      </c>
      <c r="G709" s="5" t="str">
        <f>INDEX(customer[عنوان],MATCH(Main[[#This Row],[کد ردیابی]],customer[کد],0))</f>
        <v>سری تراشی طاهری</v>
      </c>
      <c r="H709">
        <v>-3093</v>
      </c>
      <c r="I709" s="6">
        <f ca="1">-Main[[#This Row],[بدهی تسویه شده (کیلوگرم)]]+Main[[#This Row],[بستانکار (کیلوگرم)]]</f>
        <v>-3093</v>
      </c>
      <c r="J709" s="6">
        <f>IF(Main[[#This Row],[مقدار (کیلوگرم)]]&gt;0,Main[[#This Row],[مقدار (کیلوگرم)]],0)</f>
        <v>0</v>
      </c>
      <c r="K709" s="6">
        <f>-IF(Main[[#This Row],[مقدار (کیلوگرم)]]&lt;0,Main[[#This Row],[مقدار (کیلوگرم)]],0)</f>
        <v>3093</v>
      </c>
      <c r="L7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9" s="7">
        <f>-IF(AND(Main[[#This Row],[مقدار (کیلوگرم)]]&lt;0,Main[[#This Row],[تاريخ میلادی]]&gt;44276),Main[[#This Row],[مقدار (کیلوگرم)]],0)</f>
        <v>3093</v>
      </c>
      <c r="N709" s="6">
        <f ca="1">Main[[#This Row],[بدهکار (کیلوگرم)]]-Main[[#This Row],[بدهی تسویه نشده (کیلوگرم)]]</f>
        <v>3093</v>
      </c>
      <c r="O709" s="6">
        <f ca="1">Main[[#This Row],[تفکیک]]</f>
        <v>0</v>
      </c>
      <c r="P709" s="6">
        <f ca="1">IF(Main[[#This Row],[تاخیر از سررسید]]&gt;0,Main[[#This Row],[بدهی تسویه نشده (کیلوگرم)]],0)</f>
        <v>0</v>
      </c>
      <c r="Q709" s="6">
        <f ca="1">IF(Main[[#This Row],[بدهی تسویه نشده (کیلوگرم)]]&gt;0,'گزارش فردی'!$B$7-Main[[#This Row],[تاريخ میلادی]],0)</f>
        <v>0</v>
      </c>
      <c r="R709" s="6">
        <f ca="1">IF(Main[[#This Row],[بدهی تسویه نشده (کیلوگرم)]]&gt;0,'گزارش فردی'!$B$7-Main[[#This Row],[تاريخ میلادی]]-'گزارش فردی'!$B$8,0)</f>
        <v>0</v>
      </c>
      <c r="S709" s="6">
        <f ca="1">Main[[#This Row],[روز از ارسال سفارش]]*Main[[#This Row],[بدهی تسویه نشده (کیلوگرم)]]</f>
        <v>0</v>
      </c>
      <c r="T709" s="6">
        <f ca="1">Main[[#This Row],[بدهی سررسید شده (کیلوگرم)]]*Main[[#This Row],[روز از ارسال سفارش]]</f>
        <v>0</v>
      </c>
      <c r="U709" s="6">
        <f>-SUBTOTAL(9,INDEX(Main[مقدار (کیلوگرم)],1):Main[[#This Row],[مقدار (کیلوگرم)]])</f>
        <v>34403</v>
      </c>
      <c r="V7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9" s="6">
        <f>Main[[#This Row],[تعداد کل روزهای بدهکار (روز)]]*Main[[#This Row],[مانده در خط کل (کیلوگرم)]]</f>
        <v>0</v>
      </c>
      <c r="X709" s="6">
        <f ca="1">-SUBTOTAL(9,INDEX(Main[مقدار تسویه شده (کیلوگرم)],1):Main[[#This Row],[مقدار تسویه شده (کیلوگرم)]])</f>
        <v>34403</v>
      </c>
      <c r="Y709" s="6">
        <f ca="1">IF(Main[[#This Row],[مانده در خط تسویه شده (کیلوگرم)]]&lt;&gt;0,Main[[#This Row],[تعداد کل روزهای بدهکار (روز)]],0)</f>
        <v>0</v>
      </c>
      <c r="Z709" s="6">
        <f ca="1">Main[[#This Row],[تعداد روزهای بدهکار تسویه شده (روز)]]*Main[[#This Row],[مانده در خط تسویه شده (کیلوگرم)]]</f>
        <v>0</v>
      </c>
      <c r="AA709" s="6">
        <f ca="1">SUBTOTAL(9,INDEX(Main[بدهی تسویه نشده (کیلوگرم)],1):Main[[#This Row],[بدهی تسویه نشده (کیلوگرم)]])</f>
        <v>0</v>
      </c>
      <c r="AB709" s="6">
        <f ca="1">IF(Main[[#This Row],[مانده در خط تسویه نشده (کیلوگرم)]]&lt;&gt;0,Main[[#This Row],[تعداد کل روزهای بدهکار (روز)]],0)</f>
        <v>0</v>
      </c>
      <c r="AC709" s="6">
        <f ca="1">Main[[#This Row],[تعداد روزهای بدهکار  تسویه نشده (روز)]]*Main[[#This Row],[مانده در خط تسویه نشده (کیلوگرم)]]</f>
        <v>0</v>
      </c>
      <c r="AD709" s="6">
        <f ca="1">SUBTOTAL(9,INDEX(Main[بدهی سررسید شده (کیلوگرم)],1):Main[[#This Row],[بدهی سررسید شده (کیلوگرم)]])</f>
        <v>0</v>
      </c>
      <c r="AE709" s="6">
        <f ca="1">IF(Main[[#This Row],[مانده در خط سررسید شده (کیلوگرم)]]&lt;&gt;0,Main[[#This Row],[تعداد کل روزهای بدهکار (روز)]],0)</f>
        <v>0</v>
      </c>
      <c r="AF709" s="6">
        <f ca="1">Main[[#This Row],[تعداد روزهای بدهکار سررسید شده (روز)]]*Main[[#This Row],[مانده در خط سررسید شده (کیلوگرم)]]</f>
        <v>0</v>
      </c>
    </row>
    <row r="710" spans="1:32" hidden="1" x14ac:dyDescent="0.35">
      <c r="A710" s="5">
        <f>ROW()-ROW(INDEX(Main[ردیف],1))+1</f>
        <v>708</v>
      </c>
      <c r="B710" s="31">
        <f>SUBTOTAL(2,INDEX(Main[ردیف],1):Main[[#This Row],[ردیف]])</f>
        <v>67</v>
      </c>
      <c r="C710" s="32" t="s">
        <v>583</v>
      </c>
      <c r="D710" s="32" t="str">
        <f>_xlfn.CONCAT("14",Main[[#This Row],[تاريخ]])</f>
        <v>1400/03/18</v>
      </c>
      <c r="E710" s="33">
        <v>44355</v>
      </c>
      <c r="F710" s="32">
        <v>10026</v>
      </c>
      <c r="G710" s="5" t="str">
        <f>INDEX(customer[عنوان],MATCH(Main[[#This Row],[کد ردیابی]],customer[کد],0))</f>
        <v xml:space="preserve">محسن فیاض بخش </v>
      </c>
      <c r="H710">
        <v>1859</v>
      </c>
      <c r="I710" s="6">
        <f ca="1">-Main[[#This Row],[بدهی تسویه شده (کیلوگرم)]]+Main[[#This Row],[بستانکار (کیلوگرم)]]</f>
        <v>1859</v>
      </c>
      <c r="J710" s="6">
        <f>IF(Main[[#This Row],[مقدار (کیلوگرم)]]&gt;0,Main[[#This Row],[مقدار (کیلوگرم)]],0)</f>
        <v>1859</v>
      </c>
      <c r="K710" s="6">
        <f>-IF(Main[[#This Row],[مقدار (کیلوگرم)]]&lt;0,Main[[#This Row],[مقدار (کیلوگرم)]],0)</f>
        <v>0</v>
      </c>
      <c r="L7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0" s="7">
        <f>-IF(AND(Main[[#This Row],[مقدار (کیلوگرم)]]&lt;0,Main[[#This Row],[تاريخ میلادی]]&gt;44276),Main[[#This Row],[مقدار (کیلوگرم)]],0)</f>
        <v>0</v>
      </c>
      <c r="N710" s="6">
        <f ca="1">Main[[#This Row],[بدهکار (کیلوگرم)]]-Main[[#This Row],[بدهی تسویه نشده (کیلوگرم)]]</f>
        <v>0</v>
      </c>
      <c r="O710" s="6">
        <f ca="1">Main[[#This Row],[تفکیک]]</f>
        <v>0</v>
      </c>
      <c r="P710" s="6">
        <f ca="1">IF(Main[[#This Row],[تاخیر از سررسید]]&gt;0,Main[[#This Row],[بدهی تسویه نشده (کیلوگرم)]],0)</f>
        <v>0</v>
      </c>
      <c r="Q710" s="6">
        <f ca="1">IF(Main[[#This Row],[بدهی تسویه نشده (کیلوگرم)]]&gt;0,'گزارش فردی'!$B$7-Main[[#This Row],[تاريخ میلادی]],0)</f>
        <v>0</v>
      </c>
      <c r="R710" s="6">
        <f ca="1">IF(Main[[#This Row],[بدهی تسویه نشده (کیلوگرم)]]&gt;0,'گزارش فردی'!$B$7-Main[[#This Row],[تاريخ میلادی]]-'گزارش فردی'!$B$8,0)</f>
        <v>0</v>
      </c>
      <c r="S710" s="6">
        <f ca="1">Main[[#This Row],[روز از ارسال سفارش]]*Main[[#This Row],[بدهی تسویه نشده (کیلوگرم)]]</f>
        <v>0</v>
      </c>
      <c r="T710" s="6">
        <f ca="1">Main[[#This Row],[بدهی سررسید شده (کیلوگرم)]]*Main[[#This Row],[روز از ارسال سفارش]]</f>
        <v>0</v>
      </c>
      <c r="U710" s="6">
        <f>-SUBTOTAL(9,INDEX(Main[مقدار (کیلوگرم)],1):Main[[#This Row],[مقدار (کیلوگرم)]])</f>
        <v>34403</v>
      </c>
      <c r="V7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0" s="6">
        <f>Main[[#This Row],[تعداد کل روزهای بدهکار (روز)]]*Main[[#This Row],[مانده در خط کل (کیلوگرم)]]</f>
        <v>0</v>
      </c>
      <c r="X710" s="6">
        <f ca="1">-SUBTOTAL(9,INDEX(Main[مقدار تسویه شده (کیلوگرم)],1):Main[[#This Row],[مقدار تسویه شده (کیلوگرم)]])</f>
        <v>34403</v>
      </c>
      <c r="Y710" s="6">
        <f ca="1">IF(Main[[#This Row],[مانده در خط تسویه شده (کیلوگرم)]]&lt;&gt;0,Main[[#This Row],[تعداد کل روزهای بدهکار (روز)]],0)</f>
        <v>0</v>
      </c>
      <c r="Z710" s="6">
        <f ca="1">Main[[#This Row],[تعداد روزهای بدهکار تسویه شده (روز)]]*Main[[#This Row],[مانده در خط تسویه شده (کیلوگرم)]]</f>
        <v>0</v>
      </c>
      <c r="AA710" s="6">
        <f ca="1">SUBTOTAL(9,INDEX(Main[بدهی تسویه نشده (کیلوگرم)],1):Main[[#This Row],[بدهی تسویه نشده (کیلوگرم)]])</f>
        <v>0</v>
      </c>
      <c r="AB710" s="6">
        <f ca="1">IF(Main[[#This Row],[مانده در خط تسویه نشده (کیلوگرم)]]&lt;&gt;0,Main[[#This Row],[تعداد کل روزهای بدهکار (روز)]],0)</f>
        <v>0</v>
      </c>
      <c r="AC710" s="6">
        <f ca="1">Main[[#This Row],[تعداد روزهای بدهکار  تسویه نشده (روز)]]*Main[[#This Row],[مانده در خط تسویه نشده (کیلوگرم)]]</f>
        <v>0</v>
      </c>
      <c r="AD710" s="6">
        <f ca="1">SUBTOTAL(9,INDEX(Main[بدهی سررسید شده (کیلوگرم)],1):Main[[#This Row],[بدهی سررسید شده (کیلوگرم)]])</f>
        <v>0</v>
      </c>
      <c r="AE710" s="6">
        <f ca="1">IF(Main[[#This Row],[مانده در خط سررسید شده (کیلوگرم)]]&lt;&gt;0,Main[[#This Row],[تعداد کل روزهای بدهکار (روز)]],0)</f>
        <v>0</v>
      </c>
      <c r="AF710" s="6">
        <f ca="1">Main[[#This Row],[تعداد روزهای بدهکار سررسید شده (روز)]]*Main[[#This Row],[مانده در خط سررسید شده (کیلوگرم)]]</f>
        <v>0</v>
      </c>
    </row>
    <row r="711" spans="1:32" hidden="1" x14ac:dyDescent="0.35">
      <c r="A711" s="5">
        <f>ROW()-ROW(INDEX(Main[ردیف],1))+1</f>
        <v>709</v>
      </c>
      <c r="B711" s="31">
        <f>SUBTOTAL(2,INDEX(Main[ردیف],1):Main[[#This Row],[ردیف]])</f>
        <v>67</v>
      </c>
      <c r="C711" s="32" t="s">
        <v>583</v>
      </c>
      <c r="D711" s="32" t="str">
        <f>_xlfn.CONCAT("14",Main[[#This Row],[تاريخ]])</f>
        <v>1400/03/18</v>
      </c>
      <c r="E711" s="33">
        <v>44355</v>
      </c>
      <c r="F711" s="32">
        <v>50011</v>
      </c>
      <c r="G711" s="5" t="str">
        <f>INDEX(customer[عنوان],MATCH(Main[[#This Row],[کد ردیابی]],customer[کد],0))</f>
        <v xml:space="preserve">جعفر هوشمند </v>
      </c>
      <c r="H711">
        <v>-1026</v>
      </c>
      <c r="I711" s="6">
        <f ca="1">-Main[[#This Row],[بدهی تسویه شده (کیلوگرم)]]+Main[[#This Row],[بستانکار (کیلوگرم)]]</f>
        <v>-1026</v>
      </c>
      <c r="J711" s="6">
        <f>IF(Main[[#This Row],[مقدار (کیلوگرم)]]&gt;0,Main[[#This Row],[مقدار (کیلوگرم)]],0)</f>
        <v>0</v>
      </c>
      <c r="K711" s="6">
        <f>-IF(Main[[#This Row],[مقدار (کیلوگرم)]]&lt;0,Main[[#This Row],[مقدار (کیلوگرم)]],0)</f>
        <v>1026</v>
      </c>
      <c r="L7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1" s="7">
        <f>-IF(AND(Main[[#This Row],[مقدار (کیلوگرم)]]&lt;0,Main[[#This Row],[تاريخ میلادی]]&gt;44276),Main[[#This Row],[مقدار (کیلوگرم)]],0)</f>
        <v>1026</v>
      </c>
      <c r="N711" s="6">
        <f ca="1">Main[[#This Row],[بدهکار (کیلوگرم)]]-Main[[#This Row],[بدهی تسویه نشده (کیلوگرم)]]</f>
        <v>1026</v>
      </c>
      <c r="O711" s="6">
        <f ca="1">Main[[#This Row],[تفکیک]]</f>
        <v>0</v>
      </c>
      <c r="P711" s="6">
        <f ca="1">IF(Main[[#This Row],[تاخیر از سررسید]]&gt;0,Main[[#This Row],[بدهی تسویه نشده (کیلوگرم)]],0)</f>
        <v>0</v>
      </c>
      <c r="Q711" s="6">
        <f ca="1">IF(Main[[#This Row],[بدهی تسویه نشده (کیلوگرم)]]&gt;0,'گزارش فردی'!$B$7-Main[[#This Row],[تاريخ میلادی]],0)</f>
        <v>0</v>
      </c>
      <c r="R711" s="6">
        <f ca="1">IF(Main[[#This Row],[بدهی تسویه نشده (کیلوگرم)]]&gt;0,'گزارش فردی'!$B$7-Main[[#This Row],[تاريخ میلادی]]-'گزارش فردی'!$B$8,0)</f>
        <v>0</v>
      </c>
      <c r="S711" s="6">
        <f ca="1">Main[[#This Row],[روز از ارسال سفارش]]*Main[[#This Row],[بدهی تسویه نشده (کیلوگرم)]]</f>
        <v>0</v>
      </c>
      <c r="T711" s="6">
        <f ca="1">Main[[#This Row],[بدهی سررسید شده (کیلوگرم)]]*Main[[#This Row],[روز از ارسال سفارش]]</f>
        <v>0</v>
      </c>
      <c r="U711" s="6">
        <f>-SUBTOTAL(9,INDEX(Main[مقدار (کیلوگرم)],1):Main[[#This Row],[مقدار (کیلوگرم)]])</f>
        <v>34403</v>
      </c>
      <c r="V7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1" s="6">
        <f>Main[[#This Row],[تعداد کل روزهای بدهکار (روز)]]*Main[[#This Row],[مانده در خط کل (کیلوگرم)]]</f>
        <v>0</v>
      </c>
      <c r="X711" s="6">
        <f ca="1">-SUBTOTAL(9,INDEX(Main[مقدار تسویه شده (کیلوگرم)],1):Main[[#This Row],[مقدار تسویه شده (کیلوگرم)]])</f>
        <v>34403</v>
      </c>
      <c r="Y711" s="6">
        <f ca="1">IF(Main[[#This Row],[مانده در خط تسویه شده (کیلوگرم)]]&lt;&gt;0,Main[[#This Row],[تعداد کل روزهای بدهکار (روز)]],0)</f>
        <v>0</v>
      </c>
      <c r="Z711" s="6">
        <f ca="1">Main[[#This Row],[تعداد روزهای بدهکار تسویه شده (روز)]]*Main[[#This Row],[مانده در خط تسویه شده (کیلوگرم)]]</f>
        <v>0</v>
      </c>
      <c r="AA711" s="6">
        <f ca="1">SUBTOTAL(9,INDEX(Main[بدهی تسویه نشده (کیلوگرم)],1):Main[[#This Row],[بدهی تسویه نشده (کیلوگرم)]])</f>
        <v>0</v>
      </c>
      <c r="AB711" s="6">
        <f ca="1">IF(Main[[#This Row],[مانده در خط تسویه نشده (کیلوگرم)]]&lt;&gt;0,Main[[#This Row],[تعداد کل روزهای بدهکار (روز)]],0)</f>
        <v>0</v>
      </c>
      <c r="AC711" s="6">
        <f ca="1">Main[[#This Row],[تعداد روزهای بدهکار  تسویه نشده (روز)]]*Main[[#This Row],[مانده در خط تسویه نشده (کیلوگرم)]]</f>
        <v>0</v>
      </c>
      <c r="AD711" s="6">
        <f ca="1">SUBTOTAL(9,INDEX(Main[بدهی سررسید شده (کیلوگرم)],1):Main[[#This Row],[بدهی سررسید شده (کیلوگرم)]])</f>
        <v>0</v>
      </c>
      <c r="AE711" s="6">
        <f ca="1">IF(Main[[#This Row],[مانده در خط سررسید شده (کیلوگرم)]]&lt;&gt;0,Main[[#This Row],[تعداد کل روزهای بدهکار (روز)]],0)</f>
        <v>0</v>
      </c>
      <c r="AF711" s="6">
        <f ca="1">Main[[#This Row],[تعداد روزهای بدهکار سررسید شده (روز)]]*Main[[#This Row],[مانده در خط سررسید شده (کیلوگرم)]]</f>
        <v>0</v>
      </c>
    </row>
    <row r="712" spans="1:32" hidden="1" x14ac:dyDescent="0.35">
      <c r="A712" s="5">
        <f>ROW()-ROW(INDEX(Main[ردیف],1))+1</f>
        <v>710</v>
      </c>
      <c r="B712" s="31">
        <f>SUBTOTAL(2,INDEX(Main[ردیف],1):Main[[#This Row],[ردیف]])</f>
        <v>67</v>
      </c>
      <c r="C712" s="32" t="s">
        <v>583</v>
      </c>
      <c r="D712" s="32" t="str">
        <f>_xlfn.CONCAT("14",Main[[#This Row],[تاريخ]])</f>
        <v>1400/03/18</v>
      </c>
      <c r="E712" s="33">
        <v>44355</v>
      </c>
      <c r="F712" s="32">
        <v>30155</v>
      </c>
      <c r="G712" s="5" t="str">
        <f>INDEX(customer[عنوان],MATCH(Main[[#This Row],[کد ردیابی]],customer[کد],0))</f>
        <v>سری تراشی طاهری</v>
      </c>
      <c r="H712">
        <v>794</v>
      </c>
      <c r="I712" s="6">
        <f ca="1">-Main[[#This Row],[بدهی تسویه شده (کیلوگرم)]]+Main[[#This Row],[بستانکار (کیلوگرم)]]</f>
        <v>794</v>
      </c>
      <c r="J712" s="6">
        <f>IF(Main[[#This Row],[مقدار (کیلوگرم)]]&gt;0,Main[[#This Row],[مقدار (کیلوگرم)]],0)</f>
        <v>794</v>
      </c>
      <c r="K712" s="6">
        <f>-IF(Main[[#This Row],[مقدار (کیلوگرم)]]&lt;0,Main[[#This Row],[مقدار (کیلوگرم)]],0)</f>
        <v>0</v>
      </c>
      <c r="L7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2" s="7">
        <f>-IF(AND(Main[[#This Row],[مقدار (کیلوگرم)]]&lt;0,Main[[#This Row],[تاريخ میلادی]]&gt;44276),Main[[#This Row],[مقدار (کیلوگرم)]],0)</f>
        <v>0</v>
      </c>
      <c r="N712" s="6">
        <f ca="1">Main[[#This Row],[بدهکار (کیلوگرم)]]-Main[[#This Row],[بدهی تسویه نشده (کیلوگرم)]]</f>
        <v>0</v>
      </c>
      <c r="O712" s="6">
        <f ca="1">Main[[#This Row],[تفکیک]]</f>
        <v>0</v>
      </c>
      <c r="P712" s="6">
        <f ca="1">IF(Main[[#This Row],[تاخیر از سررسید]]&gt;0,Main[[#This Row],[بدهی تسویه نشده (کیلوگرم)]],0)</f>
        <v>0</v>
      </c>
      <c r="Q712" s="6">
        <f ca="1">IF(Main[[#This Row],[بدهی تسویه نشده (کیلوگرم)]]&gt;0,'گزارش فردی'!$B$7-Main[[#This Row],[تاريخ میلادی]],0)</f>
        <v>0</v>
      </c>
      <c r="R712" s="6">
        <f ca="1">IF(Main[[#This Row],[بدهی تسویه نشده (کیلوگرم)]]&gt;0,'گزارش فردی'!$B$7-Main[[#This Row],[تاريخ میلادی]]-'گزارش فردی'!$B$8,0)</f>
        <v>0</v>
      </c>
      <c r="S712" s="6">
        <f ca="1">Main[[#This Row],[روز از ارسال سفارش]]*Main[[#This Row],[بدهی تسویه نشده (کیلوگرم)]]</f>
        <v>0</v>
      </c>
      <c r="T712" s="6">
        <f ca="1">Main[[#This Row],[بدهی سررسید شده (کیلوگرم)]]*Main[[#This Row],[روز از ارسال سفارش]]</f>
        <v>0</v>
      </c>
      <c r="U712" s="6">
        <f>-SUBTOTAL(9,INDEX(Main[مقدار (کیلوگرم)],1):Main[[#This Row],[مقدار (کیلوگرم)]])</f>
        <v>34403</v>
      </c>
      <c r="V7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2" s="6">
        <f>Main[[#This Row],[تعداد کل روزهای بدهکار (روز)]]*Main[[#This Row],[مانده در خط کل (کیلوگرم)]]</f>
        <v>0</v>
      </c>
      <c r="X712" s="6">
        <f ca="1">-SUBTOTAL(9,INDEX(Main[مقدار تسویه شده (کیلوگرم)],1):Main[[#This Row],[مقدار تسویه شده (کیلوگرم)]])</f>
        <v>34403</v>
      </c>
      <c r="Y712" s="6">
        <f ca="1">IF(Main[[#This Row],[مانده در خط تسویه شده (کیلوگرم)]]&lt;&gt;0,Main[[#This Row],[تعداد کل روزهای بدهکار (روز)]],0)</f>
        <v>0</v>
      </c>
      <c r="Z712" s="6">
        <f ca="1">Main[[#This Row],[تعداد روزهای بدهکار تسویه شده (روز)]]*Main[[#This Row],[مانده در خط تسویه شده (کیلوگرم)]]</f>
        <v>0</v>
      </c>
      <c r="AA712" s="6">
        <f ca="1">SUBTOTAL(9,INDEX(Main[بدهی تسویه نشده (کیلوگرم)],1):Main[[#This Row],[بدهی تسویه نشده (کیلوگرم)]])</f>
        <v>0</v>
      </c>
      <c r="AB712" s="6">
        <f ca="1">IF(Main[[#This Row],[مانده در خط تسویه نشده (کیلوگرم)]]&lt;&gt;0,Main[[#This Row],[تعداد کل روزهای بدهکار (روز)]],0)</f>
        <v>0</v>
      </c>
      <c r="AC712" s="6">
        <f ca="1">Main[[#This Row],[تعداد روزهای بدهکار  تسویه نشده (روز)]]*Main[[#This Row],[مانده در خط تسویه نشده (کیلوگرم)]]</f>
        <v>0</v>
      </c>
      <c r="AD712" s="6">
        <f ca="1">SUBTOTAL(9,INDEX(Main[بدهی سررسید شده (کیلوگرم)],1):Main[[#This Row],[بدهی سررسید شده (کیلوگرم)]])</f>
        <v>0</v>
      </c>
      <c r="AE712" s="6">
        <f ca="1">IF(Main[[#This Row],[مانده در خط سررسید شده (کیلوگرم)]]&lt;&gt;0,Main[[#This Row],[تعداد کل روزهای بدهکار (روز)]],0)</f>
        <v>0</v>
      </c>
      <c r="AF712" s="6">
        <f ca="1">Main[[#This Row],[تعداد روزهای بدهکار سررسید شده (روز)]]*Main[[#This Row],[مانده در خط سررسید شده (کیلوگرم)]]</f>
        <v>0</v>
      </c>
    </row>
    <row r="713" spans="1:32" hidden="1" x14ac:dyDescent="0.35">
      <c r="A713" s="5">
        <f>ROW()-ROW(INDEX(Main[ردیف],1))+1</f>
        <v>711</v>
      </c>
      <c r="B713" s="31">
        <f>SUBTOTAL(2,INDEX(Main[ردیف],1):Main[[#This Row],[ردیف]])</f>
        <v>67</v>
      </c>
      <c r="C713" s="32" t="s">
        <v>583</v>
      </c>
      <c r="D713" s="32" t="str">
        <f>_xlfn.CONCAT("14",Main[[#This Row],[تاريخ]])</f>
        <v>1400/03/18</v>
      </c>
      <c r="E713" s="33">
        <v>44355</v>
      </c>
      <c r="F713" s="32">
        <v>10055</v>
      </c>
      <c r="G713" s="5" t="str">
        <f>INDEX(customer[عنوان],MATCH(Main[[#This Row],[کد ردیابی]],customer[کد],0))</f>
        <v xml:space="preserve">مریم فیض آبادی  </v>
      </c>
      <c r="H713">
        <v>-10216</v>
      </c>
      <c r="I713" s="6">
        <f ca="1">-Main[[#This Row],[بدهی تسویه شده (کیلوگرم)]]+Main[[#This Row],[بستانکار (کیلوگرم)]]</f>
        <v>-10216</v>
      </c>
      <c r="J713" s="6">
        <f>IF(Main[[#This Row],[مقدار (کیلوگرم)]]&gt;0,Main[[#This Row],[مقدار (کیلوگرم)]],0)</f>
        <v>0</v>
      </c>
      <c r="K713" s="6">
        <f>-IF(Main[[#This Row],[مقدار (کیلوگرم)]]&lt;0,Main[[#This Row],[مقدار (کیلوگرم)]],0)</f>
        <v>10216</v>
      </c>
      <c r="L7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3" s="7">
        <f>-IF(AND(Main[[#This Row],[مقدار (کیلوگرم)]]&lt;0,Main[[#This Row],[تاريخ میلادی]]&gt;44276),Main[[#This Row],[مقدار (کیلوگرم)]],0)</f>
        <v>10216</v>
      </c>
      <c r="N713" s="6">
        <f ca="1">Main[[#This Row],[بدهکار (کیلوگرم)]]-Main[[#This Row],[بدهی تسویه نشده (کیلوگرم)]]</f>
        <v>10216</v>
      </c>
      <c r="O713" s="6">
        <f ca="1">Main[[#This Row],[تفکیک]]</f>
        <v>0</v>
      </c>
      <c r="P713" s="6">
        <f ca="1">IF(Main[[#This Row],[تاخیر از سررسید]]&gt;0,Main[[#This Row],[بدهی تسویه نشده (کیلوگرم)]],0)</f>
        <v>0</v>
      </c>
      <c r="Q713" s="6">
        <f ca="1">IF(Main[[#This Row],[بدهی تسویه نشده (کیلوگرم)]]&gt;0,'گزارش فردی'!$B$7-Main[[#This Row],[تاريخ میلادی]],0)</f>
        <v>0</v>
      </c>
      <c r="R713" s="6">
        <f ca="1">IF(Main[[#This Row],[بدهی تسویه نشده (کیلوگرم)]]&gt;0,'گزارش فردی'!$B$7-Main[[#This Row],[تاريخ میلادی]]-'گزارش فردی'!$B$8,0)</f>
        <v>0</v>
      </c>
      <c r="S713" s="6">
        <f ca="1">Main[[#This Row],[روز از ارسال سفارش]]*Main[[#This Row],[بدهی تسویه نشده (کیلوگرم)]]</f>
        <v>0</v>
      </c>
      <c r="T713" s="6">
        <f ca="1">Main[[#This Row],[بدهی سررسید شده (کیلوگرم)]]*Main[[#This Row],[روز از ارسال سفارش]]</f>
        <v>0</v>
      </c>
      <c r="U713" s="6">
        <f>-SUBTOTAL(9,INDEX(Main[مقدار (کیلوگرم)],1):Main[[#This Row],[مقدار (کیلوگرم)]])</f>
        <v>34403</v>
      </c>
      <c r="V7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3" s="6">
        <f>Main[[#This Row],[تعداد کل روزهای بدهکار (روز)]]*Main[[#This Row],[مانده در خط کل (کیلوگرم)]]</f>
        <v>0</v>
      </c>
      <c r="X713" s="6">
        <f ca="1">-SUBTOTAL(9,INDEX(Main[مقدار تسویه شده (کیلوگرم)],1):Main[[#This Row],[مقدار تسویه شده (کیلوگرم)]])</f>
        <v>34403</v>
      </c>
      <c r="Y713" s="6">
        <f ca="1">IF(Main[[#This Row],[مانده در خط تسویه شده (کیلوگرم)]]&lt;&gt;0,Main[[#This Row],[تعداد کل روزهای بدهکار (روز)]],0)</f>
        <v>0</v>
      </c>
      <c r="Z713" s="6">
        <f ca="1">Main[[#This Row],[تعداد روزهای بدهکار تسویه شده (روز)]]*Main[[#This Row],[مانده در خط تسویه شده (کیلوگرم)]]</f>
        <v>0</v>
      </c>
      <c r="AA713" s="6">
        <f ca="1">SUBTOTAL(9,INDEX(Main[بدهی تسویه نشده (کیلوگرم)],1):Main[[#This Row],[بدهی تسویه نشده (کیلوگرم)]])</f>
        <v>0</v>
      </c>
      <c r="AB713" s="6">
        <f ca="1">IF(Main[[#This Row],[مانده در خط تسویه نشده (کیلوگرم)]]&lt;&gt;0,Main[[#This Row],[تعداد کل روزهای بدهکار (روز)]],0)</f>
        <v>0</v>
      </c>
      <c r="AC713" s="6">
        <f ca="1">Main[[#This Row],[تعداد روزهای بدهکار  تسویه نشده (روز)]]*Main[[#This Row],[مانده در خط تسویه نشده (کیلوگرم)]]</f>
        <v>0</v>
      </c>
      <c r="AD713" s="6">
        <f ca="1">SUBTOTAL(9,INDEX(Main[بدهی سررسید شده (کیلوگرم)],1):Main[[#This Row],[بدهی سررسید شده (کیلوگرم)]])</f>
        <v>0</v>
      </c>
      <c r="AE713" s="6">
        <f ca="1">IF(Main[[#This Row],[مانده در خط سررسید شده (کیلوگرم)]]&lt;&gt;0,Main[[#This Row],[تعداد کل روزهای بدهکار (روز)]],0)</f>
        <v>0</v>
      </c>
      <c r="AF713" s="6">
        <f ca="1">Main[[#This Row],[تعداد روزهای بدهکار سررسید شده (روز)]]*Main[[#This Row],[مانده در خط سررسید شده (کیلوگرم)]]</f>
        <v>0</v>
      </c>
    </row>
    <row r="714" spans="1:32" hidden="1" x14ac:dyDescent="0.35">
      <c r="A714" s="5">
        <f>ROW()-ROW(INDEX(Main[ردیف],1))+1</f>
        <v>712</v>
      </c>
      <c r="B714" s="31">
        <f>SUBTOTAL(2,INDEX(Main[ردیف],1):Main[[#This Row],[ردیف]])</f>
        <v>67</v>
      </c>
      <c r="C714" s="32" t="s">
        <v>583</v>
      </c>
      <c r="D714" s="32" t="str">
        <f>_xlfn.CONCAT("14",Main[[#This Row],[تاريخ]])</f>
        <v>1400/03/18</v>
      </c>
      <c r="E714" s="33">
        <v>44355</v>
      </c>
      <c r="F714" s="32">
        <v>30022</v>
      </c>
      <c r="G714" s="5" t="str">
        <f>INDEX(customer[عنوان],MATCH(Main[[#This Row],[کد ردیابی]],customer[کد],0))</f>
        <v xml:space="preserve">کلار پویا </v>
      </c>
      <c r="H714">
        <v>4823</v>
      </c>
      <c r="I714" s="6">
        <f ca="1">-Main[[#This Row],[بدهی تسویه شده (کیلوگرم)]]+Main[[#This Row],[بستانکار (کیلوگرم)]]</f>
        <v>4823</v>
      </c>
      <c r="J714" s="6">
        <f>IF(Main[[#This Row],[مقدار (کیلوگرم)]]&gt;0,Main[[#This Row],[مقدار (کیلوگرم)]],0)</f>
        <v>4823</v>
      </c>
      <c r="K714" s="6">
        <f>-IF(Main[[#This Row],[مقدار (کیلوگرم)]]&lt;0,Main[[#This Row],[مقدار (کیلوگرم)]],0)</f>
        <v>0</v>
      </c>
      <c r="L7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4" s="7">
        <f>-IF(AND(Main[[#This Row],[مقدار (کیلوگرم)]]&lt;0,Main[[#This Row],[تاريخ میلادی]]&gt;44276),Main[[#This Row],[مقدار (کیلوگرم)]],0)</f>
        <v>0</v>
      </c>
      <c r="N714" s="6">
        <f ca="1">Main[[#This Row],[بدهکار (کیلوگرم)]]-Main[[#This Row],[بدهی تسویه نشده (کیلوگرم)]]</f>
        <v>0</v>
      </c>
      <c r="O714" s="6">
        <f ca="1">Main[[#This Row],[تفکیک]]</f>
        <v>0</v>
      </c>
      <c r="P714" s="6">
        <f ca="1">IF(Main[[#This Row],[تاخیر از سررسید]]&gt;0,Main[[#This Row],[بدهی تسویه نشده (کیلوگرم)]],0)</f>
        <v>0</v>
      </c>
      <c r="Q714" s="6">
        <f ca="1">IF(Main[[#This Row],[بدهی تسویه نشده (کیلوگرم)]]&gt;0,'گزارش فردی'!$B$7-Main[[#This Row],[تاريخ میلادی]],0)</f>
        <v>0</v>
      </c>
      <c r="R714" s="6">
        <f ca="1">IF(Main[[#This Row],[بدهی تسویه نشده (کیلوگرم)]]&gt;0,'گزارش فردی'!$B$7-Main[[#This Row],[تاريخ میلادی]]-'گزارش فردی'!$B$8,0)</f>
        <v>0</v>
      </c>
      <c r="S714" s="6">
        <f ca="1">Main[[#This Row],[روز از ارسال سفارش]]*Main[[#This Row],[بدهی تسویه نشده (کیلوگرم)]]</f>
        <v>0</v>
      </c>
      <c r="T714" s="6">
        <f ca="1">Main[[#This Row],[بدهی سررسید شده (کیلوگرم)]]*Main[[#This Row],[روز از ارسال سفارش]]</f>
        <v>0</v>
      </c>
      <c r="U714" s="6">
        <f>-SUBTOTAL(9,INDEX(Main[مقدار (کیلوگرم)],1):Main[[#This Row],[مقدار (کیلوگرم)]])</f>
        <v>34403</v>
      </c>
      <c r="V7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4" s="6">
        <f>Main[[#This Row],[تعداد کل روزهای بدهکار (روز)]]*Main[[#This Row],[مانده در خط کل (کیلوگرم)]]</f>
        <v>0</v>
      </c>
      <c r="X714" s="6">
        <f ca="1">-SUBTOTAL(9,INDEX(Main[مقدار تسویه شده (کیلوگرم)],1):Main[[#This Row],[مقدار تسویه شده (کیلوگرم)]])</f>
        <v>34403</v>
      </c>
      <c r="Y714" s="6">
        <f ca="1">IF(Main[[#This Row],[مانده در خط تسویه شده (کیلوگرم)]]&lt;&gt;0,Main[[#This Row],[تعداد کل روزهای بدهکار (روز)]],0)</f>
        <v>0</v>
      </c>
      <c r="Z714" s="6">
        <f ca="1">Main[[#This Row],[تعداد روزهای بدهکار تسویه شده (روز)]]*Main[[#This Row],[مانده در خط تسویه شده (کیلوگرم)]]</f>
        <v>0</v>
      </c>
      <c r="AA714" s="6">
        <f ca="1">SUBTOTAL(9,INDEX(Main[بدهی تسویه نشده (کیلوگرم)],1):Main[[#This Row],[بدهی تسویه نشده (کیلوگرم)]])</f>
        <v>0</v>
      </c>
      <c r="AB714" s="6">
        <f ca="1">IF(Main[[#This Row],[مانده در خط تسویه نشده (کیلوگرم)]]&lt;&gt;0,Main[[#This Row],[تعداد کل روزهای بدهکار (روز)]],0)</f>
        <v>0</v>
      </c>
      <c r="AC714" s="6">
        <f ca="1">Main[[#This Row],[تعداد روزهای بدهکار  تسویه نشده (روز)]]*Main[[#This Row],[مانده در خط تسویه نشده (کیلوگرم)]]</f>
        <v>0</v>
      </c>
      <c r="AD714" s="6">
        <f ca="1">SUBTOTAL(9,INDEX(Main[بدهی سررسید شده (کیلوگرم)],1):Main[[#This Row],[بدهی سررسید شده (کیلوگرم)]])</f>
        <v>0</v>
      </c>
      <c r="AE714" s="6">
        <f ca="1">IF(Main[[#This Row],[مانده در خط سررسید شده (کیلوگرم)]]&lt;&gt;0,Main[[#This Row],[تعداد کل روزهای بدهکار (روز)]],0)</f>
        <v>0</v>
      </c>
      <c r="AF714" s="6">
        <f ca="1">Main[[#This Row],[تعداد روزهای بدهکار سررسید شده (روز)]]*Main[[#This Row],[مانده در خط سررسید شده (کیلوگرم)]]</f>
        <v>0</v>
      </c>
    </row>
    <row r="715" spans="1:32" x14ac:dyDescent="0.35">
      <c r="A715" s="5">
        <f>ROW()-ROW(INDEX(Main[ردیف],1))+1</f>
        <v>713</v>
      </c>
      <c r="B715" s="31">
        <f>SUBTOTAL(2,INDEX(Main[ردیف],1):Main[[#This Row],[ردیف]])</f>
        <v>68</v>
      </c>
      <c r="C715" s="32" t="s">
        <v>583</v>
      </c>
      <c r="D715" s="32" t="str">
        <f>_xlfn.CONCAT("14",Main[[#This Row],[تاريخ]])</f>
        <v>1400/03/18</v>
      </c>
      <c r="E715" s="33">
        <v>44355</v>
      </c>
      <c r="F715" s="32">
        <v>10003</v>
      </c>
      <c r="G715" s="5" t="str">
        <f>INDEX(customer[عنوان],MATCH(Main[[#This Row],[کد ردیابی]],customer[کد],0))</f>
        <v>اصغر نورعلی</v>
      </c>
      <c r="H715">
        <v>-1938</v>
      </c>
      <c r="I715" s="6">
        <f ca="1">-Main[[#This Row],[بدهی تسویه شده (کیلوگرم)]]+Main[[#This Row],[بستانکار (کیلوگرم)]]</f>
        <v>-1938</v>
      </c>
      <c r="J715" s="6">
        <f>IF(Main[[#This Row],[مقدار (کیلوگرم)]]&gt;0,Main[[#This Row],[مقدار (کیلوگرم)]],0)</f>
        <v>0</v>
      </c>
      <c r="K715" s="6">
        <f>-IF(Main[[#This Row],[مقدار (کیلوگرم)]]&lt;0,Main[[#This Row],[مقدار (کیلوگرم)]],0)</f>
        <v>1938</v>
      </c>
      <c r="L7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5" s="7">
        <f>-IF(AND(Main[[#This Row],[مقدار (کیلوگرم)]]&lt;0,Main[[#This Row],[تاريخ میلادی]]&gt;44276),Main[[#This Row],[مقدار (کیلوگرم)]],0)</f>
        <v>1938</v>
      </c>
      <c r="N715" s="6">
        <f ca="1">Main[[#This Row],[بدهکار (کیلوگرم)]]-Main[[#This Row],[بدهی تسویه نشده (کیلوگرم)]]</f>
        <v>1938</v>
      </c>
      <c r="O715" s="6">
        <f ca="1">Main[[#This Row],[تفکیک]]</f>
        <v>0</v>
      </c>
      <c r="P715" s="6">
        <f ca="1">IF(Main[[#This Row],[تاخیر از سررسید]]&gt;0,Main[[#This Row],[بدهی تسویه نشده (کیلوگرم)]],0)</f>
        <v>0</v>
      </c>
      <c r="Q715" s="6">
        <f ca="1">IF(Main[[#This Row],[بدهی تسویه نشده (کیلوگرم)]]&gt;0,'گزارش فردی'!$B$7-Main[[#This Row],[تاريخ میلادی]],0)</f>
        <v>0</v>
      </c>
      <c r="R715" s="6">
        <f ca="1">IF(Main[[#This Row],[بدهی تسویه نشده (کیلوگرم)]]&gt;0,'گزارش فردی'!$B$7-Main[[#This Row],[تاريخ میلادی]]-'گزارش فردی'!$B$8,0)</f>
        <v>0</v>
      </c>
      <c r="S715" s="6">
        <f ca="1">Main[[#This Row],[روز از ارسال سفارش]]*Main[[#This Row],[بدهی تسویه نشده (کیلوگرم)]]</f>
        <v>0</v>
      </c>
      <c r="T715" s="6">
        <f ca="1">Main[[#This Row],[بدهی سررسید شده (کیلوگرم)]]*Main[[#This Row],[روز از ارسال سفارش]]</f>
        <v>0</v>
      </c>
      <c r="U715" s="6">
        <f>-SUBTOTAL(9,INDEX(Main[مقدار (کیلوگرم)],1):Main[[#This Row],[مقدار (کیلوگرم)]])</f>
        <v>36341</v>
      </c>
      <c r="V7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5" s="6">
        <f>Main[[#This Row],[تعداد کل روزهای بدهکار (روز)]]*Main[[#This Row],[مانده در خط کل (کیلوگرم)]]</f>
        <v>72682</v>
      </c>
      <c r="X715" s="6">
        <f ca="1">-SUBTOTAL(9,INDEX(Main[مقدار تسویه شده (کیلوگرم)],1):Main[[#This Row],[مقدار تسویه شده (کیلوگرم)]])</f>
        <v>36341</v>
      </c>
      <c r="Y715" s="6">
        <f ca="1">IF(Main[[#This Row],[مانده در خط تسویه شده (کیلوگرم)]]&lt;&gt;0,Main[[#This Row],[تعداد کل روزهای بدهکار (روز)]],0)</f>
        <v>2</v>
      </c>
      <c r="Z715" s="6">
        <f ca="1">Main[[#This Row],[تعداد روزهای بدهکار تسویه شده (روز)]]*Main[[#This Row],[مانده در خط تسویه شده (کیلوگرم)]]</f>
        <v>72682</v>
      </c>
      <c r="AA715" s="6">
        <f ca="1">SUBTOTAL(9,INDEX(Main[بدهی تسویه نشده (کیلوگرم)],1):Main[[#This Row],[بدهی تسویه نشده (کیلوگرم)]])</f>
        <v>0</v>
      </c>
      <c r="AB715" s="6">
        <f ca="1">IF(Main[[#This Row],[مانده در خط تسویه نشده (کیلوگرم)]]&lt;&gt;0,Main[[#This Row],[تعداد کل روزهای بدهکار (روز)]],0)</f>
        <v>0</v>
      </c>
      <c r="AC715" s="6">
        <f ca="1">Main[[#This Row],[تعداد روزهای بدهکار  تسویه نشده (روز)]]*Main[[#This Row],[مانده در خط تسویه نشده (کیلوگرم)]]</f>
        <v>0</v>
      </c>
      <c r="AD715" s="6">
        <f ca="1">SUBTOTAL(9,INDEX(Main[بدهی سررسید شده (کیلوگرم)],1):Main[[#This Row],[بدهی سررسید شده (کیلوگرم)]])</f>
        <v>0</v>
      </c>
      <c r="AE715" s="6">
        <f ca="1">IF(Main[[#This Row],[مانده در خط سررسید شده (کیلوگرم)]]&lt;&gt;0,Main[[#This Row],[تعداد کل روزهای بدهکار (روز)]],0)</f>
        <v>0</v>
      </c>
      <c r="AF715" s="6">
        <f ca="1">Main[[#This Row],[تعداد روزهای بدهکار سررسید شده (روز)]]*Main[[#This Row],[مانده در خط سررسید شده (کیلوگرم)]]</f>
        <v>0</v>
      </c>
    </row>
    <row r="716" spans="1:32" hidden="1" x14ac:dyDescent="0.35">
      <c r="A716" s="5">
        <f>ROW()-ROW(INDEX(Main[ردیف],1))+1</f>
        <v>714</v>
      </c>
      <c r="B716" s="31">
        <f>SUBTOTAL(2,INDEX(Main[ردیف],1):Main[[#This Row],[ردیف]])</f>
        <v>68</v>
      </c>
      <c r="C716" s="32" t="s">
        <v>583</v>
      </c>
      <c r="D716" s="32" t="str">
        <f>_xlfn.CONCAT("14",Main[[#This Row],[تاريخ]])</f>
        <v>1400/03/18</v>
      </c>
      <c r="E716" s="33">
        <v>44355</v>
      </c>
      <c r="F716" s="32">
        <v>30155</v>
      </c>
      <c r="G716" s="5" t="str">
        <f>INDEX(customer[عنوان],MATCH(Main[[#This Row],[کد ردیابی]],customer[کد],0))</f>
        <v>سری تراشی طاهری</v>
      </c>
      <c r="H716">
        <v>658</v>
      </c>
      <c r="I716" s="6">
        <f ca="1">-Main[[#This Row],[بدهی تسویه شده (کیلوگرم)]]+Main[[#This Row],[بستانکار (کیلوگرم)]]</f>
        <v>658</v>
      </c>
      <c r="J716" s="6">
        <f>IF(Main[[#This Row],[مقدار (کیلوگرم)]]&gt;0,Main[[#This Row],[مقدار (کیلوگرم)]],0)</f>
        <v>658</v>
      </c>
      <c r="K716" s="6">
        <f>-IF(Main[[#This Row],[مقدار (کیلوگرم)]]&lt;0,Main[[#This Row],[مقدار (کیلوگرم)]],0)</f>
        <v>0</v>
      </c>
      <c r="L7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6" s="7">
        <f>-IF(AND(Main[[#This Row],[مقدار (کیلوگرم)]]&lt;0,Main[[#This Row],[تاريخ میلادی]]&gt;44276),Main[[#This Row],[مقدار (کیلوگرم)]],0)</f>
        <v>0</v>
      </c>
      <c r="N716" s="6">
        <f ca="1">Main[[#This Row],[بدهکار (کیلوگرم)]]-Main[[#This Row],[بدهی تسویه نشده (کیلوگرم)]]</f>
        <v>0</v>
      </c>
      <c r="O716" s="6">
        <f ca="1">Main[[#This Row],[تفکیک]]</f>
        <v>0</v>
      </c>
      <c r="P716" s="6">
        <f ca="1">IF(Main[[#This Row],[تاخیر از سررسید]]&gt;0,Main[[#This Row],[بدهی تسویه نشده (کیلوگرم)]],0)</f>
        <v>0</v>
      </c>
      <c r="Q716" s="6">
        <f ca="1">IF(Main[[#This Row],[بدهی تسویه نشده (کیلوگرم)]]&gt;0,'گزارش فردی'!$B$7-Main[[#This Row],[تاريخ میلادی]],0)</f>
        <v>0</v>
      </c>
      <c r="R716" s="6">
        <f ca="1">IF(Main[[#This Row],[بدهی تسویه نشده (کیلوگرم)]]&gt;0,'گزارش فردی'!$B$7-Main[[#This Row],[تاريخ میلادی]]-'گزارش فردی'!$B$8,0)</f>
        <v>0</v>
      </c>
      <c r="S716" s="6">
        <f ca="1">Main[[#This Row],[روز از ارسال سفارش]]*Main[[#This Row],[بدهی تسویه نشده (کیلوگرم)]]</f>
        <v>0</v>
      </c>
      <c r="T716" s="6">
        <f ca="1">Main[[#This Row],[بدهی سررسید شده (کیلوگرم)]]*Main[[#This Row],[روز از ارسال سفارش]]</f>
        <v>0</v>
      </c>
      <c r="U716" s="6">
        <f>-SUBTOTAL(9,INDEX(Main[مقدار (کیلوگرم)],1):Main[[#This Row],[مقدار (کیلوگرم)]])</f>
        <v>36341</v>
      </c>
      <c r="V7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6" s="6">
        <f>Main[[#This Row],[تعداد کل روزهای بدهکار (روز)]]*Main[[#This Row],[مانده در خط کل (کیلوگرم)]]</f>
        <v>72682</v>
      </c>
      <c r="X716" s="6">
        <f ca="1">-SUBTOTAL(9,INDEX(Main[مقدار تسویه شده (کیلوگرم)],1):Main[[#This Row],[مقدار تسویه شده (کیلوگرم)]])</f>
        <v>36341</v>
      </c>
      <c r="Y716" s="6">
        <f ca="1">IF(Main[[#This Row],[مانده در خط تسویه شده (کیلوگرم)]]&lt;&gt;0,Main[[#This Row],[تعداد کل روزهای بدهکار (روز)]],0)</f>
        <v>2</v>
      </c>
      <c r="Z716" s="6">
        <f ca="1">Main[[#This Row],[تعداد روزهای بدهکار تسویه شده (روز)]]*Main[[#This Row],[مانده در خط تسویه شده (کیلوگرم)]]</f>
        <v>72682</v>
      </c>
      <c r="AA716" s="6">
        <f ca="1">SUBTOTAL(9,INDEX(Main[بدهی تسویه نشده (کیلوگرم)],1):Main[[#This Row],[بدهی تسویه نشده (کیلوگرم)]])</f>
        <v>0</v>
      </c>
      <c r="AB716" s="6">
        <f ca="1">IF(Main[[#This Row],[مانده در خط تسویه نشده (کیلوگرم)]]&lt;&gt;0,Main[[#This Row],[تعداد کل روزهای بدهکار (روز)]],0)</f>
        <v>0</v>
      </c>
      <c r="AC716" s="6">
        <f ca="1">Main[[#This Row],[تعداد روزهای بدهکار  تسویه نشده (روز)]]*Main[[#This Row],[مانده در خط تسویه نشده (کیلوگرم)]]</f>
        <v>0</v>
      </c>
      <c r="AD716" s="6">
        <f ca="1">SUBTOTAL(9,INDEX(Main[بدهی سررسید شده (کیلوگرم)],1):Main[[#This Row],[بدهی سررسید شده (کیلوگرم)]])</f>
        <v>0</v>
      </c>
      <c r="AE716" s="6">
        <f ca="1">IF(Main[[#This Row],[مانده در خط سررسید شده (کیلوگرم)]]&lt;&gt;0,Main[[#This Row],[تعداد کل روزهای بدهکار (روز)]],0)</f>
        <v>0</v>
      </c>
      <c r="AF716" s="6">
        <f ca="1">Main[[#This Row],[تعداد روزهای بدهکار سررسید شده (روز)]]*Main[[#This Row],[مانده در خط سررسید شده (کیلوگرم)]]</f>
        <v>0</v>
      </c>
    </row>
    <row r="717" spans="1:32" hidden="1" x14ac:dyDescent="0.35">
      <c r="A717" s="5">
        <f>ROW()-ROW(INDEX(Main[ردیف],1))+1</f>
        <v>715</v>
      </c>
      <c r="B717" s="31">
        <f>SUBTOTAL(2,INDEX(Main[ردیف],1):Main[[#This Row],[ردیف]])</f>
        <v>68</v>
      </c>
      <c r="C717" s="32" t="s">
        <v>583</v>
      </c>
      <c r="D717" s="32" t="str">
        <f>_xlfn.CONCAT("14",Main[[#This Row],[تاريخ]])</f>
        <v>1400/03/18</v>
      </c>
      <c r="E717" s="33">
        <v>44355</v>
      </c>
      <c r="F717" s="32">
        <v>30081</v>
      </c>
      <c r="G717" s="5" t="str">
        <f>INDEX(customer[عنوان],MATCH(Main[[#This Row],[کد ردیابی]],customer[کد],0))</f>
        <v xml:space="preserve">شیرآلات بهداشتی راسان </v>
      </c>
      <c r="H717">
        <v>-5655</v>
      </c>
      <c r="I717" s="6">
        <f ca="1">-Main[[#This Row],[بدهی تسویه شده (کیلوگرم)]]+Main[[#This Row],[بستانکار (کیلوگرم)]]</f>
        <v>-5655</v>
      </c>
      <c r="J717" s="6">
        <f>IF(Main[[#This Row],[مقدار (کیلوگرم)]]&gt;0,Main[[#This Row],[مقدار (کیلوگرم)]],0)</f>
        <v>0</v>
      </c>
      <c r="K717" s="6">
        <f>-IF(Main[[#This Row],[مقدار (کیلوگرم)]]&lt;0,Main[[#This Row],[مقدار (کیلوگرم)]],0)</f>
        <v>5655</v>
      </c>
      <c r="L7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7" s="7">
        <f>-IF(AND(Main[[#This Row],[مقدار (کیلوگرم)]]&lt;0,Main[[#This Row],[تاريخ میلادی]]&gt;44276),Main[[#This Row],[مقدار (کیلوگرم)]],0)</f>
        <v>5655</v>
      </c>
      <c r="N717" s="6">
        <f ca="1">Main[[#This Row],[بدهکار (کیلوگرم)]]-Main[[#This Row],[بدهی تسویه نشده (کیلوگرم)]]</f>
        <v>5655</v>
      </c>
      <c r="O717" s="6">
        <f ca="1">Main[[#This Row],[تفکیک]]</f>
        <v>0</v>
      </c>
      <c r="P717" s="6">
        <f ca="1">IF(Main[[#This Row],[تاخیر از سررسید]]&gt;0,Main[[#This Row],[بدهی تسویه نشده (کیلوگرم)]],0)</f>
        <v>0</v>
      </c>
      <c r="Q717" s="6">
        <f ca="1">IF(Main[[#This Row],[بدهی تسویه نشده (کیلوگرم)]]&gt;0,'گزارش فردی'!$B$7-Main[[#This Row],[تاريخ میلادی]],0)</f>
        <v>0</v>
      </c>
      <c r="R717" s="6">
        <f ca="1">IF(Main[[#This Row],[بدهی تسویه نشده (کیلوگرم)]]&gt;0,'گزارش فردی'!$B$7-Main[[#This Row],[تاريخ میلادی]]-'گزارش فردی'!$B$8,0)</f>
        <v>0</v>
      </c>
      <c r="S717" s="6">
        <f ca="1">Main[[#This Row],[روز از ارسال سفارش]]*Main[[#This Row],[بدهی تسویه نشده (کیلوگرم)]]</f>
        <v>0</v>
      </c>
      <c r="T717" s="6">
        <f ca="1">Main[[#This Row],[بدهی سررسید شده (کیلوگرم)]]*Main[[#This Row],[روز از ارسال سفارش]]</f>
        <v>0</v>
      </c>
      <c r="U717" s="6">
        <f>-SUBTOTAL(9,INDEX(Main[مقدار (کیلوگرم)],1):Main[[#This Row],[مقدار (کیلوگرم)]])</f>
        <v>36341</v>
      </c>
      <c r="V7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7" s="6">
        <f>Main[[#This Row],[تعداد کل روزهای بدهکار (روز)]]*Main[[#This Row],[مانده در خط کل (کیلوگرم)]]</f>
        <v>72682</v>
      </c>
      <c r="X717" s="6">
        <f ca="1">-SUBTOTAL(9,INDEX(Main[مقدار تسویه شده (کیلوگرم)],1):Main[[#This Row],[مقدار تسویه شده (کیلوگرم)]])</f>
        <v>36341</v>
      </c>
      <c r="Y717" s="6">
        <f ca="1">IF(Main[[#This Row],[مانده در خط تسویه شده (کیلوگرم)]]&lt;&gt;0,Main[[#This Row],[تعداد کل روزهای بدهکار (روز)]],0)</f>
        <v>2</v>
      </c>
      <c r="Z717" s="6">
        <f ca="1">Main[[#This Row],[تعداد روزهای بدهکار تسویه شده (روز)]]*Main[[#This Row],[مانده در خط تسویه شده (کیلوگرم)]]</f>
        <v>72682</v>
      </c>
      <c r="AA717" s="6">
        <f ca="1">SUBTOTAL(9,INDEX(Main[بدهی تسویه نشده (کیلوگرم)],1):Main[[#This Row],[بدهی تسویه نشده (کیلوگرم)]])</f>
        <v>0</v>
      </c>
      <c r="AB717" s="6">
        <f ca="1">IF(Main[[#This Row],[مانده در خط تسویه نشده (کیلوگرم)]]&lt;&gt;0,Main[[#This Row],[تعداد کل روزهای بدهکار (روز)]],0)</f>
        <v>0</v>
      </c>
      <c r="AC717" s="6">
        <f ca="1">Main[[#This Row],[تعداد روزهای بدهکار  تسویه نشده (روز)]]*Main[[#This Row],[مانده در خط تسویه نشده (کیلوگرم)]]</f>
        <v>0</v>
      </c>
      <c r="AD717" s="6">
        <f ca="1">SUBTOTAL(9,INDEX(Main[بدهی سررسید شده (کیلوگرم)],1):Main[[#This Row],[بدهی سررسید شده (کیلوگرم)]])</f>
        <v>0</v>
      </c>
      <c r="AE717" s="6">
        <f ca="1">IF(Main[[#This Row],[مانده در خط سررسید شده (کیلوگرم)]]&lt;&gt;0,Main[[#This Row],[تعداد کل روزهای بدهکار (روز)]],0)</f>
        <v>0</v>
      </c>
      <c r="AF717" s="6">
        <f ca="1">Main[[#This Row],[تعداد روزهای بدهکار سررسید شده (روز)]]*Main[[#This Row],[مانده در خط سررسید شده (کیلوگرم)]]</f>
        <v>0</v>
      </c>
    </row>
    <row r="718" spans="1:32" hidden="1" x14ac:dyDescent="0.35">
      <c r="A718" s="5">
        <f>ROW()-ROW(INDEX(Main[ردیف],1))+1</f>
        <v>716</v>
      </c>
      <c r="B718" s="31">
        <f>SUBTOTAL(2,INDEX(Main[ردیف],1):Main[[#This Row],[ردیف]])</f>
        <v>68</v>
      </c>
      <c r="C718" s="32" t="s">
        <v>583</v>
      </c>
      <c r="D718" s="32" t="str">
        <f>_xlfn.CONCAT("14",Main[[#This Row],[تاريخ]])</f>
        <v>1400/03/18</v>
      </c>
      <c r="E718" s="33">
        <v>44355</v>
      </c>
      <c r="F718" s="32">
        <v>10048</v>
      </c>
      <c r="G718" s="5" t="str">
        <f>INDEX(customer[عنوان],MATCH(Main[[#This Row],[کد ردیابی]],customer[کد],0))</f>
        <v xml:space="preserve">حسام کریمان  </v>
      </c>
      <c r="H718">
        <v>466</v>
      </c>
      <c r="I718" s="6">
        <f ca="1">-Main[[#This Row],[بدهی تسویه شده (کیلوگرم)]]+Main[[#This Row],[بستانکار (کیلوگرم)]]</f>
        <v>466</v>
      </c>
      <c r="J718" s="6">
        <f>IF(Main[[#This Row],[مقدار (کیلوگرم)]]&gt;0,Main[[#This Row],[مقدار (کیلوگرم)]],0)</f>
        <v>466</v>
      </c>
      <c r="K718" s="6">
        <f>-IF(Main[[#This Row],[مقدار (کیلوگرم)]]&lt;0,Main[[#This Row],[مقدار (کیلوگرم)]],0)</f>
        <v>0</v>
      </c>
      <c r="L7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8" s="7">
        <f>-IF(AND(Main[[#This Row],[مقدار (کیلوگرم)]]&lt;0,Main[[#This Row],[تاريخ میلادی]]&gt;44276),Main[[#This Row],[مقدار (کیلوگرم)]],0)</f>
        <v>0</v>
      </c>
      <c r="N718" s="6">
        <f ca="1">Main[[#This Row],[بدهکار (کیلوگرم)]]-Main[[#This Row],[بدهی تسویه نشده (کیلوگرم)]]</f>
        <v>0</v>
      </c>
      <c r="O718" s="6">
        <f ca="1">Main[[#This Row],[تفکیک]]</f>
        <v>0</v>
      </c>
      <c r="P718" s="6">
        <f ca="1">IF(Main[[#This Row],[تاخیر از سررسید]]&gt;0,Main[[#This Row],[بدهی تسویه نشده (کیلوگرم)]],0)</f>
        <v>0</v>
      </c>
      <c r="Q718" s="6">
        <f ca="1">IF(Main[[#This Row],[بدهی تسویه نشده (کیلوگرم)]]&gt;0,'گزارش فردی'!$B$7-Main[[#This Row],[تاريخ میلادی]],0)</f>
        <v>0</v>
      </c>
      <c r="R718" s="6">
        <f ca="1">IF(Main[[#This Row],[بدهی تسویه نشده (کیلوگرم)]]&gt;0,'گزارش فردی'!$B$7-Main[[#This Row],[تاريخ میلادی]]-'گزارش فردی'!$B$8,0)</f>
        <v>0</v>
      </c>
      <c r="S718" s="6">
        <f ca="1">Main[[#This Row],[روز از ارسال سفارش]]*Main[[#This Row],[بدهی تسویه نشده (کیلوگرم)]]</f>
        <v>0</v>
      </c>
      <c r="T718" s="6">
        <f ca="1">Main[[#This Row],[بدهی سررسید شده (کیلوگرم)]]*Main[[#This Row],[روز از ارسال سفارش]]</f>
        <v>0</v>
      </c>
      <c r="U718" s="6">
        <f>-SUBTOTAL(9,INDEX(Main[مقدار (کیلوگرم)],1):Main[[#This Row],[مقدار (کیلوگرم)]])</f>
        <v>36341</v>
      </c>
      <c r="V71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8" s="6">
        <f>Main[[#This Row],[تعداد کل روزهای بدهکار (روز)]]*Main[[#This Row],[مانده در خط کل (کیلوگرم)]]</f>
        <v>72682</v>
      </c>
      <c r="X718" s="6">
        <f ca="1">-SUBTOTAL(9,INDEX(Main[مقدار تسویه شده (کیلوگرم)],1):Main[[#This Row],[مقدار تسویه شده (کیلوگرم)]])</f>
        <v>36341</v>
      </c>
      <c r="Y718" s="6">
        <f ca="1">IF(Main[[#This Row],[مانده در خط تسویه شده (کیلوگرم)]]&lt;&gt;0,Main[[#This Row],[تعداد کل روزهای بدهکار (روز)]],0)</f>
        <v>2</v>
      </c>
      <c r="Z718" s="6">
        <f ca="1">Main[[#This Row],[تعداد روزهای بدهکار تسویه شده (روز)]]*Main[[#This Row],[مانده در خط تسویه شده (کیلوگرم)]]</f>
        <v>72682</v>
      </c>
      <c r="AA718" s="6">
        <f ca="1">SUBTOTAL(9,INDEX(Main[بدهی تسویه نشده (کیلوگرم)],1):Main[[#This Row],[بدهی تسویه نشده (کیلوگرم)]])</f>
        <v>0</v>
      </c>
      <c r="AB718" s="6">
        <f ca="1">IF(Main[[#This Row],[مانده در خط تسویه نشده (کیلوگرم)]]&lt;&gt;0,Main[[#This Row],[تعداد کل روزهای بدهکار (روز)]],0)</f>
        <v>0</v>
      </c>
      <c r="AC718" s="6">
        <f ca="1">Main[[#This Row],[تعداد روزهای بدهکار  تسویه نشده (روز)]]*Main[[#This Row],[مانده در خط تسویه نشده (کیلوگرم)]]</f>
        <v>0</v>
      </c>
      <c r="AD718" s="6">
        <f ca="1">SUBTOTAL(9,INDEX(Main[بدهی سررسید شده (کیلوگرم)],1):Main[[#This Row],[بدهی سررسید شده (کیلوگرم)]])</f>
        <v>0</v>
      </c>
      <c r="AE718" s="6">
        <f ca="1">IF(Main[[#This Row],[مانده در خط سررسید شده (کیلوگرم)]]&lt;&gt;0,Main[[#This Row],[تعداد کل روزهای بدهکار (روز)]],0)</f>
        <v>0</v>
      </c>
      <c r="AF718" s="6">
        <f ca="1">Main[[#This Row],[تعداد روزهای بدهکار سررسید شده (روز)]]*Main[[#This Row],[مانده در خط سررسید شده (کیلوگرم)]]</f>
        <v>0</v>
      </c>
    </row>
    <row r="719" spans="1:32" hidden="1" x14ac:dyDescent="0.35">
      <c r="A719" s="5">
        <f>ROW()-ROW(INDEX(Main[ردیف],1))+1</f>
        <v>717</v>
      </c>
      <c r="B719" s="31">
        <f>SUBTOTAL(2,INDEX(Main[ردیف],1):Main[[#This Row],[ردیف]])</f>
        <v>68</v>
      </c>
      <c r="C719" s="32" t="s">
        <v>583</v>
      </c>
      <c r="D719" s="32" t="str">
        <f>_xlfn.CONCAT("14",Main[[#This Row],[تاريخ]])</f>
        <v>1400/03/18</v>
      </c>
      <c r="E719" s="33">
        <v>44355</v>
      </c>
      <c r="F719" s="32">
        <v>30004</v>
      </c>
      <c r="G719" s="5" t="str">
        <f>INDEX(customer[عنوان],MATCH(Main[[#This Row],[کد ردیابی]],customer[کد],0))</f>
        <v>تولیدی صنعتی صفاشیر پارس</v>
      </c>
      <c r="H719">
        <v>-4477</v>
      </c>
      <c r="I719" s="6">
        <f ca="1">-Main[[#This Row],[بدهی تسویه شده (کیلوگرم)]]+Main[[#This Row],[بستانکار (کیلوگرم)]]</f>
        <v>-4477</v>
      </c>
      <c r="J719" s="6">
        <f>IF(Main[[#This Row],[مقدار (کیلوگرم)]]&gt;0,Main[[#This Row],[مقدار (کیلوگرم)]],0)</f>
        <v>0</v>
      </c>
      <c r="K719" s="6">
        <f>-IF(Main[[#This Row],[مقدار (کیلوگرم)]]&lt;0,Main[[#This Row],[مقدار (کیلوگرم)]],0)</f>
        <v>4477</v>
      </c>
      <c r="L7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9" s="7">
        <f>-IF(AND(Main[[#This Row],[مقدار (کیلوگرم)]]&lt;0,Main[[#This Row],[تاريخ میلادی]]&gt;44276),Main[[#This Row],[مقدار (کیلوگرم)]],0)</f>
        <v>4477</v>
      </c>
      <c r="N719" s="6">
        <f ca="1">Main[[#This Row],[بدهکار (کیلوگرم)]]-Main[[#This Row],[بدهی تسویه نشده (کیلوگرم)]]</f>
        <v>4477</v>
      </c>
      <c r="O719" s="6">
        <f ca="1">Main[[#This Row],[تفکیک]]</f>
        <v>0</v>
      </c>
      <c r="P719" s="6">
        <f ca="1">IF(Main[[#This Row],[تاخیر از سررسید]]&gt;0,Main[[#This Row],[بدهی تسویه نشده (کیلوگرم)]],0)</f>
        <v>0</v>
      </c>
      <c r="Q719" s="6">
        <f ca="1">IF(Main[[#This Row],[بدهی تسویه نشده (کیلوگرم)]]&gt;0,'گزارش فردی'!$B$7-Main[[#This Row],[تاريخ میلادی]],0)</f>
        <v>0</v>
      </c>
      <c r="R719" s="6">
        <f ca="1">IF(Main[[#This Row],[بدهی تسویه نشده (کیلوگرم)]]&gt;0,'گزارش فردی'!$B$7-Main[[#This Row],[تاريخ میلادی]]-'گزارش فردی'!$B$8,0)</f>
        <v>0</v>
      </c>
      <c r="S719" s="6">
        <f ca="1">Main[[#This Row],[روز از ارسال سفارش]]*Main[[#This Row],[بدهی تسویه نشده (کیلوگرم)]]</f>
        <v>0</v>
      </c>
      <c r="T719" s="6">
        <f ca="1">Main[[#This Row],[بدهی سررسید شده (کیلوگرم)]]*Main[[#This Row],[روز از ارسال سفارش]]</f>
        <v>0</v>
      </c>
      <c r="U719" s="6">
        <f>-SUBTOTAL(9,INDEX(Main[مقدار (کیلوگرم)],1):Main[[#This Row],[مقدار (کیلوگرم)]])</f>
        <v>36341</v>
      </c>
      <c r="V71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9" s="6">
        <f>Main[[#This Row],[تعداد کل روزهای بدهکار (روز)]]*Main[[#This Row],[مانده در خط کل (کیلوگرم)]]</f>
        <v>72682</v>
      </c>
      <c r="X719" s="6">
        <f ca="1">-SUBTOTAL(9,INDEX(Main[مقدار تسویه شده (کیلوگرم)],1):Main[[#This Row],[مقدار تسویه شده (کیلوگرم)]])</f>
        <v>36341</v>
      </c>
      <c r="Y719" s="6">
        <f ca="1">IF(Main[[#This Row],[مانده در خط تسویه شده (کیلوگرم)]]&lt;&gt;0,Main[[#This Row],[تعداد کل روزهای بدهکار (روز)]],0)</f>
        <v>2</v>
      </c>
      <c r="Z719" s="6">
        <f ca="1">Main[[#This Row],[تعداد روزهای بدهکار تسویه شده (روز)]]*Main[[#This Row],[مانده در خط تسویه شده (کیلوگرم)]]</f>
        <v>72682</v>
      </c>
      <c r="AA719" s="6">
        <f ca="1">SUBTOTAL(9,INDEX(Main[بدهی تسویه نشده (کیلوگرم)],1):Main[[#This Row],[بدهی تسویه نشده (کیلوگرم)]])</f>
        <v>0</v>
      </c>
      <c r="AB719" s="6">
        <f ca="1">IF(Main[[#This Row],[مانده در خط تسویه نشده (کیلوگرم)]]&lt;&gt;0,Main[[#This Row],[تعداد کل روزهای بدهکار (روز)]],0)</f>
        <v>0</v>
      </c>
      <c r="AC719" s="6">
        <f ca="1">Main[[#This Row],[تعداد روزهای بدهکار  تسویه نشده (روز)]]*Main[[#This Row],[مانده در خط تسویه نشده (کیلوگرم)]]</f>
        <v>0</v>
      </c>
      <c r="AD719" s="6">
        <f ca="1">SUBTOTAL(9,INDEX(Main[بدهی سررسید شده (کیلوگرم)],1):Main[[#This Row],[بدهی سررسید شده (کیلوگرم)]])</f>
        <v>0</v>
      </c>
      <c r="AE719" s="6">
        <f ca="1">IF(Main[[#This Row],[مانده در خط سررسید شده (کیلوگرم)]]&lt;&gt;0,Main[[#This Row],[تعداد کل روزهای بدهکار (روز)]],0)</f>
        <v>0</v>
      </c>
      <c r="AF719" s="6">
        <f ca="1">Main[[#This Row],[تعداد روزهای بدهکار سررسید شده (روز)]]*Main[[#This Row],[مانده در خط سررسید شده (کیلوگرم)]]</f>
        <v>0</v>
      </c>
    </row>
    <row r="720" spans="1:32" hidden="1" x14ac:dyDescent="0.35">
      <c r="A720" s="5">
        <f>ROW()-ROW(INDEX(Main[ردیف],1))+1</f>
        <v>718</v>
      </c>
      <c r="B720" s="31">
        <f>SUBTOTAL(2,INDEX(Main[ردیف],1):Main[[#This Row],[ردیف]])</f>
        <v>68</v>
      </c>
      <c r="C720" s="32" t="s">
        <v>583</v>
      </c>
      <c r="D720" s="32" t="str">
        <f>_xlfn.CONCAT("14",Main[[#This Row],[تاريخ]])</f>
        <v>1400/03/18</v>
      </c>
      <c r="E720" s="33">
        <v>44355</v>
      </c>
      <c r="F720" s="32">
        <v>10026</v>
      </c>
      <c r="G720" s="5" t="str">
        <f>INDEX(customer[عنوان],MATCH(Main[[#This Row],[کد ردیابی]],customer[کد],0))</f>
        <v xml:space="preserve">محسن فیاض بخش </v>
      </c>
      <c r="H720">
        <v>2754</v>
      </c>
      <c r="I720" s="6">
        <f ca="1">-Main[[#This Row],[بدهی تسویه شده (کیلوگرم)]]+Main[[#This Row],[بستانکار (کیلوگرم)]]</f>
        <v>2754</v>
      </c>
      <c r="J720" s="6">
        <f>IF(Main[[#This Row],[مقدار (کیلوگرم)]]&gt;0,Main[[#This Row],[مقدار (کیلوگرم)]],0)</f>
        <v>2754</v>
      </c>
      <c r="K720" s="6">
        <f>-IF(Main[[#This Row],[مقدار (کیلوگرم)]]&lt;0,Main[[#This Row],[مقدار (کیلوگرم)]],0)</f>
        <v>0</v>
      </c>
      <c r="L7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0" s="7">
        <f>-IF(AND(Main[[#This Row],[مقدار (کیلوگرم)]]&lt;0,Main[[#This Row],[تاريخ میلادی]]&gt;44276),Main[[#This Row],[مقدار (کیلوگرم)]],0)</f>
        <v>0</v>
      </c>
      <c r="N720" s="6">
        <f ca="1">Main[[#This Row],[بدهکار (کیلوگرم)]]-Main[[#This Row],[بدهی تسویه نشده (کیلوگرم)]]</f>
        <v>0</v>
      </c>
      <c r="O720" s="6">
        <f ca="1">Main[[#This Row],[تفکیک]]</f>
        <v>0</v>
      </c>
      <c r="P720" s="6">
        <f ca="1">IF(Main[[#This Row],[تاخیر از سررسید]]&gt;0,Main[[#This Row],[بدهی تسویه نشده (کیلوگرم)]],0)</f>
        <v>0</v>
      </c>
      <c r="Q720" s="6">
        <f ca="1">IF(Main[[#This Row],[بدهی تسویه نشده (کیلوگرم)]]&gt;0,'گزارش فردی'!$B$7-Main[[#This Row],[تاريخ میلادی]],0)</f>
        <v>0</v>
      </c>
      <c r="R720" s="6">
        <f ca="1">IF(Main[[#This Row],[بدهی تسویه نشده (کیلوگرم)]]&gt;0,'گزارش فردی'!$B$7-Main[[#This Row],[تاريخ میلادی]]-'گزارش فردی'!$B$8,0)</f>
        <v>0</v>
      </c>
      <c r="S720" s="6">
        <f ca="1">Main[[#This Row],[روز از ارسال سفارش]]*Main[[#This Row],[بدهی تسویه نشده (کیلوگرم)]]</f>
        <v>0</v>
      </c>
      <c r="T720" s="6">
        <f ca="1">Main[[#This Row],[بدهی سررسید شده (کیلوگرم)]]*Main[[#This Row],[روز از ارسال سفارش]]</f>
        <v>0</v>
      </c>
      <c r="U720" s="6">
        <f>-SUBTOTAL(9,INDEX(Main[مقدار (کیلوگرم)],1):Main[[#This Row],[مقدار (کیلوگرم)]])</f>
        <v>36341</v>
      </c>
      <c r="V72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0" s="6">
        <f>Main[[#This Row],[تعداد کل روزهای بدهکار (روز)]]*Main[[#This Row],[مانده در خط کل (کیلوگرم)]]</f>
        <v>72682</v>
      </c>
      <c r="X720" s="6">
        <f ca="1">-SUBTOTAL(9,INDEX(Main[مقدار تسویه شده (کیلوگرم)],1):Main[[#This Row],[مقدار تسویه شده (کیلوگرم)]])</f>
        <v>36341</v>
      </c>
      <c r="Y720" s="6">
        <f ca="1">IF(Main[[#This Row],[مانده در خط تسویه شده (کیلوگرم)]]&lt;&gt;0,Main[[#This Row],[تعداد کل روزهای بدهکار (روز)]],0)</f>
        <v>2</v>
      </c>
      <c r="Z720" s="6">
        <f ca="1">Main[[#This Row],[تعداد روزهای بدهکار تسویه شده (روز)]]*Main[[#This Row],[مانده در خط تسویه شده (کیلوگرم)]]</f>
        <v>72682</v>
      </c>
      <c r="AA720" s="6">
        <f ca="1">SUBTOTAL(9,INDEX(Main[بدهی تسویه نشده (کیلوگرم)],1):Main[[#This Row],[بدهی تسویه نشده (کیلوگرم)]])</f>
        <v>0</v>
      </c>
      <c r="AB720" s="6">
        <f ca="1">IF(Main[[#This Row],[مانده در خط تسویه نشده (کیلوگرم)]]&lt;&gt;0,Main[[#This Row],[تعداد کل روزهای بدهکار (روز)]],0)</f>
        <v>0</v>
      </c>
      <c r="AC720" s="6">
        <f ca="1">Main[[#This Row],[تعداد روزهای بدهکار  تسویه نشده (روز)]]*Main[[#This Row],[مانده در خط تسویه نشده (کیلوگرم)]]</f>
        <v>0</v>
      </c>
      <c r="AD720" s="6">
        <f ca="1">SUBTOTAL(9,INDEX(Main[بدهی سررسید شده (کیلوگرم)],1):Main[[#This Row],[بدهی سررسید شده (کیلوگرم)]])</f>
        <v>0</v>
      </c>
      <c r="AE720" s="6">
        <f ca="1">IF(Main[[#This Row],[مانده در خط سررسید شده (کیلوگرم)]]&lt;&gt;0,Main[[#This Row],[تعداد کل روزهای بدهکار (روز)]],0)</f>
        <v>0</v>
      </c>
      <c r="AF720" s="6">
        <f ca="1">Main[[#This Row],[تعداد روزهای بدهکار سررسید شده (روز)]]*Main[[#This Row],[مانده در خط سررسید شده (کیلوگرم)]]</f>
        <v>0</v>
      </c>
    </row>
    <row r="721" spans="1:32" hidden="1" x14ac:dyDescent="0.35">
      <c r="A721" s="5">
        <f>ROW()-ROW(INDEX(Main[ردیف],1))+1</f>
        <v>719</v>
      </c>
      <c r="B721" s="31">
        <f>SUBTOTAL(2,INDEX(Main[ردیف],1):Main[[#This Row],[ردیف]])</f>
        <v>68</v>
      </c>
      <c r="C721" s="32" t="s">
        <v>583</v>
      </c>
      <c r="D721" s="32" t="str">
        <f>_xlfn.CONCAT("14",Main[[#This Row],[تاريخ]])</f>
        <v>1400/03/18</v>
      </c>
      <c r="E721" s="33">
        <v>44355</v>
      </c>
      <c r="F721" s="32">
        <v>30127</v>
      </c>
      <c r="G721" s="5" t="str">
        <f>INDEX(customer[عنوان],MATCH(Main[[#This Row],[کد ردیابی]],customer[کد],0))</f>
        <v>شیر گاز آذران</v>
      </c>
      <c r="H721">
        <v>14936</v>
      </c>
      <c r="I721" s="6">
        <f ca="1">-Main[[#This Row],[بدهی تسویه شده (کیلوگرم)]]+Main[[#This Row],[بستانکار (کیلوگرم)]]</f>
        <v>14936</v>
      </c>
      <c r="J721" s="6">
        <f>IF(Main[[#This Row],[مقدار (کیلوگرم)]]&gt;0,Main[[#This Row],[مقدار (کیلوگرم)]],0)</f>
        <v>14936</v>
      </c>
      <c r="K721" s="6">
        <f>-IF(Main[[#This Row],[مقدار (کیلوگرم)]]&lt;0,Main[[#This Row],[مقدار (کیلوگرم)]],0)</f>
        <v>0</v>
      </c>
      <c r="L7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1" s="7">
        <f>-IF(AND(Main[[#This Row],[مقدار (کیلوگرم)]]&lt;0,Main[[#This Row],[تاريخ میلادی]]&gt;44276),Main[[#This Row],[مقدار (کیلوگرم)]],0)</f>
        <v>0</v>
      </c>
      <c r="N721" s="6">
        <f ca="1">Main[[#This Row],[بدهکار (کیلوگرم)]]-Main[[#This Row],[بدهی تسویه نشده (کیلوگرم)]]</f>
        <v>0</v>
      </c>
      <c r="O721" s="6">
        <f ca="1">Main[[#This Row],[تفکیک]]</f>
        <v>0</v>
      </c>
      <c r="P721" s="6">
        <f ca="1">IF(Main[[#This Row],[تاخیر از سررسید]]&gt;0,Main[[#This Row],[بدهی تسویه نشده (کیلوگرم)]],0)</f>
        <v>0</v>
      </c>
      <c r="Q721" s="6">
        <f ca="1">IF(Main[[#This Row],[بدهی تسویه نشده (کیلوگرم)]]&gt;0,'گزارش فردی'!$B$7-Main[[#This Row],[تاريخ میلادی]],0)</f>
        <v>0</v>
      </c>
      <c r="R721" s="6">
        <f ca="1">IF(Main[[#This Row],[بدهی تسویه نشده (کیلوگرم)]]&gt;0,'گزارش فردی'!$B$7-Main[[#This Row],[تاريخ میلادی]]-'گزارش فردی'!$B$8,0)</f>
        <v>0</v>
      </c>
      <c r="S721" s="6">
        <f ca="1">Main[[#This Row],[روز از ارسال سفارش]]*Main[[#This Row],[بدهی تسویه نشده (کیلوگرم)]]</f>
        <v>0</v>
      </c>
      <c r="T721" s="6">
        <f ca="1">Main[[#This Row],[بدهی سررسید شده (کیلوگرم)]]*Main[[#This Row],[روز از ارسال سفارش]]</f>
        <v>0</v>
      </c>
      <c r="U721" s="6">
        <f>-SUBTOTAL(9,INDEX(Main[مقدار (کیلوگرم)],1):Main[[#This Row],[مقدار (کیلوگرم)]])</f>
        <v>36341</v>
      </c>
      <c r="V72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1" s="6">
        <f>Main[[#This Row],[تعداد کل روزهای بدهکار (روز)]]*Main[[#This Row],[مانده در خط کل (کیلوگرم)]]</f>
        <v>72682</v>
      </c>
      <c r="X721" s="6">
        <f ca="1">-SUBTOTAL(9,INDEX(Main[مقدار تسویه شده (کیلوگرم)],1):Main[[#This Row],[مقدار تسویه شده (کیلوگرم)]])</f>
        <v>36341</v>
      </c>
      <c r="Y721" s="6">
        <f ca="1">IF(Main[[#This Row],[مانده در خط تسویه شده (کیلوگرم)]]&lt;&gt;0,Main[[#This Row],[تعداد کل روزهای بدهکار (روز)]],0)</f>
        <v>2</v>
      </c>
      <c r="Z721" s="6">
        <f ca="1">Main[[#This Row],[تعداد روزهای بدهکار تسویه شده (روز)]]*Main[[#This Row],[مانده در خط تسویه شده (کیلوگرم)]]</f>
        <v>72682</v>
      </c>
      <c r="AA721" s="6">
        <f ca="1">SUBTOTAL(9,INDEX(Main[بدهی تسویه نشده (کیلوگرم)],1):Main[[#This Row],[بدهی تسویه نشده (کیلوگرم)]])</f>
        <v>0</v>
      </c>
      <c r="AB721" s="6">
        <f ca="1">IF(Main[[#This Row],[مانده در خط تسویه نشده (کیلوگرم)]]&lt;&gt;0,Main[[#This Row],[تعداد کل روزهای بدهکار (روز)]],0)</f>
        <v>0</v>
      </c>
      <c r="AC721" s="6">
        <f ca="1">Main[[#This Row],[تعداد روزهای بدهکار  تسویه نشده (روز)]]*Main[[#This Row],[مانده در خط تسویه نشده (کیلوگرم)]]</f>
        <v>0</v>
      </c>
      <c r="AD721" s="6">
        <f ca="1">SUBTOTAL(9,INDEX(Main[بدهی سررسید شده (کیلوگرم)],1):Main[[#This Row],[بدهی سررسید شده (کیلوگرم)]])</f>
        <v>0</v>
      </c>
      <c r="AE721" s="6">
        <f ca="1">IF(Main[[#This Row],[مانده در خط سررسید شده (کیلوگرم)]]&lt;&gt;0,Main[[#This Row],[تعداد کل روزهای بدهکار (روز)]],0)</f>
        <v>0</v>
      </c>
      <c r="AF721" s="6">
        <f ca="1">Main[[#This Row],[تعداد روزهای بدهکار سررسید شده (روز)]]*Main[[#This Row],[مانده در خط سررسید شده (کیلوگرم)]]</f>
        <v>0</v>
      </c>
    </row>
    <row r="722" spans="1:32" hidden="1" x14ac:dyDescent="0.35">
      <c r="A722" s="5">
        <f>ROW()-ROW(INDEX(Main[ردیف],1))+1</f>
        <v>720</v>
      </c>
      <c r="B722" s="31">
        <f>SUBTOTAL(2,INDEX(Main[ردیف],1):Main[[#This Row],[ردیف]])</f>
        <v>68</v>
      </c>
      <c r="C722" s="32" t="s">
        <v>583</v>
      </c>
      <c r="D722" s="32" t="str">
        <f>_xlfn.CONCAT("14",Main[[#This Row],[تاريخ]])</f>
        <v>1400/03/18</v>
      </c>
      <c r="E722" s="33">
        <v>44355</v>
      </c>
      <c r="F722" s="32">
        <v>30004</v>
      </c>
      <c r="G722" s="5" t="str">
        <f>INDEX(customer[عنوان],MATCH(Main[[#This Row],[کد ردیابی]],customer[کد],0))</f>
        <v>تولیدی صنعتی صفاشیر پارس</v>
      </c>
      <c r="H722">
        <v>1668</v>
      </c>
      <c r="I722" s="6">
        <f ca="1">-Main[[#This Row],[بدهی تسویه شده (کیلوگرم)]]+Main[[#This Row],[بستانکار (کیلوگرم)]]</f>
        <v>1668</v>
      </c>
      <c r="J722" s="6">
        <f>IF(Main[[#This Row],[مقدار (کیلوگرم)]]&gt;0,Main[[#This Row],[مقدار (کیلوگرم)]],0)</f>
        <v>1668</v>
      </c>
      <c r="K722" s="6">
        <f>-IF(Main[[#This Row],[مقدار (کیلوگرم)]]&lt;0,Main[[#This Row],[مقدار (کیلوگرم)]],0)</f>
        <v>0</v>
      </c>
      <c r="L7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2" s="7">
        <f>-IF(AND(Main[[#This Row],[مقدار (کیلوگرم)]]&lt;0,Main[[#This Row],[تاريخ میلادی]]&gt;44276),Main[[#This Row],[مقدار (کیلوگرم)]],0)</f>
        <v>0</v>
      </c>
      <c r="N722" s="6">
        <f ca="1">Main[[#This Row],[بدهکار (کیلوگرم)]]-Main[[#This Row],[بدهی تسویه نشده (کیلوگرم)]]</f>
        <v>0</v>
      </c>
      <c r="O722" s="6">
        <f ca="1">Main[[#This Row],[تفکیک]]</f>
        <v>0</v>
      </c>
      <c r="P722" s="6">
        <f ca="1">IF(Main[[#This Row],[تاخیر از سررسید]]&gt;0,Main[[#This Row],[بدهی تسویه نشده (کیلوگرم)]],0)</f>
        <v>0</v>
      </c>
      <c r="Q722" s="6">
        <f ca="1">IF(Main[[#This Row],[بدهی تسویه نشده (کیلوگرم)]]&gt;0,'گزارش فردی'!$B$7-Main[[#This Row],[تاريخ میلادی]],0)</f>
        <v>0</v>
      </c>
      <c r="R722" s="6">
        <f ca="1">IF(Main[[#This Row],[بدهی تسویه نشده (کیلوگرم)]]&gt;0,'گزارش فردی'!$B$7-Main[[#This Row],[تاريخ میلادی]]-'گزارش فردی'!$B$8,0)</f>
        <v>0</v>
      </c>
      <c r="S722" s="6">
        <f ca="1">Main[[#This Row],[روز از ارسال سفارش]]*Main[[#This Row],[بدهی تسویه نشده (کیلوگرم)]]</f>
        <v>0</v>
      </c>
      <c r="T722" s="6">
        <f ca="1">Main[[#This Row],[بدهی سررسید شده (کیلوگرم)]]*Main[[#This Row],[روز از ارسال سفارش]]</f>
        <v>0</v>
      </c>
      <c r="U722" s="6">
        <f>-SUBTOTAL(9,INDEX(Main[مقدار (کیلوگرم)],1):Main[[#This Row],[مقدار (کیلوگرم)]])</f>
        <v>36341</v>
      </c>
      <c r="V72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2" s="6">
        <f>Main[[#This Row],[تعداد کل روزهای بدهکار (روز)]]*Main[[#This Row],[مانده در خط کل (کیلوگرم)]]</f>
        <v>72682</v>
      </c>
      <c r="X722" s="6">
        <f ca="1">-SUBTOTAL(9,INDEX(Main[مقدار تسویه شده (کیلوگرم)],1):Main[[#This Row],[مقدار تسویه شده (کیلوگرم)]])</f>
        <v>36341</v>
      </c>
      <c r="Y722" s="6">
        <f ca="1">IF(Main[[#This Row],[مانده در خط تسویه شده (کیلوگرم)]]&lt;&gt;0,Main[[#This Row],[تعداد کل روزهای بدهکار (روز)]],0)</f>
        <v>2</v>
      </c>
      <c r="Z722" s="6">
        <f ca="1">Main[[#This Row],[تعداد روزهای بدهکار تسویه شده (روز)]]*Main[[#This Row],[مانده در خط تسویه شده (کیلوگرم)]]</f>
        <v>72682</v>
      </c>
      <c r="AA722" s="6">
        <f ca="1">SUBTOTAL(9,INDEX(Main[بدهی تسویه نشده (کیلوگرم)],1):Main[[#This Row],[بدهی تسویه نشده (کیلوگرم)]])</f>
        <v>0</v>
      </c>
      <c r="AB722" s="6">
        <f ca="1">IF(Main[[#This Row],[مانده در خط تسویه نشده (کیلوگرم)]]&lt;&gt;0,Main[[#This Row],[تعداد کل روزهای بدهکار (روز)]],0)</f>
        <v>0</v>
      </c>
      <c r="AC722" s="6">
        <f ca="1">Main[[#This Row],[تعداد روزهای بدهکار  تسویه نشده (روز)]]*Main[[#This Row],[مانده در خط تسویه نشده (کیلوگرم)]]</f>
        <v>0</v>
      </c>
      <c r="AD722" s="6">
        <f ca="1">SUBTOTAL(9,INDEX(Main[بدهی سررسید شده (کیلوگرم)],1):Main[[#This Row],[بدهی سررسید شده (کیلوگرم)]])</f>
        <v>0</v>
      </c>
      <c r="AE722" s="6">
        <f ca="1">IF(Main[[#This Row],[مانده در خط سررسید شده (کیلوگرم)]]&lt;&gt;0,Main[[#This Row],[تعداد کل روزهای بدهکار (روز)]],0)</f>
        <v>0</v>
      </c>
      <c r="AF722" s="6">
        <f ca="1">Main[[#This Row],[تعداد روزهای بدهکار سررسید شده (روز)]]*Main[[#This Row],[مانده در خط سررسید شده (کیلوگرم)]]</f>
        <v>0</v>
      </c>
    </row>
    <row r="723" spans="1:32" hidden="1" x14ac:dyDescent="0.35">
      <c r="A723" s="5">
        <f>ROW()-ROW(INDEX(Main[ردیف],1))+1</f>
        <v>721</v>
      </c>
      <c r="B723" s="31">
        <f>SUBTOTAL(2,INDEX(Main[ردیف],1):Main[[#This Row],[ردیف]])</f>
        <v>68</v>
      </c>
      <c r="C723" s="32" t="s">
        <v>583</v>
      </c>
      <c r="D723" s="32" t="str">
        <f>_xlfn.CONCAT("14",Main[[#This Row],[تاريخ]])</f>
        <v>1400/03/18</v>
      </c>
      <c r="E723" s="33">
        <v>44355</v>
      </c>
      <c r="F723" s="32">
        <v>30004</v>
      </c>
      <c r="G723" s="5" t="str">
        <f>INDEX(customer[عنوان],MATCH(Main[[#This Row],[کد ردیابی]],customer[کد],0))</f>
        <v>تولیدی صنعتی صفاشیر پارس</v>
      </c>
      <c r="H723">
        <v>3646</v>
      </c>
      <c r="I723" s="6">
        <f ca="1">-Main[[#This Row],[بدهی تسویه شده (کیلوگرم)]]+Main[[#This Row],[بستانکار (کیلوگرم)]]</f>
        <v>3646</v>
      </c>
      <c r="J723" s="6">
        <f>IF(Main[[#This Row],[مقدار (کیلوگرم)]]&gt;0,Main[[#This Row],[مقدار (کیلوگرم)]],0)</f>
        <v>3646</v>
      </c>
      <c r="K723" s="6">
        <f>-IF(Main[[#This Row],[مقدار (کیلوگرم)]]&lt;0,Main[[#This Row],[مقدار (کیلوگرم)]],0)</f>
        <v>0</v>
      </c>
      <c r="L7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3" s="7">
        <f>-IF(AND(Main[[#This Row],[مقدار (کیلوگرم)]]&lt;0,Main[[#This Row],[تاريخ میلادی]]&gt;44276),Main[[#This Row],[مقدار (کیلوگرم)]],0)</f>
        <v>0</v>
      </c>
      <c r="N723" s="6">
        <f ca="1">Main[[#This Row],[بدهکار (کیلوگرم)]]-Main[[#This Row],[بدهی تسویه نشده (کیلوگرم)]]</f>
        <v>0</v>
      </c>
      <c r="O723" s="6">
        <f ca="1">Main[[#This Row],[تفکیک]]</f>
        <v>0</v>
      </c>
      <c r="P723" s="6">
        <f ca="1">IF(Main[[#This Row],[تاخیر از سررسید]]&gt;0,Main[[#This Row],[بدهی تسویه نشده (کیلوگرم)]],0)</f>
        <v>0</v>
      </c>
      <c r="Q723" s="6">
        <f ca="1">IF(Main[[#This Row],[بدهی تسویه نشده (کیلوگرم)]]&gt;0,'گزارش فردی'!$B$7-Main[[#This Row],[تاريخ میلادی]],0)</f>
        <v>0</v>
      </c>
      <c r="R723" s="6">
        <f ca="1">IF(Main[[#This Row],[بدهی تسویه نشده (کیلوگرم)]]&gt;0,'گزارش فردی'!$B$7-Main[[#This Row],[تاريخ میلادی]]-'گزارش فردی'!$B$8,0)</f>
        <v>0</v>
      </c>
      <c r="S723" s="6">
        <f ca="1">Main[[#This Row],[روز از ارسال سفارش]]*Main[[#This Row],[بدهی تسویه نشده (کیلوگرم)]]</f>
        <v>0</v>
      </c>
      <c r="T723" s="6">
        <f ca="1">Main[[#This Row],[بدهی سررسید شده (کیلوگرم)]]*Main[[#This Row],[روز از ارسال سفارش]]</f>
        <v>0</v>
      </c>
      <c r="U723" s="6">
        <f>-SUBTOTAL(9,INDEX(Main[مقدار (کیلوگرم)],1):Main[[#This Row],[مقدار (کیلوگرم)]])</f>
        <v>36341</v>
      </c>
      <c r="V72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3" s="6">
        <f>Main[[#This Row],[تعداد کل روزهای بدهکار (روز)]]*Main[[#This Row],[مانده در خط کل (کیلوگرم)]]</f>
        <v>72682</v>
      </c>
      <c r="X723" s="6">
        <f ca="1">-SUBTOTAL(9,INDEX(Main[مقدار تسویه شده (کیلوگرم)],1):Main[[#This Row],[مقدار تسویه شده (کیلوگرم)]])</f>
        <v>36341</v>
      </c>
      <c r="Y723" s="6">
        <f ca="1">IF(Main[[#This Row],[مانده در خط تسویه شده (کیلوگرم)]]&lt;&gt;0,Main[[#This Row],[تعداد کل روزهای بدهکار (روز)]],0)</f>
        <v>2</v>
      </c>
      <c r="Z723" s="6">
        <f ca="1">Main[[#This Row],[تعداد روزهای بدهکار تسویه شده (روز)]]*Main[[#This Row],[مانده در خط تسویه شده (کیلوگرم)]]</f>
        <v>72682</v>
      </c>
      <c r="AA723" s="6">
        <f ca="1">SUBTOTAL(9,INDEX(Main[بدهی تسویه نشده (کیلوگرم)],1):Main[[#This Row],[بدهی تسویه نشده (کیلوگرم)]])</f>
        <v>0</v>
      </c>
      <c r="AB723" s="6">
        <f ca="1">IF(Main[[#This Row],[مانده در خط تسویه نشده (کیلوگرم)]]&lt;&gt;0,Main[[#This Row],[تعداد کل روزهای بدهکار (روز)]],0)</f>
        <v>0</v>
      </c>
      <c r="AC723" s="6">
        <f ca="1">Main[[#This Row],[تعداد روزهای بدهکار  تسویه نشده (روز)]]*Main[[#This Row],[مانده در خط تسویه نشده (کیلوگرم)]]</f>
        <v>0</v>
      </c>
      <c r="AD723" s="6">
        <f ca="1">SUBTOTAL(9,INDEX(Main[بدهی سررسید شده (کیلوگرم)],1):Main[[#This Row],[بدهی سررسید شده (کیلوگرم)]])</f>
        <v>0</v>
      </c>
      <c r="AE723" s="6">
        <f ca="1">IF(Main[[#This Row],[مانده در خط سررسید شده (کیلوگرم)]]&lt;&gt;0,Main[[#This Row],[تعداد کل روزهای بدهکار (روز)]],0)</f>
        <v>0</v>
      </c>
      <c r="AF723" s="6">
        <f ca="1">Main[[#This Row],[تعداد روزهای بدهکار سررسید شده (روز)]]*Main[[#This Row],[مانده در خط سررسید شده (کیلوگرم)]]</f>
        <v>0</v>
      </c>
    </row>
    <row r="724" spans="1:32" hidden="1" x14ac:dyDescent="0.35">
      <c r="A724" s="5">
        <f>ROW()-ROW(INDEX(Main[ردیف],1))+1</f>
        <v>722</v>
      </c>
      <c r="B724" s="31">
        <f>SUBTOTAL(2,INDEX(Main[ردیف],1):Main[[#This Row],[ردیف]])</f>
        <v>68</v>
      </c>
      <c r="C724" s="32" t="s">
        <v>583</v>
      </c>
      <c r="D724" s="32" t="str">
        <f>_xlfn.CONCAT("14",Main[[#This Row],[تاريخ]])</f>
        <v>1400/03/18</v>
      </c>
      <c r="E724" s="33">
        <v>44355</v>
      </c>
      <c r="F724" s="32">
        <v>30009</v>
      </c>
      <c r="G724" s="5" t="str">
        <f>INDEX(customer[عنوان],MATCH(Main[[#This Row],[کد ردیابی]],customer[کد],0))</f>
        <v>شرکت ایمن تک پیشرو</v>
      </c>
      <c r="H724">
        <v>1850</v>
      </c>
      <c r="I724" s="6">
        <f ca="1">-Main[[#This Row],[بدهی تسویه شده (کیلوگرم)]]+Main[[#This Row],[بستانکار (کیلوگرم)]]</f>
        <v>1850</v>
      </c>
      <c r="J724" s="6">
        <f>IF(Main[[#This Row],[مقدار (کیلوگرم)]]&gt;0,Main[[#This Row],[مقدار (کیلوگرم)]],0)</f>
        <v>1850</v>
      </c>
      <c r="K724" s="6">
        <f>-IF(Main[[#This Row],[مقدار (کیلوگرم)]]&lt;0,Main[[#This Row],[مقدار (کیلوگرم)]],0)</f>
        <v>0</v>
      </c>
      <c r="L7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4" s="7">
        <f>-IF(AND(Main[[#This Row],[مقدار (کیلوگرم)]]&lt;0,Main[[#This Row],[تاريخ میلادی]]&gt;44276),Main[[#This Row],[مقدار (کیلوگرم)]],0)</f>
        <v>0</v>
      </c>
      <c r="N724" s="6">
        <f ca="1">Main[[#This Row],[بدهکار (کیلوگرم)]]-Main[[#This Row],[بدهی تسویه نشده (کیلوگرم)]]</f>
        <v>0</v>
      </c>
      <c r="O724" s="6">
        <f ca="1">Main[[#This Row],[تفکیک]]</f>
        <v>0</v>
      </c>
      <c r="P724" s="6">
        <f ca="1">IF(Main[[#This Row],[تاخیر از سررسید]]&gt;0,Main[[#This Row],[بدهی تسویه نشده (کیلوگرم)]],0)</f>
        <v>0</v>
      </c>
      <c r="Q724" s="6">
        <f ca="1">IF(Main[[#This Row],[بدهی تسویه نشده (کیلوگرم)]]&gt;0,'گزارش فردی'!$B$7-Main[[#This Row],[تاريخ میلادی]],0)</f>
        <v>0</v>
      </c>
      <c r="R724" s="6">
        <f ca="1">IF(Main[[#This Row],[بدهی تسویه نشده (کیلوگرم)]]&gt;0,'گزارش فردی'!$B$7-Main[[#This Row],[تاريخ میلادی]]-'گزارش فردی'!$B$8,0)</f>
        <v>0</v>
      </c>
      <c r="S724" s="6">
        <f ca="1">Main[[#This Row],[روز از ارسال سفارش]]*Main[[#This Row],[بدهی تسویه نشده (کیلوگرم)]]</f>
        <v>0</v>
      </c>
      <c r="T724" s="6">
        <f ca="1">Main[[#This Row],[بدهی سررسید شده (کیلوگرم)]]*Main[[#This Row],[روز از ارسال سفارش]]</f>
        <v>0</v>
      </c>
      <c r="U724" s="6">
        <f>-SUBTOTAL(9,INDEX(Main[مقدار (کیلوگرم)],1):Main[[#This Row],[مقدار (کیلوگرم)]])</f>
        <v>36341</v>
      </c>
      <c r="V72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4" s="6">
        <f>Main[[#This Row],[تعداد کل روزهای بدهکار (روز)]]*Main[[#This Row],[مانده در خط کل (کیلوگرم)]]</f>
        <v>72682</v>
      </c>
      <c r="X724" s="6">
        <f ca="1">-SUBTOTAL(9,INDEX(Main[مقدار تسویه شده (کیلوگرم)],1):Main[[#This Row],[مقدار تسویه شده (کیلوگرم)]])</f>
        <v>36341</v>
      </c>
      <c r="Y724" s="6">
        <f ca="1">IF(Main[[#This Row],[مانده در خط تسویه شده (کیلوگرم)]]&lt;&gt;0,Main[[#This Row],[تعداد کل روزهای بدهکار (روز)]],0)</f>
        <v>2</v>
      </c>
      <c r="Z724" s="6">
        <f ca="1">Main[[#This Row],[تعداد روزهای بدهکار تسویه شده (روز)]]*Main[[#This Row],[مانده در خط تسویه شده (کیلوگرم)]]</f>
        <v>72682</v>
      </c>
      <c r="AA724" s="6">
        <f ca="1">SUBTOTAL(9,INDEX(Main[بدهی تسویه نشده (کیلوگرم)],1):Main[[#This Row],[بدهی تسویه نشده (کیلوگرم)]])</f>
        <v>0</v>
      </c>
      <c r="AB724" s="6">
        <f ca="1">IF(Main[[#This Row],[مانده در خط تسویه نشده (کیلوگرم)]]&lt;&gt;0,Main[[#This Row],[تعداد کل روزهای بدهکار (روز)]],0)</f>
        <v>0</v>
      </c>
      <c r="AC724" s="6">
        <f ca="1">Main[[#This Row],[تعداد روزهای بدهکار  تسویه نشده (روز)]]*Main[[#This Row],[مانده در خط تسویه نشده (کیلوگرم)]]</f>
        <v>0</v>
      </c>
      <c r="AD724" s="6">
        <f ca="1">SUBTOTAL(9,INDEX(Main[بدهی سررسید شده (کیلوگرم)],1):Main[[#This Row],[بدهی سررسید شده (کیلوگرم)]])</f>
        <v>0</v>
      </c>
      <c r="AE724" s="6">
        <f ca="1">IF(Main[[#This Row],[مانده در خط سررسید شده (کیلوگرم)]]&lt;&gt;0,Main[[#This Row],[تعداد کل روزهای بدهکار (روز)]],0)</f>
        <v>0</v>
      </c>
      <c r="AF724" s="6">
        <f ca="1">Main[[#This Row],[تعداد روزهای بدهکار سررسید شده (روز)]]*Main[[#This Row],[مانده در خط سررسید شده (کیلوگرم)]]</f>
        <v>0</v>
      </c>
    </row>
    <row r="725" spans="1:32" hidden="1" x14ac:dyDescent="0.35">
      <c r="A725" s="5">
        <f>ROW()-ROW(INDEX(Main[ردیف],1))+1</f>
        <v>723</v>
      </c>
      <c r="B725" s="31">
        <f>SUBTOTAL(2,INDEX(Main[ردیف],1):Main[[#This Row],[ردیف]])</f>
        <v>68</v>
      </c>
      <c r="C725" s="32" t="s">
        <v>584</v>
      </c>
      <c r="D725" s="32" t="str">
        <f>_xlfn.CONCAT("14",Main[[#This Row],[تاريخ]])</f>
        <v>1400/03/19</v>
      </c>
      <c r="E725" s="33">
        <v>44356</v>
      </c>
      <c r="F725" s="32">
        <v>10101</v>
      </c>
      <c r="G725" s="5" t="str">
        <f>INDEX(customer[عنوان],MATCH(Main[[#This Row],[کد ردیابی]],customer[کد],0))</f>
        <v>محمدی منصور</v>
      </c>
      <c r="H725">
        <v>-658</v>
      </c>
      <c r="I725" s="6">
        <f ca="1">-Main[[#This Row],[بدهی تسویه شده (کیلوگرم)]]+Main[[#This Row],[بستانکار (کیلوگرم)]]</f>
        <v>-658</v>
      </c>
      <c r="J725" s="6">
        <f>IF(Main[[#This Row],[مقدار (کیلوگرم)]]&gt;0,Main[[#This Row],[مقدار (کیلوگرم)]],0)</f>
        <v>0</v>
      </c>
      <c r="K725" s="6">
        <f>-IF(Main[[#This Row],[مقدار (کیلوگرم)]]&lt;0,Main[[#This Row],[مقدار (کیلوگرم)]],0)</f>
        <v>658</v>
      </c>
      <c r="L7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5" s="7">
        <f>-IF(AND(Main[[#This Row],[مقدار (کیلوگرم)]]&lt;0,Main[[#This Row],[تاريخ میلادی]]&gt;44276),Main[[#This Row],[مقدار (کیلوگرم)]],0)</f>
        <v>658</v>
      </c>
      <c r="N725" s="6">
        <f ca="1">Main[[#This Row],[بدهکار (کیلوگرم)]]-Main[[#This Row],[بدهی تسویه نشده (کیلوگرم)]]</f>
        <v>658</v>
      </c>
      <c r="O725" s="6">
        <f ca="1">Main[[#This Row],[تفکیک]]</f>
        <v>0</v>
      </c>
      <c r="P725" s="6">
        <f ca="1">IF(Main[[#This Row],[تاخیر از سررسید]]&gt;0,Main[[#This Row],[بدهی تسویه نشده (کیلوگرم)]],0)</f>
        <v>0</v>
      </c>
      <c r="Q725" s="6">
        <f ca="1">IF(Main[[#This Row],[بدهی تسویه نشده (کیلوگرم)]]&gt;0,'گزارش فردی'!$B$7-Main[[#This Row],[تاريخ میلادی]],0)</f>
        <v>0</v>
      </c>
      <c r="R725" s="6">
        <f ca="1">IF(Main[[#This Row],[بدهی تسویه نشده (کیلوگرم)]]&gt;0,'گزارش فردی'!$B$7-Main[[#This Row],[تاريخ میلادی]]-'گزارش فردی'!$B$8,0)</f>
        <v>0</v>
      </c>
      <c r="S725" s="6">
        <f ca="1">Main[[#This Row],[روز از ارسال سفارش]]*Main[[#This Row],[بدهی تسویه نشده (کیلوگرم)]]</f>
        <v>0</v>
      </c>
      <c r="T725" s="6">
        <f ca="1">Main[[#This Row],[بدهی سررسید شده (کیلوگرم)]]*Main[[#This Row],[روز از ارسال سفارش]]</f>
        <v>0</v>
      </c>
      <c r="U725" s="6">
        <f>-SUBTOTAL(9,INDEX(Main[مقدار (کیلوگرم)],1):Main[[#This Row],[مقدار (کیلوگرم)]])</f>
        <v>36341</v>
      </c>
      <c r="V7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5" s="6">
        <f>Main[[#This Row],[تعداد کل روزهای بدهکار (روز)]]*Main[[#This Row],[مانده در خط کل (کیلوگرم)]]</f>
        <v>36341</v>
      </c>
      <c r="X725" s="6">
        <f ca="1">-SUBTOTAL(9,INDEX(Main[مقدار تسویه شده (کیلوگرم)],1):Main[[#This Row],[مقدار تسویه شده (کیلوگرم)]])</f>
        <v>36341</v>
      </c>
      <c r="Y725" s="6">
        <f ca="1">IF(Main[[#This Row],[مانده در خط تسویه شده (کیلوگرم)]]&lt;&gt;0,Main[[#This Row],[تعداد کل روزهای بدهکار (روز)]],0)</f>
        <v>1</v>
      </c>
      <c r="Z725" s="6">
        <f ca="1">Main[[#This Row],[تعداد روزهای بدهکار تسویه شده (روز)]]*Main[[#This Row],[مانده در خط تسویه شده (کیلوگرم)]]</f>
        <v>36341</v>
      </c>
      <c r="AA725" s="6">
        <f ca="1">SUBTOTAL(9,INDEX(Main[بدهی تسویه نشده (کیلوگرم)],1):Main[[#This Row],[بدهی تسویه نشده (کیلوگرم)]])</f>
        <v>0</v>
      </c>
      <c r="AB725" s="6">
        <f ca="1">IF(Main[[#This Row],[مانده در خط تسویه نشده (کیلوگرم)]]&lt;&gt;0,Main[[#This Row],[تعداد کل روزهای بدهکار (روز)]],0)</f>
        <v>0</v>
      </c>
      <c r="AC725" s="6">
        <f ca="1">Main[[#This Row],[تعداد روزهای بدهکار  تسویه نشده (روز)]]*Main[[#This Row],[مانده در خط تسویه نشده (کیلوگرم)]]</f>
        <v>0</v>
      </c>
      <c r="AD725" s="6">
        <f ca="1">SUBTOTAL(9,INDEX(Main[بدهی سررسید شده (کیلوگرم)],1):Main[[#This Row],[بدهی سررسید شده (کیلوگرم)]])</f>
        <v>0</v>
      </c>
      <c r="AE725" s="6">
        <f ca="1">IF(Main[[#This Row],[مانده در خط سررسید شده (کیلوگرم)]]&lt;&gt;0,Main[[#This Row],[تعداد کل روزهای بدهکار (روز)]],0)</f>
        <v>0</v>
      </c>
      <c r="AF725" s="6">
        <f ca="1">Main[[#This Row],[تعداد روزهای بدهکار سررسید شده (روز)]]*Main[[#This Row],[مانده در خط سررسید شده (کیلوگرم)]]</f>
        <v>0</v>
      </c>
    </row>
    <row r="726" spans="1:32" hidden="1" x14ac:dyDescent="0.35">
      <c r="A726" s="5">
        <f>ROW()-ROW(INDEX(Main[ردیف],1))+1</f>
        <v>724</v>
      </c>
      <c r="B726" s="31">
        <f>SUBTOTAL(2,INDEX(Main[ردیف],1):Main[[#This Row],[ردیف]])</f>
        <v>68</v>
      </c>
      <c r="C726" s="32" t="s">
        <v>584</v>
      </c>
      <c r="D726" s="32" t="str">
        <f>_xlfn.CONCAT("14",Main[[#This Row],[تاريخ]])</f>
        <v>1400/03/19</v>
      </c>
      <c r="E726" s="33">
        <v>44356</v>
      </c>
      <c r="F726" s="32">
        <v>10101</v>
      </c>
      <c r="G726" s="5" t="str">
        <f>INDEX(customer[عنوان],MATCH(Main[[#This Row],[کد ردیابی]],customer[کد],0))</f>
        <v>محمدی منصور</v>
      </c>
      <c r="H726">
        <v>314</v>
      </c>
      <c r="I726" s="6">
        <f ca="1">-Main[[#This Row],[بدهی تسویه شده (کیلوگرم)]]+Main[[#This Row],[بستانکار (کیلوگرم)]]</f>
        <v>314</v>
      </c>
      <c r="J726" s="6">
        <f>IF(Main[[#This Row],[مقدار (کیلوگرم)]]&gt;0,Main[[#This Row],[مقدار (کیلوگرم)]],0)</f>
        <v>314</v>
      </c>
      <c r="K726" s="6">
        <f>-IF(Main[[#This Row],[مقدار (کیلوگرم)]]&lt;0,Main[[#This Row],[مقدار (کیلوگرم)]],0)</f>
        <v>0</v>
      </c>
      <c r="L7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6" s="7">
        <f>-IF(AND(Main[[#This Row],[مقدار (کیلوگرم)]]&lt;0,Main[[#This Row],[تاريخ میلادی]]&gt;44276),Main[[#This Row],[مقدار (کیلوگرم)]],0)</f>
        <v>0</v>
      </c>
      <c r="N726" s="6">
        <f ca="1">Main[[#This Row],[بدهکار (کیلوگرم)]]-Main[[#This Row],[بدهی تسویه نشده (کیلوگرم)]]</f>
        <v>0</v>
      </c>
      <c r="O726" s="6">
        <f ca="1">Main[[#This Row],[تفکیک]]</f>
        <v>0</v>
      </c>
      <c r="P726" s="6">
        <f ca="1">IF(Main[[#This Row],[تاخیر از سررسید]]&gt;0,Main[[#This Row],[بدهی تسویه نشده (کیلوگرم)]],0)</f>
        <v>0</v>
      </c>
      <c r="Q726" s="6">
        <f ca="1">IF(Main[[#This Row],[بدهی تسویه نشده (کیلوگرم)]]&gt;0,'گزارش فردی'!$B$7-Main[[#This Row],[تاريخ میلادی]],0)</f>
        <v>0</v>
      </c>
      <c r="R726" s="6">
        <f ca="1">IF(Main[[#This Row],[بدهی تسویه نشده (کیلوگرم)]]&gt;0,'گزارش فردی'!$B$7-Main[[#This Row],[تاريخ میلادی]]-'گزارش فردی'!$B$8,0)</f>
        <v>0</v>
      </c>
      <c r="S726" s="6">
        <f ca="1">Main[[#This Row],[روز از ارسال سفارش]]*Main[[#This Row],[بدهی تسویه نشده (کیلوگرم)]]</f>
        <v>0</v>
      </c>
      <c r="T726" s="6">
        <f ca="1">Main[[#This Row],[بدهی سررسید شده (کیلوگرم)]]*Main[[#This Row],[روز از ارسال سفارش]]</f>
        <v>0</v>
      </c>
      <c r="U726" s="6">
        <f>-SUBTOTAL(9,INDEX(Main[مقدار (کیلوگرم)],1):Main[[#This Row],[مقدار (کیلوگرم)]])</f>
        <v>36341</v>
      </c>
      <c r="V7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6" s="6">
        <f>Main[[#This Row],[تعداد کل روزهای بدهکار (روز)]]*Main[[#This Row],[مانده در خط کل (کیلوگرم)]]</f>
        <v>36341</v>
      </c>
      <c r="X726" s="6">
        <f ca="1">-SUBTOTAL(9,INDEX(Main[مقدار تسویه شده (کیلوگرم)],1):Main[[#This Row],[مقدار تسویه شده (کیلوگرم)]])</f>
        <v>36341</v>
      </c>
      <c r="Y726" s="6">
        <f ca="1">IF(Main[[#This Row],[مانده در خط تسویه شده (کیلوگرم)]]&lt;&gt;0,Main[[#This Row],[تعداد کل روزهای بدهکار (روز)]],0)</f>
        <v>1</v>
      </c>
      <c r="Z726" s="6">
        <f ca="1">Main[[#This Row],[تعداد روزهای بدهکار تسویه شده (روز)]]*Main[[#This Row],[مانده در خط تسویه شده (کیلوگرم)]]</f>
        <v>36341</v>
      </c>
      <c r="AA726" s="6">
        <f ca="1">SUBTOTAL(9,INDEX(Main[بدهی تسویه نشده (کیلوگرم)],1):Main[[#This Row],[بدهی تسویه نشده (کیلوگرم)]])</f>
        <v>0</v>
      </c>
      <c r="AB726" s="6">
        <f ca="1">IF(Main[[#This Row],[مانده در خط تسویه نشده (کیلوگرم)]]&lt;&gt;0,Main[[#This Row],[تعداد کل روزهای بدهکار (روز)]],0)</f>
        <v>0</v>
      </c>
      <c r="AC726" s="6">
        <f ca="1">Main[[#This Row],[تعداد روزهای بدهکار  تسویه نشده (روز)]]*Main[[#This Row],[مانده در خط تسویه نشده (کیلوگرم)]]</f>
        <v>0</v>
      </c>
      <c r="AD726" s="6">
        <f ca="1">SUBTOTAL(9,INDEX(Main[بدهی سررسید شده (کیلوگرم)],1):Main[[#This Row],[بدهی سررسید شده (کیلوگرم)]])</f>
        <v>0</v>
      </c>
      <c r="AE726" s="6">
        <f ca="1">IF(Main[[#This Row],[مانده در خط سررسید شده (کیلوگرم)]]&lt;&gt;0,Main[[#This Row],[تعداد کل روزهای بدهکار (روز)]],0)</f>
        <v>0</v>
      </c>
      <c r="AF726" s="6">
        <f ca="1">Main[[#This Row],[تعداد روزهای بدهکار سررسید شده (روز)]]*Main[[#This Row],[مانده در خط سررسید شده (کیلوگرم)]]</f>
        <v>0</v>
      </c>
    </row>
    <row r="727" spans="1:32" hidden="1" x14ac:dyDescent="0.35">
      <c r="A727" s="5">
        <f>ROW()-ROW(INDEX(Main[ردیف],1))+1</f>
        <v>725</v>
      </c>
      <c r="B727" s="31">
        <f>SUBTOTAL(2,INDEX(Main[ردیف],1):Main[[#This Row],[ردیف]])</f>
        <v>68</v>
      </c>
      <c r="C727" s="32" t="s">
        <v>584</v>
      </c>
      <c r="D727" s="32" t="str">
        <f>_xlfn.CONCAT("14",Main[[#This Row],[تاريخ]])</f>
        <v>1400/03/19</v>
      </c>
      <c r="E727" s="33">
        <v>44356</v>
      </c>
      <c r="F727" s="32">
        <v>30066</v>
      </c>
      <c r="G727" s="5" t="str">
        <f>INDEX(customer[عنوان],MATCH(Main[[#This Row],[کد ردیابی]],customer[کد],0))</f>
        <v xml:space="preserve">شیر آلات بهداشتی قهرمان </v>
      </c>
      <c r="H727">
        <v>-3325</v>
      </c>
      <c r="I727" s="6">
        <f ca="1">-Main[[#This Row],[بدهی تسویه شده (کیلوگرم)]]+Main[[#This Row],[بستانکار (کیلوگرم)]]</f>
        <v>-3325</v>
      </c>
      <c r="J727" s="6">
        <f>IF(Main[[#This Row],[مقدار (کیلوگرم)]]&gt;0,Main[[#This Row],[مقدار (کیلوگرم)]],0)</f>
        <v>0</v>
      </c>
      <c r="K727" s="6">
        <f>-IF(Main[[#This Row],[مقدار (کیلوگرم)]]&lt;0,Main[[#This Row],[مقدار (کیلوگرم)]],0)</f>
        <v>3325</v>
      </c>
      <c r="L7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7" s="7">
        <f>-IF(AND(Main[[#This Row],[مقدار (کیلوگرم)]]&lt;0,Main[[#This Row],[تاريخ میلادی]]&gt;44276),Main[[#This Row],[مقدار (کیلوگرم)]],0)</f>
        <v>3325</v>
      </c>
      <c r="N727" s="6">
        <f ca="1">Main[[#This Row],[بدهکار (کیلوگرم)]]-Main[[#This Row],[بدهی تسویه نشده (کیلوگرم)]]</f>
        <v>3325</v>
      </c>
      <c r="O727" s="6">
        <f ca="1">Main[[#This Row],[تفکیک]]</f>
        <v>0</v>
      </c>
      <c r="P727" s="6">
        <f ca="1">IF(Main[[#This Row],[تاخیر از سررسید]]&gt;0,Main[[#This Row],[بدهی تسویه نشده (کیلوگرم)]],0)</f>
        <v>0</v>
      </c>
      <c r="Q727" s="6">
        <f ca="1">IF(Main[[#This Row],[بدهی تسویه نشده (کیلوگرم)]]&gt;0,'گزارش فردی'!$B$7-Main[[#This Row],[تاريخ میلادی]],0)</f>
        <v>0</v>
      </c>
      <c r="R727" s="6">
        <f ca="1">IF(Main[[#This Row],[بدهی تسویه نشده (کیلوگرم)]]&gt;0,'گزارش فردی'!$B$7-Main[[#This Row],[تاريخ میلادی]]-'گزارش فردی'!$B$8,0)</f>
        <v>0</v>
      </c>
      <c r="S727" s="6">
        <f ca="1">Main[[#This Row],[روز از ارسال سفارش]]*Main[[#This Row],[بدهی تسویه نشده (کیلوگرم)]]</f>
        <v>0</v>
      </c>
      <c r="T727" s="6">
        <f ca="1">Main[[#This Row],[بدهی سررسید شده (کیلوگرم)]]*Main[[#This Row],[روز از ارسال سفارش]]</f>
        <v>0</v>
      </c>
      <c r="U727" s="6">
        <f>-SUBTOTAL(9,INDEX(Main[مقدار (کیلوگرم)],1):Main[[#This Row],[مقدار (کیلوگرم)]])</f>
        <v>36341</v>
      </c>
      <c r="V7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7" s="6">
        <f>Main[[#This Row],[تعداد کل روزهای بدهکار (روز)]]*Main[[#This Row],[مانده در خط کل (کیلوگرم)]]</f>
        <v>36341</v>
      </c>
      <c r="X727" s="6">
        <f ca="1">-SUBTOTAL(9,INDEX(Main[مقدار تسویه شده (کیلوگرم)],1):Main[[#This Row],[مقدار تسویه شده (کیلوگرم)]])</f>
        <v>36341</v>
      </c>
      <c r="Y727" s="6">
        <f ca="1">IF(Main[[#This Row],[مانده در خط تسویه شده (کیلوگرم)]]&lt;&gt;0,Main[[#This Row],[تعداد کل روزهای بدهکار (روز)]],0)</f>
        <v>1</v>
      </c>
      <c r="Z727" s="6">
        <f ca="1">Main[[#This Row],[تعداد روزهای بدهکار تسویه شده (روز)]]*Main[[#This Row],[مانده در خط تسویه شده (کیلوگرم)]]</f>
        <v>36341</v>
      </c>
      <c r="AA727" s="6">
        <f ca="1">SUBTOTAL(9,INDEX(Main[بدهی تسویه نشده (کیلوگرم)],1):Main[[#This Row],[بدهی تسویه نشده (کیلوگرم)]])</f>
        <v>0</v>
      </c>
      <c r="AB727" s="6">
        <f ca="1">IF(Main[[#This Row],[مانده در خط تسویه نشده (کیلوگرم)]]&lt;&gt;0,Main[[#This Row],[تعداد کل روزهای بدهکار (روز)]],0)</f>
        <v>0</v>
      </c>
      <c r="AC727" s="6">
        <f ca="1">Main[[#This Row],[تعداد روزهای بدهکار  تسویه نشده (روز)]]*Main[[#This Row],[مانده در خط تسویه نشده (کیلوگرم)]]</f>
        <v>0</v>
      </c>
      <c r="AD727" s="6">
        <f ca="1">SUBTOTAL(9,INDEX(Main[بدهی سررسید شده (کیلوگرم)],1):Main[[#This Row],[بدهی سررسید شده (کیلوگرم)]])</f>
        <v>0</v>
      </c>
      <c r="AE727" s="6">
        <f ca="1">IF(Main[[#This Row],[مانده در خط سررسید شده (کیلوگرم)]]&lt;&gt;0,Main[[#This Row],[تعداد کل روزهای بدهکار (روز)]],0)</f>
        <v>0</v>
      </c>
      <c r="AF727" s="6">
        <f ca="1">Main[[#This Row],[تعداد روزهای بدهکار سررسید شده (روز)]]*Main[[#This Row],[مانده در خط سررسید شده (کیلوگرم)]]</f>
        <v>0</v>
      </c>
    </row>
    <row r="728" spans="1:32" hidden="1" x14ac:dyDescent="0.35">
      <c r="A728" s="5">
        <f>ROW()-ROW(INDEX(Main[ردیف],1))+1</f>
        <v>726</v>
      </c>
      <c r="B728" s="31">
        <f>SUBTOTAL(2,INDEX(Main[ردیف],1):Main[[#This Row],[ردیف]])</f>
        <v>68</v>
      </c>
      <c r="C728" s="32" t="s">
        <v>584</v>
      </c>
      <c r="D728" s="32" t="str">
        <f>_xlfn.CONCAT("14",Main[[#This Row],[تاريخ]])</f>
        <v>1400/03/19</v>
      </c>
      <c r="E728" s="33">
        <v>44356</v>
      </c>
      <c r="F728" s="32">
        <v>10101</v>
      </c>
      <c r="G728" s="5" t="str">
        <f>INDEX(customer[عنوان],MATCH(Main[[#This Row],[کد ردیابی]],customer[کد],0))</f>
        <v>محمدی منصور</v>
      </c>
      <c r="H728">
        <v>344</v>
      </c>
      <c r="I728" s="6">
        <f ca="1">-Main[[#This Row],[بدهی تسویه شده (کیلوگرم)]]+Main[[#This Row],[بستانکار (کیلوگرم)]]</f>
        <v>344</v>
      </c>
      <c r="J728" s="6">
        <f>IF(Main[[#This Row],[مقدار (کیلوگرم)]]&gt;0,Main[[#This Row],[مقدار (کیلوگرم)]],0)</f>
        <v>344</v>
      </c>
      <c r="K728" s="6">
        <f>-IF(Main[[#This Row],[مقدار (کیلوگرم)]]&lt;0,Main[[#This Row],[مقدار (کیلوگرم)]],0)</f>
        <v>0</v>
      </c>
      <c r="L7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8" s="7">
        <f>-IF(AND(Main[[#This Row],[مقدار (کیلوگرم)]]&lt;0,Main[[#This Row],[تاريخ میلادی]]&gt;44276),Main[[#This Row],[مقدار (کیلوگرم)]],0)</f>
        <v>0</v>
      </c>
      <c r="N728" s="6">
        <f ca="1">Main[[#This Row],[بدهکار (کیلوگرم)]]-Main[[#This Row],[بدهی تسویه نشده (کیلوگرم)]]</f>
        <v>0</v>
      </c>
      <c r="O728" s="6">
        <f ca="1">Main[[#This Row],[تفکیک]]</f>
        <v>0</v>
      </c>
      <c r="P728" s="6">
        <f ca="1">IF(Main[[#This Row],[تاخیر از سررسید]]&gt;0,Main[[#This Row],[بدهی تسویه نشده (کیلوگرم)]],0)</f>
        <v>0</v>
      </c>
      <c r="Q728" s="6">
        <f ca="1">IF(Main[[#This Row],[بدهی تسویه نشده (کیلوگرم)]]&gt;0,'گزارش فردی'!$B$7-Main[[#This Row],[تاريخ میلادی]],0)</f>
        <v>0</v>
      </c>
      <c r="R728" s="6">
        <f ca="1">IF(Main[[#This Row],[بدهی تسویه نشده (کیلوگرم)]]&gt;0,'گزارش فردی'!$B$7-Main[[#This Row],[تاريخ میلادی]]-'گزارش فردی'!$B$8,0)</f>
        <v>0</v>
      </c>
      <c r="S728" s="6">
        <f ca="1">Main[[#This Row],[روز از ارسال سفارش]]*Main[[#This Row],[بدهی تسویه نشده (کیلوگرم)]]</f>
        <v>0</v>
      </c>
      <c r="T728" s="6">
        <f ca="1">Main[[#This Row],[بدهی سررسید شده (کیلوگرم)]]*Main[[#This Row],[روز از ارسال سفارش]]</f>
        <v>0</v>
      </c>
      <c r="U728" s="6">
        <f>-SUBTOTAL(9,INDEX(Main[مقدار (کیلوگرم)],1):Main[[#This Row],[مقدار (کیلوگرم)]])</f>
        <v>36341</v>
      </c>
      <c r="V7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8" s="6">
        <f>Main[[#This Row],[تعداد کل روزهای بدهکار (روز)]]*Main[[#This Row],[مانده در خط کل (کیلوگرم)]]</f>
        <v>36341</v>
      </c>
      <c r="X728" s="6">
        <f ca="1">-SUBTOTAL(9,INDEX(Main[مقدار تسویه شده (کیلوگرم)],1):Main[[#This Row],[مقدار تسویه شده (کیلوگرم)]])</f>
        <v>36341</v>
      </c>
      <c r="Y728" s="6">
        <f ca="1">IF(Main[[#This Row],[مانده در خط تسویه شده (کیلوگرم)]]&lt;&gt;0,Main[[#This Row],[تعداد کل روزهای بدهکار (روز)]],0)</f>
        <v>1</v>
      </c>
      <c r="Z728" s="6">
        <f ca="1">Main[[#This Row],[تعداد روزهای بدهکار تسویه شده (روز)]]*Main[[#This Row],[مانده در خط تسویه شده (کیلوگرم)]]</f>
        <v>36341</v>
      </c>
      <c r="AA728" s="6">
        <f ca="1">SUBTOTAL(9,INDEX(Main[بدهی تسویه نشده (کیلوگرم)],1):Main[[#This Row],[بدهی تسویه نشده (کیلوگرم)]])</f>
        <v>0</v>
      </c>
      <c r="AB728" s="6">
        <f ca="1">IF(Main[[#This Row],[مانده در خط تسویه نشده (کیلوگرم)]]&lt;&gt;0,Main[[#This Row],[تعداد کل روزهای بدهکار (روز)]],0)</f>
        <v>0</v>
      </c>
      <c r="AC728" s="6">
        <f ca="1">Main[[#This Row],[تعداد روزهای بدهکار  تسویه نشده (روز)]]*Main[[#This Row],[مانده در خط تسویه نشده (کیلوگرم)]]</f>
        <v>0</v>
      </c>
      <c r="AD728" s="6">
        <f ca="1">SUBTOTAL(9,INDEX(Main[بدهی سررسید شده (کیلوگرم)],1):Main[[#This Row],[بدهی سررسید شده (کیلوگرم)]])</f>
        <v>0</v>
      </c>
      <c r="AE728" s="6">
        <f ca="1">IF(Main[[#This Row],[مانده در خط سررسید شده (کیلوگرم)]]&lt;&gt;0,Main[[#This Row],[تعداد کل روزهای بدهکار (روز)]],0)</f>
        <v>0</v>
      </c>
      <c r="AF728" s="6">
        <f ca="1">Main[[#This Row],[تعداد روزهای بدهکار سررسید شده (روز)]]*Main[[#This Row],[مانده در خط سررسید شده (کیلوگرم)]]</f>
        <v>0</v>
      </c>
    </row>
    <row r="729" spans="1:32" hidden="1" x14ac:dyDescent="0.35">
      <c r="A729" s="5">
        <f>ROW()-ROW(INDEX(Main[ردیف],1))+1</f>
        <v>727</v>
      </c>
      <c r="B729" s="31">
        <f>SUBTOTAL(2,INDEX(Main[ردیف],1):Main[[#This Row],[ردیف]])</f>
        <v>68</v>
      </c>
      <c r="C729" s="32" t="s">
        <v>584</v>
      </c>
      <c r="D729" s="32" t="str">
        <f>_xlfn.CONCAT("14",Main[[#This Row],[تاريخ]])</f>
        <v>1400/03/19</v>
      </c>
      <c r="E729" s="33">
        <v>44356</v>
      </c>
      <c r="F729" s="32">
        <v>10004</v>
      </c>
      <c r="G729" s="5" t="str">
        <f>INDEX(customer[عنوان],MATCH(Main[[#This Row],[کد ردیابی]],customer[کد],0))</f>
        <v xml:space="preserve">محمد عباسی </v>
      </c>
      <c r="H729">
        <v>-1050</v>
      </c>
      <c r="I729" s="6">
        <f ca="1">-Main[[#This Row],[بدهی تسویه شده (کیلوگرم)]]+Main[[#This Row],[بستانکار (کیلوگرم)]]</f>
        <v>-1050</v>
      </c>
      <c r="J729" s="6">
        <f>IF(Main[[#This Row],[مقدار (کیلوگرم)]]&gt;0,Main[[#This Row],[مقدار (کیلوگرم)]],0)</f>
        <v>0</v>
      </c>
      <c r="K729" s="6">
        <f>-IF(Main[[#This Row],[مقدار (کیلوگرم)]]&lt;0,Main[[#This Row],[مقدار (کیلوگرم)]],0)</f>
        <v>1050</v>
      </c>
      <c r="L7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9" s="7">
        <f>-IF(AND(Main[[#This Row],[مقدار (کیلوگرم)]]&lt;0,Main[[#This Row],[تاريخ میلادی]]&gt;44276),Main[[#This Row],[مقدار (کیلوگرم)]],0)</f>
        <v>1050</v>
      </c>
      <c r="N729" s="6">
        <f ca="1">Main[[#This Row],[بدهکار (کیلوگرم)]]-Main[[#This Row],[بدهی تسویه نشده (کیلوگرم)]]</f>
        <v>1050</v>
      </c>
      <c r="O729" s="6">
        <f ca="1">Main[[#This Row],[تفکیک]]</f>
        <v>0</v>
      </c>
      <c r="P729" s="6">
        <f ca="1">IF(Main[[#This Row],[تاخیر از سررسید]]&gt;0,Main[[#This Row],[بدهی تسویه نشده (کیلوگرم)]],0)</f>
        <v>0</v>
      </c>
      <c r="Q729" s="6">
        <f ca="1">IF(Main[[#This Row],[بدهی تسویه نشده (کیلوگرم)]]&gt;0,'گزارش فردی'!$B$7-Main[[#This Row],[تاريخ میلادی]],0)</f>
        <v>0</v>
      </c>
      <c r="R729" s="6">
        <f ca="1">IF(Main[[#This Row],[بدهی تسویه نشده (کیلوگرم)]]&gt;0,'گزارش فردی'!$B$7-Main[[#This Row],[تاريخ میلادی]]-'گزارش فردی'!$B$8,0)</f>
        <v>0</v>
      </c>
      <c r="S729" s="6">
        <f ca="1">Main[[#This Row],[روز از ارسال سفارش]]*Main[[#This Row],[بدهی تسویه نشده (کیلوگرم)]]</f>
        <v>0</v>
      </c>
      <c r="T729" s="6">
        <f ca="1">Main[[#This Row],[بدهی سررسید شده (کیلوگرم)]]*Main[[#This Row],[روز از ارسال سفارش]]</f>
        <v>0</v>
      </c>
      <c r="U729" s="6">
        <f>-SUBTOTAL(9,INDEX(Main[مقدار (کیلوگرم)],1):Main[[#This Row],[مقدار (کیلوگرم)]])</f>
        <v>36341</v>
      </c>
      <c r="V7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9" s="6">
        <f>Main[[#This Row],[تعداد کل روزهای بدهکار (روز)]]*Main[[#This Row],[مانده در خط کل (کیلوگرم)]]</f>
        <v>36341</v>
      </c>
      <c r="X729" s="6">
        <f ca="1">-SUBTOTAL(9,INDEX(Main[مقدار تسویه شده (کیلوگرم)],1):Main[[#This Row],[مقدار تسویه شده (کیلوگرم)]])</f>
        <v>36341</v>
      </c>
      <c r="Y729" s="6">
        <f ca="1">IF(Main[[#This Row],[مانده در خط تسویه شده (کیلوگرم)]]&lt;&gt;0,Main[[#This Row],[تعداد کل روزهای بدهکار (روز)]],0)</f>
        <v>1</v>
      </c>
      <c r="Z729" s="6">
        <f ca="1">Main[[#This Row],[تعداد روزهای بدهکار تسویه شده (روز)]]*Main[[#This Row],[مانده در خط تسویه شده (کیلوگرم)]]</f>
        <v>36341</v>
      </c>
      <c r="AA729" s="6">
        <f ca="1">SUBTOTAL(9,INDEX(Main[بدهی تسویه نشده (کیلوگرم)],1):Main[[#This Row],[بدهی تسویه نشده (کیلوگرم)]])</f>
        <v>0</v>
      </c>
      <c r="AB729" s="6">
        <f ca="1">IF(Main[[#This Row],[مانده در خط تسویه نشده (کیلوگرم)]]&lt;&gt;0,Main[[#This Row],[تعداد کل روزهای بدهکار (روز)]],0)</f>
        <v>0</v>
      </c>
      <c r="AC729" s="6">
        <f ca="1">Main[[#This Row],[تعداد روزهای بدهکار  تسویه نشده (روز)]]*Main[[#This Row],[مانده در خط تسویه نشده (کیلوگرم)]]</f>
        <v>0</v>
      </c>
      <c r="AD729" s="6">
        <f ca="1">SUBTOTAL(9,INDEX(Main[بدهی سررسید شده (کیلوگرم)],1):Main[[#This Row],[بدهی سررسید شده (کیلوگرم)]])</f>
        <v>0</v>
      </c>
      <c r="AE729" s="6">
        <f ca="1">IF(Main[[#This Row],[مانده در خط سررسید شده (کیلوگرم)]]&lt;&gt;0,Main[[#This Row],[تعداد کل روزهای بدهکار (روز)]],0)</f>
        <v>0</v>
      </c>
      <c r="AF729" s="6">
        <f ca="1">Main[[#This Row],[تعداد روزهای بدهکار سررسید شده (روز)]]*Main[[#This Row],[مانده در خط سررسید شده (کیلوگرم)]]</f>
        <v>0</v>
      </c>
    </row>
    <row r="730" spans="1:32" hidden="1" x14ac:dyDescent="0.35">
      <c r="A730" s="5">
        <f>ROW()-ROW(INDEX(Main[ردیف],1))+1</f>
        <v>728</v>
      </c>
      <c r="B730" s="31">
        <f>SUBTOTAL(2,INDEX(Main[ردیف],1):Main[[#This Row],[ردیف]])</f>
        <v>68</v>
      </c>
      <c r="C730" s="32" t="s">
        <v>584</v>
      </c>
      <c r="D730" s="32" t="str">
        <f>_xlfn.CONCAT("14",Main[[#This Row],[تاريخ]])</f>
        <v>1400/03/19</v>
      </c>
      <c r="E730" s="33">
        <v>44356</v>
      </c>
      <c r="F730" s="32">
        <v>30009</v>
      </c>
      <c r="G730" s="5" t="str">
        <f>INDEX(customer[عنوان],MATCH(Main[[#This Row],[کد ردیابی]],customer[کد],0))</f>
        <v>شرکت ایمن تک پیشرو</v>
      </c>
      <c r="H730">
        <v>2063</v>
      </c>
      <c r="I730" s="6">
        <f ca="1">-Main[[#This Row],[بدهی تسویه شده (کیلوگرم)]]+Main[[#This Row],[بستانکار (کیلوگرم)]]</f>
        <v>2063</v>
      </c>
      <c r="J730" s="6">
        <f>IF(Main[[#This Row],[مقدار (کیلوگرم)]]&gt;0,Main[[#This Row],[مقدار (کیلوگرم)]],0)</f>
        <v>2063</v>
      </c>
      <c r="K730" s="6">
        <f>-IF(Main[[#This Row],[مقدار (کیلوگرم)]]&lt;0,Main[[#This Row],[مقدار (کیلوگرم)]],0)</f>
        <v>0</v>
      </c>
      <c r="L7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0" s="7">
        <f>-IF(AND(Main[[#This Row],[مقدار (کیلوگرم)]]&lt;0,Main[[#This Row],[تاريخ میلادی]]&gt;44276),Main[[#This Row],[مقدار (کیلوگرم)]],0)</f>
        <v>0</v>
      </c>
      <c r="N730" s="6">
        <f ca="1">Main[[#This Row],[بدهکار (کیلوگرم)]]-Main[[#This Row],[بدهی تسویه نشده (کیلوگرم)]]</f>
        <v>0</v>
      </c>
      <c r="O730" s="6">
        <f ca="1">Main[[#This Row],[تفکیک]]</f>
        <v>0</v>
      </c>
      <c r="P730" s="6">
        <f ca="1">IF(Main[[#This Row],[تاخیر از سررسید]]&gt;0,Main[[#This Row],[بدهی تسویه نشده (کیلوگرم)]],0)</f>
        <v>0</v>
      </c>
      <c r="Q730" s="6">
        <f ca="1">IF(Main[[#This Row],[بدهی تسویه نشده (کیلوگرم)]]&gt;0,'گزارش فردی'!$B$7-Main[[#This Row],[تاريخ میلادی]],0)</f>
        <v>0</v>
      </c>
      <c r="R730" s="6">
        <f ca="1">IF(Main[[#This Row],[بدهی تسویه نشده (کیلوگرم)]]&gt;0,'گزارش فردی'!$B$7-Main[[#This Row],[تاريخ میلادی]]-'گزارش فردی'!$B$8,0)</f>
        <v>0</v>
      </c>
      <c r="S730" s="6">
        <f ca="1">Main[[#This Row],[روز از ارسال سفارش]]*Main[[#This Row],[بدهی تسویه نشده (کیلوگرم)]]</f>
        <v>0</v>
      </c>
      <c r="T730" s="6">
        <f ca="1">Main[[#This Row],[بدهی سررسید شده (کیلوگرم)]]*Main[[#This Row],[روز از ارسال سفارش]]</f>
        <v>0</v>
      </c>
      <c r="U730" s="6">
        <f>-SUBTOTAL(9,INDEX(Main[مقدار (کیلوگرم)],1):Main[[#This Row],[مقدار (کیلوگرم)]])</f>
        <v>36341</v>
      </c>
      <c r="V7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30" s="6">
        <f>Main[[#This Row],[تعداد کل روزهای بدهکار (روز)]]*Main[[#This Row],[مانده در خط کل (کیلوگرم)]]</f>
        <v>36341</v>
      </c>
      <c r="X730" s="6">
        <f ca="1">-SUBTOTAL(9,INDEX(Main[مقدار تسویه شده (کیلوگرم)],1):Main[[#This Row],[مقدار تسویه شده (کیلوگرم)]])</f>
        <v>36341</v>
      </c>
      <c r="Y730" s="6">
        <f ca="1">IF(Main[[#This Row],[مانده در خط تسویه شده (کیلوگرم)]]&lt;&gt;0,Main[[#This Row],[تعداد کل روزهای بدهکار (روز)]],0)</f>
        <v>1</v>
      </c>
      <c r="Z730" s="6">
        <f ca="1">Main[[#This Row],[تعداد روزهای بدهکار تسویه شده (روز)]]*Main[[#This Row],[مانده در خط تسویه شده (کیلوگرم)]]</f>
        <v>36341</v>
      </c>
      <c r="AA730" s="6">
        <f ca="1">SUBTOTAL(9,INDEX(Main[بدهی تسویه نشده (کیلوگرم)],1):Main[[#This Row],[بدهی تسویه نشده (کیلوگرم)]])</f>
        <v>0</v>
      </c>
      <c r="AB730" s="6">
        <f ca="1">IF(Main[[#This Row],[مانده در خط تسویه نشده (کیلوگرم)]]&lt;&gt;0,Main[[#This Row],[تعداد کل روزهای بدهکار (روز)]],0)</f>
        <v>0</v>
      </c>
      <c r="AC730" s="6">
        <f ca="1">Main[[#This Row],[تعداد روزهای بدهکار  تسویه نشده (روز)]]*Main[[#This Row],[مانده در خط تسویه نشده (کیلوگرم)]]</f>
        <v>0</v>
      </c>
      <c r="AD730" s="6">
        <f ca="1">SUBTOTAL(9,INDEX(Main[بدهی سررسید شده (کیلوگرم)],1):Main[[#This Row],[بدهی سررسید شده (کیلوگرم)]])</f>
        <v>0</v>
      </c>
      <c r="AE730" s="6">
        <f ca="1">IF(Main[[#This Row],[مانده در خط سررسید شده (کیلوگرم)]]&lt;&gt;0,Main[[#This Row],[تعداد کل روزهای بدهکار (روز)]],0)</f>
        <v>0</v>
      </c>
      <c r="AF730" s="6">
        <f ca="1">Main[[#This Row],[تعداد روزهای بدهکار سررسید شده (روز)]]*Main[[#This Row],[مانده در خط سررسید شده (کیلوگرم)]]</f>
        <v>0</v>
      </c>
    </row>
    <row r="731" spans="1:32" hidden="1" x14ac:dyDescent="0.35">
      <c r="A731" s="5">
        <f>ROW()-ROW(INDEX(Main[ردیف],1))+1</f>
        <v>729</v>
      </c>
      <c r="B731" s="31">
        <f>SUBTOTAL(2,INDEX(Main[ردیف],1):Main[[#This Row],[ردیف]])</f>
        <v>68</v>
      </c>
      <c r="C731" s="32" t="s">
        <v>584</v>
      </c>
      <c r="D731" s="32" t="str">
        <f>_xlfn.CONCAT("14",Main[[#This Row],[تاريخ]])</f>
        <v>1400/03/19</v>
      </c>
      <c r="E731" s="33">
        <v>44356</v>
      </c>
      <c r="F731" s="32">
        <v>10026</v>
      </c>
      <c r="G731" s="5" t="str">
        <f>INDEX(customer[عنوان],MATCH(Main[[#This Row],[کد ردیابی]],customer[کد],0))</f>
        <v xml:space="preserve">محسن فیاض بخش </v>
      </c>
      <c r="H731">
        <v>-2041</v>
      </c>
      <c r="I731" s="6">
        <f ca="1">-Main[[#This Row],[بدهی تسویه شده (کیلوگرم)]]+Main[[#This Row],[بستانکار (کیلوگرم)]]</f>
        <v>-2041</v>
      </c>
      <c r="J731" s="6">
        <f>IF(Main[[#This Row],[مقدار (کیلوگرم)]]&gt;0,Main[[#This Row],[مقدار (کیلوگرم)]],0)</f>
        <v>0</v>
      </c>
      <c r="K731" s="6">
        <f>-IF(Main[[#This Row],[مقدار (کیلوگرم)]]&lt;0,Main[[#This Row],[مقدار (کیلوگرم)]],0)</f>
        <v>2041</v>
      </c>
      <c r="L7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1" s="7">
        <f>-IF(AND(Main[[#This Row],[مقدار (کیلوگرم)]]&lt;0,Main[[#This Row],[تاريخ میلادی]]&gt;44276),Main[[#This Row],[مقدار (کیلوگرم)]],0)</f>
        <v>2041</v>
      </c>
      <c r="N731" s="6">
        <f ca="1">Main[[#This Row],[بدهکار (کیلوگرم)]]-Main[[#This Row],[بدهی تسویه نشده (کیلوگرم)]]</f>
        <v>2041</v>
      </c>
      <c r="O731" s="6">
        <f ca="1">Main[[#This Row],[تفکیک]]</f>
        <v>0</v>
      </c>
      <c r="P731" s="6">
        <f ca="1">IF(Main[[#This Row],[تاخیر از سررسید]]&gt;0,Main[[#This Row],[بدهی تسویه نشده (کیلوگرم)]],0)</f>
        <v>0</v>
      </c>
      <c r="Q731" s="6">
        <f ca="1">IF(Main[[#This Row],[بدهی تسویه نشده (کیلوگرم)]]&gt;0,'گزارش فردی'!$B$7-Main[[#This Row],[تاريخ میلادی]],0)</f>
        <v>0</v>
      </c>
      <c r="R731" s="6">
        <f ca="1">IF(Main[[#This Row],[بدهی تسویه نشده (کیلوگرم)]]&gt;0,'گزارش فردی'!$B$7-Main[[#This Row],[تاريخ میلادی]]-'گزارش فردی'!$B$8,0)</f>
        <v>0</v>
      </c>
      <c r="S731" s="6">
        <f ca="1">Main[[#This Row],[روز از ارسال سفارش]]*Main[[#This Row],[بدهی تسویه نشده (کیلوگرم)]]</f>
        <v>0</v>
      </c>
      <c r="T731" s="6">
        <f ca="1">Main[[#This Row],[بدهی سررسید شده (کیلوگرم)]]*Main[[#This Row],[روز از ارسال سفارش]]</f>
        <v>0</v>
      </c>
      <c r="U731" s="6">
        <f>-SUBTOTAL(9,INDEX(Main[مقدار (کیلوگرم)],1):Main[[#This Row],[مقدار (کیلوگرم)]])</f>
        <v>36341</v>
      </c>
      <c r="V7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31" s="6">
        <f>Main[[#This Row],[تعداد کل روزهای بدهکار (روز)]]*Main[[#This Row],[مانده در خط کل (کیلوگرم)]]</f>
        <v>36341</v>
      </c>
      <c r="X731" s="6">
        <f ca="1">-SUBTOTAL(9,INDEX(Main[مقدار تسویه شده (کیلوگرم)],1):Main[[#This Row],[مقدار تسویه شده (کیلوگرم)]])</f>
        <v>36341</v>
      </c>
      <c r="Y731" s="6">
        <f ca="1">IF(Main[[#This Row],[مانده در خط تسویه شده (کیلوگرم)]]&lt;&gt;0,Main[[#This Row],[تعداد کل روزهای بدهکار (روز)]],0)</f>
        <v>1</v>
      </c>
      <c r="Z731" s="6">
        <f ca="1">Main[[#This Row],[تعداد روزهای بدهکار تسویه شده (روز)]]*Main[[#This Row],[مانده در خط تسویه شده (کیلوگرم)]]</f>
        <v>36341</v>
      </c>
      <c r="AA731" s="6">
        <f ca="1">SUBTOTAL(9,INDEX(Main[بدهی تسویه نشده (کیلوگرم)],1):Main[[#This Row],[بدهی تسویه نشده (کیلوگرم)]])</f>
        <v>0</v>
      </c>
      <c r="AB731" s="6">
        <f ca="1">IF(Main[[#This Row],[مانده در خط تسویه نشده (کیلوگرم)]]&lt;&gt;0,Main[[#This Row],[تعداد کل روزهای بدهکار (روز)]],0)</f>
        <v>0</v>
      </c>
      <c r="AC731" s="6">
        <f ca="1">Main[[#This Row],[تعداد روزهای بدهکار  تسویه نشده (روز)]]*Main[[#This Row],[مانده در خط تسویه نشده (کیلوگرم)]]</f>
        <v>0</v>
      </c>
      <c r="AD731" s="6">
        <f ca="1">SUBTOTAL(9,INDEX(Main[بدهی سررسید شده (کیلوگرم)],1):Main[[#This Row],[بدهی سررسید شده (کیلوگرم)]])</f>
        <v>0</v>
      </c>
      <c r="AE731" s="6">
        <f ca="1">IF(Main[[#This Row],[مانده در خط سررسید شده (کیلوگرم)]]&lt;&gt;0,Main[[#This Row],[تعداد کل روزهای بدهکار (روز)]],0)</f>
        <v>0</v>
      </c>
      <c r="AF731" s="6">
        <f ca="1">Main[[#This Row],[تعداد روزهای بدهکار سررسید شده (روز)]]*Main[[#This Row],[مانده در خط سررسید شده (کیلوگرم)]]</f>
        <v>0</v>
      </c>
    </row>
    <row r="732" spans="1:32" hidden="1" x14ac:dyDescent="0.35">
      <c r="A732" s="5">
        <f>ROW()-ROW(INDEX(Main[ردیف],1))+1</f>
        <v>730</v>
      </c>
      <c r="B732" s="31">
        <f>SUBTOTAL(2,INDEX(Main[ردیف],1):Main[[#This Row],[ردیف]])</f>
        <v>68</v>
      </c>
      <c r="C732" s="32" t="s">
        <v>584</v>
      </c>
      <c r="D732" s="32" t="str">
        <f>_xlfn.CONCAT("14",Main[[#This Row],[تاريخ]])</f>
        <v>1400/03/19</v>
      </c>
      <c r="E732" s="33">
        <v>44356</v>
      </c>
      <c r="F732" s="32">
        <v>30064</v>
      </c>
      <c r="G732" s="5" t="str">
        <f>INDEX(customer[عنوان],MATCH(Main[[#This Row],[کد ردیابی]],customer[کد],0))</f>
        <v>پایپکس</v>
      </c>
      <c r="H732">
        <v>504</v>
      </c>
      <c r="I732" s="6">
        <f ca="1">-Main[[#This Row],[بدهی تسویه شده (کیلوگرم)]]+Main[[#This Row],[بستانکار (کیلوگرم)]]</f>
        <v>504</v>
      </c>
      <c r="J732" s="6">
        <f>IF(Main[[#This Row],[مقدار (کیلوگرم)]]&gt;0,Main[[#This Row],[مقدار (کیلوگرم)]],0)</f>
        <v>504</v>
      </c>
      <c r="K732" s="6">
        <f>-IF(Main[[#This Row],[مقدار (کیلوگرم)]]&lt;0,Main[[#This Row],[مقدار (کیلوگرم)]],0)</f>
        <v>0</v>
      </c>
      <c r="L7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2" s="7">
        <f>-IF(AND(Main[[#This Row],[مقدار (کیلوگرم)]]&lt;0,Main[[#This Row],[تاريخ میلادی]]&gt;44276),Main[[#This Row],[مقدار (کیلوگرم)]],0)</f>
        <v>0</v>
      </c>
      <c r="N732" s="6">
        <f ca="1">Main[[#This Row],[بدهکار (کیلوگرم)]]-Main[[#This Row],[بدهی تسویه نشده (کیلوگرم)]]</f>
        <v>0</v>
      </c>
      <c r="O732" s="6">
        <f ca="1">Main[[#This Row],[تفکیک]]</f>
        <v>0</v>
      </c>
      <c r="P732" s="6">
        <f ca="1">IF(Main[[#This Row],[تاخیر از سررسید]]&gt;0,Main[[#This Row],[بدهی تسویه نشده (کیلوگرم)]],0)</f>
        <v>0</v>
      </c>
      <c r="Q732" s="6">
        <f ca="1">IF(Main[[#This Row],[بدهی تسویه نشده (کیلوگرم)]]&gt;0,'گزارش فردی'!$B$7-Main[[#This Row],[تاريخ میلادی]],0)</f>
        <v>0</v>
      </c>
      <c r="R732" s="6">
        <f ca="1">IF(Main[[#This Row],[بدهی تسویه نشده (کیلوگرم)]]&gt;0,'گزارش فردی'!$B$7-Main[[#This Row],[تاريخ میلادی]]-'گزارش فردی'!$B$8,0)</f>
        <v>0</v>
      </c>
      <c r="S732" s="6">
        <f ca="1">Main[[#This Row],[روز از ارسال سفارش]]*Main[[#This Row],[بدهی تسویه نشده (کیلوگرم)]]</f>
        <v>0</v>
      </c>
      <c r="T732" s="6">
        <f ca="1">Main[[#This Row],[بدهی سررسید شده (کیلوگرم)]]*Main[[#This Row],[روز از ارسال سفارش]]</f>
        <v>0</v>
      </c>
      <c r="U732" s="6">
        <f>-SUBTOTAL(9,INDEX(Main[مقدار (کیلوگرم)],1):Main[[#This Row],[مقدار (کیلوگرم)]])</f>
        <v>36341</v>
      </c>
      <c r="V7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32" s="6">
        <f>Main[[#This Row],[تعداد کل روزهای بدهکار (روز)]]*Main[[#This Row],[مانده در خط کل (کیلوگرم)]]</f>
        <v>36341</v>
      </c>
      <c r="X732" s="6">
        <f ca="1">-SUBTOTAL(9,INDEX(Main[مقدار تسویه شده (کیلوگرم)],1):Main[[#This Row],[مقدار تسویه شده (کیلوگرم)]])</f>
        <v>36341</v>
      </c>
      <c r="Y732" s="6">
        <f ca="1">IF(Main[[#This Row],[مانده در خط تسویه شده (کیلوگرم)]]&lt;&gt;0,Main[[#This Row],[تعداد کل روزهای بدهکار (روز)]],0)</f>
        <v>1</v>
      </c>
      <c r="Z732" s="6">
        <f ca="1">Main[[#This Row],[تعداد روزهای بدهکار تسویه شده (روز)]]*Main[[#This Row],[مانده در خط تسویه شده (کیلوگرم)]]</f>
        <v>36341</v>
      </c>
      <c r="AA732" s="6">
        <f ca="1">SUBTOTAL(9,INDEX(Main[بدهی تسویه نشده (کیلوگرم)],1):Main[[#This Row],[بدهی تسویه نشده (کیلوگرم)]])</f>
        <v>0</v>
      </c>
      <c r="AB732" s="6">
        <f ca="1">IF(Main[[#This Row],[مانده در خط تسویه نشده (کیلوگرم)]]&lt;&gt;0,Main[[#This Row],[تعداد کل روزهای بدهکار (روز)]],0)</f>
        <v>0</v>
      </c>
      <c r="AC732" s="6">
        <f ca="1">Main[[#This Row],[تعداد روزهای بدهکار  تسویه نشده (روز)]]*Main[[#This Row],[مانده در خط تسویه نشده (کیلوگرم)]]</f>
        <v>0</v>
      </c>
      <c r="AD732" s="6">
        <f ca="1">SUBTOTAL(9,INDEX(Main[بدهی سررسید شده (کیلوگرم)],1):Main[[#This Row],[بدهی سررسید شده (کیلوگرم)]])</f>
        <v>0</v>
      </c>
      <c r="AE732" s="6">
        <f ca="1">IF(Main[[#This Row],[مانده در خط سررسید شده (کیلوگرم)]]&lt;&gt;0,Main[[#This Row],[تعداد کل روزهای بدهکار (روز)]],0)</f>
        <v>0</v>
      </c>
      <c r="AF732" s="6">
        <f ca="1">Main[[#This Row],[تعداد روزهای بدهکار سررسید شده (روز)]]*Main[[#This Row],[مانده در خط سررسید شده (کیلوگرم)]]</f>
        <v>0</v>
      </c>
    </row>
    <row r="733" spans="1:32" hidden="1" x14ac:dyDescent="0.35">
      <c r="A733" s="5">
        <f>ROW()-ROW(INDEX(Main[ردیف],1))+1</f>
        <v>731</v>
      </c>
      <c r="B733" s="31">
        <f>SUBTOTAL(2,INDEX(Main[ردیف],1):Main[[#This Row],[ردیف]])</f>
        <v>68</v>
      </c>
      <c r="C733" s="32" t="s">
        <v>586</v>
      </c>
      <c r="D733" s="32" t="str">
        <f>_xlfn.CONCAT("14",Main[[#This Row],[تاريخ]])</f>
        <v>1400/03/20</v>
      </c>
      <c r="E733" s="33">
        <v>44357</v>
      </c>
      <c r="F733" s="32">
        <v>30127</v>
      </c>
      <c r="G733" s="5" t="str">
        <f>INDEX(customer[عنوان],MATCH(Main[[#This Row],[کد ردیابی]],customer[کد],0))</f>
        <v>شیر گاز آذران</v>
      </c>
      <c r="H733">
        <v>-15913</v>
      </c>
      <c r="I733" s="6">
        <f ca="1">-Main[[#This Row],[بدهی تسویه شده (کیلوگرم)]]+Main[[#This Row],[بستانکار (کیلوگرم)]]</f>
        <v>-15913</v>
      </c>
      <c r="J733" s="6">
        <f>IF(Main[[#This Row],[مقدار (کیلوگرم)]]&gt;0,Main[[#This Row],[مقدار (کیلوگرم)]],0)</f>
        <v>0</v>
      </c>
      <c r="K733" s="6">
        <f>-IF(Main[[#This Row],[مقدار (کیلوگرم)]]&lt;0,Main[[#This Row],[مقدار (کیلوگرم)]],0)</f>
        <v>15913</v>
      </c>
      <c r="L7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3" s="7">
        <f>-IF(AND(Main[[#This Row],[مقدار (کیلوگرم)]]&lt;0,Main[[#This Row],[تاريخ میلادی]]&gt;44276),Main[[#This Row],[مقدار (کیلوگرم)]],0)</f>
        <v>15913</v>
      </c>
      <c r="N733" s="6">
        <f ca="1">Main[[#This Row],[بدهکار (کیلوگرم)]]-Main[[#This Row],[بدهی تسویه نشده (کیلوگرم)]]</f>
        <v>15913</v>
      </c>
      <c r="O733" s="6">
        <f ca="1">Main[[#This Row],[تفکیک]]</f>
        <v>0</v>
      </c>
      <c r="P733" s="6">
        <f ca="1">IF(Main[[#This Row],[تاخیر از سررسید]]&gt;0,Main[[#This Row],[بدهی تسویه نشده (کیلوگرم)]],0)</f>
        <v>0</v>
      </c>
      <c r="Q733" s="6">
        <f ca="1">IF(Main[[#This Row],[بدهی تسویه نشده (کیلوگرم)]]&gt;0,'گزارش فردی'!$B$7-Main[[#This Row],[تاريخ میلادی]],0)</f>
        <v>0</v>
      </c>
      <c r="R733" s="6">
        <f ca="1">IF(Main[[#This Row],[بدهی تسویه نشده (کیلوگرم)]]&gt;0,'گزارش فردی'!$B$7-Main[[#This Row],[تاريخ میلادی]]-'گزارش فردی'!$B$8,0)</f>
        <v>0</v>
      </c>
      <c r="S733" s="6">
        <f ca="1">Main[[#This Row],[روز از ارسال سفارش]]*Main[[#This Row],[بدهی تسویه نشده (کیلوگرم)]]</f>
        <v>0</v>
      </c>
      <c r="T733" s="6">
        <f ca="1">Main[[#This Row],[بدهی سررسید شده (کیلوگرم)]]*Main[[#This Row],[روز از ارسال سفارش]]</f>
        <v>0</v>
      </c>
      <c r="U733" s="6">
        <f>-SUBTOTAL(9,INDEX(Main[مقدار (کیلوگرم)],1):Main[[#This Row],[مقدار (کیلوگرم)]])</f>
        <v>36341</v>
      </c>
      <c r="V7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3" s="6">
        <f>Main[[#This Row],[تعداد کل روزهای بدهکار (روز)]]*Main[[#This Row],[مانده در خط کل (کیلوگرم)]]</f>
        <v>0</v>
      </c>
      <c r="X733" s="6">
        <f ca="1">-SUBTOTAL(9,INDEX(Main[مقدار تسویه شده (کیلوگرم)],1):Main[[#This Row],[مقدار تسویه شده (کیلوگرم)]])</f>
        <v>36341</v>
      </c>
      <c r="Y733" s="6">
        <f ca="1">IF(Main[[#This Row],[مانده در خط تسویه شده (کیلوگرم)]]&lt;&gt;0,Main[[#This Row],[تعداد کل روزهای بدهکار (روز)]],0)</f>
        <v>0</v>
      </c>
      <c r="Z733" s="6">
        <f ca="1">Main[[#This Row],[تعداد روزهای بدهکار تسویه شده (روز)]]*Main[[#This Row],[مانده در خط تسویه شده (کیلوگرم)]]</f>
        <v>0</v>
      </c>
      <c r="AA733" s="6">
        <f ca="1">SUBTOTAL(9,INDEX(Main[بدهی تسویه نشده (کیلوگرم)],1):Main[[#This Row],[بدهی تسویه نشده (کیلوگرم)]])</f>
        <v>0</v>
      </c>
      <c r="AB733" s="6">
        <f ca="1">IF(Main[[#This Row],[مانده در خط تسویه نشده (کیلوگرم)]]&lt;&gt;0,Main[[#This Row],[تعداد کل روزهای بدهکار (روز)]],0)</f>
        <v>0</v>
      </c>
      <c r="AC733" s="6">
        <f ca="1">Main[[#This Row],[تعداد روزهای بدهکار  تسویه نشده (روز)]]*Main[[#This Row],[مانده در خط تسویه نشده (کیلوگرم)]]</f>
        <v>0</v>
      </c>
      <c r="AD733" s="6">
        <f ca="1">SUBTOTAL(9,INDEX(Main[بدهی سررسید شده (کیلوگرم)],1):Main[[#This Row],[بدهی سررسید شده (کیلوگرم)]])</f>
        <v>0</v>
      </c>
      <c r="AE733" s="6">
        <f ca="1">IF(Main[[#This Row],[مانده در خط سررسید شده (کیلوگرم)]]&lt;&gt;0,Main[[#This Row],[تعداد کل روزهای بدهکار (روز)]],0)</f>
        <v>0</v>
      </c>
      <c r="AF733" s="6">
        <f ca="1">Main[[#This Row],[تعداد روزهای بدهکار سررسید شده (روز)]]*Main[[#This Row],[مانده در خط سررسید شده (کیلوگرم)]]</f>
        <v>0</v>
      </c>
    </row>
    <row r="734" spans="1:32" hidden="1" x14ac:dyDescent="0.35">
      <c r="A734" s="5">
        <f>ROW()-ROW(INDEX(Main[ردیف],1))+1</f>
        <v>732</v>
      </c>
      <c r="B734" s="31">
        <f>SUBTOTAL(2,INDEX(Main[ردیف],1):Main[[#This Row],[ردیف]])</f>
        <v>68</v>
      </c>
      <c r="C734" s="32" t="s">
        <v>586</v>
      </c>
      <c r="D734" s="32" t="str">
        <f>_xlfn.CONCAT("14",Main[[#This Row],[تاريخ]])</f>
        <v>1400/03/20</v>
      </c>
      <c r="E734" s="33">
        <v>44357</v>
      </c>
      <c r="F734" s="32">
        <v>10057</v>
      </c>
      <c r="G734" s="5" t="str">
        <f>INDEX(customer[عنوان],MATCH(Main[[#This Row],[کد ردیابی]],customer[کد],0))</f>
        <v xml:space="preserve">عبدالله یادگار </v>
      </c>
      <c r="H734">
        <v>2222</v>
      </c>
      <c r="I734" s="6">
        <f ca="1">-Main[[#This Row],[بدهی تسویه شده (کیلوگرم)]]+Main[[#This Row],[بستانکار (کیلوگرم)]]</f>
        <v>2222</v>
      </c>
      <c r="J734" s="6">
        <f>IF(Main[[#This Row],[مقدار (کیلوگرم)]]&gt;0,Main[[#This Row],[مقدار (کیلوگرم)]],0)</f>
        <v>2222</v>
      </c>
      <c r="K734" s="6">
        <f>-IF(Main[[#This Row],[مقدار (کیلوگرم)]]&lt;0,Main[[#This Row],[مقدار (کیلوگرم)]],0)</f>
        <v>0</v>
      </c>
      <c r="L7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4" s="7">
        <f>-IF(AND(Main[[#This Row],[مقدار (کیلوگرم)]]&lt;0,Main[[#This Row],[تاريخ میلادی]]&gt;44276),Main[[#This Row],[مقدار (کیلوگرم)]],0)</f>
        <v>0</v>
      </c>
      <c r="N734" s="6">
        <f ca="1">Main[[#This Row],[بدهکار (کیلوگرم)]]-Main[[#This Row],[بدهی تسویه نشده (کیلوگرم)]]</f>
        <v>0</v>
      </c>
      <c r="O734" s="6">
        <f ca="1">Main[[#This Row],[تفکیک]]</f>
        <v>0</v>
      </c>
      <c r="P734" s="6">
        <f ca="1">IF(Main[[#This Row],[تاخیر از سررسید]]&gt;0,Main[[#This Row],[بدهی تسویه نشده (کیلوگرم)]],0)</f>
        <v>0</v>
      </c>
      <c r="Q734" s="6">
        <f ca="1">IF(Main[[#This Row],[بدهی تسویه نشده (کیلوگرم)]]&gt;0,'گزارش فردی'!$B$7-Main[[#This Row],[تاريخ میلادی]],0)</f>
        <v>0</v>
      </c>
      <c r="R734" s="6">
        <f ca="1">IF(Main[[#This Row],[بدهی تسویه نشده (کیلوگرم)]]&gt;0,'گزارش فردی'!$B$7-Main[[#This Row],[تاريخ میلادی]]-'گزارش فردی'!$B$8,0)</f>
        <v>0</v>
      </c>
      <c r="S734" s="6">
        <f ca="1">Main[[#This Row],[روز از ارسال سفارش]]*Main[[#This Row],[بدهی تسویه نشده (کیلوگرم)]]</f>
        <v>0</v>
      </c>
      <c r="T734" s="6">
        <f ca="1">Main[[#This Row],[بدهی سررسید شده (کیلوگرم)]]*Main[[#This Row],[روز از ارسال سفارش]]</f>
        <v>0</v>
      </c>
      <c r="U734" s="6">
        <f>-SUBTOTAL(9,INDEX(Main[مقدار (کیلوگرم)],1):Main[[#This Row],[مقدار (کیلوگرم)]])</f>
        <v>36341</v>
      </c>
      <c r="V7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4" s="6">
        <f>Main[[#This Row],[تعداد کل روزهای بدهکار (روز)]]*Main[[#This Row],[مانده در خط کل (کیلوگرم)]]</f>
        <v>0</v>
      </c>
      <c r="X734" s="6">
        <f ca="1">-SUBTOTAL(9,INDEX(Main[مقدار تسویه شده (کیلوگرم)],1):Main[[#This Row],[مقدار تسویه شده (کیلوگرم)]])</f>
        <v>36341</v>
      </c>
      <c r="Y734" s="6">
        <f ca="1">IF(Main[[#This Row],[مانده در خط تسویه شده (کیلوگرم)]]&lt;&gt;0,Main[[#This Row],[تعداد کل روزهای بدهکار (روز)]],0)</f>
        <v>0</v>
      </c>
      <c r="Z734" s="6">
        <f ca="1">Main[[#This Row],[تعداد روزهای بدهکار تسویه شده (روز)]]*Main[[#This Row],[مانده در خط تسویه شده (کیلوگرم)]]</f>
        <v>0</v>
      </c>
      <c r="AA734" s="6">
        <f ca="1">SUBTOTAL(9,INDEX(Main[بدهی تسویه نشده (کیلوگرم)],1):Main[[#This Row],[بدهی تسویه نشده (کیلوگرم)]])</f>
        <v>0</v>
      </c>
      <c r="AB734" s="6">
        <f ca="1">IF(Main[[#This Row],[مانده در خط تسویه نشده (کیلوگرم)]]&lt;&gt;0,Main[[#This Row],[تعداد کل روزهای بدهکار (روز)]],0)</f>
        <v>0</v>
      </c>
      <c r="AC734" s="6">
        <f ca="1">Main[[#This Row],[تعداد روزهای بدهکار  تسویه نشده (روز)]]*Main[[#This Row],[مانده در خط تسویه نشده (کیلوگرم)]]</f>
        <v>0</v>
      </c>
      <c r="AD734" s="6">
        <f ca="1">SUBTOTAL(9,INDEX(Main[بدهی سررسید شده (کیلوگرم)],1):Main[[#This Row],[بدهی سررسید شده (کیلوگرم)]])</f>
        <v>0</v>
      </c>
      <c r="AE734" s="6">
        <f ca="1">IF(Main[[#This Row],[مانده در خط سررسید شده (کیلوگرم)]]&lt;&gt;0,Main[[#This Row],[تعداد کل روزهای بدهکار (روز)]],0)</f>
        <v>0</v>
      </c>
      <c r="AF734" s="6">
        <f ca="1">Main[[#This Row],[تعداد روزهای بدهکار سررسید شده (روز)]]*Main[[#This Row],[مانده در خط سررسید شده (کیلوگرم)]]</f>
        <v>0</v>
      </c>
    </row>
    <row r="735" spans="1:32" hidden="1" x14ac:dyDescent="0.35">
      <c r="A735" s="5">
        <f>ROW()-ROW(INDEX(Main[ردیف],1))+1</f>
        <v>733</v>
      </c>
      <c r="B735" s="31">
        <f>SUBTOTAL(2,INDEX(Main[ردیف],1):Main[[#This Row],[ردیف]])</f>
        <v>68</v>
      </c>
      <c r="C735" s="32" t="s">
        <v>586</v>
      </c>
      <c r="D735" s="32" t="str">
        <f>_xlfn.CONCAT("14",Main[[#This Row],[تاريخ]])</f>
        <v>1400/03/20</v>
      </c>
      <c r="E735" s="33">
        <v>44357</v>
      </c>
      <c r="F735" s="32">
        <v>30099</v>
      </c>
      <c r="G735" s="5" t="str">
        <f>INDEX(customer[عنوان],MATCH(Main[[#This Row],[کد ردیابی]],customer[کد],0))</f>
        <v>ایران شرق نیشابور</v>
      </c>
      <c r="H735">
        <v>-3997</v>
      </c>
      <c r="I735" s="6">
        <f ca="1">-Main[[#This Row],[بدهی تسویه شده (کیلوگرم)]]+Main[[#This Row],[بستانکار (کیلوگرم)]]</f>
        <v>-3997</v>
      </c>
      <c r="J735" s="6">
        <f>IF(Main[[#This Row],[مقدار (کیلوگرم)]]&gt;0,Main[[#This Row],[مقدار (کیلوگرم)]],0)</f>
        <v>0</v>
      </c>
      <c r="K735" s="6">
        <f>-IF(Main[[#This Row],[مقدار (کیلوگرم)]]&lt;0,Main[[#This Row],[مقدار (کیلوگرم)]],0)</f>
        <v>3997</v>
      </c>
      <c r="L7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5" s="7">
        <f>-IF(AND(Main[[#This Row],[مقدار (کیلوگرم)]]&lt;0,Main[[#This Row],[تاريخ میلادی]]&gt;44276),Main[[#This Row],[مقدار (کیلوگرم)]],0)</f>
        <v>3997</v>
      </c>
      <c r="N735" s="6">
        <f ca="1">Main[[#This Row],[بدهکار (کیلوگرم)]]-Main[[#This Row],[بدهی تسویه نشده (کیلوگرم)]]</f>
        <v>3997</v>
      </c>
      <c r="O735" s="6">
        <f ca="1">Main[[#This Row],[تفکیک]]</f>
        <v>0</v>
      </c>
      <c r="P735" s="6">
        <f ca="1">IF(Main[[#This Row],[تاخیر از سررسید]]&gt;0,Main[[#This Row],[بدهی تسویه نشده (کیلوگرم)]],0)</f>
        <v>0</v>
      </c>
      <c r="Q735" s="6">
        <f ca="1">IF(Main[[#This Row],[بدهی تسویه نشده (کیلوگرم)]]&gt;0,'گزارش فردی'!$B$7-Main[[#This Row],[تاريخ میلادی]],0)</f>
        <v>0</v>
      </c>
      <c r="R735" s="6">
        <f ca="1">IF(Main[[#This Row],[بدهی تسویه نشده (کیلوگرم)]]&gt;0,'گزارش فردی'!$B$7-Main[[#This Row],[تاريخ میلادی]]-'گزارش فردی'!$B$8,0)</f>
        <v>0</v>
      </c>
      <c r="S735" s="6">
        <f ca="1">Main[[#This Row],[روز از ارسال سفارش]]*Main[[#This Row],[بدهی تسویه نشده (کیلوگرم)]]</f>
        <v>0</v>
      </c>
      <c r="T735" s="6">
        <f ca="1">Main[[#This Row],[بدهی سررسید شده (کیلوگرم)]]*Main[[#This Row],[روز از ارسال سفارش]]</f>
        <v>0</v>
      </c>
      <c r="U735" s="6">
        <f>-SUBTOTAL(9,INDEX(Main[مقدار (کیلوگرم)],1):Main[[#This Row],[مقدار (کیلوگرم)]])</f>
        <v>36341</v>
      </c>
      <c r="V7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5" s="6">
        <f>Main[[#This Row],[تعداد کل روزهای بدهکار (روز)]]*Main[[#This Row],[مانده در خط کل (کیلوگرم)]]</f>
        <v>0</v>
      </c>
      <c r="X735" s="6">
        <f ca="1">-SUBTOTAL(9,INDEX(Main[مقدار تسویه شده (کیلوگرم)],1):Main[[#This Row],[مقدار تسویه شده (کیلوگرم)]])</f>
        <v>36341</v>
      </c>
      <c r="Y735" s="6">
        <f ca="1">IF(Main[[#This Row],[مانده در خط تسویه شده (کیلوگرم)]]&lt;&gt;0,Main[[#This Row],[تعداد کل روزهای بدهکار (روز)]],0)</f>
        <v>0</v>
      </c>
      <c r="Z735" s="6">
        <f ca="1">Main[[#This Row],[تعداد روزهای بدهکار تسویه شده (روز)]]*Main[[#This Row],[مانده در خط تسویه شده (کیلوگرم)]]</f>
        <v>0</v>
      </c>
      <c r="AA735" s="6">
        <f ca="1">SUBTOTAL(9,INDEX(Main[بدهی تسویه نشده (کیلوگرم)],1):Main[[#This Row],[بدهی تسویه نشده (کیلوگرم)]])</f>
        <v>0</v>
      </c>
      <c r="AB735" s="6">
        <f ca="1">IF(Main[[#This Row],[مانده در خط تسویه نشده (کیلوگرم)]]&lt;&gt;0,Main[[#This Row],[تعداد کل روزهای بدهکار (روز)]],0)</f>
        <v>0</v>
      </c>
      <c r="AC735" s="6">
        <f ca="1">Main[[#This Row],[تعداد روزهای بدهکار  تسویه نشده (روز)]]*Main[[#This Row],[مانده در خط تسویه نشده (کیلوگرم)]]</f>
        <v>0</v>
      </c>
      <c r="AD735" s="6">
        <f ca="1">SUBTOTAL(9,INDEX(Main[بدهی سررسید شده (کیلوگرم)],1):Main[[#This Row],[بدهی سررسید شده (کیلوگرم)]])</f>
        <v>0</v>
      </c>
      <c r="AE735" s="6">
        <f ca="1">IF(Main[[#This Row],[مانده در خط سررسید شده (کیلوگرم)]]&lt;&gt;0,Main[[#This Row],[تعداد کل روزهای بدهکار (روز)]],0)</f>
        <v>0</v>
      </c>
      <c r="AF735" s="6">
        <f ca="1">Main[[#This Row],[تعداد روزهای بدهکار سررسید شده (روز)]]*Main[[#This Row],[مانده در خط سررسید شده (کیلوگرم)]]</f>
        <v>0</v>
      </c>
    </row>
    <row r="736" spans="1:32" hidden="1" x14ac:dyDescent="0.35">
      <c r="A736" s="5">
        <f>ROW()-ROW(INDEX(Main[ردیف],1))+1</f>
        <v>734</v>
      </c>
      <c r="B736" s="31">
        <f>SUBTOTAL(2,INDEX(Main[ردیف],1):Main[[#This Row],[ردیف]])</f>
        <v>68</v>
      </c>
      <c r="C736" s="32" t="s">
        <v>586</v>
      </c>
      <c r="D736" s="32" t="str">
        <f>_xlfn.CONCAT("14",Main[[#This Row],[تاريخ]])</f>
        <v>1400/03/20</v>
      </c>
      <c r="E736" s="33">
        <v>44357</v>
      </c>
      <c r="F736" s="32">
        <v>30009</v>
      </c>
      <c r="G736" s="5" t="str">
        <f>INDEX(customer[عنوان],MATCH(Main[[#This Row],[کد ردیابی]],customer[کد],0))</f>
        <v>شرکت ایمن تک پیشرو</v>
      </c>
      <c r="H736">
        <v>1060</v>
      </c>
      <c r="I736" s="6">
        <f ca="1">-Main[[#This Row],[بدهی تسویه شده (کیلوگرم)]]+Main[[#This Row],[بستانکار (کیلوگرم)]]</f>
        <v>1060</v>
      </c>
      <c r="J736" s="6">
        <f>IF(Main[[#This Row],[مقدار (کیلوگرم)]]&gt;0,Main[[#This Row],[مقدار (کیلوگرم)]],0)</f>
        <v>1060</v>
      </c>
      <c r="K736" s="6">
        <f>-IF(Main[[#This Row],[مقدار (کیلوگرم)]]&lt;0,Main[[#This Row],[مقدار (کیلوگرم)]],0)</f>
        <v>0</v>
      </c>
      <c r="L7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6" s="7">
        <f>-IF(AND(Main[[#This Row],[مقدار (کیلوگرم)]]&lt;0,Main[[#This Row],[تاريخ میلادی]]&gt;44276),Main[[#This Row],[مقدار (کیلوگرم)]],0)</f>
        <v>0</v>
      </c>
      <c r="N736" s="6">
        <f ca="1">Main[[#This Row],[بدهکار (کیلوگرم)]]-Main[[#This Row],[بدهی تسویه نشده (کیلوگرم)]]</f>
        <v>0</v>
      </c>
      <c r="O736" s="6">
        <f ca="1">Main[[#This Row],[تفکیک]]</f>
        <v>0</v>
      </c>
      <c r="P736" s="6">
        <f ca="1">IF(Main[[#This Row],[تاخیر از سررسید]]&gt;0,Main[[#This Row],[بدهی تسویه نشده (کیلوگرم)]],0)</f>
        <v>0</v>
      </c>
      <c r="Q736" s="6">
        <f ca="1">IF(Main[[#This Row],[بدهی تسویه نشده (کیلوگرم)]]&gt;0,'گزارش فردی'!$B$7-Main[[#This Row],[تاريخ میلادی]],0)</f>
        <v>0</v>
      </c>
      <c r="R736" s="6">
        <f ca="1">IF(Main[[#This Row],[بدهی تسویه نشده (کیلوگرم)]]&gt;0,'گزارش فردی'!$B$7-Main[[#This Row],[تاريخ میلادی]]-'گزارش فردی'!$B$8,0)</f>
        <v>0</v>
      </c>
      <c r="S736" s="6">
        <f ca="1">Main[[#This Row],[روز از ارسال سفارش]]*Main[[#This Row],[بدهی تسویه نشده (کیلوگرم)]]</f>
        <v>0</v>
      </c>
      <c r="T736" s="6">
        <f ca="1">Main[[#This Row],[بدهی سررسید شده (کیلوگرم)]]*Main[[#This Row],[روز از ارسال سفارش]]</f>
        <v>0</v>
      </c>
      <c r="U736" s="6">
        <f>-SUBTOTAL(9,INDEX(Main[مقدار (کیلوگرم)],1):Main[[#This Row],[مقدار (کیلوگرم)]])</f>
        <v>36341</v>
      </c>
      <c r="V7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6" s="6">
        <f>Main[[#This Row],[تعداد کل روزهای بدهکار (روز)]]*Main[[#This Row],[مانده در خط کل (کیلوگرم)]]</f>
        <v>0</v>
      </c>
      <c r="X736" s="6">
        <f ca="1">-SUBTOTAL(9,INDEX(Main[مقدار تسویه شده (کیلوگرم)],1):Main[[#This Row],[مقدار تسویه شده (کیلوگرم)]])</f>
        <v>36341</v>
      </c>
      <c r="Y736" s="6">
        <f ca="1">IF(Main[[#This Row],[مانده در خط تسویه شده (کیلوگرم)]]&lt;&gt;0,Main[[#This Row],[تعداد کل روزهای بدهکار (روز)]],0)</f>
        <v>0</v>
      </c>
      <c r="Z736" s="6">
        <f ca="1">Main[[#This Row],[تعداد روزهای بدهکار تسویه شده (روز)]]*Main[[#This Row],[مانده در خط تسویه شده (کیلوگرم)]]</f>
        <v>0</v>
      </c>
      <c r="AA736" s="6">
        <f ca="1">SUBTOTAL(9,INDEX(Main[بدهی تسویه نشده (کیلوگرم)],1):Main[[#This Row],[بدهی تسویه نشده (کیلوگرم)]])</f>
        <v>0</v>
      </c>
      <c r="AB736" s="6">
        <f ca="1">IF(Main[[#This Row],[مانده در خط تسویه نشده (کیلوگرم)]]&lt;&gt;0,Main[[#This Row],[تعداد کل روزهای بدهکار (روز)]],0)</f>
        <v>0</v>
      </c>
      <c r="AC736" s="6">
        <f ca="1">Main[[#This Row],[تعداد روزهای بدهکار  تسویه نشده (روز)]]*Main[[#This Row],[مانده در خط تسویه نشده (کیلوگرم)]]</f>
        <v>0</v>
      </c>
      <c r="AD736" s="6">
        <f ca="1">SUBTOTAL(9,INDEX(Main[بدهی سررسید شده (کیلوگرم)],1):Main[[#This Row],[بدهی سررسید شده (کیلوگرم)]])</f>
        <v>0</v>
      </c>
      <c r="AE736" s="6">
        <f ca="1">IF(Main[[#This Row],[مانده در خط سررسید شده (کیلوگرم)]]&lt;&gt;0,Main[[#This Row],[تعداد کل روزهای بدهکار (روز)]],0)</f>
        <v>0</v>
      </c>
      <c r="AF736" s="6">
        <f ca="1">Main[[#This Row],[تعداد روزهای بدهکار سررسید شده (روز)]]*Main[[#This Row],[مانده در خط سررسید شده (کیلوگرم)]]</f>
        <v>0</v>
      </c>
    </row>
    <row r="737" spans="1:32" x14ac:dyDescent="0.35">
      <c r="A737" s="5">
        <f>ROW()-ROW(INDEX(Main[ردیف],1))+1</f>
        <v>735</v>
      </c>
      <c r="B737" s="31">
        <f>SUBTOTAL(2,INDEX(Main[ردیف],1):Main[[#This Row],[ردیف]])</f>
        <v>69</v>
      </c>
      <c r="C737" s="32" t="s">
        <v>586</v>
      </c>
      <c r="D737" s="32" t="str">
        <f>_xlfn.CONCAT("14",Main[[#This Row],[تاريخ]])</f>
        <v>1400/03/20</v>
      </c>
      <c r="E737" s="33">
        <v>44357</v>
      </c>
      <c r="F737" s="32">
        <v>10003</v>
      </c>
      <c r="G737" s="5" t="str">
        <f>INDEX(customer[عنوان],MATCH(Main[[#This Row],[کد ردیابی]],customer[کد],0))</f>
        <v>اصغر نورعلی</v>
      </c>
      <c r="H737">
        <v>-1488</v>
      </c>
      <c r="I737" s="6">
        <f ca="1">-Main[[#This Row],[بدهی تسویه شده (کیلوگرم)]]+Main[[#This Row],[بستانکار (کیلوگرم)]]</f>
        <v>-1488</v>
      </c>
      <c r="J737" s="6">
        <f>IF(Main[[#This Row],[مقدار (کیلوگرم)]]&gt;0,Main[[#This Row],[مقدار (کیلوگرم)]],0)</f>
        <v>0</v>
      </c>
      <c r="K737" s="6">
        <f>-IF(Main[[#This Row],[مقدار (کیلوگرم)]]&lt;0,Main[[#This Row],[مقدار (کیلوگرم)]],0)</f>
        <v>1488</v>
      </c>
      <c r="L7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7" s="7">
        <f>-IF(AND(Main[[#This Row],[مقدار (کیلوگرم)]]&lt;0,Main[[#This Row],[تاريخ میلادی]]&gt;44276),Main[[#This Row],[مقدار (کیلوگرم)]],0)</f>
        <v>1488</v>
      </c>
      <c r="N737" s="6">
        <f ca="1">Main[[#This Row],[بدهکار (کیلوگرم)]]-Main[[#This Row],[بدهی تسویه نشده (کیلوگرم)]]</f>
        <v>1488</v>
      </c>
      <c r="O737" s="6">
        <f ca="1">Main[[#This Row],[تفکیک]]</f>
        <v>0</v>
      </c>
      <c r="P737" s="6">
        <f ca="1">IF(Main[[#This Row],[تاخیر از سررسید]]&gt;0,Main[[#This Row],[بدهی تسویه نشده (کیلوگرم)]],0)</f>
        <v>0</v>
      </c>
      <c r="Q737" s="6">
        <f ca="1">IF(Main[[#This Row],[بدهی تسویه نشده (کیلوگرم)]]&gt;0,'گزارش فردی'!$B$7-Main[[#This Row],[تاريخ میلادی]],0)</f>
        <v>0</v>
      </c>
      <c r="R737" s="6">
        <f ca="1">IF(Main[[#This Row],[بدهی تسویه نشده (کیلوگرم)]]&gt;0,'گزارش فردی'!$B$7-Main[[#This Row],[تاريخ میلادی]]-'گزارش فردی'!$B$8,0)</f>
        <v>0</v>
      </c>
      <c r="S737" s="6">
        <f ca="1">Main[[#This Row],[روز از ارسال سفارش]]*Main[[#This Row],[بدهی تسویه نشده (کیلوگرم)]]</f>
        <v>0</v>
      </c>
      <c r="T737" s="6">
        <f ca="1">Main[[#This Row],[بدهی سررسید شده (کیلوگرم)]]*Main[[#This Row],[روز از ارسال سفارش]]</f>
        <v>0</v>
      </c>
      <c r="U737" s="6">
        <f>-SUBTOTAL(9,INDEX(Main[مقدار (کیلوگرم)],1):Main[[#This Row],[مقدار (کیلوگرم)]])</f>
        <v>37829</v>
      </c>
      <c r="V73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37" s="6">
        <f>Main[[#This Row],[تعداد کل روزهای بدهکار (روز)]]*Main[[#This Row],[مانده در خط کل (کیلوگرم)]]</f>
        <v>75658</v>
      </c>
      <c r="X737" s="6">
        <f ca="1">-SUBTOTAL(9,INDEX(Main[مقدار تسویه شده (کیلوگرم)],1):Main[[#This Row],[مقدار تسویه شده (کیلوگرم)]])</f>
        <v>37829</v>
      </c>
      <c r="Y737" s="6">
        <f ca="1">IF(Main[[#This Row],[مانده در خط تسویه شده (کیلوگرم)]]&lt;&gt;0,Main[[#This Row],[تعداد کل روزهای بدهکار (روز)]],0)</f>
        <v>2</v>
      </c>
      <c r="Z737" s="6">
        <f ca="1">Main[[#This Row],[تعداد روزهای بدهکار تسویه شده (روز)]]*Main[[#This Row],[مانده در خط تسویه شده (کیلوگرم)]]</f>
        <v>75658</v>
      </c>
      <c r="AA737" s="6">
        <f ca="1">SUBTOTAL(9,INDEX(Main[بدهی تسویه نشده (کیلوگرم)],1):Main[[#This Row],[بدهی تسویه نشده (کیلوگرم)]])</f>
        <v>0</v>
      </c>
      <c r="AB737" s="6">
        <f ca="1">IF(Main[[#This Row],[مانده در خط تسویه نشده (کیلوگرم)]]&lt;&gt;0,Main[[#This Row],[تعداد کل روزهای بدهکار (روز)]],0)</f>
        <v>0</v>
      </c>
      <c r="AC737" s="6">
        <f ca="1">Main[[#This Row],[تعداد روزهای بدهکار  تسویه نشده (روز)]]*Main[[#This Row],[مانده در خط تسویه نشده (کیلوگرم)]]</f>
        <v>0</v>
      </c>
      <c r="AD737" s="6">
        <f ca="1">SUBTOTAL(9,INDEX(Main[بدهی سررسید شده (کیلوگرم)],1):Main[[#This Row],[بدهی سررسید شده (کیلوگرم)]])</f>
        <v>0</v>
      </c>
      <c r="AE737" s="6">
        <f ca="1">IF(Main[[#This Row],[مانده در خط سررسید شده (کیلوگرم)]]&lt;&gt;0,Main[[#This Row],[تعداد کل روزهای بدهکار (روز)]],0)</f>
        <v>0</v>
      </c>
      <c r="AF737" s="6">
        <f ca="1">Main[[#This Row],[تعداد روزهای بدهکار سررسید شده (روز)]]*Main[[#This Row],[مانده در خط سررسید شده (کیلوگرم)]]</f>
        <v>0</v>
      </c>
    </row>
    <row r="738" spans="1:32" hidden="1" x14ac:dyDescent="0.35">
      <c r="A738" s="5">
        <f>ROW()-ROW(INDEX(Main[ردیف],1))+1</f>
        <v>736</v>
      </c>
      <c r="B738" s="31">
        <f>SUBTOTAL(2,INDEX(Main[ردیف],1):Main[[#This Row],[ردیف]])</f>
        <v>69</v>
      </c>
      <c r="C738" s="32" t="s">
        <v>586</v>
      </c>
      <c r="D738" s="32" t="str">
        <f>_xlfn.CONCAT("14",Main[[#This Row],[تاريخ]])</f>
        <v>1400/03/20</v>
      </c>
      <c r="E738" s="33">
        <v>44357</v>
      </c>
      <c r="F738" s="32">
        <v>10004</v>
      </c>
      <c r="G738" s="5" t="str">
        <f>INDEX(customer[عنوان],MATCH(Main[[#This Row],[کد ردیابی]],customer[کد],0))</f>
        <v xml:space="preserve">محمد عباسی </v>
      </c>
      <c r="H738">
        <v>972</v>
      </c>
      <c r="I738" s="6">
        <f ca="1">-Main[[#This Row],[بدهی تسویه شده (کیلوگرم)]]+Main[[#This Row],[بستانکار (کیلوگرم)]]</f>
        <v>972</v>
      </c>
      <c r="J738" s="6">
        <f>IF(Main[[#This Row],[مقدار (کیلوگرم)]]&gt;0,Main[[#This Row],[مقدار (کیلوگرم)]],0)</f>
        <v>972</v>
      </c>
      <c r="K738" s="6">
        <f>-IF(Main[[#This Row],[مقدار (کیلوگرم)]]&lt;0,Main[[#This Row],[مقدار (کیلوگرم)]],0)</f>
        <v>0</v>
      </c>
      <c r="L7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8" s="7">
        <f>-IF(AND(Main[[#This Row],[مقدار (کیلوگرم)]]&lt;0,Main[[#This Row],[تاريخ میلادی]]&gt;44276),Main[[#This Row],[مقدار (کیلوگرم)]],0)</f>
        <v>0</v>
      </c>
      <c r="N738" s="6">
        <f ca="1">Main[[#This Row],[بدهکار (کیلوگرم)]]-Main[[#This Row],[بدهی تسویه نشده (کیلوگرم)]]</f>
        <v>0</v>
      </c>
      <c r="O738" s="6">
        <f ca="1">Main[[#This Row],[تفکیک]]</f>
        <v>0</v>
      </c>
      <c r="P738" s="6">
        <f ca="1">IF(Main[[#This Row],[تاخیر از سررسید]]&gt;0,Main[[#This Row],[بدهی تسویه نشده (کیلوگرم)]],0)</f>
        <v>0</v>
      </c>
      <c r="Q738" s="6">
        <f ca="1">IF(Main[[#This Row],[بدهی تسویه نشده (کیلوگرم)]]&gt;0,'گزارش فردی'!$B$7-Main[[#This Row],[تاريخ میلادی]],0)</f>
        <v>0</v>
      </c>
      <c r="R738" s="6">
        <f ca="1">IF(Main[[#This Row],[بدهی تسویه نشده (کیلوگرم)]]&gt;0,'گزارش فردی'!$B$7-Main[[#This Row],[تاريخ میلادی]]-'گزارش فردی'!$B$8,0)</f>
        <v>0</v>
      </c>
      <c r="S738" s="6">
        <f ca="1">Main[[#This Row],[روز از ارسال سفارش]]*Main[[#This Row],[بدهی تسویه نشده (کیلوگرم)]]</f>
        <v>0</v>
      </c>
      <c r="T738" s="6">
        <f ca="1">Main[[#This Row],[بدهی سررسید شده (کیلوگرم)]]*Main[[#This Row],[روز از ارسال سفارش]]</f>
        <v>0</v>
      </c>
      <c r="U738" s="6">
        <f>-SUBTOTAL(9,INDEX(Main[مقدار (کیلوگرم)],1):Main[[#This Row],[مقدار (کیلوگرم)]])</f>
        <v>37829</v>
      </c>
      <c r="V73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38" s="6">
        <f>Main[[#This Row],[تعداد کل روزهای بدهکار (روز)]]*Main[[#This Row],[مانده در خط کل (کیلوگرم)]]</f>
        <v>75658</v>
      </c>
      <c r="X738" s="6">
        <f ca="1">-SUBTOTAL(9,INDEX(Main[مقدار تسویه شده (کیلوگرم)],1):Main[[#This Row],[مقدار تسویه شده (کیلوگرم)]])</f>
        <v>37829</v>
      </c>
      <c r="Y738" s="6">
        <f ca="1">IF(Main[[#This Row],[مانده در خط تسویه شده (کیلوگرم)]]&lt;&gt;0,Main[[#This Row],[تعداد کل روزهای بدهکار (روز)]],0)</f>
        <v>2</v>
      </c>
      <c r="Z738" s="6">
        <f ca="1">Main[[#This Row],[تعداد روزهای بدهکار تسویه شده (روز)]]*Main[[#This Row],[مانده در خط تسویه شده (کیلوگرم)]]</f>
        <v>75658</v>
      </c>
      <c r="AA738" s="6">
        <f ca="1">SUBTOTAL(9,INDEX(Main[بدهی تسویه نشده (کیلوگرم)],1):Main[[#This Row],[بدهی تسویه نشده (کیلوگرم)]])</f>
        <v>0</v>
      </c>
      <c r="AB738" s="6">
        <f ca="1">IF(Main[[#This Row],[مانده در خط تسویه نشده (کیلوگرم)]]&lt;&gt;0,Main[[#This Row],[تعداد کل روزهای بدهکار (روز)]],0)</f>
        <v>0</v>
      </c>
      <c r="AC738" s="6">
        <f ca="1">Main[[#This Row],[تعداد روزهای بدهکار  تسویه نشده (روز)]]*Main[[#This Row],[مانده در خط تسویه نشده (کیلوگرم)]]</f>
        <v>0</v>
      </c>
      <c r="AD738" s="6">
        <f ca="1">SUBTOTAL(9,INDEX(Main[بدهی سررسید شده (کیلوگرم)],1):Main[[#This Row],[بدهی سررسید شده (کیلوگرم)]])</f>
        <v>0</v>
      </c>
      <c r="AE738" s="6">
        <f ca="1">IF(Main[[#This Row],[مانده در خط سررسید شده (کیلوگرم)]]&lt;&gt;0,Main[[#This Row],[تعداد کل روزهای بدهکار (روز)]],0)</f>
        <v>0</v>
      </c>
      <c r="AF738" s="6">
        <f ca="1">Main[[#This Row],[تعداد روزهای بدهکار سررسید شده (روز)]]*Main[[#This Row],[مانده در خط سررسید شده (کیلوگرم)]]</f>
        <v>0</v>
      </c>
    </row>
    <row r="739" spans="1:32" hidden="1" x14ac:dyDescent="0.35">
      <c r="A739" s="5">
        <f>ROW()-ROW(INDEX(Main[ردیف],1))+1</f>
        <v>737</v>
      </c>
      <c r="B739" s="31">
        <f>SUBTOTAL(2,INDEX(Main[ردیف],1):Main[[#This Row],[ردیف]])</f>
        <v>69</v>
      </c>
      <c r="C739" s="32" t="s">
        <v>586</v>
      </c>
      <c r="D739" s="32" t="str">
        <f>_xlfn.CONCAT("14",Main[[#This Row],[تاريخ]])</f>
        <v>1400/03/20</v>
      </c>
      <c r="E739" s="33">
        <v>44357</v>
      </c>
      <c r="F739" s="32">
        <v>10004</v>
      </c>
      <c r="G739" s="5" t="str">
        <f>INDEX(customer[عنوان],MATCH(Main[[#This Row],[کد ردیابی]],customer[کد],0))</f>
        <v xml:space="preserve">محمد عباسی </v>
      </c>
      <c r="H739">
        <v>48</v>
      </c>
      <c r="I739" s="6">
        <f ca="1">-Main[[#This Row],[بدهی تسویه شده (کیلوگرم)]]+Main[[#This Row],[بستانکار (کیلوگرم)]]</f>
        <v>48</v>
      </c>
      <c r="J739" s="6">
        <f>IF(Main[[#This Row],[مقدار (کیلوگرم)]]&gt;0,Main[[#This Row],[مقدار (کیلوگرم)]],0)</f>
        <v>48</v>
      </c>
      <c r="K739" s="6">
        <f>-IF(Main[[#This Row],[مقدار (کیلوگرم)]]&lt;0,Main[[#This Row],[مقدار (کیلوگرم)]],0)</f>
        <v>0</v>
      </c>
      <c r="L7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9" s="7">
        <f>-IF(AND(Main[[#This Row],[مقدار (کیلوگرم)]]&lt;0,Main[[#This Row],[تاريخ میلادی]]&gt;44276),Main[[#This Row],[مقدار (کیلوگرم)]],0)</f>
        <v>0</v>
      </c>
      <c r="N739" s="6">
        <f ca="1">Main[[#This Row],[بدهکار (کیلوگرم)]]-Main[[#This Row],[بدهی تسویه نشده (کیلوگرم)]]</f>
        <v>0</v>
      </c>
      <c r="O739" s="6">
        <f ca="1">Main[[#This Row],[تفکیک]]</f>
        <v>0</v>
      </c>
      <c r="P739" s="6">
        <f ca="1">IF(Main[[#This Row],[تاخیر از سررسید]]&gt;0,Main[[#This Row],[بدهی تسویه نشده (کیلوگرم)]],0)</f>
        <v>0</v>
      </c>
      <c r="Q739" s="6">
        <f ca="1">IF(Main[[#This Row],[بدهی تسویه نشده (کیلوگرم)]]&gt;0,'گزارش فردی'!$B$7-Main[[#This Row],[تاريخ میلادی]],0)</f>
        <v>0</v>
      </c>
      <c r="R739" s="6">
        <f ca="1">IF(Main[[#This Row],[بدهی تسویه نشده (کیلوگرم)]]&gt;0,'گزارش فردی'!$B$7-Main[[#This Row],[تاريخ میلادی]]-'گزارش فردی'!$B$8,0)</f>
        <v>0</v>
      </c>
      <c r="S739" s="6">
        <f ca="1">Main[[#This Row],[روز از ارسال سفارش]]*Main[[#This Row],[بدهی تسویه نشده (کیلوگرم)]]</f>
        <v>0</v>
      </c>
      <c r="T739" s="6">
        <f ca="1">Main[[#This Row],[بدهی سررسید شده (کیلوگرم)]]*Main[[#This Row],[روز از ارسال سفارش]]</f>
        <v>0</v>
      </c>
      <c r="U739" s="6">
        <f>-SUBTOTAL(9,INDEX(Main[مقدار (کیلوگرم)],1):Main[[#This Row],[مقدار (کیلوگرم)]])</f>
        <v>37829</v>
      </c>
      <c r="V7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39" s="6">
        <f>Main[[#This Row],[تعداد کل روزهای بدهکار (روز)]]*Main[[#This Row],[مانده در خط کل (کیلوگرم)]]</f>
        <v>75658</v>
      </c>
      <c r="X739" s="6">
        <f ca="1">-SUBTOTAL(9,INDEX(Main[مقدار تسویه شده (کیلوگرم)],1):Main[[#This Row],[مقدار تسویه شده (کیلوگرم)]])</f>
        <v>37829</v>
      </c>
      <c r="Y739" s="6">
        <f ca="1">IF(Main[[#This Row],[مانده در خط تسویه شده (کیلوگرم)]]&lt;&gt;0,Main[[#This Row],[تعداد کل روزهای بدهکار (روز)]],0)</f>
        <v>2</v>
      </c>
      <c r="Z739" s="6">
        <f ca="1">Main[[#This Row],[تعداد روزهای بدهکار تسویه شده (روز)]]*Main[[#This Row],[مانده در خط تسویه شده (کیلوگرم)]]</f>
        <v>75658</v>
      </c>
      <c r="AA739" s="6">
        <f ca="1">SUBTOTAL(9,INDEX(Main[بدهی تسویه نشده (کیلوگرم)],1):Main[[#This Row],[بدهی تسویه نشده (کیلوگرم)]])</f>
        <v>0</v>
      </c>
      <c r="AB739" s="6">
        <f ca="1">IF(Main[[#This Row],[مانده در خط تسویه نشده (کیلوگرم)]]&lt;&gt;0,Main[[#This Row],[تعداد کل روزهای بدهکار (روز)]],0)</f>
        <v>0</v>
      </c>
      <c r="AC739" s="6">
        <f ca="1">Main[[#This Row],[تعداد روزهای بدهکار  تسویه نشده (روز)]]*Main[[#This Row],[مانده در خط تسویه نشده (کیلوگرم)]]</f>
        <v>0</v>
      </c>
      <c r="AD739" s="6">
        <f ca="1">SUBTOTAL(9,INDEX(Main[بدهی سررسید شده (کیلوگرم)],1):Main[[#This Row],[بدهی سررسید شده (کیلوگرم)]])</f>
        <v>0</v>
      </c>
      <c r="AE739" s="6">
        <f ca="1">IF(Main[[#This Row],[مانده در خط سررسید شده (کیلوگرم)]]&lt;&gt;0,Main[[#This Row],[تعداد کل روزهای بدهکار (روز)]],0)</f>
        <v>0</v>
      </c>
      <c r="AF739" s="6">
        <f ca="1">Main[[#This Row],[تعداد روزهای بدهکار سررسید شده (روز)]]*Main[[#This Row],[مانده در خط سررسید شده (کیلوگرم)]]</f>
        <v>0</v>
      </c>
    </row>
    <row r="740" spans="1:32" hidden="1" x14ac:dyDescent="0.35">
      <c r="A740" s="5">
        <f>ROW()-ROW(INDEX(Main[ردیف],1))+1</f>
        <v>738</v>
      </c>
      <c r="B740" s="31">
        <f>SUBTOTAL(2,INDEX(Main[ردیف],1):Main[[#This Row],[ردیف]])</f>
        <v>69</v>
      </c>
      <c r="C740" s="32" t="s">
        <v>587</v>
      </c>
      <c r="D740" s="32" t="str">
        <f>_xlfn.CONCAT("14",Main[[#This Row],[تاريخ]])</f>
        <v>1400/03/22</v>
      </c>
      <c r="E740" s="33">
        <v>44359</v>
      </c>
      <c r="F740" s="32">
        <v>30101</v>
      </c>
      <c r="G740" s="5" t="str">
        <f>INDEX(customer[عنوان],MATCH(Main[[#This Row],[کد ردیابی]],customer[کد],0))</f>
        <v>شرکت قاره سبز</v>
      </c>
      <c r="H740">
        <v>-1216</v>
      </c>
      <c r="I740" s="6">
        <f ca="1">-Main[[#This Row],[بدهی تسویه شده (کیلوگرم)]]+Main[[#This Row],[بستانکار (کیلوگرم)]]</f>
        <v>-1216</v>
      </c>
      <c r="J740" s="6">
        <f>IF(Main[[#This Row],[مقدار (کیلوگرم)]]&gt;0,Main[[#This Row],[مقدار (کیلوگرم)]],0)</f>
        <v>0</v>
      </c>
      <c r="K740" s="6">
        <f>-IF(Main[[#This Row],[مقدار (کیلوگرم)]]&lt;0,Main[[#This Row],[مقدار (کیلوگرم)]],0)</f>
        <v>1216</v>
      </c>
      <c r="L7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0" s="7">
        <f>-IF(AND(Main[[#This Row],[مقدار (کیلوگرم)]]&lt;0,Main[[#This Row],[تاريخ میلادی]]&gt;44276),Main[[#This Row],[مقدار (کیلوگرم)]],0)</f>
        <v>1216</v>
      </c>
      <c r="N740" s="6">
        <f ca="1">Main[[#This Row],[بدهکار (کیلوگرم)]]-Main[[#This Row],[بدهی تسویه نشده (کیلوگرم)]]</f>
        <v>1216</v>
      </c>
      <c r="O740" s="6">
        <f ca="1">Main[[#This Row],[تفکیک]]</f>
        <v>0</v>
      </c>
      <c r="P740" s="6">
        <f ca="1">IF(Main[[#This Row],[تاخیر از سررسید]]&gt;0,Main[[#This Row],[بدهی تسویه نشده (کیلوگرم)]],0)</f>
        <v>0</v>
      </c>
      <c r="Q740" s="6">
        <f ca="1">IF(Main[[#This Row],[بدهی تسویه نشده (کیلوگرم)]]&gt;0,'گزارش فردی'!$B$7-Main[[#This Row],[تاريخ میلادی]],0)</f>
        <v>0</v>
      </c>
      <c r="R740" s="6">
        <f ca="1">IF(Main[[#This Row],[بدهی تسویه نشده (کیلوگرم)]]&gt;0,'گزارش فردی'!$B$7-Main[[#This Row],[تاريخ میلادی]]-'گزارش فردی'!$B$8,0)</f>
        <v>0</v>
      </c>
      <c r="S740" s="6">
        <f ca="1">Main[[#This Row],[روز از ارسال سفارش]]*Main[[#This Row],[بدهی تسویه نشده (کیلوگرم)]]</f>
        <v>0</v>
      </c>
      <c r="T740" s="6">
        <f ca="1">Main[[#This Row],[بدهی سررسید شده (کیلوگرم)]]*Main[[#This Row],[روز از ارسال سفارش]]</f>
        <v>0</v>
      </c>
      <c r="U740" s="6">
        <f>-SUBTOTAL(9,INDEX(Main[مقدار (کیلوگرم)],1):Main[[#This Row],[مقدار (کیلوگرم)]])</f>
        <v>37829</v>
      </c>
      <c r="V7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0" s="6">
        <f>Main[[#This Row],[تعداد کل روزهای بدهکار (روز)]]*Main[[#This Row],[مانده در خط کل (کیلوگرم)]]</f>
        <v>0</v>
      </c>
      <c r="X740" s="6">
        <f ca="1">-SUBTOTAL(9,INDEX(Main[مقدار تسویه شده (کیلوگرم)],1):Main[[#This Row],[مقدار تسویه شده (کیلوگرم)]])</f>
        <v>37829</v>
      </c>
      <c r="Y740" s="6">
        <f ca="1">IF(Main[[#This Row],[مانده در خط تسویه شده (کیلوگرم)]]&lt;&gt;0,Main[[#This Row],[تعداد کل روزهای بدهکار (روز)]],0)</f>
        <v>0</v>
      </c>
      <c r="Z740" s="6">
        <f ca="1">Main[[#This Row],[تعداد روزهای بدهکار تسویه شده (روز)]]*Main[[#This Row],[مانده در خط تسویه شده (کیلوگرم)]]</f>
        <v>0</v>
      </c>
      <c r="AA740" s="6">
        <f ca="1">SUBTOTAL(9,INDEX(Main[بدهی تسویه نشده (کیلوگرم)],1):Main[[#This Row],[بدهی تسویه نشده (کیلوگرم)]])</f>
        <v>0</v>
      </c>
      <c r="AB740" s="6">
        <f ca="1">IF(Main[[#This Row],[مانده در خط تسویه نشده (کیلوگرم)]]&lt;&gt;0,Main[[#This Row],[تعداد کل روزهای بدهکار (روز)]],0)</f>
        <v>0</v>
      </c>
      <c r="AC740" s="6">
        <f ca="1">Main[[#This Row],[تعداد روزهای بدهکار  تسویه نشده (روز)]]*Main[[#This Row],[مانده در خط تسویه نشده (کیلوگرم)]]</f>
        <v>0</v>
      </c>
      <c r="AD740" s="6">
        <f ca="1">SUBTOTAL(9,INDEX(Main[بدهی سررسید شده (کیلوگرم)],1):Main[[#This Row],[بدهی سررسید شده (کیلوگرم)]])</f>
        <v>0</v>
      </c>
      <c r="AE740" s="6">
        <f ca="1">IF(Main[[#This Row],[مانده در خط سررسید شده (کیلوگرم)]]&lt;&gt;0,Main[[#This Row],[تعداد کل روزهای بدهکار (روز)]],0)</f>
        <v>0</v>
      </c>
      <c r="AF740" s="6">
        <f ca="1">Main[[#This Row],[تعداد روزهای بدهکار سررسید شده (روز)]]*Main[[#This Row],[مانده در خط سررسید شده (کیلوگرم)]]</f>
        <v>0</v>
      </c>
    </row>
    <row r="741" spans="1:32" hidden="1" x14ac:dyDescent="0.35">
      <c r="A741" s="5">
        <f>ROW()-ROW(INDEX(Main[ردیف],1))+1</f>
        <v>739</v>
      </c>
      <c r="B741" s="31">
        <f>SUBTOTAL(2,INDEX(Main[ردیف],1):Main[[#This Row],[ردیف]])</f>
        <v>69</v>
      </c>
      <c r="C741" s="32" t="s">
        <v>587</v>
      </c>
      <c r="D741" s="32" t="str">
        <f>_xlfn.CONCAT("14",Main[[#This Row],[تاريخ]])</f>
        <v>1400/03/22</v>
      </c>
      <c r="E741" s="33">
        <v>44359</v>
      </c>
      <c r="F741" s="32">
        <v>10057</v>
      </c>
      <c r="G741" s="5" t="str">
        <f>INDEX(customer[عنوان],MATCH(Main[[#This Row],[کد ردیابی]],customer[کد],0))</f>
        <v xml:space="preserve">عبدالله یادگار </v>
      </c>
      <c r="H741">
        <v>202</v>
      </c>
      <c r="I741" s="6">
        <f ca="1">-Main[[#This Row],[بدهی تسویه شده (کیلوگرم)]]+Main[[#This Row],[بستانکار (کیلوگرم)]]</f>
        <v>202</v>
      </c>
      <c r="J741" s="6">
        <f>IF(Main[[#This Row],[مقدار (کیلوگرم)]]&gt;0,Main[[#This Row],[مقدار (کیلوگرم)]],0)</f>
        <v>202</v>
      </c>
      <c r="K741" s="6">
        <f>-IF(Main[[#This Row],[مقدار (کیلوگرم)]]&lt;0,Main[[#This Row],[مقدار (کیلوگرم)]],0)</f>
        <v>0</v>
      </c>
      <c r="L7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1" s="7">
        <f>-IF(AND(Main[[#This Row],[مقدار (کیلوگرم)]]&lt;0,Main[[#This Row],[تاريخ میلادی]]&gt;44276),Main[[#This Row],[مقدار (کیلوگرم)]],0)</f>
        <v>0</v>
      </c>
      <c r="N741" s="6">
        <f ca="1">Main[[#This Row],[بدهکار (کیلوگرم)]]-Main[[#This Row],[بدهی تسویه نشده (کیلوگرم)]]</f>
        <v>0</v>
      </c>
      <c r="O741" s="6">
        <f ca="1">Main[[#This Row],[تفکیک]]</f>
        <v>0</v>
      </c>
      <c r="P741" s="6">
        <f ca="1">IF(Main[[#This Row],[تاخیر از سررسید]]&gt;0,Main[[#This Row],[بدهی تسویه نشده (کیلوگرم)]],0)</f>
        <v>0</v>
      </c>
      <c r="Q741" s="6">
        <f ca="1">IF(Main[[#This Row],[بدهی تسویه نشده (کیلوگرم)]]&gt;0,'گزارش فردی'!$B$7-Main[[#This Row],[تاريخ میلادی]],0)</f>
        <v>0</v>
      </c>
      <c r="R741" s="6">
        <f ca="1">IF(Main[[#This Row],[بدهی تسویه نشده (کیلوگرم)]]&gt;0,'گزارش فردی'!$B$7-Main[[#This Row],[تاريخ میلادی]]-'گزارش فردی'!$B$8,0)</f>
        <v>0</v>
      </c>
      <c r="S741" s="6">
        <f ca="1">Main[[#This Row],[روز از ارسال سفارش]]*Main[[#This Row],[بدهی تسویه نشده (کیلوگرم)]]</f>
        <v>0</v>
      </c>
      <c r="T741" s="6">
        <f ca="1">Main[[#This Row],[بدهی سررسید شده (کیلوگرم)]]*Main[[#This Row],[روز از ارسال سفارش]]</f>
        <v>0</v>
      </c>
      <c r="U741" s="6">
        <f>-SUBTOTAL(9,INDEX(Main[مقدار (کیلوگرم)],1):Main[[#This Row],[مقدار (کیلوگرم)]])</f>
        <v>37829</v>
      </c>
      <c r="V7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1" s="6">
        <f>Main[[#This Row],[تعداد کل روزهای بدهکار (روز)]]*Main[[#This Row],[مانده در خط کل (کیلوگرم)]]</f>
        <v>0</v>
      </c>
      <c r="X741" s="6">
        <f ca="1">-SUBTOTAL(9,INDEX(Main[مقدار تسویه شده (کیلوگرم)],1):Main[[#This Row],[مقدار تسویه شده (کیلوگرم)]])</f>
        <v>37829</v>
      </c>
      <c r="Y741" s="6">
        <f ca="1">IF(Main[[#This Row],[مانده در خط تسویه شده (کیلوگرم)]]&lt;&gt;0,Main[[#This Row],[تعداد کل روزهای بدهکار (روز)]],0)</f>
        <v>0</v>
      </c>
      <c r="Z741" s="6">
        <f ca="1">Main[[#This Row],[تعداد روزهای بدهکار تسویه شده (روز)]]*Main[[#This Row],[مانده در خط تسویه شده (کیلوگرم)]]</f>
        <v>0</v>
      </c>
      <c r="AA741" s="6">
        <f ca="1">SUBTOTAL(9,INDEX(Main[بدهی تسویه نشده (کیلوگرم)],1):Main[[#This Row],[بدهی تسویه نشده (کیلوگرم)]])</f>
        <v>0</v>
      </c>
      <c r="AB741" s="6">
        <f ca="1">IF(Main[[#This Row],[مانده در خط تسویه نشده (کیلوگرم)]]&lt;&gt;0,Main[[#This Row],[تعداد کل روزهای بدهکار (روز)]],0)</f>
        <v>0</v>
      </c>
      <c r="AC741" s="6">
        <f ca="1">Main[[#This Row],[تعداد روزهای بدهکار  تسویه نشده (روز)]]*Main[[#This Row],[مانده در خط تسویه نشده (کیلوگرم)]]</f>
        <v>0</v>
      </c>
      <c r="AD741" s="6">
        <f ca="1">SUBTOTAL(9,INDEX(Main[بدهی سررسید شده (کیلوگرم)],1):Main[[#This Row],[بدهی سررسید شده (کیلوگرم)]])</f>
        <v>0</v>
      </c>
      <c r="AE741" s="6">
        <f ca="1">IF(Main[[#This Row],[مانده در خط سررسید شده (کیلوگرم)]]&lt;&gt;0,Main[[#This Row],[تعداد کل روزهای بدهکار (روز)]],0)</f>
        <v>0</v>
      </c>
      <c r="AF741" s="6">
        <f ca="1">Main[[#This Row],[تعداد روزهای بدهکار سررسید شده (روز)]]*Main[[#This Row],[مانده در خط سررسید شده (کیلوگرم)]]</f>
        <v>0</v>
      </c>
    </row>
    <row r="742" spans="1:32" hidden="1" x14ac:dyDescent="0.35">
      <c r="A742" s="5">
        <f>ROW()-ROW(INDEX(Main[ردیف],1))+1</f>
        <v>740</v>
      </c>
      <c r="B742" s="31">
        <f>SUBTOTAL(2,INDEX(Main[ردیف],1):Main[[#This Row],[ردیف]])</f>
        <v>69</v>
      </c>
      <c r="C742" s="32" t="s">
        <v>587</v>
      </c>
      <c r="D742" s="32" t="str">
        <f>_xlfn.CONCAT("14",Main[[#This Row],[تاريخ]])</f>
        <v>1400/03/22</v>
      </c>
      <c r="E742" s="33">
        <v>44359</v>
      </c>
      <c r="F742" s="32">
        <v>30066</v>
      </c>
      <c r="G742" s="5" t="str">
        <f>INDEX(customer[عنوان],MATCH(Main[[#This Row],[کد ردیابی]],customer[کد],0))</f>
        <v xml:space="preserve">شیر آلات بهداشتی قهرمان </v>
      </c>
      <c r="H742">
        <v>-5374</v>
      </c>
      <c r="I742" s="6">
        <f ca="1">-Main[[#This Row],[بدهی تسویه شده (کیلوگرم)]]+Main[[#This Row],[بستانکار (کیلوگرم)]]</f>
        <v>-5374</v>
      </c>
      <c r="J742" s="6">
        <f>IF(Main[[#This Row],[مقدار (کیلوگرم)]]&gt;0,Main[[#This Row],[مقدار (کیلوگرم)]],0)</f>
        <v>0</v>
      </c>
      <c r="K742" s="6">
        <f>-IF(Main[[#This Row],[مقدار (کیلوگرم)]]&lt;0,Main[[#This Row],[مقدار (کیلوگرم)]],0)</f>
        <v>5374</v>
      </c>
      <c r="L7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2" s="7">
        <f>-IF(AND(Main[[#This Row],[مقدار (کیلوگرم)]]&lt;0,Main[[#This Row],[تاريخ میلادی]]&gt;44276),Main[[#This Row],[مقدار (کیلوگرم)]],0)</f>
        <v>5374</v>
      </c>
      <c r="N742" s="6">
        <f ca="1">Main[[#This Row],[بدهکار (کیلوگرم)]]-Main[[#This Row],[بدهی تسویه نشده (کیلوگرم)]]</f>
        <v>5374</v>
      </c>
      <c r="O742" s="6">
        <f ca="1">Main[[#This Row],[تفکیک]]</f>
        <v>0</v>
      </c>
      <c r="P742" s="6">
        <f ca="1">IF(Main[[#This Row],[تاخیر از سررسید]]&gt;0,Main[[#This Row],[بدهی تسویه نشده (کیلوگرم)]],0)</f>
        <v>0</v>
      </c>
      <c r="Q742" s="6">
        <f ca="1">IF(Main[[#This Row],[بدهی تسویه نشده (کیلوگرم)]]&gt;0,'گزارش فردی'!$B$7-Main[[#This Row],[تاريخ میلادی]],0)</f>
        <v>0</v>
      </c>
      <c r="R742" s="6">
        <f ca="1">IF(Main[[#This Row],[بدهی تسویه نشده (کیلوگرم)]]&gt;0,'گزارش فردی'!$B$7-Main[[#This Row],[تاريخ میلادی]]-'گزارش فردی'!$B$8,0)</f>
        <v>0</v>
      </c>
      <c r="S742" s="6">
        <f ca="1">Main[[#This Row],[روز از ارسال سفارش]]*Main[[#This Row],[بدهی تسویه نشده (کیلوگرم)]]</f>
        <v>0</v>
      </c>
      <c r="T742" s="6">
        <f ca="1">Main[[#This Row],[بدهی سررسید شده (کیلوگرم)]]*Main[[#This Row],[روز از ارسال سفارش]]</f>
        <v>0</v>
      </c>
      <c r="U742" s="6">
        <f>-SUBTOTAL(9,INDEX(Main[مقدار (کیلوگرم)],1):Main[[#This Row],[مقدار (کیلوگرم)]])</f>
        <v>37829</v>
      </c>
      <c r="V7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2" s="6">
        <f>Main[[#This Row],[تعداد کل روزهای بدهکار (روز)]]*Main[[#This Row],[مانده در خط کل (کیلوگرم)]]</f>
        <v>0</v>
      </c>
      <c r="X742" s="6">
        <f ca="1">-SUBTOTAL(9,INDEX(Main[مقدار تسویه شده (کیلوگرم)],1):Main[[#This Row],[مقدار تسویه شده (کیلوگرم)]])</f>
        <v>37829</v>
      </c>
      <c r="Y742" s="6">
        <f ca="1">IF(Main[[#This Row],[مانده در خط تسویه شده (کیلوگرم)]]&lt;&gt;0,Main[[#This Row],[تعداد کل روزهای بدهکار (روز)]],0)</f>
        <v>0</v>
      </c>
      <c r="Z742" s="6">
        <f ca="1">Main[[#This Row],[تعداد روزهای بدهکار تسویه شده (روز)]]*Main[[#This Row],[مانده در خط تسویه شده (کیلوگرم)]]</f>
        <v>0</v>
      </c>
      <c r="AA742" s="6">
        <f ca="1">SUBTOTAL(9,INDEX(Main[بدهی تسویه نشده (کیلوگرم)],1):Main[[#This Row],[بدهی تسویه نشده (کیلوگرم)]])</f>
        <v>0</v>
      </c>
      <c r="AB742" s="6">
        <f ca="1">IF(Main[[#This Row],[مانده در خط تسویه نشده (کیلوگرم)]]&lt;&gt;0,Main[[#This Row],[تعداد کل روزهای بدهکار (روز)]],0)</f>
        <v>0</v>
      </c>
      <c r="AC742" s="6">
        <f ca="1">Main[[#This Row],[تعداد روزهای بدهکار  تسویه نشده (روز)]]*Main[[#This Row],[مانده در خط تسویه نشده (کیلوگرم)]]</f>
        <v>0</v>
      </c>
      <c r="AD742" s="6">
        <f ca="1">SUBTOTAL(9,INDEX(Main[بدهی سررسید شده (کیلوگرم)],1):Main[[#This Row],[بدهی سررسید شده (کیلوگرم)]])</f>
        <v>0</v>
      </c>
      <c r="AE742" s="6">
        <f ca="1">IF(Main[[#This Row],[مانده در خط سررسید شده (کیلوگرم)]]&lt;&gt;0,Main[[#This Row],[تعداد کل روزهای بدهکار (روز)]],0)</f>
        <v>0</v>
      </c>
      <c r="AF742" s="6">
        <f ca="1">Main[[#This Row],[تعداد روزهای بدهکار سررسید شده (روز)]]*Main[[#This Row],[مانده در خط سررسید شده (کیلوگرم)]]</f>
        <v>0</v>
      </c>
    </row>
    <row r="743" spans="1:32" hidden="1" x14ac:dyDescent="0.35">
      <c r="A743" s="5">
        <f>ROW()-ROW(INDEX(Main[ردیف],1))+1</f>
        <v>741</v>
      </c>
      <c r="B743" s="31">
        <f>SUBTOTAL(2,INDEX(Main[ردیف],1):Main[[#This Row],[ردیف]])</f>
        <v>69</v>
      </c>
      <c r="C743" s="32" t="s">
        <v>587</v>
      </c>
      <c r="D743" s="32" t="str">
        <f>_xlfn.CONCAT("14",Main[[#This Row],[تاريخ]])</f>
        <v>1400/03/22</v>
      </c>
      <c r="E743" s="33">
        <v>44359</v>
      </c>
      <c r="F743" s="32">
        <v>10057</v>
      </c>
      <c r="G743" s="5" t="str">
        <f>INDEX(customer[عنوان],MATCH(Main[[#This Row],[کد ردیابی]],customer[کد],0))</f>
        <v xml:space="preserve">عبدالله یادگار </v>
      </c>
      <c r="H743">
        <v>664</v>
      </c>
      <c r="I743" s="6">
        <f ca="1">-Main[[#This Row],[بدهی تسویه شده (کیلوگرم)]]+Main[[#This Row],[بستانکار (کیلوگرم)]]</f>
        <v>664</v>
      </c>
      <c r="J743" s="6">
        <f>IF(Main[[#This Row],[مقدار (کیلوگرم)]]&gt;0,Main[[#This Row],[مقدار (کیلوگرم)]],0)</f>
        <v>664</v>
      </c>
      <c r="K743" s="6">
        <f>-IF(Main[[#This Row],[مقدار (کیلوگرم)]]&lt;0,Main[[#This Row],[مقدار (کیلوگرم)]],0)</f>
        <v>0</v>
      </c>
      <c r="L7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3" s="7">
        <f>-IF(AND(Main[[#This Row],[مقدار (کیلوگرم)]]&lt;0,Main[[#This Row],[تاريخ میلادی]]&gt;44276),Main[[#This Row],[مقدار (کیلوگرم)]],0)</f>
        <v>0</v>
      </c>
      <c r="N743" s="6">
        <f ca="1">Main[[#This Row],[بدهکار (کیلوگرم)]]-Main[[#This Row],[بدهی تسویه نشده (کیلوگرم)]]</f>
        <v>0</v>
      </c>
      <c r="O743" s="6">
        <f ca="1">Main[[#This Row],[تفکیک]]</f>
        <v>0</v>
      </c>
      <c r="P743" s="6">
        <f ca="1">IF(Main[[#This Row],[تاخیر از سررسید]]&gt;0,Main[[#This Row],[بدهی تسویه نشده (کیلوگرم)]],0)</f>
        <v>0</v>
      </c>
      <c r="Q743" s="6">
        <f ca="1">IF(Main[[#This Row],[بدهی تسویه نشده (کیلوگرم)]]&gt;0,'گزارش فردی'!$B$7-Main[[#This Row],[تاريخ میلادی]],0)</f>
        <v>0</v>
      </c>
      <c r="R743" s="6">
        <f ca="1">IF(Main[[#This Row],[بدهی تسویه نشده (کیلوگرم)]]&gt;0,'گزارش فردی'!$B$7-Main[[#This Row],[تاريخ میلادی]]-'گزارش فردی'!$B$8,0)</f>
        <v>0</v>
      </c>
      <c r="S743" s="6">
        <f ca="1">Main[[#This Row],[روز از ارسال سفارش]]*Main[[#This Row],[بدهی تسویه نشده (کیلوگرم)]]</f>
        <v>0</v>
      </c>
      <c r="T743" s="6">
        <f ca="1">Main[[#This Row],[بدهی سررسید شده (کیلوگرم)]]*Main[[#This Row],[روز از ارسال سفارش]]</f>
        <v>0</v>
      </c>
      <c r="U743" s="6">
        <f>-SUBTOTAL(9,INDEX(Main[مقدار (کیلوگرم)],1):Main[[#This Row],[مقدار (کیلوگرم)]])</f>
        <v>37829</v>
      </c>
      <c r="V7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3" s="6">
        <f>Main[[#This Row],[تعداد کل روزهای بدهکار (روز)]]*Main[[#This Row],[مانده در خط کل (کیلوگرم)]]</f>
        <v>0</v>
      </c>
      <c r="X743" s="6">
        <f ca="1">-SUBTOTAL(9,INDEX(Main[مقدار تسویه شده (کیلوگرم)],1):Main[[#This Row],[مقدار تسویه شده (کیلوگرم)]])</f>
        <v>37829</v>
      </c>
      <c r="Y743" s="6">
        <f ca="1">IF(Main[[#This Row],[مانده در خط تسویه شده (کیلوگرم)]]&lt;&gt;0,Main[[#This Row],[تعداد کل روزهای بدهکار (روز)]],0)</f>
        <v>0</v>
      </c>
      <c r="Z743" s="6">
        <f ca="1">Main[[#This Row],[تعداد روزهای بدهکار تسویه شده (روز)]]*Main[[#This Row],[مانده در خط تسویه شده (کیلوگرم)]]</f>
        <v>0</v>
      </c>
      <c r="AA743" s="6">
        <f ca="1">SUBTOTAL(9,INDEX(Main[بدهی تسویه نشده (کیلوگرم)],1):Main[[#This Row],[بدهی تسویه نشده (کیلوگرم)]])</f>
        <v>0</v>
      </c>
      <c r="AB743" s="6">
        <f ca="1">IF(Main[[#This Row],[مانده در خط تسویه نشده (کیلوگرم)]]&lt;&gt;0,Main[[#This Row],[تعداد کل روزهای بدهکار (روز)]],0)</f>
        <v>0</v>
      </c>
      <c r="AC743" s="6">
        <f ca="1">Main[[#This Row],[تعداد روزهای بدهکار  تسویه نشده (روز)]]*Main[[#This Row],[مانده در خط تسویه نشده (کیلوگرم)]]</f>
        <v>0</v>
      </c>
      <c r="AD743" s="6">
        <f ca="1">SUBTOTAL(9,INDEX(Main[بدهی سررسید شده (کیلوگرم)],1):Main[[#This Row],[بدهی سررسید شده (کیلوگرم)]])</f>
        <v>0</v>
      </c>
      <c r="AE743" s="6">
        <f ca="1">IF(Main[[#This Row],[مانده در خط سررسید شده (کیلوگرم)]]&lt;&gt;0,Main[[#This Row],[تعداد کل روزهای بدهکار (روز)]],0)</f>
        <v>0</v>
      </c>
      <c r="AF743" s="6">
        <f ca="1">Main[[#This Row],[تعداد روزهای بدهکار سررسید شده (روز)]]*Main[[#This Row],[مانده در خط سررسید شده (کیلوگرم)]]</f>
        <v>0</v>
      </c>
    </row>
    <row r="744" spans="1:32" hidden="1" x14ac:dyDescent="0.35">
      <c r="A744" s="5">
        <f>ROW()-ROW(INDEX(Main[ردیف],1))+1</f>
        <v>742</v>
      </c>
      <c r="B744" s="31">
        <f>SUBTOTAL(2,INDEX(Main[ردیف],1):Main[[#This Row],[ردیف]])</f>
        <v>69</v>
      </c>
      <c r="C744" s="32" t="s">
        <v>587</v>
      </c>
      <c r="D744" s="32" t="str">
        <f>_xlfn.CONCAT("14",Main[[#This Row],[تاريخ]])</f>
        <v>1400/03/22</v>
      </c>
      <c r="E744" s="33">
        <v>44359</v>
      </c>
      <c r="F744" s="32">
        <v>30066</v>
      </c>
      <c r="G744" s="5" t="str">
        <f>INDEX(customer[عنوان],MATCH(Main[[#This Row],[کد ردیابی]],customer[کد],0))</f>
        <v xml:space="preserve">شیر آلات بهداشتی قهرمان </v>
      </c>
      <c r="H744">
        <v>-1131</v>
      </c>
      <c r="I744" s="6">
        <f ca="1">-Main[[#This Row],[بدهی تسویه شده (کیلوگرم)]]+Main[[#This Row],[بستانکار (کیلوگرم)]]</f>
        <v>-1131</v>
      </c>
      <c r="J744" s="6">
        <f>IF(Main[[#This Row],[مقدار (کیلوگرم)]]&gt;0,Main[[#This Row],[مقدار (کیلوگرم)]],0)</f>
        <v>0</v>
      </c>
      <c r="K744" s="6">
        <f>-IF(Main[[#This Row],[مقدار (کیلوگرم)]]&lt;0,Main[[#This Row],[مقدار (کیلوگرم)]],0)</f>
        <v>1131</v>
      </c>
      <c r="L7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4" s="7">
        <f>-IF(AND(Main[[#This Row],[مقدار (کیلوگرم)]]&lt;0,Main[[#This Row],[تاريخ میلادی]]&gt;44276),Main[[#This Row],[مقدار (کیلوگرم)]],0)</f>
        <v>1131</v>
      </c>
      <c r="N744" s="6">
        <f ca="1">Main[[#This Row],[بدهکار (کیلوگرم)]]-Main[[#This Row],[بدهی تسویه نشده (کیلوگرم)]]</f>
        <v>1131</v>
      </c>
      <c r="O744" s="6">
        <f ca="1">Main[[#This Row],[تفکیک]]</f>
        <v>0</v>
      </c>
      <c r="P744" s="6">
        <f ca="1">IF(Main[[#This Row],[تاخیر از سررسید]]&gt;0,Main[[#This Row],[بدهی تسویه نشده (کیلوگرم)]],0)</f>
        <v>0</v>
      </c>
      <c r="Q744" s="6">
        <f ca="1">IF(Main[[#This Row],[بدهی تسویه نشده (کیلوگرم)]]&gt;0,'گزارش فردی'!$B$7-Main[[#This Row],[تاريخ میلادی]],0)</f>
        <v>0</v>
      </c>
      <c r="R744" s="6">
        <f ca="1">IF(Main[[#This Row],[بدهی تسویه نشده (کیلوگرم)]]&gt;0,'گزارش فردی'!$B$7-Main[[#This Row],[تاريخ میلادی]]-'گزارش فردی'!$B$8,0)</f>
        <v>0</v>
      </c>
      <c r="S744" s="6">
        <f ca="1">Main[[#This Row],[روز از ارسال سفارش]]*Main[[#This Row],[بدهی تسویه نشده (کیلوگرم)]]</f>
        <v>0</v>
      </c>
      <c r="T744" s="6">
        <f ca="1">Main[[#This Row],[بدهی سررسید شده (کیلوگرم)]]*Main[[#This Row],[روز از ارسال سفارش]]</f>
        <v>0</v>
      </c>
      <c r="U744" s="6">
        <f>-SUBTOTAL(9,INDEX(Main[مقدار (کیلوگرم)],1):Main[[#This Row],[مقدار (کیلوگرم)]])</f>
        <v>37829</v>
      </c>
      <c r="V7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4" s="6">
        <f>Main[[#This Row],[تعداد کل روزهای بدهکار (روز)]]*Main[[#This Row],[مانده در خط کل (کیلوگرم)]]</f>
        <v>0</v>
      </c>
      <c r="X744" s="6">
        <f ca="1">-SUBTOTAL(9,INDEX(Main[مقدار تسویه شده (کیلوگرم)],1):Main[[#This Row],[مقدار تسویه شده (کیلوگرم)]])</f>
        <v>37829</v>
      </c>
      <c r="Y744" s="6">
        <f ca="1">IF(Main[[#This Row],[مانده در خط تسویه شده (کیلوگرم)]]&lt;&gt;0,Main[[#This Row],[تعداد کل روزهای بدهکار (روز)]],0)</f>
        <v>0</v>
      </c>
      <c r="Z744" s="6">
        <f ca="1">Main[[#This Row],[تعداد روزهای بدهکار تسویه شده (روز)]]*Main[[#This Row],[مانده در خط تسویه شده (کیلوگرم)]]</f>
        <v>0</v>
      </c>
      <c r="AA744" s="6">
        <f ca="1">SUBTOTAL(9,INDEX(Main[بدهی تسویه نشده (کیلوگرم)],1):Main[[#This Row],[بدهی تسویه نشده (کیلوگرم)]])</f>
        <v>0</v>
      </c>
      <c r="AB744" s="6">
        <f ca="1">IF(Main[[#This Row],[مانده در خط تسویه نشده (کیلوگرم)]]&lt;&gt;0,Main[[#This Row],[تعداد کل روزهای بدهکار (روز)]],0)</f>
        <v>0</v>
      </c>
      <c r="AC744" s="6">
        <f ca="1">Main[[#This Row],[تعداد روزهای بدهکار  تسویه نشده (روز)]]*Main[[#This Row],[مانده در خط تسویه نشده (کیلوگرم)]]</f>
        <v>0</v>
      </c>
      <c r="AD744" s="6">
        <f ca="1">SUBTOTAL(9,INDEX(Main[بدهی سررسید شده (کیلوگرم)],1):Main[[#This Row],[بدهی سررسید شده (کیلوگرم)]])</f>
        <v>0</v>
      </c>
      <c r="AE744" s="6">
        <f ca="1">IF(Main[[#This Row],[مانده در خط سررسید شده (کیلوگرم)]]&lt;&gt;0,Main[[#This Row],[تعداد کل روزهای بدهکار (روز)]],0)</f>
        <v>0</v>
      </c>
      <c r="AF744" s="6">
        <f ca="1">Main[[#This Row],[تعداد روزهای بدهکار سررسید شده (روز)]]*Main[[#This Row],[مانده در خط سررسید شده (کیلوگرم)]]</f>
        <v>0</v>
      </c>
    </row>
    <row r="745" spans="1:32" hidden="1" x14ac:dyDescent="0.35">
      <c r="A745" s="5">
        <f>ROW()-ROW(INDEX(Main[ردیف],1))+1</f>
        <v>743</v>
      </c>
      <c r="B745" s="31">
        <f>SUBTOTAL(2,INDEX(Main[ردیف],1):Main[[#This Row],[ردیف]])</f>
        <v>69</v>
      </c>
      <c r="C745" s="32" t="s">
        <v>587</v>
      </c>
      <c r="D745" s="32" t="str">
        <f>_xlfn.CONCAT("14",Main[[#This Row],[تاريخ]])</f>
        <v>1400/03/22</v>
      </c>
      <c r="E745" s="33">
        <v>44359</v>
      </c>
      <c r="F745" s="32">
        <v>30022</v>
      </c>
      <c r="G745" s="5" t="str">
        <f>INDEX(customer[عنوان],MATCH(Main[[#This Row],[کد ردیابی]],customer[کد],0))</f>
        <v xml:space="preserve">کلار پویا </v>
      </c>
      <c r="H745">
        <v>5085</v>
      </c>
      <c r="I745" s="6">
        <f ca="1">-Main[[#This Row],[بدهی تسویه شده (کیلوگرم)]]+Main[[#This Row],[بستانکار (کیلوگرم)]]</f>
        <v>5085</v>
      </c>
      <c r="J745" s="6">
        <f>IF(Main[[#This Row],[مقدار (کیلوگرم)]]&gt;0,Main[[#This Row],[مقدار (کیلوگرم)]],0)</f>
        <v>5085</v>
      </c>
      <c r="K745" s="6">
        <f>-IF(Main[[#This Row],[مقدار (کیلوگرم)]]&lt;0,Main[[#This Row],[مقدار (کیلوگرم)]],0)</f>
        <v>0</v>
      </c>
      <c r="L7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5" s="7">
        <f>-IF(AND(Main[[#This Row],[مقدار (کیلوگرم)]]&lt;0,Main[[#This Row],[تاريخ میلادی]]&gt;44276),Main[[#This Row],[مقدار (کیلوگرم)]],0)</f>
        <v>0</v>
      </c>
      <c r="N745" s="6">
        <f ca="1">Main[[#This Row],[بدهکار (کیلوگرم)]]-Main[[#This Row],[بدهی تسویه نشده (کیلوگرم)]]</f>
        <v>0</v>
      </c>
      <c r="O745" s="6">
        <f ca="1">Main[[#This Row],[تفکیک]]</f>
        <v>0</v>
      </c>
      <c r="P745" s="6">
        <f ca="1">IF(Main[[#This Row],[تاخیر از سررسید]]&gt;0,Main[[#This Row],[بدهی تسویه نشده (کیلوگرم)]],0)</f>
        <v>0</v>
      </c>
      <c r="Q745" s="6">
        <f ca="1">IF(Main[[#This Row],[بدهی تسویه نشده (کیلوگرم)]]&gt;0,'گزارش فردی'!$B$7-Main[[#This Row],[تاريخ میلادی]],0)</f>
        <v>0</v>
      </c>
      <c r="R745" s="6">
        <f ca="1">IF(Main[[#This Row],[بدهی تسویه نشده (کیلوگرم)]]&gt;0,'گزارش فردی'!$B$7-Main[[#This Row],[تاريخ میلادی]]-'گزارش فردی'!$B$8,0)</f>
        <v>0</v>
      </c>
      <c r="S745" s="6">
        <f ca="1">Main[[#This Row],[روز از ارسال سفارش]]*Main[[#This Row],[بدهی تسویه نشده (کیلوگرم)]]</f>
        <v>0</v>
      </c>
      <c r="T745" s="6">
        <f ca="1">Main[[#This Row],[بدهی سررسید شده (کیلوگرم)]]*Main[[#This Row],[روز از ارسال سفارش]]</f>
        <v>0</v>
      </c>
      <c r="U745" s="6">
        <f>-SUBTOTAL(9,INDEX(Main[مقدار (کیلوگرم)],1):Main[[#This Row],[مقدار (کیلوگرم)]])</f>
        <v>37829</v>
      </c>
      <c r="V7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5" s="6">
        <f>Main[[#This Row],[تعداد کل روزهای بدهکار (روز)]]*Main[[#This Row],[مانده در خط کل (کیلوگرم)]]</f>
        <v>0</v>
      </c>
      <c r="X745" s="6">
        <f ca="1">-SUBTOTAL(9,INDEX(Main[مقدار تسویه شده (کیلوگرم)],1):Main[[#This Row],[مقدار تسویه شده (کیلوگرم)]])</f>
        <v>37829</v>
      </c>
      <c r="Y745" s="6">
        <f ca="1">IF(Main[[#This Row],[مانده در خط تسویه شده (کیلوگرم)]]&lt;&gt;0,Main[[#This Row],[تعداد کل روزهای بدهکار (روز)]],0)</f>
        <v>0</v>
      </c>
      <c r="Z745" s="6">
        <f ca="1">Main[[#This Row],[تعداد روزهای بدهکار تسویه شده (روز)]]*Main[[#This Row],[مانده در خط تسویه شده (کیلوگرم)]]</f>
        <v>0</v>
      </c>
      <c r="AA745" s="6">
        <f ca="1">SUBTOTAL(9,INDEX(Main[بدهی تسویه نشده (کیلوگرم)],1):Main[[#This Row],[بدهی تسویه نشده (کیلوگرم)]])</f>
        <v>0</v>
      </c>
      <c r="AB745" s="6">
        <f ca="1">IF(Main[[#This Row],[مانده در خط تسویه نشده (کیلوگرم)]]&lt;&gt;0,Main[[#This Row],[تعداد کل روزهای بدهکار (روز)]],0)</f>
        <v>0</v>
      </c>
      <c r="AC745" s="6">
        <f ca="1">Main[[#This Row],[تعداد روزهای بدهکار  تسویه نشده (روز)]]*Main[[#This Row],[مانده در خط تسویه نشده (کیلوگرم)]]</f>
        <v>0</v>
      </c>
      <c r="AD745" s="6">
        <f ca="1">SUBTOTAL(9,INDEX(Main[بدهی سررسید شده (کیلوگرم)],1):Main[[#This Row],[بدهی سررسید شده (کیلوگرم)]])</f>
        <v>0</v>
      </c>
      <c r="AE745" s="6">
        <f ca="1">IF(Main[[#This Row],[مانده در خط سررسید شده (کیلوگرم)]]&lt;&gt;0,Main[[#This Row],[تعداد کل روزهای بدهکار (روز)]],0)</f>
        <v>0</v>
      </c>
      <c r="AF745" s="6">
        <f ca="1">Main[[#This Row],[تعداد روزهای بدهکار سررسید شده (روز)]]*Main[[#This Row],[مانده در خط سررسید شده (کیلوگرم)]]</f>
        <v>0</v>
      </c>
    </row>
    <row r="746" spans="1:32" hidden="1" x14ac:dyDescent="0.35">
      <c r="A746" s="5">
        <f>ROW()-ROW(INDEX(Main[ردیف],1))+1</f>
        <v>744</v>
      </c>
      <c r="B746" s="31">
        <f>SUBTOTAL(2,INDEX(Main[ردیف],1):Main[[#This Row],[ردیف]])</f>
        <v>69</v>
      </c>
      <c r="C746" s="32" t="s">
        <v>587</v>
      </c>
      <c r="D746" s="32" t="str">
        <f>_xlfn.CONCAT("14",Main[[#This Row],[تاريخ]])</f>
        <v>1400/03/22</v>
      </c>
      <c r="E746" s="33">
        <v>44359</v>
      </c>
      <c r="F746" s="32">
        <v>30127</v>
      </c>
      <c r="G746" s="5" t="str">
        <f>INDEX(customer[عنوان],MATCH(Main[[#This Row],[کد ردیابی]],customer[کد],0))</f>
        <v>شیر گاز آذران</v>
      </c>
      <c r="H746">
        <v>-7554</v>
      </c>
      <c r="I746" s="6">
        <f ca="1">-Main[[#This Row],[بدهی تسویه شده (کیلوگرم)]]+Main[[#This Row],[بستانکار (کیلوگرم)]]</f>
        <v>-7554</v>
      </c>
      <c r="J746" s="6">
        <f>IF(Main[[#This Row],[مقدار (کیلوگرم)]]&gt;0,Main[[#This Row],[مقدار (کیلوگرم)]],0)</f>
        <v>0</v>
      </c>
      <c r="K746" s="6">
        <f>-IF(Main[[#This Row],[مقدار (کیلوگرم)]]&lt;0,Main[[#This Row],[مقدار (کیلوگرم)]],0)</f>
        <v>7554</v>
      </c>
      <c r="L7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6" s="7">
        <f>-IF(AND(Main[[#This Row],[مقدار (کیلوگرم)]]&lt;0,Main[[#This Row],[تاريخ میلادی]]&gt;44276),Main[[#This Row],[مقدار (کیلوگرم)]],0)</f>
        <v>7554</v>
      </c>
      <c r="N746" s="6">
        <f ca="1">Main[[#This Row],[بدهکار (کیلوگرم)]]-Main[[#This Row],[بدهی تسویه نشده (کیلوگرم)]]</f>
        <v>7554</v>
      </c>
      <c r="O746" s="6">
        <f ca="1">Main[[#This Row],[تفکیک]]</f>
        <v>0</v>
      </c>
      <c r="P746" s="6">
        <f ca="1">IF(Main[[#This Row],[تاخیر از سررسید]]&gt;0,Main[[#This Row],[بدهی تسویه نشده (کیلوگرم)]],0)</f>
        <v>0</v>
      </c>
      <c r="Q746" s="6">
        <f ca="1">IF(Main[[#This Row],[بدهی تسویه نشده (کیلوگرم)]]&gt;0,'گزارش فردی'!$B$7-Main[[#This Row],[تاريخ میلادی]],0)</f>
        <v>0</v>
      </c>
      <c r="R746" s="6">
        <f ca="1">IF(Main[[#This Row],[بدهی تسویه نشده (کیلوگرم)]]&gt;0,'گزارش فردی'!$B$7-Main[[#This Row],[تاريخ میلادی]]-'گزارش فردی'!$B$8,0)</f>
        <v>0</v>
      </c>
      <c r="S746" s="6">
        <f ca="1">Main[[#This Row],[روز از ارسال سفارش]]*Main[[#This Row],[بدهی تسویه نشده (کیلوگرم)]]</f>
        <v>0</v>
      </c>
      <c r="T746" s="6">
        <f ca="1">Main[[#This Row],[بدهی سررسید شده (کیلوگرم)]]*Main[[#This Row],[روز از ارسال سفارش]]</f>
        <v>0</v>
      </c>
      <c r="U746" s="6">
        <f>-SUBTOTAL(9,INDEX(Main[مقدار (کیلوگرم)],1):Main[[#This Row],[مقدار (کیلوگرم)]])</f>
        <v>37829</v>
      </c>
      <c r="V7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6" s="6">
        <f>Main[[#This Row],[تعداد کل روزهای بدهکار (روز)]]*Main[[#This Row],[مانده در خط کل (کیلوگرم)]]</f>
        <v>0</v>
      </c>
      <c r="X746" s="6">
        <f ca="1">-SUBTOTAL(9,INDEX(Main[مقدار تسویه شده (کیلوگرم)],1):Main[[#This Row],[مقدار تسویه شده (کیلوگرم)]])</f>
        <v>37829</v>
      </c>
      <c r="Y746" s="6">
        <f ca="1">IF(Main[[#This Row],[مانده در خط تسویه شده (کیلوگرم)]]&lt;&gt;0,Main[[#This Row],[تعداد کل روزهای بدهکار (روز)]],0)</f>
        <v>0</v>
      </c>
      <c r="Z746" s="6">
        <f ca="1">Main[[#This Row],[تعداد روزهای بدهکار تسویه شده (روز)]]*Main[[#This Row],[مانده در خط تسویه شده (کیلوگرم)]]</f>
        <v>0</v>
      </c>
      <c r="AA746" s="6">
        <f ca="1">SUBTOTAL(9,INDEX(Main[بدهی تسویه نشده (کیلوگرم)],1):Main[[#This Row],[بدهی تسویه نشده (کیلوگرم)]])</f>
        <v>0</v>
      </c>
      <c r="AB746" s="6">
        <f ca="1">IF(Main[[#This Row],[مانده در خط تسویه نشده (کیلوگرم)]]&lt;&gt;0,Main[[#This Row],[تعداد کل روزهای بدهکار (روز)]],0)</f>
        <v>0</v>
      </c>
      <c r="AC746" s="6">
        <f ca="1">Main[[#This Row],[تعداد روزهای بدهکار  تسویه نشده (روز)]]*Main[[#This Row],[مانده در خط تسویه نشده (کیلوگرم)]]</f>
        <v>0</v>
      </c>
      <c r="AD746" s="6">
        <f ca="1">SUBTOTAL(9,INDEX(Main[بدهی سررسید شده (کیلوگرم)],1):Main[[#This Row],[بدهی سررسید شده (کیلوگرم)]])</f>
        <v>0</v>
      </c>
      <c r="AE746" s="6">
        <f ca="1">IF(Main[[#This Row],[مانده در خط سررسید شده (کیلوگرم)]]&lt;&gt;0,Main[[#This Row],[تعداد کل روزهای بدهکار (روز)]],0)</f>
        <v>0</v>
      </c>
      <c r="AF746" s="6">
        <f ca="1">Main[[#This Row],[تعداد روزهای بدهکار سررسید شده (روز)]]*Main[[#This Row],[مانده در خط سررسید شده (کیلوگرم)]]</f>
        <v>0</v>
      </c>
    </row>
    <row r="747" spans="1:32" hidden="1" x14ac:dyDescent="0.35">
      <c r="A747" s="5">
        <f>ROW()-ROW(INDEX(Main[ردیف],1))+1</f>
        <v>745</v>
      </c>
      <c r="B747" s="31">
        <f>SUBTOTAL(2,INDEX(Main[ردیف],1):Main[[#This Row],[ردیف]])</f>
        <v>69</v>
      </c>
      <c r="C747" s="32" t="s">
        <v>587</v>
      </c>
      <c r="D747" s="32" t="str">
        <f>_xlfn.CONCAT("14",Main[[#This Row],[تاريخ]])</f>
        <v>1400/03/22</v>
      </c>
      <c r="E747" s="33">
        <v>44359</v>
      </c>
      <c r="F747" s="32">
        <v>10055</v>
      </c>
      <c r="G747" s="5" t="str">
        <f>INDEX(customer[عنوان],MATCH(Main[[#This Row],[کد ردیابی]],customer[کد],0))</f>
        <v xml:space="preserve">مریم فیض آبادی  </v>
      </c>
      <c r="H747">
        <v>5410</v>
      </c>
      <c r="I747" s="6">
        <f ca="1">-Main[[#This Row],[بدهی تسویه شده (کیلوگرم)]]+Main[[#This Row],[بستانکار (کیلوگرم)]]</f>
        <v>5410</v>
      </c>
      <c r="J747" s="6">
        <f>IF(Main[[#This Row],[مقدار (کیلوگرم)]]&gt;0,Main[[#This Row],[مقدار (کیلوگرم)]],0)</f>
        <v>5410</v>
      </c>
      <c r="K747" s="6">
        <f>-IF(Main[[#This Row],[مقدار (کیلوگرم)]]&lt;0,Main[[#This Row],[مقدار (کیلوگرم)]],0)</f>
        <v>0</v>
      </c>
      <c r="L7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7" s="7">
        <f>-IF(AND(Main[[#This Row],[مقدار (کیلوگرم)]]&lt;0,Main[[#This Row],[تاريخ میلادی]]&gt;44276),Main[[#This Row],[مقدار (کیلوگرم)]],0)</f>
        <v>0</v>
      </c>
      <c r="N747" s="6">
        <f ca="1">Main[[#This Row],[بدهکار (کیلوگرم)]]-Main[[#This Row],[بدهی تسویه نشده (کیلوگرم)]]</f>
        <v>0</v>
      </c>
      <c r="O747" s="6">
        <f ca="1">Main[[#This Row],[تفکیک]]</f>
        <v>0</v>
      </c>
      <c r="P747" s="6">
        <f ca="1">IF(Main[[#This Row],[تاخیر از سررسید]]&gt;0,Main[[#This Row],[بدهی تسویه نشده (کیلوگرم)]],0)</f>
        <v>0</v>
      </c>
      <c r="Q747" s="6">
        <f ca="1">IF(Main[[#This Row],[بدهی تسویه نشده (کیلوگرم)]]&gt;0,'گزارش فردی'!$B$7-Main[[#This Row],[تاريخ میلادی]],0)</f>
        <v>0</v>
      </c>
      <c r="R747" s="6">
        <f ca="1">IF(Main[[#This Row],[بدهی تسویه نشده (کیلوگرم)]]&gt;0,'گزارش فردی'!$B$7-Main[[#This Row],[تاريخ میلادی]]-'گزارش فردی'!$B$8,0)</f>
        <v>0</v>
      </c>
      <c r="S747" s="6">
        <f ca="1">Main[[#This Row],[روز از ارسال سفارش]]*Main[[#This Row],[بدهی تسویه نشده (کیلوگرم)]]</f>
        <v>0</v>
      </c>
      <c r="T747" s="6">
        <f ca="1">Main[[#This Row],[بدهی سررسید شده (کیلوگرم)]]*Main[[#This Row],[روز از ارسال سفارش]]</f>
        <v>0</v>
      </c>
      <c r="U747" s="6">
        <f>-SUBTOTAL(9,INDEX(Main[مقدار (کیلوگرم)],1):Main[[#This Row],[مقدار (کیلوگرم)]])</f>
        <v>37829</v>
      </c>
      <c r="V7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7" s="6">
        <f>Main[[#This Row],[تعداد کل روزهای بدهکار (روز)]]*Main[[#This Row],[مانده در خط کل (کیلوگرم)]]</f>
        <v>0</v>
      </c>
      <c r="X747" s="6">
        <f ca="1">-SUBTOTAL(9,INDEX(Main[مقدار تسویه شده (کیلوگرم)],1):Main[[#This Row],[مقدار تسویه شده (کیلوگرم)]])</f>
        <v>37829</v>
      </c>
      <c r="Y747" s="6">
        <f ca="1">IF(Main[[#This Row],[مانده در خط تسویه شده (کیلوگرم)]]&lt;&gt;0,Main[[#This Row],[تعداد کل روزهای بدهکار (روز)]],0)</f>
        <v>0</v>
      </c>
      <c r="Z747" s="6">
        <f ca="1">Main[[#This Row],[تعداد روزهای بدهکار تسویه شده (روز)]]*Main[[#This Row],[مانده در خط تسویه شده (کیلوگرم)]]</f>
        <v>0</v>
      </c>
      <c r="AA747" s="6">
        <f ca="1">SUBTOTAL(9,INDEX(Main[بدهی تسویه نشده (کیلوگرم)],1):Main[[#This Row],[بدهی تسویه نشده (کیلوگرم)]])</f>
        <v>0</v>
      </c>
      <c r="AB747" s="6">
        <f ca="1">IF(Main[[#This Row],[مانده در خط تسویه نشده (کیلوگرم)]]&lt;&gt;0,Main[[#This Row],[تعداد کل روزهای بدهکار (روز)]],0)</f>
        <v>0</v>
      </c>
      <c r="AC747" s="6">
        <f ca="1">Main[[#This Row],[تعداد روزهای بدهکار  تسویه نشده (روز)]]*Main[[#This Row],[مانده در خط تسویه نشده (کیلوگرم)]]</f>
        <v>0</v>
      </c>
      <c r="AD747" s="6">
        <f ca="1">SUBTOTAL(9,INDEX(Main[بدهی سررسید شده (کیلوگرم)],1):Main[[#This Row],[بدهی سررسید شده (کیلوگرم)]])</f>
        <v>0</v>
      </c>
      <c r="AE747" s="6">
        <f ca="1">IF(Main[[#This Row],[مانده در خط سررسید شده (کیلوگرم)]]&lt;&gt;0,Main[[#This Row],[تعداد کل روزهای بدهکار (روز)]],0)</f>
        <v>0</v>
      </c>
      <c r="AF747" s="6">
        <f ca="1">Main[[#This Row],[تعداد روزهای بدهکار سررسید شده (روز)]]*Main[[#This Row],[مانده در خط سررسید شده (کیلوگرم)]]</f>
        <v>0</v>
      </c>
    </row>
    <row r="748" spans="1:32" hidden="1" x14ac:dyDescent="0.35">
      <c r="A748" s="5">
        <f>ROW()-ROW(INDEX(Main[ردیف],1))+1</f>
        <v>746</v>
      </c>
      <c r="B748" s="31">
        <f>SUBTOTAL(2,INDEX(Main[ردیف],1):Main[[#This Row],[ردیف]])</f>
        <v>69</v>
      </c>
      <c r="C748" s="32" t="s">
        <v>587</v>
      </c>
      <c r="D748" s="32" t="str">
        <f>_xlfn.CONCAT("14",Main[[#This Row],[تاريخ]])</f>
        <v>1400/03/22</v>
      </c>
      <c r="E748" s="33">
        <v>44359</v>
      </c>
      <c r="F748" s="32">
        <v>10069</v>
      </c>
      <c r="G748" s="5" t="str">
        <f>INDEX(customer[عنوان],MATCH(Main[[#This Row],[کد ردیابی]],customer[کد],0))</f>
        <v xml:space="preserve">جواد عرب </v>
      </c>
      <c r="H748">
        <v>-2056</v>
      </c>
      <c r="I748" s="6">
        <f ca="1">-Main[[#This Row],[بدهی تسویه شده (کیلوگرم)]]+Main[[#This Row],[بستانکار (کیلوگرم)]]</f>
        <v>-2056</v>
      </c>
      <c r="J748" s="6">
        <f>IF(Main[[#This Row],[مقدار (کیلوگرم)]]&gt;0,Main[[#This Row],[مقدار (کیلوگرم)]],0)</f>
        <v>0</v>
      </c>
      <c r="K748" s="6">
        <f>-IF(Main[[#This Row],[مقدار (کیلوگرم)]]&lt;0,Main[[#This Row],[مقدار (کیلوگرم)]],0)</f>
        <v>2056</v>
      </c>
      <c r="L7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8" s="7">
        <f>-IF(AND(Main[[#This Row],[مقدار (کیلوگرم)]]&lt;0,Main[[#This Row],[تاريخ میلادی]]&gt;44276),Main[[#This Row],[مقدار (کیلوگرم)]],0)</f>
        <v>2056</v>
      </c>
      <c r="N748" s="6">
        <f ca="1">Main[[#This Row],[بدهکار (کیلوگرم)]]-Main[[#This Row],[بدهی تسویه نشده (کیلوگرم)]]</f>
        <v>2056</v>
      </c>
      <c r="O748" s="6">
        <f ca="1">Main[[#This Row],[تفکیک]]</f>
        <v>0</v>
      </c>
      <c r="P748" s="6">
        <f ca="1">IF(Main[[#This Row],[تاخیر از سررسید]]&gt;0,Main[[#This Row],[بدهی تسویه نشده (کیلوگرم)]],0)</f>
        <v>0</v>
      </c>
      <c r="Q748" s="6">
        <f ca="1">IF(Main[[#This Row],[بدهی تسویه نشده (کیلوگرم)]]&gt;0,'گزارش فردی'!$B$7-Main[[#This Row],[تاريخ میلادی]],0)</f>
        <v>0</v>
      </c>
      <c r="R748" s="6">
        <f ca="1">IF(Main[[#This Row],[بدهی تسویه نشده (کیلوگرم)]]&gt;0,'گزارش فردی'!$B$7-Main[[#This Row],[تاريخ میلادی]]-'گزارش فردی'!$B$8,0)</f>
        <v>0</v>
      </c>
      <c r="S748" s="6">
        <f ca="1">Main[[#This Row],[روز از ارسال سفارش]]*Main[[#This Row],[بدهی تسویه نشده (کیلوگرم)]]</f>
        <v>0</v>
      </c>
      <c r="T748" s="6">
        <f ca="1">Main[[#This Row],[بدهی سررسید شده (کیلوگرم)]]*Main[[#This Row],[روز از ارسال سفارش]]</f>
        <v>0</v>
      </c>
      <c r="U748" s="6">
        <f>-SUBTOTAL(9,INDEX(Main[مقدار (کیلوگرم)],1):Main[[#This Row],[مقدار (کیلوگرم)]])</f>
        <v>37829</v>
      </c>
      <c r="V7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8" s="6">
        <f>Main[[#This Row],[تعداد کل روزهای بدهکار (روز)]]*Main[[#This Row],[مانده در خط کل (کیلوگرم)]]</f>
        <v>0</v>
      </c>
      <c r="X748" s="6">
        <f ca="1">-SUBTOTAL(9,INDEX(Main[مقدار تسویه شده (کیلوگرم)],1):Main[[#This Row],[مقدار تسویه شده (کیلوگرم)]])</f>
        <v>37829</v>
      </c>
      <c r="Y748" s="6">
        <f ca="1">IF(Main[[#This Row],[مانده در خط تسویه شده (کیلوگرم)]]&lt;&gt;0,Main[[#This Row],[تعداد کل روزهای بدهکار (روز)]],0)</f>
        <v>0</v>
      </c>
      <c r="Z748" s="6">
        <f ca="1">Main[[#This Row],[تعداد روزهای بدهکار تسویه شده (روز)]]*Main[[#This Row],[مانده در خط تسویه شده (کیلوگرم)]]</f>
        <v>0</v>
      </c>
      <c r="AA748" s="6">
        <f ca="1">SUBTOTAL(9,INDEX(Main[بدهی تسویه نشده (کیلوگرم)],1):Main[[#This Row],[بدهی تسویه نشده (کیلوگرم)]])</f>
        <v>0</v>
      </c>
      <c r="AB748" s="6">
        <f ca="1">IF(Main[[#This Row],[مانده در خط تسویه نشده (کیلوگرم)]]&lt;&gt;0,Main[[#This Row],[تعداد کل روزهای بدهکار (روز)]],0)</f>
        <v>0</v>
      </c>
      <c r="AC748" s="6">
        <f ca="1">Main[[#This Row],[تعداد روزهای بدهکار  تسویه نشده (روز)]]*Main[[#This Row],[مانده در خط تسویه نشده (کیلوگرم)]]</f>
        <v>0</v>
      </c>
      <c r="AD748" s="6">
        <f ca="1">SUBTOTAL(9,INDEX(Main[بدهی سررسید شده (کیلوگرم)],1):Main[[#This Row],[بدهی سررسید شده (کیلوگرم)]])</f>
        <v>0</v>
      </c>
      <c r="AE748" s="6">
        <f ca="1">IF(Main[[#This Row],[مانده در خط سررسید شده (کیلوگرم)]]&lt;&gt;0,Main[[#This Row],[تعداد کل روزهای بدهکار (روز)]],0)</f>
        <v>0</v>
      </c>
      <c r="AF748" s="6">
        <f ca="1">Main[[#This Row],[تعداد روزهای بدهکار سررسید شده (روز)]]*Main[[#This Row],[مانده در خط سررسید شده (کیلوگرم)]]</f>
        <v>0</v>
      </c>
    </row>
    <row r="749" spans="1:32" hidden="1" x14ac:dyDescent="0.35">
      <c r="A749" s="5">
        <f>ROW()-ROW(INDEX(Main[ردیف],1))+1</f>
        <v>747</v>
      </c>
      <c r="B749" s="31">
        <f>SUBTOTAL(2,INDEX(Main[ردیف],1):Main[[#This Row],[ردیف]])</f>
        <v>69</v>
      </c>
      <c r="C749" s="32" t="s">
        <v>587</v>
      </c>
      <c r="D749" s="32" t="str">
        <f>_xlfn.CONCAT("14",Main[[#This Row],[تاريخ]])</f>
        <v>1400/03/22</v>
      </c>
      <c r="E749" s="33">
        <v>44359</v>
      </c>
      <c r="F749" s="32">
        <v>10069</v>
      </c>
      <c r="G749" s="5" t="str">
        <f>INDEX(customer[عنوان],MATCH(Main[[#This Row],[کد ردیابی]],customer[کد],0))</f>
        <v xml:space="preserve">جواد عرب </v>
      </c>
      <c r="H749">
        <v>1182</v>
      </c>
      <c r="I749" s="6">
        <f ca="1">-Main[[#This Row],[بدهی تسویه شده (کیلوگرم)]]+Main[[#This Row],[بستانکار (کیلوگرم)]]</f>
        <v>1182</v>
      </c>
      <c r="J749" s="6">
        <f>IF(Main[[#This Row],[مقدار (کیلوگرم)]]&gt;0,Main[[#This Row],[مقدار (کیلوگرم)]],0)</f>
        <v>1182</v>
      </c>
      <c r="K749" s="6">
        <f>-IF(Main[[#This Row],[مقدار (کیلوگرم)]]&lt;0,Main[[#This Row],[مقدار (کیلوگرم)]],0)</f>
        <v>0</v>
      </c>
      <c r="L7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9" s="7">
        <f>-IF(AND(Main[[#This Row],[مقدار (کیلوگرم)]]&lt;0,Main[[#This Row],[تاريخ میلادی]]&gt;44276),Main[[#This Row],[مقدار (کیلوگرم)]],0)</f>
        <v>0</v>
      </c>
      <c r="N749" s="6">
        <f ca="1">Main[[#This Row],[بدهکار (کیلوگرم)]]-Main[[#This Row],[بدهی تسویه نشده (کیلوگرم)]]</f>
        <v>0</v>
      </c>
      <c r="O749" s="6">
        <f ca="1">Main[[#This Row],[تفکیک]]</f>
        <v>0</v>
      </c>
      <c r="P749" s="6">
        <f ca="1">IF(Main[[#This Row],[تاخیر از سررسید]]&gt;0,Main[[#This Row],[بدهی تسویه نشده (کیلوگرم)]],0)</f>
        <v>0</v>
      </c>
      <c r="Q749" s="6">
        <f ca="1">IF(Main[[#This Row],[بدهی تسویه نشده (کیلوگرم)]]&gt;0,'گزارش فردی'!$B$7-Main[[#This Row],[تاريخ میلادی]],0)</f>
        <v>0</v>
      </c>
      <c r="R749" s="6">
        <f ca="1">IF(Main[[#This Row],[بدهی تسویه نشده (کیلوگرم)]]&gt;0,'گزارش فردی'!$B$7-Main[[#This Row],[تاريخ میلادی]]-'گزارش فردی'!$B$8,0)</f>
        <v>0</v>
      </c>
      <c r="S749" s="6">
        <f ca="1">Main[[#This Row],[روز از ارسال سفارش]]*Main[[#This Row],[بدهی تسویه نشده (کیلوگرم)]]</f>
        <v>0</v>
      </c>
      <c r="T749" s="6">
        <f ca="1">Main[[#This Row],[بدهی سررسید شده (کیلوگرم)]]*Main[[#This Row],[روز از ارسال سفارش]]</f>
        <v>0</v>
      </c>
      <c r="U749" s="6">
        <f>-SUBTOTAL(9,INDEX(Main[مقدار (کیلوگرم)],1):Main[[#This Row],[مقدار (کیلوگرم)]])</f>
        <v>37829</v>
      </c>
      <c r="V7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9" s="6">
        <f>Main[[#This Row],[تعداد کل روزهای بدهکار (روز)]]*Main[[#This Row],[مانده در خط کل (کیلوگرم)]]</f>
        <v>0</v>
      </c>
      <c r="X749" s="6">
        <f ca="1">-SUBTOTAL(9,INDEX(Main[مقدار تسویه شده (کیلوگرم)],1):Main[[#This Row],[مقدار تسویه شده (کیلوگرم)]])</f>
        <v>37829</v>
      </c>
      <c r="Y749" s="6">
        <f ca="1">IF(Main[[#This Row],[مانده در خط تسویه شده (کیلوگرم)]]&lt;&gt;0,Main[[#This Row],[تعداد کل روزهای بدهکار (روز)]],0)</f>
        <v>0</v>
      </c>
      <c r="Z749" s="6">
        <f ca="1">Main[[#This Row],[تعداد روزهای بدهکار تسویه شده (روز)]]*Main[[#This Row],[مانده در خط تسویه شده (کیلوگرم)]]</f>
        <v>0</v>
      </c>
      <c r="AA749" s="6">
        <f ca="1">SUBTOTAL(9,INDEX(Main[بدهی تسویه نشده (کیلوگرم)],1):Main[[#This Row],[بدهی تسویه نشده (کیلوگرم)]])</f>
        <v>0</v>
      </c>
      <c r="AB749" s="6">
        <f ca="1">IF(Main[[#This Row],[مانده در خط تسویه نشده (کیلوگرم)]]&lt;&gt;0,Main[[#This Row],[تعداد کل روزهای بدهکار (روز)]],0)</f>
        <v>0</v>
      </c>
      <c r="AC749" s="6">
        <f ca="1">Main[[#This Row],[تعداد روزهای بدهکار  تسویه نشده (روز)]]*Main[[#This Row],[مانده در خط تسویه نشده (کیلوگرم)]]</f>
        <v>0</v>
      </c>
      <c r="AD749" s="6">
        <f ca="1">SUBTOTAL(9,INDEX(Main[بدهی سررسید شده (کیلوگرم)],1):Main[[#This Row],[بدهی سررسید شده (کیلوگرم)]])</f>
        <v>0</v>
      </c>
      <c r="AE749" s="6">
        <f ca="1">IF(Main[[#This Row],[مانده در خط سررسید شده (کیلوگرم)]]&lt;&gt;0,Main[[#This Row],[تعداد کل روزهای بدهکار (روز)]],0)</f>
        <v>0</v>
      </c>
      <c r="AF749" s="6">
        <f ca="1">Main[[#This Row],[تعداد روزهای بدهکار سررسید شده (روز)]]*Main[[#This Row],[مانده در خط سررسید شده (کیلوگرم)]]</f>
        <v>0</v>
      </c>
    </row>
    <row r="750" spans="1:32" hidden="1" x14ac:dyDescent="0.35">
      <c r="A750" s="5">
        <f>ROW()-ROW(INDEX(Main[ردیف],1))+1</f>
        <v>748</v>
      </c>
      <c r="B750" s="31">
        <f>SUBTOTAL(2,INDEX(Main[ردیف],1):Main[[#This Row],[ردیف]])</f>
        <v>69</v>
      </c>
      <c r="C750" s="32" t="s">
        <v>587</v>
      </c>
      <c r="D750" s="32" t="str">
        <f>_xlfn.CONCAT("14",Main[[#This Row],[تاريخ]])</f>
        <v>1400/03/22</v>
      </c>
      <c r="E750" s="33">
        <v>44359</v>
      </c>
      <c r="F750" s="32">
        <v>10009</v>
      </c>
      <c r="G750" s="5" t="str">
        <f>INDEX(customer[عنوان],MATCH(Main[[#This Row],[کد ردیابی]],customer[کد],0))</f>
        <v>محمد نمازی</v>
      </c>
      <c r="H750">
        <v>-2111</v>
      </c>
      <c r="I750" s="6">
        <f ca="1">-Main[[#This Row],[بدهی تسویه شده (کیلوگرم)]]+Main[[#This Row],[بستانکار (کیلوگرم)]]</f>
        <v>-2111</v>
      </c>
      <c r="J750" s="6">
        <f>IF(Main[[#This Row],[مقدار (کیلوگرم)]]&gt;0,Main[[#This Row],[مقدار (کیلوگرم)]],0)</f>
        <v>0</v>
      </c>
      <c r="K750" s="6">
        <f>-IF(Main[[#This Row],[مقدار (کیلوگرم)]]&lt;0,Main[[#This Row],[مقدار (کیلوگرم)]],0)</f>
        <v>2111</v>
      </c>
      <c r="L7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0" s="7">
        <f>-IF(AND(Main[[#This Row],[مقدار (کیلوگرم)]]&lt;0,Main[[#This Row],[تاريخ میلادی]]&gt;44276),Main[[#This Row],[مقدار (کیلوگرم)]],0)</f>
        <v>2111</v>
      </c>
      <c r="N750" s="6">
        <f ca="1">Main[[#This Row],[بدهکار (کیلوگرم)]]-Main[[#This Row],[بدهی تسویه نشده (کیلوگرم)]]</f>
        <v>2111</v>
      </c>
      <c r="O750" s="6">
        <f ca="1">Main[[#This Row],[تفکیک]]</f>
        <v>0</v>
      </c>
      <c r="P750" s="6">
        <f ca="1">IF(Main[[#This Row],[تاخیر از سررسید]]&gt;0,Main[[#This Row],[بدهی تسویه نشده (کیلوگرم)]],0)</f>
        <v>0</v>
      </c>
      <c r="Q750" s="6">
        <f ca="1">IF(Main[[#This Row],[بدهی تسویه نشده (کیلوگرم)]]&gt;0,'گزارش فردی'!$B$7-Main[[#This Row],[تاريخ میلادی]],0)</f>
        <v>0</v>
      </c>
      <c r="R750" s="6">
        <f ca="1">IF(Main[[#This Row],[بدهی تسویه نشده (کیلوگرم)]]&gt;0,'گزارش فردی'!$B$7-Main[[#This Row],[تاريخ میلادی]]-'گزارش فردی'!$B$8,0)</f>
        <v>0</v>
      </c>
      <c r="S750" s="6">
        <f ca="1">Main[[#This Row],[روز از ارسال سفارش]]*Main[[#This Row],[بدهی تسویه نشده (کیلوگرم)]]</f>
        <v>0</v>
      </c>
      <c r="T750" s="6">
        <f ca="1">Main[[#This Row],[بدهی سررسید شده (کیلوگرم)]]*Main[[#This Row],[روز از ارسال سفارش]]</f>
        <v>0</v>
      </c>
      <c r="U750" s="6">
        <f>-SUBTOTAL(9,INDEX(Main[مقدار (کیلوگرم)],1):Main[[#This Row],[مقدار (کیلوگرم)]])</f>
        <v>37829</v>
      </c>
      <c r="V7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0" s="6">
        <f>Main[[#This Row],[تعداد کل روزهای بدهکار (روز)]]*Main[[#This Row],[مانده در خط کل (کیلوگرم)]]</f>
        <v>0</v>
      </c>
      <c r="X750" s="6">
        <f ca="1">-SUBTOTAL(9,INDEX(Main[مقدار تسویه شده (کیلوگرم)],1):Main[[#This Row],[مقدار تسویه شده (کیلوگرم)]])</f>
        <v>37829</v>
      </c>
      <c r="Y750" s="6">
        <f ca="1">IF(Main[[#This Row],[مانده در خط تسویه شده (کیلوگرم)]]&lt;&gt;0,Main[[#This Row],[تعداد کل روزهای بدهکار (روز)]],0)</f>
        <v>0</v>
      </c>
      <c r="Z750" s="6">
        <f ca="1">Main[[#This Row],[تعداد روزهای بدهکار تسویه شده (روز)]]*Main[[#This Row],[مانده در خط تسویه شده (کیلوگرم)]]</f>
        <v>0</v>
      </c>
      <c r="AA750" s="6">
        <f ca="1">SUBTOTAL(9,INDEX(Main[بدهی تسویه نشده (کیلوگرم)],1):Main[[#This Row],[بدهی تسویه نشده (کیلوگرم)]])</f>
        <v>0</v>
      </c>
      <c r="AB750" s="6">
        <f ca="1">IF(Main[[#This Row],[مانده در خط تسویه نشده (کیلوگرم)]]&lt;&gt;0,Main[[#This Row],[تعداد کل روزهای بدهکار (روز)]],0)</f>
        <v>0</v>
      </c>
      <c r="AC750" s="6">
        <f ca="1">Main[[#This Row],[تعداد روزهای بدهکار  تسویه نشده (روز)]]*Main[[#This Row],[مانده در خط تسویه نشده (کیلوگرم)]]</f>
        <v>0</v>
      </c>
      <c r="AD750" s="6">
        <f ca="1">SUBTOTAL(9,INDEX(Main[بدهی سررسید شده (کیلوگرم)],1):Main[[#This Row],[بدهی سررسید شده (کیلوگرم)]])</f>
        <v>0</v>
      </c>
      <c r="AE750" s="6">
        <f ca="1">IF(Main[[#This Row],[مانده در خط سررسید شده (کیلوگرم)]]&lt;&gt;0,Main[[#This Row],[تعداد کل روزهای بدهکار (روز)]],0)</f>
        <v>0</v>
      </c>
      <c r="AF750" s="6">
        <f ca="1">Main[[#This Row],[تعداد روزهای بدهکار سررسید شده (روز)]]*Main[[#This Row],[مانده در خط سررسید شده (کیلوگرم)]]</f>
        <v>0</v>
      </c>
    </row>
    <row r="751" spans="1:32" hidden="1" x14ac:dyDescent="0.35">
      <c r="A751" s="5">
        <f>ROW()-ROW(INDEX(Main[ردیف],1))+1</f>
        <v>749</v>
      </c>
      <c r="B751" s="31">
        <f>SUBTOTAL(2,INDEX(Main[ردیف],1):Main[[#This Row],[ردیف]])</f>
        <v>69</v>
      </c>
      <c r="C751" s="32" t="s">
        <v>587</v>
      </c>
      <c r="D751" s="32" t="str">
        <f>_xlfn.CONCAT("14",Main[[#This Row],[تاريخ]])</f>
        <v>1400/03/22</v>
      </c>
      <c r="E751" s="33">
        <v>44359</v>
      </c>
      <c r="F751" s="32">
        <v>30127</v>
      </c>
      <c r="G751" s="5" t="str">
        <f>INDEX(customer[عنوان],MATCH(Main[[#This Row],[کد ردیابی]],customer[کد],0))</f>
        <v>شیر گاز آذران</v>
      </c>
      <c r="H751">
        <v>15076</v>
      </c>
      <c r="I751" s="6">
        <f ca="1">-Main[[#This Row],[بدهی تسویه شده (کیلوگرم)]]+Main[[#This Row],[بستانکار (کیلوگرم)]]</f>
        <v>15076</v>
      </c>
      <c r="J751" s="6">
        <f>IF(Main[[#This Row],[مقدار (کیلوگرم)]]&gt;0,Main[[#This Row],[مقدار (کیلوگرم)]],0)</f>
        <v>15076</v>
      </c>
      <c r="K751" s="6">
        <f>-IF(Main[[#This Row],[مقدار (کیلوگرم)]]&lt;0,Main[[#This Row],[مقدار (کیلوگرم)]],0)</f>
        <v>0</v>
      </c>
      <c r="L7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1" s="7">
        <f>-IF(AND(Main[[#This Row],[مقدار (کیلوگرم)]]&lt;0,Main[[#This Row],[تاريخ میلادی]]&gt;44276),Main[[#This Row],[مقدار (کیلوگرم)]],0)</f>
        <v>0</v>
      </c>
      <c r="N751" s="6">
        <f ca="1">Main[[#This Row],[بدهکار (کیلوگرم)]]-Main[[#This Row],[بدهی تسویه نشده (کیلوگرم)]]</f>
        <v>0</v>
      </c>
      <c r="O751" s="6">
        <f ca="1">Main[[#This Row],[تفکیک]]</f>
        <v>0</v>
      </c>
      <c r="P751" s="6">
        <f ca="1">IF(Main[[#This Row],[تاخیر از سررسید]]&gt;0,Main[[#This Row],[بدهی تسویه نشده (کیلوگرم)]],0)</f>
        <v>0</v>
      </c>
      <c r="Q751" s="6">
        <f ca="1">IF(Main[[#This Row],[بدهی تسویه نشده (کیلوگرم)]]&gt;0,'گزارش فردی'!$B$7-Main[[#This Row],[تاريخ میلادی]],0)</f>
        <v>0</v>
      </c>
      <c r="R751" s="6">
        <f ca="1">IF(Main[[#This Row],[بدهی تسویه نشده (کیلوگرم)]]&gt;0,'گزارش فردی'!$B$7-Main[[#This Row],[تاريخ میلادی]]-'گزارش فردی'!$B$8,0)</f>
        <v>0</v>
      </c>
      <c r="S751" s="6">
        <f ca="1">Main[[#This Row],[روز از ارسال سفارش]]*Main[[#This Row],[بدهی تسویه نشده (کیلوگرم)]]</f>
        <v>0</v>
      </c>
      <c r="T751" s="6">
        <f ca="1">Main[[#This Row],[بدهی سررسید شده (کیلوگرم)]]*Main[[#This Row],[روز از ارسال سفارش]]</f>
        <v>0</v>
      </c>
      <c r="U751" s="6">
        <f>-SUBTOTAL(9,INDEX(Main[مقدار (کیلوگرم)],1):Main[[#This Row],[مقدار (کیلوگرم)]])</f>
        <v>37829</v>
      </c>
      <c r="V7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1" s="6">
        <f>Main[[#This Row],[تعداد کل روزهای بدهکار (روز)]]*Main[[#This Row],[مانده در خط کل (کیلوگرم)]]</f>
        <v>0</v>
      </c>
      <c r="X751" s="6">
        <f ca="1">-SUBTOTAL(9,INDEX(Main[مقدار تسویه شده (کیلوگرم)],1):Main[[#This Row],[مقدار تسویه شده (کیلوگرم)]])</f>
        <v>37829</v>
      </c>
      <c r="Y751" s="6">
        <f ca="1">IF(Main[[#This Row],[مانده در خط تسویه شده (کیلوگرم)]]&lt;&gt;0,Main[[#This Row],[تعداد کل روزهای بدهکار (روز)]],0)</f>
        <v>0</v>
      </c>
      <c r="Z751" s="6">
        <f ca="1">Main[[#This Row],[تعداد روزهای بدهکار تسویه شده (روز)]]*Main[[#This Row],[مانده در خط تسویه شده (کیلوگرم)]]</f>
        <v>0</v>
      </c>
      <c r="AA751" s="6">
        <f ca="1">SUBTOTAL(9,INDEX(Main[بدهی تسویه نشده (کیلوگرم)],1):Main[[#This Row],[بدهی تسویه نشده (کیلوگرم)]])</f>
        <v>0</v>
      </c>
      <c r="AB751" s="6">
        <f ca="1">IF(Main[[#This Row],[مانده در خط تسویه نشده (کیلوگرم)]]&lt;&gt;0,Main[[#This Row],[تعداد کل روزهای بدهکار (روز)]],0)</f>
        <v>0</v>
      </c>
      <c r="AC751" s="6">
        <f ca="1">Main[[#This Row],[تعداد روزهای بدهکار  تسویه نشده (روز)]]*Main[[#This Row],[مانده در خط تسویه نشده (کیلوگرم)]]</f>
        <v>0</v>
      </c>
      <c r="AD751" s="6">
        <f ca="1">SUBTOTAL(9,INDEX(Main[بدهی سررسید شده (کیلوگرم)],1):Main[[#This Row],[بدهی سررسید شده (کیلوگرم)]])</f>
        <v>0</v>
      </c>
      <c r="AE751" s="6">
        <f ca="1">IF(Main[[#This Row],[مانده در خط سررسید شده (کیلوگرم)]]&lt;&gt;0,Main[[#This Row],[تعداد کل روزهای بدهکار (روز)]],0)</f>
        <v>0</v>
      </c>
      <c r="AF751" s="6">
        <f ca="1">Main[[#This Row],[تعداد روزهای بدهکار سررسید شده (روز)]]*Main[[#This Row],[مانده در خط سررسید شده (کیلوگرم)]]</f>
        <v>0</v>
      </c>
    </row>
    <row r="752" spans="1:32" x14ac:dyDescent="0.35">
      <c r="A752" s="5">
        <f>ROW()-ROW(INDEX(Main[ردیف],1))+1</f>
        <v>750</v>
      </c>
      <c r="B752" s="31">
        <f>SUBTOTAL(2,INDEX(Main[ردیف],1):Main[[#This Row],[ردیف]])</f>
        <v>70</v>
      </c>
      <c r="C752" s="32" t="s">
        <v>587</v>
      </c>
      <c r="D752" s="32" t="str">
        <f>_xlfn.CONCAT("14",Main[[#This Row],[تاريخ]])</f>
        <v>1400/03/22</v>
      </c>
      <c r="E752" s="33">
        <v>44359</v>
      </c>
      <c r="F752" s="32">
        <v>10003</v>
      </c>
      <c r="G752" s="5" t="str">
        <f>INDEX(customer[عنوان],MATCH(Main[[#This Row],[کد ردیابی]],customer[کد],0))</f>
        <v>اصغر نورعلی</v>
      </c>
      <c r="H752">
        <v>-1099</v>
      </c>
      <c r="I752" s="6">
        <f ca="1">-Main[[#This Row],[بدهی تسویه شده (کیلوگرم)]]+Main[[#This Row],[بستانکار (کیلوگرم)]]</f>
        <v>-1099</v>
      </c>
      <c r="J752" s="6">
        <f>IF(Main[[#This Row],[مقدار (کیلوگرم)]]&gt;0,Main[[#This Row],[مقدار (کیلوگرم)]],0)</f>
        <v>0</v>
      </c>
      <c r="K752" s="6">
        <f>-IF(Main[[#This Row],[مقدار (کیلوگرم)]]&lt;0,Main[[#This Row],[مقدار (کیلوگرم)]],0)</f>
        <v>1099</v>
      </c>
      <c r="L7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2" s="7">
        <f>-IF(AND(Main[[#This Row],[مقدار (کیلوگرم)]]&lt;0,Main[[#This Row],[تاريخ میلادی]]&gt;44276),Main[[#This Row],[مقدار (کیلوگرم)]],0)</f>
        <v>1099</v>
      </c>
      <c r="N752" s="6">
        <f ca="1">Main[[#This Row],[بدهکار (کیلوگرم)]]-Main[[#This Row],[بدهی تسویه نشده (کیلوگرم)]]</f>
        <v>1099</v>
      </c>
      <c r="O752" s="6">
        <f ca="1">Main[[#This Row],[تفکیک]]</f>
        <v>0</v>
      </c>
      <c r="P752" s="6">
        <f ca="1">IF(Main[[#This Row],[تاخیر از سررسید]]&gt;0,Main[[#This Row],[بدهی تسویه نشده (کیلوگرم)]],0)</f>
        <v>0</v>
      </c>
      <c r="Q752" s="6">
        <f ca="1">IF(Main[[#This Row],[بدهی تسویه نشده (کیلوگرم)]]&gt;0,'گزارش فردی'!$B$7-Main[[#This Row],[تاريخ میلادی]],0)</f>
        <v>0</v>
      </c>
      <c r="R752" s="6">
        <f ca="1">IF(Main[[#This Row],[بدهی تسویه نشده (کیلوگرم)]]&gt;0,'گزارش فردی'!$B$7-Main[[#This Row],[تاريخ میلادی]]-'گزارش فردی'!$B$8,0)</f>
        <v>0</v>
      </c>
      <c r="S752" s="6">
        <f ca="1">Main[[#This Row],[روز از ارسال سفارش]]*Main[[#This Row],[بدهی تسویه نشده (کیلوگرم)]]</f>
        <v>0</v>
      </c>
      <c r="T752" s="6">
        <f ca="1">Main[[#This Row],[بدهی سررسید شده (کیلوگرم)]]*Main[[#This Row],[روز از ارسال سفارش]]</f>
        <v>0</v>
      </c>
      <c r="U752" s="6">
        <f>-SUBTOTAL(9,INDEX(Main[مقدار (کیلوگرم)],1):Main[[#This Row],[مقدار (کیلوگرم)]])</f>
        <v>38928</v>
      </c>
      <c r="V7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2" s="6">
        <f>Main[[#This Row],[تعداد کل روزهای بدهکار (روز)]]*Main[[#This Row],[مانده در خط کل (کیلوگرم)]]</f>
        <v>38928</v>
      </c>
      <c r="X752" s="6">
        <f ca="1">-SUBTOTAL(9,INDEX(Main[مقدار تسویه شده (کیلوگرم)],1):Main[[#This Row],[مقدار تسویه شده (کیلوگرم)]])</f>
        <v>38928</v>
      </c>
      <c r="Y752" s="6">
        <f ca="1">IF(Main[[#This Row],[مانده در خط تسویه شده (کیلوگرم)]]&lt;&gt;0,Main[[#This Row],[تعداد کل روزهای بدهکار (روز)]],0)</f>
        <v>1</v>
      </c>
      <c r="Z752" s="6">
        <f ca="1">Main[[#This Row],[تعداد روزهای بدهکار تسویه شده (روز)]]*Main[[#This Row],[مانده در خط تسویه شده (کیلوگرم)]]</f>
        <v>38928</v>
      </c>
      <c r="AA752" s="6">
        <f ca="1">SUBTOTAL(9,INDEX(Main[بدهی تسویه نشده (کیلوگرم)],1):Main[[#This Row],[بدهی تسویه نشده (کیلوگرم)]])</f>
        <v>0</v>
      </c>
      <c r="AB752" s="6">
        <f ca="1">IF(Main[[#This Row],[مانده در خط تسویه نشده (کیلوگرم)]]&lt;&gt;0,Main[[#This Row],[تعداد کل روزهای بدهکار (روز)]],0)</f>
        <v>0</v>
      </c>
      <c r="AC752" s="6">
        <f ca="1">Main[[#This Row],[تعداد روزهای بدهکار  تسویه نشده (روز)]]*Main[[#This Row],[مانده در خط تسویه نشده (کیلوگرم)]]</f>
        <v>0</v>
      </c>
      <c r="AD752" s="6">
        <f ca="1">SUBTOTAL(9,INDEX(Main[بدهی سررسید شده (کیلوگرم)],1):Main[[#This Row],[بدهی سررسید شده (کیلوگرم)]])</f>
        <v>0</v>
      </c>
      <c r="AE752" s="6">
        <f ca="1">IF(Main[[#This Row],[مانده در خط سررسید شده (کیلوگرم)]]&lt;&gt;0,Main[[#This Row],[تعداد کل روزهای بدهکار (روز)]],0)</f>
        <v>0</v>
      </c>
      <c r="AF752" s="6">
        <f ca="1">Main[[#This Row],[تعداد روزهای بدهکار سررسید شده (روز)]]*Main[[#This Row],[مانده در خط سررسید شده (کیلوگرم)]]</f>
        <v>0</v>
      </c>
    </row>
    <row r="753" spans="1:32" hidden="1" x14ac:dyDescent="0.35">
      <c r="A753" s="5">
        <f>ROW()-ROW(INDEX(Main[ردیف],1))+1</f>
        <v>751</v>
      </c>
      <c r="B753" s="31">
        <f>SUBTOTAL(2,INDEX(Main[ردیف],1):Main[[#This Row],[ردیف]])</f>
        <v>70</v>
      </c>
      <c r="C753" s="32" t="s">
        <v>587</v>
      </c>
      <c r="D753" s="32" t="str">
        <f>_xlfn.CONCAT("14",Main[[#This Row],[تاريخ]])</f>
        <v>1400/03/22</v>
      </c>
      <c r="E753" s="33">
        <v>44359</v>
      </c>
      <c r="F753" s="32">
        <v>30004</v>
      </c>
      <c r="G753" s="5" t="str">
        <f>INDEX(customer[عنوان],MATCH(Main[[#This Row],[کد ردیابی]],customer[کد],0))</f>
        <v>تولیدی صنعتی صفاشیر پارس</v>
      </c>
      <c r="H753">
        <v>3556</v>
      </c>
      <c r="I753" s="6">
        <f ca="1">-Main[[#This Row],[بدهی تسویه شده (کیلوگرم)]]+Main[[#This Row],[بستانکار (کیلوگرم)]]</f>
        <v>3556</v>
      </c>
      <c r="J753" s="6">
        <f>IF(Main[[#This Row],[مقدار (کیلوگرم)]]&gt;0,Main[[#This Row],[مقدار (کیلوگرم)]],0)</f>
        <v>3556</v>
      </c>
      <c r="K753" s="6">
        <f>-IF(Main[[#This Row],[مقدار (کیلوگرم)]]&lt;0,Main[[#This Row],[مقدار (کیلوگرم)]],0)</f>
        <v>0</v>
      </c>
      <c r="L7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3" s="7">
        <f>-IF(AND(Main[[#This Row],[مقدار (کیلوگرم)]]&lt;0,Main[[#This Row],[تاريخ میلادی]]&gt;44276),Main[[#This Row],[مقدار (کیلوگرم)]],0)</f>
        <v>0</v>
      </c>
      <c r="N753" s="6">
        <f ca="1">Main[[#This Row],[بدهکار (کیلوگرم)]]-Main[[#This Row],[بدهی تسویه نشده (کیلوگرم)]]</f>
        <v>0</v>
      </c>
      <c r="O753" s="6">
        <f ca="1">Main[[#This Row],[تفکیک]]</f>
        <v>0</v>
      </c>
      <c r="P753" s="6">
        <f ca="1">IF(Main[[#This Row],[تاخیر از سررسید]]&gt;0,Main[[#This Row],[بدهی تسویه نشده (کیلوگرم)]],0)</f>
        <v>0</v>
      </c>
      <c r="Q753" s="6">
        <f ca="1">IF(Main[[#This Row],[بدهی تسویه نشده (کیلوگرم)]]&gt;0,'گزارش فردی'!$B$7-Main[[#This Row],[تاريخ میلادی]],0)</f>
        <v>0</v>
      </c>
      <c r="R753" s="6">
        <f ca="1">IF(Main[[#This Row],[بدهی تسویه نشده (کیلوگرم)]]&gt;0,'گزارش فردی'!$B$7-Main[[#This Row],[تاريخ میلادی]]-'گزارش فردی'!$B$8,0)</f>
        <v>0</v>
      </c>
      <c r="S753" s="6">
        <f ca="1">Main[[#This Row],[روز از ارسال سفارش]]*Main[[#This Row],[بدهی تسویه نشده (کیلوگرم)]]</f>
        <v>0</v>
      </c>
      <c r="T753" s="6">
        <f ca="1">Main[[#This Row],[بدهی سررسید شده (کیلوگرم)]]*Main[[#This Row],[روز از ارسال سفارش]]</f>
        <v>0</v>
      </c>
      <c r="U753" s="6">
        <f>-SUBTOTAL(9,INDEX(Main[مقدار (کیلوگرم)],1):Main[[#This Row],[مقدار (کیلوگرم)]])</f>
        <v>38928</v>
      </c>
      <c r="V7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3" s="6">
        <f>Main[[#This Row],[تعداد کل روزهای بدهکار (روز)]]*Main[[#This Row],[مانده در خط کل (کیلوگرم)]]</f>
        <v>38928</v>
      </c>
      <c r="X753" s="6">
        <f ca="1">-SUBTOTAL(9,INDEX(Main[مقدار تسویه شده (کیلوگرم)],1):Main[[#This Row],[مقدار تسویه شده (کیلوگرم)]])</f>
        <v>38928</v>
      </c>
      <c r="Y753" s="6">
        <f ca="1">IF(Main[[#This Row],[مانده در خط تسویه شده (کیلوگرم)]]&lt;&gt;0,Main[[#This Row],[تعداد کل روزهای بدهکار (روز)]],0)</f>
        <v>1</v>
      </c>
      <c r="Z753" s="6">
        <f ca="1">Main[[#This Row],[تعداد روزهای بدهکار تسویه شده (روز)]]*Main[[#This Row],[مانده در خط تسویه شده (کیلوگرم)]]</f>
        <v>38928</v>
      </c>
      <c r="AA753" s="6">
        <f ca="1">SUBTOTAL(9,INDEX(Main[بدهی تسویه نشده (کیلوگرم)],1):Main[[#This Row],[بدهی تسویه نشده (کیلوگرم)]])</f>
        <v>0</v>
      </c>
      <c r="AB753" s="6">
        <f ca="1">IF(Main[[#This Row],[مانده در خط تسویه نشده (کیلوگرم)]]&lt;&gt;0,Main[[#This Row],[تعداد کل روزهای بدهکار (روز)]],0)</f>
        <v>0</v>
      </c>
      <c r="AC753" s="6">
        <f ca="1">Main[[#This Row],[تعداد روزهای بدهکار  تسویه نشده (روز)]]*Main[[#This Row],[مانده در خط تسویه نشده (کیلوگرم)]]</f>
        <v>0</v>
      </c>
      <c r="AD753" s="6">
        <f ca="1">SUBTOTAL(9,INDEX(Main[بدهی سررسید شده (کیلوگرم)],1):Main[[#This Row],[بدهی سررسید شده (کیلوگرم)]])</f>
        <v>0</v>
      </c>
      <c r="AE753" s="6">
        <f ca="1">IF(Main[[#This Row],[مانده در خط سررسید شده (کیلوگرم)]]&lt;&gt;0,Main[[#This Row],[تعداد کل روزهای بدهکار (روز)]],0)</f>
        <v>0</v>
      </c>
      <c r="AF753" s="6">
        <f ca="1">Main[[#This Row],[تعداد روزهای بدهکار سررسید شده (روز)]]*Main[[#This Row],[مانده در خط سررسید شده (کیلوگرم)]]</f>
        <v>0</v>
      </c>
    </row>
    <row r="754" spans="1:32" hidden="1" x14ac:dyDescent="0.35">
      <c r="A754" s="5">
        <f>ROW()-ROW(INDEX(Main[ردیف],1))+1</f>
        <v>752</v>
      </c>
      <c r="B754" s="31">
        <f>SUBTOTAL(2,INDEX(Main[ردیف],1):Main[[#This Row],[ردیف]])</f>
        <v>70</v>
      </c>
      <c r="C754" s="32" t="s">
        <v>587</v>
      </c>
      <c r="D754" s="32" t="str">
        <f>_xlfn.CONCAT("14",Main[[#This Row],[تاريخ]])</f>
        <v>1400/03/22</v>
      </c>
      <c r="E754" s="33">
        <v>44359</v>
      </c>
      <c r="F754" s="32">
        <v>10057</v>
      </c>
      <c r="G754" s="5" t="str">
        <f>INDEX(customer[عنوان],MATCH(Main[[#This Row],[کد ردیابی]],customer[کد],0))</f>
        <v xml:space="preserve">عبدالله یادگار </v>
      </c>
      <c r="H754">
        <v>-1938</v>
      </c>
      <c r="I754" s="6">
        <f ca="1">-Main[[#This Row],[بدهی تسویه شده (کیلوگرم)]]+Main[[#This Row],[بستانکار (کیلوگرم)]]</f>
        <v>-1938</v>
      </c>
      <c r="J754" s="6">
        <f>IF(Main[[#This Row],[مقدار (کیلوگرم)]]&gt;0,Main[[#This Row],[مقدار (کیلوگرم)]],0)</f>
        <v>0</v>
      </c>
      <c r="K754" s="6">
        <f>-IF(Main[[#This Row],[مقدار (کیلوگرم)]]&lt;0,Main[[#This Row],[مقدار (کیلوگرم)]],0)</f>
        <v>1938</v>
      </c>
      <c r="L7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4" s="7">
        <f>-IF(AND(Main[[#This Row],[مقدار (کیلوگرم)]]&lt;0,Main[[#This Row],[تاريخ میلادی]]&gt;44276),Main[[#This Row],[مقدار (کیلوگرم)]],0)</f>
        <v>1938</v>
      </c>
      <c r="N754" s="6">
        <f ca="1">Main[[#This Row],[بدهکار (کیلوگرم)]]-Main[[#This Row],[بدهی تسویه نشده (کیلوگرم)]]</f>
        <v>1938</v>
      </c>
      <c r="O754" s="6">
        <f ca="1">Main[[#This Row],[تفکیک]]</f>
        <v>0</v>
      </c>
      <c r="P754" s="6">
        <f ca="1">IF(Main[[#This Row],[تاخیر از سررسید]]&gt;0,Main[[#This Row],[بدهی تسویه نشده (کیلوگرم)]],0)</f>
        <v>0</v>
      </c>
      <c r="Q754" s="6">
        <f ca="1">IF(Main[[#This Row],[بدهی تسویه نشده (کیلوگرم)]]&gt;0,'گزارش فردی'!$B$7-Main[[#This Row],[تاريخ میلادی]],0)</f>
        <v>0</v>
      </c>
      <c r="R754" s="6">
        <f ca="1">IF(Main[[#This Row],[بدهی تسویه نشده (کیلوگرم)]]&gt;0,'گزارش فردی'!$B$7-Main[[#This Row],[تاريخ میلادی]]-'گزارش فردی'!$B$8,0)</f>
        <v>0</v>
      </c>
      <c r="S754" s="6">
        <f ca="1">Main[[#This Row],[روز از ارسال سفارش]]*Main[[#This Row],[بدهی تسویه نشده (کیلوگرم)]]</f>
        <v>0</v>
      </c>
      <c r="T754" s="6">
        <f ca="1">Main[[#This Row],[بدهی سررسید شده (کیلوگرم)]]*Main[[#This Row],[روز از ارسال سفارش]]</f>
        <v>0</v>
      </c>
      <c r="U754" s="6">
        <f>-SUBTOTAL(9,INDEX(Main[مقدار (کیلوگرم)],1):Main[[#This Row],[مقدار (کیلوگرم)]])</f>
        <v>38928</v>
      </c>
      <c r="V7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4" s="6">
        <f>Main[[#This Row],[تعداد کل روزهای بدهکار (روز)]]*Main[[#This Row],[مانده در خط کل (کیلوگرم)]]</f>
        <v>38928</v>
      </c>
      <c r="X754" s="6">
        <f ca="1">-SUBTOTAL(9,INDEX(Main[مقدار تسویه شده (کیلوگرم)],1):Main[[#This Row],[مقدار تسویه شده (کیلوگرم)]])</f>
        <v>38928</v>
      </c>
      <c r="Y754" s="6">
        <f ca="1">IF(Main[[#This Row],[مانده در خط تسویه شده (کیلوگرم)]]&lt;&gt;0,Main[[#This Row],[تعداد کل روزهای بدهکار (روز)]],0)</f>
        <v>1</v>
      </c>
      <c r="Z754" s="6">
        <f ca="1">Main[[#This Row],[تعداد روزهای بدهکار تسویه شده (روز)]]*Main[[#This Row],[مانده در خط تسویه شده (کیلوگرم)]]</f>
        <v>38928</v>
      </c>
      <c r="AA754" s="6">
        <f ca="1">SUBTOTAL(9,INDEX(Main[بدهی تسویه نشده (کیلوگرم)],1):Main[[#This Row],[بدهی تسویه نشده (کیلوگرم)]])</f>
        <v>0</v>
      </c>
      <c r="AB754" s="6">
        <f ca="1">IF(Main[[#This Row],[مانده در خط تسویه نشده (کیلوگرم)]]&lt;&gt;0,Main[[#This Row],[تعداد کل روزهای بدهکار (روز)]],0)</f>
        <v>0</v>
      </c>
      <c r="AC754" s="6">
        <f ca="1">Main[[#This Row],[تعداد روزهای بدهکار  تسویه نشده (روز)]]*Main[[#This Row],[مانده در خط تسویه نشده (کیلوگرم)]]</f>
        <v>0</v>
      </c>
      <c r="AD754" s="6">
        <f ca="1">SUBTOTAL(9,INDEX(Main[بدهی سررسید شده (کیلوگرم)],1):Main[[#This Row],[بدهی سررسید شده (کیلوگرم)]])</f>
        <v>0</v>
      </c>
      <c r="AE754" s="6">
        <f ca="1">IF(Main[[#This Row],[مانده در خط سررسید شده (کیلوگرم)]]&lt;&gt;0,Main[[#This Row],[تعداد کل روزهای بدهکار (روز)]],0)</f>
        <v>0</v>
      </c>
      <c r="AF754" s="6">
        <f ca="1">Main[[#This Row],[تعداد روزهای بدهکار سررسید شده (روز)]]*Main[[#This Row],[مانده در خط سررسید شده (کیلوگرم)]]</f>
        <v>0</v>
      </c>
    </row>
    <row r="755" spans="1:32" hidden="1" x14ac:dyDescent="0.35">
      <c r="A755" s="5">
        <f>ROW()-ROW(INDEX(Main[ردیف],1))+1</f>
        <v>753</v>
      </c>
      <c r="B755" s="31">
        <f>SUBTOTAL(2,INDEX(Main[ردیف],1):Main[[#This Row],[ردیف]])</f>
        <v>70</v>
      </c>
      <c r="C755" s="32" t="s">
        <v>587</v>
      </c>
      <c r="D755" s="32" t="str">
        <f>_xlfn.CONCAT("14",Main[[#This Row],[تاريخ]])</f>
        <v>1400/03/22</v>
      </c>
      <c r="E755" s="33">
        <v>44359</v>
      </c>
      <c r="F755" s="32">
        <v>50016</v>
      </c>
      <c r="G755" s="5" t="str">
        <f>INDEX(customer[عنوان],MATCH(Main[[#This Row],[کد ردیابی]],customer[کد],0))</f>
        <v xml:space="preserve">مهدی یوسفی  </v>
      </c>
      <c r="H755">
        <v>1525</v>
      </c>
      <c r="I755" s="6">
        <f ca="1">-Main[[#This Row],[بدهی تسویه شده (کیلوگرم)]]+Main[[#This Row],[بستانکار (کیلوگرم)]]</f>
        <v>1525</v>
      </c>
      <c r="J755" s="6">
        <f>IF(Main[[#This Row],[مقدار (کیلوگرم)]]&gt;0,Main[[#This Row],[مقدار (کیلوگرم)]],0)</f>
        <v>1525</v>
      </c>
      <c r="K755" s="6">
        <f>-IF(Main[[#This Row],[مقدار (کیلوگرم)]]&lt;0,Main[[#This Row],[مقدار (کیلوگرم)]],0)</f>
        <v>0</v>
      </c>
      <c r="L7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5" s="7">
        <f>-IF(AND(Main[[#This Row],[مقدار (کیلوگرم)]]&lt;0,Main[[#This Row],[تاريخ میلادی]]&gt;44276),Main[[#This Row],[مقدار (کیلوگرم)]],0)</f>
        <v>0</v>
      </c>
      <c r="N755" s="6">
        <f ca="1">Main[[#This Row],[بدهکار (کیلوگرم)]]-Main[[#This Row],[بدهی تسویه نشده (کیلوگرم)]]</f>
        <v>0</v>
      </c>
      <c r="O755" s="6">
        <f ca="1">Main[[#This Row],[تفکیک]]</f>
        <v>0</v>
      </c>
      <c r="P755" s="6">
        <f ca="1">IF(Main[[#This Row],[تاخیر از سررسید]]&gt;0,Main[[#This Row],[بدهی تسویه نشده (کیلوگرم)]],0)</f>
        <v>0</v>
      </c>
      <c r="Q755" s="6">
        <f ca="1">IF(Main[[#This Row],[بدهی تسویه نشده (کیلوگرم)]]&gt;0,'گزارش فردی'!$B$7-Main[[#This Row],[تاريخ میلادی]],0)</f>
        <v>0</v>
      </c>
      <c r="R755" s="6">
        <f ca="1">IF(Main[[#This Row],[بدهی تسویه نشده (کیلوگرم)]]&gt;0,'گزارش فردی'!$B$7-Main[[#This Row],[تاريخ میلادی]]-'گزارش فردی'!$B$8,0)</f>
        <v>0</v>
      </c>
      <c r="S755" s="6">
        <f ca="1">Main[[#This Row],[روز از ارسال سفارش]]*Main[[#This Row],[بدهی تسویه نشده (کیلوگرم)]]</f>
        <v>0</v>
      </c>
      <c r="T755" s="6">
        <f ca="1">Main[[#This Row],[بدهی سررسید شده (کیلوگرم)]]*Main[[#This Row],[روز از ارسال سفارش]]</f>
        <v>0</v>
      </c>
      <c r="U755" s="6">
        <f>-SUBTOTAL(9,INDEX(Main[مقدار (کیلوگرم)],1):Main[[#This Row],[مقدار (کیلوگرم)]])</f>
        <v>38928</v>
      </c>
      <c r="V7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5" s="6">
        <f>Main[[#This Row],[تعداد کل روزهای بدهکار (روز)]]*Main[[#This Row],[مانده در خط کل (کیلوگرم)]]</f>
        <v>38928</v>
      </c>
      <c r="X755" s="6">
        <f ca="1">-SUBTOTAL(9,INDEX(Main[مقدار تسویه شده (کیلوگرم)],1):Main[[#This Row],[مقدار تسویه شده (کیلوگرم)]])</f>
        <v>38928</v>
      </c>
      <c r="Y755" s="6">
        <f ca="1">IF(Main[[#This Row],[مانده در خط تسویه شده (کیلوگرم)]]&lt;&gt;0,Main[[#This Row],[تعداد کل روزهای بدهکار (روز)]],0)</f>
        <v>1</v>
      </c>
      <c r="Z755" s="6">
        <f ca="1">Main[[#This Row],[تعداد روزهای بدهکار تسویه شده (روز)]]*Main[[#This Row],[مانده در خط تسویه شده (کیلوگرم)]]</f>
        <v>38928</v>
      </c>
      <c r="AA755" s="6">
        <f ca="1">SUBTOTAL(9,INDEX(Main[بدهی تسویه نشده (کیلوگرم)],1):Main[[#This Row],[بدهی تسویه نشده (کیلوگرم)]])</f>
        <v>0</v>
      </c>
      <c r="AB755" s="6">
        <f ca="1">IF(Main[[#This Row],[مانده در خط تسویه نشده (کیلوگرم)]]&lt;&gt;0,Main[[#This Row],[تعداد کل روزهای بدهکار (روز)]],0)</f>
        <v>0</v>
      </c>
      <c r="AC755" s="6">
        <f ca="1">Main[[#This Row],[تعداد روزهای بدهکار  تسویه نشده (روز)]]*Main[[#This Row],[مانده در خط تسویه نشده (کیلوگرم)]]</f>
        <v>0</v>
      </c>
      <c r="AD755" s="6">
        <f ca="1">SUBTOTAL(9,INDEX(Main[بدهی سررسید شده (کیلوگرم)],1):Main[[#This Row],[بدهی سررسید شده (کیلوگرم)]])</f>
        <v>0</v>
      </c>
      <c r="AE755" s="6">
        <f ca="1">IF(Main[[#This Row],[مانده در خط سررسید شده (کیلوگرم)]]&lt;&gt;0,Main[[#This Row],[تعداد کل روزهای بدهکار (روز)]],0)</f>
        <v>0</v>
      </c>
      <c r="AF755" s="6">
        <f ca="1">Main[[#This Row],[تعداد روزهای بدهکار سررسید شده (روز)]]*Main[[#This Row],[مانده در خط سررسید شده (کیلوگرم)]]</f>
        <v>0</v>
      </c>
    </row>
    <row r="756" spans="1:32" hidden="1" x14ac:dyDescent="0.35">
      <c r="A756" s="5">
        <f>ROW()-ROW(INDEX(Main[ردیف],1))+1</f>
        <v>754</v>
      </c>
      <c r="B756" s="31">
        <f>SUBTOTAL(2,INDEX(Main[ردیف],1):Main[[#This Row],[ردیف]])</f>
        <v>70</v>
      </c>
      <c r="C756" s="32" t="s">
        <v>587</v>
      </c>
      <c r="D756" s="32" t="str">
        <f>_xlfn.CONCAT("14",Main[[#This Row],[تاريخ]])</f>
        <v>1400/03/22</v>
      </c>
      <c r="E756" s="33">
        <v>44359</v>
      </c>
      <c r="F756" s="32">
        <v>10026</v>
      </c>
      <c r="G756" s="5" t="str">
        <f>INDEX(customer[عنوان],MATCH(Main[[#This Row],[کد ردیابی]],customer[کد],0))</f>
        <v xml:space="preserve">محسن فیاض بخش </v>
      </c>
      <c r="H756">
        <v>-2065</v>
      </c>
      <c r="I756" s="6">
        <f ca="1">-Main[[#This Row],[بدهی تسویه شده (کیلوگرم)]]+Main[[#This Row],[بستانکار (کیلوگرم)]]</f>
        <v>-2065</v>
      </c>
      <c r="J756" s="6">
        <f>IF(Main[[#This Row],[مقدار (کیلوگرم)]]&gt;0,Main[[#This Row],[مقدار (کیلوگرم)]],0)</f>
        <v>0</v>
      </c>
      <c r="K756" s="6">
        <f>-IF(Main[[#This Row],[مقدار (کیلوگرم)]]&lt;0,Main[[#This Row],[مقدار (کیلوگرم)]],0)</f>
        <v>2065</v>
      </c>
      <c r="L7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6" s="7">
        <f>-IF(AND(Main[[#This Row],[مقدار (کیلوگرم)]]&lt;0,Main[[#This Row],[تاريخ میلادی]]&gt;44276),Main[[#This Row],[مقدار (کیلوگرم)]],0)</f>
        <v>2065</v>
      </c>
      <c r="N756" s="6">
        <f ca="1">Main[[#This Row],[بدهکار (کیلوگرم)]]-Main[[#This Row],[بدهی تسویه نشده (کیلوگرم)]]</f>
        <v>2065</v>
      </c>
      <c r="O756" s="6">
        <f ca="1">Main[[#This Row],[تفکیک]]</f>
        <v>0</v>
      </c>
      <c r="P756" s="6">
        <f ca="1">IF(Main[[#This Row],[تاخیر از سررسید]]&gt;0,Main[[#This Row],[بدهی تسویه نشده (کیلوگرم)]],0)</f>
        <v>0</v>
      </c>
      <c r="Q756" s="6">
        <f ca="1">IF(Main[[#This Row],[بدهی تسویه نشده (کیلوگرم)]]&gt;0,'گزارش فردی'!$B$7-Main[[#This Row],[تاريخ میلادی]],0)</f>
        <v>0</v>
      </c>
      <c r="R756" s="6">
        <f ca="1">IF(Main[[#This Row],[بدهی تسویه نشده (کیلوگرم)]]&gt;0,'گزارش فردی'!$B$7-Main[[#This Row],[تاريخ میلادی]]-'گزارش فردی'!$B$8,0)</f>
        <v>0</v>
      </c>
      <c r="S756" s="6">
        <f ca="1">Main[[#This Row],[روز از ارسال سفارش]]*Main[[#This Row],[بدهی تسویه نشده (کیلوگرم)]]</f>
        <v>0</v>
      </c>
      <c r="T756" s="6">
        <f ca="1">Main[[#This Row],[بدهی سررسید شده (کیلوگرم)]]*Main[[#This Row],[روز از ارسال سفارش]]</f>
        <v>0</v>
      </c>
      <c r="U756" s="6">
        <f>-SUBTOTAL(9,INDEX(Main[مقدار (کیلوگرم)],1):Main[[#This Row],[مقدار (کیلوگرم)]])</f>
        <v>38928</v>
      </c>
      <c r="V7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6" s="6">
        <f>Main[[#This Row],[تعداد کل روزهای بدهکار (روز)]]*Main[[#This Row],[مانده در خط کل (کیلوگرم)]]</f>
        <v>38928</v>
      </c>
      <c r="X756" s="6">
        <f ca="1">-SUBTOTAL(9,INDEX(Main[مقدار تسویه شده (کیلوگرم)],1):Main[[#This Row],[مقدار تسویه شده (کیلوگرم)]])</f>
        <v>38928</v>
      </c>
      <c r="Y756" s="6">
        <f ca="1">IF(Main[[#This Row],[مانده در خط تسویه شده (کیلوگرم)]]&lt;&gt;0,Main[[#This Row],[تعداد کل روزهای بدهکار (روز)]],0)</f>
        <v>1</v>
      </c>
      <c r="Z756" s="6">
        <f ca="1">Main[[#This Row],[تعداد روزهای بدهکار تسویه شده (روز)]]*Main[[#This Row],[مانده در خط تسویه شده (کیلوگرم)]]</f>
        <v>38928</v>
      </c>
      <c r="AA756" s="6">
        <f ca="1">SUBTOTAL(9,INDEX(Main[بدهی تسویه نشده (کیلوگرم)],1):Main[[#This Row],[بدهی تسویه نشده (کیلوگرم)]])</f>
        <v>0</v>
      </c>
      <c r="AB756" s="6">
        <f ca="1">IF(Main[[#This Row],[مانده در خط تسویه نشده (کیلوگرم)]]&lt;&gt;0,Main[[#This Row],[تعداد کل روزهای بدهکار (روز)]],0)</f>
        <v>0</v>
      </c>
      <c r="AC756" s="6">
        <f ca="1">Main[[#This Row],[تعداد روزهای بدهکار  تسویه نشده (روز)]]*Main[[#This Row],[مانده در خط تسویه نشده (کیلوگرم)]]</f>
        <v>0</v>
      </c>
      <c r="AD756" s="6">
        <f ca="1">SUBTOTAL(9,INDEX(Main[بدهی سررسید شده (کیلوگرم)],1):Main[[#This Row],[بدهی سررسید شده (کیلوگرم)]])</f>
        <v>0</v>
      </c>
      <c r="AE756" s="6">
        <f ca="1">IF(Main[[#This Row],[مانده در خط سررسید شده (کیلوگرم)]]&lt;&gt;0,Main[[#This Row],[تعداد کل روزهای بدهکار (روز)]],0)</f>
        <v>0</v>
      </c>
      <c r="AF756" s="6">
        <f ca="1">Main[[#This Row],[تعداد روزهای بدهکار سررسید شده (روز)]]*Main[[#This Row],[مانده در خط سررسید شده (کیلوگرم)]]</f>
        <v>0</v>
      </c>
    </row>
    <row r="757" spans="1:32" hidden="1" x14ac:dyDescent="0.35">
      <c r="A757" s="5">
        <f>ROW()-ROW(INDEX(Main[ردیف],1))+1</f>
        <v>755</v>
      </c>
      <c r="B757" s="31">
        <f>SUBTOTAL(2,INDEX(Main[ردیف],1):Main[[#This Row],[ردیف]])</f>
        <v>70</v>
      </c>
      <c r="C757" s="32" t="s">
        <v>587</v>
      </c>
      <c r="D757" s="32" t="str">
        <f>_xlfn.CONCAT("14",Main[[#This Row],[تاريخ]])</f>
        <v>1400/03/22</v>
      </c>
      <c r="E757" s="33">
        <v>44359</v>
      </c>
      <c r="F757" s="32">
        <v>10069</v>
      </c>
      <c r="G757" s="5" t="str">
        <f>INDEX(customer[عنوان],MATCH(Main[[#This Row],[کد ردیابی]],customer[کد],0))</f>
        <v xml:space="preserve">جواد عرب </v>
      </c>
      <c r="H757">
        <v>446</v>
      </c>
      <c r="I757" s="6">
        <f ca="1">-Main[[#This Row],[بدهی تسویه شده (کیلوگرم)]]+Main[[#This Row],[بستانکار (کیلوگرم)]]</f>
        <v>446</v>
      </c>
      <c r="J757" s="6">
        <f>IF(Main[[#This Row],[مقدار (کیلوگرم)]]&gt;0,Main[[#This Row],[مقدار (کیلوگرم)]],0)</f>
        <v>446</v>
      </c>
      <c r="K757" s="6">
        <f>-IF(Main[[#This Row],[مقدار (کیلوگرم)]]&lt;0,Main[[#This Row],[مقدار (کیلوگرم)]],0)</f>
        <v>0</v>
      </c>
      <c r="L7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7" s="7">
        <f>-IF(AND(Main[[#This Row],[مقدار (کیلوگرم)]]&lt;0,Main[[#This Row],[تاريخ میلادی]]&gt;44276),Main[[#This Row],[مقدار (کیلوگرم)]],0)</f>
        <v>0</v>
      </c>
      <c r="N757" s="6">
        <f ca="1">Main[[#This Row],[بدهکار (کیلوگرم)]]-Main[[#This Row],[بدهی تسویه نشده (کیلوگرم)]]</f>
        <v>0</v>
      </c>
      <c r="O757" s="6">
        <f ca="1">Main[[#This Row],[تفکیک]]</f>
        <v>0</v>
      </c>
      <c r="P757" s="6">
        <f ca="1">IF(Main[[#This Row],[تاخیر از سررسید]]&gt;0,Main[[#This Row],[بدهی تسویه نشده (کیلوگرم)]],0)</f>
        <v>0</v>
      </c>
      <c r="Q757" s="6">
        <f ca="1">IF(Main[[#This Row],[بدهی تسویه نشده (کیلوگرم)]]&gt;0,'گزارش فردی'!$B$7-Main[[#This Row],[تاريخ میلادی]],0)</f>
        <v>0</v>
      </c>
      <c r="R757" s="6">
        <f ca="1">IF(Main[[#This Row],[بدهی تسویه نشده (کیلوگرم)]]&gt;0,'گزارش فردی'!$B$7-Main[[#This Row],[تاريخ میلادی]]-'گزارش فردی'!$B$8,0)</f>
        <v>0</v>
      </c>
      <c r="S757" s="6">
        <f ca="1">Main[[#This Row],[روز از ارسال سفارش]]*Main[[#This Row],[بدهی تسویه نشده (کیلوگرم)]]</f>
        <v>0</v>
      </c>
      <c r="T757" s="6">
        <f ca="1">Main[[#This Row],[بدهی سررسید شده (کیلوگرم)]]*Main[[#This Row],[روز از ارسال سفارش]]</f>
        <v>0</v>
      </c>
      <c r="U757" s="6">
        <f>-SUBTOTAL(9,INDEX(Main[مقدار (کیلوگرم)],1):Main[[#This Row],[مقدار (کیلوگرم)]])</f>
        <v>38928</v>
      </c>
      <c r="V7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7" s="6">
        <f>Main[[#This Row],[تعداد کل روزهای بدهکار (روز)]]*Main[[#This Row],[مانده در خط کل (کیلوگرم)]]</f>
        <v>38928</v>
      </c>
      <c r="X757" s="6">
        <f ca="1">-SUBTOTAL(9,INDEX(Main[مقدار تسویه شده (کیلوگرم)],1):Main[[#This Row],[مقدار تسویه شده (کیلوگرم)]])</f>
        <v>38928</v>
      </c>
      <c r="Y757" s="6">
        <f ca="1">IF(Main[[#This Row],[مانده در خط تسویه شده (کیلوگرم)]]&lt;&gt;0,Main[[#This Row],[تعداد کل روزهای بدهکار (روز)]],0)</f>
        <v>1</v>
      </c>
      <c r="Z757" s="6">
        <f ca="1">Main[[#This Row],[تعداد روزهای بدهکار تسویه شده (روز)]]*Main[[#This Row],[مانده در خط تسویه شده (کیلوگرم)]]</f>
        <v>38928</v>
      </c>
      <c r="AA757" s="6">
        <f ca="1">SUBTOTAL(9,INDEX(Main[بدهی تسویه نشده (کیلوگرم)],1):Main[[#This Row],[بدهی تسویه نشده (کیلوگرم)]])</f>
        <v>0</v>
      </c>
      <c r="AB757" s="6">
        <f ca="1">IF(Main[[#This Row],[مانده در خط تسویه نشده (کیلوگرم)]]&lt;&gt;0,Main[[#This Row],[تعداد کل روزهای بدهکار (روز)]],0)</f>
        <v>0</v>
      </c>
      <c r="AC757" s="6">
        <f ca="1">Main[[#This Row],[تعداد روزهای بدهکار  تسویه نشده (روز)]]*Main[[#This Row],[مانده در خط تسویه نشده (کیلوگرم)]]</f>
        <v>0</v>
      </c>
      <c r="AD757" s="6">
        <f ca="1">SUBTOTAL(9,INDEX(Main[بدهی سررسید شده (کیلوگرم)],1):Main[[#This Row],[بدهی سررسید شده (کیلوگرم)]])</f>
        <v>0</v>
      </c>
      <c r="AE757" s="6">
        <f ca="1">IF(Main[[#This Row],[مانده در خط سررسید شده (کیلوگرم)]]&lt;&gt;0,Main[[#This Row],[تعداد کل روزهای بدهکار (روز)]],0)</f>
        <v>0</v>
      </c>
      <c r="AF757" s="6">
        <f ca="1">Main[[#This Row],[تعداد روزهای بدهکار سررسید شده (روز)]]*Main[[#This Row],[مانده در خط سررسید شده (کیلوگرم)]]</f>
        <v>0</v>
      </c>
    </row>
    <row r="758" spans="1:32" hidden="1" x14ac:dyDescent="0.35">
      <c r="A758" s="5">
        <f>ROW()-ROW(INDEX(Main[ردیف],1))+1</f>
        <v>756</v>
      </c>
      <c r="B758" s="31">
        <f>SUBTOTAL(2,INDEX(Main[ردیف],1):Main[[#This Row],[ردیف]])</f>
        <v>70</v>
      </c>
      <c r="C758" s="32" t="s">
        <v>588</v>
      </c>
      <c r="D758" s="32" t="str">
        <f>_xlfn.CONCAT("14",Main[[#This Row],[تاريخ]])</f>
        <v>1400/03/23</v>
      </c>
      <c r="E758" s="33">
        <v>44360</v>
      </c>
      <c r="F758" s="32">
        <v>30190</v>
      </c>
      <c r="G758" s="5" t="str">
        <f>INDEX(customer[عنوان],MATCH(Main[[#This Row],[کد ردیابی]],customer[کد],0))</f>
        <v>ایران طلق</v>
      </c>
      <c r="H758">
        <v>-1898</v>
      </c>
      <c r="I758" s="6">
        <f ca="1">-Main[[#This Row],[بدهی تسویه شده (کیلوگرم)]]+Main[[#This Row],[بستانکار (کیلوگرم)]]</f>
        <v>-1898</v>
      </c>
      <c r="J758" s="6">
        <f>IF(Main[[#This Row],[مقدار (کیلوگرم)]]&gt;0,Main[[#This Row],[مقدار (کیلوگرم)]],0)</f>
        <v>0</v>
      </c>
      <c r="K758" s="6">
        <f>-IF(Main[[#This Row],[مقدار (کیلوگرم)]]&lt;0,Main[[#This Row],[مقدار (کیلوگرم)]],0)</f>
        <v>1898</v>
      </c>
      <c r="L7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8" s="7">
        <f>-IF(AND(Main[[#This Row],[مقدار (کیلوگرم)]]&lt;0,Main[[#This Row],[تاريخ میلادی]]&gt;44276),Main[[#This Row],[مقدار (کیلوگرم)]],0)</f>
        <v>1898</v>
      </c>
      <c r="N758" s="6">
        <f ca="1">Main[[#This Row],[بدهکار (کیلوگرم)]]-Main[[#This Row],[بدهی تسویه نشده (کیلوگرم)]]</f>
        <v>1898</v>
      </c>
      <c r="O758" s="6">
        <f ca="1">Main[[#This Row],[تفکیک]]</f>
        <v>0</v>
      </c>
      <c r="P758" s="6">
        <f ca="1">IF(Main[[#This Row],[تاخیر از سررسید]]&gt;0,Main[[#This Row],[بدهی تسویه نشده (کیلوگرم)]],0)</f>
        <v>0</v>
      </c>
      <c r="Q758" s="6">
        <f ca="1">IF(Main[[#This Row],[بدهی تسویه نشده (کیلوگرم)]]&gt;0,'گزارش فردی'!$B$7-Main[[#This Row],[تاريخ میلادی]],0)</f>
        <v>0</v>
      </c>
      <c r="R758" s="6">
        <f ca="1">IF(Main[[#This Row],[بدهی تسویه نشده (کیلوگرم)]]&gt;0,'گزارش فردی'!$B$7-Main[[#This Row],[تاريخ میلادی]]-'گزارش فردی'!$B$8,0)</f>
        <v>0</v>
      </c>
      <c r="S758" s="6">
        <f ca="1">Main[[#This Row],[روز از ارسال سفارش]]*Main[[#This Row],[بدهی تسویه نشده (کیلوگرم)]]</f>
        <v>0</v>
      </c>
      <c r="T758" s="6">
        <f ca="1">Main[[#This Row],[بدهی سررسید شده (کیلوگرم)]]*Main[[#This Row],[روز از ارسال سفارش]]</f>
        <v>0</v>
      </c>
      <c r="U758" s="6">
        <f>-SUBTOTAL(9,INDEX(Main[مقدار (کیلوگرم)],1):Main[[#This Row],[مقدار (کیلوگرم)]])</f>
        <v>38928</v>
      </c>
      <c r="V7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8" s="6">
        <f>Main[[#This Row],[تعداد کل روزهای بدهکار (روز)]]*Main[[#This Row],[مانده در خط کل (کیلوگرم)]]</f>
        <v>0</v>
      </c>
      <c r="X758" s="6">
        <f ca="1">-SUBTOTAL(9,INDEX(Main[مقدار تسویه شده (کیلوگرم)],1):Main[[#This Row],[مقدار تسویه شده (کیلوگرم)]])</f>
        <v>38928</v>
      </c>
      <c r="Y758" s="6">
        <f ca="1">IF(Main[[#This Row],[مانده در خط تسویه شده (کیلوگرم)]]&lt;&gt;0,Main[[#This Row],[تعداد کل روزهای بدهکار (روز)]],0)</f>
        <v>0</v>
      </c>
      <c r="Z758" s="6">
        <f ca="1">Main[[#This Row],[تعداد روزهای بدهکار تسویه شده (روز)]]*Main[[#This Row],[مانده در خط تسویه شده (کیلوگرم)]]</f>
        <v>0</v>
      </c>
      <c r="AA758" s="6">
        <f ca="1">SUBTOTAL(9,INDEX(Main[بدهی تسویه نشده (کیلوگرم)],1):Main[[#This Row],[بدهی تسویه نشده (کیلوگرم)]])</f>
        <v>0</v>
      </c>
      <c r="AB758" s="6">
        <f ca="1">IF(Main[[#This Row],[مانده در خط تسویه نشده (کیلوگرم)]]&lt;&gt;0,Main[[#This Row],[تعداد کل روزهای بدهکار (روز)]],0)</f>
        <v>0</v>
      </c>
      <c r="AC758" s="6">
        <f ca="1">Main[[#This Row],[تعداد روزهای بدهکار  تسویه نشده (روز)]]*Main[[#This Row],[مانده در خط تسویه نشده (کیلوگرم)]]</f>
        <v>0</v>
      </c>
      <c r="AD758" s="6">
        <f ca="1">SUBTOTAL(9,INDEX(Main[بدهی سررسید شده (کیلوگرم)],1):Main[[#This Row],[بدهی سررسید شده (کیلوگرم)]])</f>
        <v>0</v>
      </c>
      <c r="AE758" s="6">
        <f ca="1">IF(Main[[#This Row],[مانده در خط سررسید شده (کیلوگرم)]]&lt;&gt;0,Main[[#This Row],[تعداد کل روزهای بدهکار (روز)]],0)</f>
        <v>0</v>
      </c>
      <c r="AF758" s="6">
        <f ca="1">Main[[#This Row],[تعداد روزهای بدهکار سررسید شده (روز)]]*Main[[#This Row],[مانده در خط سررسید شده (کیلوگرم)]]</f>
        <v>0</v>
      </c>
    </row>
    <row r="759" spans="1:32" hidden="1" x14ac:dyDescent="0.35">
      <c r="A759" s="5">
        <f>ROW()-ROW(INDEX(Main[ردیف],1))+1</f>
        <v>757</v>
      </c>
      <c r="B759" s="31">
        <f>SUBTOTAL(2,INDEX(Main[ردیف],1):Main[[#This Row],[ردیف]])</f>
        <v>70</v>
      </c>
      <c r="C759" s="32" t="s">
        <v>588</v>
      </c>
      <c r="D759" s="32" t="str">
        <f>_xlfn.CONCAT("14",Main[[#This Row],[تاريخ]])</f>
        <v>1400/03/23</v>
      </c>
      <c r="E759" s="33">
        <v>44360</v>
      </c>
      <c r="F759" s="32">
        <v>30017</v>
      </c>
      <c r="G759" s="5" t="str">
        <f>INDEX(customer[عنوان],MATCH(Main[[#This Row],[کد ردیابی]],customer[کد],0))</f>
        <v xml:space="preserve">البرز یدک </v>
      </c>
      <c r="H759">
        <v>2424</v>
      </c>
      <c r="I759" s="6">
        <f ca="1">-Main[[#This Row],[بدهی تسویه شده (کیلوگرم)]]+Main[[#This Row],[بستانکار (کیلوگرم)]]</f>
        <v>2424</v>
      </c>
      <c r="J759" s="6">
        <f>IF(Main[[#This Row],[مقدار (کیلوگرم)]]&gt;0,Main[[#This Row],[مقدار (کیلوگرم)]],0)</f>
        <v>2424</v>
      </c>
      <c r="K759" s="6">
        <f>-IF(Main[[#This Row],[مقدار (کیلوگرم)]]&lt;0,Main[[#This Row],[مقدار (کیلوگرم)]],0)</f>
        <v>0</v>
      </c>
      <c r="L7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9" s="7">
        <f>-IF(AND(Main[[#This Row],[مقدار (کیلوگرم)]]&lt;0,Main[[#This Row],[تاريخ میلادی]]&gt;44276),Main[[#This Row],[مقدار (کیلوگرم)]],0)</f>
        <v>0</v>
      </c>
      <c r="N759" s="6">
        <f ca="1">Main[[#This Row],[بدهکار (کیلوگرم)]]-Main[[#This Row],[بدهی تسویه نشده (کیلوگرم)]]</f>
        <v>0</v>
      </c>
      <c r="O759" s="6">
        <f ca="1">Main[[#This Row],[تفکیک]]</f>
        <v>0</v>
      </c>
      <c r="P759" s="6">
        <f ca="1">IF(Main[[#This Row],[تاخیر از سررسید]]&gt;0,Main[[#This Row],[بدهی تسویه نشده (کیلوگرم)]],0)</f>
        <v>0</v>
      </c>
      <c r="Q759" s="6">
        <f ca="1">IF(Main[[#This Row],[بدهی تسویه نشده (کیلوگرم)]]&gt;0,'گزارش فردی'!$B$7-Main[[#This Row],[تاريخ میلادی]],0)</f>
        <v>0</v>
      </c>
      <c r="R759" s="6">
        <f ca="1">IF(Main[[#This Row],[بدهی تسویه نشده (کیلوگرم)]]&gt;0,'گزارش فردی'!$B$7-Main[[#This Row],[تاريخ میلادی]]-'گزارش فردی'!$B$8,0)</f>
        <v>0</v>
      </c>
      <c r="S759" s="6">
        <f ca="1">Main[[#This Row],[روز از ارسال سفارش]]*Main[[#This Row],[بدهی تسویه نشده (کیلوگرم)]]</f>
        <v>0</v>
      </c>
      <c r="T759" s="6">
        <f ca="1">Main[[#This Row],[بدهی سررسید شده (کیلوگرم)]]*Main[[#This Row],[روز از ارسال سفارش]]</f>
        <v>0</v>
      </c>
      <c r="U759" s="6">
        <f>-SUBTOTAL(9,INDEX(Main[مقدار (کیلوگرم)],1):Main[[#This Row],[مقدار (کیلوگرم)]])</f>
        <v>38928</v>
      </c>
      <c r="V7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9" s="6">
        <f>Main[[#This Row],[تعداد کل روزهای بدهکار (روز)]]*Main[[#This Row],[مانده در خط کل (کیلوگرم)]]</f>
        <v>0</v>
      </c>
      <c r="X759" s="6">
        <f ca="1">-SUBTOTAL(9,INDEX(Main[مقدار تسویه شده (کیلوگرم)],1):Main[[#This Row],[مقدار تسویه شده (کیلوگرم)]])</f>
        <v>38928</v>
      </c>
      <c r="Y759" s="6">
        <f ca="1">IF(Main[[#This Row],[مانده در خط تسویه شده (کیلوگرم)]]&lt;&gt;0,Main[[#This Row],[تعداد کل روزهای بدهکار (روز)]],0)</f>
        <v>0</v>
      </c>
      <c r="Z759" s="6">
        <f ca="1">Main[[#This Row],[تعداد روزهای بدهکار تسویه شده (روز)]]*Main[[#This Row],[مانده در خط تسویه شده (کیلوگرم)]]</f>
        <v>0</v>
      </c>
      <c r="AA759" s="6">
        <f ca="1">SUBTOTAL(9,INDEX(Main[بدهی تسویه نشده (کیلوگرم)],1):Main[[#This Row],[بدهی تسویه نشده (کیلوگرم)]])</f>
        <v>0</v>
      </c>
      <c r="AB759" s="6">
        <f ca="1">IF(Main[[#This Row],[مانده در خط تسویه نشده (کیلوگرم)]]&lt;&gt;0,Main[[#This Row],[تعداد کل روزهای بدهکار (روز)]],0)</f>
        <v>0</v>
      </c>
      <c r="AC759" s="6">
        <f ca="1">Main[[#This Row],[تعداد روزهای بدهکار  تسویه نشده (روز)]]*Main[[#This Row],[مانده در خط تسویه نشده (کیلوگرم)]]</f>
        <v>0</v>
      </c>
      <c r="AD759" s="6">
        <f ca="1">SUBTOTAL(9,INDEX(Main[بدهی سررسید شده (کیلوگرم)],1):Main[[#This Row],[بدهی سررسید شده (کیلوگرم)]])</f>
        <v>0</v>
      </c>
      <c r="AE759" s="6">
        <f ca="1">IF(Main[[#This Row],[مانده در خط سررسید شده (کیلوگرم)]]&lt;&gt;0,Main[[#This Row],[تعداد کل روزهای بدهکار (روز)]],0)</f>
        <v>0</v>
      </c>
      <c r="AF759" s="6">
        <f ca="1">Main[[#This Row],[تعداد روزهای بدهکار سررسید شده (روز)]]*Main[[#This Row],[مانده در خط سررسید شده (کیلوگرم)]]</f>
        <v>0</v>
      </c>
    </row>
    <row r="760" spans="1:32" hidden="1" x14ac:dyDescent="0.35">
      <c r="A760" s="5">
        <f>ROW()-ROW(INDEX(Main[ردیف],1))+1</f>
        <v>758</v>
      </c>
      <c r="B760" s="31">
        <f>SUBTOTAL(2,INDEX(Main[ردیف],1):Main[[#This Row],[ردیف]])</f>
        <v>70</v>
      </c>
      <c r="C760" s="32" t="s">
        <v>588</v>
      </c>
      <c r="D760" s="32" t="str">
        <f>_xlfn.CONCAT("14",Main[[#This Row],[تاريخ]])</f>
        <v>1400/03/23</v>
      </c>
      <c r="E760" s="33">
        <v>44360</v>
      </c>
      <c r="F760" s="32">
        <v>30066</v>
      </c>
      <c r="G760" s="5" t="str">
        <f>INDEX(customer[عنوان],MATCH(Main[[#This Row],[کد ردیابی]],customer[کد],0))</f>
        <v xml:space="preserve">شیر آلات بهداشتی قهرمان </v>
      </c>
      <c r="H760">
        <v>-4257</v>
      </c>
      <c r="I760" s="6">
        <f ca="1">-Main[[#This Row],[بدهی تسویه شده (کیلوگرم)]]+Main[[#This Row],[بستانکار (کیلوگرم)]]</f>
        <v>-4257</v>
      </c>
      <c r="J760" s="6">
        <f>IF(Main[[#This Row],[مقدار (کیلوگرم)]]&gt;0,Main[[#This Row],[مقدار (کیلوگرم)]],0)</f>
        <v>0</v>
      </c>
      <c r="K760" s="6">
        <f>-IF(Main[[#This Row],[مقدار (کیلوگرم)]]&lt;0,Main[[#This Row],[مقدار (کیلوگرم)]],0)</f>
        <v>4257</v>
      </c>
      <c r="L7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0" s="7">
        <f>-IF(AND(Main[[#This Row],[مقدار (کیلوگرم)]]&lt;0,Main[[#This Row],[تاريخ میلادی]]&gt;44276),Main[[#This Row],[مقدار (کیلوگرم)]],0)</f>
        <v>4257</v>
      </c>
      <c r="N760" s="6">
        <f ca="1">Main[[#This Row],[بدهکار (کیلوگرم)]]-Main[[#This Row],[بدهی تسویه نشده (کیلوگرم)]]</f>
        <v>4257</v>
      </c>
      <c r="O760" s="6">
        <f ca="1">Main[[#This Row],[تفکیک]]</f>
        <v>0</v>
      </c>
      <c r="P760" s="6">
        <f ca="1">IF(Main[[#This Row],[تاخیر از سررسید]]&gt;0,Main[[#This Row],[بدهی تسویه نشده (کیلوگرم)]],0)</f>
        <v>0</v>
      </c>
      <c r="Q760" s="6">
        <f ca="1">IF(Main[[#This Row],[بدهی تسویه نشده (کیلوگرم)]]&gt;0,'گزارش فردی'!$B$7-Main[[#This Row],[تاريخ میلادی]],0)</f>
        <v>0</v>
      </c>
      <c r="R760" s="6">
        <f ca="1">IF(Main[[#This Row],[بدهی تسویه نشده (کیلوگرم)]]&gt;0,'گزارش فردی'!$B$7-Main[[#This Row],[تاريخ میلادی]]-'گزارش فردی'!$B$8,0)</f>
        <v>0</v>
      </c>
      <c r="S760" s="6">
        <f ca="1">Main[[#This Row],[روز از ارسال سفارش]]*Main[[#This Row],[بدهی تسویه نشده (کیلوگرم)]]</f>
        <v>0</v>
      </c>
      <c r="T760" s="6">
        <f ca="1">Main[[#This Row],[بدهی سررسید شده (کیلوگرم)]]*Main[[#This Row],[روز از ارسال سفارش]]</f>
        <v>0</v>
      </c>
      <c r="U760" s="6">
        <f>-SUBTOTAL(9,INDEX(Main[مقدار (کیلوگرم)],1):Main[[#This Row],[مقدار (کیلوگرم)]])</f>
        <v>38928</v>
      </c>
      <c r="V7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60" s="6">
        <f>Main[[#This Row],[تعداد کل روزهای بدهکار (روز)]]*Main[[#This Row],[مانده در خط کل (کیلوگرم)]]</f>
        <v>0</v>
      </c>
      <c r="X760" s="6">
        <f ca="1">-SUBTOTAL(9,INDEX(Main[مقدار تسویه شده (کیلوگرم)],1):Main[[#This Row],[مقدار تسویه شده (کیلوگرم)]])</f>
        <v>38928</v>
      </c>
      <c r="Y760" s="6">
        <f ca="1">IF(Main[[#This Row],[مانده در خط تسویه شده (کیلوگرم)]]&lt;&gt;0,Main[[#This Row],[تعداد کل روزهای بدهکار (روز)]],0)</f>
        <v>0</v>
      </c>
      <c r="Z760" s="6">
        <f ca="1">Main[[#This Row],[تعداد روزهای بدهکار تسویه شده (روز)]]*Main[[#This Row],[مانده در خط تسویه شده (کیلوگرم)]]</f>
        <v>0</v>
      </c>
      <c r="AA760" s="6">
        <f ca="1">SUBTOTAL(9,INDEX(Main[بدهی تسویه نشده (کیلوگرم)],1):Main[[#This Row],[بدهی تسویه نشده (کیلوگرم)]])</f>
        <v>0</v>
      </c>
      <c r="AB760" s="6">
        <f ca="1">IF(Main[[#This Row],[مانده در خط تسویه نشده (کیلوگرم)]]&lt;&gt;0,Main[[#This Row],[تعداد کل روزهای بدهکار (روز)]],0)</f>
        <v>0</v>
      </c>
      <c r="AC760" s="6">
        <f ca="1">Main[[#This Row],[تعداد روزهای بدهکار  تسویه نشده (روز)]]*Main[[#This Row],[مانده در خط تسویه نشده (کیلوگرم)]]</f>
        <v>0</v>
      </c>
      <c r="AD760" s="6">
        <f ca="1">SUBTOTAL(9,INDEX(Main[بدهی سررسید شده (کیلوگرم)],1):Main[[#This Row],[بدهی سررسید شده (کیلوگرم)]])</f>
        <v>0</v>
      </c>
      <c r="AE760" s="6">
        <f ca="1">IF(Main[[#This Row],[مانده در خط سررسید شده (کیلوگرم)]]&lt;&gt;0,Main[[#This Row],[تعداد کل روزهای بدهکار (روز)]],0)</f>
        <v>0</v>
      </c>
      <c r="AF760" s="6">
        <f ca="1">Main[[#This Row],[تعداد روزهای بدهکار سررسید شده (روز)]]*Main[[#This Row],[مانده در خط سررسید شده (کیلوگرم)]]</f>
        <v>0</v>
      </c>
    </row>
    <row r="761" spans="1:32" x14ac:dyDescent="0.35">
      <c r="A761" s="5">
        <f>ROW()-ROW(INDEX(Main[ردیف],1))+1</f>
        <v>759</v>
      </c>
      <c r="B761" s="31">
        <f>SUBTOTAL(2,INDEX(Main[ردیف],1):Main[[#This Row],[ردیف]])</f>
        <v>71</v>
      </c>
      <c r="C761" s="32" t="s">
        <v>588</v>
      </c>
      <c r="D761" s="32" t="str">
        <f>_xlfn.CONCAT("14",Main[[#This Row],[تاريخ]])</f>
        <v>1400/03/23</v>
      </c>
      <c r="E761" s="33">
        <v>44360</v>
      </c>
      <c r="F761" s="32">
        <v>10003</v>
      </c>
      <c r="G761" s="5" t="str">
        <f>INDEX(customer[عنوان],MATCH(Main[[#This Row],[کد ردیابی]],customer[کد],0))</f>
        <v>اصغر نورعلی</v>
      </c>
      <c r="H761">
        <v>2339</v>
      </c>
      <c r="I761" s="6">
        <f ca="1">-Main[[#This Row],[بدهی تسویه شده (کیلوگرم)]]+Main[[#This Row],[بستانکار (کیلوگرم)]]</f>
        <v>2339</v>
      </c>
      <c r="J761" s="6">
        <f>IF(Main[[#This Row],[مقدار (کیلوگرم)]]&gt;0,Main[[#This Row],[مقدار (کیلوگرم)]],0)</f>
        <v>2339</v>
      </c>
      <c r="K761" s="6">
        <f>-IF(Main[[#This Row],[مقدار (کیلوگرم)]]&lt;0,Main[[#This Row],[مقدار (کیلوگرم)]],0)</f>
        <v>0</v>
      </c>
      <c r="L7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1" s="7">
        <f>-IF(AND(Main[[#This Row],[مقدار (کیلوگرم)]]&lt;0,Main[[#This Row],[تاريخ میلادی]]&gt;44276),Main[[#This Row],[مقدار (کیلوگرم)]],0)</f>
        <v>0</v>
      </c>
      <c r="N761" s="6">
        <f ca="1">Main[[#This Row],[بدهکار (کیلوگرم)]]-Main[[#This Row],[بدهی تسویه نشده (کیلوگرم)]]</f>
        <v>0</v>
      </c>
      <c r="O761" s="6">
        <f ca="1">Main[[#This Row],[تفکیک]]</f>
        <v>0</v>
      </c>
      <c r="P761" s="6">
        <f ca="1">IF(Main[[#This Row],[تاخیر از سررسید]]&gt;0,Main[[#This Row],[بدهی تسویه نشده (کیلوگرم)]],0)</f>
        <v>0</v>
      </c>
      <c r="Q761" s="6">
        <f ca="1">IF(Main[[#This Row],[بدهی تسویه نشده (کیلوگرم)]]&gt;0,'گزارش فردی'!$B$7-Main[[#This Row],[تاريخ میلادی]],0)</f>
        <v>0</v>
      </c>
      <c r="R761" s="6">
        <f ca="1">IF(Main[[#This Row],[بدهی تسویه نشده (کیلوگرم)]]&gt;0,'گزارش فردی'!$B$7-Main[[#This Row],[تاريخ میلادی]]-'گزارش فردی'!$B$8,0)</f>
        <v>0</v>
      </c>
      <c r="S761" s="6">
        <f ca="1">Main[[#This Row],[روز از ارسال سفارش]]*Main[[#This Row],[بدهی تسویه نشده (کیلوگرم)]]</f>
        <v>0</v>
      </c>
      <c r="T761" s="6">
        <f ca="1">Main[[#This Row],[بدهی سررسید شده (کیلوگرم)]]*Main[[#This Row],[روز از ارسال سفارش]]</f>
        <v>0</v>
      </c>
      <c r="U761" s="6">
        <f>-SUBTOTAL(9,INDEX(Main[مقدار (کیلوگرم)],1):Main[[#This Row],[مقدار (کیلوگرم)]])</f>
        <v>36589</v>
      </c>
      <c r="V76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1" s="6">
        <f>Main[[#This Row],[تعداد کل روزهای بدهکار (روز)]]*Main[[#This Row],[مانده در خط کل (کیلوگرم)]]</f>
        <v>73178</v>
      </c>
      <c r="X761" s="6">
        <f ca="1">-SUBTOTAL(9,INDEX(Main[مقدار تسویه شده (کیلوگرم)],1):Main[[#This Row],[مقدار تسویه شده (کیلوگرم)]])</f>
        <v>36589</v>
      </c>
      <c r="Y761" s="6">
        <f ca="1">IF(Main[[#This Row],[مانده در خط تسویه شده (کیلوگرم)]]&lt;&gt;0,Main[[#This Row],[تعداد کل روزهای بدهکار (روز)]],0)</f>
        <v>2</v>
      </c>
      <c r="Z761" s="6">
        <f ca="1">Main[[#This Row],[تعداد روزهای بدهکار تسویه شده (روز)]]*Main[[#This Row],[مانده در خط تسویه شده (کیلوگرم)]]</f>
        <v>73178</v>
      </c>
      <c r="AA761" s="6">
        <f ca="1">SUBTOTAL(9,INDEX(Main[بدهی تسویه نشده (کیلوگرم)],1):Main[[#This Row],[بدهی تسویه نشده (کیلوگرم)]])</f>
        <v>0</v>
      </c>
      <c r="AB761" s="6">
        <f ca="1">IF(Main[[#This Row],[مانده در خط تسویه نشده (کیلوگرم)]]&lt;&gt;0,Main[[#This Row],[تعداد کل روزهای بدهکار (روز)]],0)</f>
        <v>0</v>
      </c>
      <c r="AC761" s="6">
        <f ca="1">Main[[#This Row],[تعداد روزهای بدهکار  تسویه نشده (روز)]]*Main[[#This Row],[مانده در خط تسویه نشده (کیلوگرم)]]</f>
        <v>0</v>
      </c>
      <c r="AD761" s="6">
        <f ca="1">SUBTOTAL(9,INDEX(Main[بدهی سررسید شده (کیلوگرم)],1):Main[[#This Row],[بدهی سررسید شده (کیلوگرم)]])</f>
        <v>0</v>
      </c>
      <c r="AE761" s="6">
        <f ca="1">IF(Main[[#This Row],[مانده در خط سررسید شده (کیلوگرم)]]&lt;&gt;0,Main[[#This Row],[تعداد کل روزهای بدهکار (روز)]],0)</f>
        <v>0</v>
      </c>
      <c r="AF761" s="6">
        <f ca="1">Main[[#This Row],[تعداد روزهای بدهکار سررسید شده (روز)]]*Main[[#This Row],[مانده در خط سررسید شده (کیلوگرم)]]</f>
        <v>0</v>
      </c>
    </row>
    <row r="762" spans="1:32" hidden="1" x14ac:dyDescent="0.35">
      <c r="A762" s="5">
        <f>ROW()-ROW(INDEX(Main[ردیف],1))+1</f>
        <v>760</v>
      </c>
      <c r="B762" s="31">
        <f>SUBTOTAL(2,INDEX(Main[ردیف],1):Main[[#This Row],[ردیف]])</f>
        <v>71</v>
      </c>
      <c r="C762" s="32" t="s">
        <v>588</v>
      </c>
      <c r="D762" s="32" t="str">
        <f>_xlfn.CONCAT("14",Main[[#This Row],[تاريخ]])</f>
        <v>1400/03/23</v>
      </c>
      <c r="E762" s="33">
        <v>44360</v>
      </c>
      <c r="F762" s="32">
        <v>30014</v>
      </c>
      <c r="G762" s="5" t="str">
        <f>INDEX(customer[عنوان],MATCH(Main[[#This Row],[کد ردیابی]],customer[کد],0))</f>
        <v>کلون</v>
      </c>
      <c r="H762">
        <v>-1050</v>
      </c>
      <c r="I762" s="6">
        <f ca="1">-Main[[#This Row],[بدهی تسویه شده (کیلوگرم)]]+Main[[#This Row],[بستانکار (کیلوگرم)]]</f>
        <v>-1050</v>
      </c>
      <c r="J762" s="6">
        <f>IF(Main[[#This Row],[مقدار (کیلوگرم)]]&gt;0,Main[[#This Row],[مقدار (کیلوگرم)]],0)</f>
        <v>0</v>
      </c>
      <c r="K762" s="6">
        <f>-IF(Main[[#This Row],[مقدار (کیلوگرم)]]&lt;0,Main[[#This Row],[مقدار (کیلوگرم)]],0)</f>
        <v>1050</v>
      </c>
      <c r="L7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2" s="7">
        <f>-IF(AND(Main[[#This Row],[مقدار (کیلوگرم)]]&lt;0,Main[[#This Row],[تاريخ میلادی]]&gt;44276),Main[[#This Row],[مقدار (کیلوگرم)]],0)</f>
        <v>1050</v>
      </c>
      <c r="N762" s="6">
        <f ca="1">Main[[#This Row],[بدهکار (کیلوگرم)]]-Main[[#This Row],[بدهی تسویه نشده (کیلوگرم)]]</f>
        <v>1050</v>
      </c>
      <c r="O762" s="6">
        <f ca="1">Main[[#This Row],[تفکیک]]</f>
        <v>0</v>
      </c>
      <c r="P762" s="6">
        <f ca="1">IF(Main[[#This Row],[تاخیر از سررسید]]&gt;0,Main[[#This Row],[بدهی تسویه نشده (کیلوگرم)]],0)</f>
        <v>0</v>
      </c>
      <c r="Q762" s="6">
        <f ca="1">IF(Main[[#This Row],[بدهی تسویه نشده (کیلوگرم)]]&gt;0,'گزارش فردی'!$B$7-Main[[#This Row],[تاريخ میلادی]],0)</f>
        <v>0</v>
      </c>
      <c r="R762" s="6">
        <f ca="1">IF(Main[[#This Row],[بدهی تسویه نشده (کیلوگرم)]]&gt;0,'گزارش فردی'!$B$7-Main[[#This Row],[تاريخ میلادی]]-'گزارش فردی'!$B$8,0)</f>
        <v>0</v>
      </c>
      <c r="S762" s="6">
        <f ca="1">Main[[#This Row],[روز از ارسال سفارش]]*Main[[#This Row],[بدهی تسویه نشده (کیلوگرم)]]</f>
        <v>0</v>
      </c>
      <c r="T762" s="6">
        <f ca="1">Main[[#This Row],[بدهی سررسید شده (کیلوگرم)]]*Main[[#This Row],[روز از ارسال سفارش]]</f>
        <v>0</v>
      </c>
      <c r="U762" s="6">
        <f>-SUBTOTAL(9,INDEX(Main[مقدار (کیلوگرم)],1):Main[[#This Row],[مقدار (کیلوگرم)]])</f>
        <v>36589</v>
      </c>
      <c r="V76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2" s="6">
        <f>Main[[#This Row],[تعداد کل روزهای بدهکار (روز)]]*Main[[#This Row],[مانده در خط کل (کیلوگرم)]]</f>
        <v>73178</v>
      </c>
      <c r="X762" s="6">
        <f ca="1">-SUBTOTAL(9,INDEX(Main[مقدار تسویه شده (کیلوگرم)],1):Main[[#This Row],[مقدار تسویه شده (کیلوگرم)]])</f>
        <v>36589</v>
      </c>
      <c r="Y762" s="6">
        <f ca="1">IF(Main[[#This Row],[مانده در خط تسویه شده (کیلوگرم)]]&lt;&gt;0,Main[[#This Row],[تعداد کل روزهای بدهکار (روز)]],0)</f>
        <v>2</v>
      </c>
      <c r="Z762" s="6">
        <f ca="1">Main[[#This Row],[تعداد روزهای بدهکار تسویه شده (روز)]]*Main[[#This Row],[مانده در خط تسویه شده (کیلوگرم)]]</f>
        <v>73178</v>
      </c>
      <c r="AA762" s="6">
        <f ca="1">SUBTOTAL(9,INDEX(Main[بدهی تسویه نشده (کیلوگرم)],1):Main[[#This Row],[بدهی تسویه نشده (کیلوگرم)]])</f>
        <v>0</v>
      </c>
      <c r="AB762" s="6">
        <f ca="1">IF(Main[[#This Row],[مانده در خط تسویه نشده (کیلوگرم)]]&lt;&gt;0,Main[[#This Row],[تعداد کل روزهای بدهکار (روز)]],0)</f>
        <v>0</v>
      </c>
      <c r="AC762" s="6">
        <f ca="1">Main[[#This Row],[تعداد روزهای بدهکار  تسویه نشده (روز)]]*Main[[#This Row],[مانده در خط تسویه نشده (کیلوگرم)]]</f>
        <v>0</v>
      </c>
      <c r="AD762" s="6">
        <f ca="1">SUBTOTAL(9,INDEX(Main[بدهی سررسید شده (کیلوگرم)],1):Main[[#This Row],[بدهی سررسید شده (کیلوگرم)]])</f>
        <v>0</v>
      </c>
      <c r="AE762" s="6">
        <f ca="1">IF(Main[[#This Row],[مانده در خط سررسید شده (کیلوگرم)]]&lt;&gt;0,Main[[#This Row],[تعداد کل روزهای بدهکار (روز)]],0)</f>
        <v>0</v>
      </c>
      <c r="AF762" s="6">
        <f ca="1">Main[[#This Row],[تعداد روزهای بدهکار سررسید شده (روز)]]*Main[[#This Row],[مانده در خط سررسید شده (کیلوگرم)]]</f>
        <v>0</v>
      </c>
    </row>
    <row r="763" spans="1:32" hidden="1" x14ac:dyDescent="0.35">
      <c r="A763" s="5">
        <f>ROW()-ROW(INDEX(Main[ردیف],1))+1</f>
        <v>761</v>
      </c>
      <c r="B763" s="31">
        <f>SUBTOTAL(2,INDEX(Main[ردیف],1):Main[[#This Row],[ردیف]])</f>
        <v>71</v>
      </c>
      <c r="C763" s="32" t="s">
        <v>588</v>
      </c>
      <c r="D763" s="32" t="str">
        <f>_xlfn.CONCAT("14",Main[[#This Row],[تاريخ]])</f>
        <v>1400/03/23</v>
      </c>
      <c r="E763" s="33">
        <v>44360</v>
      </c>
      <c r="F763" s="32">
        <v>30009</v>
      </c>
      <c r="G763" s="5" t="str">
        <f>INDEX(customer[عنوان],MATCH(Main[[#This Row],[کد ردیابی]],customer[کد],0))</f>
        <v>شرکت ایمن تک پیشرو</v>
      </c>
      <c r="H763">
        <v>1827</v>
      </c>
      <c r="I763" s="6">
        <f ca="1">-Main[[#This Row],[بدهی تسویه شده (کیلوگرم)]]+Main[[#This Row],[بستانکار (کیلوگرم)]]</f>
        <v>1827</v>
      </c>
      <c r="J763" s="6">
        <f>IF(Main[[#This Row],[مقدار (کیلوگرم)]]&gt;0,Main[[#This Row],[مقدار (کیلوگرم)]],0)</f>
        <v>1827</v>
      </c>
      <c r="K763" s="6">
        <f>-IF(Main[[#This Row],[مقدار (کیلوگرم)]]&lt;0,Main[[#This Row],[مقدار (کیلوگرم)]],0)</f>
        <v>0</v>
      </c>
      <c r="L7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3" s="7">
        <f>-IF(AND(Main[[#This Row],[مقدار (کیلوگرم)]]&lt;0,Main[[#This Row],[تاريخ میلادی]]&gt;44276),Main[[#This Row],[مقدار (کیلوگرم)]],0)</f>
        <v>0</v>
      </c>
      <c r="N763" s="6">
        <f ca="1">Main[[#This Row],[بدهکار (کیلوگرم)]]-Main[[#This Row],[بدهی تسویه نشده (کیلوگرم)]]</f>
        <v>0</v>
      </c>
      <c r="O763" s="6">
        <f ca="1">Main[[#This Row],[تفکیک]]</f>
        <v>0</v>
      </c>
      <c r="P763" s="6">
        <f ca="1">IF(Main[[#This Row],[تاخیر از سررسید]]&gt;0,Main[[#This Row],[بدهی تسویه نشده (کیلوگرم)]],0)</f>
        <v>0</v>
      </c>
      <c r="Q763" s="6">
        <f ca="1">IF(Main[[#This Row],[بدهی تسویه نشده (کیلوگرم)]]&gt;0,'گزارش فردی'!$B$7-Main[[#This Row],[تاريخ میلادی]],0)</f>
        <v>0</v>
      </c>
      <c r="R763" s="6">
        <f ca="1">IF(Main[[#This Row],[بدهی تسویه نشده (کیلوگرم)]]&gt;0,'گزارش فردی'!$B$7-Main[[#This Row],[تاريخ میلادی]]-'گزارش فردی'!$B$8,0)</f>
        <v>0</v>
      </c>
      <c r="S763" s="6">
        <f ca="1">Main[[#This Row],[روز از ارسال سفارش]]*Main[[#This Row],[بدهی تسویه نشده (کیلوگرم)]]</f>
        <v>0</v>
      </c>
      <c r="T763" s="6">
        <f ca="1">Main[[#This Row],[بدهی سررسید شده (کیلوگرم)]]*Main[[#This Row],[روز از ارسال سفارش]]</f>
        <v>0</v>
      </c>
      <c r="U763" s="6">
        <f>-SUBTOTAL(9,INDEX(Main[مقدار (کیلوگرم)],1):Main[[#This Row],[مقدار (کیلوگرم)]])</f>
        <v>36589</v>
      </c>
      <c r="V7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3" s="6">
        <f>Main[[#This Row],[تعداد کل روزهای بدهکار (روز)]]*Main[[#This Row],[مانده در خط کل (کیلوگرم)]]</f>
        <v>73178</v>
      </c>
      <c r="X763" s="6">
        <f ca="1">-SUBTOTAL(9,INDEX(Main[مقدار تسویه شده (کیلوگرم)],1):Main[[#This Row],[مقدار تسویه شده (کیلوگرم)]])</f>
        <v>36589</v>
      </c>
      <c r="Y763" s="6">
        <f ca="1">IF(Main[[#This Row],[مانده در خط تسویه شده (کیلوگرم)]]&lt;&gt;0,Main[[#This Row],[تعداد کل روزهای بدهکار (روز)]],0)</f>
        <v>2</v>
      </c>
      <c r="Z763" s="6">
        <f ca="1">Main[[#This Row],[تعداد روزهای بدهکار تسویه شده (روز)]]*Main[[#This Row],[مانده در خط تسویه شده (کیلوگرم)]]</f>
        <v>73178</v>
      </c>
      <c r="AA763" s="6">
        <f ca="1">SUBTOTAL(9,INDEX(Main[بدهی تسویه نشده (کیلوگرم)],1):Main[[#This Row],[بدهی تسویه نشده (کیلوگرم)]])</f>
        <v>0</v>
      </c>
      <c r="AB763" s="6">
        <f ca="1">IF(Main[[#This Row],[مانده در خط تسویه نشده (کیلوگرم)]]&lt;&gt;0,Main[[#This Row],[تعداد کل روزهای بدهکار (روز)]],0)</f>
        <v>0</v>
      </c>
      <c r="AC763" s="6">
        <f ca="1">Main[[#This Row],[تعداد روزهای بدهکار  تسویه نشده (روز)]]*Main[[#This Row],[مانده در خط تسویه نشده (کیلوگرم)]]</f>
        <v>0</v>
      </c>
      <c r="AD763" s="6">
        <f ca="1">SUBTOTAL(9,INDEX(Main[بدهی سررسید شده (کیلوگرم)],1):Main[[#This Row],[بدهی سررسید شده (کیلوگرم)]])</f>
        <v>0</v>
      </c>
      <c r="AE763" s="6">
        <f ca="1">IF(Main[[#This Row],[مانده در خط سررسید شده (کیلوگرم)]]&lt;&gt;0,Main[[#This Row],[تعداد کل روزهای بدهکار (روز)]],0)</f>
        <v>0</v>
      </c>
      <c r="AF763" s="6">
        <f ca="1">Main[[#This Row],[تعداد روزهای بدهکار سررسید شده (روز)]]*Main[[#This Row],[مانده در خط سررسید شده (کیلوگرم)]]</f>
        <v>0</v>
      </c>
    </row>
    <row r="764" spans="1:32" hidden="1" x14ac:dyDescent="0.35">
      <c r="A764" s="5">
        <f>ROW()-ROW(INDEX(Main[ردیف],1))+1</f>
        <v>762</v>
      </c>
      <c r="B764" s="31">
        <f>SUBTOTAL(2,INDEX(Main[ردیف],1):Main[[#This Row],[ردیف]])</f>
        <v>71</v>
      </c>
      <c r="C764" s="32" t="s">
        <v>588</v>
      </c>
      <c r="D764" s="32" t="str">
        <f>_xlfn.CONCAT("14",Main[[#This Row],[تاريخ]])</f>
        <v>1400/03/23</v>
      </c>
      <c r="E764" s="33">
        <v>44360</v>
      </c>
      <c r="F764" s="32">
        <v>10026</v>
      </c>
      <c r="G764" s="5" t="str">
        <f>INDEX(customer[عنوان],MATCH(Main[[#This Row],[کد ردیابی]],customer[کد],0))</f>
        <v xml:space="preserve">محسن فیاض بخش </v>
      </c>
      <c r="H764">
        <v>-2048</v>
      </c>
      <c r="I764" s="6">
        <f ca="1">-Main[[#This Row],[بدهی تسویه شده (کیلوگرم)]]+Main[[#This Row],[بستانکار (کیلوگرم)]]</f>
        <v>-2048</v>
      </c>
      <c r="J764" s="6">
        <f>IF(Main[[#This Row],[مقدار (کیلوگرم)]]&gt;0,Main[[#This Row],[مقدار (کیلوگرم)]],0)</f>
        <v>0</v>
      </c>
      <c r="K764" s="6">
        <f>-IF(Main[[#This Row],[مقدار (کیلوگرم)]]&lt;0,Main[[#This Row],[مقدار (کیلوگرم)]],0)</f>
        <v>2048</v>
      </c>
      <c r="L7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4" s="7">
        <f>-IF(AND(Main[[#This Row],[مقدار (کیلوگرم)]]&lt;0,Main[[#This Row],[تاريخ میلادی]]&gt;44276),Main[[#This Row],[مقدار (کیلوگرم)]],0)</f>
        <v>2048</v>
      </c>
      <c r="N764" s="6">
        <f ca="1">Main[[#This Row],[بدهکار (کیلوگرم)]]-Main[[#This Row],[بدهی تسویه نشده (کیلوگرم)]]</f>
        <v>2048</v>
      </c>
      <c r="O764" s="6">
        <f ca="1">Main[[#This Row],[تفکیک]]</f>
        <v>0</v>
      </c>
      <c r="P764" s="6">
        <f ca="1">IF(Main[[#This Row],[تاخیر از سررسید]]&gt;0,Main[[#This Row],[بدهی تسویه نشده (کیلوگرم)]],0)</f>
        <v>0</v>
      </c>
      <c r="Q764" s="6">
        <f ca="1">IF(Main[[#This Row],[بدهی تسویه نشده (کیلوگرم)]]&gt;0,'گزارش فردی'!$B$7-Main[[#This Row],[تاريخ میلادی]],0)</f>
        <v>0</v>
      </c>
      <c r="R764" s="6">
        <f ca="1">IF(Main[[#This Row],[بدهی تسویه نشده (کیلوگرم)]]&gt;0,'گزارش فردی'!$B$7-Main[[#This Row],[تاريخ میلادی]]-'گزارش فردی'!$B$8,0)</f>
        <v>0</v>
      </c>
      <c r="S764" s="6">
        <f ca="1">Main[[#This Row],[روز از ارسال سفارش]]*Main[[#This Row],[بدهی تسویه نشده (کیلوگرم)]]</f>
        <v>0</v>
      </c>
      <c r="T764" s="6">
        <f ca="1">Main[[#This Row],[بدهی سررسید شده (کیلوگرم)]]*Main[[#This Row],[روز از ارسال سفارش]]</f>
        <v>0</v>
      </c>
      <c r="U764" s="6">
        <f>-SUBTOTAL(9,INDEX(Main[مقدار (کیلوگرم)],1):Main[[#This Row],[مقدار (کیلوگرم)]])</f>
        <v>36589</v>
      </c>
      <c r="V7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4" s="6">
        <f>Main[[#This Row],[تعداد کل روزهای بدهکار (روز)]]*Main[[#This Row],[مانده در خط کل (کیلوگرم)]]</f>
        <v>73178</v>
      </c>
      <c r="X764" s="6">
        <f ca="1">-SUBTOTAL(9,INDEX(Main[مقدار تسویه شده (کیلوگرم)],1):Main[[#This Row],[مقدار تسویه شده (کیلوگرم)]])</f>
        <v>36589</v>
      </c>
      <c r="Y764" s="6">
        <f ca="1">IF(Main[[#This Row],[مانده در خط تسویه شده (کیلوگرم)]]&lt;&gt;0,Main[[#This Row],[تعداد کل روزهای بدهکار (روز)]],0)</f>
        <v>2</v>
      </c>
      <c r="Z764" s="6">
        <f ca="1">Main[[#This Row],[تعداد روزهای بدهکار تسویه شده (روز)]]*Main[[#This Row],[مانده در خط تسویه شده (کیلوگرم)]]</f>
        <v>73178</v>
      </c>
      <c r="AA764" s="6">
        <f ca="1">SUBTOTAL(9,INDEX(Main[بدهی تسویه نشده (کیلوگرم)],1):Main[[#This Row],[بدهی تسویه نشده (کیلوگرم)]])</f>
        <v>0</v>
      </c>
      <c r="AB764" s="6">
        <f ca="1">IF(Main[[#This Row],[مانده در خط تسویه نشده (کیلوگرم)]]&lt;&gt;0,Main[[#This Row],[تعداد کل روزهای بدهکار (روز)]],0)</f>
        <v>0</v>
      </c>
      <c r="AC764" s="6">
        <f ca="1">Main[[#This Row],[تعداد روزهای بدهکار  تسویه نشده (روز)]]*Main[[#This Row],[مانده در خط تسویه نشده (کیلوگرم)]]</f>
        <v>0</v>
      </c>
      <c r="AD764" s="6">
        <f ca="1">SUBTOTAL(9,INDEX(Main[بدهی سررسید شده (کیلوگرم)],1):Main[[#This Row],[بدهی سررسید شده (کیلوگرم)]])</f>
        <v>0</v>
      </c>
      <c r="AE764" s="6">
        <f ca="1">IF(Main[[#This Row],[مانده در خط سررسید شده (کیلوگرم)]]&lt;&gt;0,Main[[#This Row],[تعداد کل روزهای بدهکار (روز)]],0)</f>
        <v>0</v>
      </c>
      <c r="AF764" s="6">
        <f ca="1">Main[[#This Row],[تعداد روزهای بدهکار سررسید شده (روز)]]*Main[[#This Row],[مانده در خط سررسید شده (کیلوگرم)]]</f>
        <v>0</v>
      </c>
    </row>
    <row r="765" spans="1:32" hidden="1" x14ac:dyDescent="0.35">
      <c r="A765" s="5">
        <f>ROW()-ROW(INDEX(Main[ردیف],1))+1</f>
        <v>763</v>
      </c>
      <c r="B765" s="31">
        <f>SUBTOTAL(2,INDEX(Main[ردیف],1):Main[[#This Row],[ردیف]])</f>
        <v>71</v>
      </c>
      <c r="C765" s="32" t="s">
        <v>588</v>
      </c>
      <c r="D765" s="32" t="str">
        <f>_xlfn.CONCAT("14",Main[[#This Row],[تاريخ]])</f>
        <v>1400/03/23</v>
      </c>
      <c r="E765" s="33">
        <v>44360</v>
      </c>
      <c r="F765" s="32">
        <v>10104</v>
      </c>
      <c r="G765" s="5" t="str">
        <f>INDEX(customer[عنوان],MATCH(Main[[#This Row],[کد ردیابی]],customer[کد],0))</f>
        <v>بهزادی فر اصغر</v>
      </c>
      <c r="H765">
        <v>-66</v>
      </c>
      <c r="I765" s="6">
        <f ca="1">-Main[[#This Row],[بدهی تسویه شده (کیلوگرم)]]+Main[[#This Row],[بستانکار (کیلوگرم)]]</f>
        <v>-66</v>
      </c>
      <c r="J765" s="6">
        <f>IF(Main[[#This Row],[مقدار (کیلوگرم)]]&gt;0,Main[[#This Row],[مقدار (کیلوگرم)]],0)</f>
        <v>0</v>
      </c>
      <c r="K765" s="6">
        <f>-IF(Main[[#This Row],[مقدار (کیلوگرم)]]&lt;0,Main[[#This Row],[مقدار (کیلوگرم)]],0)</f>
        <v>66</v>
      </c>
      <c r="L7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5" s="7">
        <f>-IF(AND(Main[[#This Row],[مقدار (کیلوگرم)]]&lt;0,Main[[#This Row],[تاريخ میلادی]]&gt;44276),Main[[#This Row],[مقدار (کیلوگرم)]],0)</f>
        <v>66</v>
      </c>
      <c r="N765" s="6">
        <f ca="1">Main[[#This Row],[بدهکار (کیلوگرم)]]-Main[[#This Row],[بدهی تسویه نشده (کیلوگرم)]]</f>
        <v>66</v>
      </c>
      <c r="O765" s="6">
        <f ca="1">Main[[#This Row],[تفکیک]]</f>
        <v>0</v>
      </c>
      <c r="P765" s="6">
        <f ca="1">IF(Main[[#This Row],[تاخیر از سررسید]]&gt;0,Main[[#This Row],[بدهی تسویه نشده (کیلوگرم)]],0)</f>
        <v>0</v>
      </c>
      <c r="Q765" s="6">
        <f ca="1">IF(Main[[#This Row],[بدهی تسویه نشده (کیلوگرم)]]&gt;0,'گزارش فردی'!$B$7-Main[[#This Row],[تاريخ میلادی]],0)</f>
        <v>0</v>
      </c>
      <c r="R765" s="6">
        <f ca="1">IF(Main[[#This Row],[بدهی تسویه نشده (کیلوگرم)]]&gt;0,'گزارش فردی'!$B$7-Main[[#This Row],[تاريخ میلادی]]-'گزارش فردی'!$B$8,0)</f>
        <v>0</v>
      </c>
      <c r="S765" s="6">
        <f ca="1">Main[[#This Row],[روز از ارسال سفارش]]*Main[[#This Row],[بدهی تسویه نشده (کیلوگرم)]]</f>
        <v>0</v>
      </c>
      <c r="T765" s="6">
        <f ca="1">Main[[#This Row],[بدهی سررسید شده (کیلوگرم)]]*Main[[#This Row],[روز از ارسال سفارش]]</f>
        <v>0</v>
      </c>
      <c r="U765" s="6">
        <f>-SUBTOTAL(9,INDEX(Main[مقدار (کیلوگرم)],1):Main[[#This Row],[مقدار (کیلوگرم)]])</f>
        <v>36589</v>
      </c>
      <c r="V7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5" s="6">
        <f>Main[[#This Row],[تعداد کل روزهای بدهکار (روز)]]*Main[[#This Row],[مانده در خط کل (کیلوگرم)]]</f>
        <v>73178</v>
      </c>
      <c r="X765" s="6">
        <f ca="1">-SUBTOTAL(9,INDEX(Main[مقدار تسویه شده (کیلوگرم)],1):Main[[#This Row],[مقدار تسویه شده (کیلوگرم)]])</f>
        <v>36589</v>
      </c>
      <c r="Y765" s="6">
        <f ca="1">IF(Main[[#This Row],[مانده در خط تسویه شده (کیلوگرم)]]&lt;&gt;0,Main[[#This Row],[تعداد کل روزهای بدهکار (روز)]],0)</f>
        <v>2</v>
      </c>
      <c r="Z765" s="6">
        <f ca="1">Main[[#This Row],[تعداد روزهای بدهکار تسویه شده (روز)]]*Main[[#This Row],[مانده در خط تسویه شده (کیلوگرم)]]</f>
        <v>73178</v>
      </c>
      <c r="AA765" s="6">
        <f ca="1">SUBTOTAL(9,INDEX(Main[بدهی تسویه نشده (کیلوگرم)],1):Main[[#This Row],[بدهی تسویه نشده (کیلوگرم)]])</f>
        <v>0</v>
      </c>
      <c r="AB765" s="6">
        <f ca="1">IF(Main[[#This Row],[مانده در خط تسویه نشده (کیلوگرم)]]&lt;&gt;0,Main[[#This Row],[تعداد کل روزهای بدهکار (روز)]],0)</f>
        <v>0</v>
      </c>
      <c r="AC765" s="6">
        <f ca="1">Main[[#This Row],[تعداد روزهای بدهکار  تسویه نشده (روز)]]*Main[[#This Row],[مانده در خط تسویه نشده (کیلوگرم)]]</f>
        <v>0</v>
      </c>
      <c r="AD765" s="6">
        <f ca="1">SUBTOTAL(9,INDEX(Main[بدهی سررسید شده (کیلوگرم)],1):Main[[#This Row],[بدهی سررسید شده (کیلوگرم)]])</f>
        <v>0</v>
      </c>
      <c r="AE765" s="6">
        <f ca="1">IF(Main[[#This Row],[مانده در خط سررسید شده (کیلوگرم)]]&lt;&gt;0,Main[[#This Row],[تعداد کل روزهای بدهکار (روز)]],0)</f>
        <v>0</v>
      </c>
      <c r="AF765" s="6">
        <f ca="1">Main[[#This Row],[تعداد روزهای بدهکار سررسید شده (روز)]]*Main[[#This Row],[مانده در خط سررسید شده (کیلوگرم)]]</f>
        <v>0</v>
      </c>
    </row>
    <row r="766" spans="1:32" hidden="1" x14ac:dyDescent="0.35">
      <c r="A766" s="5">
        <f>ROW()-ROW(INDEX(Main[ردیف],1))+1</f>
        <v>764</v>
      </c>
      <c r="B766" s="31">
        <f>SUBTOTAL(2,INDEX(Main[ردیف],1):Main[[#This Row],[ردیف]])</f>
        <v>71</v>
      </c>
      <c r="C766" s="32" t="s">
        <v>589</v>
      </c>
      <c r="D766" s="32" t="str">
        <f>_xlfn.CONCAT("14",Main[[#This Row],[تاريخ]])</f>
        <v>1400/03/24</v>
      </c>
      <c r="E766" s="33">
        <v>44361</v>
      </c>
      <c r="F766" s="32">
        <v>10055</v>
      </c>
      <c r="G766" s="5" t="str">
        <f>INDEX(customer[عنوان],MATCH(Main[[#This Row],[کد ردیابی]],customer[کد],0))</f>
        <v xml:space="preserve">مریم فیض آبادی  </v>
      </c>
      <c r="H766">
        <v>5033</v>
      </c>
      <c r="I766" s="6">
        <f ca="1">-Main[[#This Row],[بدهی تسویه شده (کیلوگرم)]]+Main[[#This Row],[بستانکار (کیلوگرم)]]</f>
        <v>5033</v>
      </c>
      <c r="J766" s="6">
        <f>IF(Main[[#This Row],[مقدار (کیلوگرم)]]&gt;0,Main[[#This Row],[مقدار (کیلوگرم)]],0)</f>
        <v>5033</v>
      </c>
      <c r="K766" s="6">
        <f>-IF(Main[[#This Row],[مقدار (کیلوگرم)]]&lt;0,Main[[#This Row],[مقدار (کیلوگرم)]],0)</f>
        <v>0</v>
      </c>
      <c r="L7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6" s="7">
        <f>-IF(AND(Main[[#This Row],[مقدار (کیلوگرم)]]&lt;0,Main[[#This Row],[تاريخ میلادی]]&gt;44276),Main[[#This Row],[مقدار (کیلوگرم)]],0)</f>
        <v>0</v>
      </c>
      <c r="N766" s="6">
        <f ca="1">Main[[#This Row],[بدهکار (کیلوگرم)]]-Main[[#This Row],[بدهی تسویه نشده (کیلوگرم)]]</f>
        <v>0</v>
      </c>
      <c r="O766" s="6">
        <f ca="1">Main[[#This Row],[تفکیک]]</f>
        <v>0</v>
      </c>
      <c r="P766" s="6">
        <f ca="1">IF(Main[[#This Row],[تاخیر از سررسید]]&gt;0,Main[[#This Row],[بدهی تسویه نشده (کیلوگرم)]],0)</f>
        <v>0</v>
      </c>
      <c r="Q766" s="6">
        <f ca="1">IF(Main[[#This Row],[بدهی تسویه نشده (کیلوگرم)]]&gt;0,'گزارش فردی'!$B$7-Main[[#This Row],[تاريخ میلادی]],0)</f>
        <v>0</v>
      </c>
      <c r="R766" s="6">
        <f ca="1">IF(Main[[#This Row],[بدهی تسویه نشده (کیلوگرم)]]&gt;0,'گزارش فردی'!$B$7-Main[[#This Row],[تاريخ میلادی]]-'گزارش فردی'!$B$8,0)</f>
        <v>0</v>
      </c>
      <c r="S766" s="6">
        <f ca="1">Main[[#This Row],[روز از ارسال سفارش]]*Main[[#This Row],[بدهی تسویه نشده (کیلوگرم)]]</f>
        <v>0</v>
      </c>
      <c r="T766" s="6">
        <f ca="1">Main[[#This Row],[بدهی سررسید شده (کیلوگرم)]]*Main[[#This Row],[روز از ارسال سفارش]]</f>
        <v>0</v>
      </c>
      <c r="U766" s="6">
        <f>-SUBTOTAL(9,INDEX(Main[مقدار (کیلوگرم)],1):Main[[#This Row],[مقدار (کیلوگرم)]])</f>
        <v>36589</v>
      </c>
      <c r="V7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6" s="6">
        <f>Main[[#This Row],[تعداد کل روزهای بدهکار (روز)]]*Main[[#This Row],[مانده در خط کل (کیلوگرم)]]</f>
        <v>36589</v>
      </c>
      <c r="X766" s="6">
        <f ca="1">-SUBTOTAL(9,INDEX(Main[مقدار تسویه شده (کیلوگرم)],1):Main[[#This Row],[مقدار تسویه شده (کیلوگرم)]])</f>
        <v>36589</v>
      </c>
      <c r="Y766" s="6">
        <f ca="1">IF(Main[[#This Row],[مانده در خط تسویه شده (کیلوگرم)]]&lt;&gt;0,Main[[#This Row],[تعداد کل روزهای بدهکار (روز)]],0)</f>
        <v>1</v>
      </c>
      <c r="Z766" s="6">
        <f ca="1">Main[[#This Row],[تعداد روزهای بدهکار تسویه شده (روز)]]*Main[[#This Row],[مانده در خط تسویه شده (کیلوگرم)]]</f>
        <v>36589</v>
      </c>
      <c r="AA766" s="6">
        <f ca="1">SUBTOTAL(9,INDEX(Main[بدهی تسویه نشده (کیلوگرم)],1):Main[[#This Row],[بدهی تسویه نشده (کیلوگرم)]])</f>
        <v>0</v>
      </c>
      <c r="AB766" s="6">
        <f ca="1">IF(Main[[#This Row],[مانده در خط تسویه نشده (کیلوگرم)]]&lt;&gt;0,Main[[#This Row],[تعداد کل روزهای بدهکار (روز)]],0)</f>
        <v>0</v>
      </c>
      <c r="AC766" s="6">
        <f ca="1">Main[[#This Row],[تعداد روزهای بدهکار  تسویه نشده (روز)]]*Main[[#This Row],[مانده در خط تسویه نشده (کیلوگرم)]]</f>
        <v>0</v>
      </c>
      <c r="AD766" s="6">
        <f ca="1">SUBTOTAL(9,INDEX(Main[بدهی سررسید شده (کیلوگرم)],1):Main[[#This Row],[بدهی سررسید شده (کیلوگرم)]])</f>
        <v>0</v>
      </c>
      <c r="AE766" s="6">
        <f ca="1">IF(Main[[#This Row],[مانده در خط سررسید شده (کیلوگرم)]]&lt;&gt;0,Main[[#This Row],[تعداد کل روزهای بدهکار (روز)]],0)</f>
        <v>0</v>
      </c>
      <c r="AF766" s="6">
        <f ca="1">Main[[#This Row],[تعداد روزهای بدهکار سررسید شده (روز)]]*Main[[#This Row],[مانده در خط سررسید شده (کیلوگرم)]]</f>
        <v>0</v>
      </c>
    </row>
    <row r="767" spans="1:32" hidden="1" x14ac:dyDescent="0.35">
      <c r="A767" s="5">
        <f>ROW()-ROW(INDEX(Main[ردیف],1))+1</f>
        <v>765</v>
      </c>
      <c r="B767" s="31">
        <f>SUBTOTAL(2,INDEX(Main[ردیف],1):Main[[#This Row],[ردیف]])</f>
        <v>71</v>
      </c>
      <c r="C767" s="32" t="s">
        <v>589</v>
      </c>
      <c r="D767" s="32" t="str">
        <f>_xlfn.CONCAT("14",Main[[#This Row],[تاريخ]])</f>
        <v>1400/03/24</v>
      </c>
      <c r="E767" s="33">
        <v>44361</v>
      </c>
      <c r="F767" s="32">
        <v>30191</v>
      </c>
      <c r="G767" s="5" t="str">
        <f>INDEX(customer[عنوان],MATCH(Main[[#This Row],[کد ردیابی]],customer[کد],0))</f>
        <v>ایران گرما</v>
      </c>
      <c r="H767">
        <v>-1010</v>
      </c>
      <c r="I767" s="6">
        <f ca="1">-Main[[#This Row],[بدهی تسویه شده (کیلوگرم)]]+Main[[#This Row],[بستانکار (کیلوگرم)]]</f>
        <v>-1010</v>
      </c>
      <c r="J767" s="6">
        <f>IF(Main[[#This Row],[مقدار (کیلوگرم)]]&gt;0,Main[[#This Row],[مقدار (کیلوگرم)]],0)</f>
        <v>0</v>
      </c>
      <c r="K767" s="6">
        <f>-IF(Main[[#This Row],[مقدار (کیلوگرم)]]&lt;0,Main[[#This Row],[مقدار (کیلوگرم)]],0)</f>
        <v>1010</v>
      </c>
      <c r="L7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7" s="7">
        <f>-IF(AND(Main[[#This Row],[مقدار (کیلوگرم)]]&lt;0,Main[[#This Row],[تاريخ میلادی]]&gt;44276),Main[[#This Row],[مقدار (کیلوگرم)]],0)</f>
        <v>1010</v>
      </c>
      <c r="N767" s="6">
        <f ca="1">Main[[#This Row],[بدهکار (کیلوگرم)]]-Main[[#This Row],[بدهی تسویه نشده (کیلوگرم)]]</f>
        <v>1010</v>
      </c>
      <c r="O767" s="6">
        <f ca="1">Main[[#This Row],[تفکیک]]</f>
        <v>0</v>
      </c>
      <c r="P767" s="6">
        <f ca="1">IF(Main[[#This Row],[تاخیر از سررسید]]&gt;0,Main[[#This Row],[بدهی تسویه نشده (کیلوگرم)]],0)</f>
        <v>0</v>
      </c>
      <c r="Q767" s="6">
        <f ca="1">IF(Main[[#This Row],[بدهی تسویه نشده (کیلوگرم)]]&gt;0,'گزارش فردی'!$B$7-Main[[#This Row],[تاريخ میلادی]],0)</f>
        <v>0</v>
      </c>
      <c r="R767" s="6">
        <f ca="1">IF(Main[[#This Row],[بدهی تسویه نشده (کیلوگرم)]]&gt;0,'گزارش فردی'!$B$7-Main[[#This Row],[تاريخ میلادی]]-'گزارش فردی'!$B$8,0)</f>
        <v>0</v>
      </c>
      <c r="S767" s="6">
        <f ca="1">Main[[#This Row],[روز از ارسال سفارش]]*Main[[#This Row],[بدهی تسویه نشده (کیلوگرم)]]</f>
        <v>0</v>
      </c>
      <c r="T767" s="6">
        <f ca="1">Main[[#This Row],[بدهی سررسید شده (کیلوگرم)]]*Main[[#This Row],[روز از ارسال سفارش]]</f>
        <v>0</v>
      </c>
      <c r="U767" s="6">
        <f>-SUBTOTAL(9,INDEX(Main[مقدار (کیلوگرم)],1):Main[[#This Row],[مقدار (کیلوگرم)]])</f>
        <v>36589</v>
      </c>
      <c r="V7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7" s="6">
        <f>Main[[#This Row],[تعداد کل روزهای بدهکار (روز)]]*Main[[#This Row],[مانده در خط کل (کیلوگرم)]]</f>
        <v>36589</v>
      </c>
      <c r="X767" s="6">
        <f ca="1">-SUBTOTAL(9,INDEX(Main[مقدار تسویه شده (کیلوگرم)],1):Main[[#This Row],[مقدار تسویه شده (کیلوگرم)]])</f>
        <v>36589</v>
      </c>
      <c r="Y767" s="6">
        <f ca="1">IF(Main[[#This Row],[مانده در خط تسویه شده (کیلوگرم)]]&lt;&gt;0,Main[[#This Row],[تعداد کل روزهای بدهکار (روز)]],0)</f>
        <v>1</v>
      </c>
      <c r="Z767" s="6">
        <f ca="1">Main[[#This Row],[تعداد روزهای بدهکار تسویه شده (روز)]]*Main[[#This Row],[مانده در خط تسویه شده (کیلوگرم)]]</f>
        <v>36589</v>
      </c>
      <c r="AA767" s="6">
        <f ca="1">SUBTOTAL(9,INDEX(Main[بدهی تسویه نشده (کیلوگرم)],1):Main[[#This Row],[بدهی تسویه نشده (کیلوگرم)]])</f>
        <v>0</v>
      </c>
      <c r="AB767" s="6">
        <f ca="1">IF(Main[[#This Row],[مانده در خط تسویه نشده (کیلوگرم)]]&lt;&gt;0,Main[[#This Row],[تعداد کل روزهای بدهکار (روز)]],0)</f>
        <v>0</v>
      </c>
      <c r="AC767" s="6">
        <f ca="1">Main[[#This Row],[تعداد روزهای بدهکار  تسویه نشده (روز)]]*Main[[#This Row],[مانده در خط تسویه نشده (کیلوگرم)]]</f>
        <v>0</v>
      </c>
      <c r="AD767" s="6">
        <f ca="1">SUBTOTAL(9,INDEX(Main[بدهی سررسید شده (کیلوگرم)],1):Main[[#This Row],[بدهی سررسید شده (کیلوگرم)]])</f>
        <v>0</v>
      </c>
      <c r="AE767" s="6">
        <f ca="1">IF(Main[[#This Row],[مانده در خط سررسید شده (کیلوگرم)]]&lt;&gt;0,Main[[#This Row],[تعداد کل روزهای بدهکار (روز)]],0)</f>
        <v>0</v>
      </c>
      <c r="AF767" s="6">
        <f ca="1">Main[[#This Row],[تعداد روزهای بدهکار سررسید شده (روز)]]*Main[[#This Row],[مانده در خط سررسید شده (کیلوگرم)]]</f>
        <v>0</v>
      </c>
    </row>
    <row r="768" spans="1:32" hidden="1" x14ac:dyDescent="0.35">
      <c r="A768" s="5">
        <f>ROW()-ROW(INDEX(Main[ردیف],1))+1</f>
        <v>766</v>
      </c>
      <c r="B768" s="31">
        <f>SUBTOTAL(2,INDEX(Main[ردیف],1):Main[[#This Row],[ردیف]])</f>
        <v>71</v>
      </c>
      <c r="C768" s="32" t="s">
        <v>589</v>
      </c>
      <c r="D768" s="32" t="str">
        <f>_xlfn.CONCAT("14",Main[[#This Row],[تاريخ]])</f>
        <v>1400/03/24</v>
      </c>
      <c r="E768" s="33">
        <v>44361</v>
      </c>
      <c r="F768" s="32">
        <v>30186</v>
      </c>
      <c r="G768" s="5" t="str">
        <f>INDEX(customer[عنوان],MATCH(Main[[#This Row],[کد ردیابی]],customer[کد],0))</f>
        <v>سارا گاز</v>
      </c>
      <c r="H768">
        <v>2162</v>
      </c>
      <c r="I768" s="6">
        <f ca="1">-Main[[#This Row],[بدهی تسویه شده (کیلوگرم)]]+Main[[#This Row],[بستانکار (کیلوگرم)]]</f>
        <v>2162</v>
      </c>
      <c r="J768" s="6">
        <f>IF(Main[[#This Row],[مقدار (کیلوگرم)]]&gt;0,Main[[#This Row],[مقدار (کیلوگرم)]],0)</f>
        <v>2162</v>
      </c>
      <c r="K768" s="6">
        <f>-IF(Main[[#This Row],[مقدار (کیلوگرم)]]&lt;0,Main[[#This Row],[مقدار (کیلوگرم)]],0)</f>
        <v>0</v>
      </c>
      <c r="L7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8" s="7">
        <f>-IF(AND(Main[[#This Row],[مقدار (کیلوگرم)]]&lt;0,Main[[#This Row],[تاريخ میلادی]]&gt;44276),Main[[#This Row],[مقدار (کیلوگرم)]],0)</f>
        <v>0</v>
      </c>
      <c r="N768" s="6">
        <f ca="1">Main[[#This Row],[بدهکار (کیلوگرم)]]-Main[[#This Row],[بدهی تسویه نشده (کیلوگرم)]]</f>
        <v>0</v>
      </c>
      <c r="O768" s="6">
        <f ca="1">Main[[#This Row],[تفکیک]]</f>
        <v>0</v>
      </c>
      <c r="P768" s="6">
        <f ca="1">IF(Main[[#This Row],[تاخیر از سررسید]]&gt;0,Main[[#This Row],[بدهی تسویه نشده (کیلوگرم)]],0)</f>
        <v>0</v>
      </c>
      <c r="Q768" s="6">
        <f ca="1">IF(Main[[#This Row],[بدهی تسویه نشده (کیلوگرم)]]&gt;0,'گزارش فردی'!$B$7-Main[[#This Row],[تاريخ میلادی]],0)</f>
        <v>0</v>
      </c>
      <c r="R768" s="6">
        <f ca="1">IF(Main[[#This Row],[بدهی تسویه نشده (کیلوگرم)]]&gt;0,'گزارش فردی'!$B$7-Main[[#This Row],[تاريخ میلادی]]-'گزارش فردی'!$B$8,0)</f>
        <v>0</v>
      </c>
      <c r="S768" s="6">
        <f ca="1">Main[[#This Row],[روز از ارسال سفارش]]*Main[[#This Row],[بدهی تسویه نشده (کیلوگرم)]]</f>
        <v>0</v>
      </c>
      <c r="T768" s="6">
        <f ca="1">Main[[#This Row],[بدهی سررسید شده (کیلوگرم)]]*Main[[#This Row],[روز از ارسال سفارش]]</f>
        <v>0</v>
      </c>
      <c r="U768" s="6">
        <f>-SUBTOTAL(9,INDEX(Main[مقدار (کیلوگرم)],1):Main[[#This Row],[مقدار (کیلوگرم)]])</f>
        <v>36589</v>
      </c>
      <c r="V7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8" s="6">
        <f>Main[[#This Row],[تعداد کل روزهای بدهکار (روز)]]*Main[[#This Row],[مانده در خط کل (کیلوگرم)]]</f>
        <v>36589</v>
      </c>
      <c r="X768" s="6">
        <f ca="1">-SUBTOTAL(9,INDEX(Main[مقدار تسویه شده (کیلوگرم)],1):Main[[#This Row],[مقدار تسویه شده (کیلوگرم)]])</f>
        <v>36589</v>
      </c>
      <c r="Y768" s="6">
        <f ca="1">IF(Main[[#This Row],[مانده در خط تسویه شده (کیلوگرم)]]&lt;&gt;0,Main[[#This Row],[تعداد کل روزهای بدهکار (روز)]],0)</f>
        <v>1</v>
      </c>
      <c r="Z768" s="6">
        <f ca="1">Main[[#This Row],[تعداد روزهای بدهکار تسویه شده (روز)]]*Main[[#This Row],[مانده در خط تسویه شده (کیلوگرم)]]</f>
        <v>36589</v>
      </c>
      <c r="AA768" s="6">
        <f ca="1">SUBTOTAL(9,INDEX(Main[بدهی تسویه نشده (کیلوگرم)],1):Main[[#This Row],[بدهی تسویه نشده (کیلوگرم)]])</f>
        <v>0</v>
      </c>
      <c r="AB768" s="6">
        <f ca="1">IF(Main[[#This Row],[مانده در خط تسویه نشده (کیلوگرم)]]&lt;&gt;0,Main[[#This Row],[تعداد کل روزهای بدهکار (روز)]],0)</f>
        <v>0</v>
      </c>
      <c r="AC768" s="6">
        <f ca="1">Main[[#This Row],[تعداد روزهای بدهکار  تسویه نشده (روز)]]*Main[[#This Row],[مانده در خط تسویه نشده (کیلوگرم)]]</f>
        <v>0</v>
      </c>
      <c r="AD768" s="6">
        <f ca="1">SUBTOTAL(9,INDEX(Main[بدهی سررسید شده (کیلوگرم)],1):Main[[#This Row],[بدهی سررسید شده (کیلوگرم)]])</f>
        <v>0</v>
      </c>
      <c r="AE768" s="6">
        <f ca="1">IF(Main[[#This Row],[مانده در خط سررسید شده (کیلوگرم)]]&lt;&gt;0,Main[[#This Row],[تعداد کل روزهای بدهکار (روز)]],0)</f>
        <v>0</v>
      </c>
      <c r="AF768" s="6">
        <f ca="1">Main[[#This Row],[تعداد روزهای بدهکار سررسید شده (روز)]]*Main[[#This Row],[مانده در خط سررسید شده (کیلوگرم)]]</f>
        <v>0</v>
      </c>
    </row>
    <row r="769" spans="1:32" hidden="1" x14ac:dyDescent="0.35">
      <c r="A769" s="5">
        <f>ROW()-ROW(INDEX(Main[ردیف],1))+1</f>
        <v>767</v>
      </c>
      <c r="B769" s="31">
        <f>SUBTOTAL(2,INDEX(Main[ردیف],1):Main[[#This Row],[ردیف]])</f>
        <v>71</v>
      </c>
      <c r="C769" s="32" t="s">
        <v>589</v>
      </c>
      <c r="D769" s="32" t="str">
        <f>_xlfn.CONCAT("14",Main[[#This Row],[تاريخ]])</f>
        <v>1400/03/24</v>
      </c>
      <c r="E769" s="33">
        <v>44361</v>
      </c>
      <c r="F769" s="32">
        <v>30066</v>
      </c>
      <c r="G769" s="5" t="str">
        <f>INDEX(customer[عنوان],MATCH(Main[[#This Row],[کد ردیابی]],customer[کد],0))</f>
        <v xml:space="preserve">شیر آلات بهداشتی قهرمان </v>
      </c>
      <c r="H769">
        <v>-3989</v>
      </c>
      <c r="I769" s="6">
        <f ca="1">-Main[[#This Row],[بدهی تسویه شده (کیلوگرم)]]+Main[[#This Row],[بستانکار (کیلوگرم)]]</f>
        <v>-3989</v>
      </c>
      <c r="J769" s="6">
        <f>IF(Main[[#This Row],[مقدار (کیلوگرم)]]&gt;0,Main[[#This Row],[مقدار (کیلوگرم)]],0)</f>
        <v>0</v>
      </c>
      <c r="K769" s="6">
        <f>-IF(Main[[#This Row],[مقدار (کیلوگرم)]]&lt;0,Main[[#This Row],[مقدار (کیلوگرم)]],0)</f>
        <v>3989</v>
      </c>
      <c r="L7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9" s="7">
        <f>-IF(AND(Main[[#This Row],[مقدار (کیلوگرم)]]&lt;0,Main[[#This Row],[تاريخ میلادی]]&gt;44276),Main[[#This Row],[مقدار (کیلوگرم)]],0)</f>
        <v>3989</v>
      </c>
      <c r="N769" s="6">
        <f ca="1">Main[[#This Row],[بدهکار (کیلوگرم)]]-Main[[#This Row],[بدهی تسویه نشده (کیلوگرم)]]</f>
        <v>3989</v>
      </c>
      <c r="O769" s="6">
        <f ca="1">Main[[#This Row],[تفکیک]]</f>
        <v>0</v>
      </c>
      <c r="P769" s="6">
        <f ca="1">IF(Main[[#This Row],[تاخیر از سررسید]]&gt;0,Main[[#This Row],[بدهی تسویه نشده (کیلوگرم)]],0)</f>
        <v>0</v>
      </c>
      <c r="Q769" s="6">
        <f ca="1">IF(Main[[#This Row],[بدهی تسویه نشده (کیلوگرم)]]&gt;0,'گزارش فردی'!$B$7-Main[[#This Row],[تاريخ میلادی]],0)</f>
        <v>0</v>
      </c>
      <c r="R769" s="6">
        <f ca="1">IF(Main[[#This Row],[بدهی تسویه نشده (کیلوگرم)]]&gt;0,'گزارش فردی'!$B$7-Main[[#This Row],[تاريخ میلادی]]-'گزارش فردی'!$B$8,0)</f>
        <v>0</v>
      </c>
      <c r="S769" s="6">
        <f ca="1">Main[[#This Row],[روز از ارسال سفارش]]*Main[[#This Row],[بدهی تسویه نشده (کیلوگرم)]]</f>
        <v>0</v>
      </c>
      <c r="T769" s="6">
        <f ca="1">Main[[#This Row],[بدهی سررسید شده (کیلوگرم)]]*Main[[#This Row],[روز از ارسال سفارش]]</f>
        <v>0</v>
      </c>
      <c r="U769" s="6">
        <f>-SUBTOTAL(9,INDEX(Main[مقدار (کیلوگرم)],1):Main[[#This Row],[مقدار (کیلوگرم)]])</f>
        <v>36589</v>
      </c>
      <c r="V7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9" s="6">
        <f>Main[[#This Row],[تعداد کل روزهای بدهکار (روز)]]*Main[[#This Row],[مانده در خط کل (کیلوگرم)]]</f>
        <v>36589</v>
      </c>
      <c r="X769" s="6">
        <f ca="1">-SUBTOTAL(9,INDEX(Main[مقدار تسویه شده (کیلوگرم)],1):Main[[#This Row],[مقدار تسویه شده (کیلوگرم)]])</f>
        <v>36589</v>
      </c>
      <c r="Y769" s="6">
        <f ca="1">IF(Main[[#This Row],[مانده در خط تسویه شده (کیلوگرم)]]&lt;&gt;0,Main[[#This Row],[تعداد کل روزهای بدهکار (روز)]],0)</f>
        <v>1</v>
      </c>
      <c r="Z769" s="6">
        <f ca="1">Main[[#This Row],[تعداد روزهای بدهکار تسویه شده (روز)]]*Main[[#This Row],[مانده در خط تسویه شده (کیلوگرم)]]</f>
        <v>36589</v>
      </c>
      <c r="AA769" s="6">
        <f ca="1">SUBTOTAL(9,INDEX(Main[بدهی تسویه نشده (کیلوگرم)],1):Main[[#This Row],[بدهی تسویه نشده (کیلوگرم)]])</f>
        <v>0</v>
      </c>
      <c r="AB769" s="6">
        <f ca="1">IF(Main[[#This Row],[مانده در خط تسویه نشده (کیلوگرم)]]&lt;&gt;0,Main[[#This Row],[تعداد کل روزهای بدهکار (روز)]],0)</f>
        <v>0</v>
      </c>
      <c r="AC769" s="6">
        <f ca="1">Main[[#This Row],[تعداد روزهای بدهکار  تسویه نشده (روز)]]*Main[[#This Row],[مانده در خط تسویه نشده (کیلوگرم)]]</f>
        <v>0</v>
      </c>
      <c r="AD769" s="6">
        <f ca="1">SUBTOTAL(9,INDEX(Main[بدهی سررسید شده (کیلوگرم)],1):Main[[#This Row],[بدهی سررسید شده (کیلوگرم)]])</f>
        <v>0</v>
      </c>
      <c r="AE769" s="6">
        <f ca="1">IF(Main[[#This Row],[مانده در خط سررسید شده (کیلوگرم)]]&lt;&gt;0,Main[[#This Row],[تعداد کل روزهای بدهکار (روز)]],0)</f>
        <v>0</v>
      </c>
      <c r="AF769" s="6">
        <f ca="1">Main[[#This Row],[تعداد روزهای بدهکار سررسید شده (روز)]]*Main[[#This Row],[مانده در خط سررسید شده (کیلوگرم)]]</f>
        <v>0</v>
      </c>
    </row>
    <row r="770" spans="1:32" hidden="1" x14ac:dyDescent="0.35">
      <c r="A770" s="5">
        <f>ROW()-ROW(INDEX(Main[ردیف],1))+1</f>
        <v>768</v>
      </c>
      <c r="B770" s="31">
        <f>SUBTOTAL(2,INDEX(Main[ردیف],1):Main[[#This Row],[ردیف]])</f>
        <v>71</v>
      </c>
      <c r="C770" s="32" t="s">
        <v>589</v>
      </c>
      <c r="D770" s="32" t="str">
        <f>_xlfn.CONCAT("14",Main[[#This Row],[تاريخ]])</f>
        <v>1400/03/24</v>
      </c>
      <c r="E770" s="33">
        <v>44361</v>
      </c>
      <c r="F770" s="32">
        <v>30004</v>
      </c>
      <c r="G770" s="5" t="str">
        <f>INDEX(customer[عنوان],MATCH(Main[[#This Row],[کد ردیابی]],customer[کد],0))</f>
        <v>تولیدی صنعتی صفاشیر پارس</v>
      </c>
      <c r="H770">
        <v>1114</v>
      </c>
      <c r="I770" s="6">
        <f ca="1">-Main[[#This Row],[بدهی تسویه شده (کیلوگرم)]]+Main[[#This Row],[بستانکار (کیلوگرم)]]</f>
        <v>1114</v>
      </c>
      <c r="J770" s="6">
        <f>IF(Main[[#This Row],[مقدار (کیلوگرم)]]&gt;0,Main[[#This Row],[مقدار (کیلوگرم)]],0)</f>
        <v>1114</v>
      </c>
      <c r="K770" s="6">
        <f>-IF(Main[[#This Row],[مقدار (کیلوگرم)]]&lt;0,Main[[#This Row],[مقدار (کیلوگرم)]],0)</f>
        <v>0</v>
      </c>
      <c r="L7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0" s="7">
        <f>-IF(AND(Main[[#This Row],[مقدار (کیلوگرم)]]&lt;0,Main[[#This Row],[تاريخ میلادی]]&gt;44276),Main[[#This Row],[مقدار (کیلوگرم)]],0)</f>
        <v>0</v>
      </c>
      <c r="N770" s="6">
        <f ca="1">Main[[#This Row],[بدهکار (کیلوگرم)]]-Main[[#This Row],[بدهی تسویه نشده (کیلوگرم)]]</f>
        <v>0</v>
      </c>
      <c r="O770" s="6">
        <f ca="1">Main[[#This Row],[تفکیک]]</f>
        <v>0</v>
      </c>
      <c r="P770" s="6">
        <f ca="1">IF(Main[[#This Row],[تاخیر از سررسید]]&gt;0,Main[[#This Row],[بدهی تسویه نشده (کیلوگرم)]],0)</f>
        <v>0</v>
      </c>
      <c r="Q770" s="6">
        <f ca="1">IF(Main[[#This Row],[بدهی تسویه نشده (کیلوگرم)]]&gt;0,'گزارش فردی'!$B$7-Main[[#This Row],[تاريخ میلادی]],0)</f>
        <v>0</v>
      </c>
      <c r="R770" s="6">
        <f ca="1">IF(Main[[#This Row],[بدهی تسویه نشده (کیلوگرم)]]&gt;0,'گزارش فردی'!$B$7-Main[[#This Row],[تاريخ میلادی]]-'گزارش فردی'!$B$8,0)</f>
        <v>0</v>
      </c>
      <c r="S770" s="6">
        <f ca="1">Main[[#This Row],[روز از ارسال سفارش]]*Main[[#This Row],[بدهی تسویه نشده (کیلوگرم)]]</f>
        <v>0</v>
      </c>
      <c r="T770" s="6">
        <f ca="1">Main[[#This Row],[بدهی سررسید شده (کیلوگرم)]]*Main[[#This Row],[روز از ارسال سفارش]]</f>
        <v>0</v>
      </c>
      <c r="U770" s="6">
        <f>-SUBTOTAL(9,INDEX(Main[مقدار (کیلوگرم)],1):Main[[#This Row],[مقدار (کیلوگرم)]])</f>
        <v>36589</v>
      </c>
      <c r="V7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0" s="6">
        <f>Main[[#This Row],[تعداد کل روزهای بدهکار (روز)]]*Main[[#This Row],[مانده در خط کل (کیلوگرم)]]</f>
        <v>36589</v>
      </c>
      <c r="X770" s="6">
        <f ca="1">-SUBTOTAL(9,INDEX(Main[مقدار تسویه شده (کیلوگرم)],1):Main[[#This Row],[مقدار تسویه شده (کیلوگرم)]])</f>
        <v>36589</v>
      </c>
      <c r="Y770" s="6">
        <f ca="1">IF(Main[[#This Row],[مانده در خط تسویه شده (کیلوگرم)]]&lt;&gt;0,Main[[#This Row],[تعداد کل روزهای بدهکار (روز)]],0)</f>
        <v>1</v>
      </c>
      <c r="Z770" s="6">
        <f ca="1">Main[[#This Row],[تعداد روزهای بدهکار تسویه شده (روز)]]*Main[[#This Row],[مانده در خط تسویه شده (کیلوگرم)]]</f>
        <v>36589</v>
      </c>
      <c r="AA770" s="6">
        <f ca="1">SUBTOTAL(9,INDEX(Main[بدهی تسویه نشده (کیلوگرم)],1):Main[[#This Row],[بدهی تسویه نشده (کیلوگرم)]])</f>
        <v>0</v>
      </c>
      <c r="AB770" s="6">
        <f ca="1">IF(Main[[#This Row],[مانده در خط تسویه نشده (کیلوگرم)]]&lt;&gt;0,Main[[#This Row],[تعداد کل روزهای بدهکار (روز)]],0)</f>
        <v>0</v>
      </c>
      <c r="AC770" s="6">
        <f ca="1">Main[[#This Row],[تعداد روزهای بدهکار  تسویه نشده (روز)]]*Main[[#This Row],[مانده در خط تسویه نشده (کیلوگرم)]]</f>
        <v>0</v>
      </c>
      <c r="AD770" s="6">
        <f ca="1">SUBTOTAL(9,INDEX(Main[بدهی سررسید شده (کیلوگرم)],1):Main[[#This Row],[بدهی سررسید شده (کیلوگرم)]])</f>
        <v>0</v>
      </c>
      <c r="AE770" s="6">
        <f ca="1">IF(Main[[#This Row],[مانده در خط سررسید شده (کیلوگرم)]]&lt;&gt;0,Main[[#This Row],[تعداد کل روزهای بدهکار (روز)]],0)</f>
        <v>0</v>
      </c>
      <c r="AF770" s="6">
        <f ca="1">Main[[#This Row],[تعداد روزهای بدهکار سررسید شده (روز)]]*Main[[#This Row],[مانده در خط سررسید شده (کیلوگرم)]]</f>
        <v>0</v>
      </c>
    </row>
    <row r="771" spans="1:32" hidden="1" x14ac:dyDescent="0.35">
      <c r="A771" s="5">
        <f>ROW()-ROW(INDEX(Main[ردیف],1))+1</f>
        <v>769</v>
      </c>
      <c r="B771" s="31">
        <f>SUBTOTAL(2,INDEX(Main[ردیف],1):Main[[#This Row],[ردیف]])</f>
        <v>71</v>
      </c>
      <c r="C771" s="32" t="s">
        <v>589</v>
      </c>
      <c r="D771" s="32" t="str">
        <f>_xlfn.CONCAT("14",Main[[#This Row],[تاريخ]])</f>
        <v>1400/03/24</v>
      </c>
      <c r="E771" s="33">
        <v>44361</v>
      </c>
      <c r="F771" s="32">
        <v>30140</v>
      </c>
      <c r="G771" s="5" t="str">
        <f>INDEX(customer[عنوان],MATCH(Main[[#This Row],[کد ردیابی]],customer[کد],0))</f>
        <v>شرکت سیتکو</v>
      </c>
      <c r="H771">
        <v>-290</v>
      </c>
      <c r="I771" s="6">
        <f ca="1">-Main[[#This Row],[بدهی تسویه شده (کیلوگرم)]]+Main[[#This Row],[بستانکار (کیلوگرم)]]</f>
        <v>-290</v>
      </c>
      <c r="J771" s="6">
        <f>IF(Main[[#This Row],[مقدار (کیلوگرم)]]&gt;0,Main[[#This Row],[مقدار (کیلوگرم)]],0)</f>
        <v>0</v>
      </c>
      <c r="K771" s="6">
        <f>-IF(Main[[#This Row],[مقدار (کیلوگرم)]]&lt;0,Main[[#This Row],[مقدار (کیلوگرم)]],0)</f>
        <v>290</v>
      </c>
      <c r="L7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1" s="7">
        <f>-IF(AND(Main[[#This Row],[مقدار (کیلوگرم)]]&lt;0,Main[[#This Row],[تاريخ میلادی]]&gt;44276),Main[[#This Row],[مقدار (کیلوگرم)]],0)</f>
        <v>290</v>
      </c>
      <c r="N771" s="6">
        <f ca="1">Main[[#This Row],[بدهکار (کیلوگرم)]]-Main[[#This Row],[بدهی تسویه نشده (کیلوگرم)]]</f>
        <v>290</v>
      </c>
      <c r="O771" s="6">
        <f ca="1">Main[[#This Row],[تفکیک]]</f>
        <v>0</v>
      </c>
      <c r="P771" s="6">
        <f ca="1">IF(Main[[#This Row],[تاخیر از سررسید]]&gt;0,Main[[#This Row],[بدهی تسویه نشده (کیلوگرم)]],0)</f>
        <v>0</v>
      </c>
      <c r="Q771" s="6">
        <f ca="1">IF(Main[[#This Row],[بدهی تسویه نشده (کیلوگرم)]]&gt;0,'گزارش فردی'!$B$7-Main[[#This Row],[تاريخ میلادی]],0)</f>
        <v>0</v>
      </c>
      <c r="R771" s="6">
        <f ca="1">IF(Main[[#This Row],[بدهی تسویه نشده (کیلوگرم)]]&gt;0,'گزارش فردی'!$B$7-Main[[#This Row],[تاريخ میلادی]]-'گزارش فردی'!$B$8,0)</f>
        <v>0</v>
      </c>
      <c r="S771" s="6">
        <f ca="1">Main[[#This Row],[روز از ارسال سفارش]]*Main[[#This Row],[بدهی تسویه نشده (کیلوگرم)]]</f>
        <v>0</v>
      </c>
      <c r="T771" s="6">
        <f ca="1">Main[[#This Row],[بدهی سررسید شده (کیلوگرم)]]*Main[[#This Row],[روز از ارسال سفارش]]</f>
        <v>0</v>
      </c>
      <c r="U771" s="6">
        <f>-SUBTOTAL(9,INDEX(Main[مقدار (کیلوگرم)],1):Main[[#This Row],[مقدار (کیلوگرم)]])</f>
        <v>36589</v>
      </c>
      <c r="V7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1" s="6">
        <f>Main[[#This Row],[تعداد کل روزهای بدهکار (روز)]]*Main[[#This Row],[مانده در خط کل (کیلوگرم)]]</f>
        <v>36589</v>
      </c>
      <c r="X771" s="6">
        <f ca="1">-SUBTOTAL(9,INDEX(Main[مقدار تسویه شده (کیلوگرم)],1):Main[[#This Row],[مقدار تسویه شده (کیلوگرم)]])</f>
        <v>36589</v>
      </c>
      <c r="Y771" s="6">
        <f ca="1">IF(Main[[#This Row],[مانده در خط تسویه شده (کیلوگرم)]]&lt;&gt;0,Main[[#This Row],[تعداد کل روزهای بدهکار (روز)]],0)</f>
        <v>1</v>
      </c>
      <c r="Z771" s="6">
        <f ca="1">Main[[#This Row],[تعداد روزهای بدهکار تسویه شده (روز)]]*Main[[#This Row],[مانده در خط تسویه شده (کیلوگرم)]]</f>
        <v>36589</v>
      </c>
      <c r="AA771" s="6">
        <f ca="1">SUBTOTAL(9,INDEX(Main[بدهی تسویه نشده (کیلوگرم)],1):Main[[#This Row],[بدهی تسویه نشده (کیلوگرم)]])</f>
        <v>0</v>
      </c>
      <c r="AB771" s="6">
        <f ca="1">IF(Main[[#This Row],[مانده در خط تسویه نشده (کیلوگرم)]]&lt;&gt;0,Main[[#This Row],[تعداد کل روزهای بدهکار (روز)]],0)</f>
        <v>0</v>
      </c>
      <c r="AC771" s="6">
        <f ca="1">Main[[#This Row],[تعداد روزهای بدهکار  تسویه نشده (روز)]]*Main[[#This Row],[مانده در خط تسویه نشده (کیلوگرم)]]</f>
        <v>0</v>
      </c>
      <c r="AD771" s="6">
        <f ca="1">SUBTOTAL(9,INDEX(Main[بدهی سررسید شده (کیلوگرم)],1):Main[[#This Row],[بدهی سررسید شده (کیلوگرم)]])</f>
        <v>0</v>
      </c>
      <c r="AE771" s="6">
        <f ca="1">IF(Main[[#This Row],[مانده در خط سررسید شده (کیلوگرم)]]&lt;&gt;0,Main[[#This Row],[تعداد کل روزهای بدهکار (روز)]],0)</f>
        <v>0</v>
      </c>
      <c r="AF771" s="6">
        <f ca="1">Main[[#This Row],[تعداد روزهای بدهکار سررسید شده (روز)]]*Main[[#This Row],[مانده در خط سررسید شده (کیلوگرم)]]</f>
        <v>0</v>
      </c>
    </row>
    <row r="772" spans="1:32" hidden="1" x14ac:dyDescent="0.35">
      <c r="A772" s="5">
        <f>ROW()-ROW(INDEX(Main[ردیف],1))+1</f>
        <v>770</v>
      </c>
      <c r="B772" s="31">
        <f>SUBTOTAL(2,INDEX(Main[ردیف],1):Main[[#This Row],[ردیف]])</f>
        <v>71</v>
      </c>
      <c r="C772" s="32" t="s">
        <v>589</v>
      </c>
      <c r="D772" s="32" t="str">
        <f>_xlfn.CONCAT("14",Main[[#This Row],[تاريخ]])</f>
        <v>1400/03/24</v>
      </c>
      <c r="E772" s="33">
        <v>44361</v>
      </c>
      <c r="F772" s="32">
        <v>30004</v>
      </c>
      <c r="G772" s="5" t="str">
        <f>INDEX(customer[عنوان],MATCH(Main[[#This Row],[کد ردیابی]],customer[کد],0))</f>
        <v>تولیدی صنعتی صفاشیر پارس</v>
      </c>
      <c r="H772">
        <v>942</v>
      </c>
      <c r="I772" s="6">
        <f ca="1">-Main[[#This Row],[بدهی تسویه شده (کیلوگرم)]]+Main[[#This Row],[بستانکار (کیلوگرم)]]</f>
        <v>942</v>
      </c>
      <c r="J772" s="6">
        <f>IF(Main[[#This Row],[مقدار (کیلوگرم)]]&gt;0,Main[[#This Row],[مقدار (کیلوگرم)]],0)</f>
        <v>942</v>
      </c>
      <c r="K772" s="6">
        <f>-IF(Main[[#This Row],[مقدار (کیلوگرم)]]&lt;0,Main[[#This Row],[مقدار (کیلوگرم)]],0)</f>
        <v>0</v>
      </c>
      <c r="L7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2" s="7">
        <f>-IF(AND(Main[[#This Row],[مقدار (کیلوگرم)]]&lt;0,Main[[#This Row],[تاريخ میلادی]]&gt;44276),Main[[#This Row],[مقدار (کیلوگرم)]],0)</f>
        <v>0</v>
      </c>
      <c r="N772" s="6">
        <f ca="1">Main[[#This Row],[بدهکار (کیلوگرم)]]-Main[[#This Row],[بدهی تسویه نشده (کیلوگرم)]]</f>
        <v>0</v>
      </c>
      <c r="O772" s="6">
        <f ca="1">Main[[#This Row],[تفکیک]]</f>
        <v>0</v>
      </c>
      <c r="P772" s="6">
        <f ca="1">IF(Main[[#This Row],[تاخیر از سررسید]]&gt;0,Main[[#This Row],[بدهی تسویه نشده (کیلوگرم)]],0)</f>
        <v>0</v>
      </c>
      <c r="Q772" s="6">
        <f ca="1">IF(Main[[#This Row],[بدهی تسویه نشده (کیلوگرم)]]&gt;0,'گزارش فردی'!$B$7-Main[[#This Row],[تاريخ میلادی]],0)</f>
        <v>0</v>
      </c>
      <c r="R772" s="6">
        <f ca="1">IF(Main[[#This Row],[بدهی تسویه نشده (کیلوگرم)]]&gt;0,'گزارش فردی'!$B$7-Main[[#This Row],[تاريخ میلادی]]-'گزارش فردی'!$B$8,0)</f>
        <v>0</v>
      </c>
      <c r="S772" s="6">
        <f ca="1">Main[[#This Row],[روز از ارسال سفارش]]*Main[[#This Row],[بدهی تسویه نشده (کیلوگرم)]]</f>
        <v>0</v>
      </c>
      <c r="T772" s="6">
        <f ca="1">Main[[#This Row],[بدهی سررسید شده (کیلوگرم)]]*Main[[#This Row],[روز از ارسال سفارش]]</f>
        <v>0</v>
      </c>
      <c r="U772" s="6">
        <f>-SUBTOTAL(9,INDEX(Main[مقدار (کیلوگرم)],1):Main[[#This Row],[مقدار (کیلوگرم)]])</f>
        <v>36589</v>
      </c>
      <c r="V7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2" s="6">
        <f>Main[[#This Row],[تعداد کل روزهای بدهکار (روز)]]*Main[[#This Row],[مانده در خط کل (کیلوگرم)]]</f>
        <v>36589</v>
      </c>
      <c r="X772" s="6">
        <f ca="1">-SUBTOTAL(9,INDEX(Main[مقدار تسویه شده (کیلوگرم)],1):Main[[#This Row],[مقدار تسویه شده (کیلوگرم)]])</f>
        <v>36589</v>
      </c>
      <c r="Y772" s="6">
        <f ca="1">IF(Main[[#This Row],[مانده در خط تسویه شده (کیلوگرم)]]&lt;&gt;0,Main[[#This Row],[تعداد کل روزهای بدهکار (روز)]],0)</f>
        <v>1</v>
      </c>
      <c r="Z772" s="6">
        <f ca="1">Main[[#This Row],[تعداد روزهای بدهکار تسویه شده (روز)]]*Main[[#This Row],[مانده در خط تسویه شده (کیلوگرم)]]</f>
        <v>36589</v>
      </c>
      <c r="AA772" s="6">
        <f ca="1">SUBTOTAL(9,INDEX(Main[بدهی تسویه نشده (کیلوگرم)],1):Main[[#This Row],[بدهی تسویه نشده (کیلوگرم)]])</f>
        <v>0</v>
      </c>
      <c r="AB772" s="6">
        <f ca="1">IF(Main[[#This Row],[مانده در خط تسویه نشده (کیلوگرم)]]&lt;&gt;0,Main[[#This Row],[تعداد کل روزهای بدهکار (روز)]],0)</f>
        <v>0</v>
      </c>
      <c r="AC772" s="6">
        <f ca="1">Main[[#This Row],[تعداد روزهای بدهکار  تسویه نشده (روز)]]*Main[[#This Row],[مانده در خط تسویه نشده (کیلوگرم)]]</f>
        <v>0</v>
      </c>
      <c r="AD772" s="6">
        <f ca="1">SUBTOTAL(9,INDEX(Main[بدهی سررسید شده (کیلوگرم)],1):Main[[#This Row],[بدهی سررسید شده (کیلوگرم)]])</f>
        <v>0</v>
      </c>
      <c r="AE772" s="6">
        <f ca="1">IF(Main[[#This Row],[مانده در خط سررسید شده (کیلوگرم)]]&lt;&gt;0,Main[[#This Row],[تعداد کل روزهای بدهکار (روز)]],0)</f>
        <v>0</v>
      </c>
      <c r="AF772" s="6">
        <f ca="1">Main[[#This Row],[تعداد روزهای بدهکار سررسید شده (روز)]]*Main[[#This Row],[مانده در خط سررسید شده (کیلوگرم)]]</f>
        <v>0</v>
      </c>
    </row>
    <row r="773" spans="1:32" hidden="1" x14ac:dyDescent="0.35">
      <c r="A773" s="5">
        <f>ROW()-ROW(INDEX(Main[ردیف],1))+1</f>
        <v>771</v>
      </c>
      <c r="B773" s="31">
        <f>SUBTOTAL(2,INDEX(Main[ردیف],1):Main[[#This Row],[ردیف]])</f>
        <v>71</v>
      </c>
      <c r="C773" s="32" t="s">
        <v>589</v>
      </c>
      <c r="D773" s="32" t="str">
        <f>_xlfn.CONCAT("14",Main[[#This Row],[تاريخ]])</f>
        <v>1400/03/24</v>
      </c>
      <c r="E773" s="33">
        <v>44361</v>
      </c>
      <c r="F773" s="32">
        <v>10026</v>
      </c>
      <c r="G773" s="5" t="str">
        <f>INDEX(customer[عنوان],MATCH(Main[[#This Row],[کد ردیابی]],customer[کد],0))</f>
        <v xml:space="preserve">محسن فیاض بخش </v>
      </c>
      <c r="H773">
        <v>-3780</v>
      </c>
      <c r="I773" s="6">
        <f ca="1">-Main[[#This Row],[بدهی تسویه شده (کیلوگرم)]]+Main[[#This Row],[بستانکار (کیلوگرم)]]</f>
        <v>-3780</v>
      </c>
      <c r="J773" s="6">
        <f>IF(Main[[#This Row],[مقدار (کیلوگرم)]]&gt;0,Main[[#This Row],[مقدار (کیلوگرم)]],0)</f>
        <v>0</v>
      </c>
      <c r="K773" s="6">
        <f>-IF(Main[[#This Row],[مقدار (کیلوگرم)]]&lt;0,Main[[#This Row],[مقدار (کیلوگرم)]],0)</f>
        <v>3780</v>
      </c>
      <c r="L7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3" s="7">
        <f>-IF(AND(Main[[#This Row],[مقدار (کیلوگرم)]]&lt;0,Main[[#This Row],[تاريخ میلادی]]&gt;44276),Main[[#This Row],[مقدار (کیلوگرم)]],0)</f>
        <v>3780</v>
      </c>
      <c r="N773" s="6">
        <f ca="1">Main[[#This Row],[بدهکار (کیلوگرم)]]-Main[[#This Row],[بدهی تسویه نشده (کیلوگرم)]]</f>
        <v>3780</v>
      </c>
      <c r="O773" s="6">
        <f ca="1">Main[[#This Row],[تفکیک]]</f>
        <v>0</v>
      </c>
      <c r="P773" s="6">
        <f ca="1">IF(Main[[#This Row],[تاخیر از سررسید]]&gt;0,Main[[#This Row],[بدهی تسویه نشده (کیلوگرم)]],0)</f>
        <v>0</v>
      </c>
      <c r="Q773" s="6">
        <f ca="1">IF(Main[[#This Row],[بدهی تسویه نشده (کیلوگرم)]]&gt;0,'گزارش فردی'!$B$7-Main[[#This Row],[تاريخ میلادی]],0)</f>
        <v>0</v>
      </c>
      <c r="R773" s="6">
        <f ca="1">IF(Main[[#This Row],[بدهی تسویه نشده (کیلوگرم)]]&gt;0,'گزارش فردی'!$B$7-Main[[#This Row],[تاريخ میلادی]]-'گزارش فردی'!$B$8,0)</f>
        <v>0</v>
      </c>
      <c r="S773" s="6">
        <f ca="1">Main[[#This Row],[روز از ارسال سفارش]]*Main[[#This Row],[بدهی تسویه نشده (کیلوگرم)]]</f>
        <v>0</v>
      </c>
      <c r="T773" s="6">
        <f ca="1">Main[[#This Row],[بدهی سررسید شده (کیلوگرم)]]*Main[[#This Row],[روز از ارسال سفارش]]</f>
        <v>0</v>
      </c>
      <c r="U773" s="6">
        <f>-SUBTOTAL(9,INDEX(Main[مقدار (کیلوگرم)],1):Main[[#This Row],[مقدار (کیلوگرم)]])</f>
        <v>36589</v>
      </c>
      <c r="V7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3" s="6">
        <f>Main[[#This Row],[تعداد کل روزهای بدهکار (روز)]]*Main[[#This Row],[مانده در خط کل (کیلوگرم)]]</f>
        <v>36589</v>
      </c>
      <c r="X773" s="6">
        <f ca="1">-SUBTOTAL(9,INDEX(Main[مقدار تسویه شده (کیلوگرم)],1):Main[[#This Row],[مقدار تسویه شده (کیلوگرم)]])</f>
        <v>36589</v>
      </c>
      <c r="Y773" s="6">
        <f ca="1">IF(Main[[#This Row],[مانده در خط تسویه شده (کیلوگرم)]]&lt;&gt;0,Main[[#This Row],[تعداد کل روزهای بدهکار (روز)]],0)</f>
        <v>1</v>
      </c>
      <c r="Z773" s="6">
        <f ca="1">Main[[#This Row],[تعداد روزهای بدهکار تسویه شده (روز)]]*Main[[#This Row],[مانده در خط تسویه شده (کیلوگرم)]]</f>
        <v>36589</v>
      </c>
      <c r="AA773" s="6">
        <f ca="1">SUBTOTAL(9,INDEX(Main[بدهی تسویه نشده (کیلوگرم)],1):Main[[#This Row],[بدهی تسویه نشده (کیلوگرم)]])</f>
        <v>0</v>
      </c>
      <c r="AB773" s="6">
        <f ca="1">IF(Main[[#This Row],[مانده در خط تسویه نشده (کیلوگرم)]]&lt;&gt;0,Main[[#This Row],[تعداد کل روزهای بدهکار (روز)]],0)</f>
        <v>0</v>
      </c>
      <c r="AC773" s="6">
        <f ca="1">Main[[#This Row],[تعداد روزهای بدهکار  تسویه نشده (روز)]]*Main[[#This Row],[مانده در خط تسویه نشده (کیلوگرم)]]</f>
        <v>0</v>
      </c>
      <c r="AD773" s="6">
        <f ca="1">SUBTOTAL(9,INDEX(Main[بدهی سررسید شده (کیلوگرم)],1):Main[[#This Row],[بدهی سررسید شده (کیلوگرم)]])</f>
        <v>0</v>
      </c>
      <c r="AE773" s="6">
        <f ca="1">IF(Main[[#This Row],[مانده در خط سررسید شده (کیلوگرم)]]&lt;&gt;0,Main[[#This Row],[تعداد کل روزهای بدهکار (روز)]],0)</f>
        <v>0</v>
      </c>
      <c r="AF773" s="6">
        <f ca="1">Main[[#This Row],[تعداد روزهای بدهکار سررسید شده (روز)]]*Main[[#This Row],[مانده در خط سررسید شده (کیلوگرم)]]</f>
        <v>0</v>
      </c>
    </row>
    <row r="774" spans="1:32" hidden="1" x14ac:dyDescent="0.35">
      <c r="A774" s="5">
        <f>ROW()-ROW(INDEX(Main[ردیف],1))+1</f>
        <v>772</v>
      </c>
      <c r="B774" s="31">
        <f>SUBTOTAL(2,INDEX(Main[ردیف],1):Main[[#This Row],[ردیف]])</f>
        <v>71</v>
      </c>
      <c r="C774" s="32" t="s">
        <v>589</v>
      </c>
      <c r="D774" s="32" t="str">
        <f>_xlfn.CONCAT("14",Main[[#This Row],[تاريخ]])</f>
        <v>1400/03/24</v>
      </c>
      <c r="E774" s="33">
        <v>44361</v>
      </c>
      <c r="F774" s="32">
        <v>10055</v>
      </c>
      <c r="G774" s="5" t="str">
        <f>INDEX(customer[عنوان],MATCH(Main[[#This Row],[کد ردیابی]],customer[کد],0))</f>
        <v xml:space="preserve">مریم فیض آبادی  </v>
      </c>
      <c r="H774">
        <v>-4551</v>
      </c>
      <c r="I774" s="6">
        <f ca="1">-Main[[#This Row],[بدهی تسویه شده (کیلوگرم)]]+Main[[#This Row],[بستانکار (کیلوگرم)]]</f>
        <v>-4551</v>
      </c>
      <c r="J774" s="6">
        <f>IF(Main[[#This Row],[مقدار (کیلوگرم)]]&gt;0,Main[[#This Row],[مقدار (کیلوگرم)]],0)</f>
        <v>0</v>
      </c>
      <c r="K774" s="6">
        <f>-IF(Main[[#This Row],[مقدار (کیلوگرم)]]&lt;0,Main[[#This Row],[مقدار (کیلوگرم)]],0)</f>
        <v>4551</v>
      </c>
      <c r="L7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4" s="7">
        <f>-IF(AND(Main[[#This Row],[مقدار (کیلوگرم)]]&lt;0,Main[[#This Row],[تاريخ میلادی]]&gt;44276),Main[[#This Row],[مقدار (کیلوگرم)]],0)</f>
        <v>4551</v>
      </c>
      <c r="N774" s="6">
        <f ca="1">Main[[#This Row],[بدهکار (کیلوگرم)]]-Main[[#This Row],[بدهی تسویه نشده (کیلوگرم)]]</f>
        <v>4551</v>
      </c>
      <c r="O774" s="6">
        <f ca="1">Main[[#This Row],[تفکیک]]</f>
        <v>0</v>
      </c>
      <c r="P774" s="6">
        <f ca="1">IF(Main[[#This Row],[تاخیر از سررسید]]&gt;0,Main[[#This Row],[بدهی تسویه نشده (کیلوگرم)]],0)</f>
        <v>0</v>
      </c>
      <c r="Q774" s="6">
        <f ca="1">IF(Main[[#This Row],[بدهی تسویه نشده (کیلوگرم)]]&gt;0,'گزارش فردی'!$B$7-Main[[#This Row],[تاريخ میلادی]],0)</f>
        <v>0</v>
      </c>
      <c r="R774" s="6">
        <f ca="1">IF(Main[[#This Row],[بدهی تسویه نشده (کیلوگرم)]]&gt;0,'گزارش فردی'!$B$7-Main[[#This Row],[تاريخ میلادی]]-'گزارش فردی'!$B$8,0)</f>
        <v>0</v>
      </c>
      <c r="S774" s="6">
        <f ca="1">Main[[#This Row],[روز از ارسال سفارش]]*Main[[#This Row],[بدهی تسویه نشده (کیلوگرم)]]</f>
        <v>0</v>
      </c>
      <c r="T774" s="6">
        <f ca="1">Main[[#This Row],[بدهی سررسید شده (کیلوگرم)]]*Main[[#This Row],[روز از ارسال سفارش]]</f>
        <v>0</v>
      </c>
      <c r="U774" s="6">
        <f>-SUBTOTAL(9,INDEX(Main[مقدار (کیلوگرم)],1):Main[[#This Row],[مقدار (کیلوگرم)]])</f>
        <v>36589</v>
      </c>
      <c r="V7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4" s="6">
        <f>Main[[#This Row],[تعداد کل روزهای بدهکار (روز)]]*Main[[#This Row],[مانده در خط کل (کیلوگرم)]]</f>
        <v>36589</v>
      </c>
      <c r="X774" s="6">
        <f ca="1">-SUBTOTAL(9,INDEX(Main[مقدار تسویه شده (کیلوگرم)],1):Main[[#This Row],[مقدار تسویه شده (کیلوگرم)]])</f>
        <v>36589</v>
      </c>
      <c r="Y774" s="6">
        <f ca="1">IF(Main[[#This Row],[مانده در خط تسویه شده (کیلوگرم)]]&lt;&gt;0,Main[[#This Row],[تعداد کل روزهای بدهکار (روز)]],0)</f>
        <v>1</v>
      </c>
      <c r="Z774" s="6">
        <f ca="1">Main[[#This Row],[تعداد روزهای بدهکار تسویه شده (روز)]]*Main[[#This Row],[مانده در خط تسویه شده (کیلوگرم)]]</f>
        <v>36589</v>
      </c>
      <c r="AA774" s="6">
        <f ca="1">SUBTOTAL(9,INDEX(Main[بدهی تسویه نشده (کیلوگرم)],1):Main[[#This Row],[بدهی تسویه نشده (کیلوگرم)]])</f>
        <v>0</v>
      </c>
      <c r="AB774" s="6">
        <f ca="1">IF(Main[[#This Row],[مانده در خط تسویه نشده (کیلوگرم)]]&lt;&gt;0,Main[[#This Row],[تعداد کل روزهای بدهکار (روز)]],0)</f>
        <v>0</v>
      </c>
      <c r="AC774" s="6">
        <f ca="1">Main[[#This Row],[تعداد روزهای بدهکار  تسویه نشده (روز)]]*Main[[#This Row],[مانده در خط تسویه نشده (کیلوگرم)]]</f>
        <v>0</v>
      </c>
      <c r="AD774" s="6">
        <f ca="1">SUBTOTAL(9,INDEX(Main[بدهی سررسید شده (کیلوگرم)],1):Main[[#This Row],[بدهی سررسید شده (کیلوگرم)]])</f>
        <v>0</v>
      </c>
      <c r="AE774" s="6">
        <f ca="1">IF(Main[[#This Row],[مانده در خط سررسید شده (کیلوگرم)]]&lt;&gt;0,Main[[#This Row],[تعداد کل روزهای بدهکار (روز)]],0)</f>
        <v>0</v>
      </c>
      <c r="AF774" s="6">
        <f ca="1">Main[[#This Row],[تعداد روزهای بدهکار سررسید شده (روز)]]*Main[[#This Row],[مانده در خط سررسید شده (کیلوگرم)]]</f>
        <v>0</v>
      </c>
    </row>
    <row r="775" spans="1:32" hidden="1" x14ac:dyDescent="0.35">
      <c r="A775" s="5">
        <f>ROW()-ROW(INDEX(Main[ردیف],1))+1</f>
        <v>773</v>
      </c>
      <c r="B775" s="31">
        <f>SUBTOTAL(2,INDEX(Main[ردیف],1):Main[[#This Row],[ردیف]])</f>
        <v>71</v>
      </c>
      <c r="C775" s="32" t="s">
        <v>591</v>
      </c>
      <c r="D775" s="32" t="str">
        <f>_xlfn.CONCAT("14",Main[[#This Row],[تاريخ]])</f>
        <v>1400/03/25</v>
      </c>
      <c r="E775" s="33">
        <v>44362</v>
      </c>
      <c r="F775" s="32">
        <v>30160</v>
      </c>
      <c r="G775" s="5" t="str">
        <f>INDEX(customer[عنوان],MATCH(Main[[#This Row],[کد ردیابی]],customer[کد],0))</f>
        <v>کیان صنعت</v>
      </c>
      <c r="H775">
        <v>136</v>
      </c>
      <c r="I775" s="6">
        <f ca="1">-Main[[#This Row],[بدهی تسویه شده (کیلوگرم)]]+Main[[#This Row],[بستانکار (کیلوگرم)]]</f>
        <v>136</v>
      </c>
      <c r="J775" s="6">
        <f>IF(Main[[#This Row],[مقدار (کیلوگرم)]]&gt;0,Main[[#This Row],[مقدار (کیلوگرم)]],0)</f>
        <v>136</v>
      </c>
      <c r="K775" s="6">
        <f>-IF(Main[[#This Row],[مقدار (کیلوگرم)]]&lt;0,Main[[#This Row],[مقدار (کیلوگرم)]],0)</f>
        <v>0</v>
      </c>
      <c r="L7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5" s="7">
        <f>-IF(AND(Main[[#This Row],[مقدار (کیلوگرم)]]&lt;0,Main[[#This Row],[تاريخ میلادی]]&gt;44276),Main[[#This Row],[مقدار (کیلوگرم)]],0)</f>
        <v>0</v>
      </c>
      <c r="N775" s="6">
        <f ca="1">Main[[#This Row],[بدهکار (کیلوگرم)]]-Main[[#This Row],[بدهی تسویه نشده (کیلوگرم)]]</f>
        <v>0</v>
      </c>
      <c r="O775" s="6">
        <f ca="1">Main[[#This Row],[تفکیک]]</f>
        <v>0</v>
      </c>
      <c r="P775" s="6">
        <f ca="1">IF(Main[[#This Row],[تاخیر از سررسید]]&gt;0,Main[[#This Row],[بدهی تسویه نشده (کیلوگرم)]],0)</f>
        <v>0</v>
      </c>
      <c r="Q775" s="6">
        <f ca="1">IF(Main[[#This Row],[بدهی تسویه نشده (کیلوگرم)]]&gt;0,'گزارش فردی'!$B$7-Main[[#This Row],[تاريخ میلادی]],0)</f>
        <v>0</v>
      </c>
      <c r="R775" s="6">
        <f ca="1">IF(Main[[#This Row],[بدهی تسویه نشده (کیلوگرم)]]&gt;0,'گزارش فردی'!$B$7-Main[[#This Row],[تاريخ میلادی]]-'گزارش فردی'!$B$8,0)</f>
        <v>0</v>
      </c>
      <c r="S775" s="6">
        <f ca="1">Main[[#This Row],[روز از ارسال سفارش]]*Main[[#This Row],[بدهی تسویه نشده (کیلوگرم)]]</f>
        <v>0</v>
      </c>
      <c r="T775" s="6">
        <f ca="1">Main[[#This Row],[بدهی سررسید شده (کیلوگرم)]]*Main[[#This Row],[روز از ارسال سفارش]]</f>
        <v>0</v>
      </c>
      <c r="U775" s="6">
        <f>-SUBTOTAL(9,INDEX(Main[مقدار (کیلوگرم)],1):Main[[#This Row],[مقدار (کیلوگرم)]])</f>
        <v>36589</v>
      </c>
      <c r="V7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5" s="6">
        <f>Main[[#This Row],[تعداد کل روزهای بدهکار (روز)]]*Main[[#This Row],[مانده در خط کل (کیلوگرم)]]</f>
        <v>0</v>
      </c>
      <c r="X775" s="6">
        <f ca="1">-SUBTOTAL(9,INDEX(Main[مقدار تسویه شده (کیلوگرم)],1):Main[[#This Row],[مقدار تسویه شده (کیلوگرم)]])</f>
        <v>36589</v>
      </c>
      <c r="Y775" s="6">
        <f ca="1">IF(Main[[#This Row],[مانده در خط تسویه شده (کیلوگرم)]]&lt;&gt;0,Main[[#This Row],[تعداد کل روزهای بدهکار (روز)]],0)</f>
        <v>0</v>
      </c>
      <c r="Z775" s="6">
        <f ca="1">Main[[#This Row],[تعداد روزهای بدهکار تسویه شده (روز)]]*Main[[#This Row],[مانده در خط تسویه شده (کیلوگرم)]]</f>
        <v>0</v>
      </c>
      <c r="AA775" s="6">
        <f ca="1">SUBTOTAL(9,INDEX(Main[بدهی تسویه نشده (کیلوگرم)],1):Main[[#This Row],[بدهی تسویه نشده (کیلوگرم)]])</f>
        <v>0</v>
      </c>
      <c r="AB775" s="6">
        <f ca="1">IF(Main[[#This Row],[مانده در خط تسویه نشده (کیلوگرم)]]&lt;&gt;0,Main[[#This Row],[تعداد کل روزهای بدهکار (روز)]],0)</f>
        <v>0</v>
      </c>
      <c r="AC775" s="6">
        <f ca="1">Main[[#This Row],[تعداد روزهای بدهکار  تسویه نشده (روز)]]*Main[[#This Row],[مانده در خط تسویه نشده (کیلوگرم)]]</f>
        <v>0</v>
      </c>
      <c r="AD775" s="6">
        <f ca="1">SUBTOTAL(9,INDEX(Main[بدهی سررسید شده (کیلوگرم)],1):Main[[#This Row],[بدهی سررسید شده (کیلوگرم)]])</f>
        <v>0</v>
      </c>
      <c r="AE775" s="6">
        <f ca="1">IF(Main[[#This Row],[مانده در خط سررسید شده (کیلوگرم)]]&lt;&gt;0,Main[[#This Row],[تعداد کل روزهای بدهکار (روز)]],0)</f>
        <v>0</v>
      </c>
      <c r="AF775" s="6">
        <f ca="1">Main[[#This Row],[تعداد روزهای بدهکار سررسید شده (روز)]]*Main[[#This Row],[مانده در خط سررسید شده (کیلوگرم)]]</f>
        <v>0</v>
      </c>
    </row>
    <row r="776" spans="1:32" hidden="1" x14ac:dyDescent="0.35">
      <c r="A776" s="5">
        <f>ROW()-ROW(INDEX(Main[ردیف],1))+1</f>
        <v>774</v>
      </c>
      <c r="B776" s="31">
        <f>SUBTOTAL(2,INDEX(Main[ردیف],1):Main[[#This Row],[ردیف]])</f>
        <v>71</v>
      </c>
      <c r="C776" s="32" t="s">
        <v>591</v>
      </c>
      <c r="D776" s="32" t="str">
        <f>_xlfn.CONCAT("14",Main[[#This Row],[تاريخ]])</f>
        <v>1400/03/25</v>
      </c>
      <c r="E776" s="33">
        <v>44362</v>
      </c>
      <c r="F776" s="32">
        <v>30081</v>
      </c>
      <c r="G776" s="5" t="str">
        <f>INDEX(customer[عنوان],MATCH(Main[[#This Row],[کد ردیابی]],customer[کد],0))</f>
        <v xml:space="preserve">شیرآلات بهداشتی راسان </v>
      </c>
      <c r="H776">
        <v>-3879</v>
      </c>
      <c r="I776" s="6">
        <f ca="1">-Main[[#This Row],[بدهی تسویه شده (کیلوگرم)]]+Main[[#This Row],[بستانکار (کیلوگرم)]]</f>
        <v>-3879</v>
      </c>
      <c r="J776" s="6">
        <f>IF(Main[[#This Row],[مقدار (کیلوگرم)]]&gt;0,Main[[#This Row],[مقدار (کیلوگرم)]],0)</f>
        <v>0</v>
      </c>
      <c r="K776" s="6">
        <f>-IF(Main[[#This Row],[مقدار (کیلوگرم)]]&lt;0,Main[[#This Row],[مقدار (کیلوگرم)]],0)</f>
        <v>3879</v>
      </c>
      <c r="L7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6" s="7">
        <f>-IF(AND(Main[[#This Row],[مقدار (کیلوگرم)]]&lt;0,Main[[#This Row],[تاريخ میلادی]]&gt;44276),Main[[#This Row],[مقدار (کیلوگرم)]],0)</f>
        <v>3879</v>
      </c>
      <c r="N776" s="6">
        <f ca="1">Main[[#This Row],[بدهکار (کیلوگرم)]]-Main[[#This Row],[بدهی تسویه نشده (کیلوگرم)]]</f>
        <v>3879</v>
      </c>
      <c r="O776" s="6">
        <f ca="1">Main[[#This Row],[تفکیک]]</f>
        <v>0</v>
      </c>
      <c r="P776" s="6">
        <f ca="1">IF(Main[[#This Row],[تاخیر از سررسید]]&gt;0,Main[[#This Row],[بدهی تسویه نشده (کیلوگرم)]],0)</f>
        <v>0</v>
      </c>
      <c r="Q776" s="6">
        <f ca="1">IF(Main[[#This Row],[بدهی تسویه نشده (کیلوگرم)]]&gt;0,'گزارش فردی'!$B$7-Main[[#This Row],[تاريخ میلادی]],0)</f>
        <v>0</v>
      </c>
      <c r="R776" s="6">
        <f ca="1">IF(Main[[#This Row],[بدهی تسویه نشده (کیلوگرم)]]&gt;0,'گزارش فردی'!$B$7-Main[[#This Row],[تاريخ میلادی]]-'گزارش فردی'!$B$8,0)</f>
        <v>0</v>
      </c>
      <c r="S776" s="6">
        <f ca="1">Main[[#This Row],[روز از ارسال سفارش]]*Main[[#This Row],[بدهی تسویه نشده (کیلوگرم)]]</f>
        <v>0</v>
      </c>
      <c r="T776" s="6">
        <f ca="1">Main[[#This Row],[بدهی سررسید شده (کیلوگرم)]]*Main[[#This Row],[روز از ارسال سفارش]]</f>
        <v>0</v>
      </c>
      <c r="U776" s="6">
        <f>-SUBTOTAL(9,INDEX(Main[مقدار (کیلوگرم)],1):Main[[#This Row],[مقدار (کیلوگرم)]])</f>
        <v>36589</v>
      </c>
      <c r="V7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6" s="6">
        <f>Main[[#This Row],[تعداد کل روزهای بدهکار (روز)]]*Main[[#This Row],[مانده در خط کل (کیلوگرم)]]</f>
        <v>0</v>
      </c>
      <c r="X776" s="6">
        <f ca="1">-SUBTOTAL(9,INDEX(Main[مقدار تسویه شده (کیلوگرم)],1):Main[[#This Row],[مقدار تسویه شده (کیلوگرم)]])</f>
        <v>36589</v>
      </c>
      <c r="Y776" s="6">
        <f ca="1">IF(Main[[#This Row],[مانده در خط تسویه شده (کیلوگرم)]]&lt;&gt;0,Main[[#This Row],[تعداد کل روزهای بدهکار (روز)]],0)</f>
        <v>0</v>
      </c>
      <c r="Z776" s="6">
        <f ca="1">Main[[#This Row],[تعداد روزهای بدهکار تسویه شده (روز)]]*Main[[#This Row],[مانده در خط تسویه شده (کیلوگرم)]]</f>
        <v>0</v>
      </c>
      <c r="AA776" s="6">
        <f ca="1">SUBTOTAL(9,INDEX(Main[بدهی تسویه نشده (کیلوگرم)],1):Main[[#This Row],[بدهی تسویه نشده (کیلوگرم)]])</f>
        <v>0</v>
      </c>
      <c r="AB776" s="6">
        <f ca="1">IF(Main[[#This Row],[مانده در خط تسویه نشده (کیلوگرم)]]&lt;&gt;0,Main[[#This Row],[تعداد کل روزهای بدهکار (روز)]],0)</f>
        <v>0</v>
      </c>
      <c r="AC776" s="6">
        <f ca="1">Main[[#This Row],[تعداد روزهای بدهکار  تسویه نشده (روز)]]*Main[[#This Row],[مانده در خط تسویه نشده (کیلوگرم)]]</f>
        <v>0</v>
      </c>
      <c r="AD776" s="6">
        <f ca="1">SUBTOTAL(9,INDEX(Main[بدهی سررسید شده (کیلوگرم)],1):Main[[#This Row],[بدهی سررسید شده (کیلوگرم)]])</f>
        <v>0</v>
      </c>
      <c r="AE776" s="6">
        <f ca="1">IF(Main[[#This Row],[مانده در خط سررسید شده (کیلوگرم)]]&lt;&gt;0,Main[[#This Row],[تعداد کل روزهای بدهکار (روز)]],0)</f>
        <v>0</v>
      </c>
      <c r="AF776" s="6">
        <f ca="1">Main[[#This Row],[تعداد روزهای بدهکار سررسید شده (روز)]]*Main[[#This Row],[مانده در خط سررسید شده (کیلوگرم)]]</f>
        <v>0</v>
      </c>
    </row>
    <row r="777" spans="1:32" hidden="1" x14ac:dyDescent="0.35">
      <c r="A777" s="5">
        <f>ROW()-ROW(INDEX(Main[ردیف],1))+1</f>
        <v>775</v>
      </c>
      <c r="B777" s="31">
        <f>SUBTOTAL(2,INDEX(Main[ردیف],1):Main[[#This Row],[ردیف]])</f>
        <v>71</v>
      </c>
      <c r="C777" s="32" t="s">
        <v>591</v>
      </c>
      <c r="D777" s="32" t="str">
        <f>_xlfn.CONCAT("14",Main[[#This Row],[تاريخ]])</f>
        <v>1400/03/25</v>
      </c>
      <c r="E777" s="33">
        <v>44362</v>
      </c>
      <c r="F777" s="32">
        <v>30160</v>
      </c>
      <c r="G777" s="5" t="str">
        <f>INDEX(customer[عنوان],MATCH(Main[[#This Row],[کد ردیابی]],customer[کد],0))</f>
        <v>کیان صنعت</v>
      </c>
      <c r="H777">
        <v>48</v>
      </c>
      <c r="I777" s="6">
        <f ca="1">-Main[[#This Row],[بدهی تسویه شده (کیلوگرم)]]+Main[[#This Row],[بستانکار (کیلوگرم)]]</f>
        <v>48</v>
      </c>
      <c r="J777" s="6">
        <f>IF(Main[[#This Row],[مقدار (کیلوگرم)]]&gt;0,Main[[#This Row],[مقدار (کیلوگرم)]],0)</f>
        <v>48</v>
      </c>
      <c r="K777" s="6">
        <f>-IF(Main[[#This Row],[مقدار (کیلوگرم)]]&lt;0,Main[[#This Row],[مقدار (کیلوگرم)]],0)</f>
        <v>0</v>
      </c>
      <c r="L7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7" s="7">
        <f>-IF(AND(Main[[#This Row],[مقدار (کیلوگرم)]]&lt;0,Main[[#This Row],[تاريخ میلادی]]&gt;44276),Main[[#This Row],[مقدار (کیلوگرم)]],0)</f>
        <v>0</v>
      </c>
      <c r="N777" s="6">
        <f ca="1">Main[[#This Row],[بدهکار (کیلوگرم)]]-Main[[#This Row],[بدهی تسویه نشده (کیلوگرم)]]</f>
        <v>0</v>
      </c>
      <c r="O777" s="6">
        <f ca="1">Main[[#This Row],[تفکیک]]</f>
        <v>0</v>
      </c>
      <c r="P777" s="6">
        <f ca="1">IF(Main[[#This Row],[تاخیر از سررسید]]&gt;0,Main[[#This Row],[بدهی تسویه نشده (کیلوگرم)]],0)</f>
        <v>0</v>
      </c>
      <c r="Q777" s="6">
        <f ca="1">IF(Main[[#This Row],[بدهی تسویه نشده (کیلوگرم)]]&gt;0,'گزارش فردی'!$B$7-Main[[#This Row],[تاريخ میلادی]],0)</f>
        <v>0</v>
      </c>
      <c r="R777" s="6">
        <f ca="1">IF(Main[[#This Row],[بدهی تسویه نشده (کیلوگرم)]]&gt;0,'گزارش فردی'!$B$7-Main[[#This Row],[تاريخ میلادی]]-'گزارش فردی'!$B$8,0)</f>
        <v>0</v>
      </c>
      <c r="S777" s="6">
        <f ca="1">Main[[#This Row],[روز از ارسال سفارش]]*Main[[#This Row],[بدهی تسویه نشده (کیلوگرم)]]</f>
        <v>0</v>
      </c>
      <c r="T777" s="6">
        <f ca="1">Main[[#This Row],[بدهی سررسید شده (کیلوگرم)]]*Main[[#This Row],[روز از ارسال سفارش]]</f>
        <v>0</v>
      </c>
      <c r="U777" s="6">
        <f>-SUBTOTAL(9,INDEX(Main[مقدار (کیلوگرم)],1):Main[[#This Row],[مقدار (کیلوگرم)]])</f>
        <v>36589</v>
      </c>
      <c r="V7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7" s="6">
        <f>Main[[#This Row],[تعداد کل روزهای بدهکار (روز)]]*Main[[#This Row],[مانده در خط کل (کیلوگرم)]]</f>
        <v>0</v>
      </c>
      <c r="X777" s="6">
        <f ca="1">-SUBTOTAL(9,INDEX(Main[مقدار تسویه شده (کیلوگرم)],1):Main[[#This Row],[مقدار تسویه شده (کیلوگرم)]])</f>
        <v>36589</v>
      </c>
      <c r="Y777" s="6">
        <f ca="1">IF(Main[[#This Row],[مانده در خط تسویه شده (کیلوگرم)]]&lt;&gt;0,Main[[#This Row],[تعداد کل روزهای بدهکار (روز)]],0)</f>
        <v>0</v>
      </c>
      <c r="Z777" s="6">
        <f ca="1">Main[[#This Row],[تعداد روزهای بدهکار تسویه شده (روز)]]*Main[[#This Row],[مانده در خط تسویه شده (کیلوگرم)]]</f>
        <v>0</v>
      </c>
      <c r="AA777" s="6">
        <f ca="1">SUBTOTAL(9,INDEX(Main[بدهی تسویه نشده (کیلوگرم)],1):Main[[#This Row],[بدهی تسویه نشده (کیلوگرم)]])</f>
        <v>0</v>
      </c>
      <c r="AB777" s="6">
        <f ca="1">IF(Main[[#This Row],[مانده در خط تسویه نشده (کیلوگرم)]]&lt;&gt;0,Main[[#This Row],[تعداد کل روزهای بدهکار (روز)]],0)</f>
        <v>0</v>
      </c>
      <c r="AC777" s="6">
        <f ca="1">Main[[#This Row],[تعداد روزهای بدهکار  تسویه نشده (روز)]]*Main[[#This Row],[مانده در خط تسویه نشده (کیلوگرم)]]</f>
        <v>0</v>
      </c>
      <c r="AD777" s="6">
        <f ca="1">SUBTOTAL(9,INDEX(Main[بدهی سررسید شده (کیلوگرم)],1):Main[[#This Row],[بدهی سررسید شده (کیلوگرم)]])</f>
        <v>0</v>
      </c>
      <c r="AE777" s="6">
        <f ca="1">IF(Main[[#This Row],[مانده در خط سررسید شده (کیلوگرم)]]&lt;&gt;0,Main[[#This Row],[تعداد کل روزهای بدهکار (روز)]],0)</f>
        <v>0</v>
      </c>
      <c r="AF777" s="6">
        <f ca="1">Main[[#This Row],[تعداد روزهای بدهکار سررسید شده (روز)]]*Main[[#This Row],[مانده در خط سررسید شده (کیلوگرم)]]</f>
        <v>0</v>
      </c>
    </row>
    <row r="778" spans="1:32" hidden="1" x14ac:dyDescent="0.35">
      <c r="A778" s="5">
        <f>ROW()-ROW(INDEX(Main[ردیف],1))+1</f>
        <v>776</v>
      </c>
      <c r="B778" s="31">
        <f>SUBTOTAL(2,INDEX(Main[ردیف],1):Main[[#This Row],[ردیف]])</f>
        <v>71</v>
      </c>
      <c r="C778" s="32" t="s">
        <v>591</v>
      </c>
      <c r="D778" s="32" t="str">
        <f>_xlfn.CONCAT("14",Main[[#This Row],[تاريخ]])</f>
        <v>1400/03/25</v>
      </c>
      <c r="E778" s="33">
        <v>44362</v>
      </c>
      <c r="F778" s="32">
        <v>30066</v>
      </c>
      <c r="G778" s="5" t="str">
        <f>INDEX(customer[عنوان],MATCH(Main[[#This Row],[کد ردیابی]],customer[کد],0))</f>
        <v xml:space="preserve">شیر آلات بهداشتی قهرمان </v>
      </c>
      <c r="H778">
        <v>-999</v>
      </c>
      <c r="I778" s="6">
        <f ca="1">-Main[[#This Row],[بدهی تسویه شده (کیلوگرم)]]+Main[[#This Row],[بستانکار (کیلوگرم)]]</f>
        <v>-999</v>
      </c>
      <c r="J778" s="6">
        <f>IF(Main[[#This Row],[مقدار (کیلوگرم)]]&gt;0,Main[[#This Row],[مقدار (کیلوگرم)]],0)</f>
        <v>0</v>
      </c>
      <c r="K778" s="6">
        <f>-IF(Main[[#This Row],[مقدار (کیلوگرم)]]&lt;0,Main[[#This Row],[مقدار (کیلوگرم)]],0)</f>
        <v>999</v>
      </c>
      <c r="L7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8" s="7">
        <f>-IF(AND(Main[[#This Row],[مقدار (کیلوگرم)]]&lt;0,Main[[#This Row],[تاريخ میلادی]]&gt;44276),Main[[#This Row],[مقدار (کیلوگرم)]],0)</f>
        <v>999</v>
      </c>
      <c r="N778" s="6">
        <f ca="1">Main[[#This Row],[بدهکار (کیلوگرم)]]-Main[[#This Row],[بدهی تسویه نشده (کیلوگرم)]]</f>
        <v>999</v>
      </c>
      <c r="O778" s="6">
        <f ca="1">Main[[#This Row],[تفکیک]]</f>
        <v>0</v>
      </c>
      <c r="P778" s="6">
        <f ca="1">IF(Main[[#This Row],[تاخیر از سررسید]]&gt;0,Main[[#This Row],[بدهی تسویه نشده (کیلوگرم)]],0)</f>
        <v>0</v>
      </c>
      <c r="Q778" s="6">
        <f ca="1">IF(Main[[#This Row],[بدهی تسویه نشده (کیلوگرم)]]&gt;0,'گزارش فردی'!$B$7-Main[[#This Row],[تاريخ میلادی]],0)</f>
        <v>0</v>
      </c>
      <c r="R778" s="6">
        <f ca="1">IF(Main[[#This Row],[بدهی تسویه نشده (کیلوگرم)]]&gt;0,'گزارش فردی'!$B$7-Main[[#This Row],[تاريخ میلادی]]-'گزارش فردی'!$B$8,0)</f>
        <v>0</v>
      </c>
      <c r="S778" s="6">
        <f ca="1">Main[[#This Row],[روز از ارسال سفارش]]*Main[[#This Row],[بدهی تسویه نشده (کیلوگرم)]]</f>
        <v>0</v>
      </c>
      <c r="T778" s="6">
        <f ca="1">Main[[#This Row],[بدهی سررسید شده (کیلوگرم)]]*Main[[#This Row],[روز از ارسال سفارش]]</f>
        <v>0</v>
      </c>
      <c r="U778" s="6">
        <f>-SUBTOTAL(9,INDEX(Main[مقدار (کیلوگرم)],1):Main[[#This Row],[مقدار (کیلوگرم)]])</f>
        <v>36589</v>
      </c>
      <c r="V7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8" s="6">
        <f>Main[[#This Row],[تعداد کل روزهای بدهکار (روز)]]*Main[[#This Row],[مانده در خط کل (کیلوگرم)]]</f>
        <v>0</v>
      </c>
      <c r="X778" s="6">
        <f ca="1">-SUBTOTAL(9,INDEX(Main[مقدار تسویه شده (کیلوگرم)],1):Main[[#This Row],[مقدار تسویه شده (کیلوگرم)]])</f>
        <v>36589</v>
      </c>
      <c r="Y778" s="6">
        <f ca="1">IF(Main[[#This Row],[مانده در خط تسویه شده (کیلوگرم)]]&lt;&gt;0,Main[[#This Row],[تعداد کل روزهای بدهکار (روز)]],0)</f>
        <v>0</v>
      </c>
      <c r="Z778" s="6">
        <f ca="1">Main[[#This Row],[تعداد روزهای بدهکار تسویه شده (روز)]]*Main[[#This Row],[مانده در خط تسویه شده (کیلوگرم)]]</f>
        <v>0</v>
      </c>
      <c r="AA778" s="6">
        <f ca="1">SUBTOTAL(9,INDEX(Main[بدهی تسویه نشده (کیلوگرم)],1):Main[[#This Row],[بدهی تسویه نشده (کیلوگرم)]])</f>
        <v>0</v>
      </c>
      <c r="AB778" s="6">
        <f ca="1">IF(Main[[#This Row],[مانده در خط تسویه نشده (کیلوگرم)]]&lt;&gt;0,Main[[#This Row],[تعداد کل روزهای بدهکار (روز)]],0)</f>
        <v>0</v>
      </c>
      <c r="AC778" s="6">
        <f ca="1">Main[[#This Row],[تعداد روزهای بدهکار  تسویه نشده (روز)]]*Main[[#This Row],[مانده در خط تسویه نشده (کیلوگرم)]]</f>
        <v>0</v>
      </c>
      <c r="AD778" s="6">
        <f ca="1">SUBTOTAL(9,INDEX(Main[بدهی سررسید شده (کیلوگرم)],1):Main[[#This Row],[بدهی سررسید شده (کیلوگرم)]])</f>
        <v>0</v>
      </c>
      <c r="AE778" s="6">
        <f ca="1">IF(Main[[#This Row],[مانده در خط سررسید شده (کیلوگرم)]]&lt;&gt;0,Main[[#This Row],[تعداد کل روزهای بدهکار (روز)]],0)</f>
        <v>0</v>
      </c>
      <c r="AF778" s="6">
        <f ca="1">Main[[#This Row],[تعداد روزهای بدهکار سررسید شده (روز)]]*Main[[#This Row],[مانده در خط سررسید شده (کیلوگرم)]]</f>
        <v>0</v>
      </c>
    </row>
    <row r="779" spans="1:32" hidden="1" x14ac:dyDescent="0.35">
      <c r="A779" s="5">
        <f>ROW()-ROW(INDEX(Main[ردیف],1))+1</f>
        <v>777</v>
      </c>
      <c r="B779" s="31">
        <f>SUBTOTAL(2,INDEX(Main[ردیف],1):Main[[#This Row],[ردیف]])</f>
        <v>71</v>
      </c>
      <c r="C779" s="32" t="s">
        <v>591</v>
      </c>
      <c r="D779" s="32" t="str">
        <f>_xlfn.CONCAT("14",Main[[#This Row],[تاريخ]])</f>
        <v>1400/03/25</v>
      </c>
      <c r="E779" s="33">
        <v>44362</v>
      </c>
      <c r="F779" s="32">
        <v>10055</v>
      </c>
      <c r="G779" s="5" t="str">
        <f>INDEX(customer[عنوان],MATCH(Main[[#This Row],[کد ردیابی]],customer[کد],0))</f>
        <v xml:space="preserve">مریم فیض آبادی  </v>
      </c>
      <c r="H779">
        <v>4541</v>
      </c>
      <c r="I779" s="6">
        <f ca="1">-Main[[#This Row],[بدهی تسویه شده (کیلوگرم)]]+Main[[#This Row],[بستانکار (کیلوگرم)]]</f>
        <v>4541</v>
      </c>
      <c r="J779" s="6">
        <f>IF(Main[[#This Row],[مقدار (کیلوگرم)]]&gt;0,Main[[#This Row],[مقدار (کیلوگرم)]],0)</f>
        <v>4541</v>
      </c>
      <c r="K779" s="6">
        <f>-IF(Main[[#This Row],[مقدار (کیلوگرم)]]&lt;0,Main[[#This Row],[مقدار (کیلوگرم)]],0)</f>
        <v>0</v>
      </c>
      <c r="L7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9" s="7">
        <f>-IF(AND(Main[[#This Row],[مقدار (کیلوگرم)]]&lt;0,Main[[#This Row],[تاريخ میلادی]]&gt;44276),Main[[#This Row],[مقدار (کیلوگرم)]],0)</f>
        <v>0</v>
      </c>
      <c r="N779" s="6">
        <f ca="1">Main[[#This Row],[بدهکار (کیلوگرم)]]-Main[[#This Row],[بدهی تسویه نشده (کیلوگرم)]]</f>
        <v>0</v>
      </c>
      <c r="O779" s="6">
        <f ca="1">Main[[#This Row],[تفکیک]]</f>
        <v>0</v>
      </c>
      <c r="P779" s="6">
        <f ca="1">IF(Main[[#This Row],[تاخیر از سررسید]]&gt;0,Main[[#This Row],[بدهی تسویه نشده (کیلوگرم)]],0)</f>
        <v>0</v>
      </c>
      <c r="Q779" s="6">
        <f ca="1">IF(Main[[#This Row],[بدهی تسویه نشده (کیلوگرم)]]&gt;0,'گزارش فردی'!$B$7-Main[[#This Row],[تاريخ میلادی]],0)</f>
        <v>0</v>
      </c>
      <c r="R779" s="6">
        <f ca="1">IF(Main[[#This Row],[بدهی تسویه نشده (کیلوگرم)]]&gt;0,'گزارش فردی'!$B$7-Main[[#This Row],[تاريخ میلادی]]-'گزارش فردی'!$B$8,0)</f>
        <v>0</v>
      </c>
      <c r="S779" s="6">
        <f ca="1">Main[[#This Row],[روز از ارسال سفارش]]*Main[[#This Row],[بدهی تسویه نشده (کیلوگرم)]]</f>
        <v>0</v>
      </c>
      <c r="T779" s="6">
        <f ca="1">Main[[#This Row],[بدهی سررسید شده (کیلوگرم)]]*Main[[#This Row],[روز از ارسال سفارش]]</f>
        <v>0</v>
      </c>
      <c r="U779" s="6">
        <f>-SUBTOTAL(9,INDEX(Main[مقدار (کیلوگرم)],1):Main[[#This Row],[مقدار (کیلوگرم)]])</f>
        <v>36589</v>
      </c>
      <c r="V7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9" s="6">
        <f>Main[[#This Row],[تعداد کل روزهای بدهکار (روز)]]*Main[[#This Row],[مانده در خط کل (کیلوگرم)]]</f>
        <v>0</v>
      </c>
      <c r="X779" s="6">
        <f ca="1">-SUBTOTAL(9,INDEX(Main[مقدار تسویه شده (کیلوگرم)],1):Main[[#This Row],[مقدار تسویه شده (کیلوگرم)]])</f>
        <v>36589</v>
      </c>
      <c r="Y779" s="6">
        <f ca="1">IF(Main[[#This Row],[مانده در خط تسویه شده (کیلوگرم)]]&lt;&gt;0,Main[[#This Row],[تعداد کل روزهای بدهکار (روز)]],0)</f>
        <v>0</v>
      </c>
      <c r="Z779" s="6">
        <f ca="1">Main[[#This Row],[تعداد روزهای بدهکار تسویه شده (روز)]]*Main[[#This Row],[مانده در خط تسویه شده (کیلوگرم)]]</f>
        <v>0</v>
      </c>
      <c r="AA779" s="6">
        <f ca="1">SUBTOTAL(9,INDEX(Main[بدهی تسویه نشده (کیلوگرم)],1):Main[[#This Row],[بدهی تسویه نشده (کیلوگرم)]])</f>
        <v>0</v>
      </c>
      <c r="AB779" s="6">
        <f ca="1">IF(Main[[#This Row],[مانده در خط تسویه نشده (کیلوگرم)]]&lt;&gt;0,Main[[#This Row],[تعداد کل روزهای بدهکار (روز)]],0)</f>
        <v>0</v>
      </c>
      <c r="AC779" s="6">
        <f ca="1">Main[[#This Row],[تعداد روزهای بدهکار  تسویه نشده (روز)]]*Main[[#This Row],[مانده در خط تسویه نشده (کیلوگرم)]]</f>
        <v>0</v>
      </c>
      <c r="AD779" s="6">
        <f ca="1">SUBTOTAL(9,INDEX(Main[بدهی سررسید شده (کیلوگرم)],1):Main[[#This Row],[بدهی سررسید شده (کیلوگرم)]])</f>
        <v>0</v>
      </c>
      <c r="AE779" s="6">
        <f ca="1">IF(Main[[#This Row],[مانده در خط سررسید شده (کیلوگرم)]]&lt;&gt;0,Main[[#This Row],[تعداد کل روزهای بدهکار (روز)]],0)</f>
        <v>0</v>
      </c>
      <c r="AF779" s="6">
        <f ca="1">Main[[#This Row],[تعداد روزهای بدهکار سررسید شده (روز)]]*Main[[#This Row],[مانده در خط سررسید شده (کیلوگرم)]]</f>
        <v>0</v>
      </c>
    </row>
    <row r="780" spans="1:32" hidden="1" x14ac:dyDescent="0.35">
      <c r="A780" s="5">
        <f>ROW()-ROW(INDEX(Main[ردیف],1))+1</f>
        <v>778</v>
      </c>
      <c r="B780" s="31">
        <f>SUBTOTAL(2,INDEX(Main[ردیف],1):Main[[#This Row],[ردیف]])</f>
        <v>71</v>
      </c>
      <c r="C780" s="32" t="s">
        <v>591</v>
      </c>
      <c r="D780" s="32" t="str">
        <f>_xlfn.CONCAT("14",Main[[#This Row],[تاريخ]])</f>
        <v>1400/03/25</v>
      </c>
      <c r="E780" s="33">
        <v>44362</v>
      </c>
      <c r="F780" s="32">
        <v>30066</v>
      </c>
      <c r="G780" s="5" t="str">
        <f>INDEX(customer[عنوان],MATCH(Main[[#This Row],[کد ردیابی]],customer[کد],0))</f>
        <v xml:space="preserve">شیر آلات بهداشتی قهرمان </v>
      </c>
      <c r="H780">
        <v>-3843</v>
      </c>
      <c r="I780" s="6">
        <f ca="1">-Main[[#This Row],[بدهی تسویه شده (کیلوگرم)]]+Main[[#This Row],[بستانکار (کیلوگرم)]]</f>
        <v>-3843</v>
      </c>
      <c r="J780" s="6">
        <f>IF(Main[[#This Row],[مقدار (کیلوگرم)]]&gt;0,Main[[#This Row],[مقدار (کیلوگرم)]],0)</f>
        <v>0</v>
      </c>
      <c r="K780" s="6">
        <f>-IF(Main[[#This Row],[مقدار (کیلوگرم)]]&lt;0,Main[[#This Row],[مقدار (کیلوگرم)]],0)</f>
        <v>3843</v>
      </c>
      <c r="L7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0" s="7">
        <f>-IF(AND(Main[[#This Row],[مقدار (کیلوگرم)]]&lt;0,Main[[#This Row],[تاريخ میلادی]]&gt;44276),Main[[#This Row],[مقدار (کیلوگرم)]],0)</f>
        <v>3843</v>
      </c>
      <c r="N780" s="6">
        <f ca="1">Main[[#This Row],[بدهکار (کیلوگرم)]]-Main[[#This Row],[بدهی تسویه نشده (کیلوگرم)]]</f>
        <v>3843</v>
      </c>
      <c r="O780" s="6">
        <f ca="1">Main[[#This Row],[تفکیک]]</f>
        <v>0</v>
      </c>
      <c r="P780" s="6">
        <f ca="1">IF(Main[[#This Row],[تاخیر از سررسید]]&gt;0,Main[[#This Row],[بدهی تسویه نشده (کیلوگرم)]],0)</f>
        <v>0</v>
      </c>
      <c r="Q780" s="6">
        <f ca="1">IF(Main[[#This Row],[بدهی تسویه نشده (کیلوگرم)]]&gt;0,'گزارش فردی'!$B$7-Main[[#This Row],[تاريخ میلادی]],0)</f>
        <v>0</v>
      </c>
      <c r="R780" s="6">
        <f ca="1">IF(Main[[#This Row],[بدهی تسویه نشده (کیلوگرم)]]&gt;0,'گزارش فردی'!$B$7-Main[[#This Row],[تاريخ میلادی]]-'گزارش فردی'!$B$8,0)</f>
        <v>0</v>
      </c>
      <c r="S780" s="6">
        <f ca="1">Main[[#This Row],[روز از ارسال سفارش]]*Main[[#This Row],[بدهی تسویه نشده (کیلوگرم)]]</f>
        <v>0</v>
      </c>
      <c r="T780" s="6">
        <f ca="1">Main[[#This Row],[بدهی سررسید شده (کیلوگرم)]]*Main[[#This Row],[روز از ارسال سفارش]]</f>
        <v>0</v>
      </c>
      <c r="U780" s="6">
        <f>-SUBTOTAL(9,INDEX(Main[مقدار (کیلوگرم)],1):Main[[#This Row],[مقدار (کیلوگرم)]])</f>
        <v>36589</v>
      </c>
      <c r="V7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0" s="6">
        <f>Main[[#This Row],[تعداد کل روزهای بدهکار (روز)]]*Main[[#This Row],[مانده در خط کل (کیلوگرم)]]</f>
        <v>0</v>
      </c>
      <c r="X780" s="6">
        <f ca="1">-SUBTOTAL(9,INDEX(Main[مقدار تسویه شده (کیلوگرم)],1):Main[[#This Row],[مقدار تسویه شده (کیلوگرم)]])</f>
        <v>36589</v>
      </c>
      <c r="Y780" s="6">
        <f ca="1">IF(Main[[#This Row],[مانده در خط تسویه شده (کیلوگرم)]]&lt;&gt;0,Main[[#This Row],[تعداد کل روزهای بدهکار (روز)]],0)</f>
        <v>0</v>
      </c>
      <c r="Z780" s="6">
        <f ca="1">Main[[#This Row],[تعداد روزهای بدهکار تسویه شده (روز)]]*Main[[#This Row],[مانده در خط تسویه شده (کیلوگرم)]]</f>
        <v>0</v>
      </c>
      <c r="AA780" s="6">
        <f ca="1">SUBTOTAL(9,INDEX(Main[بدهی تسویه نشده (کیلوگرم)],1):Main[[#This Row],[بدهی تسویه نشده (کیلوگرم)]])</f>
        <v>0</v>
      </c>
      <c r="AB780" s="6">
        <f ca="1">IF(Main[[#This Row],[مانده در خط تسویه نشده (کیلوگرم)]]&lt;&gt;0,Main[[#This Row],[تعداد کل روزهای بدهکار (روز)]],0)</f>
        <v>0</v>
      </c>
      <c r="AC780" s="6">
        <f ca="1">Main[[#This Row],[تعداد روزهای بدهکار  تسویه نشده (روز)]]*Main[[#This Row],[مانده در خط تسویه نشده (کیلوگرم)]]</f>
        <v>0</v>
      </c>
      <c r="AD780" s="6">
        <f ca="1">SUBTOTAL(9,INDEX(Main[بدهی سررسید شده (کیلوگرم)],1):Main[[#This Row],[بدهی سررسید شده (کیلوگرم)]])</f>
        <v>0</v>
      </c>
      <c r="AE780" s="6">
        <f ca="1">IF(Main[[#This Row],[مانده در خط سررسید شده (کیلوگرم)]]&lt;&gt;0,Main[[#This Row],[تعداد کل روزهای بدهکار (روز)]],0)</f>
        <v>0</v>
      </c>
      <c r="AF780" s="6">
        <f ca="1">Main[[#This Row],[تعداد روزهای بدهکار سررسید شده (روز)]]*Main[[#This Row],[مانده در خط سررسید شده (کیلوگرم)]]</f>
        <v>0</v>
      </c>
    </row>
    <row r="781" spans="1:32" hidden="1" x14ac:dyDescent="0.35">
      <c r="A781" s="5">
        <f>ROW()-ROW(INDEX(Main[ردیف],1))+1</f>
        <v>779</v>
      </c>
      <c r="B781" s="31">
        <f>SUBTOTAL(2,INDEX(Main[ردیف],1):Main[[#This Row],[ردیف]])</f>
        <v>71</v>
      </c>
      <c r="C781" s="32" t="s">
        <v>591</v>
      </c>
      <c r="D781" s="32" t="str">
        <f>_xlfn.CONCAT("14",Main[[#This Row],[تاريخ]])</f>
        <v>1400/03/25</v>
      </c>
      <c r="E781" s="33">
        <v>44362</v>
      </c>
      <c r="F781" s="32">
        <v>10026</v>
      </c>
      <c r="G781" s="5" t="str">
        <f>INDEX(customer[عنوان],MATCH(Main[[#This Row],[کد ردیابی]],customer[کد],0))</f>
        <v xml:space="preserve">محسن فیاض بخش </v>
      </c>
      <c r="H781">
        <v>7481</v>
      </c>
      <c r="I781" s="6">
        <f ca="1">-Main[[#This Row],[بدهی تسویه شده (کیلوگرم)]]+Main[[#This Row],[بستانکار (کیلوگرم)]]</f>
        <v>7481</v>
      </c>
      <c r="J781" s="6">
        <f>IF(Main[[#This Row],[مقدار (کیلوگرم)]]&gt;0,Main[[#This Row],[مقدار (کیلوگرم)]],0)</f>
        <v>7481</v>
      </c>
      <c r="K781" s="6">
        <f>-IF(Main[[#This Row],[مقدار (کیلوگرم)]]&lt;0,Main[[#This Row],[مقدار (کیلوگرم)]],0)</f>
        <v>0</v>
      </c>
      <c r="L7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1" s="7">
        <f>-IF(AND(Main[[#This Row],[مقدار (کیلوگرم)]]&lt;0,Main[[#This Row],[تاريخ میلادی]]&gt;44276),Main[[#This Row],[مقدار (کیلوگرم)]],0)</f>
        <v>0</v>
      </c>
      <c r="N781" s="6">
        <f ca="1">Main[[#This Row],[بدهکار (کیلوگرم)]]-Main[[#This Row],[بدهی تسویه نشده (کیلوگرم)]]</f>
        <v>0</v>
      </c>
      <c r="O781" s="6">
        <f ca="1">Main[[#This Row],[تفکیک]]</f>
        <v>0</v>
      </c>
      <c r="P781" s="6">
        <f ca="1">IF(Main[[#This Row],[تاخیر از سررسید]]&gt;0,Main[[#This Row],[بدهی تسویه نشده (کیلوگرم)]],0)</f>
        <v>0</v>
      </c>
      <c r="Q781" s="6">
        <f ca="1">IF(Main[[#This Row],[بدهی تسویه نشده (کیلوگرم)]]&gt;0,'گزارش فردی'!$B$7-Main[[#This Row],[تاريخ میلادی]],0)</f>
        <v>0</v>
      </c>
      <c r="R781" s="6">
        <f ca="1">IF(Main[[#This Row],[بدهی تسویه نشده (کیلوگرم)]]&gt;0,'گزارش فردی'!$B$7-Main[[#This Row],[تاريخ میلادی]]-'گزارش فردی'!$B$8,0)</f>
        <v>0</v>
      </c>
      <c r="S781" s="6">
        <f ca="1">Main[[#This Row],[روز از ارسال سفارش]]*Main[[#This Row],[بدهی تسویه نشده (کیلوگرم)]]</f>
        <v>0</v>
      </c>
      <c r="T781" s="6">
        <f ca="1">Main[[#This Row],[بدهی سررسید شده (کیلوگرم)]]*Main[[#This Row],[روز از ارسال سفارش]]</f>
        <v>0</v>
      </c>
      <c r="U781" s="6">
        <f>-SUBTOTAL(9,INDEX(Main[مقدار (کیلوگرم)],1):Main[[#This Row],[مقدار (کیلوگرم)]])</f>
        <v>36589</v>
      </c>
      <c r="V7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1" s="6">
        <f>Main[[#This Row],[تعداد کل روزهای بدهکار (روز)]]*Main[[#This Row],[مانده در خط کل (کیلوگرم)]]</f>
        <v>0</v>
      </c>
      <c r="X781" s="6">
        <f ca="1">-SUBTOTAL(9,INDEX(Main[مقدار تسویه شده (کیلوگرم)],1):Main[[#This Row],[مقدار تسویه شده (کیلوگرم)]])</f>
        <v>36589</v>
      </c>
      <c r="Y781" s="6">
        <f ca="1">IF(Main[[#This Row],[مانده در خط تسویه شده (کیلوگرم)]]&lt;&gt;0,Main[[#This Row],[تعداد کل روزهای بدهکار (روز)]],0)</f>
        <v>0</v>
      </c>
      <c r="Z781" s="6">
        <f ca="1">Main[[#This Row],[تعداد روزهای بدهکار تسویه شده (روز)]]*Main[[#This Row],[مانده در خط تسویه شده (کیلوگرم)]]</f>
        <v>0</v>
      </c>
      <c r="AA781" s="6">
        <f ca="1">SUBTOTAL(9,INDEX(Main[بدهی تسویه نشده (کیلوگرم)],1):Main[[#This Row],[بدهی تسویه نشده (کیلوگرم)]])</f>
        <v>0</v>
      </c>
      <c r="AB781" s="6">
        <f ca="1">IF(Main[[#This Row],[مانده در خط تسویه نشده (کیلوگرم)]]&lt;&gt;0,Main[[#This Row],[تعداد کل روزهای بدهکار (روز)]],0)</f>
        <v>0</v>
      </c>
      <c r="AC781" s="6">
        <f ca="1">Main[[#This Row],[تعداد روزهای بدهکار  تسویه نشده (روز)]]*Main[[#This Row],[مانده در خط تسویه نشده (کیلوگرم)]]</f>
        <v>0</v>
      </c>
      <c r="AD781" s="6">
        <f ca="1">SUBTOTAL(9,INDEX(Main[بدهی سررسید شده (کیلوگرم)],1):Main[[#This Row],[بدهی سررسید شده (کیلوگرم)]])</f>
        <v>0</v>
      </c>
      <c r="AE781" s="6">
        <f ca="1">IF(Main[[#This Row],[مانده در خط سررسید شده (کیلوگرم)]]&lt;&gt;0,Main[[#This Row],[تعداد کل روزهای بدهکار (روز)]],0)</f>
        <v>0</v>
      </c>
      <c r="AF781" s="6">
        <f ca="1">Main[[#This Row],[تعداد روزهای بدهکار سررسید شده (روز)]]*Main[[#This Row],[مانده در خط سررسید شده (کیلوگرم)]]</f>
        <v>0</v>
      </c>
    </row>
    <row r="782" spans="1:32" hidden="1" x14ac:dyDescent="0.35">
      <c r="A782" s="5">
        <f>ROW()-ROW(INDEX(Main[ردیف],1))+1</f>
        <v>780</v>
      </c>
      <c r="B782" s="31">
        <f>SUBTOTAL(2,INDEX(Main[ردیف],1):Main[[#This Row],[ردیف]])</f>
        <v>71</v>
      </c>
      <c r="C782" s="32" t="s">
        <v>591</v>
      </c>
      <c r="D782" s="32" t="str">
        <f>_xlfn.CONCAT("14",Main[[#This Row],[تاريخ]])</f>
        <v>1400/03/25</v>
      </c>
      <c r="E782" s="33">
        <v>44362</v>
      </c>
      <c r="F782" s="32">
        <v>30160</v>
      </c>
      <c r="G782" s="5" t="str">
        <f>INDEX(customer[عنوان],MATCH(Main[[#This Row],[کد ردیابی]],customer[کد],0))</f>
        <v>کیان صنعت</v>
      </c>
      <c r="H782">
        <v>-252</v>
      </c>
      <c r="I782" s="6">
        <f ca="1">-Main[[#This Row],[بدهی تسویه شده (کیلوگرم)]]+Main[[#This Row],[بستانکار (کیلوگرم)]]</f>
        <v>-252</v>
      </c>
      <c r="J782" s="6">
        <f>IF(Main[[#This Row],[مقدار (کیلوگرم)]]&gt;0,Main[[#This Row],[مقدار (کیلوگرم)]],0)</f>
        <v>0</v>
      </c>
      <c r="K782" s="6">
        <f>-IF(Main[[#This Row],[مقدار (کیلوگرم)]]&lt;0,Main[[#This Row],[مقدار (کیلوگرم)]],0)</f>
        <v>252</v>
      </c>
      <c r="L7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2" s="7">
        <f>-IF(AND(Main[[#This Row],[مقدار (کیلوگرم)]]&lt;0,Main[[#This Row],[تاريخ میلادی]]&gt;44276),Main[[#This Row],[مقدار (کیلوگرم)]],0)</f>
        <v>252</v>
      </c>
      <c r="N782" s="6">
        <f ca="1">Main[[#This Row],[بدهکار (کیلوگرم)]]-Main[[#This Row],[بدهی تسویه نشده (کیلوگرم)]]</f>
        <v>252</v>
      </c>
      <c r="O782" s="6">
        <f ca="1">Main[[#This Row],[تفکیک]]</f>
        <v>0</v>
      </c>
      <c r="P782" s="6">
        <f ca="1">IF(Main[[#This Row],[تاخیر از سررسید]]&gt;0,Main[[#This Row],[بدهی تسویه نشده (کیلوگرم)]],0)</f>
        <v>0</v>
      </c>
      <c r="Q782" s="6">
        <f ca="1">IF(Main[[#This Row],[بدهی تسویه نشده (کیلوگرم)]]&gt;0,'گزارش فردی'!$B$7-Main[[#This Row],[تاريخ میلادی]],0)</f>
        <v>0</v>
      </c>
      <c r="R782" s="6">
        <f ca="1">IF(Main[[#This Row],[بدهی تسویه نشده (کیلوگرم)]]&gt;0,'گزارش فردی'!$B$7-Main[[#This Row],[تاريخ میلادی]]-'گزارش فردی'!$B$8,0)</f>
        <v>0</v>
      </c>
      <c r="S782" s="6">
        <f ca="1">Main[[#This Row],[روز از ارسال سفارش]]*Main[[#This Row],[بدهی تسویه نشده (کیلوگرم)]]</f>
        <v>0</v>
      </c>
      <c r="T782" s="6">
        <f ca="1">Main[[#This Row],[بدهی سررسید شده (کیلوگرم)]]*Main[[#This Row],[روز از ارسال سفارش]]</f>
        <v>0</v>
      </c>
      <c r="U782" s="6">
        <f>-SUBTOTAL(9,INDEX(Main[مقدار (کیلوگرم)],1):Main[[#This Row],[مقدار (کیلوگرم)]])</f>
        <v>36589</v>
      </c>
      <c r="V7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2" s="6">
        <f>Main[[#This Row],[تعداد کل روزهای بدهکار (روز)]]*Main[[#This Row],[مانده در خط کل (کیلوگرم)]]</f>
        <v>0</v>
      </c>
      <c r="X782" s="6">
        <f ca="1">-SUBTOTAL(9,INDEX(Main[مقدار تسویه شده (کیلوگرم)],1):Main[[#This Row],[مقدار تسویه شده (کیلوگرم)]])</f>
        <v>36589</v>
      </c>
      <c r="Y782" s="6">
        <f ca="1">IF(Main[[#This Row],[مانده در خط تسویه شده (کیلوگرم)]]&lt;&gt;0,Main[[#This Row],[تعداد کل روزهای بدهکار (روز)]],0)</f>
        <v>0</v>
      </c>
      <c r="Z782" s="6">
        <f ca="1">Main[[#This Row],[تعداد روزهای بدهکار تسویه شده (روز)]]*Main[[#This Row],[مانده در خط تسویه شده (کیلوگرم)]]</f>
        <v>0</v>
      </c>
      <c r="AA782" s="6">
        <f ca="1">SUBTOTAL(9,INDEX(Main[بدهی تسویه نشده (کیلوگرم)],1):Main[[#This Row],[بدهی تسویه نشده (کیلوگرم)]])</f>
        <v>0</v>
      </c>
      <c r="AB782" s="6">
        <f ca="1">IF(Main[[#This Row],[مانده در خط تسویه نشده (کیلوگرم)]]&lt;&gt;0,Main[[#This Row],[تعداد کل روزهای بدهکار (روز)]],0)</f>
        <v>0</v>
      </c>
      <c r="AC782" s="6">
        <f ca="1">Main[[#This Row],[تعداد روزهای بدهکار  تسویه نشده (روز)]]*Main[[#This Row],[مانده در خط تسویه نشده (کیلوگرم)]]</f>
        <v>0</v>
      </c>
      <c r="AD782" s="6">
        <f ca="1">SUBTOTAL(9,INDEX(Main[بدهی سررسید شده (کیلوگرم)],1):Main[[#This Row],[بدهی سررسید شده (کیلوگرم)]])</f>
        <v>0</v>
      </c>
      <c r="AE782" s="6">
        <f ca="1">IF(Main[[#This Row],[مانده در خط سررسید شده (کیلوگرم)]]&lt;&gt;0,Main[[#This Row],[تعداد کل روزهای بدهکار (روز)]],0)</f>
        <v>0</v>
      </c>
      <c r="AF782" s="6">
        <f ca="1">Main[[#This Row],[تعداد روزهای بدهکار سررسید شده (روز)]]*Main[[#This Row],[مانده در خط سررسید شده (کیلوگرم)]]</f>
        <v>0</v>
      </c>
    </row>
    <row r="783" spans="1:32" x14ac:dyDescent="0.35">
      <c r="A783" s="5">
        <f>ROW()-ROW(INDEX(Main[ردیف],1))+1</f>
        <v>781</v>
      </c>
      <c r="B783" s="31">
        <f>SUBTOTAL(2,INDEX(Main[ردیف],1):Main[[#This Row],[ردیف]])</f>
        <v>72</v>
      </c>
      <c r="C783" s="32" t="s">
        <v>591</v>
      </c>
      <c r="D783" s="32" t="str">
        <f>_xlfn.CONCAT("14",Main[[#This Row],[تاريخ]])</f>
        <v>1400/03/25</v>
      </c>
      <c r="E783" s="33">
        <v>44362</v>
      </c>
      <c r="F783" s="32">
        <v>10003</v>
      </c>
      <c r="G783" s="5" t="str">
        <f>INDEX(customer[عنوان],MATCH(Main[[#This Row],[کد ردیابی]],customer[کد],0))</f>
        <v>اصغر نورعلی</v>
      </c>
      <c r="H783">
        <v>2199</v>
      </c>
      <c r="I783" s="6">
        <f ca="1">-Main[[#This Row],[بدهی تسویه شده (کیلوگرم)]]+Main[[#This Row],[بستانکار (کیلوگرم)]]</f>
        <v>2199</v>
      </c>
      <c r="J783" s="6">
        <f>IF(Main[[#This Row],[مقدار (کیلوگرم)]]&gt;0,Main[[#This Row],[مقدار (کیلوگرم)]],0)</f>
        <v>2199</v>
      </c>
      <c r="K783" s="6">
        <f>-IF(Main[[#This Row],[مقدار (کیلوگرم)]]&lt;0,Main[[#This Row],[مقدار (کیلوگرم)]],0)</f>
        <v>0</v>
      </c>
      <c r="L7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3" s="7">
        <f>-IF(AND(Main[[#This Row],[مقدار (کیلوگرم)]]&lt;0,Main[[#This Row],[تاريخ میلادی]]&gt;44276),Main[[#This Row],[مقدار (کیلوگرم)]],0)</f>
        <v>0</v>
      </c>
      <c r="N783" s="6">
        <f ca="1">Main[[#This Row],[بدهکار (کیلوگرم)]]-Main[[#This Row],[بدهی تسویه نشده (کیلوگرم)]]</f>
        <v>0</v>
      </c>
      <c r="O783" s="6">
        <f ca="1">Main[[#This Row],[تفکیک]]</f>
        <v>0</v>
      </c>
      <c r="P783" s="6">
        <f ca="1">IF(Main[[#This Row],[تاخیر از سررسید]]&gt;0,Main[[#This Row],[بدهی تسویه نشده (کیلوگرم)]],0)</f>
        <v>0</v>
      </c>
      <c r="Q783" s="6">
        <f ca="1">IF(Main[[#This Row],[بدهی تسویه نشده (کیلوگرم)]]&gt;0,'گزارش فردی'!$B$7-Main[[#This Row],[تاريخ میلادی]],0)</f>
        <v>0</v>
      </c>
      <c r="R783" s="6">
        <f ca="1">IF(Main[[#This Row],[بدهی تسویه نشده (کیلوگرم)]]&gt;0,'گزارش فردی'!$B$7-Main[[#This Row],[تاريخ میلادی]]-'گزارش فردی'!$B$8,0)</f>
        <v>0</v>
      </c>
      <c r="S783" s="6">
        <f ca="1">Main[[#This Row],[روز از ارسال سفارش]]*Main[[#This Row],[بدهی تسویه نشده (کیلوگرم)]]</f>
        <v>0</v>
      </c>
      <c r="T783" s="6">
        <f ca="1">Main[[#This Row],[بدهی سررسید شده (کیلوگرم)]]*Main[[#This Row],[روز از ارسال سفارش]]</f>
        <v>0</v>
      </c>
      <c r="U783" s="6">
        <f>-SUBTOTAL(9,INDEX(Main[مقدار (کیلوگرم)],1):Main[[#This Row],[مقدار (کیلوگرم)]])</f>
        <v>34390</v>
      </c>
      <c r="V7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3" s="6">
        <f>Main[[#This Row],[تعداد کل روزهای بدهکار (روز)]]*Main[[#This Row],[مانده در خط کل (کیلوگرم)]]</f>
        <v>0</v>
      </c>
      <c r="X783" s="6">
        <f ca="1">-SUBTOTAL(9,INDEX(Main[مقدار تسویه شده (کیلوگرم)],1):Main[[#This Row],[مقدار تسویه شده (کیلوگرم)]])</f>
        <v>34390</v>
      </c>
      <c r="Y783" s="6">
        <f ca="1">IF(Main[[#This Row],[مانده در خط تسویه شده (کیلوگرم)]]&lt;&gt;0,Main[[#This Row],[تعداد کل روزهای بدهکار (روز)]],0)</f>
        <v>0</v>
      </c>
      <c r="Z783" s="6">
        <f ca="1">Main[[#This Row],[تعداد روزهای بدهکار تسویه شده (روز)]]*Main[[#This Row],[مانده در خط تسویه شده (کیلوگرم)]]</f>
        <v>0</v>
      </c>
      <c r="AA783" s="6">
        <f ca="1">SUBTOTAL(9,INDEX(Main[بدهی تسویه نشده (کیلوگرم)],1):Main[[#This Row],[بدهی تسویه نشده (کیلوگرم)]])</f>
        <v>0</v>
      </c>
      <c r="AB783" s="6">
        <f ca="1">IF(Main[[#This Row],[مانده در خط تسویه نشده (کیلوگرم)]]&lt;&gt;0,Main[[#This Row],[تعداد کل روزهای بدهکار (روز)]],0)</f>
        <v>0</v>
      </c>
      <c r="AC783" s="6">
        <f ca="1">Main[[#This Row],[تعداد روزهای بدهکار  تسویه نشده (روز)]]*Main[[#This Row],[مانده در خط تسویه نشده (کیلوگرم)]]</f>
        <v>0</v>
      </c>
      <c r="AD783" s="6">
        <f ca="1">SUBTOTAL(9,INDEX(Main[بدهی سررسید شده (کیلوگرم)],1):Main[[#This Row],[بدهی سررسید شده (کیلوگرم)]])</f>
        <v>0</v>
      </c>
      <c r="AE783" s="6">
        <f ca="1">IF(Main[[#This Row],[مانده در خط سررسید شده (کیلوگرم)]]&lt;&gt;0,Main[[#This Row],[تعداد کل روزهای بدهکار (روز)]],0)</f>
        <v>0</v>
      </c>
      <c r="AF783" s="6">
        <f ca="1">Main[[#This Row],[تعداد روزهای بدهکار سررسید شده (روز)]]*Main[[#This Row],[مانده در خط سررسید شده (کیلوگرم)]]</f>
        <v>0</v>
      </c>
    </row>
    <row r="784" spans="1:32" hidden="1" x14ac:dyDescent="0.35">
      <c r="A784" s="5">
        <f>ROW()-ROW(INDEX(Main[ردیف],1))+1</f>
        <v>782</v>
      </c>
      <c r="B784" s="31">
        <f>SUBTOTAL(2,INDEX(Main[ردیف],1):Main[[#This Row],[ردیف]])</f>
        <v>72</v>
      </c>
      <c r="C784" s="32" t="s">
        <v>591</v>
      </c>
      <c r="D784" s="32" t="str">
        <f>_xlfn.CONCAT("14",Main[[#This Row],[تاريخ]])</f>
        <v>1400/03/25</v>
      </c>
      <c r="E784" s="33">
        <v>44362</v>
      </c>
      <c r="F784" s="32">
        <v>10026</v>
      </c>
      <c r="G784" s="5" t="str">
        <f>INDEX(customer[عنوان],MATCH(Main[[#This Row],[کد ردیابی]],customer[کد],0))</f>
        <v xml:space="preserve">محسن فیاض بخش </v>
      </c>
      <c r="H784">
        <v>-2052</v>
      </c>
      <c r="I784" s="6">
        <f ca="1">-Main[[#This Row],[بدهی تسویه شده (کیلوگرم)]]+Main[[#This Row],[بستانکار (کیلوگرم)]]</f>
        <v>-2052</v>
      </c>
      <c r="J784" s="6">
        <f>IF(Main[[#This Row],[مقدار (کیلوگرم)]]&gt;0,Main[[#This Row],[مقدار (کیلوگرم)]],0)</f>
        <v>0</v>
      </c>
      <c r="K784" s="6">
        <f>-IF(Main[[#This Row],[مقدار (کیلوگرم)]]&lt;0,Main[[#This Row],[مقدار (کیلوگرم)]],0)</f>
        <v>2052</v>
      </c>
      <c r="L7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4" s="7">
        <f>-IF(AND(Main[[#This Row],[مقدار (کیلوگرم)]]&lt;0,Main[[#This Row],[تاريخ میلادی]]&gt;44276),Main[[#This Row],[مقدار (کیلوگرم)]],0)</f>
        <v>2052</v>
      </c>
      <c r="N784" s="6">
        <f ca="1">Main[[#This Row],[بدهکار (کیلوگرم)]]-Main[[#This Row],[بدهی تسویه نشده (کیلوگرم)]]</f>
        <v>2052</v>
      </c>
      <c r="O784" s="6">
        <f ca="1">Main[[#This Row],[تفکیک]]</f>
        <v>0</v>
      </c>
      <c r="P784" s="6">
        <f ca="1">IF(Main[[#This Row],[تاخیر از سررسید]]&gt;0,Main[[#This Row],[بدهی تسویه نشده (کیلوگرم)]],0)</f>
        <v>0</v>
      </c>
      <c r="Q784" s="6">
        <f ca="1">IF(Main[[#This Row],[بدهی تسویه نشده (کیلوگرم)]]&gt;0,'گزارش فردی'!$B$7-Main[[#This Row],[تاريخ میلادی]],0)</f>
        <v>0</v>
      </c>
      <c r="R784" s="6">
        <f ca="1">IF(Main[[#This Row],[بدهی تسویه نشده (کیلوگرم)]]&gt;0,'گزارش فردی'!$B$7-Main[[#This Row],[تاريخ میلادی]]-'گزارش فردی'!$B$8,0)</f>
        <v>0</v>
      </c>
      <c r="S784" s="6">
        <f ca="1">Main[[#This Row],[روز از ارسال سفارش]]*Main[[#This Row],[بدهی تسویه نشده (کیلوگرم)]]</f>
        <v>0</v>
      </c>
      <c r="T784" s="6">
        <f ca="1">Main[[#This Row],[بدهی سررسید شده (کیلوگرم)]]*Main[[#This Row],[روز از ارسال سفارش]]</f>
        <v>0</v>
      </c>
      <c r="U784" s="6">
        <f>-SUBTOTAL(9,INDEX(Main[مقدار (کیلوگرم)],1):Main[[#This Row],[مقدار (کیلوگرم)]])</f>
        <v>34390</v>
      </c>
      <c r="V7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4" s="6">
        <f>Main[[#This Row],[تعداد کل روزهای بدهکار (روز)]]*Main[[#This Row],[مانده در خط کل (کیلوگرم)]]</f>
        <v>0</v>
      </c>
      <c r="X784" s="6">
        <f ca="1">-SUBTOTAL(9,INDEX(Main[مقدار تسویه شده (کیلوگرم)],1):Main[[#This Row],[مقدار تسویه شده (کیلوگرم)]])</f>
        <v>34390</v>
      </c>
      <c r="Y784" s="6">
        <f ca="1">IF(Main[[#This Row],[مانده در خط تسویه شده (کیلوگرم)]]&lt;&gt;0,Main[[#This Row],[تعداد کل روزهای بدهکار (روز)]],0)</f>
        <v>0</v>
      </c>
      <c r="Z784" s="6">
        <f ca="1">Main[[#This Row],[تعداد روزهای بدهکار تسویه شده (روز)]]*Main[[#This Row],[مانده در خط تسویه شده (کیلوگرم)]]</f>
        <v>0</v>
      </c>
      <c r="AA784" s="6">
        <f ca="1">SUBTOTAL(9,INDEX(Main[بدهی تسویه نشده (کیلوگرم)],1):Main[[#This Row],[بدهی تسویه نشده (کیلوگرم)]])</f>
        <v>0</v>
      </c>
      <c r="AB784" s="6">
        <f ca="1">IF(Main[[#This Row],[مانده در خط تسویه نشده (کیلوگرم)]]&lt;&gt;0,Main[[#This Row],[تعداد کل روزهای بدهکار (روز)]],0)</f>
        <v>0</v>
      </c>
      <c r="AC784" s="6">
        <f ca="1">Main[[#This Row],[تعداد روزهای بدهکار  تسویه نشده (روز)]]*Main[[#This Row],[مانده در خط تسویه نشده (کیلوگرم)]]</f>
        <v>0</v>
      </c>
      <c r="AD784" s="6">
        <f ca="1">SUBTOTAL(9,INDEX(Main[بدهی سررسید شده (کیلوگرم)],1):Main[[#This Row],[بدهی سررسید شده (کیلوگرم)]])</f>
        <v>0</v>
      </c>
      <c r="AE784" s="6">
        <f ca="1">IF(Main[[#This Row],[مانده در خط سررسید شده (کیلوگرم)]]&lt;&gt;0,Main[[#This Row],[تعداد کل روزهای بدهکار (روز)]],0)</f>
        <v>0</v>
      </c>
      <c r="AF784" s="6">
        <f ca="1">Main[[#This Row],[تعداد روزهای بدهکار سررسید شده (روز)]]*Main[[#This Row],[مانده در خط سررسید شده (کیلوگرم)]]</f>
        <v>0</v>
      </c>
    </row>
    <row r="785" spans="1:32" hidden="1" x14ac:dyDescent="0.35">
      <c r="A785" s="5">
        <f>ROW()-ROW(INDEX(Main[ردیف],1))+1</f>
        <v>783</v>
      </c>
      <c r="B785" s="31">
        <f>SUBTOTAL(2,INDEX(Main[ردیف],1):Main[[#This Row],[ردیف]])</f>
        <v>72</v>
      </c>
      <c r="C785" s="32" t="s">
        <v>591</v>
      </c>
      <c r="D785" s="32" t="str">
        <f>_xlfn.CONCAT("14",Main[[#This Row],[تاريخ]])</f>
        <v>1400/03/25</v>
      </c>
      <c r="E785" s="33">
        <v>44362</v>
      </c>
      <c r="F785" s="32">
        <v>10027</v>
      </c>
      <c r="G785" s="5" t="str">
        <f>INDEX(customer[عنوان],MATCH(Main[[#This Row],[کد ردیابی]],customer[کد],0))</f>
        <v xml:space="preserve">مصطفی نورعلی </v>
      </c>
      <c r="H785">
        <v>3230</v>
      </c>
      <c r="I785" s="6">
        <f ca="1">-Main[[#This Row],[بدهی تسویه شده (کیلوگرم)]]+Main[[#This Row],[بستانکار (کیلوگرم)]]</f>
        <v>3230</v>
      </c>
      <c r="J785" s="6">
        <f>IF(Main[[#This Row],[مقدار (کیلوگرم)]]&gt;0,Main[[#This Row],[مقدار (کیلوگرم)]],0)</f>
        <v>3230</v>
      </c>
      <c r="K785" s="6">
        <f>-IF(Main[[#This Row],[مقدار (کیلوگرم)]]&lt;0,Main[[#This Row],[مقدار (کیلوگرم)]],0)</f>
        <v>0</v>
      </c>
      <c r="L7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5" s="7">
        <f>-IF(AND(Main[[#This Row],[مقدار (کیلوگرم)]]&lt;0,Main[[#This Row],[تاريخ میلادی]]&gt;44276),Main[[#This Row],[مقدار (کیلوگرم)]],0)</f>
        <v>0</v>
      </c>
      <c r="N785" s="6">
        <f ca="1">Main[[#This Row],[بدهکار (کیلوگرم)]]-Main[[#This Row],[بدهی تسویه نشده (کیلوگرم)]]</f>
        <v>0</v>
      </c>
      <c r="O785" s="6">
        <f ca="1">Main[[#This Row],[تفکیک]]</f>
        <v>0</v>
      </c>
      <c r="P785" s="6">
        <f ca="1">IF(Main[[#This Row],[تاخیر از سررسید]]&gt;0,Main[[#This Row],[بدهی تسویه نشده (کیلوگرم)]],0)</f>
        <v>0</v>
      </c>
      <c r="Q785" s="6">
        <f ca="1">IF(Main[[#This Row],[بدهی تسویه نشده (کیلوگرم)]]&gt;0,'گزارش فردی'!$B$7-Main[[#This Row],[تاريخ میلادی]],0)</f>
        <v>0</v>
      </c>
      <c r="R785" s="6">
        <f ca="1">IF(Main[[#This Row],[بدهی تسویه نشده (کیلوگرم)]]&gt;0,'گزارش فردی'!$B$7-Main[[#This Row],[تاريخ میلادی]]-'گزارش فردی'!$B$8,0)</f>
        <v>0</v>
      </c>
      <c r="S785" s="6">
        <f ca="1">Main[[#This Row],[روز از ارسال سفارش]]*Main[[#This Row],[بدهی تسویه نشده (کیلوگرم)]]</f>
        <v>0</v>
      </c>
      <c r="T785" s="6">
        <f ca="1">Main[[#This Row],[بدهی سررسید شده (کیلوگرم)]]*Main[[#This Row],[روز از ارسال سفارش]]</f>
        <v>0</v>
      </c>
      <c r="U785" s="6">
        <f>-SUBTOTAL(9,INDEX(Main[مقدار (کیلوگرم)],1):Main[[#This Row],[مقدار (کیلوگرم)]])</f>
        <v>34390</v>
      </c>
      <c r="V7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5" s="6">
        <f>Main[[#This Row],[تعداد کل روزهای بدهکار (روز)]]*Main[[#This Row],[مانده در خط کل (کیلوگرم)]]</f>
        <v>0</v>
      </c>
      <c r="X785" s="6">
        <f ca="1">-SUBTOTAL(9,INDEX(Main[مقدار تسویه شده (کیلوگرم)],1):Main[[#This Row],[مقدار تسویه شده (کیلوگرم)]])</f>
        <v>34390</v>
      </c>
      <c r="Y785" s="6">
        <f ca="1">IF(Main[[#This Row],[مانده در خط تسویه شده (کیلوگرم)]]&lt;&gt;0,Main[[#This Row],[تعداد کل روزهای بدهکار (روز)]],0)</f>
        <v>0</v>
      </c>
      <c r="Z785" s="6">
        <f ca="1">Main[[#This Row],[تعداد روزهای بدهکار تسویه شده (روز)]]*Main[[#This Row],[مانده در خط تسویه شده (کیلوگرم)]]</f>
        <v>0</v>
      </c>
      <c r="AA785" s="6">
        <f ca="1">SUBTOTAL(9,INDEX(Main[بدهی تسویه نشده (کیلوگرم)],1):Main[[#This Row],[بدهی تسویه نشده (کیلوگرم)]])</f>
        <v>0</v>
      </c>
      <c r="AB785" s="6">
        <f ca="1">IF(Main[[#This Row],[مانده در خط تسویه نشده (کیلوگرم)]]&lt;&gt;0,Main[[#This Row],[تعداد کل روزهای بدهکار (روز)]],0)</f>
        <v>0</v>
      </c>
      <c r="AC785" s="6">
        <f ca="1">Main[[#This Row],[تعداد روزهای بدهکار  تسویه نشده (روز)]]*Main[[#This Row],[مانده در خط تسویه نشده (کیلوگرم)]]</f>
        <v>0</v>
      </c>
      <c r="AD785" s="6">
        <f ca="1">SUBTOTAL(9,INDEX(Main[بدهی سررسید شده (کیلوگرم)],1):Main[[#This Row],[بدهی سررسید شده (کیلوگرم)]])</f>
        <v>0</v>
      </c>
      <c r="AE785" s="6">
        <f ca="1">IF(Main[[#This Row],[مانده در خط سررسید شده (کیلوگرم)]]&lt;&gt;0,Main[[#This Row],[تعداد کل روزهای بدهکار (روز)]],0)</f>
        <v>0</v>
      </c>
      <c r="AF785" s="6">
        <f ca="1">Main[[#This Row],[تعداد روزهای بدهکار سررسید شده (روز)]]*Main[[#This Row],[مانده در خط سررسید شده (کیلوگرم)]]</f>
        <v>0</v>
      </c>
    </row>
    <row r="786" spans="1:32" x14ac:dyDescent="0.35">
      <c r="A786" s="5">
        <f>ROW()-ROW(INDEX(Main[ردیف],1))+1</f>
        <v>784</v>
      </c>
      <c r="B786" s="31">
        <f>SUBTOTAL(2,INDEX(Main[ردیف],1):Main[[#This Row],[ردیف]])</f>
        <v>73</v>
      </c>
      <c r="C786" s="32" t="s">
        <v>591</v>
      </c>
      <c r="D786" s="32" t="str">
        <f>_xlfn.CONCAT("14",Main[[#This Row],[تاريخ]])</f>
        <v>1400/03/25</v>
      </c>
      <c r="E786" s="33">
        <v>44362</v>
      </c>
      <c r="F786" s="32">
        <v>10003</v>
      </c>
      <c r="G786" s="5" t="str">
        <f>INDEX(customer[عنوان],MATCH(Main[[#This Row],[کد ردیابی]],customer[کد],0))</f>
        <v>اصغر نورعلی</v>
      </c>
      <c r="H786">
        <v>-537</v>
      </c>
      <c r="I786" s="6">
        <f ca="1">-Main[[#This Row],[بدهی تسویه شده (کیلوگرم)]]+Main[[#This Row],[بستانکار (کیلوگرم)]]</f>
        <v>-537</v>
      </c>
      <c r="J786" s="6">
        <f>IF(Main[[#This Row],[مقدار (کیلوگرم)]]&gt;0,Main[[#This Row],[مقدار (کیلوگرم)]],0)</f>
        <v>0</v>
      </c>
      <c r="K786" s="6">
        <f>-IF(Main[[#This Row],[مقدار (کیلوگرم)]]&lt;0,Main[[#This Row],[مقدار (کیلوگرم)]],0)</f>
        <v>537</v>
      </c>
      <c r="L7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6" s="7">
        <f>-IF(AND(Main[[#This Row],[مقدار (کیلوگرم)]]&lt;0,Main[[#This Row],[تاريخ میلادی]]&gt;44276),Main[[#This Row],[مقدار (کیلوگرم)]],0)</f>
        <v>537</v>
      </c>
      <c r="N786" s="6">
        <f ca="1">Main[[#This Row],[بدهکار (کیلوگرم)]]-Main[[#This Row],[بدهی تسویه نشده (کیلوگرم)]]</f>
        <v>537</v>
      </c>
      <c r="O786" s="6">
        <f ca="1">Main[[#This Row],[تفکیک]]</f>
        <v>0</v>
      </c>
      <c r="P786" s="6">
        <f ca="1">IF(Main[[#This Row],[تاخیر از سررسید]]&gt;0,Main[[#This Row],[بدهی تسویه نشده (کیلوگرم)]],0)</f>
        <v>0</v>
      </c>
      <c r="Q786" s="6">
        <f ca="1">IF(Main[[#This Row],[بدهی تسویه نشده (کیلوگرم)]]&gt;0,'گزارش فردی'!$B$7-Main[[#This Row],[تاريخ میلادی]],0)</f>
        <v>0</v>
      </c>
      <c r="R786" s="6">
        <f ca="1">IF(Main[[#This Row],[بدهی تسویه نشده (کیلوگرم)]]&gt;0,'گزارش فردی'!$B$7-Main[[#This Row],[تاريخ میلادی]]-'گزارش فردی'!$B$8,0)</f>
        <v>0</v>
      </c>
      <c r="S786" s="6">
        <f ca="1">Main[[#This Row],[روز از ارسال سفارش]]*Main[[#This Row],[بدهی تسویه نشده (کیلوگرم)]]</f>
        <v>0</v>
      </c>
      <c r="T786" s="6">
        <f ca="1">Main[[#This Row],[بدهی سررسید شده (کیلوگرم)]]*Main[[#This Row],[روز از ارسال سفارش]]</f>
        <v>0</v>
      </c>
      <c r="U786" s="6">
        <f>-SUBTOTAL(9,INDEX(Main[مقدار (کیلوگرم)],1):Main[[#This Row],[مقدار (کیلوگرم)]])</f>
        <v>34927</v>
      </c>
      <c r="V7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6" s="6">
        <f>Main[[#This Row],[تعداد کل روزهای بدهکار (روز)]]*Main[[#This Row],[مانده در خط کل (کیلوگرم)]]</f>
        <v>0</v>
      </c>
      <c r="X786" s="6">
        <f ca="1">-SUBTOTAL(9,INDEX(Main[مقدار تسویه شده (کیلوگرم)],1):Main[[#This Row],[مقدار تسویه شده (کیلوگرم)]])</f>
        <v>34927</v>
      </c>
      <c r="Y786" s="6">
        <f ca="1">IF(Main[[#This Row],[مانده در خط تسویه شده (کیلوگرم)]]&lt;&gt;0,Main[[#This Row],[تعداد کل روزهای بدهکار (روز)]],0)</f>
        <v>0</v>
      </c>
      <c r="Z786" s="6">
        <f ca="1">Main[[#This Row],[تعداد روزهای بدهکار تسویه شده (روز)]]*Main[[#This Row],[مانده در خط تسویه شده (کیلوگرم)]]</f>
        <v>0</v>
      </c>
      <c r="AA786" s="6">
        <f ca="1">SUBTOTAL(9,INDEX(Main[بدهی تسویه نشده (کیلوگرم)],1):Main[[#This Row],[بدهی تسویه نشده (کیلوگرم)]])</f>
        <v>0</v>
      </c>
      <c r="AB786" s="6">
        <f ca="1">IF(Main[[#This Row],[مانده در خط تسویه نشده (کیلوگرم)]]&lt;&gt;0,Main[[#This Row],[تعداد کل روزهای بدهکار (روز)]],0)</f>
        <v>0</v>
      </c>
      <c r="AC786" s="6">
        <f ca="1">Main[[#This Row],[تعداد روزهای بدهکار  تسویه نشده (روز)]]*Main[[#This Row],[مانده در خط تسویه نشده (کیلوگرم)]]</f>
        <v>0</v>
      </c>
      <c r="AD786" s="6">
        <f ca="1">SUBTOTAL(9,INDEX(Main[بدهی سررسید شده (کیلوگرم)],1):Main[[#This Row],[بدهی سررسید شده (کیلوگرم)]])</f>
        <v>0</v>
      </c>
      <c r="AE786" s="6">
        <f ca="1">IF(Main[[#This Row],[مانده در خط سررسید شده (کیلوگرم)]]&lt;&gt;0,Main[[#This Row],[تعداد کل روزهای بدهکار (روز)]],0)</f>
        <v>0</v>
      </c>
      <c r="AF786" s="6">
        <f ca="1">Main[[#This Row],[تعداد روزهای بدهکار سررسید شده (روز)]]*Main[[#This Row],[مانده در خط سررسید شده (کیلوگرم)]]</f>
        <v>0</v>
      </c>
    </row>
    <row r="787" spans="1:32" hidden="1" x14ac:dyDescent="0.35">
      <c r="A787" s="5">
        <f>ROW()-ROW(INDEX(Main[ردیف],1))+1</f>
        <v>785</v>
      </c>
      <c r="B787" s="31">
        <f>SUBTOTAL(2,INDEX(Main[ردیف],1):Main[[#This Row],[ردیف]])</f>
        <v>73</v>
      </c>
      <c r="C787" s="32" t="s">
        <v>591</v>
      </c>
      <c r="D787" s="32" t="str">
        <f>_xlfn.CONCAT("14",Main[[#This Row],[تاريخ]])</f>
        <v>1400/03/25</v>
      </c>
      <c r="E787" s="33">
        <v>44362</v>
      </c>
      <c r="F787" s="32">
        <v>30190</v>
      </c>
      <c r="G787" s="5" t="str">
        <f>INDEX(customer[عنوان],MATCH(Main[[#This Row],[کد ردیابی]],customer[کد],0))</f>
        <v>ایران طلق</v>
      </c>
      <c r="H787">
        <v>359</v>
      </c>
      <c r="I787" s="6">
        <f ca="1">-Main[[#This Row],[بدهی تسویه شده (کیلوگرم)]]+Main[[#This Row],[بستانکار (کیلوگرم)]]</f>
        <v>359</v>
      </c>
      <c r="J787" s="6">
        <f>IF(Main[[#This Row],[مقدار (کیلوگرم)]]&gt;0,Main[[#This Row],[مقدار (کیلوگرم)]],0)</f>
        <v>359</v>
      </c>
      <c r="K787" s="6">
        <f>-IF(Main[[#This Row],[مقدار (کیلوگرم)]]&lt;0,Main[[#This Row],[مقدار (کیلوگرم)]],0)</f>
        <v>0</v>
      </c>
      <c r="L7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7" s="7">
        <f>-IF(AND(Main[[#This Row],[مقدار (کیلوگرم)]]&lt;0,Main[[#This Row],[تاريخ میلادی]]&gt;44276),Main[[#This Row],[مقدار (کیلوگرم)]],0)</f>
        <v>0</v>
      </c>
      <c r="N787" s="6">
        <f ca="1">Main[[#This Row],[بدهکار (کیلوگرم)]]-Main[[#This Row],[بدهی تسویه نشده (کیلوگرم)]]</f>
        <v>0</v>
      </c>
      <c r="O787" s="6">
        <f ca="1">Main[[#This Row],[تفکیک]]</f>
        <v>0</v>
      </c>
      <c r="P787" s="6">
        <f ca="1">IF(Main[[#This Row],[تاخیر از سررسید]]&gt;0,Main[[#This Row],[بدهی تسویه نشده (کیلوگرم)]],0)</f>
        <v>0</v>
      </c>
      <c r="Q787" s="6">
        <f ca="1">IF(Main[[#This Row],[بدهی تسویه نشده (کیلوگرم)]]&gt;0,'گزارش فردی'!$B$7-Main[[#This Row],[تاريخ میلادی]],0)</f>
        <v>0</v>
      </c>
      <c r="R787" s="6">
        <f ca="1">IF(Main[[#This Row],[بدهی تسویه نشده (کیلوگرم)]]&gt;0,'گزارش فردی'!$B$7-Main[[#This Row],[تاريخ میلادی]]-'گزارش فردی'!$B$8,0)</f>
        <v>0</v>
      </c>
      <c r="S787" s="6">
        <f ca="1">Main[[#This Row],[روز از ارسال سفارش]]*Main[[#This Row],[بدهی تسویه نشده (کیلوگرم)]]</f>
        <v>0</v>
      </c>
      <c r="T787" s="6">
        <f ca="1">Main[[#This Row],[بدهی سررسید شده (کیلوگرم)]]*Main[[#This Row],[روز از ارسال سفارش]]</f>
        <v>0</v>
      </c>
      <c r="U787" s="6">
        <f>-SUBTOTAL(9,INDEX(Main[مقدار (کیلوگرم)],1):Main[[#This Row],[مقدار (کیلوگرم)]])</f>
        <v>34927</v>
      </c>
      <c r="V7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7" s="6">
        <f>Main[[#This Row],[تعداد کل روزهای بدهکار (روز)]]*Main[[#This Row],[مانده در خط کل (کیلوگرم)]]</f>
        <v>0</v>
      </c>
      <c r="X787" s="6">
        <f ca="1">-SUBTOTAL(9,INDEX(Main[مقدار تسویه شده (کیلوگرم)],1):Main[[#This Row],[مقدار تسویه شده (کیلوگرم)]])</f>
        <v>34927</v>
      </c>
      <c r="Y787" s="6">
        <f ca="1">IF(Main[[#This Row],[مانده در خط تسویه شده (کیلوگرم)]]&lt;&gt;0,Main[[#This Row],[تعداد کل روزهای بدهکار (روز)]],0)</f>
        <v>0</v>
      </c>
      <c r="Z787" s="6">
        <f ca="1">Main[[#This Row],[تعداد روزهای بدهکار تسویه شده (روز)]]*Main[[#This Row],[مانده در خط تسویه شده (کیلوگرم)]]</f>
        <v>0</v>
      </c>
      <c r="AA787" s="6">
        <f ca="1">SUBTOTAL(9,INDEX(Main[بدهی تسویه نشده (کیلوگرم)],1):Main[[#This Row],[بدهی تسویه نشده (کیلوگرم)]])</f>
        <v>0</v>
      </c>
      <c r="AB787" s="6">
        <f ca="1">IF(Main[[#This Row],[مانده در خط تسویه نشده (کیلوگرم)]]&lt;&gt;0,Main[[#This Row],[تعداد کل روزهای بدهکار (روز)]],0)</f>
        <v>0</v>
      </c>
      <c r="AC787" s="6">
        <f ca="1">Main[[#This Row],[تعداد روزهای بدهکار  تسویه نشده (روز)]]*Main[[#This Row],[مانده در خط تسویه نشده (کیلوگرم)]]</f>
        <v>0</v>
      </c>
      <c r="AD787" s="6">
        <f ca="1">SUBTOTAL(9,INDEX(Main[بدهی سررسید شده (کیلوگرم)],1):Main[[#This Row],[بدهی سررسید شده (کیلوگرم)]])</f>
        <v>0</v>
      </c>
      <c r="AE787" s="6">
        <f ca="1">IF(Main[[#This Row],[مانده در خط سررسید شده (کیلوگرم)]]&lt;&gt;0,Main[[#This Row],[تعداد کل روزهای بدهکار (روز)]],0)</f>
        <v>0</v>
      </c>
      <c r="AF787" s="6">
        <f ca="1">Main[[#This Row],[تعداد روزهای بدهکار سررسید شده (روز)]]*Main[[#This Row],[مانده در خط سررسید شده (کیلوگرم)]]</f>
        <v>0</v>
      </c>
    </row>
    <row r="788" spans="1:32" hidden="1" x14ac:dyDescent="0.35">
      <c r="A788" s="5">
        <f>ROW()-ROW(INDEX(Main[ردیف],1))+1</f>
        <v>786</v>
      </c>
      <c r="B788" s="31">
        <f>SUBTOTAL(2,INDEX(Main[ردیف],1):Main[[#This Row],[ردیف]])</f>
        <v>73</v>
      </c>
      <c r="C788" s="32" t="s">
        <v>591</v>
      </c>
      <c r="D788" s="32" t="str">
        <f>_xlfn.CONCAT("14",Main[[#This Row],[تاريخ]])</f>
        <v>1400/03/25</v>
      </c>
      <c r="E788" s="33">
        <v>44362</v>
      </c>
      <c r="F788" s="32">
        <v>10070</v>
      </c>
      <c r="G788" s="5" t="str">
        <f>INDEX(customer[عنوان],MATCH(Main[[#This Row],[کد ردیابی]],customer[کد],0))</f>
        <v xml:space="preserve">حمیدرضا شفیعی </v>
      </c>
      <c r="H788">
        <v>-404</v>
      </c>
      <c r="I788" s="6">
        <f ca="1">-Main[[#This Row],[بدهی تسویه شده (کیلوگرم)]]+Main[[#This Row],[بستانکار (کیلوگرم)]]</f>
        <v>-404</v>
      </c>
      <c r="J788" s="6">
        <f>IF(Main[[#This Row],[مقدار (کیلوگرم)]]&gt;0,Main[[#This Row],[مقدار (کیلوگرم)]],0)</f>
        <v>0</v>
      </c>
      <c r="K788" s="6">
        <f>-IF(Main[[#This Row],[مقدار (کیلوگرم)]]&lt;0,Main[[#This Row],[مقدار (کیلوگرم)]],0)</f>
        <v>404</v>
      </c>
      <c r="L7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8" s="7">
        <f>-IF(AND(Main[[#This Row],[مقدار (کیلوگرم)]]&lt;0,Main[[#This Row],[تاريخ میلادی]]&gt;44276),Main[[#This Row],[مقدار (کیلوگرم)]],0)</f>
        <v>404</v>
      </c>
      <c r="N788" s="6">
        <f ca="1">Main[[#This Row],[بدهکار (کیلوگرم)]]-Main[[#This Row],[بدهی تسویه نشده (کیلوگرم)]]</f>
        <v>404</v>
      </c>
      <c r="O788" s="6">
        <f ca="1">Main[[#This Row],[تفکیک]]</f>
        <v>0</v>
      </c>
      <c r="P788" s="6">
        <f ca="1">IF(Main[[#This Row],[تاخیر از سررسید]]&gt;0,Main[[#This Row],[بدهی تسویه نشده (کیلوگرم)]],0)</f>
        <v>0</v>
      </c>
      <c r="Q788" s="6">
        <f ca="1">IF(Main[[#This Row],[بدهی تسویه نشده (کیلوگرم)]]&gt;0,'گزارش فردی'!$B$7-Main[[#This Row],[تاريخ میلادی]],0)</f>
        <v>0</v>
      </c>
      <c r="R788" s="6">
        <f ca="1">IF(Main[[#This Row],[بدهی تسویه نشده (کیلوگرم)]]&gt;0,'گزارش فردی'!$B$7-Main[[#This Row],[تاريخ میلادی]]-'گزارش فردی'!$B$8,0)</f>
        <v>0</v>
      </c>
      <c r="S788" s="6">
        <f ca="1">Main[[#This Row],[روز از ارسال سفارش]]*Main[[#This Row],[بدهی تسویه نشده (کیلوگرم)]]</f>
        <v>0</v>
      </c>
      <c r="T788" s="6">
        <f ca="1">Main[[#This Row],[بدهی سررسید شده (کیلوگرم)]]*Main[[#This Row],[روز از ارسال سفارش]]</f>
        <v>0</v>
      </c>
      <c r="U788" s="6">
        <f>-SUBTOTAL(9,INDEX(Main[مقدار (کیلوگرم)],1):Main[[#This Row],[مقدار (کیلوگرم)]])</f>
        <v>34927</v>
      </c>
      <c r="V7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8" s="6">
        <f>Main[[#This Row],[تعداد کل روزهای بدهکار (روز)]]*Main[[#This Row],[مانده در خط کل (کیلوگرم)]]</f>
        <v>0</v>
      </c>
      <c r="X788" s="6">
        <f ca="1">-SUBTOTAL(9,INDEX(Main[مقدار تسویه شده (کیلوگرم)],1):Main[[#This Row],[مقدار تسویه شده (کیلوگرم)]])</f>
        <v>34927</v>
      </c>
      <c r="Y788" s="6">
        <f ca="1">IF(Main[[#This Row],[مانده در خط تسویه شده (کیلوگرم)]]&lt;&gt;0,Main[[#This Row],[تعداد کل روزهای بدهکار (روز)]],0)</f>
        <v>0</v>
      </c>
      <c r="Z788" s="6">
        <f ca="1">Main[[#This Row],[تعداد روزهای بدهکار تسویه شده (روز)]]*Main[[#This Row],[مانده در خط تسویه شده (کیلوگرم)]]</f>
        <v>0</v>
      </c>
      <c r="AA788" s="6">
        <f ca="1">SUBTOTAL(9,INDEX(Main[بدهی تسویه نشده (کیلوگرم)],1):Main[[#This Row],[بدهی تسویه نشده (کیلوگرم)]])</f>
        <v>0</v>
      </c>
      <c r="AB788" s="6">
        <f ca="1">IF(Main[[#This Row],[مانده در خط تسویه نشده (کیلوگرم)]]&lt;&gt;0,Main[[#This Row],[تعداد کل روزهای بدهکار (روز)]],0)</f>
        <v>0</v>
      </c>
      <c r="AC788" s="6">
        <f ca="1">Main[[#This Row],[تعداد روزهای بدهکار  تسویه نشده (روز)]]*Main[[#This Row],[مانده در خط تسویه نشده (کیلوگرم)]]</f>
        <v>0</v>
      </c>
      <c r="AD788" s="6">
        <f ca="1">SUBTOTAL(9,INDEX(Main[بدهی سررسید شده (کیلوگرم)],1):Main[[#This Row],[بدهی سررسید شده (کیلوگرم)]])</f>
        <v>0</v>
      </c>
      <c r="AE788" s="6">
        <f ca="1">IF(Main[[#This Row],[مانده در خط سررسید شده (کیلوگرم)]]&lt;&gt;0,Main[[#This Row],[تعداد کل روزهای بدهکار (روز)]],0)</f>
        <v>0</v>
      </c>
      <c r="AF788" s="6">
        <f ca="1">Main[[#This Row],[تعداد روزهای بدهکار سررسید شده (روز)]]*Main[[#This Row],[مانده در خط سررسید شده (کیلوگرم)]]</f>
        <v>0</v>
      </c>
    </row>
    <row r="789" spans="1:32" hidden="1" x14ac:dyDescent="0.35">
      <c r="A789" s="5">
        <f>ROW()-ROW(INDEX(Main[ردیف],1))+1</f>
        <v>787</v>
      </c>
      <c r="B789" s="31">
        <f>SUBTOTAL(2,INDEX(Main[ردیف],1):Main[[#This Row],[ردیف]])</f>
        <v>73</v>
      </c>
      <c r="C789" s="32" t="s">
        <v>591</v>
      </c>
      <c r="D789" s="32" t="str">
        <f>_xlfn.CONCAT("14",Main[[#This Row],[تاريخ]])</f>
        <v>1400/03/25</v>
      </c>
      <c r="E789" s="33">
        <v>44362</v>
      </c>
      <c r="F789" s="32">
        <v>30190</v>
      </c>
      <c r="G789" s="5" t="str">
        <f>INDEX(customer[عنوان],MATCH(Main[[#This Row],[کد ردیابی]],customer[کد],0))</f>
        <v>ایران طلق</v>
      </c>
      <c r="H789">
        <v>498</v>
      </c>
      <c r="I789" s="6">
        <f ca="1">-Main[[#This Row],[بدهی تسویه شده (کیلوگرم)]]+Main[[#This Row],[بستانکار (کیلوگرم)]]</f>
        <v>498</v>
      </c>
      <c r="J789" s="6">
        <f>IF(Main[[#This Row],[مقدار (کیلوگرم)]]&gt;0,Main[[#This Row],[مقدار (کیلوگرم)]],0)</f>
        <v>498</v>
      </c>
      <c r="K789" s="6">
        <f>-IF(Main[[#This Row],[مقدار (کیلوگرم)]]&lt;0,Main[[#This Row],[مقدار (کیلوگرم)]],0)</f>
        <v>0</v>
      </c>
      <c r="L7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9" s="7">
        <f>-IF(AND(Main[[#This Row],[مقدار (کیلوگرم)]]&lt;0,Main[[#This Row],[تاريخ میلادی]]&gt;44276),Main[[#This Row],[مقدار (کیلوگرم)]],0)</f>
        <v>0</v>
      </c>
      <c r="N789" s="6">
        <f ca="1">Main[[#This Row],[بدهکار (کیلوگرم)]]-Main[[#This Row],[بدهی تسویه نشده (کیلوگرم)]]</f>
        <v>0</v>
      </c>
      <c r="O789" s="6">
        <f ca="1">Main[[#This Row],[تفکیک]]</f>
        <v>0</v>
      </c>
      <c r="P789" s="6">
        <f ca="1">IF(Main[[#This Row],[تاخیر از سررسید]]&gt;0,Main[[#This Row],[بدهی تسویه نشده (کیلوگرم)]],0)</f>
        <v>0</v>
      </c>
      <c r="Q789" s="6">
        <f ca="1">IF(Main[[#This Row],[بدهی تسویه نشده (کیلوگرم)]]&gt;0,'گزارش فردی'!$B$7-Main[[#This Row],[تاريخ میلادی]],0)</f>
        <v>0</v>
      </c>
      <c r="R789" s="6">
        <f ca="1">IF(Main[[#This Row],[بدهی تسویه نشده (کیلوگرم)]]&gt;0,'گزارش فردی'!$B$7-Main[[#This Row],[تاريخ میلادی]]-'گزارش فردی'!$B$8,0)</f>
        <v>0</v>
      </c>
      <c r="S789" s="6">
        <f ca="1">Main[[#This Row],[روز از ارسال سفارش]]*Main[[#This Row],[بدهی تسویه نشده (کیلوگرم)]]</f>
        <v>0</v>
      </c>
      <c r="T789" s="6">
        <f ca="1">Main[[#This Row],[بدهی سررسید شده (کیلوگرم)]]*Main[[#This Row],[روز از ارسال سفارش]]</f>
        <v>0</v>
      </c>
      <c r="U789" s="6">
        <f>-SUBTOTAL(9,INDEX(Main[مقدار (کیلوگرم)],1):Main[[#This Row],[مقدار (کیلوگرم)]])</f>
        <v>34927</v>
      </c>
      <c r="V7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9" s="6">
        <f>Main[[#This Row],[تعداد کل روزهای بدهکار (روز)]]*Main[[#This Row],[مانده در خط کل (کیلوگرم)]]</f>
        <v>0</v>
      </c>
      <c r="X789" s="6">
        <f ca="1">-SUBTOTAL(9,INDEX(Main[مقدار تسویه شده (کیلوگرم)],1):Main[[#This Row],[مقدار تسویه شده (کیلوگرم)]])</f>
        <v>34927</v>
      </c>
      <c r="Y789" s="6">
        <f ca="1">IF(Main[[#This Row],[مانده در خط تسویه شده (کیلوگرم)]]&lt;&gt;0,Main[[#This Row],[تعداد کل روزهای بدهکار (روز)]],0)</f>
        <v>0</v>
      </c>
      <c r="Z789" s="6">
        <f ca="1">Main[[#This Row],[تعداد روزهای بدهکار تسویه شده (روز)]]*Main[[#This Row],[مانده در خط تسویه شده (کیلوگرم)]]</f>
        <v>0</v>
      </c>
      <c r="AA789" s="6">
        <f ca="1">SUBTOTAL(9,INDEX(Main[بدهی تسویه نشده (کیلوگرم)],1):Main[[#This Row],[بدهی تسویه نشده (کیلوگرم)]])</f>
        <v>0</v>
      </c>
      <c r="AB789" s="6">
        <f ca="1">IF(Main[[#This Row],[مانده در خط تسویه نشده (کیلوگرم)]]&lt;&gt;0,Main[[#This Row],[تعداد کل روزهای بدهکار (روز)]],0)</f>
        <v>0</v>
      </c>
      <c r="AC789" s="6">
        <f ca="1">Main[[#This Row],[تعداد روزهای بدهکار  تسویه نشده (روز)]]*Main[[#This Row],[مانده در خط تسویه نشده (کیلوگرم)]]</f>
        <v>0</v>
      </c>
      <c r="AD789" s="6">
        <f ca="1">SUBTOTAL(9,INDEX(Main[بدهی سررسید شده (کیلوگرم)],1):Main[[#This Row],[بدهی سررسید شده (کیلوگرم)]])</f>
        <v>0</v>
      </c>
      <c r="AE789" s="6">
        <f ca="1">IF(Main[[#This Row],[مانده در خط سررسید شده (کیلوگرم)]]&lt;&gt;0,Main[[#This Row],[تعداد کل روزهای بدهکار (روز)]],0)</f>
        <v>0</v>
      </c>
      <c r="AF789" s="6">
        <f ca="1">Main[[#This Row],[تعداد روزهای بدهکار سررسید شده (روز)]]*Main[[#This Row],[مانده در خط سررسید شده (کیلوگرم)]]</f>
        <v>0</v>
      </c>
    </row>
    <row r="790" spans="1:32" hidden="1" x14ac:dyDescent="0.35">
      <c r="A790" s="5">
        <f>ROW()-ROW(INDEX(Main[ردیف],1))+1</f>
        <v>788</v>
      </c>
      <c r="B790" s="31">
        <f>SUBTOTAL(2,INDEX(Main[ردیف],1):Main[[#This Row],[ردیف]])</f>
        <v>73</v>
      </c>
      <c r="C790" s="32" t="s">
        <v>591</v>
      </c>
      <c r="D790" s="32" t="str">
        <f>_xlfn.CONCAT("14",Main[[#This Row],[تاريخ]])</f>
        <v>1400/03/25</v>
      </c>
      <c r="E790" s="33">
        <v>44362</v>
      </c>
      <c r="F790" s="32">
        <v>10027</v>
      </c>
      <c r="G790" s="5" t="str">
        <f>INDEX(customer[عنوان],MATCH(Main[[#This Row],[کد ردیابی]],customer[کد],0))</f>
        <v xml:space="preserve">مصطفی نورعلی </v>
      </c>
      <c r="H790">
        <v>-2005</v>
      </c>
      <c r="I790" s="6">
        <f ca="1">-Main[[#This Row],[بدهی تسویه شده (کیلوگرم)]]+Main[[#This Row],[بستانکار (کیلوگرم)]]</f>
        <v>-2005</v>
      </c>
      <c r="J790" s="6">
        <f>IF(Main[[#This Row],[مقدار (کیلوگرم)]]&gt;0,Main[[#This Row],[مقدار (کیلوگرم)]],0)</f>
        <v>0</v>
      </c>
      <c r="K790" s="6">
        <f>-IF(Main[[#This Row],[مقدار (کیلوگرم)]]&lt;0,Main[[#This Row],[مقدار (کیلوگرم)]],0)</f>
        <v>2005</v>
      </c>
      <c r="L7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0" s="7">
        <f>-IF(AND(Main[[#This Row],[مقدار (کیلوگرم)]]&lt;0,Main[[#This Row],[تاريخ میلادی]]&gt;44276),Main[[#This Row],[مقدار (کیلوگرم)]],0)</f>
        <v>2005</v>
      </c>
      <c r="N790" s="6">
        <f ca="1">Main[[#This Row],[بدهکار (کیلوگرم)]]-Main[[#This Row],[بدهی تسویه نشده (کیلوگرم)]]</f>
        <v>2005</v>
      </c>
      <c r="O790" s="6">
        <f ca="1">Main[[#This Row],[تفکیک]]</f>
        <v>0</v>
      </c>
      <c r="P790" s="6">
        <f ca="1">IF(Main[[#This Row],[تاخیر از سررسید]]&gt;0,Main[[#This Row],[بدهی تسویه نشده (کیلوگرم)]],0)</f>
        <v>0</v>
      </c>
      <c r="Q790" s="6">
        <f ca="1">IF(Main[[#This Row],[بدهی تسویه نشده (کیلوگرم)]]&gt;0,'گزارش فردی'!$B$7-Main[[#This Row],[تاريخ میلادی]],0)</f>
        <v>0</v>
      </c>
      <c r="R790" s="6">
        <f ca="1">IF(Main[[#This Row],[بدهی تسویه نشده (کیلوگرم)]]&gt;0,'گزارش فردی'!$B$7-Main[[#This Row],[تاريخ میلادی]]-'گزارش فردی'!$B$8,0)</f>
        <v>0</v>
      </c>
      <c r="S790" s="6">
        <f ca="1">Main[[#This Row],[روز از ارسال سفارش]]*Main[[#This Row],[بدهی تسویه نشده (کیلوگرم)]]</f>
        <v>0</v>
      </c>
      <c r="T790" s="6">
        <f ca="1">Main[[#This Row],[بدهی سررسید شده (کیلوگرم)]]*Main[[#This Row],[روز از ارسال سفارش]]</f>
        <v>0</v>
      </c>
      <c r="U790" s="6">
        <f>-SUBTOTAL(9,INDEX(Main[مقدار (کیلوگرم)],1):Main[[#This Row],[مقدار (کیلوگرم)]])</f>
        <v>34927</v>
      </c>
      <c r="V7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0" s="6">
        <f>Main[[#This Row],[تعداد کل روزهای بدهکار (روز)]]*Main[[#This Row],[مانده در خط کل (کیلوگرم)]]</f>
        <v>0</v>
      </c>
      <c r="X790" s="6">
        <f ca="1">-SUBTOTAL(9,INDEX(Main[مقدار تسویه شده (کیلوگرم)],1):Main[[#This Row],[مقدار تسویه شده (کیلوگرم)]])</f>
        <v>34927</v>
      </c>
      <c r="Y790" s="6">
        <f ca="1">IF(Main[[#This Row],[مانده در خط تسویه شده (کیلوگرم)]]&lt;&gt;0,Main[[#This Row],[تعداد کل روزهای بدهکار (روز)]],0)</f>
        <v>0</v>
      </c>
      <c r="Z790" s="6">
        <f ca="1">Main[[#This Row],[تعداد روزهای بدهکار تسویه شده (روز)]]*Main[[#This Row],[مانده در خط تسویه شده (کیلوگرم)]]</f>
        <v>0</v>
      </c>
      <c r="AA790" s="6">
        <f ca="1">SUBTOTAL(9,INDEX(Main[بدهی تسویه نشده (کیلوگرم)],1):Main[[#This Row],[بدهی تسویه نشده (کیلوگرم)]])</f>
        <v>0</v>
      </c>
      <c r="AB790" s="6">
        <f ca="1">IF(Main[[#This Row],[مانده در خط تسویه نشده (کیلوگرم)]]&lt;&gt;0,Main[[#This Row],[تعداد کل روزهای بدهکار (روز)]],0)</f>
        <v>0</v>
      </c>
      <c r="AC790" s="6">
        <f ca="1">Main[[#This Row],[تعداد روزهای بدهکار  تسویه نشده (روز)]]*Main[[#This Row],[مانده در خط تسویه نشده (کیلوگرم)]]</f>
        <v>0</v>
      </c>
      <c r="AD790" s="6">
        <f ca="1">SUBTOTAL(9,INDEX(Main[بدهی سررسید شده (کیلوگرم)],1):Main[[#This Row],[بدهی سررسید شده (کیلوگرم)]])</f>
        <v>0</v>
      </c>
      <c r="AE790" s="6">
        <f ca="1">IF(Main[[#This Row],[مانده در خط سررسید شده (کیلوگرم)]]&lt;&gt;0,Main[[#This Row],[تعداد کل روزهای بدهکار (روز)]],0)</f>
        <v>0</v>
      </c>
      <c r="AF790" s="6">
        <f ca="1">Main[[#This Row],[تعداد روزهای بدهکار سررسید شده (روز)]]*Main[[#This Row],[مانده در خط سررسید شده (کیلوگرم)]]</f>
        <v>0</v>
      </c>
    </row>
    <row r="791" spans="1:32" x14ac:dyDescent="0.35">
      <c r="A791" s="5">
        <f>ROW()-ROW(INDEX(Main[ردیف],1))+1</f>
        <v>789</v>
      </c>
      <c r="B791" s="31">
        <f>SUBTOTAL(2,INDEX(Main[ردیف],1):Main[[#This Row],[ردیف]])</f>
        <v>74</v>
      </c>
      <c r="C791" s="32" t="s">
        <v>591</v>
      </c>
      <c r="D791" s="32" t="str">
        <f>_xlfn.CONCAT("14",Main[[#This Row],[تاريخ]])</f>
        <v>1400/03/25</v>
      </c>
      <c r="E791" s="33">
        <v>44362</v>
      </c>
      <c r="F791" s="32">
        <v>10003</v>
      </c>
      <c r="G791" s="5" t="str">
        <f>INDEX(customer[عنوان],MATCH(Main[[#This Row],[کد ردیابی]],customer[کد],0))</f>
        <v>اصغر نورعلی</v>
      </c>
      <c r="H791">
        <v>2893</v>
      </c>
      <c r="I791" s="6">
        <f ca="1">-Main[[#This Row],[بدهی تسویه شده (کیلوگرم)]]+Main[[#This Row],[بستانکار (کیلوگرم)]]</f>
        <v>2893</v>
      </c>
      <c r="J791" s="6">
        <f>IF(Main[[#This Row],[مقدار (کیلوگرم)]]&gt;0,Main[[#This Row],[مقدار (کیلوگرم)]],0)</f>
        <v>2893</v>
      </c>
      <c r="K791" s="6">
        <f>-IF(Main[[#This Row],[مقدار (کیلوگرم)]]&lt;0,Main[[#This Row],[مقدار (کیلوگرم)]],0)</f>
        <v>0</v>
      </c>
      <c r="L7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1" s="7">
        <f>-IF(AND(Main[[#This Row],[مقدار (کیلوگرم)]]&lt;0,Main[[#This Row],[تاريخ میلادی]]&gt;44276),Main[[#This Row],[مقدار (کیلوگرم)]],0)</f>
        <v>0</v>
      </c>
      <c r="N791" s="6">
        <f ca="1">Main[[#This Row],[بدهکار (کیلوگرم)]]-Main[[#This Row],[بدهی تسویه نشده (کیلوگرم)]]</f>
        <v>0</v>
      </c>
      <c r="O791" s="6">
        <f ca="1">Main[[#This Row],[تفکیک]]</f>
        <v>0</v>
      </c>
      <c r="P791" s="6">
        <f ca="1">IF(Main[[#This Row],[تاخیر از سررسید]]&gt;0,Main[[#This Row],[بدهی تسویه نشده (کیلوگرم)]],0)</f>
        <v>0</v>
      </c>
      <c r="Q791" s="6">
        <f ca="1">IF(Main[[#This Row],[بدهی تسویه نشده (کیلوگرم)]]&gt;0,'گزارش فردی'!$B$7-Main[[#This Row],[تاريخ میلادی]],0)</f>
        <v>0</v>
      </c>
      <c r="R791" s="6">
        <f ca="1">IF(Main[[#This Row],[بدهی تسویه نشده (کیلوگرم)]]&gt;0,'گزارش فردی'!$B$7-Main[[#This Row],[تاريخ میلادی]]-'گزارش فردی'!$B$8,0)</f>
        <v>0</v>
      </c>
      <c r="S791" s="6">
        <f ca="1">Main[[#This Row],[روز از ارسال سفارش]]*Main[[#This Row],[بدهی تسویه نشده (کیلوگرم)]]</f>
        <v>0</v>
      </c>
      <c r="T791" s="6">
        <f ca="1">Main[[#This Row],[بدهی سررسید شده (کیلوگرم)]]*Main[[#This Row],[روز از ارسال سفارش]]</f>
        <v>0</v>
      </c>
      <c r="U791" s="6">
        <f>-SUBTOTAL(9,INDEX(Main[مقدار (کیلوگرم)],1):Main[[#This Row],[مقدار (کیلوگرم)]])</f>
        <v>32034</v>
      </c>
      <c r="V7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1" s="6">
        <f>Main[[#This Row],[تعداد کل روزهای بدهکار (روز)]]*Main[[#This Row],[مانده در خط کل (کیلوگرم)]]</f>
        <v>32034</v>
      </c>
      <c r="X791" s="6">
        <f ca="1">-SUBTOTAL(9,INDEX(Main[مقدار تسویه شده (کیلوگرم)],1):Main[[#This Row],[مقدار تسویه شده (کیلوگرم)]])</f>
        <v>32034</v>
      </c>
      <c r="Y791" s="6">
        <f ca="1">IF(Main[[#This Row],[مانده در خط تسویه شده (کیلوگرم)]]&lt;&gt;0,Main[[#This Row],[تعداد کل روزهای بدهکار (روز)]],0)</f>
        <v>1</v>
      </c>
      <c r="Z791" s="6">
        <f ca="1">Main[[#This Row],[تعداد روزهای بدهکار تسویه شده (روز)]]*Main[[#This Row],[مانده در خط تسویه شده (کیلوگرم)]]</f>
        <v>32034</v>
      </c>
      <c r="AA791" s="6">
        <f ca="1">SUBTOTAL(9,INDEX(Main[بدهی تسویه نشده (کیلوگرم)],1):Main[[#This Row],[بدهی تسویه نشده (کیلوگرم)]])</f>
        <v>0</v>
      </c>
      <c r="AB791" s="6">
        <f ca="1">IF(Main[[#This Row],[مانده در خط تسویه نشده (کیلوگرم)]]&lt;&gt;0,Main[[#This Row],[تعداد کل روزهای بدهکار (روز)]],0)</f>
        <v>0</v>
      </c>
      <c r="AC791" s="6">
        <f ca="1">Main[[#This Row],[تعداد روزهای بدهکار  تسویه نشده (روز)]]*Main[[#This Row],[مانده در خط تسویه نشده (کیلوگرم)]]</f>
        <v>0</v>
      </c>
      <c r="AD791" s="6">
        <f ca="1">SUBTOTAL(9,INDEX(Main[بدهی سررسید شده (کیلوگرم)],1):Main[[#This Row],[بدهی سررسید شده (کیلوگرم)]])</f>
        <v>0</v>
      </c>
      <c r="AE791" s="6">
        <f ca="1">IF(Main[[#This Row],[مانده در خط سررسید شده (کیلوگرم)]]&lt;&gt;0,Main[[#This Row],[تعداد کل روزهای بدهکار (روز)]],0)</f>
        <v>0</v>
      </c>
      <c r="AF791" s="6">
        <f ca="1">Main[[#This Row],[تعداد روزهای بدهکار سررسید شده (روز)]]*Main[[#This Row],[مانده در خط سررسید شده (کیلوگرم)]]</f>
        <v>0</v>
      </c>
    </row>
    <row r="792" spans="1:32" hidden="1" x14ac:dyDescent="0.35">
      <c r="A792" s="5">
        <f>ROW()-ROW(INDEX(Main[ردیف],1))+1</f>
        <v>790</v>
      </c>
      <c r="B792" s="31">
        <f>SUBTOTAL(2,INDEX(Main[ردیف],1):Main[[#This Row],[ردیف]])</f>
        <v>74</v>
      </c>
      <c r="C792" s="32" t="s">
        <v>591</v>
      </c>
      <c r="D792" s="32" t="str">
        <f>_xlfn.CONCAT("14",Main[[#This Row],[تاريخ]])</f>
        <v>1400/03/25</v>
      </c>
      <c r="E792" s="33">
        <v>44362</v>
      </c>
      <c r="F792" s="32">
        <v>30190</v>
      </c>
      <c r="G792" s="5" t="str">
        <f>INDEX(customer[عنوان],MATCH(Main[[#This Row],[کد ردیابی]],customer[کد],0))</f>
        <v>ایران طلق</v>
      </c>
      <c r="H792">
        <v>127</v>
      </c>
      <c r="I792" s="6">
        <f ca="1">-Main[[#This Row],[بدهی تسویه شده (کیلوگرم)]]+Main[[#This Row],[بستانکار (کیلوگرم)]]</f>
        <v>127</v>
      </c>
      <c r="J792" s="6">
        <f>IF(Main[[#This Row],[مقدار (کیلوگرم)]]&gt;0,Main[[#This Row],[مقدار (کیلوگرم)]],0)</f>
        <v>127</v>
      </c>
      <c r="K792" s="6">
        <f>-IF(Main[[#This Row],[مقدار (کیلوگرم)]]&lt;0,Main[[#This Row],[مقدار (کیلوگرم)]],0)</f>
        <v>0</v>
      </c>
      <c r="L7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2" s="7">
        <f>-IF(AND(Main[[#This Row],[مقدار (کیلوگرم)]]&lt;0,Main[[#This Row],[تاريخ میلادی]]&gt;44276),Main[[#This Row],[مقدار (کیلوگرم)]],0)</f>
        <v>0</v>
      </c>
      <c r="N792" s="6">
        <f ca="1">Main[[#This Row],[بدهکار (کیلوگرم)]]-Main[[#This Row],[بدهی تسویه نشده (کیلوگرم)]]</f>
        <v>0</v>
      </c>
      <c r="O792" s="6">
        <f ca="1">Main[[#This Row],[تفکیک]]</f>
        <v>0</v>
      </c>
      <c r="P792" s="6">
        <f ca="1">IF(Main[[#This Row],[تاخیر از سررسید]]&gt;0,Main[[#This Row],[بدهی تسویه نشده (کیلوگرم)]],0)</f>
        <v>0</v>
      </c>
      <c r="Q792" s="6">
        <f ca="1">IF(Main[[#This Row],[بدهی تسویه نشده (کیلوگرم)]]&gt;0,'گزارش فردی'!$B$7-Main[[#This Row],[تاريخ میلادی]],0)</f>
        <v>0</v>
      </c>
      <c r="R792" s="6">
        <f ca="1">IF(Main[[#This Row],[بدهی تسویه نشده (کیلوگرم)]]&gt;0,'گزارش فردی'!$B$7-Main[[#This Row],[تاريخ میلادی]]-'گزارش فردی'!$B$8,0)</f>
        <v>0</v>
      </c>
      <c r="S792" s="6">
        <f ca="1">Main[[#This Row],[روز از ارسال سفارش]]*Main[[#This Row],[بدهی تسویه نشده (کیلوگرم)]]</f>
        <v>0</v>
      </c>
      <c r="T792" s="6">
        <f ca="1">Main[[#This Row],[بدهی سررسید شده (کیلوگرم)]]*Main[[#This Row],[روز از ارسال سفارش]]</f>
        <v>0</v>
      </c>
      <c r="U792" s="6">
        <f>-SUBTOTAL(9,INDEX(Main[مقدار (کیلوگرم)],1):Main[[#This Row],[مقدار (کیلوگرم)]])</f>
        <v>32034</v>
      </c>
      <c r="V7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2" s="6">
        <f>Main[[#This Row],[تعداد کل روزهای بدهکار (روز)]]*Main[[#This Row],[مانده در خط کل (کیلوگرم)]]</f>
        <v>32034</v>
      </c>
      <c r="X792" s="6">
        <f ca="1">-SUBTOTAL(9,INDEX(Main[مقدار تسویه شده (کیلوگرم)],1):Main[[#This Row],[مقدار تسویه شده (کیلوگرم)]])</f>
        <v>32034</v>
      </c>
      <c r="Y792" s="6">
        <f ca="1">IF(Main[[#This Row],[مانده در خط تسویه شده (کیلوگرم)]]&lt;&gt;0,Main[[#This Row],[تعداد کل روزهای بدهکار (روز)]],0)</f>
        <v>1</v>
      </c>
      <c r="Z792" s="6">
        <f ca="1">Main[[#This Row],[تعداد روزهای بدهکار تسویه شده (روز)]]*Main[[#This Row],[مانده در خط تسویه شده (کیلوگرم)]]</f>
        <v>32034</v>
      </c>
      <c r="AA792" s="6">
        <f ca="1">SUBTOTAL(9,INDEX(Main[بدهی تسویه نشده (کیلوگرم)],1):Main[[#This Row],[بدهی تسویه نشده (کیلوگرم)]])</f>
        <v>0</v>
      </c>
      <c r="AB792" s="6">
        <f ca="1">IF(Main[[#This Row],[مانده در خط تسویه نشده (کیلوگرم)]]&lt;&gt;0,Main[[#This Row],[تعداد کل روزهای بدهکار (روز)]],0)</f>
        <v>0</v>
      </c>
      <c r="AC792" s="6">
        <f ca="1">Main[[#This Row],[تعداد روزهای بدهکار  تسویه نشده (روز)]]*Main[[#This Row],[مانده در خط تسویه نشده (کیلوگرم)]]</f>
        <v>0</v>
      </c>
      <c r="AD792" s="6">
        <f ca="1">SUBTOTAL(9,INDEX(Main[بدهی سررسید شده (کیلوگرم)],1):Main[[#This Row],[بدهی سررسید شده (کیلوگرم)]])</f>
        <v>0</v>
      </c>
      <c r="AE792" s="6">
        <f ca="1">IF(Main[[#This Row],[مانده در خط سررسید شده (کیلوگرم)]]&lt;&gt;0,Main[[#This Row],[تعداد کل روزهای بدهکار (روز)]],0)</f>
        <v>0</v>
      </c>
      <c r="AF792" s="6">
        <f ca="1">Main[[#This Row],[تعداد روزهای بدهکار سررسید شده (روز)]]*Main[[#This Row],[مانده در خط سررسید شده (کیلوگرم)]]</f>
        <v>0</v>
      </c>
    </row>
    <row r="793" spans="1:32" hidden="1" x14ac:dyDescent="0.35">
      <c r="A793" s="5">
        <f>ROW()-ROW(INDEX(Main[ردیف],1))+1</f>
        <v>791</v>
      </c>
      <c r="B793" s="31">
        <f>SUBTOTAL(2,INDEX(Main[ردیف],1):Main[[#This Row],[ردیف]])</f>
        <v>74</v>
      </c>
      <c r="C793" s="32" t="s">
        <v>591</v>
      </c>
      <c r="D793" s="32" t="str">
        <f>_xlfn.CONCAT("14",Main[[#This Row],[تاريخ]])</f>
        <v>1400/03/25</v>
      </c>
      <c r="E793" s="33">
        <v>44362</v>
      </c>
      <c r="F793" s="32">
        <v>30009</v>
      </c>
      <c r="G793" s="5" t="str">
        <f>INDEX(customer[عنوان],MATCH(Main[[#This Row],[کد ردیابی]],customer[کد],0))</f>
        <v>شرکت ایمن تک پیشرو</v>
      </c>
      <c r="H793">
        <v>1835</v>
      </c>
      <c r="I793" s="6">
        <f ca="1">-Main[[#This Row],[بدهی تسویه شده (کیلوگرم)]]+Main[[#This Row],[بستانکار (کیلوگرم)]]</f>
        <v>1835</v>
      </c>
      <c r="J793" s="6">
        <f>IF(Main[[#This Row],[مقدار (کیلوگرم)]]&gt;0,Main[[#This Row],[مقدار (کیلوگرم)]],0)</f>
        <v>1835</v>
      </c>
      <c r="K793" s="6">
        <f>-IF(Main[[#This Row],[مقدار (کیلوگرم)]]&lt;0,Main[[#This Row],[مقدار (کیلوگرم)]],0)</f>
        <v>0</v>
      </c>
      <c r="L7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3" s="7">
        <f>-IF(AND(Main[[#This Row],[مقدار (کیلوگرم)]]&lt;0,Main[[#This Row],[تاريخ میلادی]]&gt;44276),Main[[#This Row],[مقدار (کیلوگرم)]],0)</f>
        <v>0</v>
      </c>
      <c r="N793" s="6">
        <f ca="1">Main[[#This Row],[بدهکار (کیلوگرم)]]-Main[[#This Row],[بدهی تسویه نشده (کیلوگرم)]]</f>
        <v>0</v>
      </c>
      <c r="O793" s="6">
        <f ca="1">Main[[#This Row],[تفکیک]]</f>
        <v>0</v>
      </c>
      <c r="P793" s="6">
        <f ca="1">IF(Main[[#This Row],[تاخیر از سررسید]]&gt;0,Main[[#This Row],[بدهی تسویه نشده (کیلوگرم)]],0)</f>
        <v>0</v>
      </c>
      <c r="Q793" s="6">
        <f ca="1">IF(Main[[#This Row],[بدهی تسویه نشده (کیلوگرم)]]&gt;0,'گزارش فردی'!$B$7-Main[[#This Row],[تاريخ میلادی]],0)</f>
        <v>0</v>
      </c>
      <c r="R793" s="6">
        <f ca="1">IF(Main[[#This Row],[بدهی تسویه نشده (کیلوگرم)]]&gt;0,'گزارش فردی'!$B$7-Main[[#This Row],[تاريخ میلادی]]-'گزارش فردی'!$B$8,0)</f>
        <v>0</v>
      </c>
      <c r="S793" s="6">
        <f ca="1">Main[[#This Row],[روز از ارسال سفارش]]*Main[[#This Row],[بدهی تسویه نشده (کیلوگرم)]]</f>
        <v>0</v>
      </c>
      <c r="T793" s="6">
        <f ca="1">Main[[#This Row],[بدهی سررسید شده (کیلوگرم)]]*Main[[#This Row],[روز از ارسال سفارش]]</f>
        <v>0</v>
      </c>
      <c r="U793" s="6">
        <f>-SUBTOTAL(9,INDEX(Main[مقدار (کیلوگرم)],1):Main[[#This Row],[مقدار (کیلوگرم)]])</f>
        <v>32034</v>
      </c>
      <c r="V7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3" s="6">
        <f>Main[[#This Row],[تعداد کل روزهای بدهکار (روز)]]*Main[[#This Row],[مانده در خط کل (کیلوگرم)]]</f>
        <v>32034</v>
      </c>
      <c r="X793" s="6">
        <f ca="1">-SUBTOTAL(9,INDEX(Main[مقدار تسویه شده (کیلوگرم)],1):Main[[#This Row],[مقدار تسویه شده (کیلوگرم)]])</f>
        <v>32034</v>
      </c>
      <c r="Y793" s="6">
        <f ca="1">IF(Main[[#This Row],[مانده در خط تسویه شده (کیلوگرم)]]&lt;&gt;0,Main[[#This Row],[تعداد کل روزهای بدهکار (روز)]],0)</f>
        <v>1</v>
      </c>
      <c r="Z793" s="6">
        <f ca="1">Main[[#This Row],[تعداد روزهای بدهکار تسویه شده (روز)]]*Main[[#This Row],[مانده در خط تسویه شده (کیلوگرم)]]</f>
        <v>32034</v>
      </c>
      <c r="AA793" s="6">
        <f ca="1">SUBTOTAL(9,INDEX(Main[بدهی تسویه نشده (کیلوگرم)],1):Main[[#This Row],[بدهی تسویه نشده (کیلوگرم)]])</f>
        <v>0</v>
      </c>
      <c r="AB793" s="6">
        <f ca="1">IF(Main[[#This Row],[مانده در خط تسویه نشده (کیلوگرم)]]&lt;&gt;0,Main[[#This Row],[تعداد کل روزهای بدهکار (روز)]],0)</f>
        <v>0</v>
      </c>
      <c r="AC793" s="6">
        <f ca="1">Main[[#This Row],[تعداد روزهای بدهکار  تسویه نشده (روز)]]*Main[[#This Row],[مانده در خط تسویه نشده (کیلوگرم)]]</f>
        <v>0</v>
      </c>
      <c r="AD793" s="6">
        <f ca="1">SUBTOTAL(9,INDEX(Main[بدهی سررسید شده (کیلوگرم)],1):Main[[#This Row],[بدهی سررسید شده (کیلوگرم)]])</f>
        <v>0</v>
      </c>
      <c r="AE793" s="6">
        <f ca="1">IF(Main[[#This Row],[مانده در خط سررسید شده (کیلوگرم)]]&lt;&gt;0,Main[[#This Row],[تعداد کل روزهای بدهکار (روز)]],0)</f>
        <v>0</v>
      </c>
      <c r="AF793" s="6">
        <f ca="1">Main[[#This Row],[تعداد روزهای بدهکار سررسید شده (روز)]]*Main[[#This Row],[مانده در خط سررسید شده (کیلوگرم)]]</f>
        <v>0</v>
      </c>
    </row>
    <row r="794" spans="1:32" hidden="1" x14ac:dyDescent="0.35">
      <c r="A794" s="5">
        <f>ROW()-ROW(INDEX(Main[ردیف],1))+1</f>
        <v>792</v>
      </c>
      <c r="B794" s="31">
        <f>SUBTOTAL(2,INDEX(Main[ردیف],1):Main[[#This Row],[ردیف]])</f>
        <v>74</v>
      </c>
      <c r="C794" s="32" t="s">
        <v>591</v>
      </c>
      <c r="D794" s="32" t="str">
        <f>_xlfn.CONCAT("14",Main[[#This Row],[تاريخ]])</f>
        <v>1400/03/25</v>
      </c>
      <c r="E794" s="33">
        <v>44362</v>
      </c>
      <c r="F794" s="32">
        <v>30014</v>
      </c>
      <c r="G794" s="5" t="str">
        <f>INDEX(customer[عنوان],MATCH(Main[[#This Row],[کد ردیابی]],customer[کد],0))</f>
        <v>کلون</v>
      </c>
      <c r="H794">
        <v>2974</v>
      </c>
      <c r="I794" s="6">
        <f ca="1">-Main[[#This Row],[بدهی تسویه شده (کیلوگرم)]]+Main[[#This Row],[بستانکار (کیلوگرم)]]</f>
        <v>2974</v>
      </c>
      <c r="J794" s="6">
        <f>IF(Main[[#This Row],[مقدار (کیلوگرم)]]&gt;0,Main[[#This Row],[مقدار (کیلوگرم)]],0)</f>
        <v>2974</v>
      </c>
      <c r="K794" s="6">
        <f>-IF(Main[[#This Row],[مقدار (کیلوگرم)]]&lt;0,Main[[#This Row],[مقدار (کیلوگرم)]],0)</f>
        <v>0</v>
      </c>
      <c r="L7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4" s="7">
        <f>-IF(AND(Main[[#This Row],[مقدار (کیلوگرم)]]&lt;0,Main[[#This Row],[تاريخ میلادی]]&gt;44276),Main[[#This Row],[مقدار (کیلوگرم)]],0)</f>
        <v>0</v>
      </c>
      <c r="N794" s="6">
        <f ca="1">Main[[#This Row],[بدهکار (کیلوگرم)]]-Main[[#This Row],[بدهی تسویه نشده (کیلوگرم)]]</f>
        <v>0</v>
      </c>
      <c r="O794" s="6">
        <f ca="1">Main[[#This Row],[تفکیک]]</f>
        <v>0</v>
      </c>
      <c r="P794" s="6">
        <f ca="1">IF(Main[[#This Row],[تاخیر از سررسید]]&gt;0,Main[[#This Row],[بدهی تسویه نشده (کیلوگرم)]],0)</f>
        <v>0</v>
      </c>
      <c r="Q794" s="6">
        <f ca="1">IF(Main[[#This Row],[بدهی تسویه نشده (کیلوگرم)]]&gt;0,'گزارش فردی'!$B$7-Main[[#This Row],[تاريخ میلادی]],0)</f>
        <v>0</v>
      </c>
      <c r="R794" s="6">
        <f ca="1">IF(Main[[#This Row],[بدهی تسویه نشده (کیلوگرم)]]&gt;0,'گزارش فردی'!$B$7-Main[[#This Row],[تاريخ میلادی]]-'گزارش فردی'!$B$8,0)</f>
        <v>0</v>
      </c>
      <c r="S794" s="6">
        <f ca="1">Main[[#This Row],[روز از ارسال سفارش]]*Main[[#This Row],[بدهی تسویه نشده (کیلوگرم)]]</f>
        <v>0</v>
      </c>
      <c r="T794" s="6">
        <f ca="1">Main[[#This Row],[بدهی سررسید شده (کیلوگرم)]]*Main[[#This Row],[روز از ارسال سفارش]]</f>
        <v>0</v>
      </c>
      <c r="U794" s="6">
        <f>-SUBTOTAL(9,INDEX(Main[مقدار (کیلوگرم)],1):Main[[#This Row],[مقدار (کیلوگرم)]])</f>
        <v>32034</v>
      </c>
      <c r="V7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4" s="6">
        <f>Main[[#This Row],[تعداد کل روزهای بدهکار (روز)]]*Main[[#This Row],[مانده در خط کل (کیلوگرم)]]</f>
        <v>32034</v>
      </c>
      <c r="X794" s="6">
        <f ca="1">-SUBTOTAL(9,INDEX(Main[مقدار تسویه شده (کیلوگرم)],1):Main[[#This Row],[مقدار تسویه شده (کیلوگرم)]])</f>
        <v>32034</v>
      </c>
      <c r="Y794" s="6">
        <f ca="1">IF(Main[[#This Row],[مانده در خط تسویه شده (کیلوگرم)]]&lt;&gt;0,Main[[#This Row],[تعداد کل روزهای بدهکار (روز)]],0)</f>
        <v>1</v>
      </c>
      <c r="Z794" s="6">
        <f ca="1">Main[[#This Row],[تعداد روزهای بدهکار تسویه شده (روز)]]*Main[[#This Row],[مانده در خط تسویه شده (کیلوگرم)]]</f>
        <v>32034</v>
      </c>
      <c r="AA794" s="6">
        <f ca="1">SUBTOTAL(9,INDEX(Main[بدهی تسویه نشده (کیلوگرم)],1):Main[[#This Row],[بدهی تسویه نشده (کیلوگرم)]])</f>
        <v>0</v>
      </c>
      <c r="AB794" s="6">
        <f ca="1">IF(Main[[#This Row],[مانده در خط تسویه نشده (کیلوگرم)]]&lt;&gt;0,Main[[#This Row],[تعداد کل روزهای بدهکار (روز)]],0)</f>
        <v>0</v>
      </c>
      <c r="AC794" s="6">
        <f ca="1">Main[[#This Row],[تعداد روزهای بدهکار  تسویه نشده (روز)]]*Main[[#This Row],[مانده در خط تسویه نشده (کیلوگرم)]]</f>
        <v>0</v>
      </c>
      <c r="AD794" s="6">
        <f ca="1">SUBTOTAL(9,INDEX(Main[بدهی سررسید شده (کیلوگرم)],1):Main[[#This Row],[بدهی سررسید شده (کیلوگرم)]])</f>
        <v>0</v>
      </c>
      <c r="AE794" s="6">
        <f ca="1">IF(Main[[#This Row],[مانده در خط سررسید شده (کیلوگرم)]]&lt;&gt;0,Main[[#This Row],[تعداد کل روزهای بدهکار (روز)]],0)</f>
        <v>0</v>
      </c>
      <c r="AF794" s="6">
        <f ca="1">Main[[#This Row],[تعداد روزهای بدهکار سررسید شده (روز)]]*Main[[#This Row],[مانده در خط سررسید شده (کیلوگرم)]]</f>
        <v>0</v>
      </c>
    </row>
    <row r="795" spans="1:32" hidden="1" x14ac:dyDescent="0.35">
      <c r="A795" s="5">
        <f>ROW()-ROW(INDEX(Main[ردیف],1))+1</f>
        <v>793</v>
      </c>
      <c r="B795" s="31">
        <f>SUBTOTAL(2,INDEX(Main[ردیف],1):Main[[#This Row],[ردیف]])</f>
        <v>74</v>
      </c>
      <c r="C795" s="32" t="s">
        <v>591</v>
      </c>
      <c r="D795" s="32" t="str">
        <f>_xlfn.CONCAT("14",Main[[#This Row],[تاريخ]])</f>
        <v>1400/03/25</v>
      </c>
      <c r="E795" s="33">
        <v>44362</v>
      </c>
      <c r="F795" s="32">
        <v>30058</v>
      </c>
      <c r="G795" s="5" t="str">
        <f>INDEX(customer[عنوان],MATCH(Main[[#This Row],[کد ردیابی]],customer[کد],0))</f>
        <v xml:space="preserve">پارس شیر </v>
      </c>
      <c r="H795">
        <v>3702</v>
      </c>
      <c r="I795" s="6">
        <f ca="1">-Main[[#This Row],[بدهی تسویه شده (کیلوگرم)]]+Main[[#This Row],[بستانکار (کیلوگرم)]]</f>
        <v>3702</v>
      </c>
      <c r="J795" s="6">
        <f>IF(Main[[#This Row],[مقدار (کیلوگرم)]]&gt;0,Main[[#This Row],[مقدار (کیلوگرم)]],0)</f>
        <v>3702</v>
      </c>
      <c r="K795" s="6">
        <f>-IF(Main[[#This Row],[مقدار (کیلوگرم)]]&lt;0,Main[[#This Row],[مقدار (کیلوگرم)]],0)</f>
        <v>0</v>
      </c>
      <c r="L7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5" s="7">
        <f>-IF(AND(Main[[#This Row],[مقدار (کیلوگرم)]]&lt;0,Main[[#This Row],[تاريخ میلادی]]&gt;44276),Main[[#This Row],[مقدار (کیلوگرم)]],0)</f>
        <v>0</v>
      </c>
      <c r="N795" s="6">
        <f ca="1">Main[[#This Row],[بدهکار (کیلوگرم)]]-Main[[#This Row],[بدهی تسویه نشده (کیلوگرم)]]</f>
        <v>0</v>
      </c>
      <c r="O795" s="6">
        <f ca="1">Main[[#This Row],[تفکیک]]</f>
        <v>0</v>
      </c>
      <c r="P795" s="6">
        <f ca="1">IF(Main[[#This Row],[تاخیر از سررسید]]&gt;0,Main[[#This Row],[بدهی تسویه نشده (کیلوگرم)]],0)</f>
        <v>0</v>
      </c>
      <c r="Q795" s="6">
        <f ca="1">IF(Main[[#This Row],[بدهی تسویه نشده (کیلوگرم)]]&gt;0,'گزارش فردی'!$B$7-Main[[#This Row],[تاريخ میلادی]],0)</f>
        <v>0</v>
      </c>
      <c r="R795" s="6">
        <f ca="1">IF(Main[[#This Row],[بدهی تسویه نشده (کیلوگرم)]]&gt;0,'گزارش فردی'!$B$7-Main[[#This Row],[تاريخ میلادی]]-'گزارش فردی'!$B$8,0)</f>
        <v>0</v>
      </c>
      <c r="S795" s="6">
        <f ca="1">Main[[#This Row],[روز از ارسال سفارش]]*Main[[#This Row],[بدهی تسویه نشده (کیلوگرم)]]</f>
        <v>0</v>
      </c>
      <c r="T795" s="6">
        <f ca="1">Main[[#This Row],[بدهی سررسید شده (کیلوگرم)]]*Main[[#This Row],[روز از ارسال سفارش]]</f>
        <v>0</v>
      </c>
      <c r="U795" s="6">
        <f>-SUBTOTAL(9,INDEX(Main[مقدار (کیلوگرم)],1):Main[[#This Row],[مقدار (کیلوگرم)]])</f>
        <v>32034</v>
      </c>
      <c r="V7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5" s="6">
        <f>Main[[#This Row],[تعداد کل روزهای بدهکار (روز)]]*Main[[#This Row],[مانده در خط کل (کیلوگرم)]]</f>
        <v>32034</v>
      </c>
      <c r="X795" s="6">
        <f ca="1">-SUBTOTAL(9,INDEX(Main[مقدار تسویه شده (کیلوگرم)],1):Main[[#This Row],[مقدار تسویه شده (کیلوگرم)]])</f>
        <v>32034</v>
      </c>
      <c r="Y795" s="6">
        <f ca="1">IF(Main[[#This Row],[مانده در خط تسویه شده (کیلوگرم)]]&lt;&gt;0,Main[[#This Row],[تعداد کل روزهای بدهکار (روز)]],0)</f>
        <v>1</v>
      </c>
      <c r="Z795" s="6">
        <f ca="1">Main[[#This Row],[تعداد روزهای بدهکار تسویه شده (روز)]]*Main[[#This Row],[مانده در خط تسویه شده (کیلوگرم)]]</f>
        <v>32034</v>
      </c>
      <c r="AA795" s="6">
        <f ca="1">SUBTOTAL(9,INDEX(Main[بدهی تسویه نشده (کیلوگرم)],1):Main[[#This Row],[بدهی تسویه نشده (کیلوگرم)]])</f>
        <v>0</v>
      </c>
      <c r="AB795" s="6">
        <f ca="1">IF(Main[[#This Row],[مانده در خط تسویه نشده (کیلوگرم)]]&lt;&gt;0,Main[[#This Row],[تعداد کل روزهای بدهکار (روز)]],0)</f>
        <v>0</v>
      </c>
      <c r="AC795" s="6">
        <f ca="1">Main[[#This Row],[تعداد روزهای بدهکار  تسویه نشده (روز)]]*Main[[#This Row],[مانده در خط تسویه نشده (کیلوگرم)]]</f>
        <v>0</v>
      </c>
      <c r="AD795" s="6">
        <f ca="1">SUBTOTAL(9,INDEX(Main[بدهی سررسید شده (کیلوگرم)],1):Main[[#This Row],[بدهی سررسید شده (کیلوگرم)]])</f>
        <v>0</v>
      </c>
      <c r="AE795" s="6">
        <f ca="1">IF(Main[[#This Row],[مانده در خط سررسید شده (کیلوگرم)]]&lt;&gt;0,Main[[#This Row],[تعداد کل روزهای بدهکار (روز)]],0)</f>
        <v>0</v>
      </c>
      <c r="AF795" s="6">
        <f ca="1">Main[[#This Row],[تعداد روزهای بدهکار سررسید شده (روز)]]*Main[[#This Row],[مانده در خط سررسید شده (کیلوگرم)]]</f>
        <v>0</v>
      </c>
    </row>
    <row r="796" spans="1:32" hidden="1" x14ac:dyDescent="0.35">
      <c r="A796" s="5">
        <f>ROW()-ROW(INDEX(Main[ردیف],1))+1</f>
        <v>794</v>
      </c>
      <c r="B796" s="31">
        <f>SUBTOTAL(2,INDEX(Main[ردیف],1):Main[[#This Row],[ردیف]])</f>
        <v>74</v>
      </c>
      <c r="C796" s="32" t="s">
        <v>592</v>
      </c>
      <c r="D796" s="32" t="str">
        <f>_xlfn.CONCAT("14",Main[[#This Row],[تاريخ]])</f>
        <v>1400/03/26</v>
      </c>
      <c r="E796" s="33">
        <v>44363</v>
      </c>
      <c r="F796" s="32">
        <v>30127</v>
      </c>
      <c r="G796" s="5" t="str">
        <f>INDEX(customer[عنوان],MATCH(Main[[#This Row],[کد ردیابی]],customer[کد],0))</f>
        <v>شیر گاز آذران</v>
      </c>
      <c r="H796">
        <v>-16548</v>
      </c>
      <c r="I796" s="6">
        <f ca="1">-Main[[#This Row],[بدهی تسویه شده (کیلوگرم)]]+Main[[#This Row],[بستانکار (کیلوگرم)]]</f>
        <v>-16548</v>
      </c>
      <c r="J796" s="6">
        <f>IF(Main[[#This Row],[مقدار (کیلوگرم)]]&gt;0,Main[[#This Row],[مقدار (کیلوگرم)]],0)</f>
        <v>0</v>
      </c>
      <c r="K796" s="6">
        <f>-IF(Main[[#This Row],[مقدار (کیلوگرم)]]&lt;0,Main[[#This Row],[مقدار (کیلوگرم)]],0)</f>
        <v>16548</v>
      </c>
      <c r="L7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6" s="7">
        <f>-IF(AND(Main[[#This Row],[مقدار (کیلوگرم)]]&lt;0,Main[[#This Row],[تاريخ میلادی]]&gt;44276),Main[[#This Row],[مقدار (کیلوگرم)]],0)</f>
        <v>16548</v>
      </c>
      <c r="N796" s="6">
        <f ca="1">Main[[#This Row],[بدهکار (کیلوگرم)]]-Main[[#This Row],[بدهی تسویه نشده (کیلوگرم)]]</f>
        <v>16548</v>
      </c>
      <c r="O796" s="6">
        <f ca="1">Main[[#This Row],[تفکیک]]</f>
        <v>0</v>
      </c>
      <c r="P796" s="6">
        <f ca="1">IF(Main[[#This Row],[تاخیر از سررسید]]&gt;0,Main[[#This Row],[بدهی تسویه نشده (کیلوگرم)]],0)</f>
        <v>0</v>
      </c>
      <c r="Q796" s="6">
        <f ca="1">IF(Main[[#This Row],[بدهی تسویه نشده (کیلوگرم)]]&gt;0,'گزارش فردی'!$B$7-Main[[#This Row],[تاريخ میلادی]],0)</f>
        <v>0</v>
      </c>
      <c r="R796" s="6">
        <f ca="1">IF(Main[[#This Row],[بدهی تسویه نشده (کیلوگرم)]]&gt;0,'گزارش فردی'!$B$7-Main[[#This Row],[تاريخ میلادی]]-'گزارش فردی'!$B$8,0)</f>
        <v>0</v>
      </c>
      <c r="S796" s="6">
        <f ca="1">Main[[#This Row],[روز از ارسال سفارش]]*Main[[#This Row],[بدهی تسویه نشده (کیلوگرم)]]</f>
        <v>0</v>
      </c>
      <c r="T796" s="6">
        <f ca="1">Main[[#This Row],[بدهی سررسید شده (کیلوگرم)]]*Main[[#This Row],[روز از ارسال سفارش]]</f>
        <v>0</v>
      </c>
      <c r="U796" s="6">
        <f>-SUBTOTAL(9,INDEX(Main[مقدار (کیلوگرم)],1):Main[[#This Row],[مقدار (کیلوگرم)]])</f>
        <v>32034</v>
      </c>
      <c r="V7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6" s="6">
        <f>Main[[#This Row],[تعداد کل روزهای بدهکار (روز)]]*Main[[#This Row],[مانده در خط کل (کیلوگرم)]]</f>
        <v>0</v>
      </c>
      <c r="X796" s="6">
        <f ca="1">-SUBTOTAL(9,INDEX(Main[مقدار تسویه شده (کیلوگرم)],1):Main[[#This Row],[مقدار تسویه شده (کیلوگرم)]])</f>
        <v>32034</v>
      </c>
      <c r="Y796" s="6">
        <f ca="1">IF(Main[[#This Row],[مانده در خط تسویه شده (کیلوگرم)]]&lt;&gt;0,Main[[#This Row],[تعداد کل روزهای بدهکار (روز)]],0)</f>
        <v>0</v>
      </c>
      <c r="Z796" s="6">
        <f ca="1">Main[[#This Row],[تعداد روزهای بدهکار تسویه شده (روز)]]*Main[[#This Row],[مانده در خط تسویه شده (کیلوگرم)]]</f>
        <v>0</v>
      </c>
      <c r="AA796" s="6">
        <f ca="1">SUBTOTAL(9,INDEX(Main[بدهی تسویه نشده (کیلوگرم)],1):Main[[#This Row],[بدهی تسویه نشده (کیلوگرم)]])</f>
        <v>0</v>
      </c>
      <c r="AB796" s="6">
        <f ca="1">IF(Main[[#This Row],[مانده در خط تسویه نشده (کیلوگرم)]]&lt;&gt;0,Main[[#This Row],[تعداد کل روزهای بدهکار (روز)]],0)</f>
        <v>0</v>
      </c>
      <c r="AC796" s="6">
        <f ca="1">Main[[#This Row],[تعداد روزهای بدهکار  تسویه نشده (روز)]]*Main[[#This Row],[مانده در خط تسویه نشده (کیلوگرم)]]</f>
        <v>0</v>
      </c>
      <c r="AD796" s="6">
        <f ca="1">SUBTOTAL(9,INDEX(Main[بدهی سررسید شده (کیلوگرم)],1):Main[[#This Row],[بدهی سررسید شده (کیلوگرم)]])</f>
        <v>0</v>
      </c>
      <c r="AE796" s="6">
        <f ca="1">IF(Main[[#This Row],[مانده در خط سررسید شده (کیلوگرم)]]&lt;&gt;0,Main[[#This Row],[تعداد کل روزهای بدهکار (روز)]],0)</f>
        <v>0</v>
      </c>
      <c r="AF796" s="6">
        <f ca="1">Main[[#This Row],[تعداد روزهای بدهکار سررسید شده (روز)]]*Main[[#This Row],[مانده در خط سررسید شده (کیلوگرم)]]</f>
        <v>0</v>
      </c>
    </row>
    <row r="797" spans="1:32" hidden="1" x14ac:dyDescent="0.35">
      <c r="A797" s="5">
        <f>ROW()-ROW(INDEX(Main[ردیف],1))+1</f>
        <v>795</v>
      </c>
      <c r="B797" s="31">
        <f>SUBTOTAL(2,INDEX(Main[ردیف],1):Main[[#This Row],[ردیف]])</f>
        <v>74</v>
      </c>
      <c r="C797" s="32" t="s">
        <v>592</v>
      </c>
      <c r="D797" s="32" t="str">
        <f>_xlfn.CONCAT("14",Main[[#This Row],[تاريخ]])</f>
        <v>1400/03/26</v>
      </c>
      <c r="E797" s="33">
        <v>44363</v>
      </c>
      <c r="F797" s="32">
        <v>30009</v>
      </c>
      <c r="G797" s="5" t="str">
        <f>INDEX(customer[عنوان],MATCH(Main[[#This Row],[کد ردیابی]],customer[کد],0))</f>
        <v>شرکت ایمن تک پیشرو</v>
      </c>
      <c r="H797">
        <v>2326</v>
      </c>
      <c r="I797" s="6">
        <f ca="1">-Main[[#This Row],[بدهی تسویه شده (کیلوگرم)]]+Main[[#This Row],[بستانکار (کیلوگرم)]]</f>
        <v>2326</v>
      </c>
      <c r="J797" s="6">
        <f>IF(Main[[#This Row],[مقدار (کیلوگرم)]]&gt;0,Main[[#This Row],[مقدار (کیلوگرم)]],0)</f>
        <v>2326</v>
      </c>
      <c r="K797" s="6">
        <f>-IF(Main[[#This Row],[مقدار (کیلوگرم)]]&lt;0,Main[[#This Row],[مقدار (کیلوگرم)]],0)</f>
        <v>0</v>
      </c>
      <c r="L7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7" s="7">
        <f>-IF(AND(Main[[#This Row],[مقدار (کیلوگرم)]]&lt;0,Main[[#This Row],[تاريخ میلادی]]&gt;44276),Main[[#This Row],[مقدار (کیلوگرم)]],0)</f>
        <v>0</v>
      </c>
      <c r="N797" s="6">
        <f ca="1">Main[[#This Row],[بدهکار (کیلوگرم)]]-Main[[#This Row],[بدهی تسویه نشده (کیلوگرم)]]</f>
        <v>0</v>
      </c>
      <c r="O797" s="6">
        <f ca="1">Main[[#This Row],[تفکیک]]</f>
        <v>0</v>
      </c>
      <c r="P797" s="6">
        <f ca="1">IF(Main[[#This Row],[تاخیر از سررسید]]&gt;0,Main[[#This Row],[بدهی تسویه نشده (کیلوگرم)]],0)</f>
        <v>0</v>
      </c>
      <c r="Q797" s="6">
        <f ca="1">IF(Main[[#This Row],[بدهی تسویه نشده (کیلوگرم)]]&gt;0,'گزارش فردی'!$B$7-Main[[#This Row],[تاريخ میلادی]],0)</f>
        <v>0</v>
      </c>
      <c r="R797" s="6">
        <f ca="1">IF(Main[[#This Row],[بدهی تسویه نشده (کیلوگرم)]]&gt;0,'گزارش فردی'!$B$7-Main[[#This Row],[تاريخ میلادی]]-'گزارش فردی'!$B$8,0)</f>
        <v>0</v>
      </c>
      <c r="S797" s="6">
        <f ca="1">Main[[#This Row],[روز از ارسال سفارش]]*Main[[#This Row],[بدهی تسویه نشده (کیلوگرم)]]</f>
        <v>0</v>
      </c>
      <c r="T797" s="6">
        <f ca="1">Main[[#This Row],[بدهی سررسید شده (کیلوگرم)]]*Main[[#This Row],[روز از ارسال سفارش]]</f>
        <v>0</v>
      </c>
      <c r="U797" s="6">
        <f>-SUBTOTAL(9,INDEX(Main[مقدار (کیلوگرم)],1):Main[[#This Row],[مقدار (کیلوگرم)]])</f>
        <v>32034</v>
      </c>
      <c r="V7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7" s="6">
        <f>Main[[#This Row],[تعداد کل روزهای بدهکار (روز)]]*Main[[#This Row],[مانده در خط کل (کیلوگرم)]]</f>
        <v>0</v>
      </c>
      <c r="X797" s="6">
        <f ca="1">-SUBTOTAL(9,INDEX(Main[مقدار تسویه شده (کیلوگرم)],1):Main[[#This Row],[مقدار تسویه شده (کیلوگرم)]])</f>
        <v>32034</v>
      </c>
      <c r="Y797" s="6">
        <f ca="1">IF(Main[[#This Row],[مانده در خط تسویه شده (کیلوگرم)]]&lt;&gt;0,Main[[#This Row],[تعداد کل روزهای بدهکار (روز)]],0)</f>
        <v>0</v>
      </c>
      <c r="Z797" s="6">
        <f ca="1">Main[[#This Row],[تعداد روزهای بدهکار تسویه شده (روز)]]*Main[[#This Row],[مانده در خط تسویه شده (کیلوگرم)]]</f>
        <v>0</v>
      </c>
      <c r="AA797" s="6">
        <f ca="1">SUBTOTAL(9,INDEX(Main[بدهی تسویه نشده (کیلوگرم)],1):Main[[#This Row],[بدهی تسویه نشده (کیلوگرم)]])</f>
        <v>0</v>
      </c>
      <c r="AB797" s="6">
        <f ca="1">IF(Main[[#This Row],[مانده در خط تسویه نشده (کیلوگرم)]]&lt;&gt;0,Main[[#This Row],[تعداد کل روزهای بدهکار (روز)]],0)</f>
        <v>0</v>
      </c>
      <c r="AC797" s="6">
        <f ca="1">Main[[#This Row],[تعداد روزهای بدهکار  تسویه نشده (روز)]]*Main[[#This Row],[مانده در خط تسویه نشده (کیلوگرم)]]</f>
        <v>0</v>
      </c>
      <c r="AD797" s="6">
        <f ca="1">SUBTOTAL(9,INDEX(Main[بدهی سررسید شده (کیلوگرم)],1):Main[[#This Row],[بدهی سررسید شده (کیلوگرم)]])</f>
        <v>0</v>
      </c>
      <c r="AE797" s="6">
        <f ca="1">IF(Main[[#This Row],[مانده در خط سررسید شده (کیلوگرم)]]&lt;&gt;0,Main[[#This Row],[تعداد کل روزهای بدهکار (روز)]],0)</f>
        <v>0</v>
      </c>
      <c r="AF797" s="6">
        <f ca="1">Main[[#This Row],[تعداد روزهای بدهکار سررسید شده (روز)]]*Main[[#This Row],[مانده در خط سررسید شده (کیلوگرم)]]</f>
        <v>0</v>
      </c>
    </row>
    <row r="798" spans="1:32" hidden="1" x14ac:dyDescent="0.35">
      <c r="A798" s="5">
        <f>ROW()-ROW(INDEX(Main[ردیف],1))+1</f>
        <v>796</v>
      </c>
      <c r="B798" s="31">
        <f>SUBTOTAL(2,INDEX(Main[ردیف],1):Main[[#This Row],[ردیف]])</f>
        <v>74</v>
      </c>
      <c r="C798" s="32" t="s">
        <v>592</v>
      </c>
      <c r="D798" s="32" t="str">
        <f>_xlfn.CONCAT("14",Main[[#This Row],[تاريخ]])</f>
        <v>1400/03/26</v>
      </c>
      <c r="E798" s="33">
        <v>44363</v>
      </c>
      <c r="F798" s="32">
        <v>30186</v>
      </c>
      <c r="G798" s="5" t="str">
        <f>INDEX(customer[عنوان],MATCH(Main[[#This Row],[کد ردیابی]],customer[کد],0))</f>
        <v>سارا گاز</v>
      </c>
      <c r="H798">
        <v>-358</v>
      </c>
      <c r="I798" s="6">
        <f ca="1">-Main[[#This Row],[بدهی تسویه شده (کیلوگرم)]]+Main[[#This Row],[بستانکار (کیلوگرم)]]</f>
        <v>-358</v>
      </c>
      <c r="J798" s="6">
        <f>IF(Main[[#This Row],[مقدار (کیلوگرم)]]&gt;0,Main[[#This Row],[مقدار (کیلوگرم)]],0)</f>
        <v>0</v>
      </c>
      <c r="K798" s="6">
        <f>-IF(Main[[#This Row],[مقدار (کیلوگرم)]]&lt;0,Main[[#This Row],[مقدار (کیلوگرم)]],0)</f>
        <v>358</v>
      </c>
      <c r="L7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8" s="7">
        <f>-IF(AND(Main[[#This Row],[مقدار (کیلوگرم)]]&lt;0,Main[[#This Row],[تاريخ میلادی]]&gt;44276),Main[[#This Row],[مقدار (کیلوگرم)]],0)</f>
        <v>358</v>
      </c>
      <c r="N798" s="6">
        <f ca="1">Main[[#This Row],[بدهکار (کیلوگرم)]]-Main[[#This Row],[بدهی تسویه نشده (کیلوگرم)]]</f>
        <v>358</v>
      </c>
      <c r="O798" s="6">
        <f ca="1">Main[[#This Row],[تفکیک]]</f>
        <v>0</v>
      </c>
      <c r="P798" s="6">
        <f ca="1">IF(Main[[#This Row],[تاخیر از سررسید]]&gt;0,Main[[#This Row],[بدهی تسویه نشده (کیلوگرم)]],0)</f>
        <v>0</v>
      </c>
      <c r="Q798" s="6">
        <f ca="1">IF(Main[[#This Row],[بدهی تسویه نشده (کیلوگرم)]]&gt;0,'گزارش فردی'!$B$7-Main[[#This Row],[تاريخ میلادی]],0)</f>
        <v>0</v>
      </c>
      <c r="R798" s="6">
        <f ca="1">IF(Main[[#This Row],[بدهی تسویه نشده (کیلوگرم)]]&gt;0,'گزارش فردی'!$B$7-Main[[#This Row],[تاريخ میلادی]]-'گزارش فردی'!$B$8,0)</f>
        <v>0</v>
      </c>
      <c r="S798" s="6">
        <f ca="1">Main[[#This Row],[روز از ارسال سفارش]]*Main[[#This Row],[بدهی تسویه نشده (کیلوگرم)]]</f>
        <v>0</v>
      </c>
      <c r="T798" s="6">
        <f ca="1">Main[[#This Row],[بدهی سررسید شده (کیلوگرم)]]*Main[[#This Row],[روز از ارسال سفارش]]</f>
        <v>0</v>
      </c>
      <c r="U798" s="6">
        <f>-SUBTOTAL(9,INDEX(Main[مقدار (کیلوگرم)],1):Main[[#This Row],[مقدار (کیلوگرم)]])</f>
        <v>32034</v>
      </c>
      <c r="V7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8" s="6">
        <f>Main[[#This Row],[تعداد کل روزهای بدهکار (روز)]]*Main[[#This Row],[مانده در خط کل (کیلوگرم)]]</f>
        <v>0</v>
      </c>
      <c r="X798" s="6">
        <f ca="1">-SUBTOTAL(9,INDEX(Main[مقدار تسویه شده (کیلوگرم)],1):Main[[#This Row],[مقدار تسویه شده (کیلوگرم)]])</f>
        <v>32034</v>
      </c>
      <c r="Y798" s="6">
        <f ca="1">IF(Main[[#This Row],[مانده در خط تسویه شده (کیلوگرم)]]&lt;&gt;0,Main[[#This Row],[تعداد کل روزهای بدهکار (روز)]],0)</f>
        <v>0</v>
      </c>
      <c r="Z798" s="6">
        <f ca="1">Main[[#This Row],[تعداد روزهای بدهکار تسویه شده (روز)]]*Main[[#This Row],[مانده در خط تسویه شده (کیلوگرم)]]</f>
        <v>0</v>
      </c>
      <c r="AA798" s="6">
        <f ca="1">SUBTOTAL(9,INDEX(Main[بدهی تسویه نشده (کیلوگرم)],1):Main[[#This Row],[بدهی تسویه نشده (کیلوگرم)]])</f>
        <v>0</v>
      </c>
      <c r="AB798" s="6">
        <f ca="1">IF(Main[[#This Row],[مانده در خط تسویه نشده (کیلوگرم)]]&lt;&gt;0,Main[[#This Row],[تعداد کل روزهای بدهکار (روز)]],0)</f>
        <v>0</v>
      </c>
      <c r="AC798" s="6">
        <f ca="1">Main[[#This Row],[تعداد روزهای بدهکار  تسویه نشده (روز)]]*Main[[#This Row],[مانده در خط تسویه نشده (کیلوگرم)]]</f>
        <v>0</v>
      </c>
      <c r="AD798" s="6">
        <f ca="1">SUBTOTAL(9,INDEX(Main[بدهی سررسید شده (کیلوگرم)],1):Main[[#This Row],[بدهی سررسید شده (کیلوگرم)]])</f>
        <v>0</v>
      </c>
      <c r="AE798" s="6">
        <f ca="1">IF(Main[[#This Row],[مانده در خط سررسید شده (کیلوگرم)]]&lt;&gt;0,Main[[#This Row],[تعداد کل روزهای بدهکار (روز)]],0)</f>
        <v>0</v>
      </c>
      <c r="AF798" s="6">
        <f ca="1">Main[[#This Row],[تعداد روزهای بدهکار سررسید شده (روز)]]*Main[[#This Row],[مانده در خط سررسید شده (کیلوگرم)]]</f>
        <v>0</v>
      </c>
    </row>
    <row r="799" spans="1:32" hidden="1" x14ac:dyDescent="0.35">
      <c r="A799" s="5">
        <f>ROW()-ROW(INDEX(Main[ردیف],1))+1</f>
        <v>797</v>
      </c>
      <c r="B799" s="31">
        <f>SUBTOTAL(2,INDEX(Main[ردیف],1):Main[[#This Row],[ردیف]])</f>
        <v>74</v>
      </c>
      <c r="C799" s="32" t="s">
        <v>592</v>
      </c>
      <c r="D799" s="32" t="str">
        <f>_xlfn.CONCAT("14",Main[[#This Row],[تاريخ]])</f>
        <v>1400/03/26</v>
      </c>
      <c r="E799" s="33">
        <v>44363</v>
      </c>
      <c r="F799" s="32">
        <v>30017</v>
      </c>
      <c r="G799" s="5" t="str">
        <f>INDEX(customer[عنوان],MATCH(Main[[#This Row],[کد ردیابی]],customer[کد],0))</f>
        <v xml:space="preserve">البرز یدک </v>
      </c>
      <c r="H799">
        <v>1976</v>
      </c>
      <c r="I799" s="6">
        <f ca="1">-Main[[#This Row],[بدهی تسویه شده (کیلوگرم)]]+Main[[#This Row],[بستانکار (کیلوگرم)]]</f>
        <v>1976</v>
      </c>
      <c r="J799" s="6">
        <f>IF(Main[[#This Row],[مقدار (کیلوگرم)]]&gt;0,Main[[#This Row],[مقدار (کیلوگرم)]],0)</f>
        <v>1976</v>
      </c>
      <c r="K799" s="6">
        <f>-IF(Main[[#This Row],[مقدار (کیلوگرم)]]&lt;0,Main[[#This Row],[مقدار (کیلوگرم)]],0)</f>
        <v>0</v>
      </c>
      <c r="L7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9" s="7">
        <f>-IF(AND(Main[[#This Row],[مقدار (کیلوگرم)]]&lt;0,Main[[#This Row],[تاريخ میلادی]]&gt;44276),Main[[#This Row],[مقدار (کیلوگرم)]],0)</f>
        <v>0</v>
      </c>
      <c r="N799" s="6">
        <f ca="1">Main[[#This Row],[بدهکار (کیلوگرم)]]-Main[[#This Row],[بدهی تسویه نشده (کیلوگرم)]]</f>
        <v>0</v>
      </c>
      <c r="O799" s="6">
        <f ca="1">Main[[#This Row],[تفکیک]]</f>
        <v>0</v>
      </c>
      <c r="P799" s="6">
        <f ca="1">IF(Main[[#This Row],[تاخیر از سررسید]]&gt;0,Main[[#This Row],[بدهی تسویه نشده (کیلوگرم)]],0)</f>
        <v>0</v>
      </c>
      <c r="Q799" s="6">
        <f ca="1">IF(Main[[#This Row],[بدهی تسویه نشده (کیلوگرم)]]&gt;0,'گزارش فردی'!$B$7-Main[[#This Row],[تاريخ میلادی]],0)</f>
        <v>0</v>
      </c>
      <c r="R799" s="6">
        <f ca="1">IF(Main[[#This Row],[بدهی تسویه نشده (کیلوگرم)]]&gt;0,'گزارش فردی'!$B$7-Main[[#This Row],[تاريخ میلادی]]-'گزارش فردی'!$B$8,0)</f>
        <v>0</v>
      </c>
      <c r="S799" s="6">
        <f ca="1">Main[[#This Row],[روز از ارسال سفارش]]*Main[[#This Row],[بدهی تسویه نشده (کیلوگرم)]]</f>
        <v>0</v>
      </c>
      <c r="T799" s="6">
        <f ca="1">Main[[#This Row],[بدهی سررسید شده (کیلوگرم)]]*Main[[#This Row],[روز از ارسال سفارش]]</f>
        <v>0</v>
      </c>
      <c r="U799" s="6">
        <f>-SUBTOTAL(9,INDEX(Main[مقدار (کیلوگرم)],1):Main[[#This Row],[مقدار (کیلوگرم)]])</f>
        <v>32034</v>
      </c>
      <c r="V7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9" s="6">
        <f>Main[[#This Row],[تعداد کل روزهای بدهکار (روز)]]*Main[[#This Row],[مانده در خط کل (کیلوگرم)]]</f>
        <v>0</v>
      </c>
      <c r="X799" s="6">
        <f ca="1">-SUBTOTAL(9,INDEX(Main[مقدار تسویه شده (کیلوگرم)],1):Main[[#This Row],[مقدار تسویه شده (کیلوگرم)]])</f>
        <v>32034</v>
      </c>
      <c r="Y799" s="6">
        <f ca="1">IF(Main[[#This Row],[مانده در خط تسویه شده (کیلوگرم)]]&lt;&gt;0,Main[[#This Row],[تعداد کل روزهای بدهکار (روز)]],0)</f>
        <v>0</v>
      </c>
      <c r="Z799" s="6">
        <f ca="1">Main[[#This Row],[تعداد روزهای بدهکار تسویه شده (روز)]]*Main[[#This Row],[مانده در خط تسویه شده (کیلوگرم)]]</f>
        <v>0</v>
      </c>
      <c r="AA799" s="6">
        <f ca="1">SUBTOTAL(9,INDEX(Main[بدهی تسویه نشده (کیلوگرم)],1):Main[[#This Row],[بدهی تسویه نشده (کیلوگرم)]])</f>
        <v>0</v>
      </c>
      <c r="AB799" s="6">
        <f ca="1">IF(Main[[#This Row],[مانده در خط تسویه نشده (کیلوگرم)]]&lt;&gt;0,Main[[#This Row],[تعداد کل روزهای بدهکار (روز)]],0)</f>
        <v>0</v>
      </c>
      <c r="AC799" s="6">
        <f ca="1">Main[[#This Row],[تعداد روزهای بدهکار  تسویه نشده (روز)]]*Main[[#This Row],[مانده در خط تسویه نشده (کیلوگرم)]]</f>
        <v>0</v>
      </c>
      <c r="AD799" s="6">
        <f ca="1">SUBTOTAL(9,INDEX(Main[بدهی سررسید شده (کیلوگرم)],1):Main[[#This Row],[بدهی سررسید شده (کیلوگرم)]])</f>
        <v>0</v>
      </c>
      <c r="AE799" s="6">
        <f ca="1">IF(Main[[#This Row],[مانده در خط سررسید شده (کیلوگرم)]]&lt;&gt;0,Main[[#This Row],[تعداد کل روزهای بدهکار (روز)]],0)</f>
        <v>0</v>
      </c>
      <c r="AF799" s="6">
        <f ca="1">Main[[#This Row],[تعداد روزهای بدهکار سررسید شده (روز)]]*Main[[#This Row],[مانده در خط سررسید شده (کیلوگرم)]]</f>
        <v>0</v>
      </c>
    </row>
    <row r="800" spans="1:32" x14ac:dyDescent="0.35">
      <c r="A800" s="5">
        <f>ROW()-ROW(INDEX(Main[ردیف],1))+1</f>
        <v>798</v>
      </c>
      <c r="B800" s="31">
        <f>SUBTOTAL(2,INDEX(Main[ردیف],1):Main[[#This Row],[ردیف]])</f>
        <v>75</v>
      </c>
      <c r="C800" s="32" t="s">
        <v>592</v>
      </c>
      <c r="D800" s="32" t="str">
        <f>_xlfn.CONCAT("14",Main[[#This Row],[تاريخ]])</f>
        <v>1400/03/26</v>
      </c>
      <c r="E800" s="33">
        <v>44363</v>
      </c>
      <c r="F800" s="32">
        <v>10003</v>
      </c>
      <c r="G800" s="5" t="str">
        <f>INDEX(customer[عنوان],MATCH(Main[[#This Row],[کد ردیابی]],customer[کد],0))</f>
        <v>اصغر نورعلی</v>
      </c>
      <c r="H800">
        <v>-520</v>
      </c>
      <c r="I800" s="6">
        <f ca="1">-Main[[#This Row],[بدهی تسویه شده (کیلوگرم)]]+Main[[#This Row],[بستانکار (کیلوگرم)]]</f>
        <v>-520</v>
      </c>
      <c r="J800" s="6">
        <f>IF(Main[[#This Row],[مقدار (کیلوگرم)]]&gt;0,Main[[#This Row],[مقدار (کیلوگرم)]],0)</f>
        <v>0</v>
      </c>
      <c r="K800" s="6">
        <f>-IF(Main[[#This Row],[مقدار (کیلوگرم)]]&lt;0,Main[[#This Row],[مقدار (کیلوگرم)]],0)</f>
        <v>520</v>
      </c>
      <c r="L8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0" s="7">
        <f>-IF(AND(Main[[#This Row],[مقدار (کیلوگرم)]]&lt;0,Main[[#This Row],[تاريخ میلادی]]&gt;44276),Main[[#This Row],[مقدار (کیلوگرم)]],0)</f>
        <v>520</v>
      </c>
      <c r="N800" s="6">
        <f ca="1">Main[[#This Row],[بدهکار (کیلوگرم)]]-Main[[#This Row],[بدهی تسویه نشده (کیلوگرم)]]</f>
        <v>520</v>
      </c>
      <c r="O800" s="6">
        <f ca="1">Main[[#This Row],[تفکیک]]</f>
        <v>0</v>
      </c>
      <c r="P800" s="6">
        <f ca="1">IF(Main[[#This Row],[تاخیر از سررسید]]&gt;0,Main[[#This Row],[بدهی تسویه نشده (کیلوگرم)]],0)</f>
        <v>0</v>
      </c>
      <c r="Q800" s="6">
        <f ca="1">IF(Main[[#This Row],[بدهی تسویه نشده (کیلوگرم)]]&gt;0,'گزارش فردی'!$B$7-Main[[#This Row],[تاريخ میلادی]],0)</f>
        <v>0</v>
      </c>
      <c r="R800" s="6">
        <f ca="1">IF(Main[[#This Row],[بدهی تسویه نشده (کیلوگرم)]]&gt;0,'گزارش فردی'!$B$7-Main[[#This Row],[تاريخ میلادی]]-'گزارش فردی'!$B$8,0)</f>
        <v>0</v>
      </c>
      <c r="S800" s="6">
        <f ca="1">Main[[#This Row],[روز از ارسال سفارش]]*Main[[#This Row],[بدهی تسویه نشده (کیلوگرم)]]</f>
        <v>0</v>
      </c>
      <c r="T800" s="6">
        <f ca="1">Main[[#This Row],[بدهی سررسید شده (کیلوگرم)]]*Main[[#This Row],[روز از ارسال سفارش]]</f>
        <v>0</v>
      </c>
      <c r="U800" s="6">
        <f>-SUBTOTAL(9,INDEX(Main[مقدار (کیلوگرم)],1):Main[[#This Row],[مقدار (کیلوگرم)]])</f>
        <v>32554</v>
      </c>
      <c r="V8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0" s="6">
        <f>Main[[#This Row],[تعداد کل روزهای بدهکار (روز)]]*Main[[#This Row],[مانده در خط کل (کیلوگرم)]]</f>
        <v>32554</v>
      </c>
      <c r="X800" s="6">
        <f ca="1">-SUBTOTAL(9,INDEX(Main[مقدار تسویه شده (کیلوگرم)],1):Main[[#This Row],[مقدار تسویه شده (کیلوگرم)]])</f>
        <v>32554</v>
      </c>
      <c r="Y800" s="6">
        <f ca="1">IF(Main[[#This Row],[مانده در خط تسویه شده (کیلوگرم)]]&lt;&gt;0,Main[[#This Row],[تعداد کل روزهای بدهکار (روز)]],0)</f>
        <v>1</v>
      </c>
      <c r="Z800" s="6">
        <f ca="1">Main[[#This Row],[تعداد روزهای بدهکار تسویه شده (روز)]]*Main[[#This Row],[مانده در خط تسویه شده (کیلوگرم)]]</f>
        <v>32554</v>
      </c>
      <c r="AA800" s="6">
        <f ca="1">SUBTOTAL(9,INDEX(Main[بدهی تسویه نشده (کیلوگرم)],1):Main[[#This Row],[بدهی تسویه نشده (کیلوگرم)]])</f>
        <v>0</v>
      </c>
      <c r="AB800" s="6">
        <f ca="1">IF(Main[[#This Row],[مانده در خط تسویه نشده (کیلوگرم)]]&lt;&gt;0,Main[[#This Row],[تعداد کل روزهای بدهکار (روز)]],0)</f>
        <v>0</v>
      </c>
      <c r="AC800" s="6">
        <f ca="1">Main[[#This Row],[تعداد روزهای بدهکار  تسویه نشده (روز)]]*Main[[#This Row],[مانده در خط تسویه نشده (کیلوگرم)]]</f>
        <v>0</v>
      </c>
      <c r="AD800" s="6">
        <f ca="1">SUBTOTAL(9,INDEX(Main[بدهی سررسید شده (کیلوگرم)],1):Main[[#This Row],[بدهی سررسید شده (کیلوگرم)]])</f>
        <v>0</v>
      </c>
      <c r="AE800" s="6">
        <f ca="1">IF(Main[[#This Row],[مانده در خط سررسید شده (کیلوگرم)]]&lt;&gt;0,Main[[#This Row],[تعداد کل روزهای بدهکار (روز)]],0)</f>
        <v>0</v>
      </c>
      <c r="AF800" s="6">
        <f ca="1">Main[[#This Row],[تعداد روزهای بدهکار سررسید شده (روز)]]*Main[[#This Row],[مانده در خط سررسید شده (کیلوگرم)]]</f>
        <v>0</v>
      </c>
    </row>
    <row r="801" spans="1:32" hidden="1" x14ac:dyDescent="0.35">
      <c r="A801" s="5">
        <f>ROW()-ROW(INDEX(Main[ردیف],1))+1</f>
        <v>799</v>
      </c>
      <c r="B801" s="31">
        <f>SUBTOTAL(2,INDEX(Main[ردیف],1):Main[[#This Row],[ردیف]])</f>
        <v>75</v>
      </c>
      <c r="C801" s="32" t="s">
        <v>592</v>
      </c>
      <c r="D801" s="32" t="str">
        <f>_xlfn.CONCAT("14",Main[[#This Row],[تاريخ]])</f>
        <v>1400/03/26</v>
      </c>
      <c r="E801" s="33">
        <v>44363</v>
      </c>
      <c r="F801" s="32">
        <v>30127</v>
      </c>
      <c r="G801" s="5" t="str">
        <f>INDEX(customer[عنوان],MATCH(Main[[#This Row],[کد ردیابی]],customer[کد],0))</f>
        <v>شیر گاز آذران</v>
      </c>
      <c r="H801">
        <v>14449</v>
      </c>
      <c r="I801" s="6">
        <f ca="1">-Main[[#This Row],[بدهی تسویه شده (کیلوگرم)]]+Main[[#This Row],[بستانکار (کیلوگرم)]]</f>
        <v>14449</v>
      </c>
      <c r="J801" s="6">
        <f>IF(Main[[#This Row],[مقدار (کیلوگرم)]]&gt;0,Main[[#This Row],[مقدار (کیلوگرم)]],0)</f>
        <v>14449</v>
      </c>
      <c r="K801" s="6">
        <f>-IF(Main[[#This Row],[مقدار (کیلوگرم)]]&lt;0,Main[[#This Row],[مقدار (کیلوگرم)]],0)</f>
        <v>0</v>
      </c>
      <c r="L8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1" s="7">
        <f>-IF(AND(Main[[#This Row],[مقدار (کیلوگرم)]]&lt;0,Main[[#This Row],[تاريخ میلادی]]&gt;44276),Main[[#This Row],[مقدار (کیلوگرم)]],0)</f>
        <v>0</v>
      </c>
      <c r="N801" s="6">
        <f ca="1">Main[[#This Row],[بدهکار (کیلوگرم)]]-Main[[#This Row],[بدهی تسویه نشده (کیلوگرم)]]</f>
        <v>0</v>
      </c>
      <c r="O801" s="6">
        <f ca="1">Main[[#This Row],[تفکیک]]</f>
        <v>0</v>
      </c>
      <c r="P801" s="6">
        <f ca="1">IF(Main[[#This Row],[تاخیر از سررسید]]&gt;0,Main[[#This Row],[بدهی تسویه نشده (کیلوگرم)]],0)</f>
        <v>0</v>
      </c>
      <c r="Q801" s="6">
        <f ca="1">IF(Main[[#This Row],[بدهی تسویه نشده (کیلوگرم)]]&gt;0,'گزارش فردی'!$B$7-Main[[#This Row],[تاريخ میلادی]],0)</f>
        <v>0</v>
      </c>
      <c r="R801" s="6">
        <f ca="1">IF(Main[[#This Row],[بدهی تسویه نشده (کیلوگرم)]]&gt;0,'گزارش فردی'!$B$7-Main[[#This Row],[تاريخ میلادی]]-'گزارش فردی'!$B$8,0)</f>
        <v>0</v>
      </c>
      <c r="S801" s="6">
        <f ca="1">Main[[#This Row],[روز از ارسال سفارش]]*Main[[#This Row],[بدهی تسویه نشده (کیلوگرم)]]</f>
        <v>0</v>
      </c>
      <c r="T801" s="6">
        <f ca="1">Main[[#This Row],[بدهی سررسید شده (کیلوگرم)]]*Main[[#This Row],[روز از ارسال سفارش]]</f>
        <v>0</v>
      </c>
      <c r="U801" s="6">
        <f>-SUBTOTAL(9,INDEX(Main[مقدار (کیلوگرم)],1):Main[[#This Row],[مقدار (کیلوگرم)]])</f>
        <v>32554</v>
      </c>
      <c r="V8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1" s="6">
        <f>Main[[#This Row],[تعداد کل روزهای بدهکار (روز)]]*Main[[#This Row],[مانده در خط کل (کیلوگرم)]]</f>
        <v>32554</v>
      </c>
      <c r="X801" s="6">
        <f ca="1">-SUBTOTAL(9,INDEX(Main[مقدار تسویه شده (کیلوگرم)],1):Main[[#This Row],[مقدار تسویه شده (کیلوگرم)]])</f>
        <v>32554</v>
      </c>
      <c r="Y801" s="6">
        <f ca="1">IF(Main[[#This Row],[مانده در خط تسویه شده (کیلوگرم)]]&lt;&gt;0,Main[[#This Row],[تعداد کل روزهای بدهکار (روز)]],0)</f>
        <v>1</v>
      </c>
      <c r="Z801" s="6">
        <f ca="1">Main[[#This Row],[تعداد روزهای بدهکار تسویه شده (روز)]]*Main[[#This Row],[مانده در خط تسویه شده (کیلوگرم)]]</f>
        <v>32554</v>
      </c>
      <c r="AA801" s="6">
        <f ca="1">SUBTOTAL(9,INDEX(Main[بدهی تسویه نشده (کیلوگرم)],1):Main[[#This Row],[بدهی تسویه نشده (کیلوگرم)]])</f>
        <v>0</v>
      </c>
      <c r="AB801" s="6">
        <f ca="1">IF(Main[[#This Row],[مانده در خط تسویه نشده (کیلوگرم)]]&lt;&gt;0,Main[[#This Row],[تعداد کل روزهای بدهکار (روز)]],0)</f>
        <v>0</v>
      </c>
      <c r="AC801" s="6">
        <f ca="1">Main[[#This Row],[تعداد روزهای بدهکار  تسویه نشده (روز)]]*Main[[#This Row],[مانده در خط تسویه نشده (کیلوگرم)]]</f>
        <v>0</v>
      </c>
      <c r="AD801" s="6">
        <f ca="1">SUBTOTAL(9,INDEX(Main[بدهی سررسید شده (کیلوگرم)],1):Main[[#This Row],[بدهی سررسید شده (کیلوگرم)]])</f>
        <v>0</v>
      </c>
      <c r="AE801" s="6">
        <f ca="1">IF(Main[[#This Row],[مانده در خط سررسید شده (کیلوگرم)]]&lt;&gt;0,Main[[#This Row],[تعداد کل روزهای بدهکار (روز)]],0)</f>
        <v>0</v>
      </c>
      <c r="AF801" s="6">
        <f ca="1">Main[[#This Row],[تعداد روزهای بدهکار سررسید شده (روز)]]*Main[[#This Row],[مانده در خط سررسید شده (کیلوگرم)]]</f>
        <v>0</v>
      </c>
    </row>
    <row r="802" spans="1:32" hidden="1" x14ac:dyDescent="0.35">
      <c r="A802" s="5">
        <f>ROW()-ROW(INDEX(Main[ردیف],1))+1</f>
        <v>800</v>
      </c>
      <c r="B802" s="31">
        <f>SUBTOTAL(2,INDEX(Main[ردیف],1):Main[[#This Row],[ردیف]])</f>
        <v>75</v>
      </c>
      <c r="C802" s="32" t="s">
        <v>592</v>
      </c>
      <c r="D802" s="32" t="str">
        <f>_xlfn.CONCAT("14",Main[[#This Row],[تاريخ]])</f>
        <v>1400/03/26</v>
      </c>
      <c r="E802" s="33">
        <v>44363</v>
      </c>
      <c r="F802" s="32">
        <v>30009</v>
      </c>
      <c r="G802" s="5" t="str">
        <f>INDEX(customer[عنوان],MATCH(Main[[#This Row],[کد ردیابی]],customer[کد],0))</f>
        <v>شرکت ایمن تک پیشرو</v>
      </c>
      <c r="H802">
        <v>-1032</v>
      </c>
      <c r="I802" s="6">
        <f ca="1">-Main[[#This Row],[بدهی تسویه شده (کیلوگرم)]]+Main[[#This Row],[بستانکار (کیلوگرم)]]</f>
        <v>-1032</v>
      </c>
      <c r="J802" s="6">
        <f>IF(Main[[#This Row],[مقدار (کیلوگرم)]]&gt;0,Main[[#This Row],[مقدار (کیلوگرم)]],0)</f>
        <v>0</v>
      </c>
      <c r="K802" s="6">
        <f>-IF(Main[[#This Row],[مقدار (کیلوگرم)]]&lt;0,Main[[#This Row],[مقدار (کیلوگرم)]],0)</f>
        <v>1032</v>
      </c>
      <c r="L8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2" s="7">
        <f>-IF(AND(Main[[#This Row],[مقدار (کیلوگرم)]]&lt;0,Main[[#This Row],[تاريخ میلادی]]&gt;44276),Main[[#This Row],[مقدار (کیلوگرم)]],0)</f>
        <v>1032</v>
      </c>
      <c r="N802" s="6">
        <f ca="1">Main[[#This Row],[بدهکار (کیلوگرم)]]-Main[[#This Row],[بدهی تسویه نشده (کیلوگرم)]]</f>
        <v>1032</v>
      </c>
      <c r="O802" s="6">
        <f ca="1">Main[[#This Row],[تفکیک]]</f>
        <v>0</v>
      </c>
      <c r="P802" s="6">
        <f ca="1">IF(Main[[#This Row],[تاخیر از سررسید]]&gt;0,Main[[#This Row],[بدهی تسویه نشده (کیلوگرم)]],0)</f>
        <v>0</v>
      </c>
      <c r="Q802" s="6">
        <f ca="1">IF(Main[[#This Row],[بدهی تسویه نشده (کیلوگرم)]]&gt;0,'گزارش فردی'!$B$7-Main[[#This Row],[تاريخ میلادی]],0)</f>
        <v>0</v>
      </c>
      <c r="R802" s="6">
        <f ca="1">IF(Main[[#This Row],[بدهی تسویه نشده (کیلوگرم)]]&gt;0,'گزارش فردی'!$B$7-Main[[#This Row],[تاريخ میلادی]]-'گزارش فردی'!$B$8,0)</f>
        <v>0</v>
      </c>
      <c r="S802" s="6">
        <f ca="1">Main[[#This Row],[روز از ارسال سفارش]]*Main[[#This Row],[بدهی تسویه نشده (کیلوگرم)]]</f>
        <v>0</v>
      </c>
      <c r="T802" s="6">
        <f ca="1">Main[[#This Row],[بدهی سررسید شده (کیلوگرم)]]*Main[[#This Row],[روز از ارسال سفارش]]</f>
        <v>0</v>
      </c>
      <c r="U802" s="6">
        <f>-SUBTOTAL(9,INDEX(Main[مقدار (کیلوگرم)],1):Main[[#This Row],[مقدار (کیلوگرم)]])</f>
        <v>32554</v>
      </c>
      <c r="V8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2" s="6">
        <f>Main[[#This Row],[تعداد کل روزهای بدهکار (روز)]]*Main[[#This Row],[مانده در خط کل (کیلوگرم)]]</f>
        <v>32554</v>
      </c>
      <c r="X802" s="6">
        <f ca="1">-SUBTOTAL(9,INDEX(Main[مقدار تسویه شده (کیلوگرم)],1):Main[[#This Row],[مقدار تسویه شده (کیلوگرم)]])</f>
        <v>32554</v>
      </c>
      <c r="Y802" s="6">
        <f ca="1">IF(Main[[#This Row],[مانده در خط تسویه شده (کیلوگرم)]]&lt;&gt;0,Main[[#This Row],[تعداد کل روزهای بدهکار (روز)]],0)</f>
        <v>1</v>
      </c>
      <c r="Z802" s="6">
        <f ca="1">Main[[#This Row],[تعداد روزهای بدهکار تسویه شده (روز)]]*Main[[#This Row],[مانده در خط تسویه شده (کیلوگرم)]]</f>
        <v>32554</v>
      </c>
      <c r="AA802" s="6">
        <f ca="1">SUBTOTAL(9,INDEX(Main[بدهی تسویه نشده (کیلوگرم)],1):Main[[#This Row],[بدهی تسویه نشده (کیلوگرم)]])</f>
        <v>0</v>
      </c>
      <c r="AB802" s="6">
        <f ca="1">IF(Main[[#This Row],[مانده در خط تسویه نشده (کیلوگرم)]]&lt;&gt;0,Main[[#This Row],[تعداد کل روزهای بدهکار (روز)]],0)</f>
        <v>0</v>
      </c>
      <c r="AC802" s="6">
        <f ca="1">Main[[#This Row],[تعداد روزهای بدهکار  تسویه نشده (روز)]]*Main[[#This Row],[مانده در خط تسویه نشده (کیلوگرم)]]</f>
        <v>0</v>
      </c>
      <c r="AD802" s="6">
        <f ca="1">SUBTOTAL(9,INDEX(Main[بدهی سررسید شده (کیلوگرم)],1):Main[[#This Row],[بدهی سررسید شده (کیلوگرم)]])</f>
        <v>0</v>
      </c>
      <c r="AE802" s="6">
        <f ca="1">IF(Main[[#This Row],[مانده در خط سررسید شده (کیلوگرم)]]&lt;&gt;0,Main[[#This Row],[تعداد کل روزهای بدهکار (روز)]],0)</f>
        <v>0</v>
      </c>
      <c r="AF802" s="6">
        <f ca="1">Main[[#This Row],[تعداد روزهای بدهکار سررسید شده (روز)]]*Main[[#This Row],[مانده در خط سررسید شده (کیلوگرم)]]</f>
        <v>0</v>
      </c>
    </row>
    <row r="803" spans="1:32" hidden="1" x14ac:dyDescent="0.35">
      <c r="A803" s="5">
        <f>ROW()-ROW(INDEX(Main[ردیف],1))+1</f>
        <v>801</v>
      </c>
      <c r="B803" s="31">
        <f>SUBTOTAL(2,INDEX(Main[ردیف],1):Main[[#This Row],[ردیف]])</f>
        <v>75</v>
      </c>
      <c r="C803" s="32" t="s">
        <v>592</v>
      </c>
      <c r="D803" s="32" t="str">
        <f>_xlfn.CONCAT("14",Main[[#This Row],[تاريخ]])</f>
        <v>1400/03/26</v>
      </c>
      <c r="E803" s="33">
        <v>44363</v>
      </c>
      <c r="F803" s="32">
        <v>30017</v>
      </c>
      <c r="G803" s="5" t="str">
        <f>INDEX(customer[عنوان],MATCH(Main[[#This Row],[کد ردیابی]],customer[کد],0))</f>
        <v xml:space="preserve">البرز یدک </v>
      </c>
      <c r="H803">
        <v>537</v>
      </c>
      <c r="I803" s="6">
        <f ca="1">-Main[[#This Row],[بدهی تسویه شده (کیلوگرم)]]+Main[[#This Row],[بستانکار (کیلوگرم)]]</f>
        <v>537</v>
      </c>
      <c r="J803" s="6">
        <f>IF(Main[[#This Row],[مقدار (کیلوگرم)]]&gt;0,Main[[#This Row],[مقدار (کیلوگرم)]],0)</f>
        <v>537</v>
      </c>
      <c r="K803" s="6">
        <f>-IF(Main[[#This Row],[مقدار (کیلوگرم)]]&lt;0,Main[[#This Row],[مقدار (کیلوگرم)]],0)</f>
        <v>0</v>
      </c>
      <c r="L8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3" s="7">
        <f>-IF(AND(Main[[#This Row],[مقدار (کیلوگرم)]]&lt;0,Main[[#This Row],[تاريخ میلادی]]&gt;44276),Main[[#This Row],[مقدار (کیلوگرم)]],0)</f>
        <v>0</v>
      </c>
      <c r="N803" s="6">
        <f ca="1">Main[[#This Row],[بدهکار (کیلوگرم)]]-Main[[#This Row],[بدهی تسویه نشده (کیلوگرم)]]</f>
        <v>0</v>
      </c>
      <c r="O803" s="6">
        <f ca="1">Main[[#This Row],[تفکیک]]</f>
        <v>0</v>
      </c>
      <c r="P803" s="6">
        <f ca="1">IF(Main[[#This Row],[تاخیر از سررسید]]&gt;0,Main[[#This Row],[بدهی تسویه نشده (کیلوگرم)]],0)</f>
        <v>0</v>
      </c>
      <c r="Q803" s="6">
        <f ca="1">IF(Main[[#This Row],[بدهی تسویه نشده (کیلوگرم)]]&gt;0,'گزارش فردی'!$B$7-Main[[#This Row],[تاريخ میلادی]],0)</f>
        <v>0</v>
      </c>
      <c r="R803" s="6">
        <f ca="1">IF(Main[[#This Row],[بدهی تسویه نشده (کیلوگرم)]]&gt;0,'گزارش فردی'!$B$7-Main[[#This Row],[تاريخ میلادی]]-'گزارش فردی'!$B$8,0)</f>
        <v>0</v>
      </c>
      <c r="S803" s="6">
        <f ca="1">Main[[#This Row],[روز از ارسال سفارش]]*Main[[#This Row],[بدهی تسویه نشده (کیلوگرم)]]</f>
        <v>0</v>
      </c>
      <c r="T803" s="6">
        <f ca="1">Main[[#This Row],[بدهی سررسید شده (کیلوگرم)]]*Main[[#This Row],[روز از ارسال سفارش]]</f>
        <v>0</v>
      </c>
      <c r="U803" s="6">
        <f>-SUBTOTAL(9,INDEX(Main[مقدار (کیلوگرم)],1):Main[[#This Row],[مقدار (کیلوگرم)]])</f>
        <v>32554</v>
      </c>
      <c r="V8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3" s="6">
        <f>Main[[#This Row],[تعداد کل روزهای بدهکار (روز)]]*Main[[#This Row],[مانده در خط کل (کیلوگرم)]]</f>
        <v>32554</v>
      </c>
      <c r="X803" s="6">
        <f ca="1">-SUBTOTAL(9,INDEX(Main[مقدار تسویه شده (کیلوگرم)],1):Main[[#This Row],[مقدار تسویه شده (کیلوگرم)]])</f>
        <v>32554</v>
      </c>
      <c r="Y803" s="6">
        <f ca="1">IF(Main[[#This Row],[مانده در خط تسویه شده (کیلوگرم)]]&lt;&gt;0,Main[[#This Row],[تعداد کل روزهای بدهکار (روز)]],0)</f>
        <v>1</v>
      </c>
      <c r="Z803" s="6">
        <f ca="1">Main[[#This Row],[تعداد روزهای بدهکار تسویه شده (روز)]]*Main[[#This Row],[مانده در خط تسویه شده (کیلوگرم)]]</f>
        <v>32554</v>
      </c>
      <c r="AA803" s="6">
        <f ca="1">SUBTOTAL(9,INDEX(Main[بدهی تسویه نشده (کیلوگرم)],1):Main[[#This Row],[بدهی تسویه نشده (کیلوگرم)]])</f>
        <v>0</v>
      </c>
      <c r="AB803" s="6">
        <f ca="1">IF(Main[[#This Row],[مانده در خط تسویه نشده (کیلوگرم)]]&lt;&gt;0,Main[[#This Row],[تعداد کل روزهای بدهکار (روز)]],0)</f>
        <v>0</v>
      </c>
      <c r="AC803" s="6">
        <f ca="1">Main[[#This Row],[تعداد روزهای بدهکار  تسویه نشده (روز)]]*Main[[#This Row],[مانده در خط تسویه نشده (کیلوگرم)]]</f>
        <v>0</v>
      </c>
      <c r="AD803" s="6">
        <f ca="1">SUBTOTAL(9,INDEX(Main[بدهی سررسید شده (کیلوگرم)],1):Main[[#This Row],[بدهی سررسید شده (کیلوگرم)]])</f>
        <v>0</v>
      </c>
      <c r="AE803" s="6">
        <f ca="1">IF(Main[[#This Row],[مانده در خط سررسید شده (کیلوگرم)]]&lt;&gt;0,Main[[#This Row],[تعداد کل روزهای بدهکار (روز)]],0)</f>
        <v>0</v>
      </c>
      <c r="AF803" s="6">
        <f ca="1">Main[[#This Row],[تعداد روزهای بدهکار سررسید شده (روز)]]*Main[[#This Row],[مانده در خط سررسید شده (کیلوگرم)]]</f>
        <v>0</v>
      </c>
    </row>
    <row r="804" spans="1:32" hidden="1" x14ac:dyDescent="0.35">
      <c r="A804" s="5">
        <f>ROW()-ROW(INDEX(Main[ردیف],1))+1</f>
        <v>802</v>
      </c>
      <c r="B804" s="31">
        <f>SUBTOTAL(2,INDEX(Main[ردیف],1):Main[[#This Row],[ردیف]])</f>
        <v>75</v>
      </c>
      <c r="C804" s="32" t="s">
        <v>593</v>
      </c>
      <c r="D804" s="32" t="str">
        <f>_xlfn.CONCAT("14",Main[[#This Row],[تاريخ]])</f>
        <v>1400/03/27</v>
      </c>
      <c r="E804" s="33">
        <v>44364</v>
      </c>
      <c r="F804" s="32">
        <v>30186</v>
      </c>
      <c r="G804" s="5" t="str">
        <f>INDEX(customer[عنوان],MATCH(Main[[#This Row],[کد ردیابی]],customer[کد],0))</f>
        <v>سارا گاز</v>
      </c>
      <c r="H804">
        <v>-1076</v>
      </c>
      <c r="I804" s="6">
        <f ca="1">-Main[[#This Row],[بدهی تسویه شده (کیلوگرم)]]+Main[[#This Row],[بستانکار (کیلوگرم)]]</f>
        <v>-1076</v>
      </c>
      <c r="J804" s="6">
        <f>IF(Main[[#This Row],[مقدار (کیلوگرم)]]&gt;0,Main[[#This Row],[مقدار (کیلوگرم)]],0)</f>
        <v>0</v>
      </c>
      <c r="K804" s="6">
        <f>-IF(Main[[#This Row],[مقدار (کیلوگرم)]]&lt;0,Main[[#This Row],[مقدار (کیلوگرم)]],0)</f>
        <v>1076</v>
      </c>
      <c r="L8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4" s="7">
        <f>-IF(AND(Main[[#This Row],[مقدار (کیلوگرم)]]&lt;0,Main[[#This Row],[تاريخ میلادی]]&gt;44276),Main[[#This Row],[مقدار (کیلوگرم)]],0)</f>
        <v>1076</v>
      </c>
      <c r="N804" s="6">
        <f ca="1">Main[[#This Row],[بدهکار (کیلوگرم)]]-Main[[#This Row],[بدهی تسویه نشده (کیلوگرم)]]</f>
        <v>1076</v>
      </c>
      <c r="O804" s="6">
        <f ca="1">Main[[#This Row],[تفکیک]]</f>
        <v>0</v>
      </c>
      <c r="P804" s="6">
        <f ca="1">IF(Main[[#This Row],[تاخیر از سررسید]]&gt;0,Main[[#This Row],[بدهی تسویه نشده (کیلوگرم)]],0)</f>
        <v>0</v>
      </c>
      <c r="Q804" s="6">
        <f ca="1">IF(Main[[#This Row],[بدهی تسویه نشده (کیلوگرم)]]&gt;0,'گزارش فردی'!$B$7-Main[[#This Row],[تاريخ میلادی]],0)</f>
        <v>0</v>
      </c>
      <c r="R804" s="6">
        <f ca="1">IF(Main[[#This Row],[بدهی تسویه نشده (کیلوگرم)]]&gt;0,'گزارش فردی'!$B$7-Main[[#This Row],[تاريخ میلادی]]-'گزارش فردی'!$B$8,0)</f>
        <v>0</v>
      </c>
      <c r="S804" s="6">
        <f ca="1">Main[[#This Row],[روز از ارسال سفارش]]*Main[[#This Row],[بدهی تسویه نشده (کیلوگرم)]]</f>
        <v>0</v>
      </c>
      <c r="T804" s="6">
        <f ca="1">Main[[#This Row],[بدهی سررسید شده (کیلوگرم)]]*Main[[#This Row],[روز از ارسال سفارش]]</f>
        <v>0</v>
      </c>
      <c r="U804" s="6">
        <f>-SUBTOTAL(9,INDEX(Main[مقدار (کیلوگرم)],1):Main[[#This Row],[مقدار (کیلوگرم)]])</f>
        <v>32554</v>
      </c>
      <c r="V8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4" s="6">
        <f>Main[[#This Row],[تعداد کل روزهای بدهکار (روز)]]*Main[[#This Row],[مانده در خط کل (کیلوگرم)]]</f>
        <v>0</v>
      </c>
      <c r="X804" s="6">
        <f ca="1">-SUBTOTAL(9,INDEX(Main[مقدار تسویه شده (کیلوگرم)],1):Main[[#This Row],[مقدار تسویه شده (کیلوگرم)]])</f>
        <v>32554</v>
      </c>
      <c r="Y804" s="6">
        <f ca="1">IF(Main[[#This Row],[مانده در خط تسویه شده (کیلوگرم)]]&lt;&gt;0,Main[[#This Row],[تعداد کل روزهای بدهکار (روز)]],0)</f>
        <v>0</v>
      </c>
      <c r="Z804" s="6">
        <f ca="1">Main[[#This Row],[تعداد روزهای بدهکار تسویه شده (روز)]]*Main[[#This Row],[مانده در خط تسویه شده (کیلوگرم)]]</f>
        <v>0</v>
      </c>
      <c r="AA804" s="6">
        <f ca="1">SUBTOTAL(9,INDEX(Main[بدهی تسویه نشده (کیلوگرم)],1):Main[[#This Row],[بدهی تسویه نشده (کیلوگرم)]])</f>
        <v>0</v>
      </c>
      <c r="AB804" s="6">
        <f ca="1">IF(Main[[#This Row],[مانده در خط تسویه نشده (کیلوگرم)]]&lt;&gt;0,Main[[#This Row],[تعداد کل روزهای بدهکار (روز)]],0)</f>
        <v>0</v>
      </c>
      <c r="AC804" s="6">
        <f ca="1">Main[[#This Row],[تعداد روزهای بدهکار  تسویه نشده (روز)]]*Main[[#This Row],[مانده در خط تسویه نشده (کیلوگرم)]]</f>
        <v>0</v>
      </c>
      <c r="AD804" s="6">
        <f ca="1">SUBTOTAL(9,INDEX(Main[بدهی سررسید شده (کیلوگرم)],1):Main[[#This Row],[بدهی سررسید شده (کیلوگرم)]])</f>
        <v>0</v>
      </c>
      <c r="AE804" s="6">
        <f ca="1">IF(Main[[#This Row],[مانده در خط سررسید شده (کیلوگرم)]]&lt;&gt;0,Main[[#This Row],[تعداد کل روزهای بدهکار (روز)]],0)</f>
        <v>0</v>
      </c>
      <c r="AF804" s="6">
        <f ca="1">Main[[#This Row],[تعداد روزهای بدهکار سررسید شده (روز)]]*Main[[#This Row],[مانده در خط سررسید شده (کیلوگرم)]]</f>
        <v>0</v>
      </c>
    </row>
    <row r="805" spans="1:32" hidden="1" x14ac:dyDescent="0.35">
      <c r="A805" s="5">
        <f>ROW()-ROW(INDEX(Main[ردیف],1))+1</f>
        <v>803</v>
      </c>
      <c r="B805" s="31">
        <f>SUBTOTAL(2,INDEX(Main[ردیف],1):Main[[#This Row],[ردیف]])</f>
        <v>75</v>
      </c>
      <c r="C805" s="32" t="s">
        <v>593</v>
      </c>
      <c r="D805" s="32" t="str">
        <f>_xlfn.CONCAT("14",Main[[#This Row],[تاريخ]])</f>
        <v>1400/03/27</v>
      </c>
      <c r="E805" s="33">
        <v>44364</v>
      </c>
      <c r="F805" s="32">
        <v>10027</v>
      </c>
      <c r="G805" s="5" t="str">
        <f>INDEX(customer[عنوان],MATCH(Main[[#This Row],[کد ردیابی]],customer[کد],0))</f>
        <v xml:space="preserve">مصطفی نورعلی </v>
      </c>
      <c r="H805">
        <v>3280</v>
      </c>
      <c r="I805" s="6">
        <f ca="1">-Main[[#This Row],[بدهی تسویه شده (کیلوگرم)]]+Main[[#This Row],[بستانکار (کیلوگرم)]]</f>
        <v>3280</v>
      </c>
      <c r="J805" s="6">
        <f>IF(Main[[#This Row],[مقدار (کیلوگرم)]]&gt;0,Main[[#This Row],[مقدار (کیلوگرم)]],0)</f>
        <v>3280</v>
      </c>
      <c r="K805" s="6">
        <f>-IF(Main[[#This Row],[مقدار (کیلوگرم)]]&lt;0,Main[[#This Row],[مقدار (کیلوگرم)]],0)</f>
        <v>0</v>
      </c>
      <c r="L8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5" s="7">
        <f>-IF(AND(Main[[#This Row],[مقدار (کیلوگرم)]]&lt;0,Main[[#This Row],[تاريخ میلادی]]&gt;44276),Main[[#This Row],[مقدار (کیلوگرم)]],0)</f>
        <v>0</v>
      </c>
      <c r="N805" s="6">
        <f ca="1">Main[[#This Row],[بدهکار (کیلوگرم)]]-Main[[#This Row],[بدهی تسویه نشده (کیلوگرم)]]</f>
        <v>0</v>
      </c>
      <c r="O805" s="6">
        <f ca="1">Main[[#This Row],[تفکیک]]</f>
        <v>0</v>
      </c>
      <c r="P805" s="6">
        <f ca="1">IF(Main[[#This Row],[تاخیر از سررسید]]&gt;0,Main[[#This Row],[بدهی تسویه نشده (کیلوگرم)]],0)</f>
        <v>0</v>
      </c>
      <c r="Q805" s="6">
        <f ca="1">IF(Main[[#This Row],[بدهی تسویه نشده (کیلوگرم)]]&gt;0,'گزارش فردی'!$B$7-Main[[#This Row],[تاريخ میلادی]],0)</f>
        <v>0</v>
      </c>
      <c r="R805" s="6">
        <f ca="1">IF(Main[[#This Row],[بدهی تسویه نشده (کیلوگرم)]]&gt;0,'گزارش فردی'!$B$7-Main[[#This Row],[تاريخ میلادی]]-'گزارش فردی'!$B$8,0)</f>
        <v>0</v>
      </c>
      <c r="S805" s="6">
        <f ca="1">Main[[#This Row],[روز از ارسال سفارش]]*Main[[#This Row],[بدهی تسویه نشده (کیلوگرم)]]</f>
        <v>0</v>
      </c>
      <c r="T805" s="6">
        <f ca="1">Main[[#This Row],[بدهی سررسید شده (کیلوگرم)]]*Main[[#This Row],[روز از ارسال سفارش]]</f>
        <v>0</v>
      </c>
      <c r="U805" s="6">
        <f>-SUBTOTAL(9,INDEX(Main[مقدار (کیلوگرم)],1):Main[[#This Row],[مقدار (کیلوگرم)]])</f>
        <v>32554</v>
      </c>
      <c r="V8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5" s="6">
        <f>Main[[#This Row],[تعداد کل روزهای بدهکار (روز)]]*Main[[#This Row],[مانده در خط کل (کیلوگرم)]]</f>
        <v>0</v>
      </c>
      <c r="X805" s="6">
        <f ca="1">-SUBTOTAL(9,INDEX(Main[مقدار تسویه شده (کیلوگرم)],1):Main[[#This Row],[مقدار تسویه شده (کیلوگرم)]])</f>
        <v>32554</v>
      </c>
      <c r="Y805" s="6">
        <f ca="1">IF(Main[[#This Row],[مانده در خط تسویه شده (کیلوگرم)]]&lt;&gt;0,Main[[#This Row],[تعداد کل روزهای بدهکار (روز)]],0)</f>
        <v>0</v>
      </c>
      <c r="Z805" s="6">
        <f ca="1">Main[[#This Row],[تعداد روزهای بدهکار تسویه شده (روز)]]*Main[[#This Row],[مانده در خط تسویه شده (کیلوگرم)]]</f>
        <v>0</v>
      </c>
      <c r="AA805" s="6">
        <f ca="1">SUBTOTAL(9,INDEX(Main[بدهی تسویه نشده (کیلوگرم)],1):Main[[#This Row],[بدهی تسویه نشده (کیلوگرم)]])</f>
        <v>0</v>
      </c>
      <c r="AB805" s="6">
        <f ca="1">IF(Main[[#This Row],[مانده در خط تسویه نشده (کیلوگرم)]]&lt;&gt;0,Main[[#This Row],[تعداد کل روزهای بدهکار (روز)]],0)</f>
        <v>0</v>
      </c>
      <c r="AC805" s="6">
        <f ca="1">Main[[#This Row],[تعداد روزهای بدهکار  تسویه نشده (روز)]]*Main[[#This Row],[مانده در خط تسویه نشده (کیلوگرم)]]</f>
        <v>0</v>
      </c>
      <c r="AD805" s="6">
        <f ca="1">SUBTOTAL(9,INDEX(Main[بدهی سررسید شده (کیلوگرم)],1):Main[[#This Row],[بدهی سررسید شده (کیلوگرم)]])</f>
        <v>0</v>
      </c>
      <c r="AE805" s="6">
        <f ca="1">IF(Main[[#This Row],[مانده در خط سررسید شده (کیلوگرم)]]&lt;&gt;0,Main[[#This Row],[تعداد کل روزهای بدهکار (روز)]],0)</f>
        <v>0</v>
      </c>
      <c r="AF805" s="6">
        <f ca="1">Main[[#This Row],[تعداد روزهای بدهکار سررسید شده (روز)]]*Main[[#This Row],[مانده در خط سررسید شده (کیلوگرم)]]</f>
        <v>0</v>
      </c>
    </row>
    <row r="806" spans="1:32" hidden="1" x14ac:dyDescent="0.35">
      <c r="A806" s="5">
        <f>ROW()-ROW(INDEX(Main[ردیف],1))+1</f>
        <v>804</v>
      </c>
      <c r="B806" s="31">
        <f>SUBTOTAL(2,INDEX(Main[ردیف],1):Main[[#This Row],[ردیف]])</f>
        <v>75</v>
      </c>
      <c r="C806" s="32" t="s">
        <v>593</v>
      </c>
      <c r="D806" s="32" t="str">
        <f>_xlfn.CONCAT("14",Main[[#This Row],[تاريخ]])</f>
        <v>1400/03/27</v>
      </c>
      <c r="E806" s="33">
        <v>44364</v>
      </c>
      <c r="F806" s="32">
        <v>50016</v>
      </c>
      <c r="G806" s="5" t="str">
        <f>INDEX(customer[عنوان],MATCH(Main[[#This Row],[کد ردیابی]],customer[کد],0))</f>
        <v xml:space="preserve">مهدی یوسفی  </v>
      </c>
      <c r="H806">
        <v>-204</v>
      </c>
      <c r="I806" s="6">
        <f ca="1">-Main[[#This Row],[بدهی تسویه شده (کیلوگرم)]]+Main[[#This Row],[بستانکار (کیلوگرم)]]</f>
        <v>-204</v>
      </c>
      <c r="J806" s="6">
        <f>IF(Main[[#This Row],[مقدار (کیلوگرم)]]&gt;0,Main[[#This Row],[مقدار (کیلوگرم)]],0)</f>
        <v>0</v>
      </c>
      <c r="K806" s="6">
        <f>-IF(Main[[#This Row],[مقدار (کیلوگرم)]]&lt;0,Main[[#This Row],[مقدار (کیلوگرم)]],0)</f>
        <v>204</v>
      </c>
      <c r="L8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6" s="7">
        <f>-IF(AND(Main[[#This Row],[مقدار (کیلوگرم)]]&lt;0,Main[[#This Row],[تاريخ میلادی]]&gt;44276),Main[[#This Row],[مقدار (کیلوگرم)]],0)</f>
        <v>204</v>
      </c>
      <c r="N806" s="6">
        <f ca="1">Main[[#This Row],[بدهکار (کیلوگرم)]]-Main[[#This Row],[بدهی تسویه نشده (کیلوگرم)]]</f>
        <v>204</v>
      </c>
      <c r="O806" s="6">
        <f ca="1">Main[[#This Row],[تفکیک]]</f>
        <v>0</v>
      </c>
      <c r="P806" s="6">
        <f ca="1">IF(Main[[#This Row],[تاخیر از سررسید]]&gt;0,Main[[#This Row],[بدهی تسویه نشده (کیلوگرم)]],0)</f>
        <v>0</v>
      </c>
      <c r="Q806" s="6">
        <f ca="1">IF(Main[[#This Row],[بدهی تسویه نشده (کیلوگرم)]]&gt;0,'گزارش فردی'!$B$7-Main[[#This Row],[تاريخ میلادی]],0)</f>
        <v>0</v>
      </c>
      <c r="R806" s="6">
        <f ca="1">IF(Main[[#This Row],[بدهی تسویه نشده (کیلوگرم)]]&gt;0,'گزارش فردی'!$B$7-Main[[#This Row],[تاريخ میلادی]]-'گزارش فردی'!$B$8,0)</f>
        <v>0</v>
      </c>
      <c r="S806" s="6">
        <f ca="1">Main[[#This Row],[روز از ارسال سفارش]]*Main[[#This Row],[بدهی تسویه نشده (کیلوگرم)]]</f>
        <v>0</v>
      </c>
      <c r="T806" s="6">
        <f ca="1">Main[[#This Row],[بدهی سررسید شده (کیلوگرم)]]*Main[[#This Row],[روز از ارسال سفارش]]</f>
        <v>0</v>
      </c>
      <c r="U806" s="6">
        <f>-SUBTOTAL(9,INDEX(Main[مقدار (کیلوگرم)],1):Main[[#This Row],[مقدار (کیلوگرم)]])</f>
        <v>32554</v>
      </c>
      <c r="V8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6" s="6">
        <f>Main[[#This Row],[تعداد کل روزهای بدهکار (روز)]]*Main[[#This Row],[مانده در خط کل (کیلوگرم)]]</f>
        <v>0</v>
      </c>
      <c r="X806" s="6">
        <f ca="1">-SUBTOTAL(9,INDEX(Main[مقدار تسویه شده (کیلوگرم)],1):Main[[#This Row],[مقدار تسویه شده (کیلوگرم)]])</f>
        <v>32554</v>
      </c>
      <c r="Y806" s="6">
        <f ca="1">IF(Main[[#This Row],[مانده در خط تسویه شده (کیلوگرم)]]&lt;&gt;0,Main[[#This Row],[تعداد کل روزهای بدهکار (روز)]],0)</f>
        <v>0</v>
      </c>
      <c r="Z806" s="6">
        <f ca="1">Main[[#This Row],[تعداد روزهای بدهکار تسویه شده (روز)]]*Main[[#This Row],[مانده در خط تسویه شده (کیلوگرم)]]</f>
        <v>0</v>
      </c>
      <c r="AA806" s="6">
        <f ca="1">SUBTOTAL(9,INDEX(Main[بدهی تسویه نشده (کیلوگرم)],1):Main[[#This Row],[بدهی تسویه نشده (کیلوگرم)]])</f>
        <v>0</v>
      </c>
      <c r="AB806" s="6">
        <f ca="1">IF(Main[[#This Row],[مانده در خط تسویه نشده (کیلوگرم)]]&lt;&gt;0,Main[[#This Row],[تعداد کل روزهای بدهکار (روز)]],0)</f>
        <v>0</v>
      </c>
      <c r="AC806" s="6">
        <f ca="1">Main[[#This Row],[تعداد روزهای بدهکار  تسویه نشده (روز)]]*Main[[#This Row],[مانده در خط تسویه نشده (کیلوگرم)]]</f>
        <v>0</v>
      </c>
      <c r="AD806" s="6">
        <f ca="1">SUBTOTAL(9,INDEX(Main[بدهی سررسید شده (کیلوگرم)],1):Main[[#This Row],[بدهی سررسید شده (کیلوگرم)]])</f>
        <v>0</v>
      </c>
      <c r="AE806" s="6">
        <f ca="1">IF(Main[[#This Row],[مانده در خط سررسید شده (کیلوگرم)]]&lt;&gt;0,Main[[#This Row],[تعداد کل روزهای بدهکار (روز)]],0)</f>
        <v>0</v>
      </c>
      <c r="AF806" s="6">
        <f ca="1">Main[[#This Row],[تعداد روزهای بدهکار سررسید شده (روز)]]*Main[[#This Row],[مانده در خط سررسید شده (کیلوگرم)]]</f>
        <v>0</v>
      </c>
    </row>
    <row r="807" spans="1:32" hidden="1" x14ac:dyDescent="0.35">
      <c r="A807" s="5">
        <f>ROW()-ROW(INDEX(Main[ردیف],1))+1</f>
        <v>805</v>
      </c>
      <c r="B807" s="31">
        <f>SUBTOTAL(2,INDEX(Main[ردیف],1):Main[[#This Row],[ردیف]])</f>
        <v>75</v>
      </c>
      <c r="C807" s="32" t="s">
        <v>593</v>
      </c>
      <c r="D807" s="32" t="str">
        <f>_xlfn.CONCAT("14",Main[[#This Row],[تاريخ]])</f>
        <v>1400/03/27</v>
      </c>
      <c r="E807" s="33">
        <v>44364</v>
      </c>
      <c r="F807" s="32">
        <v>30004</v>
      </c>
      <c r="G807" s="5" t="str">
        <f>INDEX(customer[عنوان],MATCH(Main[[#This Row],[کد ردیابی]],customer[کد],0))</f>
        <v>تولیدی صنعتی صفاشیر پارس</v>
      </c>
      <c r="H807">
        <v>2437</v>
      </c>
      <c r="I807" s="6">
        <f ca="1">-Main[[#This Row],[بدهی تسویه شده (کیلوگرم)]]+Main[[#This Row],[بستانکار (کیلوگرم)]]</f>
        <v>2437</v>
      </c>
      <c r="J807" s="6">
        <f>IF(Main[[#This Row],[مقدار (کیلوگرم)]]&gt;0,Main[[#This Row],[مقدار (کیلوگرم)]],0)</f>
        <v>2437</v>
      </c>
      <c r="K807" s="6">
        <f>-IF(Main[[#This Row],[مقدار (کیلوگرم)]]&lt;0,Main[[#This Row],[مقدار (کیلوگرم)]],0)</f>
        <v>0</v>
      </c>
      <c r="L8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7" s="7">
        <f>-IF(AND(Main[[#This Row],[مقدار (کیلوگرم)]]&lt;0,Main[[#This Row],[تاريخ میلادی]]&gt;44276),Main[[#This Row],[مقدار (کیلوگرم)]],0)</f>
        <v>0</v>
      </c>
      <c r="N807" s="6">
        <f ca="1">Main[[#This Row],[بدهکار (کیلوگرم)]]-Main[[#This Row],[بدهی تسویه نشده (کیلوگرم)]]</f>
        <v>0</v>
      </c>
      <c r="O807" s="6">
        <f ca="1">Main[[#This Row],[تفکیک]]</f>
        <v>0</v>
      </c>
      <c r="P807" s="6">
        <f ca="1">IF(Main[[#This Row],[تاخیر از سررسید]]&gt;0,Main[[#This Row],[بدهی تسویه نشده (کیلوگرم)]],0)</f>
        <v>0</v>
      </c>
      <c r="Q807" s="6">
        <f ca="1">IF(Main[[#This Row],[بدهی تسویه نشده (کیلوگرم)]]&gt;0,'گزارش فردی'!$B$7-Main[[#This Row],[تاريخ میلادی]],0)</f>
        <v>0</v>
      </c>
      <c r="R807" s="6">
        <f ca="1">IF(Main[[#This Row],[بدهی تسویه نشده (کیلوگرم)]]&gt;0,'گزارش فردی'!$B$7-Main[[#This Row],[تاريخ میلادی]]-'گزارش فردی'!$B$8,0)</f>
        <v>0</v>
      </c>
      <c r="S807" s="6">
        <f ca="1">Main[[#This Row],[روز از ارسال سفارش]]*Main[[#This Row],[بدهی تسویه نشده (کیلوگرم)]]</f>
        <v>0</v>
      </c>
      <c r="T807" s="6">
        <f ca="1">Main[[#This Row],[بدهی سررسید شده (کیلوگرم)]]*Main[[#This Row],[روز از ارسال سفارش]]</f>
        <v>0</v>
      </c>
      <c r="U807" s="6">
        <f>-SUBTOTAL(9,INDEX(Main[مقدار (کیلوگرم)],1):Main[[#This Row],[مقدار (کیلوگرم)]])</f>
        <v>32554</v>
      </c>
      <c r="V8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7" s="6">
        <f>Main[[#This Row],[تعداد کل روزهای بدهکار (روز)]]*Main[[#This Row],[مانده در خط کل (کیلوگرم)]]</f>
        <v>0</v>
      </c>
      <c r="X807" s="6">
        <f ca="1">-SUBTOTAL(9,INDEX(Main[مقدار تسویه شده (کیلوگرم)],1):Main[[#This Row],[مقدار تسویه شده (کیلوگرم)]])</f>
        <v>32554</v>
      </c>
      <c r="Y807" s="6">
        <f ca="1">IF(Main[[#This Row],[مانده در خط تسویه شده (کیلوگرم)]]&lt;&gt;0,Main[[#This Row],[تعداد کل روزهای بدهکار (روز)]],0)</f>
        <v>0</v>
      </c>
      <c r="Z807" s="6">
        <f ca="1">Main[[#This Row],[تعداد روزهای بدهکار تسویه شده (روز)]]*Main[[#This Row],[مانده در خط تسویه شده (کیلوگرم)]]</f>
        <v>0</v>
      </c>
      <c r="AA807" s="6">
        <f ca="1">SUBTOTAL(9,INDEX(Main[بدهی تسویه نشده (کیلوگرم)],1):Main[[#This Row],[بدهی تسویه نشده (کیلوگرم)]])</f>
        <v>0</v>
      </c>
      <c r="AB807" s="6">
        <f ca="1">IF(Main[[#This Row],[مانده در خط تسویه نشده (کیلوگرم)]]&lt;&gt;0,Main[[#This Row],[تعداد کل روزهای بدهکار (روز)]],0)</f>
        <v>0</v>
      </c>
      <c r="AC807" s="6">
        <f ca="1">Main[[#This Row],[تعداد روزهای بدهکار  تسویه نشده (روز)]]*Main[[#This Row],[مانده در خط تسویه نشده (کیلوگرم)]]</f>
        <v>0</v>
      </c>
      <c r="AD807" s="6">
        <f ca="1">SUBTOTAL(9,INDEX(Main[بدهی سررسید شده (کیلوگرم)],1):Main[[#This Row],[بدهی سررسید شده (کیلوگرم)]])</f>
        <v>0</v>
      </c>
      <c r="AE807" s="6">
        <f ca="1">IF(Main[[#This Row],[مانده در خط سررسید شده (کیلوگرم)]]&lt;&gt;0,Main[[#This Row],[تعداد کل روزهای بدهکار (روز)]],0)</f>
        <v>0</v>
      </c>
      <c r="AF807" s="6">
        <f ca="1">Main[[#This Row],[تعداد روزهای بدهکار سررسید شده (روز)]]*Main[[#This Row],[مانده در خط سررسید شده (کیلوگرم)]]</f>
        <v>0</v>
      </c>
    </row>
    <row r="808" spans="1:32" hidden="1" x14ac:dyDescent="0.35">
      <c r="A808" s="5">
        <f>ROW()-ROW(INDEX(Main[ردیف],1))+1</f>
        <v>806</v>
      </c>
      <c r="B808" s="31">
        <f>SUBTOTAL(2,INDEX(Main[ردیف],1):Main[[#This Row],[ردیف]])</f>
        <v>75</v>
      </c>
      <c r="C808" s="32" t="s">
        <v>593</v>
      </c>
      <c r="D808" s="32" t="str">
        <f>_xlfn.CONCAT("14",Main[[#This Row],[تاريخ]])</f>
        <v>1400/03/27</v>
      </c>
      <c r="E808" s="33">
        <v>44364</v>
      </c>
      <c r="F808" s="32">
        <v>30124</v>
      </c>
      <c r="G808" s="5" t="str">
        <f>INDEX(customer[عنوان],MATCH(Main[[#This Row],[کد ردیابی]],customer[کد],0))</f>
        <v>شرکت لنگرمرواریدسبز</v>
      </c>
      <c r="H808">
        <v>-3178</v>
      </c>
      <c r="I808" s="6">
        <f ca="1">-Main[[#This Row],[بدهی تسویه شده (کیلوگرم)]]+Main[[#This Row],[بستانکار (کیلوگرم)]]</f>
        <v>-3178</v>
      </c>
      <c r="J808" s="6">
        <f>IF(Main[[#This Row],[مقدار (کیلوگرم)]]&gt;0,Main[[#This Row],[مقدار (کیلوگرم)]],0)</f>
        <v>0</v>
      </c>
      <c r="K808" s="6">
        <f>-IF(Main[[#This Row],[مقدار (کیلوگرم)]]&lt;0,Main[[#This Row],[مقدار (کیلوگرم)]],0)</f>
        <v>3178</v>
      </c>
      <c r="L8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8" s="7">
        <f>-IF(AND(Main[[#This Row],[مقدار (کیلوگرم)]]&lt;0,Main[[#This Row],[تاريخ میلادی]]&gt;44276),Main[[#This Row],[مقدار (کیلوگرم)]],0)</f>
        <v>3178</v>
      </c>
      <c r="N808" s="6">
        <f ca="1">Main[[#This Row],[بدهکار (کیلوگرم)]]-Main[[#This Row],[بدهی تسویه نشده (کیلوگرم)]]</f>
        <v>3178</v>
      </c>
      <c r="O808" s="6">
        <f ca="1">Main[[#This Row],[تفکیک]]</f>
        <v>0</v>
      </c>
      <c r="P808" s="6">
        <f ca="1">IF(Main[[#This Row],[تاخیر از سررسید]]&gt;0,Main[[#This Row],[بدهی تسویه نشده (کیلوگرم)]],0)</f>
        <v>0</v>
      </c>
      <c r="Q808" s="6">
        <f ca="1">IF(Main[[#This Row],[بدهی تسویه نشده (کیلوگرم)]]&gt;0,'گزارش فردی'!$B$7-Main[[#This Row],[تاريخ میلادی]],0)</f>
        <v>0</v>
      </c>
      <c r="R808" s="6">
        <f ca="1">IF(Main[[#This Row],[بدهی تسویه نشده (کیلوگرم)]]&gt;0,'گزارش فردی'!$B$7-Main[[#This Row],[تاريخ میلادی]]-'گزارش فردی'!$B$8,0)</f>
        <v>0</v>
      </c>
      <c r="S808" s="6">
        <f ca="1">Main[[#This Row],[روز از ارسال سفارش]]*Main[[#This Row],[بدهی تسویه نشده (کیلوگرم)]]</f>
        <v>0</v>
      </c>
      <c r="T808" s="6">
        <f ca="1">Main[[#This Row],[بدهی سررسید شده (کیلوگرم)]]*Main[[#This Row],[روز از ارسال سفارش]]</f>
        <v>0</v>
      </c>
      <c r="U808" s="6">
        <f>-SUBTOTAL(9,INDEX(Main[مقدار (کیلوگرم)],1):Main[[#This Row],[مقدار (کیلوگرم)]])</f>
        <v>32554</v>
      </c>
      <c r="V8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8" s="6">
        <f>Main[[#This Row],[تعداد کل روزهای بدهکار (روز)]]*Main[[#This Row],[مانده در خط کل (کیلوگرم)]]</f>
        <v>0</v>
      </c>
      <c r="X808" s="6">
        <f ca="1">-SUBTOTAL(9,INDEX(Main[مقدار تسویه شده (کیلوگرم)],1):Main[[#This Row],[مقدار تسویه شده (کیلوگرم)]])</f>
        <v>32554</v>
      </c>
      <c r="Y808" s="6">
        <f ca="1">IF(Main[[#This Row],[مانده در خط تسویه شده (کیلوگرم)]]&lt;&gt;0,Main[[#This Row],[تعداد کل روزهای بدهکار (روز)]],0)</f>
        <v>0</v>
      </c>
      <c r="Z808" s="6">
        <f ca="1">Main[[#This Row],[تعداد روزهای بدهکار تسویه شده (روز)]]*Main[[#This Row],[مانده در خط تسویه شده (کیلوگرم)]]</f>
        <v>0</v>
      </c>
      <c r="AA808" s="6">
        <f ca="1">SUBTOTAL(9,INDEX(Main[بدهی تسویه نشده (کیلوگرم)],1):Main[[#This Row],[بدهی تسویه نشده (کیلوگرم)]])</f>
        <v>0</v>
      </c>
      <c r="AB808" s="6">
        <f ca="1">IF(Main[[#This Row],[مانده در خط تسویه نشده (کیلوگرم)]]&lt;&gt;0,Main[[#This Row],[تعداد کل روزهای بدهکار (روز)]],0)</f>
        <v>0</v>
      </c>
      <c r="AC808" s="6">
        <f ca="1">Main[[#This Row],[تعداد روزهای بدهکار  تسویه نشده (روز)]]*Main[[#This Row],[مانده در خط تسویه نشده (کیلوگرم)]]</f>
        <v>0</v>
      </c>
      <c r="AD808" s="6">
        <f ca="1">SUBTOTAL(9,INDEX(Main[بدهی سررسید شده (کیلوگرم)],1):Main[[#This Row],[بدهی سررسید شده (کیلوگرم)]])</f>
        <v>0</v>
      </c>
      <c r="AE808" s="6">
        <f ca="1">IF(Main[[#This Row],[مانده در خط سررسید شده (کیلوگرم)]]&lt;&gt;0,Main[[#This Row],[تعداد کل روزهای بدهکار (روز)]],0)</f>
        <v>0</v>
      </c>
      <c r="AF808" s="6">
        <f ca="1">Main[[#This Row],[تعداد روزهای بدهکار سررسید شده (روز)]]*Main[[#This Row],[مانده در خط سررسید شده (کیلوگرم)]]</f>
        <v>0</v>
      </c>
    </row>
    <row r="809" spans="1:32" hidden="1" x14ac:dyDescent="0.35">
      <c r="A809" s="5">
        <f>ROW()-ROW(INDEX(Main[ردیف],1))+1</f>
        <v>807</v>
      </c>
      <c r="B809" s="31">
        <f>SUBTOTAL(2,INDEX(Main[ردیف],1):Main[[#This Row],[ردیف]])</f>
        <v>75</v>
      </c>
      <c r="C809" s="32" t="s">
        <v>593</v>
      </c>
      <c r="D809" s="32" t="str">
        <f>_xlfn.CONCAT("14",Main[[#This Row],[تاريخ]])</f>
        <v>1400/03/27</v>
      </c>
      <c r="E809" s="33">
        <v>44364</v>
      </c>
      <c r="F809" s="32">
        <v>30009</v>
      </c>
      <c r="G809" s="5" t="str">
        <f>INDEX(customer[عنوان],MATCH(Main[[#This Row],[کد ردیابی]],customer[کد],0))</f>
        <v>شرکت ایمن تک پیشرو</v>
      </c>
      <c r="H809">
        <v>2125</v>
      </c>
      <c r="I809" s="6">
        <f ca="1">-Main[[#This Row],[بدهی تسویه شده (کیلوگرم)]]+Main[[#This Row],[بستانکار (کیلوگرم)]]</f>
        <v>2125</v>
      </c>
      <c r="J809" s="6">
        <f>IF(Main[[#This Row],[مقدار (کیلوگرم)]]&gt;0,Main[[#This Row],[مقدار (کیلوگرم)]],0)</f>
        <v>2125</v>
      </c>
      <c r="K809" s="6">
        <f>-IF(Main[[#This Row],[مقدار (کیلوگرم)]]&lt;0,Main[[#This Row],[مقدار (کیلوگرم)]],0)</f>
        <v>0</v>
      </c>
      <c r="L8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9" s="7">
        <f>-IF(AND(Main[[#This Row],[مقدار (کیلوگرم)]]&lt;0,Main[[#This Row],[تاريخ میلادی]]&gt;44276),Main[[#This Row],[مقدار (کیلوگرم)]],0)</f>
        <v>0</v>
      </c>
      <c r="N809" s="6">
        <f ca="1">Main[[#This Row],[بدهکار (کیلوگرم)]]-Main[[#This Row],[بدهی تسویه نشده (کیلوگرم)]]</f>
        <v>0</v>
      </c>
      <c r="O809" s="6">
        <f ca="1">Main[[#This Row],[تفکیک]]</f>
        <v>0</v>
      </c>
      <c r="P809" s="6">
        <f ca="1">IF(Main[[#This Row],[تاخیر از سررسید]]&gt;0,Main[[#This Row],[بدهی تسویه نشده (کیلوگرم)]],0)</f>
        <v>0</v>
      </c>
      <c r="Q809" s="6">
        <f ca="1">IF(Main[[#This Row],[بدهی تسویه نشده (کیلوگرم)]]&gt;0,'گزارش فردی'!$B$7-Main[[#This Row],[تاريخ میلادی]],0)</f>
        <v>0</v>
      </c>
      <c r="R809" s="6">
        <f ca="1">IF(Main[[#This Row],[بدهی تسویه نشده (کیلوگرم)]]&gt;0,'گزارش فردی'!$B$7-Main[[#This Row],[تاريخ میلادی]]-'گزارش فردی'!$B$8,0)</f>
        <v>0</v>
      </c>
      <c r="S809" s="6">
        <f ca="1">Main[[#This Row],[روز از ارسال سفارش]]*Main[[#This Row],[بدهی تسویه نشده (کیلوگرم)]]</f>
        <v>0</v>
      </c>
      <c r="T809" s="6">
        <f ca="1">Main[[#This Row],[بدهی سررسید شده (کیلوگرم)]]*Main[[#This Row],[روز از ارسال سفارش]]</f>
        <v>0</v>
      </c>
      <c r="U809" s="6">
        <f>-SUBTOTAL(9,INDEX(Main[مقدار (کیلوگرم)],1):Main[[#This Row],[مقدار (کیلوگرم)]])</f>
        <v>32554</v>
      </c>
      <c r="V8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9" s="6">
        <f>Main[[#This Row],[تعداد کل روزهای بدهکار (روز)]]*Main[[#This Row],[مانده در خط کل (کیلوگرم)]]</f>
        <v>0</v>
      </c>
      <c r="X809" s="6">
        <f ca="1">-SUBTOTAL(9,INDEX(Main[مقدار تسویه شده (کیلوگرم)],1):Main[[#This Row],[مقدار تسویه شده (کیلوگرم)]])</f>
        <v>32554</v>
      </c>
      <c r="Y809" s="6">
        <f ca="1">IF(Main[[#This Row],[مانده در خط تسویه شده (کیلوگرم)]]&lt;&gt;0,Main[[#This Row],[تعداد کل روزهای بدهکار (روز)]],0)</f>
        <v>0</v>
      </c>
      <c r="Z809" s="6">
        <f ca="1">Main[[#This Row],[تعداد روزهای بدهکار تسویه شده (روز)]]*Main[[#This Row],[مانده در خط تسویه شده (کیلوگرم)]]</f>
        <v>0</v>
      </c>
      <c r="AA809" s="6">
        <f ca="1">SUBTOTAL(9,INDEX(Main[بدهی تسویه نشده (کیلوگرم)],1):Main[[#This Row],[بدهی تسویه نشده (کیلوگرم)]])</f>
        <v>0</v>
      </c>
      <c r="AB809" s="6">
        <f ca="1">IF(Main[[#This Row],[مانده در خط تسویه نشده (کیلوگرم)]]&lt;&gt;0,Main[[#This Row],[تعداد کل روزهای بدهکار (روز)]],0)</f>
        <v>0</v>
      </c>
      <c r="AC809" s="6">
        <f ca="1">Main[[#This Row],[تعداد روزهای بدهکار  تسویه نشده (روز)]]*Main[[#This Row],[مانده در خط تسویه نشده (کیلوگرم)]]</f>
        <v>0</v>
      </c>
      <c r="AD809" s="6">
        <f ca="1">SUBTOTAL(9,INDEX(Main[بدهی سررسید شده (کیلوگرم)],1):Main[[#This Row],[بدهی سررسید شده (کیلوگرم)]])</f>
        <v>0</v>
      </c>
      <c r="AE809" s="6">
        <f ca="1">IF(Main[[#This Row],[مانده در خط سررسید شده (کیلوگرم)]]&lt;&gt;0,Main[[#This Row],[تعداد کل روزهای بدهکار (روز)]],0)</f>
        <v>0</v>
      </c>
      <c r="AF809" s="6">
        <f ca="1">Main[[#This Row],[تعداد روزهای بدهکار سررسید شده (روز)]]*Main[[#This Row],[مانده در خط سررسید شده (کیلوگرم)]]</f>
        <v>0</v>
      </c>
    </row>
    <row r="810" spans="1:32" x14ac:dyDescent="0.35">
      <c r="A810" s="5">
        <f>ROW()-ROW(INDEX(Main[ردیف],1))+1</f>
        <v>808</v>
      </c>
      <c r="B810" s="31">
        <f>SUBTOTAL(2,INDEX(Main[ردیف],1):Main[[#This Row],[ردیف]])</f>
        <v>76</v>
      </c>
      <c r="C810" s="32" t="s">
        <v>593</v>
      </c>
      <c r="D810" s="32" t="str">
        <f>_xlfn.CONCAT("14",Main[[#This Row],[تاريخ]])</f>
        <v>1400/03/27</v>
      </c>
      <c r="E810" s="33">
        <v>44364</v>
      </c>
      <c r="F810" s="32">
        <v>10003</v>
      </c>
      <c r="G810" s="5" t="str">
        <f>INDEX(customer[عنوان],MATCH(Main[[#This Row],[کد ردیابی]],customer[کد],0))</f>
        <v>اصغر نورعلی</v>
      </c>
      <c r="H810">
        <v>-511</v>
      </c>
      <c r="I810" s="6">
        <f ca="1">-Main[[#This Row],[بدهی تسویه شده (کیلوگرم)]]+Main[[#This Row],[بستانکار (کیلوگرم)]]</f>
        <v>-511</v>
      </c>
      <c r="J810" s="6">
        <f>IF(Main[[#This Row],[مقدار (کیلوگرم)]]&gt;0,Main[[#This Row],[مقدار (کیلوگرم)]],0)</f>
        <v>0</v>
      </c>
      <c r="K810" s="6">
        <f>-IF(Main[[#This Row],[مقدار (کیلوگرم)]]&lt;0,Main[[#This Row],[مقدار (کیلوگرم)]],0)</f>
        <v>511</v>
      </c>
      <c r="L8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0" s="7">
        <f>-IF(AND(Main[[#This Row],[مقدار (کیلوگرم)]]&lt;0,Main[[#This Row],[تاريخ میلادی]]&gt;44276),Main[[#This Row],[مقدار (کیلوگرم)]],0)</f>
        <v>511</v>
      </c>
      <c r="N810" s="6">
        <f ca="1">Main[[#This Row],[بدهکار (کیلوگرم)]]-Main[[#This Row],[بدهی تسویه نشده (کیلوگرم)]]</f>
        <v>511</v>
      </c>
      <c r="O810" s="6">
        <f ca="1">Main[[#This Row],[تفکیک]]</f>
        <v>0</v>
      </c>
      <c r="P810" s="6">
        <f ca="1">IF(Main[[#This Row],[تاخیر از سررسید]]&gt;0,Main[[#This Row],[بدهی تسویه نشده (کیلوگرم)]],0)</f>
        <v>0</v>
      </c>
      <c r="Q810" s="6">
        <f ca="1">IF(Main[[#This Row],[بدهی تسویه نشده (کیلوگرم)]]&gt;0,'گزارش فردی'!$B$7-Main[[#This Row],[تاريخ میلادی]],0)</f>
        <v>0</v>
      </c>
      <c r="R810" s="6">
        <f ca="1">IF(Main[[#This Row],[بدهی تسویه نشده (کیلوگرم)]]&gt;0,'گزارش فردی'!$B$7-Main[[#This Row],[تاريخ میلادی]]-'گزارش فردی'!$B$8,0)</f>
        <v>0</v>
      </c>
      <c r="S810" s="6">
        <f ca="1">Main[[#This Row],[روز از ارسال سفارش]]*Main[[#This Row],[بدهی تسویه نشده (کیلوگرم)]]</f>
        <v>0</v>
      </c>
      <c r="T810" s="6">
        <f ca="1">Main[[#This Row],[بدهی سررسید شده (کیلوگرم)]]*Main[[#This Row],[روز از ارسال سفارش]]</f>
        <v>0</v>
      </c>
      <c r="U810" s="6">
        <f>-SUBTOTAL(9,INDEX(Main[مقدار (کیلوگرم)],1):Main[[#This Row],[مقدار (کیلوگرم)]])</f>
        <v>33065</v>
      </c>
      <c r="V8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0" s="6">
        <f>Main[[#This Row],[تعداد کل روزهای بدهکار (روز)]]*Main[[#This Row],[مانده در خط کل (کیلوگرم)]]</f>
        <v>66130</v>
      </c>
      <c r="X810" s="6">
        <f ca="1">-SUBTOTAL(9,INDEX(Main[مقدار تسویه شده (کیلوگرم)],1):Main[[#This Row],[مقدار تسویه شده (کیلوگرم)]])</f>
        <v>33065</v>
      </c>
      <c r="Y810" s="6">
        <f ca="1">IF(Main[[#This Row],[مانده در خط تسویه شده (کیلوگرم)]]&lt;&gt;0,Main[[#This Row],[تعداد کل روزهای بدهکار (روز)]],0)</f>
        <v>2</v>
      </c>
      <c r="Z810" s="6">
        <f ca="1">Main[[#This Row],[تعداد روزهای بدهکار تسویه شده (روز)]]*Main[[#This Row],[مانده در خط تسویه شده (کیلوگرم)]]</f>
        <v>66130</v>
      </c>
      <c r="AA810" s="6">
        <f ca="1">SUBTOTAL(9,INDEX(Main[بدهی تسویه نشده (کیلوگرم)],1):Main[[#This Row],[بدهی تسویه نشده (کیلوگرم)]])</f>
        <v>0</v>
      </c>
      <c r="AB810" s="6">
        <f ca="1">IF(Main[[#This Row],[مانده در خط تسویه نشده (کیلوگرم)]]&lt;&gt;0,Main[[#This Row],[تعداد کل روزهای بدهکار (روز)]],0)</f>
        <v>0</v>
      </c>
      <c r="AC810" s="6">
        <f ca="1">Main[[#This Row],[تعداد روزهای بدهکار  تسویه نشده (روز)]]*Main[[#This Row],[مانده در خط تسویه نشده (کیلوگرم)]]</f>
        <v>0</v>
      </c>
      <c r="AD810" s="6">
        <f ca="1">SUBTOTAL(9,INDEX(Main[بدهی سررسید شده (کیلوگرم)],1):Main[[#This Row],[بدهی سررسید شده (کیلوگرم)]])</f>
        <v>0</v>
      </c>
      <c r="AE810" s="6">
        <f ca="1">IF(Main[[#This Row],[مانده در خط سررسید شده (کیلوگرم)]]&lt;&gt;0,Main[[#This Row],[تعداد کل روزهای بدهکار (روز)]],0)</f>
        <v>0</v>
      </c>
      <c r="AF810" s="6">
        <f ca="1">Main[[#This Row],[تعداد روزهای بدهکار سررسید شده (روز)]]*Main[[#This Row],[مانده در خط سررسید شده (کیلوگرم)]]</f>
        <v>0</v>
      </c>
    </row>
    <row r="811" spans="1:32" hidden="1" x14ac:dyDescent="0.35">
      <c r="A811" s="5">
        <f>ROW()-ROW(INDEX(Main[ردیف],1))+1</f>
        <v>809</v>
      </c>
      <c r="B811" s="31">
        <f>SUBTOTAL(2,INDEX(Main[ردیف],1):Main[[#This Row],[ردیف]])</f>
        <v>76</v>
      </c>
      <c r="C811" s="32" t="s">
        <v>593</v>
      </c>
      <c r="D811" s="32" t="str">
        <f>_xlfn.CONCAT("14",Main[[#This Row],[تاريخ]])</f>
        <v>1400/03/27</v>
      </c>
      <c r="E811" s="33">
        <v>44364</v>
      </c>
      <c r="F811" s="32">
        <v>30124</v>
      </c>
      <c r="G811" s="5" t="str">
        <f>INDEX(customer[عنوان],MATCH(Main[[#This Row],[کد ردیابی]],customer[کد],0))</f>
        <v>شرکت لنگرمرواریدسبز</v>
      </c>
      <c r="H811">
        <v>1824</v>
      </c>
      <c r="I811" s="6">
        <f ca="1">-Main[[#This Row],[بدهی تسویه شده (کیلوگرم)]]+Main[[#This Row],[بستانکار (کیلوگرم)]]</f>
        <v>1824</v>
      </c>
      <c r="J811" s="6">
        <f>IF(Main[[#This Row],[مقدار (کیلوگرم)]]&gt;0,Main[[#This Row],[مقدار (کیلوگرم)]],0)</f>
        <v>1824</v>
      </c>
      <c r="K811" s="6">
        <f>-IF(Main[[#This Row],[مقدار (کیلوگرم)]]&lt;0,Main[[#This Row],[مقدار (کیلوگرم)]],0)</f>
        <v>0</v>
      </c>
      <c r="L8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1" s="7">
        <f>-IF(AND(Main[[#This Row],[مقدار (کیلوگرم)]]&lt;0,Main[[#This Row],[تاريخ میلادی]]&gt;44276),Main[[#This Row],[مقدار (کیلوگرم)]],0)</f>
        <v>0</v>
      </c>
      <c r="N811" s="6">
        <f ca="1">Main[[#This Row],[بدهکار (کیلوگرم)]]-Main[[#This Row],[بدهی تسویه نشده (کیلوگرم)]]</f>
        <v>0</v>
      </c>
      <c r="O811" s="6">
        <f ca="1">Main[[#This Row],[تفکیک]]</f>
        <v>0</v>
      </c>
      <c r="P811" s="6">
        <f ca="1">IF(Main[[#This Row],[تاخیر از سررسید]]&gt;0,Main[[#This Row],[بدهی تسویه نشده (کیلوگرم)]],0)</f>
        <v>0</v>
      </c>
      <c r="Q811" s="6">
        <f ca="1">IF(Main[[#This Row],[بدهی تسویه نشده (کیلوگرم)]]&gt;0,'گزارش فردی'!$B$7-Main[[#This Row],[تاريخ میلادی]],0)</f>
        <v>0</v>
      </c>
      <c r="R811" s="6">
        <f ca="1">IF(Main[[#This Row],[بدهی تسویه نشده (کیلوگرم)]]&gt;0,'گزارش فردی'!$B$7-Main[[#This Row],[تاريخ میلادی]]-'گزارش فردی'!$B$8,0)</f>
        <v>0</v>
      </c>
      <c r="S811" s="6">
        <f ca="1">Main[[#This Row],[روز از ارسال سفارش]]*Main[[#This Row],[بدهی تسویه نشده (کیلوگرم)]]</f>
        <v>0</v>
      </c>
      <c r="T811" s="6">
        <f ca="1">Main[[#This Row],[بدهی سررسید شده (کیلوگرم)]]*Main[[#This Row],[روز از ارسال سفارش]]</f>
        <v>0</v>
      </c>
      <c r="U811" s="6">
        <f>-SUBTOTAL(9,INDEX(Main[مقدار (کیلوگرم)],1):Main[[#This Row],[مقدار (کیلوگرم)]])</f>
        <v>33065</v>
      </c>
      <c r="V8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1" s="6">
        <f>Main[[#This Row],[تعداد کل روزهای بدهکار (روز)]]*Main[[#This Row],[مانده در خط کل (کیلوگرم)]]</f>
        <v>66130</v>
      </c>
      <c r="X811" s="6">
        <f ca="1">-SUBTOTAL(9,INDEX(Main[مقدار تسویه شده (کیلوگرم)],1):Main[[#This Row],[مقدار تسویه شده (کیلوگرم)]])</f>
        <v>33065</v>
      </c>
      <c r="Y811" s="6">
        <f ca="1">IF(Main[[#This Row],[مانده در خط تسویه شده (کیلوگرم)]]&lt;&gt;0,Main[[#This Row],[تعداد کل روزهای بدهکار (روز)]],0)</f>
        <v>2</v>
      </c>
      <c r="Z811" s="6">
        <f ca="1">Main[[#This Row],[تعداد روزهای بدهکار تسویه شده (روز)]]*Main[[#This Row],[مانده در خط تسویه شده (کیلوگرم)]]</f>
        <v>66130</v>
      </c>
      <c r="AA811" s="6">
        <f ca="1">SUBTOTAL(9,INDEX(Main[بدهی تسویه نشده (کیلوگرم)],1):Main[[#This Row],[بدهی تسویه نشده (کیلوگرم)]])</f>
        <v>0</v>
      </c>
      <c r="AB811" s="6">
        <f ca="1">IF(Main[[#This Row],[مانده در خط تسویه نشده (کیلوگرم)]]&lt;&gt;0,Main[[#This Row],[تعداد کل روزهای بدهکار (روز)]],0)</f>
        <v>0</v>
      </c>
      <c r="AC811" s="6">
        <f ca="1">Main[[#This Row],[تعداد روزهای بدهکار  تسویه نشده (روز)]]*Main[[#This Row],[مانده در خط تسویه نشده (کیلوگرم)]]</f>
        <v>0</v>
      </c>
      <c r="AD811" s="6">
        <f ca="1">SUBTOTAL(9,INDEX(Main[بدهی سررسید شده (کیلوگرم)],1):Main[[#This Row],[بدهی سررسید شده (کیلوگرم)]])</f>
        <v>0</v>
      </c>
      <c r="AE811" s="6">
        <f ca="1">IF(Main[[#This Row],[مانده در خط سررسید شده (کیلوگرم)]]&lt;&gt;0,Main[[#This Row],[تعداد کل روزهای بدهکار (روز)]],0)</f>
        <v>0</v>
      </c>
      <c r="AF811" s="6">
        <f ca="1">Main[[#This Row],[تعداد روزهای بدهکار سررسید شده (روز)]]*Main[[#This Row],[مانده در خط سررسید شده (کیلوگرم)]]</f>
        <v>0</v>
      </c>
    </row>
    <row r="812" spans="1:32" hidden="1" x14ac:dyDescent="0.35">
      <c r="A812" s="5">
        <f>ROW()-ROW(INDEX(Main[ردیف],1))+1</f>
        <v>810</v>
      </c>
      <c r="B812" s="31">
        <f>SUBTOTAL(2,INDEX(Main[ردیف],1):Main[[#This Row],[ردیف]])</f>
        <v>76</v>
      </c>
      <c r="C812" s="32" t="s">
        <v>593</v>
      </c>
      <c r="D812" s="32" t="str">
        <f>_xlfn.CONCAT("14",Main[[#This Row],[تاريخ]])</f>
        <v>1400/03/27</v>
      </c>
      <c r="E812" s="33">
        <v>44364</v>
      </c>
      <c r="F812" s="32">
        <v>30066</v>
      </c>
      <c r="G812" s="5" t="str">
        <f>INDEX(customer[عنوان],MATCH(Main[[#This Row],[کد ردیابی]],customer[کد],0))</f>
        <v xml:space="preserve">شیر آلات بهداشتی قهرمان </v>
      </c>
      <c r="H812">
        <v>-3334</v>
      </c>
      <c r="I812" s="6">
        <f ca="1">-Main[[#This Row],[بدهی تسویه شده (کیلوگرم)]]+Main[[#This Row],[بستانکار (کیلوگرم)]]</f>
        <v>-3334</v>
      </c>
      <c r="J812" s="6">
        <f>IF(Main[[#This Row],[مقدار (کیلوگرم)]]&gt;0,Main[[#This Row],[مقدار (کیلوگرم)]],0)</f>
        <v>0</v>
      </c>
      <c r="K812" s="6">
        <f>-IF(Main[[#This Row],[مقدار (کیلوگرم)]]&lt;0,Main[[#This Row],[مقدار (کیلوگرم)]],0)</f>
        <v>3334</v>
      </c>
      <c r="L8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2" s="7">
        <f>-IF(AND(Main[[#This Row],[مقدار (کیلوگرم)]]&lt;0,Main[[#This Row],[تاريخ میلادی]]&gt;44276),Main[[#This Row],[مقدار (کیلوگرم)]],0)</f>
        <v>3334</v>
      </c>
      <c r="N812" s="6">
        <f ca="1">Main[[#This Row],[بدهکار (کیلوگرم)]]-Main[[#This Row],[بدهی تسویه نشده (کیلوگرم)]]</f>
        <v>3334</v>
      </c>
      <c r="O812" s="6">
        <f ca="1">Main[[#This Row],[تفکیک]]</f>
        <v>0</v>
      </c>
      <c r="P812" s="6">
        <f ca="1">IF(Main[[#This Row],[تاخیر از سررسید]]&gt;0,Main[[#This Row],[بدهی تسویه نشده (کیلوگرم)]],0)</f>
        <v>0</v>
      </c>
      <c r="Q812" s="6">
        <f ca="1">IF(Main[[#This Row],[بدهی تسویه نشده (کیلوگرم)]]&gt;0,'گزارش فردی'!$B$7-Main[[#This Row],[تاريخ میلادی]],0)</f>
        <v>0</v>
      </c>
      <c r="R812" s="6">
        <f ca="1">IF(Main[[#This Row],[بدهی تسویه نشده (کیلوگرم)]]&gt;0,'گزارش فردی'!$B$7-Main[[#This Row],[تاريخ میلادی]]-'گزارش فردی'!$B$8,0)</f>
        <v>0</v>
      </c>
      <c r="S812" s="6">
        <f ca="1">Main[[#This Row],[روز از ارسال سفارش]]*Main[[#This Row],[بدهی تسویه نشده (کیلوگرم)]]</f>
        <v>0</v>
      </c>
      <c r="T812" s="6">
        <f ca="1">Main[[#This Row],[بدهی سررسید شده (کیلوگرم)]]*Main[[#This Row],[روز از ارسال سفارش]]</f>
        <v>0</v>
      </c>
      <c r="U812" s="6">
        <f>-SUBTOTAL(9,INDEX(Main[مقدار (کیلوگرم)],1):Main[[#This Row],[مقدار (کیلوگرم)]])</f>
        <v>33065</v>
      </c>
      <c r="V8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2" s="6">
        <f>Main[[#This Row],[تعداد کل روزهای بدهکار (روز)]]*Main[[#This Row],[مانده در خط کل (کیلوگرم)]]</f>
        <v>66130</v>
      </c>
      <c r="X812" s="6">
        <f ca="1">-SUBTOTAL(9,INDEX(Main[مقدار تسویه شده (کیلوگرم)],1):Main[[#This Row],[مقدار تسویه شده (کیلوگرم)]])</f>
        <v>33065</v>
      </c>
      <c r="Y812" s="6">
        <f ca="1">IF(Main[[#This Row],[مانده در خط تسویه شده (کیلوگرم)]]&lt;&gt;0,Main[[#This Row],[تعداد کل روزهای بدهکار (روز)]],0)</f>
        <v>2</v>
      </c>
      <c r="Z812" s="6">
        <f ca="1">Main[[#This Row],[تعداد روزهای بدهکار تسویه شده (روز)]]*Main[[#This Row],[مانده در خط تسویه شده (کیلوگرم)]]</f>
        <v>66130</v>
      </c>
      <c r="AA812" s="6">
        <f ca="1">SUBTOTAL(9,INDEX(Main[بدهی تسویه نشده (کیلوگرم)],1):Main[[#This Row],[بدهی تسویه نشده (کیلوگرم)]])</f>
        <v>0</v>
      </c>
      <c r="AB812" s="6">
        <f ca="1">IF(Main[[#This Row],[مانده در خط تسویه نشده (کیلوگرم)]]&lt;&gt;0,Main[[#This Row],[تعداد کل روزهای بدهکار (روز)]],0)</f>
        <v>0</v>
      </c>
      <c r="AC812" s="6">
        <f ca="1">Main[[#This Row],[تعداد روزهای بدهکار  تسویه نشده (روز)]]*Main[[#This Row],[مانده در خط تسویه نشده (کیلوگرم)]]</f>
        <v>0</v>
      </c>
      <c r="AD812" s="6">
        <f ca="1">SUBTOTAL(9,INDEX(Main[بدهی سررسید شده (کیلوگرم)],1):Main[[#This Row],[بدهی سررسید شده (کیلوگرم)]])</f>
        <v>0</v>
      </c>
      <c r="AE812" s="6">
        <f ca="1">IF(Main[[#This Row],[مانده در خط سررسید شده (کیلوگرم)]]&lt;&gt;0,Main[[#This Row],[تعداد کل روزهای بدهکار (روز)]],0)</f>
        <v>0</v>
      </c>
      <c r="AF812" s="6">
        <f ca="1">Main[[#This Row],[تعداد روزهای بدهکار سررسید شده (روز)]]*Main[[#This Row],[مانده در خط سررسید شده (کیلوگرم)]]</f>
        <v>0</v>
      </c>
    </row>
    <row r="813" spans="1:32" hidden="1" x14ac:dyDescent="0.35">
      <c r="A813" s="5">
        <f>ROW()-ROW(INDEX(Main[ردیف],1))+1</f>
        <v>811</v>
      </c>
      <c r="B813" s="31">
        <f>SUBTOTAL(2,INDEX(Main[ردیف],1):Main[[#This Row],[ردیف]])</f>
        <v>76</v>
      </c>
      <c r="C813" s="32" t="s">
        <v>593</v>
      </c>
      <c r="D813" s="32" t="str">
        <f>_xlfn.CONCAT("14",Main[[#This Row],[تاريخ]])</f>
        <v>1400/03/27</v>
      </c>
      <c r="E813" s="33">
        <v>44364</v>
      </c>
      <c r="F813" s="32">
        <v>30124</v>
      </c>
      <c r="G813" s="5" t="str">
        <f>INDEX(customer[عنوان],MATCH(Main[[#This Row],[کد ردیابی]],customer[کد],0))</f>
        <v>شرکت لنگرمرواریدسبز</v>
      </c>
      <c r="H813">
        <v>198</v>
      </c>
      <c r="I813" s="6">
        <f ca="1">-Main[[#This Row],[بدهی تسویه شده (کیلوگرم)]]+Main[[#This Row],[بستانکار (کیلوگرم)]]</f>
        <v>198</v>
      </c>
      <c r="J813" s="6">
        <f>IF(Main[[#This Row],[مقدار (کیلوگرم)]]&gt;0,Main[[#This Row],[مقدار (کیلوگرم)]],0)</f>
        <v>198</v>
      </c>
      <c r="K813" s="6">
        <f>-IF(Main[[#This Row],[مقدار (کیلوگرم)]]&lt;0,Main[[#This Row],[مقدار (کیلوگرم)]],0)</f>
        <v>0</v>
      </c>
      <c r="L8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3" s="7">
        <f>-IF(AND(Main[[#This Row],[مقدار (کیلوگرم)]]&lt;0,Main[[#This Row],[تاريخ میلادی]]&gt;44276),Main[[#This Row],[مقدار (کیلوگرم)]],0)</f>
        <v>0</v>
      </c>
      <c r="N813" s="6">
        <f ca="1">Main[[#This Row],[بدهکار (کیلوگرم)]]-Main[[#This Row],[بدهی تسویه نشده (کیلوگرم)]]</f>
        <v>0</v>
      </c>
      <c r="O813" s="6">
        <f ca="1">Main[[#This Row],[تفکیک]]</f>
        <v>0</v>
      </c>
      <c r="P813" s="6">
        <f ca="1">IF(Main[[#This Row],[تاخیر از سررسید]]&gt;0,Main[[#This Row],[بدهی تسویه نشده (کیلوگرم)]],0)</f>
        <v>0</v>
      </c>
      <c r="Q813" s="6">
        <f ca="1">IF(Main[[#This Row],[بدهی تسویه نشده (کیلوگرم)]]&gt;0,'گزارش فردی'!$B$7-Main[[#This Row],[تاريخ میلادی]],0)</f>
        <v>0</v>
      </c>
      <c r="R813" s="6">
        <f ca="1">IF(Main[[#This Row],[بدهی تسویه نشده (کیلوگرم)]]&gt;0,'گزارش فردی'!$B$7-Main[[#This Row],[تاريخ میلادی]]-'گزارش فردی'!$B$8,0)</f>
        <v>0</v>
      </c>
      <c r="S813" s="6">
        <f ca="1">Main[[#This Row],[روز از ارسال سفارش]]*Main[[#This Row],[بدهی تسویه نشده (کیلوگرم)]]</f>
        <v>0</v>
      </c>
      <c r="T813" s="6">
        <f ca="1">Main[[#This Row],[بدهی سررسید شده (کیلوگرم)]]*Main[[#This Row],[روز از ارسال سفارش]]</f>
        <v>0</v>
      </c>
      <c r="U813" s="6">
        <f>-SUBTOTAL(9,INDEX(Main[مقدار (کیلوگرم)],1):Main[[#This Row],[مقدار (کیلوگرم)]])</f>
        <v>33065</v>
      </c>
      <c r="V8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3" s="6">
        <f>Main[[#This Row],[تعداد کل روزهای بدهکار (روز)]]*Main[[#This Row],[مانده در خط کل (کیلوگرم)]]</f>
        <v>66130</v>
      </c>
      <c r="X813" s="6">
        <f ca="1">-SUBTOTAL(9,INDEX(Main[مقدار تسویه شده (کیلوگرم)],1):Main[[#This Row],[مقدار تسویه شده (کیلوگرم)]])</f>
        <v>33065</v>
      </c>
      <c r="Y813" s="6">
        <f ca="1">IF(Main[[#This Row],[مانده در خط تسویه شده (کیلوگرم)]]&lt;&gt;0,Main[[#This Row],[تعداد کل روزهای بدهکار (روز)]],0)</f>
        <v>2</v>
      </c>
      <c r="Z813" s="6">
        <f ca="1">Main[[#This Row],[تعداد روزهای بدهکار تسویه شده (روز)]]*Main[[#This Row],[مانده در خط تسویه شده (کیلوگرم)]]</f>
        <v>66130</v>
      </c>
      <c r="AA813" s="6">
        <f ca="1">SUBTOTAL(9,INDEX(Main[بدهی تسویه نشده (کیلوگرم)],1):Main[[#This Row],[بدهی تسویه نشده (کیلوگرم)]])</f>
        <v>0</v>
      </c>
      <c r="AB813" s="6">
        <f ca="1">IF(Main[[#This Row],[مانده در خط تسویه نشده (کیلوگرم)]]&lt;&gt;0,Main[[#This Row],[تعداد کل روزهای بدهکار (روز)]],0)</f>
        <v>0</v>
      </c>
      <c r="AC813" s="6">
        <f ca="1">Main[[#This Row],[تعداد روزهای بدهکار  تسویه نشده (روز)]]*Main[[#This Row],[مانده در خط تسویه نشده (کیلوگرم)]]</f>
        <v>0</v>
      </c>
      <c r="AD813" s="6">
        <f ca="1">SUBTOTAL(9,INDEX(Main[بدهی سررسید شده (کیلوگرم)],1):Main[[#This Row],[بدهی سررسید شده (کیلوگرم)]])</f>
        <v>0</v>
      </c>
      <c r="AE813" s="6">
        <f ca="1">IF(Main[[#This Row],[مانده در خط سررسید شده (کیلوگرم)]]&lt;&gt;0,Main[[#This Row],[تعداد کل روزهای بدهکار (روز)]],0)</f>
        <v>0</v>
      </c>
      <c r="AF813" s="6">
        <f ca="1">Main[[#This Row],[تعداد روزهای بدهکار سررسید شده (روز)]]*Main[[#This Row],[مانده در خط سررسید شده (کیلوگرم)]]</f>
        <v>0</v>
      </c>
    </row>
    <row r="814" spans="1:32" hidden="1" x14ac:dyDescent="0.35">
      <c r="A814" s="5">
        <f>ROW()-ROW(INDEX(Main[ردیف],1))+1</f>
        <v>812</v>
      </c>
      <c r="B814" s="31">
        <f>SUBTOTAL(2,INDEX(Main[ردیف],1):Main[[#This Row],[ردیف]])</f>
        <v>76</v>
      </c>
      <c r="C814" s="32" t="s">
        <v>593</v>
      </c>
      <c r="D814" s="32" t="str">
        <f>_xlfn.CONCAT("14",Main[[#This Row],[تاريخ]])</f>
        <v>1400/03/27</v>
      </c>
      <c r="E814" s="33">
        <v>44364</v>
      </c>
      <c r="F814" s="32">
        <v>30124</v>
      </c>
      <c r="G814" s="5" t="str">
        <f>INDEX(customer[عنوان],MATCH(Main[[#This Row],[کد ردیابی]],customer[کد],0))</f>
        <v>شرکت لنگرمرواریدسبز</v>
      </c>
      <c r="H814">
        <v>1156</v>
      </c>
      <c r="I814" s="6">
        <f ca="1">-Main[[#This Row],[بدهی تسویه شده (کیلوگرم)]]+Main[[#This Row],[بستانکار (کیلوگرم)]]</f>
        <v>1156</v>
      </c>
      <c r="J814" s="6">
        <f>IF(Main[[#This Row],[مقدار (کیلوگرم)]]&gt;0,Main[[#This Row],[مقدار (کیلوگرم)]],0)</f>
        <v>1156</v>
      </c>
      <c r="K814" s="6">
        <f>-IF(Main[[#This Row],[مقدار (کیلوگرم)]]&lt;0,Main[[#This Row],[مقدار (کیلوگرم)]],0)</f>
        <v>0</v>
      </c>
      <c r="L8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4" s="7">
        <f>-IF(AND(Main[[#This Row],[مقدار (کیلوگرم)]]&lt;0,Main[[#This Row],[تاريخ میلادی]]&gt;44276),Main[[#This Row],[مقدار (کیلوگرم)]],0)</f>
        <v>0</v>
      </c>
      <c r="N814" s="6">
        <f ca="1">Main[[#This Row],[بدهکار (کیلوگرم)]]-Main[[#This Row],[بدهی تسویه نشده (کیلوگرم)]]</f>
        <v>0</v>
      </c>
      <c r="O814" s="6">
        <f ca="1">Main[[#This Row],[تفکیک]]</f>
        <v>0</v>
      </c>
      <c r="P814" s="6">
        <f ca="1">IF(Main[[#This Row],[تاخیر از سررسید]]&gt;0,Main[[#This Row],[بدهی تسویه نشده (کیلوگرم)]],0)</f>
        <v>0</v>
      </c>
      <c r="Q814" s="6">
        <f ca="1">IF(Main[[#This Row],[بدهی تسویه نشده (کیلوگرم)]]&gt;0,'گزارش فردی'!$B$7-Main[[#This Row],[تاريخ میلادی]],0)</f>
        <v>0</v>
      </c>
      <c r="R814" s="6">
        <f ca="1">IF(Main[[#This Row],[بدهی تسویه نشده (کیلوگرم)]]&gt;0,'گزارش فردی'!$B$7-Main[[#This Row],[تاريخ میلادی]]-'گزارش فردی'!$B$8,0)</f>
        <v>0</v>
      </c>
      <c r="S814" s="6">
        <f ca="1">Main[[#This Row],[روز از ارسال سفارش]]*Main[[#This Row],[بدهی تسویه نشده (کیلوگرم)]]</f>
        <v>0</v>
      </c>
      <c r="T814" s="6">
        <f ca="1">Main[[#This Row],[بدهی سررسید شده (کیلوگرم)]]*Main[[#This Row],[روز از ارسال سفارش]]</f>
        <v>0</v>
      </c>
      <c r="U814" s="6">
        <f>-SUBTOTAL(9,INDEX(Main[مقدار (کیلوگرم)],1):Main[[#This Row],[مقدار (کیلوگرم)]])</f>
        <v>33065</v>
      </c>
      <c r="V8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4" s="6">
        <f>Main[[#This Row],[تعداد کل روزهای بدهکار (روز)]]*Main[[#This Row],[مانده در خط کل (کیلوگرم)]]</f>
        <v>66130</v>
      </c>
      <c r="X814" s="6">
        <f ca="1">-SUBTOTAL(9,INDEX(Main[مقدار تسویه شده (کیلوگرم)],1):Main[[#This Row],[مقدار تسویه شده (کیلوگرم)]])</f>
        <v>33065</v>
      </c>
      <c r="Y814" s="6">
        <f ca="1">IF(Main[[#This Row],[مانده در خط تسویه شده (کیلوگرم)]]&lt;&gt;0,Main[[#This Row],[تعداد کل روزهای بدهکار (روز)]],0)</f>
        <v>2</v>
      </c>
      <c r="Z814" s="6">
        <f ca="1">Main[[#This Row],[تعداد روزهای بدهکار تسویه شده (روز)]]*Main[[#This Row],[مانده در خط تسویه شده (کیلوگرم)]]</f>
        <v>66130</v>
      </c>
      <c r="AA814" s="6">
        <f ca="1">SUBTOTAL(9,INDEX(Main[بدهی تسویه نشده (کیلوگرم)],1):Main[[#This Row],[بدهی تسویه نشده (کیلوگرم)]])</f>
        <v>0</v>
      </c>
      <c r="AB814" s="6">
        <f ca="1">IF(Main[[#This Row],[مانده در خط تسویه نشده (کیلوگرم)]]&lt;&gt;0,Main[[#This Row],[تعداد کل روزهای بدهکار (روز)]],0)</f>
        <v>0</v>
      </c>
      <c r="AC814" s="6">
        <f ca="1">Main[[#This Row],[تعداد روزهای بدهکار  تسویه نشده (روز)]]*Main[[#This Row],[مانده در خط تسویه نشده (کیلوگرم)]]</f>
        <v>0</v>
      </c>
      <c r="AD814" s="6">
        <f ca="1">SUBTOTAL(9,INDEX(Main[بدهی سررسید شده (کیلوگرم)],1):Main[[#This Row],[بدهی سررسید شده (کیلوگرم)]])</f>
        <v>0</v>
      </c>
      <c r="AE814" s="6">
        <f ca="1">IF(Main[[#This Row],[مانده در خط سررسید شده (کیلوگرم)]]&lt;&gt;0,Main[[#This Row],[تعداد کل روزهای بدهکار (روز)]],0)</f>
        <v>0</v>
      </c>
      <c r="AF814" s="6">
        <f ca="1">Main[[#This Row],[تعداد روزهای بدهکار سررسید شده (روز)]]*Main[[#This Row],[مانده در خط سررسید شده (کیلوگرم)]]</f>
        <v>0</v>
      </c>
    </row>
    <row r="815" spans="1:32" hidden="1" x14ac:dyDescent="0.35">
      <c r="A815" s="5">
        <f>ROW()-ROW(INDEX(Main[ردیف],1))+1</f>
        <v>813</v>
      </c>
      <c r="B815" s="31">
        <f>SUBTOTAL(2,INDEX(Main[ردیف],1):Main[[#This Row],[ردیف]])</f>
        <v>76</v>
      </c>
      <c r="C815" s="32" t="s">
        <v>593</v>
      </c>
      <c r="D815" s="32" t="str">
        <f>_xlfn.CONCAT("14",Main[[#This Row],[تاريخ]])</f>
        <v>1400/03/27</v>
      </c>
      <c r="E815" s="33">
        <v>44364</v>
      </c>
      <c r="F815" s="32">
        <v>50011</v>
      </c>
      <c r="G815" s="5" t="str">
        <f>INDEX(customer[عنوان],MATCH(Main[[#This Row],[کد ردیابی]],customer[کد],0))</f>
        <v xml:space="preserve">جعفر هوشمند </v>
      </c>
      <c r="H815">
        <v>1251</v>
      </c>
      <c r="I815" s="6">
        <f ca="1">-Main[[#This Row],[بدهی تسویه شده (کیلوگرم)]]+Main[[#This Row],[بستانکار (کیلوگرم)]]</f>
        <v>1251</v>
      </c>
      <c r="J815" s="6">
        <f>IF(Main[[#This Row],[مقدار (کیلوگرم)]]&gt;0,Main[[#This Row],[مقدار (کیلوگرم)]],0)</f>
        <v>1251</v>
      </c>
      <c r="K815" s="6">
        <f>-IF(Main[[#This Row],[مقدار (کیلوگرم)]]&lt;0,Main[[#This Row],[مقدار (کیلوگرم)]],0)</f>
        <v>0</v>
      </c>
      <c r="L8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5" s="7">
        <f>-IF(AND(Main[[#This Row],[مقدار (کیلوگرم)]]&lt;0,Main[[#This Row],[تاريخ میلادی]]&gt;44276),Main[[#This Row],[مقدار (کیلوگرم)]],0)</f>
        <v>0</v>
      </c>
      <c r="N815" s="6">
        <f ca="1">Main[[#This Row],[بدهکار (کیلوگرم)]]-Main[[#This Row],[بدهی تسویه نشده (کیلوگرم)]]</f>
        <v>0</v>
      </c>
      <c r="O815" s="6">
        <f ca="1">Main[[#This Row],[تفکیک]]</f>
        <v>0</v>
      </c>
      <c r="P815" s="6">
        <f ca="1">IF(Main[[#This Row],[تاخیر از سررسید]]&gt;0,Main[[#This Row],[بدهی تسویه نشده (کیلوگرم)]],0)</f>
        <v>0</v>
      </c>
      <c r="Q815" s="6">
        <f ca="1">IF(Main[[#This Row],[بدهی تسویه نشده (کیلوگرم)]]&gt;0,'گزارش فردی'!$B$7-Main[[#This Row],[تاريخ میلادی]],0)</f>
        <v>0</v>
      </c>
      <c r="R815" s="6">
        <f ca="1">IF(Main[[#This Row],[بدهی تسویه نشده (کیلوگرم)]]&gt;0,'گزارش فردی'!$B$7-Main[[#This Row],[تاريخ میلادی]]-'گزارش فردی'!$B$8,0)</f>
        <v>0</v>
      </c>
      <c r="S815" s="6">
        <f ca="1">Main[[#This Row],[روز از ارسال سفارش]]*Main[[#This Row],[بدهی تسویه نشده (کیلوگرم)]]</f>
        <v>0</v>
      </c>
      <c r="T815" s="6">
        <f ca="1">Main[[#This Row],[بدهی سررسید شده (کیلوگرم)]]*Main[[#This Row],[روز از ارسال سفارش]]</f>
        <v>0</v>
      </c>
      <c r="U815" s="6">
        <f>-SUBTOTAL(9,INDEX(Main[مقدار (کیلوگرم)],1):Main[[#This Row],[مقدار (کیلوگرم)]])</f>
        <v>33065</v>
      </c>
      <c r="V8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5" s="6">
        <f>Main[[#This Row],[تعداد کل روزهای بدهکار (روز)]]*Main[[#This Row],[مانده در خط کل (کیلوگرم)]]</f>
        <v>66130</v>
      </c>
      <c r="X815" s="6">
        <f ca="1">-SUBTOTAL(9,INDEX(Main[مقدار تسویه شده (کیلوگرم)],1):Main[[#This Row],[مقدار تسویه شده (کیلوگرم)]])</f>
        <v>33065</v>
      </c>
      <c r="Y815" s="6">
        <f ca="1">IF(Main[[#This Row],[مانده در خط تسویه شده (کیلوگرم)]]&lt;&gt;0,Main[[#This Row],[تعداد کل روزهای بدهکار (روز)]],0)</f>
        <v>2</v>
      </c>
      <c r="Z815" s="6">
        <f ca="1">Main[[#This Row],[تعداد روزهای بدهکار تسویه شده (روز)]]*Main[[#This Row],[مانده در خط تسویه شده (کیلوگرم)]]</f>
        <v>66130</v>
      </c>
      <c r="AA815" s="6">
        <f ca="1">SUBTOTAL(9,INDEX(Main[بدهی تسویه نشده (کیلوگرم)],1):Main[[#This Row],[بدهی تسویه نشده (کیلوگرم)]])</f>
        <v>0</v>
      </c>
      <c r="AB815" s="6">
        <f ca="1">IF(Main[[#This Row],[مانده در خط تسویه نشده (کیلوگرم)]]&lt;&gt;0,Main[[#This Row],[تعداد کل روزهای بدهکار (روز)]],0)</f>
        <v>0</v>
      </c>
      <c r="AC815" s="6">
        <f ca="1">Main[[#This Row],[تعداد روزهای بدهکار  تسویه نشده (روز)]]*Main[[#This Row],[مانده در خط تسویه نشده (کیلوگرم)]]</f>
        <v>0</v>
      </c>
      <c r="AD815" s="6">
        <f ca="1">SUBTOTAL(9,INDEX(Main[بدهی سررسید شده (کیلوگرم)],1):Main[[#This Row],[بدهی سررسید شده (کیلوگرم)]])</f>
        <v>0</v>
      </c>
      <c r="AE815" s="6">
        <f ca="1">IF(Main[[#This Row],[مانده در خط سررسید شده (کیلوگرم)]]&lt;&gt;0,Main[[#This Row],[تعداد کل روزهای بدهکار (روز)]],0)</f>
        <v>0</v>
      </c>
      <c r="AF815" s="6">
        <f ca="1">Main[[#This Row],[تعداد روزهای بدهکار سررسید شده (روز)]]*Main[[#This Row],[مانده در خط سررسید شده (کیلوگرم)]]</f>
        <v>0</v>
      </c>
    </row>
    <row r="816" spans="1:32" hidden="1" x14ac:dyDescent="0.35">
      <c r="A816" s="5">
        <f>ROW()-ROW(INDEX(Main[ردیف],1))+1</f>
        <v>814</v>
      </c>
      <c r="B816" s="31">
        <f>SUBTOTAL(2,INDEX(Main[ردیف],1):Main[[#This Row],[ردیف]])</f>
        <v>76</v>
      </c>
      <c r="C816" s="32" t="s">
        <v>593</v>
      </c>
      <c r="D816" s="32" t="str">
        <f>_xlfn.CONCAT("14",Main[[#This Row],[تاريخ]])</f>
        <v>1400/03/27</v>
      </c>
      <c r="E816" s="33">
        <v>44364</v>
      </c>
      <c r="F816" s="32">
        <v>10027</v>
      </c>
      <c r="G816" s="5" t="str">
        <f>INDEX(customer[عنوان],MATCH(Main[[#This Row],[کد ردیابی]],customer[کد],0))</f>
        <v xml:space="preserve">مصطفی نورعلی </v>
      </c>
      <c r="H816">
        <v>2276</v>
      </c>
      <c r="I816" s="6">
        <f ca="1">-Main[[#This Row],[بدهی تسویه شده (کیلوگرم)]]+Main[[#This Row],[بستانکار (کیلوگرم)]]</f>
        <v>2276</v>
      </c>
      <c r="J816" s="6">
        <f>IF(Main[[#This Row],[مقدار (کیلوگرم)]]&gt;0,Main[[#This Row],[مقدار (کیلوگرم)]],0)</f>
        <v>2276</v>
      </c>
      <c r="K816" s="6">
        <f>-IF(Main[[#This Row],[مقدار (کیلوگرم)]]&lt;0,Main[[#This Row],[مقدار (کیلوگرم)]],0)</f>
        <v>0</v>
      </c>
      <c r="L8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6" s="7">
        <f>-IF(AND(Main[[#This Row],[مقدار (کیلوگرم)]]&lt;0,Main[[#This Row],[تاريخ میلادی]]&gt;44276),Main[[#This Row],[مقدار (کیلوگرم)]],0)</f>
        <v>0</v>
      </c>
      <c r="N816" s="6">
        <f ca="1">Main[[#This Row],[بدهکار (کیلوگرم)]]-Main[[#This Row],[بدهی تسویه نشده (کیلوگرم)]]</f>
        <v>0</v>
      </c>
      <c r="O816" s="6">
        <f ca="1">Main[[#This Row],[تفکیک]]</f>
        <v>0</v>
      </c>
      <c r="P816" s="6">
        <f ca="1">IF(Main[[#This Row],[تاخیر از سررسید]]&gt;0,Main[[#This Row],[بدهی تسویه نشده (کیلوگرم)]],0)</f>
        <v>0</v>
      </c>
      <c r="Q816" s="6">
        <f ca="1">IF(Main[[#This Row],[بدهی تسویه نشده (کیلوگرم)]]&gt;0,'گزارش فردی'!$B$7-Main[[#This Row],[تاريخ میلادی]],0)</f>
        <v>0</v>
      </c>
      <c r="R816" s="6">
        <f ca="1">IF(Main[[#This Row],[بدهی تسویه نشده (کیلوگرم)]]&gt;0,'گزارش فردی'!$B$7-Main[[#This Row],[تاريخ میلادی]]-'گزارش فردی'!$B$8,0)</f>
        <v>0</v>
      </c>
      <c r="S816" s="6">
        <f ca="1">Main[[#This Row],[روز از ارسال سفارش]]*Main[[#This Row],[بدهی تسویه نشده (کیلوگرم)]]</f>
        <v>0</v>
      </c>
      <c r="T816" s="6">
        <f ca="1">Main[[#This Row],[بدهی سررسید شده (کیلوگرم)]]*Main[[#This Row],[روز از ارسال سفارش]]</f>
        <v>0</v>
      </c>
      <c r="U816" s="6">
        <f>-SUBTOTAL(9,INDEX(Main[مقدار (کیلوگرم)],1):Main[[#This Row],[مقدار (کیلوگرم)]])</f>
        <v>33065</v>
      </c>
      <c r="V8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6" s="6">
        <f>Main[[#This Row],[تعداد کل روزهای بدهکار (روز)]]*Main[[#This Row],[مانده در خط کل (کیلوگرم)]]</f>
        <v>66130</v>
      </c>
      <c r="X816" s="6">
        <f ca="1">-SUBTOTAL(9,INDEX(Main[مقدار تسویه شده (کیلوگرم)],1):Main[[#This Row],[مقدار تسویه شده (کیلوگرم)]])</f>
        <v>33065</v>
      </c>
      <c r="Y816" s="6">
        <f ca="1">IF(Main[[#This Row],[مانده در خط تسویه شده (کیلوگرم)]]&lt;&gt;0,Main[[#This Row],[تعداد کل روزهای بدهکار (روز)]],0)</f>
        <v>2</v>
      </c>
      <c r="Z816" s="6">
        <f ca="1">Main[[#This Row],[تعداد روزهای بدهکار تسویه شده (روز)]]*Main[[#This Row],[مانده در خط تسویه شده (کیلوگرم)]]</f>
        <v>66130</v>
      </c>
      <c r="AA816" s="6">
        <f ca="1">SUBTOTAL(9,INDEX(Main[بدهی تسویه نشده (کیلوگرم)],1):Main[[#This Row],[بدهی تسویه نشده (کیلوگرم)]])</f>
        <v>0</v>
      </c>
      <c r="AB816" s="6">
        <f ca="1">IF(Main[[#This Row],[مانده در خط تسویه نشده (کیلوگرم)]]&lt;&gt;0,Main[[#This Row],[تعداد کل روزهای بدهکار (روز)]],0)</f>
        <v>0</v>
      </c>
      <c r="AC816" s="6">
        <f ca="1">Main[[#This Row],[تعداد روزهای بدهکار  تسویه نشده (روز)]]*Main[[#This Row],[مانده در خط تسویه نشده (کیلوگرم)]]</f>
        <v>0</v>
      </c>
      <c r="AD816" s="6">
        <f ca="1">SUBTOTAL(9,INDEX(Main[بدهی سررسید شده (کیلوگرم)],1):Main[[#This Row],[بدهی سررسید شده (کیلوگرم)]])</f>
        <v>0</v>
      </c>
      <c r="AE816" s="6">
        <f ca="1">IF(Main[[#This Row],[مانده در خط سررسید شده (کیلوگرم)]]&lt;&gt;0,Main[[#This Row],[تعداد کل روزهای بدهکار (روز)]],0)</f>
        <v>0</v>
      </c>
      <c r="AF816" s="6">
        <f ca="1">Main[[#This Row],[تعداد روزهای بدهکار سررسید شده (روز)]]*Main[[#This Row],[مانده در خط سررسید شده (کیلوگرم)]]</f>
        <v>0</v>
      </c>
    </row>
    <row r="817" spans="1:32" hidden="1" x14ac:dyDescent="0.35">
      <c r="A817" s="5">
        <f>ROW()-ROW(INDEX(Main[ردیف],1))+1</f>
        <v>815</v>
      </c>
      <c r="B817" s="31">
        <f>SUBTOTAL(2,INDEX(Main[ردیف],1):Main[[#This Row],[ردیف]])</f>
        <v>76</v>
      </c>
      <c r="C817" s="32" t="s">
        <v>594</v>
      </c>
      <c r="D817" s="32" t="str">
        <f>_xlfn.CONCAT("14",Main[[#This Row],[تاريخ]])</f>
        <v>1400/03/29</v>
      </c>
      <c r="E817" s="33">
        <v>44366</v>
      </c>
      <c r="F817" s="32">
        <v>30066</v>
      </c>
      <c r="G817" s="5" t="str">
        <f>INDEX(customer[عنوان],MATCH(Main[[#This Row],[کد ردیابی]],customer[کد],0))</f>
        <v xml:space="preserve">شیر آلات بهداشتی قهرمان </v>
      </c>
      <c r="H817">
        <v>-4936</v>
      </c>
      <c r="I817" s="6">
        <f ca="1">-Main[[#This Row],[بدهی تسویه شده (کیلوگرم)]]+Main[[#This Row],[بستانکار (کیلوگرم)]]</f>
        <v>-4936</v>
      </c>
      <c r="J817" s="6">
        <f>IF(Main[[#This Row],[مقدار (کیلوگرم)]]&gt;0,Main[[#This Row],[مقدار (کیلوگرم)]],0)</f>
        <v>0</v>
      </c>
      <c r="K817" s="6">
        <f>-IF(Main[[#This Row],[مقدار (کیلوگرم)]]&lt;0,Main[[#This Row],[مقدار (کیلوگرم)]],0)</f>
        <v>4936</v>
      </c>
      <c r="L8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7" s="7">
        <f>-IF(AND(Main[[#This Row],[مقدار (کیلوگرم)]]&lt;0,Main[[#This Row],[تاريخ میلادی]]&gt;44276),Main[[#This Row],[مقدار (کیلوگرم)]],0)</f>
        <v>4936</v>
      </c>
      <c r="N817" s="6">
        <f ca="1">Main[[#This Row],[بدهکار (کیلوگرم)]]-Main[[#This Row],[بدهی تسویه نشده (کیلوگرم)]]</f>
        <v>4936</v>
      </c>
      <c r="O817" s="6">
        <f ca="1">Main[[#This Row],[تفکیک]]</f>
        <v>0</v>
      </c>
      <c r="P817" s="6">
        <f ca="1">IF(Main[[#This Row],[تاخیر از سررسید]]&gt;0,Main[[#This Row],[بدهی تسویه نشده (کیلوگرم)]],0)</f>
        <v>0</v>
      </c>
      <c r="Q817" s="6">
        <f ca="1">IF(Main[[#This Row],[بدهی تسویه نشده (کیلوگرم)]]&gt;0,'گزارش فردی'!$B$7-Main[[#This Row],[تاريخ میلادی]],0)</f>
        <v>0</v>
      </c>
      <c r="R817" s="6">
        <f ca="1">IF(Main[[#This Row],[بدهی تسویه نشده (کیلوگرم)]]&gt;0,'گزارش فردی'!$B$7-Main[[#This Row],[تاريخ میلادی]]-'گزارش فردی'!$B$8,0)</f>
        <v>0</v>
      </c>
      <c r="S817" s="6">
        <f ca="1">Main[[#This Row],[روز از ارسال سفارش]]*Main[[#This Row],[بدهی تسویه نشده (کیلوگرم)]]</f>
        <v>0</v>
      </c>
      <c r="T817" s="6">
        <f ca="1">Main[[#This Row],[بدهی سررسید شده (کیلوگرم)]]*Main[[#This Row],[روز از ارسال سفارش]]</f>
        <v>0</v>
      </c>
      <c r="U817" s="6">
        <f>-SUBTOTAL(9,INDEX(Main[مقدار (کیلوگرم)],1):Main[[#This Row],[مقدار (کیلوگرم)]])</f>
        <v>33065</v>
      </c>
      <c r="V8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17" s="6">
        <f>Main[[#This Row],[تعداد کل روزهای بدهکار (روز)]]*Main[[#This Row],[مانده در خط کل (کیلوگرم)]]</f>
        <v>0</v>
      </c>
      <c r="X817" s="6">
        <f ca="1">-SUBTOTAL(9,INDEX(Main[مقدار تسویه شده (کیلوگرم)],1):Main[[#This Row],[مقدار تسویه شده (کیلوگرم)]])</f>
        <v>33065</v>
      </c>
      <c r="Y817" s="6">
        <f ca="1">IF(Main[[#This Row],[مانده در خط تسویه شده (کیلوگرم)]]&lt;&gt;0,Main[[#This Row],[تعداد کل روزهای بدهکار (روز)]],0)</f>
        <v>0</v>
      </c>
      <c r="Z817" s="6">
        <f ca="1">Main[[#This Row],[تعداد روزهای بدهکار تسویه شده (روز)]]*Main[[#This Row],[مانده در خط تسویه شده (کیلوگرم)]]</f>
        <v>0</v>
      </c>
      <c r="AA817" s="6">
        <f ca="1">SUBTOTAL(9,INDEX(Main[بدهی تسویه نشده (کیلوگرم)],1):Main[[#This Row],[بدهی تسویه نشده (کیلوگرم)]])</f>
        <v>0</v>
      </c>
      <c r="AB817" s="6">
        <f ca="1">IF(Main[[#This Row],[مانده در خط تسویه نشده (کیلوگرم)]]&lt;&gt;0,Main[[#This Row],[تعداد کل روزهای بدهکار (روز)]],0)</f>
        <v>0</v>
      </c>
      <c r="AC817" s="6">
        <f ca="1">Main[[#This Row],[تعداد روزهای بدهکار  تسویه نشده (روز)]]*Main[[#This Row],[مانده در خط تسویه نشده (کیلوگرم)]]</f>
        <v>0</v>
      </c>
      <c r="AD817" s="6">
        <f ca="1">SUBTOTAL(9,INDEX(Main[بدهی سررسید شده (کیلوگرم)],1):Main[[#This Row],[بدهی سررسید شده (کیلوگرم)]])</f>
        <v>0</v>
      </c>
      <c r="AE817" s="6">
        <f ca="1">IF(Main[[#This Row],[مانده در خط سررسید شده (کیلوگرم)]]&lt;&gt;0,Main[[#This Row],[تعداد کل روزهای بدهکار (روز)]],0)</f>
        <v>0</v>
      </c>
      <c r="AF817" s="6">
        <f ca="1">Main[[#This Row],[تعداد روزهای بدهکار سررسید شده (روز)]]*Main[[#This Row],[مانده در خط سررسید شده (کیلوگرم)]]</f>
        <v>0</v>
      </c>
    </row>
    <row r="818" spans="1:32" hidden="1" x14ac:dyDescent="0.35">
      <c r="A818" s="5">
        <f>ROW()-ROW(INDEX(Main[ردیف],1))+1</f>
        <v>816</v>
      </c>
      <c r="B818" s="31">
        <f>SUBTOTAL(2,INDEX(Main[ردیف],1):Main[[#This Row],[ردیف]])</f>
        <v>76</v>
      </c>
      <c r="C818" s="32" t="s">
        <v>594</v>
      </c>
      <c r="D818" s="32" t="str">
        <f>_xlfn.CONCAT("14",Main[[#This Row],[تاريخ]])</f>
        <v>1400/03/29</v>
      </c>
      <c r="E818" s="33">
        <v>44366</v>
      </c>
      <c r="F818" s="32">
        <v>30162</v>
      </c>
      <c r="G818" s="5" t="str">
        <f>INDEX(customer[عنوان],MATCH(Main[[#This Row],[کد ردیابی]],customer[کد],0))</f>
        <v>شرکت الماس آریا</v>
      </c>
      <c r="H818">
        <v>4000</v>
      </c>
      <c r="I818" s="6">
        <f ca="1">-Main[[#This Row],[بدهی تسویه شده (کیلوگرم)]]+Main[[#This Row],[بستانکار (کیلوگرم)]]</f>
        <v>4000</v>
      </c>
      <c r="J818" s="6">
        <f>IF(Main[[#This Row],[مقدار (کیلوگرم)]]&gt;0,Main[[#This Row],[مقدار (کیلوگرم)]],0)</f>
        <v>4000</v>
      </c>
      <c r="K818" s="6">
        <f>-IF(Main[[#This Row],[مقدار (کیلوگرم)]]&lt;0,Main[[#This Row],[مقدار (کیلوگرم)]],0)</f>
        <v>0</v>
      </c>
      <c r="L8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8" s="7">
        <f>-IF(AND(Main[[#This Row],[مقدار (کیلوگرم)]]&lt;0,Main[[#This Row],[تاريخ میلادی]]&gt;44276),Main[[#This Row],[مقدار (کیلوگرم)]],0)</f>
        <v>0</v>
      </c>
      <c r="N818" s="6">
        <f ca="1">Main[[#This Row],[بدهکار (کیلوگرم)]]-Main[[#This Row],[بدهی تسویه نشده (کیلوگرم)]]</f>
        <v>0</v>
      </c>
      <c r="O818" s="6">
        <f ca="1">Main[[#This Row],[تفکیک]]</f>
        <v>0</v>
      </c>
      <c r="P818" s="6">
        <f ca="1">IF(Main[[#This Row],[تاخیر از سررسید]]&gt;0,Main[[#This Row],[بدهی تسویه نشده (کیلوگرم)]],0)</f>
        <v>0</v>
      </c>
      <c r="Q818" s="6">
        <f ca="1">IF(Main[[#This Row],[بدهی تسویه نشده (کیلوگرم)]]&gt;0,'گزارش فردی'!$B$7-Main[[#This Row],[تاريخ میلادی]],0)</f>
        <v>0</v>
      </c>
      <c r="R818" s="6">
        <f ca="1">IF(Main[[#This Row],[بدهی تسویه نشده (کیلوگرم)]]&gt;0,'گزارش فردی'!$B$7-Main[[#This Row],[تاريخ میلادی]]-'گزارش فردی'!$B$8,0)</f>
        <v>0</v>
      </c>
      <c r="S818" s="6">
        <f ca="1">Main[[#This Row],[روز از ارسال سفارش]]*Main[[#This Row],[بدهی تسویه نشده (کیلوگرم)]]</f>
        <v>0</v>
      </c>
      <c r="T818" s="6">
        <f ca="1">Main[[#This Row],[بدهی سررسید شده (کیلوگرم)]]*Main[[#This Row],[روز از ارسال سفارش]]</f>
        <v>0</v>
      </c>
      <c r="U818" s="6">
        <f>-SUBTOTAL(9,INDEX(Main[مقدار (کیلوگرم)],1):Main[[#This Row],[مقدار (کیلوگرم)]])</f>
        <v>33065</v>
      </c>
      <c r="V8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18" s="6">
        <f>Main[[#This Row],[تعداد کل روزهای بدهکار (روز)]]*Main[[#This Row],[مانده در خط کل (کیلوگرم)]]</f>
        <v>0</v>
      </c>
      <c r="X818" s="6">
        <f ca="1">-SUBTOTAL(9,INDEX(Main[مقدار تسویه شده (کیلوگرم)],1):Main[[#This Row],[مقدار تسویه شده (کیلوگرم)]])</f>
        <v>33065</v>
      </c>
      <c r="Y818" s="6">
        <f ca="1">IF(Main[[#This Row],[مانده در خط تسویه شده (کیلوگرم)]]&lt;&gt;0,Main[[#This Row],[تعداد کل روزهای بدهکار (روز)]],0)</f>
        <v>0</v>
      </c>
      <c r="Z818" s="6">
        <f ca="1">Main[[#This Row],[تعداد روزهای بدهکار تسویه شده (روز)]]*Main[[#This Row],[مانده در خط تسویه شده (کیلوگرم)]]</f>
        <v>0</v>
      </c>
      <c r="AA818" s="6">
        <f ca="1">SUBTOTAL(9,INDEX(Main[بدهی تسویه نشده (کیلوگرم)],1):Main[[#This Row],[بدهی تسویه نشده (کیلوگرم)]])</f>
        <v>0</v>
      </c>
      <c r="AB818" s="6">
        <f ca="1">IF(Main[[#This Row],[مانده در خط تسویه نشده (کیلوگرم)]]&lt;&gt;0,Main[[#This Row],[تعداد کل روزهای بدهکار (روز)]],0)</f>
        <v>0</v>
      </c>
      <c r="AC818" s="6">
        <f ca="1">Main[[#This Row],[تعداد روزهای بدهکار  تسویه نشده (روز)]]*Main[[#This Row],[مانده در خط تسویه نشده (کیلوگرم)]]</f>
        <v>0</v>
      </c>
      <c r="AD818" s="6">
        <f ca="1">SUBTOTAL(9,INDEX(Main[بدهی سررسید شده (کیلوگرم)],1):Main[[#This Row],[بدهی سررسید شده (کیلوگرم)]])</f>
        <v>0</v>
      </c>
      <c r="AE818" s="6">
        <f ca="1">IF(Main[[#This Row],[مانده در خط سررسید شده (کیلوگرم)]]&lt;&gt;0,Main[[#This Row],[تعداد کل روزهای بدهکار (روز)]],0)</f>
        <v>0</v>
      </c>
      <c r="AF818" s="6">
        <f ca="1">Main[[#This Row],[تعداد روزهای بدهکار سررسید شده (روز)]]*Main[[#This Row],[مانده در خط سررسید شده (کیلوگرم)]]</f>
        <v>0</v>
      </c>
    </row>
    <row r="819" spans="1:32" hidden="1" x14ac:dyDescent="0.35">
      <c r="A819" s="5">
        <f>ROW()-ROW(INDEX(Main[ردیف],1))+1</f>
        <v>817</v>
      </c>
      <c r="B819" s="31">
        <f>SUBTOTAL(2,INDEX(Main[ردیف],1):Main[[#This Row],[ردیف]])</f>
        <v>76</v>
      </c>
      <c r="C819" s="32" t="s">
        <v>594</v>
      </c>
      <c r="D819" s="32" t="str">
        <f>_xlfn.CONCAT("14",Main[[#This Row],[تاريخ]])</f>
        <v>1400/03/29</v>
      </c>
      <c r="E819" s="33">
        <v>44366</v>
      </c>
      <c r="F819" s="32">
        <v>30058</v>
      </c>
      <c r="G819" s="5" t="str">
        <f>INDEX(customer[عنوان],MATCH(Main[[#This Row],[کد ردیابی]],customer[کد],0))</f>
        <v xml:space="preserve">پارس شیر </v>
      </c>
      <c r="H819">
        <v>-5090</v>
      </c>
      <c r="I819" s="6">
        <f ca="1">-Main[[#This Row],[بدهی تسویه شده (کیلوگرم)]]+Main[[#This Row],[بستانکار (کیلوگرم)]]</f>
        <v>-5090</v>
      </c>
      <c r="J819" s="6">
        <f>IF(Main[[#This Row],[مقدار (کیلوگرم)]]&gt;0,Main[[#This Row],[مقدار (کیلوگرم)]],0)</f>
        <v>0</v>
      </c>
      <c r="K819" s="6">
        <f>-IF(Main[[#This Row],[مقدار (کیلوگرم)]]&lt;0,Main[[#This Row],[مقدار (کیلوگرم)]],0)</f>
        <v>5090</v>
      </c>
      <c r="L8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9" s="7">
        <f>-IF(AND(Main[[#This Row],[مقدار (کیلوگرم)]]&lt;0,Main[[#This Row],[تاريخ میلادی]]&gt;44276),Main[[#This Row],[مقدار (کیلوگرم)]],0)</f>
        <v>5090</v>
      </c>
      <c r="N819" s="6">
        <f ca="1">Main[[#This Row],[بدهکار (کیلوگرم)]]-Main[[#This Row],[بدهی تسویه نشده (کیلوگرم)]]</f>
        <v>5090</v>
      </c>
      <c r="O819" s="6">
        <f ca="1">Main[[#This Row],[تفکیک]]</f>
        <v>0</v>
      </c>
      <c r="P819" s="6">
        <f ca="1">IF(Main[[#This Row],[تاخیر از سررسید]]&gt;0,Main[[#This Row],[بدهی تسویه نشده (کیلوگرم)]],0)</f>
        <v>0</v>
      </c>
      <c r="Q819" s="6">
        <f ca="1">IF(Main[[#This Row],[بدهی تسویه نشده (کیلوگرم)]]&gt;0,'گزارش فردی'!$B$7-Main[[#This Row],[تاريخ میلادی]],0)</f>
        <v>0</v>
      </c>
      <c r="R819" s="6">
        <f ca="1">IF(Main[[#This Row],[بدهی تسویه نشده (کیلوگرم)]]&gt;0,'گزارش فردی'!$B$7-Main[[#This Row],[تاريخ میلادی]]-'گزارش فردی'!$B$8,0)</f>
        <v>0</v>
      </c>
      <c r="S819" s="6">
        <f ca="1">Main[[#This Row],[روز از ارسال سفارش]]*Main[[#This Row],[بدهی تسویه نشده (کیلوگرم)]]</f>
        <v>0</v>
      </c>
      <c r="T819" s="6">
        <f ca="1">Main[[#This Row],[بدهی سررسید شده (کیلوگرم)]]*Main[[#This Row],[روز از ارسال سفارش]]</f>
        <v>0</v>
      </c>
      <c r="U819" s="6">
        <f>-SUBTOTAL(9,INDEX(Main[مقدار (کیلوگرم)],1):Main[[#This Row],[مقدار (کیلوگرم)]])</f>
        <v>33065</v>
      </c>
      <c r="V8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19" s="6">
        <f>Main[[#This Row],[تعداد کل روزهای بدهکار (روز)]]*Main[[#This Row],[مانده در خط کل (کیلوگرم)]]</f>
        <v>0</v>
      </c>
      <c r="X819" s="6">
        <f ca="1">-SUBTOTAL(9,INDEX(Main[مقدار تسویه شده (کیلوگرم)],1):Main[[#This Row],[مقدار تسویه شده (کیلوگرم)]])</f>
        <v>33065</v>
      </c>
      <c r="Y819" s="6">
        <f ca="1">IF(Main[[#This Row],[مانده در خط تسویه شده (کیلوگرم)]]&lt;&gt;0,Main[[#This Row],[تعداد کل روزهای بدهکار (روز)]],0)</f>
        <v>0</v>
      </c>
      <c r="Z819" s="6">
        <f ca="1">Main[[#This Row],[تعداد روزهای بدهکار تسویه شده (روز)]]*Main[[#This Row],[مانده در خط تسویه شده (کیلوگرم)]]</f>
        <v>0</v>
      </c>
      <c r="AA819" s="6">
        <f ca="1">SUBTOTAL(9,INDEX(Main[بدهی تسویه نشده (کیلوگرم)],1):Main[[#This Row],[بدهی تسویه نشده (کیلوگرم)]])</f>
        <v>0</v>
      </c>
      <c r="AB819" s="6">
        <f ca="1">IF(Main[[#This Row],[مانده در خط تسویه نشده (کیلوگرم)]]&lt;&gt;0,Main[[#This Row],[تعداد کل روزهای بدهکار (روز)]],0)</f>
        <v>0</v>
      </c>
      <c r="AC819" s="6">
        <f ca="1">Main[[#This Row],[تعداد روزهای بدهکار  تسویه نشده (روز)]]*Main[[#This Row],[مانده در خط تسویه نشده (کیلوگرم)]]</f>
        <v>0</v>
      </c>
      <c r="AD819" s="6">
        <f ca="1">SUBTOTAL(9,INDEX(Main[بدهی سررسید شده (کیلوگرم)],1):Main[[#This Row],[بدهی سررسید شده (کیلوگرم)]])</f>
        <v>0</v>
      </c>
      <c r="AE819" s="6">
        <f ca="1">IF(Main[[#This Row],[مانده در خط سررسید شده (کیلوگرم)]]&lt;&gt;0,Main[[#This Row],[تعداد کل روزهای بدهکار (روز)]],0)</f>
        <v>0</v>
      </c>
      <c r="AF819" s="6">
        <f ca="1">Main[[#This Row],[تعداد روزهای بدهکار سررسید شده (روز)]]*Main[[#This Row],[مانده در خط سررسید شده (کیلوگرم)]]</f>
        <v>0</v>
      </c>
    </row>
    <row r="820" spans="1:32" hidden="1" x14ac:dyDescent="0.35">
      <c r="A820" s="5">
        <f>ROW()-ROW(INDEX(Main[ردیف],1))+1</f>
        <v>818</v>
      </c>
      <c r="B820" s="31">
        <f>SUBTOTAL(2,INDEX(Main[ردیف],1):Main[[#This Row],[ردیف]])</f>
        <v>76</v>
      </c>
      <c r="C820" s="32" t="s">
        <v>594</v>
      </c>
      <c r="D820" s="32" t="str">
        <f>_xlfn.CONCAT("14",Main[[#This Row],[تاريخ]])</f>
        <v>1400/03/29</v>
      </c>
      <c r="E820" s="33">
        <v>44366</v>
      </c>
      <c r="F820" s="32">
        <v>30004</v>
      </c>
      <c r="G820" s="5" t="str">
        <f>INDEX(customer[عنوان],MATCH(Main[[#This Row],[کد ردیابی]],customer[کد],0))</f>
        <v>تولیدی صنعتی صفاشیر پارس</v>
      </c>
      <c r="H820">
        <v>2042</v>
      </c>
      <c r="I820" s="6">
        <f ca="1">-Main[[#This Row],[بدهی تسویه شده (کیلوگرم)]]+Main[[#This Row],[بستانکار (کیلوگرم)]]</f>
        <v>2042</v>
      </c>
      <c r="J820" s="6">
        <f>IF(Main[[#This Row],[مقدار (کیلوگرم)]]&gt;0,Main[[#This Row],[مقدار (کیلوگرم)]],0)</f>
        <v>2042</v>
      </c>
      <c r="K820" s="6">
        <f>-IF(Main[[#This Row],[مقدار (کیلوگرم)]]&lt;0,Main[[#This Row],[مقدار (کیلوگرم)]],0)</f>
        <v>0</v>
      </c>
      <c r="L8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0" s="7">
        <f>-IF(AND(Main[[#This Row],[مقدار (کیلوگرم)]]&lt;0,Main[[#This Row],[تاريخ میلادی]]&gt;44276),Main[[#This Row],[مقدار (کیلوگرم)]],0)</f>
        <v>0</v>
      </c>
      <c r="N820" s="6">
        <f ca="1">Main[[#This Row],[بدهکار (کیلوگرم)]]-Main[[#This Row],[بدهی تسویه نشده (کیلوگرم)]]</f>
        <v>0</v>
      </c>
      <c r="O820" s="6">
        <f ca="1">Main[[#This Row],[تفکیک]]</f>
        <v>0</v>
      </c>
      <c r="P820" s="6">
        <f ca="1">IF(Main[[#This Row],[تاخیر از سررسید]]&gt;0,Main[[#This Row],[بدهی تسویه نشده (کیلوگرم)]],0)</f>
        <v>0</v>
      </c>
      <c r="Q820" s="6">
        <f ca="1">IF(Main[[#This Row],[بدهی تسویه نشده (کیلوگرم)]]&gt;0,'گزارش فردی'!$B$7-Main[[#This Row],[تاريخ میلادی]],0)</f>
        <v>0</v>
      </c>
      <c r="R820" s="6">
        <f ca="1">IF(Main[[#This Row],[بدهی تسویه نشده (کیلوگرم)]]&gt;0,'گزارش فردی'!$B$7-Main[[#This Row],[تاريخ میلادی]]-'گزارش فردی'!$B$8,0)</f>
        <v>0</v>
      </c>
      <c r="S820" s="6">
        <f ca="1">Main[[#This Row],[روز از ارسال سفارش]]*Main[[#This Row],[بدهی تسویه نشده (کیلوگرم)]]</f>
        <v>0</v>
      </c>
      <c r="T820" s="6">
        <f ca="1">Main[[#This Row],[بدهی سررسید شده (کیلوگرم)]]*Main[[#This Row],[روز از ارسال سفارش]]</f>
        <v>0</v>
      </c>
      <c r="U820" s="6">
        <f>-SUBTOTAL(9,INDEX(Main[مقدار (کیلوگرم)],1):Main[[#This Row],[مقدار (کیلوگرم)]])</f>
        <v>33065</v>
      </c>
      <c r="V8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0" s="6">
        <f>Main[[#This Row],[تعداد کل روزهای بدهکار (روز)]]*Main[[#This Row],[مانده در خط کل (کیلوگرم)]]</f>
        <v>0</v>
      </c>
      <c r="X820" s="6">
        <f ca="1">-SUBTOTAL(9,INDEX(Main[مقدار تسویه شده (کیلوگرم)],1):Main[[#This Row],[مقدار تسویه شده (کیلوگرم)]])</f>
        <v>33065</v>
      </c>
      <c r="Y820" s="6">
        <f ca="1">IF(Main[[#This Row],[مانده در خط تسویه شده (کیلوگرم)]]&lt;&gt;0,Main[[#This Row],[تعداد کل روزهای بدهکار (روز)]],0)</f>
        <v>0</v>
      </c>
      <c r="Z820" s="6">
        <f ca="1">Main[[#This Row],[تعداد روزهای بدهکار تسویه شده (روز)]]*Main[[#This Row],[مانده در خط تسویه شده (کیلوگرم)]]</f>
        <v>0</v>
      </c>
      <c r="AA820" s="6">
        <f ca="1">SUBTOTAL(9,INDEX(Main[بدهی تسویه نشده (کیلوگرم)],1):Main[[#This Row],[بدهی تسویه نشده (کیلوگرم)]])</f>
        <v>0</v>
      </c>
      <c r="AB820" s="6">
        <f ca="1">IF(Main[[#This Row],[مانده در خط تسویه نشده (کیلوگرم)]]&lt;&gt;0,Main[[#This Row],[تعداد کل روزهای بدهکار (روز)]],0)</f>
        <v>0</v>
      </c>
      <c r="AC820" s="6">
        <f ca="1">Main[[#This Row],[تعداد روزهای بدهکار  تسویه نشده (روز)]]*Main[[#This Row],[مانده در خط تسویه نشده (کیلوگرم)]]</f>
        <v>0</v>
      </c>
      <c r="AD820" s="6">
        <f ca="1">SUBTOTAL(9,INDEX(Main[بدهی سررسید شده (کیلوگرم)],1):Main[[#This Row],[بدهی سررسید شده (کیلوگرم)]])</f>
        <v>0</v>
      </c>
      <c r="AE820" s="6">
        <f ca="1">IF(Main[[#This Row],[مانده در خط سررسید شده (کیلوگرم)]]&lt;&gt;0,Main[[#This Row],[تعداد کل روزهای بدهکار (روز)]],0)</f>
        <v>0</v>
      </c>
      <c r="AF820" s="6">
        <f ca="1">Main[[#This Row],[تعداد روزهای بدهکار سررسید شده (روز)]]*Main[[#This Row],[مانده در خط سررسید شده (کیلوگرم)]]</f>
        <v>0</v>
      </c>
    </row>
    <row r="821" spans="1:32" hidden="1" x14ac:dyDescent="0.35">
      <c r="A821" s="5">
        <f>ROW()-ROW(INDEX(Main[ردیف],1))+1</f>
        <v>819</v>
      </c>
      <c r="B821" s="31">
        <f>SUBTOTAL(2,INDEX(Main[ردیف],1):Main[[#This Row],[ردیف]])</f>
        <v>76</v>
      </c>
      <c r="C821" s="32" t="s">
        <v>594</v>
      </c>
      <c r="D821" s="32" t="str">
        <f>_xlfn.CONCAT("14",Main[[#This Row],[تاريخ]])</f>
        <v>1400/03/29</v>
      </c>
      <c r="E821" s="33">
        <v>44366</v>
      </c>
      <c r="F821" s="32">
        <v>50011</v>
      </c>
      <c r="G821" s="5" t="str">
        <f>INDEX(customer[عنوان],MATCH(Main[[#This Row],[کد ردیابی]],customer[کد],0))</f>
        <v xml:space="preserve">جعفر هوشمند </v>
      </c>
      <c r="H821">
        <v>-2046</v>
      </c>
      <c r="I821" s="6">
        <f ca="1">-Main[[#This Row],[بدهی تسویه شده (کیلوگرم)]]+Main[[#This Row],[بستانکار (کیلوگرم)]]</f>
        <v>-2046</v>
      </c>
      <c r="J821" s="6">
        <f>IF(Main[[#This Row],[مقدار (کیلوگرم)]]&gt;0,Main[[#This Row],[مقدار (کیلوگرم)]],0)</f>
        <v>0</v>
      </c>
      <c r="K821" s="6">
        <f>-IF(Main[[#This Row],[مقدار (کیلوگرم)]]&lt;0,Main[[#This Row],[مقدار (کیلوگرم)]],0)</f>
        <v>2046</v>
      </c>
      <c r="L8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1" s="7">
        <f>-IF(AND(Main[[#This Row],[مقدار (کیلوگرم)]]&lt;0,Main[[#This Row],[تاريخ میلادی]]&gt;44276),Main[[#This Row],[مقدار (کیلوگرم)]],0)</f>
        <v>2046</v>
      </c>
      <c r="N821" s="6">
        <f ca="1">Main[[#This Row],[بدهکار (کیلوگرم)]]-Main[[#This Row],[بدهی تسویه نشده (کیلوگرم)]]</f>
        <v>2046</v>
      </c>
      <c r="O821" s="6">
        <f ca="1">Main[[#This Row],[تفکیک]]</f>
        <v>0</v>
      </c>
      <c r="P821" s="6">
        <f ca="1">IF(Main[[#This Row],[تاخیر از سررسید]]&gt;0,Main[[#This Row],[بدهی تسویه نشده (کیلوگرم)]],0)</f>
        <v>0</v>
      </c>
      <c r="Q821" s="6">
        <f ca="1">IF(Main[[#This Row],[بدهی تسویه نشده (کیلوگرم)]]&gt;0,'گزارش فردی'!$B$7-Main[[#This Row],[تاريخ میلادی]],0)</f>
        <v>0</v>
      </c>
      <c r="R821" s="6">
        <f ca="1">IF(Main[[#This Row],[بدهی تسویه نشده (کیلوگرم)]]&gt;0,'گزارش فردی'!$B$7-Main[[#This Row],[تاريخ میلادی]]-'گزارش فردی'!$B$8,0)</f>
        <v>0</v>
      </c>
      <c r="S821" s="6">
        <f ca="1">Main[[#This Row],[روز از ارسال سفارش]]*Main[[#This Row],[بدهی تسویه نشده (کیلوگرم)]]</f>
        <v>0</v>
      </c>
      <c r="T821" s="6">
        <f ca="1">Main[[#This Row],[بدهی سررسید شده (کیلوگرم)]]*Main[[#This Row],[روز از ارسال سفارش]]</f>
        <v>0</v>
      </c>
      <c r="U821" s="6">
        <f>-SUBTOTAL(9,INDEX(Main[مقدار (کیلوگرم)],1):Main[[#This Row],[مقدار (کیلوگرم)]])</f>
        <v>33065</v>
      </c>
      <c r="V8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1" s="6">
        <f>Main[[#This Row],[تعداد کل روزهای بدهکار (روز)]]*Main[[#This Row],[مانده در خط کل (کیلوگرم)]]</f>
        <v>0</v>
      </c>
      <c r="X821" s="6">
        <f ca="1">-SUBTOTAL(9,INDEX(Main[مقدار تسویه شده (کیلوگرم)],1):Main[[#This Row],[مقدار تسویه شده (کیلوگرم)]])</f>
        <v>33065</v>
      </c>
      <c r="Y821" s="6">
        <f ca="1">IF(Main[[#This Row],[مانده در خط تسویه شده (کیلوگرم)]]&lt;&gt;0,Main[[#This Row],[تعداد کل روزهای بدهکار (روز)]],0)</f>
        <v>0</v>
      </c>
      <c r="Z821" s="6">
        <f ca="1">Main[[#This Row],[تعداد روزهای بدهکار تسویه شده (روز)]]*Main[[#This Row],[مانده در خط تسویه شده (کیلوگرم)]]</f>
        <v>0</v>
      </c>
      <c r="AA821" s="6">
        <f ca="1">SUBTOTAL(9,INDEX(Main[بدهی تسویه نشده (کیلوگرم)],1):Main[[#This Row],[بدهی تسویه نشده (کیلوگرم)]])</f>
        <v>0</v>
      </c>
      <c r="AB821" s="6">
        <f ca="1">IF(Main[[#This Row],[مانده در خط تسویه نشده (کیلوگرم)]]&lt;&gt;0,Main[[#This Row],[تعداد کل روزهای بدهکار (روز)]],0)</f>
        <v>0</v>
      </c>
      <c r="AC821" s="6">
        <f ca="1">Main[[#This Row],[تعداد روزهای بدهکار  تسویه نشده (روز)]]*Main[[#This Row],[مانده در خط تسویه نشده (کیلوگرم)]]</f>
        <v>0</v>
      </c>
      <c r="AD821" s="6">
        <f ca="1">SUBTOTAL(9,INDEX(Main[بدهی سررسید شده (کیلوگرم)],1):Main[[#This Row],[بدهی سررسید شده (کیلوگرم)]])</f>
        <v>0</v>
      </c>
      <c r="AE821" s="6">
        <f ca="1">IF(Main[[#This Row],[مانده در خط سررسید شده (کیلوگرم)]]&lt;&gt;0,Main[[#This Row],[تعداد کل روزهای بدهکار (روز)]],0)</f>
        <v>0</v>
      </c>
      <c r="AF821" s="6">
        <f ca="1">Main[[#This Row],[تعداد روزهای بدهکار سررسید شده (روز)]]*Main[[#This Row],[مانده در خط سررسید شده (کیلوگرم)]]</f>
        <v>0</v>
      </c>
    </row>
    <row r="822" spans="1:32" hidden="1" x14ac:dyDescent="0.35">
      <c r="A822" s="5">
        <f>ROW()-ROW(INDEX(Main[ردیف],1))+1</f>
        <v>820</v>
      </c>
      <c r="B822" s="31">
        <f>SUBTOTAL(2,INDEX(Main[ردیف],1):Main[[#This Row],[ردیف]])</f>
        <v>76</v>
      </c>
      <c r="C822" s="32" t="s">
        <v>594</v>
      </c>
      <c r="D822" s="32" t="str">
        <f>_xlfn.CONCAT("14",Main[[#This Row],[تاريخ]])</f>
        <v>1400/03/29</v>
      </c>
      <c r="E822" s="33">
        <v>44366</v>
      </c>
      <c r="F822" s="32">
        <v>30018</v>
      </c>
      <c r="G822" s="5" t="str">
        <f>INDEX(customer[عنوان],MATCH(Main[[#This Row],[کد ردیابی]],customer[کد],0))</f>
        <v xml:space="preserve">تولیدی شیر سازی غریب پویا </v>
      </c>
      <c r="H822">
        <v>2204</v>
      </c>
      <c r="I822" s="6">
        <f ca="1">-Main[[#This Row],[بدهی تسویه شده (کیلوگرم)]]+Main[[#This Row],[بستانکار (کیلوگرم)]]</f>
        <v>2204</v>
      </c>
      <c r="J822" s="6">
        <f>IF(Main[[#This Row],[مقدار (کیلوگرم)]]&gt;0,Main[[#This Row],[مقدار (کیلوگرم)]],0)</f>
        <v>2204</v>
      </c>
      <c r="K822" s="6">
        <f>-IF(Main[[#This Row],[مقدار (کیلوگرم)]]&lt;0,Main[[#This Row],[مقدار (کیلوگرم)]],0)</f>
        <v>0</v>
      </c>
      <c r="L8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2" s="7">
        <f>-IF(AND(Main[[#This Row],[مقدار (کیلوگرم)]]&lt;0,Main[[#This Row],[تاريخ میلادی]]&gt;44276),Main[[#This Row],[مقدار (کیلوگرم)]],0)</f>
        <v>0</v>
      </c>
      <c r="N822" s="6">
        <f ca="1">Main[[#This Row],[بدهکار (کیلوگرم)]]-Main[[#This Row],[بدهی تسویه نشده (کیلوگرم)]]</f>
        <v>0</v>
      </c>
      <c r="O822" s="6">
        <f ca="1">Main[[#This Row],[تفکیک]]</f>
        <v>0</v>
      </c>
      <c r="P822" s="6">
        <f ca="1">IF(Main[[#This Row],[تاخیر از سررسید]]&gt;0,Main[[#This Row],[بدهی تسویه نشده (کیلوگرم)]],0)</f>
        <v>0</v>
      </c>
      <c r="Q822" s="6">
        <f ca="1">IF(Main[[#This Row],[بدهی تسویه نشده (کیلوگرم)]]&gt;0,'گزارش فردی'!$B$7-Main[[#This Row],[تاريخ میلادی]],0)</f>
        <v>0</v>
      </c>
      <c r="R822" s="6">
        <f ca="1">IF(Main[[#This Row],[بدهی تسویه نشده (کیلوگرم)]]&gt;0,'گزارش فردی'!$B$7-Main[[#This Row],[تاريخ میلادی]]-'گزارش فردی'!$B$8,0)</f>
        <v>0</v>
      </c>
      <c r="S822" s="6">
        <f ca="1">Main[[#This Row],[روز از ارسال سفارش]]*Main[[#This Row],[بدهی تسویه نشده (کیلوگرم)]]</f>
        <v>0</v>
      </c>
      <c r="T822" s="6">
        <f ca="1">Main[[#This Row],[بدهی سررسید شده (کیلوگرم)]]*Main[[#This Row],[روز از ارسال سفارش]]</f>
        <v>0</v>
      </c>
      <c r="U822" s="6">
        <f>-SUBTOTAL(9,INDEX(Main[مقدار (کیلوگرم)],1):Main[[#This Row],[مقدار (کیلوگرم)]])</f>
        <v>33065</v>
      </c>
      <c r="V8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2" s="6">
        <f>Main[[#This Row],[تعداد کل روزهای بدهکار (روز)]]*Main[[#This Row],[مانده در خط کل (کیلوگرم)]]</f>
        <v>0</v>
      </c>
      <c r="X822" s="6">
        <f ca="1">-SUBTOTAL(9,INDEX(Main[مقدار تسویه شده (کیلوگرم)],1):Main[[#This Row],[مقدار تسویه شده (کیلوگرم)]])</f>
        <v>33065</v>
      </c>
      <c r="Y822" s="6">
        <f ca="1">IF(Main[[#This Row],[مانده در خط تسویه شده (کیلوگرم)]]&lt;&gt;0,Main[[#This Row],[تعداد کل روزهای بدهکار (روز)]],0)</f>
        <v>0</v>
      </c>
      <c r="Z822" s="6">
        <f ca="1">Main[[#This Row],[تعداد روزهای بدهکار تسویه شده (روز)]]*Main[[#This Row],[مانده در خط تسویه شده (کیلوگرم)]]</f>
        <v>0</v>
      </c>
      <c r="AA822" s="6">
        <f ca="1">SUBTOTAL(9,INDEX(Main[بدهی تسویه نشده (کیلوگرم)],1):Main[[#This Row],[بدهی تسویه نشده (کیلوگرم)]])</f>
        <v>0</v>
      </c>
      <c r="AB822" s="6">
        <f ca="1">IF(Main[[#This Row],[مانده در خط تسویه نشده (کیلوگرم)]]&lt;&gt;0,Main[[#This Row],[تعداد کل روزهای بدهکار (روز)]],0)</f>
        <v>0</v>
      </c>
      <c r="AC822" s="6">
        <f ca="1">Main[[#This Row],[تعداد روزهای بدهکار  تسویه نشده (روز)]]*Main[[#This Row],[مانده در خط تسویه نشده (کیلوگرم)]]</f>
        <v>0</v>
      </c>
      <c r="AD822" s="6">
        <f ca="1">SUBTOTAL(9,INDEX(Main[بدهی سررسید شده (کیلوگرم)],1):Main[[#This Row],[بدهی سررسید شده (کیلوگرم)]])</f>
        <v>0</v>
      </c>
      <c r="AE822" s="6">
        <f ca="1">IF(Main[[#This Row],[مانده در خط سررسید شده (کیلوگرم)]]&lt;&gt;0,Main[[#This Row],[تعداد کل روزهای بدهکار (روز)]],0)</f>
        <v>0</v>
      </c>
      <c r="AF822" s="6">
        <f ca="1">Main[[#This Row],[تعداد روزهای بدهکار سررسید شده (روز)]]*Main[[#This Row],[مانده در خط سررسید شده (کیلوگرم)]]</f>
        <v>0</v>
      </c>
    </row>
    <row r="823" spans="1:32" hidden="1" x14ac:dyDescent="0.35">
      <c r="A823" s="5">
        <f>ROW()-ROW(INDEX(Main[ردیف],1))+1</f>
        <v>821</v>
      </c>
      <c r="B823" s="31">
        <f>SUBTOTAL(2,INDEX(Main[ردیف],1):Main[[#This Row],[ردیف]])</f>
        <v>76</v>
      </c>
      <c r="C823" s="32" t="s">
        <v>594</v>
      </c>
      <c r="D823" s="32" t="str">
        <f>_xlfn.CONCAT("14",Main[[#This Row],[تاريخ]])</f>
        <v>1400/03/29</v>
      </c>
      <c r="E823" s="33">
        <v>44366</v>
      </c>
      <c r="F823" s="32">
        <v>30155</v>
      </c>
      <c r="G823" s="5" t="str">
        <f>INDEX(customer[عنوان],MATCH(Main[[#This Row],[کد ردیابی]],customer[کد],0))</f>
        <v>سری تراشی طاهری</v>
      </c>
      <c r="H823">
        <v>-2986</v>
      </c>
      <c r="I823" s="6">
        <f ca="1">-Main[[#This Row],[بدهی تسویه شده (کیلوگرم)]]+Main[[#This Row],[بستانکار (کیلوگرم)]]</f>
        <v>-2986</v>
      </c>
      <c r="J823" s="6">
        <f>IF(Main[[#This Row],[مقدار (کیلوگرم)]]&gt;0,Main[[#This Row],[مقدار (کیلوگرم)]],0)</f>
        <v>0</v>
      </c>
      <c r="K823" s="6">
        <f>-IF(Main[[#This Row],[مقدار (کیلوگرم)]]&lt;0,Main[[#This Row],[مقدار (کیلوگرم)]],0)</f>
        <v>2986</v>
      </c>
      <c r="L8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3" s="7">
        <f>-IF(AND(Main[[#This Row],[مقدار (کیلوگرم)]]&lt;0,Main[[#This Row],[تاريخ میلادی]]&gt;44276),Main[[#This Row],[مقدار (کیلوگرم)]],0)</f>
        <v>2986</v>
      </c>
      <c r="N823" s="6">
        <f ca="1">Main[[#This Row],[بدهکار (کیلوگرم)]]-Main[[#This Row],[بدهی تسویه نشده (کیلوگرم)]]</f>
        <v>2986</v>
      </c>
      <c r="O823" s="6">
        <f ca="1">Main[[#This Row],[تفکیک]]</f>
        <v>0</v>
      </c>
      <c r="P823" s="6">
        <f ca="1">IF(Main[[#This Row],[تاخیر از سررسید]]&gt;0,Main[[#This Row],[بدهی تسویه نشده (کیلوگرم)]],0)</f>
        <v>0</v>
      </c>
      <c r="Q823" s="6">
        <f ca="1">IF(Main[[#This Row],[بدهی تسویه نشده (کیلوگرم)]]&gt;0,'گزارش فردی'!$B$7-Main[[#This Row],[تاريخ میلادی]],0)</f>
        <v>0</v>
      </c>
      <c r="R823" s="6">
        <f ca="1">IF(Main[[#This Row],[بدهی تسویه نشده (کیلوگرم)]]&gt;0,'گزارش فردی'!$B$7-Main[[#This Row],[تاريخ میلادی]]-'گزارش فردی'!$B$8,0)</f>
        <v>0</v>
      </c>
      <c r="S823" s="6">
        <f ca="1">Main[[#This Row],[روز از ارسال سفارش]]*Main[[#This Row],[بدهی تسویه نشده (کیلوگرم)]]</f>
        <v>0</v>
      </c>
      <c r="T823" s="6">
        <f ca="1">Main[[#This Row],[بدهی سررسید شده (کیلوگرم)]]*Main[[#This Row],[روز از ارسال سفارش]]</f>
        <v>0</v>
      </c>
      <c r="U823" s="6">
        <f>-SUBTOTAL(9,INDEX(Main[مقدار (کیلوگرم)],1):Main[[#This Row],[مقدار (کیلوگرم)]])</f>
        <v>33065</v>
      </c>
      <c r="V8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3" s="6">
        <f>Main[[#This Row],[تعداد کل روزهای بدهکار (روز)]]*Main[[#This Row],[مانده در خط کل (کیلوگرم)]]</f>
        <v>0</v>
      </c>
      <c r="X823" s="6">
        <f ca="1">-SUBTOTAL(9,INDEX(Main[مقدار تسویه شده (کیلوگرم)],1):Main[[#This Row],[مقدار تسویه شده (کیلوگرم)]])</f>
        <v>33065</v>
      </c>
      <c r="Y823" s="6">
        <f ca="1">IF(Main[[#This Row],[مانده در خط تسویه شده (کیلوگرم)]]&lt;&gt;0,Main[[#This Row],[تعداد کل روزهای بدهکار (روز)]],0)</f>
        <v>0</v>
      </c>
      <c r="Z823" s="6">
        <f ca="1">Main[[#This Row],[تعداد روزهای بدهکار تسویه شده (روز)]]*Main[[#This Row],[مانده در خط تسویه شده (کیلوگرم)]]</f>
        <v>0</v>
      </c>
      <c r="AA823" s="6">
        <f ca="1">SUBTOTAL(9,INDEX(Main[بدهی تسویه نشده (کیلوگرم)],1):Main[[#This Row],[بدهی تسویه نشده (کیلوگرم)]])</f>
        <v>0</v>
      </c>
      <c r="AB823" s="6">
        <f ca="1">IF(Main[[#This Row],[مانده در خط تسویه نشده (کیلوگرم)]]&lt;&gt;0,Main[[#This Row],[تعداد کل روزهای بدهکار (روز)]],0)</f>
        <v>0</v>
      </c>
      <c r="AC823" s="6">
        <f ca="1">Main[[#This Row],[تعداد روزهای بدهکار  تسویه نشده (روز)]]*Main[[#This Row],[مانده در خط تسویه نشده (کیلوگرم)]]</f>
        <v>0</v>
      </c>
      <c r="AD823" s="6">
        <f ca="1">SUBTOTAL(9,INDEX(Main[بدهی سررسید شده (کیلوگرم)],1):Main[[#This Row],[بدهی سررسید شده (کیلوگرم)]])</f>
        <v>0</v>
      </c>
      <c r="AE823" s="6">
        <f ca="1">IF(Main[[#This Row],[مانده در خط سررسید شده (کیلوگرم)]]&lt;&gt;0,Main[[#This Row],[تعداد کل روزهای بدهکار (روز)]],0)</f>
        <v>0</v>
      </c>
      <c r="AF823" s="6">
        <f ca="1">Main[[#This Row],[تعداد روزهای بدهکار سررسید شده (روز)]]*Main[[#This Row],[مانده در خط سررسید شده (کیلوگرم)]]</f>
        <v>0</v>
      </c>
    </row>
    <row r="824" spans="1:32" hidden="1" x14ac:dyDescent="0.35">
      <c r="A824" s="5">
        <f>ROW()-ROW(INDEX(Main[ردیف],1))+1</f>
        <v>822</v>
      </c>
      <c r="B824" s="31">
        <f>SUBTOTAL(2,INDEX(Main[ردیف],1):Main[[#This Row],[ردیف]])</f>
        <v>76</v>
      </c>
      <c r="C824" s="32" t="s">
        <v>594</v>
      </c>
      <c r="D824" s="32" t="str">
        <f>_xlfn.CONCAT("14",Main[[#This Row],[تاريخ]])</f>
        <v>1400/03/29</v>
      </c>
      <c r="E824" s="33">
        <v>44366</v>
      </c>
      <c r="F824" s="32">
        <v>30018</v>
      </c>
      <c r="G824" s="5" t="str">
        <f>INDEX(customer[عنوان],MATCH(Main[[#This Row],[کد ردیابی]],customer[کد],0))</f>
        <v xml:space="preserve">تولیدی شیر سازی غریب پویا </v>
      </c>
      <c r="H824">
        <v>270</v>
      </c>
      <c r="I824" s="6">
        <f ca="1">-Main[[#This Row],[بدهی تسویه شده (کیلوگرم)]]+Main[[#This Row],[بستانکار (کیلوگرم)]]</f>
        <v>270</v>
      </c>
      <c r="J824" s="6">
        <f>IF(Main[[#This Row],[مقدار (کیلوگرم)]]&gt;0,Main[[#This Row],[مقدار (کیلوگرم)]],0)</f>
        <v>270</v>
      </c>
      <c r="K824" s="6">
        <f>-IF(Main[[#This Row],[مقدار (کیلوگرم)]]&lt;0,Main[[#This Row],[مقدار (کیلوگرم)]],0)</f>
        <v>0</v>
      </c>
      <c r="L8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4" s="7">
        <f>-IF(AND(Main[[#This Row],[مقدار (کیلوگرم)]]&lt;0,Main[[#This Row],[تاريخ میلادی]]&gt;44276),Main[[#This Row],[مقدار (کیلوگرم)]],0)</f>
        <v>0</v>
      </c>
      <c r="N824" s="6">
        <f ca="1">Main[[#This Row],[بدهکار (کیلوگرم)]]-Main[[#This Row],[بدهی تسویه نشده (کیلوگرم)]]</f>
        <v>0</v>
      </c>
      <c r="O824" s="6">
        <f ca="1">Main[[#This Row],[تفکیک]]</f>
        <v>0</v>
      </c>
      <c r="P824" s="6">
        <f ca="1">IF(Main[[#This Row],[تاخیر از سررسید]]&gt;0,Main[[#This Row],[بدهی تسویه نشده (کیلوگرم)]],0)</f>
        <v>0</v>
      </c>
      <c r="Q824" s="6">
        <f ca="1">IF(Main[[#This Row],[بدهی تسویه نشده (کیلوگرم)]]&gt;0,'گزارش فردی'!$B$7-Main[[#This Row],[تاريخ میلادی]],0)</f>
        <v>0</v>
      </c>
      <c r="R824" s="6">
        <f ca="1">IF(Main[[#This Row],[بدهی تسویه نشده (کیلوگرم)]]&gt;0,'گزارش فردی'!$B$7-Main[[#This Row],[تاريخ میلادی]]-'گزارش فردی'!$B$8,0)</f>
        <v>0</v>
      </c>
      <c r="S824" s="6">
        <f ca="1">Main[[#This Row],[روز از ارسال سفارش]]*Main[[#This Row],[بدهی تسویه نشده (کیلوگرم)]]</f>
        <v>0</v>
      </c>
      <c r="T824" s="6">
        <f ca="1">Main[[#This Row],[بدهی سررسید شده (کیلوگرم)]]*Main[[#This Row],[روز از ارسال سفارش]]</f>
        <v>0</v>
      </c>
      <c r="U824" s="6">
        <f>-SUBTOTAL(9,INDEX(Main[مقدار (کیلوگرم)],1):Main[[#This Row],[مقدار (کیلوگرم)]])</f>
        <v>33065</v>
      </c>
      <c r="V8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4" s="6">
        <f>Main[[#This Row],[تعداد کل روزهای بدهکار (روز)]]*Main[[#This Row],[مانده در خط کل (کیلوگرم)]]</f>
        <v>0</v>
      </c>
      <c r="X824" s="6">
        <f ca="1">-SUBTOTAL(9,INDEX(Main[مقدار تسویه شده (کیلوگرم)],1):Main[[#This Row],[مقدار تسویه شده (کیلوگرم)]])</f>
        <v>33065</v>
      </c>
      <c r="Y824" s="6">
        <f ca="1">IF(Main[[#This Row],[مانده در خط تسویه شده (کیلوگرم)]]&lt;&gt;0,Main[[#This Row],[تعداد کل روزهای بدهکار (روز)]],0)</f>
        <v>0</v>
      </c>
      <c r="Z824" s="6">
        <f ca="1">Main[[#This Row],[تعداد روزهای بدهکار تسویه شده (روز)]]*Main[[#This Row],[مانده در خط تسویه شده (کیلوگرم)]]</f>
        <v>0</v>
      </c>
      <c r="AA824" s="6">
        <f ca="1">SUBTOTAL(9,INDEX(Main[بدهی تسویه نشده (کیلوگرم)],1):Main[[#This Row],[بدهی تسویه نشده (کیلوگرم)]])</f>
        <v>0</v>
      </c>
      <c r="AB824" s="6">
        <f ca="1">IF(Main[[#This Row],[مانده در خط تسویه نشده (کیلوگرم)]]&lt;&gt;0,Main[[#This Row],[تعداد کل روزهای بدهکار (روز)]],0)</f>
        <v>0</v>
      </c>
      <c r="AC824" s="6">
        <f ca="1">Main[[#This Row],[تعداد روزهای بدهکار  تسویه نشده (روز)]]*Main[[#This Row],[مانده در خط تسویه نشده (کیلوگرم)]]</f>
        <v>0</v>
      </c>
      <c r="AD824" s="6">
        <f ca="1">SUBTOTAL(9,INDEX(Main[بدهی سررسید شده (کیلوگرم)],1):Main[[#This Row],[بدهی سررسید شده (کیلوگرم)]])</f>
        <v>0</v>
      </c>
      <c r="AE824" s="6">
        <f ca="1">IF(Main[[#This Row],[مانده در خط سررسید شده (کیلوگرم)]]&lt;&gt;0,Main[[#This Row],[تعداد کل روزهای بدهکار (روز)]],0)</f>
        <v>0</v>
      </c>
      <c r="AF824" s="6">
        <f ca="1">Main[[#This Row],[تعداد روزهای بدهکار سررسید شده (روز)]]*Main[[#This Row],[مانده در خط سررسید شده (کیلوگرم)]]</f>
        <v>0</v>
      </c>
    </row>
    <row r="825" spans="1:32" hidden="1" x14ac:dyDescent="0.35">
      <c r="A825" s="5">
        <f>ROW()-ROW(INDEX(Main[ردیف],1))+1</f>
        <v>823</v>
      </c>
      <c r="B825" s="31">
        <f>SUBTOTAL(2,INDEX(Main[ردیف],1):Main[[#This Row],[ردیف]])</f>
        <v>76</v>
      </c>
      <c r="C825" s="32" t="s">
        <v>594</v>
      </c>
      <c r="D825" s="32" t="str">
        <f>_xlfn.CONCAT("14",Main[[#This Row],[تاريخ]])</f>
        <v>1400/03/29</v>
      </c>
      <c r="E825" s="33">
        <v>44366</v>
      </c>
      <c r="F825" s="32">
        <v>30003</v>
      </c>
      <c r="G825" s="5" t="str">
        <f>INDEX(customer[عنوان],MATCH(Main[[#This Row],[کد ردیابی]],customer[کد],0))</f>
        <v xml:space="preserve">شهاب گاز سوز </v>
      </c>
      <c r="H825">
        <v>-1486</v>
      </c>
      <c r="I825" s="6">
        <f ca="1">-Main[[#This Row],[بدهی تسویه شده (کیلوگرم)]]+Main[[#This Row],[بستانکار (کیلوگرم)]]</f>
        <v>-1486</v>
      </c>
      <c r="J825" s="6">
        <f>IF(Main[[#This Row],[مقدار (کیلوگرم)]]&gt;0,Main[[#This Row],[مقدار (کیلوگرم)]],0)</f>
        <v>0</v>
      </c>
      <c r="K825" s="6">
        <f>-IF(Main[[#This Row],[مقدار (کیلوگرم)]]&lt;0,Main[[#This Row],[مقدار (کیلوگرم)]],0)</f>
        <v>1486</v>
      </c>
      <c r="L8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5" s="7">
        <f>-IF(AND(Main[[#This Row],[مقدار (کیلوگرم)]]&lt;0,Main[[#This Row],[تاريخ میلادی]]&gt;44276),Main[[#This Row],[مقدار (کیلوگرم)]],0)</f>
        <v>1486</v>
      </c>
      <c r="N825" s="6">
        <f ca="1">Main[[#This Row],[بدهکار (کیلوگرم)]]-Main[[#This Row],[بدهی تسویه نشده (کیلوگرم)]]</f>
        <v>1486</v>
      </c>
      <c r="O825" s="6">
        <f ca="1">Main[[#This Row],[تفکیک]]</f>
        <v>0</v>
      </c>
      <c r="P825" s="6">
        <f ca="1">IF(Main[[#This Row],[تاخیر از سررسید]]&gt;0,Main[[#This Row],[بدهی تسویه نشده (کیلوگرم)]],0)</f>
        <v>0</v>
      </c>
      <c r="Q825" s="6">
        <f ca="1">IF(Main[[#This Row],[بدهی تسویه نشده (کیلوگرم)]]&gt;0,'گزارش فردی'!$B$7-Main[[#This Row],[تاريخ میلادی]],0)</f>
        <v>0</v>
      </c>
      <c r="R825" s="6">
        <f ca="1">IF(Main[[#This Row],[بدهی تسویه نشده (کیلوگرم)]]&gt;0,'گزارش فردی'!$B$7-Main[[#This Row],[تاريخ میلادی]]-'گزارش فردی'!$B$8,0)</f>
        <v>0</v>
      </c>
      <c r="S825" s="6">
        <f ca="1">Main[[#This Row],[روز از ارسال سفارش]]*Main[[#This Row],[بدهی تسویه نشده (کیلوگرم)]]</f>
        <v>0</v>
      </c>
      <c r="T825" s="6">
        <f ca="1">Main[[#This Row],[بدهی سررسید شده (کیلوگرم)]]*Main[[#This Row],[روز از ارسال سفارش]]</f>
        <v>0</v>
      </c>
      <c r="U825" s="6">
        <f>-SUBTOTAL(9,INDEX(Main[مقدار (کیلوگرم)],1):Main[[#This Row],[مقدار (کیلوگرم)]])</f>
        <v>33065</v>
      </c>
      <c r="V8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5" s="6">
        <f>Main[[#This Row],[تعداد کل روزهای بدهکار (روز)]]*Main[[#This Row],[مانده در خط کل (کیلوگرم)]]</f>
        <v>0</v>
      </c>
      <c r="X825" s="6">
        <f ca="1">-SUBTOTAL(9,INDEX(Main[مقدار تسویه شده (کیلوگرم)],1):Main[[#This Row],[مقدار تسویه شده (کیلوگرم)]])</f>
        <v>33065</v>
      </c>
      <c r="Y825" s="6">
        <f ca="1">IF(Main[[#This Row],[مانده در خط تسویه شده (کیلوگرم)]]&lt;&gt;0,Main[[#This Row],[تعداد کل روزهای بدهکار (روز)]],0)</f>
        <v>0</v>
      </c>
      <c r="Z825" s="6">
        <f ca="1">Main[[#This Row],[تعداد روزهای بدهکار تسویه شده (روز)]]*Main[[#This Row],[مانده در خط تسویه شده (کیلوگرم)]]</f>
        <v>0</v>
      </c>
      <c r="AA825" s="6">
        <f ca="1">SUBTOTAL(9,INDEX(Main[بدهی تسویه نشده (کیلوگرم)],1):Main[[#This Row],[بدهی تسویه نشده (کیلوگرم)]])</f>
        <v>0</v>
      </c>
      <c r="AB825" s="6">
        <f ca="1">IF(Main[[#This Row],[مانده در خط تسویه نشده (کیلوگرم)]]&lt;&gt;0,Main[[#This Row],[تعداد کل روزهای بدهکار (روز)]],0)</f>
        <v>0</v>
      </c>
      <c r="AC825" s="6">
        <f ca="1">Main[[#This Row],[تعداد روزهای بدهکار  تسویه نشده (روز)]]*Main[[#This Row],[مانده در خط تسویه نشده (کیلوگرم)]]</f>
        <v>0</v>
      </c>
      <c r="AD825" s="6">
        <f ca="1">SUBTOTAL(9,INDEX(Main[بدهی سررسید شده (کیلوگرم)],1):Main[[#This Row],[بدهی سررسید شده (کیلوگرم)]])</f>
        <v>0</v>
      </c>
      <c r="AE825" s="6">
        <f ca="1">IF(Main[[#This Row],[مانده در خط سررسید شده (کیلوگرم)]]&lt;&gt;0,Main[[#This Row],[تعداد کل روزهای بدهکار (روز)]],0)</f>
        <v>0</v>
      </c>
      <c r="AF825" s="6">
        <f ca="1">Main[[#This Row],[تعداد روزهای بدهکار سررسید شده (روز)]]*Main[[#This Row],[مانده در خط سررسید شده (کیلوگرم)]]</f>
        <v>0</v>
      </c>
    </row>
    <row r="826" spans="1:32" hidden="1" x14ac:dyDescent="0.35">
      <c r="A826" s="5">
        <f>ROW()-ROW(INDEX(Main[ردیف],1))+1</f>
        <v>824</v>
      </c>
      <c r="B826" s="31">
        <f>SUBTOTAL(2,INDEX(Main[ردیف],1):Main[[#This Row],[ردیف]])</f>
        <v>76</v>
      </c>
      <c r="C826" s="32" t="s">
        <v>594</v>
      </c>
      <c r="D826" s="32" t="str">
        <f>_xlfn.CONCAT("14",Main[[#This Row],[تاريخ]])</f>
        <v>1400/03/29</v>
      </c>
      <c r="E826" s="33">
        <v>44366</v>
      </c>
      <c r="F826" s="32">
        <v>30018</v>
      </c>
      <c r="G826" s="5" t="str">
        <f>INDEX(customer[عنوان],MATCH(Main[[#This Row],[کد ردیابی]],customer[کد],0))</f>
        <v xml:space="preserve">تولیدی شیر سازی غریب پویا </v>
      </c>
      <c r="H826">
        <v>308</v>
      </c>
      <c r="I826" s="6">
        <f ca="1">-Main[[#This Row],[بدهی تسویه شده (کیلوگرم)]]+Main[[#This Row],[بستانکار (کیلوگرم)]]</f>
        <v>308</v>
      </c>
      <c r="J826" s="6">
        <f>IF(Main[[#This Row],[مقدار (کیلوگرم)]]&gt;0,Main[[#This Row],[مقدار (کیلوگرم)]],0)</f>
        <v>308</v>
      </c>
      <c r="K826" s="6">
        <f>-IF(Main[[#This Row],[مقدار (کیلوگرم)]]&lt;0,Main[[#This Row],[مقدار (کیلوگرم)]],0)</f>
        <v>0</v>
      </c>
      <c r="L8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6" s="7">
        <f>-IF(AND(Main[[#This Row],[مقدار (کیلوگرم)]]&lt;0,Main[[#This Row],[تاريخ میلادی]]&gt;44276),Main[[#This Row],[مقدار (کیلوگرم)]],0)</f>
        <v>0</v>
      </c>
      <c r="N826" s="6">
        <f ca="1">Main[[#This Row],[بدهکار (کیلوگرم)]]-Main[[#This Row],[بدهی تسویه نشده (کیلوگرم)]]</f>
        <v>0</v>
      </c>
      <c r="O826" s="6">
        <f ca="1">Main[[#This Row],[تفکیک]]</f>
        <v>0</v>
      </c>
      <c r="P826" s="6">
        <f ca="1">IF(Main[[#This Row],[تاخیر از سررسید]]&gt;0,Main[[#This Row],[بدهی تسویه نشده (کیلوگرم)]],0)</f>
        <v>0</v>
      </c>
      <c r="Q826" s="6">
        <f ca="1">IF(Main[[#This Row],[بدهی تسویه نشده (کیلوگرم)]]&gt;0,'گزارش فردی'!$B$7-Main[[#This Row],[تاريخ میلادی]],0)</f>
        <v>0</v>
      </c>
      <c r="R826" s="6">
        <f ca="1">IF(Main[[#This Row],[بدهی تسویه نشده (کیلوگرم)]]&gt;0,'گزارش فردی'!$B$7-Main[[#This Row],[تاريخ میلادی]]-'گزارش فردی'!$B$8,0)</f>
        <v>0</v>
      </c>
      <c r="S826" s="6">
        <f ca="1">Main[[#This Row],[روز از ارسال سفارش]]*Main[[#This Row],[بدهی تسویه نشده (کیلوگرم)]]</f>
        <v>0</v>
      </c>
      <c r="T826" s="6">
        <f ca="1">Main[[#This Row],[بدهی سررسید شده (کیلوگرم)]]*Main[[#This Row],[روز از ارسال سفارش]]</f>
        <v>0</v>
      </c>
      <c r="U826" s="6">
        <f>-SUBTOTAL(9,INDEX(Main[مقدار (کیلوگرم)],1):Main[[#This Row],[مقدار (کیلوگرم)]])</f>
        <v>33065</v>
      </c>
      <c r="V8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6" s="6">
        <f>Main[[#This Row],[تعداد کل روزهای بدهکار (روز)]]*Main[[#This Row],[مانده در خط کل (کیلوگرم)]]</f>
        <v>0</v>
      </c>
      <c r="X826" s="6">
        <f ca="1">-SUBTOTAL(9,INDEX(Main[مقدار تسویه شده (کیلوگرم)],1):Main[[#This Row],[مقدار تسویه شده (کیلوگرم)]])</f>
        <v>33065</v>
      </c>
      <c r="Y826" s="6">
        <f ca="1">IF(Main[[#This Row],[مانده در خط تسویه شده (کیلوگرم)]]&lt;&gt;0,Main[[#This Row],[تعداد کل روزهای بدهکار (روز)]],0)</f>
        <v>0</v>
      </c>
      <c r="Z826" s="6">
        <f ca="1">Main[[#This Row],[تعداد روزهای بدهکار تسویه شده (روز)]]*Main[[#This Row],[مانده در خط تسویه شده (کیلوگرم)]]</f>
        <v>0</v>
      </c>
      <c r="AA826" s="6">
        <f ca="1">SUBTOTAL(9,INDEX(Main[بدهی تسویه نشده (کیلوگرم)],1):Main[[#This Row],[بدهی تسویه نشده (کیلوگرم)]])</f>
        <v>0</v>
      </c>
      <c r="AB826" s="6">
        <f ca="1">IF(Main[[#This Row],[مانده در خط تسویه نشده (کیلوگرم)]]&lt;&gt;0,Main[[#This Row],[تعداد کل روزهای بدهکار (روز)]],0)</f>
        <v>0</v>
      </c>
      <c r="AC826" s="6">
        <f ca="1">Main[[#This Row],[تعداد روزهای بدهکار  تسویه نشده (روز)]]*Main[[#This Row],[مانده در خط تسویه نشده (کیلوگرم)]]</f>
        <v>0</v>
      </c>
      <c r="AD826" s="6">
        <f ca="1">SUBTOTAL(9,INDEX(Main[بدهی سررسید شده (کیلوگرم)],1):Main[[#This Row],[بدهی سررسید شده (کیلوگرم)]])</f>
        <v>0</v>
      </c>
      <c r="AE826" s="6">
        <f ca="1">IF(Main[[#This Row],[مانده در خط سررسید شده (کیلوگرم)]]&lt;&gt;0,Main[[#This Row],[تعداد کل روزهای بدهکار (روز)]],0)</f>
        <v>0</v>
      </c>
      <c r="AF826" s="6">
        <f ca="1">Main[[#This Row],[تعداد روزهای بدهکار سررسید شده (روز)]]*Main[[#This Row],[مانده در خط سررسید شده (کیلوگرم)]]</f>
        <v>0</v>
      </c>
    </row>
    <row r="827" spans="1:32" x14ac:dyDescent="0.35">
      <c r="A827" s="5">
        <f>ROW()-ROW(INDEX(Main[ردیف],1))+1</f>
        <v>825</v>
      </c>
      <c r="B827" s="31">
        <f>SUBTOTAL(2,INDEX(Main[ردیف],1):Main[[#This Row],[ردیف]])</f>
        <v>77</v>
      </c>
      <c r="C827" s="32" t="s">
        <v>594</v>
      </c>
      <c r="D827" s="32" t="str">
        <f>_xlfn.CONCAT("14",Main[[#This Row],[تاريخ]])</f>
        <v>1400/03/29</v>
      </c>
      <c r="E827" s="33">
        <v>44366</v>
      </c>
      <c r="F827" s="32">
        <v>10003</v>
      </c>
      <c r="G827" s="5" t="str">
        <f>INDEX(customer[عنوان],MATCH(Main[[#This Row],[کد ردیابی]],customer[کد],0))</f>
        <v>اصغر نورعلی</v>
      </c>
      <c r="H827">
        <v>-1542</v>
      </c>
      <c r="I827" s="6">
        <f ca="1">-Main[[#This Row],[بدهی تسویه شده (کیلوگرم)]]+Main[[#This Row],[بستانکار (کیلوگرم)]]</f>
        <v>-1542</v>
      </c>
      <c r="J827" s="6">
        <f>IF(Main[[#This Row],[مقدار (کیلوگرم)]]&gt;0,Main[[#This Row],[مقدار (کیلوگرم)]],0)</f>
        <v>0</v>
      </c>
      <c r="K827" s="6">
        <f>-IF(Main[[#This Row],[مقدار (کیلوگرم)]]&lt;0,Main[[#This Row],[مقدار (کیلوگرم)]],0)</f>
        <v>1542</v>
      </c>
      <c r="L8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7" s="7">
        <f>-IF(AND(Main[[#This Row],[مقدار (کیلوگرم)]]&lt;0,Main[[#This Row],[تاريخ میلادی]]&gt;44276),Main[[#This Row],[مقدار (کیلوگرم)]],0)</f>
        <v>1542</v>
      </c>
      <c r="N827" s="6">
        <f ca="1">Main[[#This Row],[بدهکار (کیلوگرم)]]-Main[[#This Row],[بدهی تسویه نشده (کیلوگرم)]]</f>
        <v>1542</v>
      </c>
      <c r="O827" s="6">
        <f ca="1">Main[[#This Row],[تفکیک]]</f>
        <v>0</v>
      </c>
      <c r="P827" s="6">
        <f ca="1">IF(Main[[#This Row],[تاخیر از سررسید]]&gt;0,Main[[#This Row],[بدهی تسویه نشده (کیلوگرم)]],0)</f>
        <v>0</v>
      </c>
      <c r="Q827" s="6">
        <f ca="1">IF(Main[[#This Row],[بدهی تسویه نشده (کیلوگرم)]]&gt;0,'گزارش فردی'!$B$7-Main[[#This Row],[تاريخ میلادی]],0)</f>
        <v>0</v>
      </c>
      <c r="R827" s="6">
        <f ca="1">IF(Main[[#This Row],[بدهی تسویه نشده (کیلوگرم)]]&gt;0,'گزارش فردی'!$B$7-Main[[#This Row],[تاريخ میلادی]]-'گزارش فردی'!$B$8,0)</f>
        <v>0</v>
      </c>
      <c r="S827" s="6">
        <f ca="1">Main[[#This Row],[روز از ارسال سفارش]]*Main[[#This Row],[بدهی تسویه نشده (کیلوگرم)]]</f>
        <v>0</v>
      </c>
      <c r="T827" s="6">
        <f ca="1">Main[[#This Row],[بدهی سررسید شده (کیلوگرم)]]*Main[[#This Row],[روز از ارسال سفارش]]</f>
        <v>0</v>
      </c>
      <c r="U827" s="6">
        <f>-SUBTOTAL(9,INDEX(Main[مقدار (کیلوگرم)],1):Main[[#This Row],[مقدار (کیلوگرم)]])</f>
        <v>34607</v>
      </c>
      <c r="V8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7" s="6">
        <f>Main[[#This Row],[تعداد کل روزهای بدهکار (روز)]]*Main[[#This Row],[مانده در خط کل (کیلوگرم)]]</f>
        <v>0</v>
      </c>
      <c r="X827" s="6">
        <f ca="1">-SUBTOTAL(9,INDEX(Main[مقدار تسویه شده (کیلوگرم)],1):Main[[#This Row],[مقدار تسویه شده (کیلوگرم)]])</f>
        <v>34607</v>
      </c>
      <c r="Y827" s="6">
        <f ca="1">IF(Main[[#This Row],[مانده در خط تسویه شده (کیلوگرم)]]&lt;&gt;0,Main[[#This Row],[تعداد کل روزهای بدهکار (روز)]],0)</f>
        <v>0</v>
      </c>
      <c r="Z827" s="6">
        <f ca="1">Main[[#This Row],[تعداد روزهای بدهکار تسویه شده (روز)]]*Main[[#This Row],[مانده در خط تسویه شده (کیلوگرم)]]</f>
        <v>0</v>
      </c>
      <c r="AA827" s="6">
        <f ca="1">SUBTOTAL(9,INDEX(Main[بدهی تسویه نشده (کیلوگرم)],1):Main[[#This Row],[بدهی تسویه نشده (کیلوگرم)]])</f>
        <v>0</v>
      </c>
      <c r="AB827" s="6">
        <f ca="1">IF(Main[[#This Row],[مانده در خط تسویه نشده (کیلوگرم)]]&lt;&gt;0,Main[[#This Row],[تعداد کل روزهای بدهکار (روز)]],0)</f>
        <v>0</v>
      </c>
      <c r="AC827" s="6">
        <f ca="1">Main[[#This Row],[تعداد روزهای بدهکار  تسویه نشده (روز)]]*Main[[#This Row],[مانده در خط تسویه نشده (کیلوگرم)]]</f>
        <v>0</v>
      </c>
      <c r="AD827" s="6">
        <f ca="1">SUBTOTAL(9,INDEX(Main[بدهی سررسید شده (کیلوگرم)],1):Main[[#This Row],[بدهی سررسید شده (کیلوگرم)]])</f>
        <v>0</v>
      </c>
      <c r="AE827" s="6">
        <f ca="1">IF(Main[[#This Row],[مانده در خط سررسید شده (کیلوگرم)]]&lt;&gt;0,Main[[#This Row],[تعداد کل روزهای بدهکار (روز)]],0)</f>
        <v>0</v>
      </c>
      <c r="AF827" s="6">
        <f ca="1">Main[[#This Row],[تعداد روزهای بدهکار سررسید شده (روز)]]*Main[[#This Row],[مانده در خط سررسید شده (کیلوگرم)]]</f>
        <v>0</v>
      </c>
    </row>
    <row r="828" spans="1:32" x14ac:dyDescent="0.35">
      <c r="A828" s="5">
        <f>ROW()-ROW(INDEX(Main[ردیف],1))+1</f>
        <v>826</v>
      </c>
      <c r="B828" s="31">
        <f>SUBTOTAL(2,INDEX(Main[ردیف],1):Main[[#This Row],[ردیف]])</f>
        <v>78</v>
      </c>
      <c r="C828" s="32" t="s">
        <v>594</v>
      </c>
      <c r="D828" s="32" t="str">
        <f>_xlfn.CONCAT("14",Main[[#This Row],[تاريخ]])</f>
        <v>1400/03/29</v>
      </c>
      <c r="E828" s="33">
        <v>44366</v>
      </c>
      <c r="F828" s="32">
        <v>10003</v>
      </c>
      <c r="G828" s="5" t="str">
        <f>INDEX(customer[عنوان],MATCH(Main[[#This Row],[کد ردیابی]],customer[کد],0))</f>
        <v>اصغر نورعلی</v>
      </c>
      <c r="H828">
        <v>10468</v>
      </c>
      <c r="I828" s="6">
        <f ca="1">-Main[[#This Row],[بدهی تسویه شده (کیلوگرم)]]+Main[[#This Row],[بستانکار (کیلوگرم)]]</f>
        <v>10468</v>
      </c>
      <c r="J828" s="6">
        <f>IF(Main[[#This Row],[مقدار (کیلوگرم)]]&gt;0,Main[[#This Row],[مقدار (کیلوگرم)]],0)</f>
        <v>10468</v>
      </c>
      <c r="K828" s="6">
        <f>-IF(Main[[#This Row],[مقدار (کیلوگرم)]]&lt;0,Main[[#This Row],[مقدار (کیلوگرم)]],0)</f>
        <v>0</v>
      </c>
      <c r="L8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8" s="7">
        <f>-IF(AND(Main[[#This Row],[مقدار (کیلوگرم)]]&lt;0,Main[[#This Row],[تاريخ میلادی]]&gt;44276),Main[[#This Row],[مقدار (کیلوگرم)]],0)</f>
        <v>0</v>
      </c>
      <c r="N828" s="6">
        <f ca="1">Main[[#This Row],[بدهکار (کیلوگرم)]]-Main[[#This Row],[بدهی تسویه نشده (کیلوگرم)]]</f>
        <v>0</v>
      </c>
      <c r="O828" s="6">
        <f ca="1">Main[[#This Row],[تفکیک]]</f>
        <v>0</v>
      </c>
      <c r="P828" s="6">
        <f ca="1">IF(Main[[#This Row],[تاخیر از سررسید]]&gt;0,Main[[#This Row],[بدهی تسویه نشده (کیلوگرم)]],0)</f>
        <v>0</v>
      </c>
      <c r="Q828" s="6">
        <f ca="1">IF(Main[[#This Row],[بدهی تسویه نشده (کیلوگرم)]]&gt;0,'گزارش فردی'!$B$7-Main[[#This Row],[تاريخ میلادی]],0)</f>
        <v>0</v>
      </c>
      <c r="R828" s="6">
        <f ca="1">IF(Main[[#This Row],[بدهی تسویه نشده (کیلوگرم)]]&gt;0,'گزارش فردی'!$B$7-Main[[#This Row],[تاريخ میلادی]]-'گزارش فردی'!$B$8,0)</f>
        <v>0</v>
      </c>
      <c r="S828" s="6">
        <f ca="1">Main[[#This Row],[روز از ارسال سفارش]]*Main[[#This Row],[بدهی تسویه نشده (کیلوگرم)]]</f>
        <v>0</v>
      </c>
      <c r="T828" s="6">
        <f ca="1">Main[[#This Row],[بدهی سررسید شده (کیلوگرم)]]*Main[[#This Row],[روز از ارسال سفارش]]</f>
        <v>0</v>
      </c>
      <c r="U828" s="6">
        <f>-SUBTOTAL(9,INDEX(Main[مقدار (کیلوگرم)],1):Main[[#This Row],[مقدار (کیلوگرم)]])</f>
        <v>24139</v>
      </c>
      <c r="V8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8" s="6">
        <f>Main[[#This Row],[تعداد کل روزهای بدهکار (روز)]]*Main[[#This Row],[مانده در خط کل (کیلوگرم)]]</f>
        <v>0</v>
      </c>
      <c r="X828" s="6">
        <f ca="1">-SUBTOTAL(9,INDEX(Main[مقدار تسویه شده (کیلوگرم)],1):Main[[#This Row],[مقدار تسویه شده (کیلوگرم)]])</f>
        <v>24139</v>
      </c>
      <c r="Y828" s="6">
        <f ca="1">IF(Main[[#This Row],[مانده در خط تسویه شده (کیلوگرم)]]&lt;&gt;0,Main[[#This Row],[تعداد کل روزهای بدهکار (روز)]],0)</f>
        <v>0</v>
      </c>
      <c r="Z828" s="6">
        <f ca="1">Main[[#This Row],[تعداد روزهای بدهکار تسویه شده (روز)]]*Main[[#This Row],[مانده در خط تسویه شده (کیلوگرم)]]</f>
        <v>0</v>
      </c>
      <c r="AA828" s="6">
        <f ca="1">SUBTOTAL(9,INDEX(Main[بدهی تسویه نشده (کیلوگرم)],1):Main[[#This Row],[بدهی تسویه نشده (کیلوگرم)]])</f>
        <v>0</v>
      </c>
      <c r="AB828" s="6">
        <f ca="1">IF(Main[[#This Row],[مانده در خط تسویه نشده (کیلوگرم)]]&lt;&gt;0,Main[[#This Row],[تعداد کل روزهای بدهکار (روز)]],0)</f>
        <v>0</v>
      </c>
      <c r="AC828" s="6">
        <f ca="1">Main[[#This Row],[تعداد روزهای بدهکار  تسویه نشده (روز)]]*Main[[#This Row],[مانده در خط تسویه نشده (کیلوگرم)]]</f>
        <v>0</v>
      </c>
      <c r="AD828" s="6">
        <f ca="1">SUBTOTAL(9,INDEX(Main[بدهی سررسید شده (کیلوگرم)],1):Main[[#This Row],[بدهی سررسید شده (کیلوگرم)]])</f>
        <v>0</v>
      </c>
      <c r="AE828" s="6">
        <f ca="1">IF(Main[[#This Row],[مانده در خط سررسید شده (کیلوگرم)]]&lt;&gt;0,Main[[#This Row],[تعداد کل روزهای بدهکار (روز)]],0)</f>
        <v>0</v>
      </c>
      <c r="AF828" s="6">
        <f ca="1">Main[[#This Row],[تعداد روزهای بدهکار سررسید شده (روز)]]*Main[[#This Row],[مانده در خط سررسید شده (کیلوگرم)]]</f>
        <v>0</v>
      </c>
    </row>
    <row r="829" spans="1:32" x14ac:dyDescent="0.35">
      <c r="A829" s="5">
        <f>ROW()-ROW(INDEX(Main[ردیف],1))+1</f>
        <v>827</v>
      </c>
      <c r="B829" s="31">
        <f>SUBTOTAL(2,INDEX(Main[ردیف],1):Main[[#This Row],[ردیف]])</f>
        <v>79</v>
      </c>
      <c r="C829" s="32" t="s">
        <v>594</v>
      </c>
      <c r="D829" s="32" t="str">
        <f>_xlfn.CONCAT("14",Main[[#This Row],[تاريخ]])</f>
        <v>1400/03/29</v>
      </c>
      <c r="E829" s="33">
        <v>44366</v>
      </c>
      <c r="F829" s="32">
        <v>10003</v>
      </c>
      <c r="G829" s="5" t="str">
        <f>INDEX(customer[عنوان],MATCH(Main[[#This Row],[کد ردیابی]],customer[کد],0))</f>
        <v>اصغر نورعلی</v>
      </c>
      <c r="H829">
        <v>-4000</v>
      </c>
      <c r="I829" s="6">
        <f ca="1">-Main[[#This Row],[بدهی تسویه شده (کیلوگرم)]]+Main[[#This Row],[بستانکار (کیلوگرم)]]</f>
        <v>-4000</v>
      </c>
      <c r="J829" s="6">
        <f>IF(Main[[#This Row],[مقدار (کیلوگرم)]]&gt;0,Main[[#This Row],[مقدار (کیلوگرم)]],0)</f>
        <v>0</v>
      </c>
      <c r="K829" s="6">
        <f>-IF(Main[[#This Row],[مقدار (کیلوگرم)]]&lt;0,Main[[#This Row],[مقدار (کیلوگرم)]],0)</f>
        <v>4000</v>
      </c>
      <c r="L8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9" s="7">
        <f>-IF(AND(Main[[#This Row],[مقدار (کیلوگرم)]]&lt;0,Main[[#This Row],[تاريخ میلادی]]&gt;44276),Main[[#This Row],[مقدار (کیلوگرم)]],0)</f>
        <v>4000</v>
      </c>
      <c r="N829" s="6">
        <f ca="1">Main[[#This Row],[بدهکار (کیلوگرم)]]-Main[[#This Row],[بدهی تسویه نشده (کیلوگرم)]]</f>
        <v>4000</v>
      </c>
      <c r="O829" s="6">
        <f ca="1">Main[[#This Row],[تفکیک]]</f>
        <v>0</v>
      </c>
      <c r="P829" s="6">
        <f ca="1">IF(Main[[#This Row],[تاخیر از سررسید]]&gt;0,Main[[#This Row],[بدهی تسویه نشده (کیلوگرم)]],0)</f>
        <v>0</v>
      </c>
      <c r="Q829" s="6">
        <f ca="1">IF(Main[[#This Row],[بدهی تسویه نشده (کیلوگرم)]]&gt;0,'گزارش فردی'!$B$7-Main[[#This Row],[تاريخ میلادی]],0)</f>
        <v>0</v>
      </c>
      <c r="R829" s="6">
        <f ca="1">IF(Main[[#This Row],[بدهی تسویه نشده (کیلوگرم)]]&gt;0,'گزارش فردی'!$B$7-Main[[#This Row],[تاريخ میلادی]]-'گزارش فردی'!$B$8,0)</f>
        <v>0</v>
      </c>
      <c r="S829" s="6">
        <f ca="1">Main[[#This Row],[روز از ارسال سفارش]]*Main[[#This Row],[بدهی تسویه نشده (کیلوگرم)]]</f>
        <v>0</v>
      </c>
      <c r="T829" s="6">
        <f ca="1">Main[[#This Row],[بدهی سررسید شده (کیلوگرم)]]*Main[[#This Row],[روز از ارسال سفارش]]</f>
        <v>0</v>
      </c>
      <c r="U829" s="6">
        <f>-SUBTOTAL(9,INDEX(Main[مقدار (کیلوگرم)],1):Main[[#This Row],[مقدار (کیلوگرم)]])</f>
        <v>28139</v>
      </c>
      <c r="V8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29" s="6">
        <f>Main[[#This Row],[تعداد کل روزهای بدهکار (روز)]]*Main[[#This Row],[مانده در خط کل (کیلوگرم)]]</f>
        <v>28139</v>
      </c>
      <c r="X829" s="6">
        <f ca="1">-SUBTOTAL(9,INDEX(Main[مقدار تسویه شده (کیلوگرم)],1):Main[[#This Row],[مقدار تسویه شده (کیلوگرم)]])</f>
        <v>28139</v>
      </c>
      <c r="Y829" s="6">
        <f ca="1">IF(Main[[#This Row],[مانده در خط تسویه شده (کیلوگرم)]]&lt;&gt;0,Main[[#This Row],[تعداد کل روزهای بدهکار (روز)]],0)</f>
        <v>1</v>
      </c>
      <c r="Z829" s="6">
        <f ca="1">Main[[#This Row],[تعداد روزهای بدهکار تسویه شده (روز)]]*Main[[#This Row],[مانده در خط تسویه شده (کیلوگرم)]]</f>
        <v>28139</v>
      </c>
      <c r="AA829" s="6">
        <f ca="1">SUBTOTAL(9,INDEX(Main[بدهی تسویه نشده (کیلوگرم)],1):Main[[#This Row],[بدهی تسویه نشده (کیلوگرم)]])</f>
        <v>0</v>
      </c>
      <c r="AB829" s="6">
        <f ca="1">IF(Main[[#This Row],[مانده در خط تسویه نشده (کیلوگرم)]]&lt;&gt;0,Main[[#This Row],[تعداد کل روزهای بدهکار (روز)]],0)</f>
        <v>0</v>
      </c>
      <c r="AC829" s="6">
        <f ca="1">Main[[#This Row],[تعداد روزهای بدهکار  تسویه نشده (روز)]]*Main[[#This Row],[مانده در خط تسویه نشده (کیلوگرم)]]</f>
        <v>0</v>
      </c>
      <c r="AD829" s="6">
        <f ca="1">SUBTOTAL(9,INDEX(Main[بدهی سررسید شده (کیلوگرم)],1):Main[[#This Row],[بدهی سررسید شده (کیلوگرم)]])</f>
        <v>0</v>
      </c>
      <c r="AE829" s="6">
        <f ca="1">IF(Main[[#This Row],[مانده در خط سررسید شده (کیلوگرم)]]&lt;&gt;0,Main[[#This Row],[تعداد کل روزهای بدهکار (روز)]],0)</f>
        <v>0</v>
      </c>
      <c r="AF829" s="6">
        <f ca="1">Main[[#This Row],[تعداد روزهای بدهکار سررسید شده (روز)]]*Main[[#This Row],[مانده در خط سررسید شده (کیلوگرم)]]</f>
        <v>0</v>
      </c>
    </row>
    <row r="830" spans="1:32" hidden="1" x14ac:dyDescent="0.35">
      <c r="A830" s="5">
        <f>ROW()-ROW(INDEX(Main[ردیف],1))+1</f>
        <v>828</v>
      </c>
      <c r="B830" s="31">
        <f>SUBTOTAL(2,INDEX(Main[ردیف],1):Main[[#This Row],[ردیف]])</f>
        <v>79</v>
      </c>
      <c r="C830" s="32" t="s">
        <v>594</v>
      </c>
      <c r="D830" s="32" t="str">
        <f>_xlfn.CONCAT("14",Main[[#This Row],[تاريخ]])</f>
        <v>1400/03/29</v>
      </c>
      <c r="E830" s="33">
        <v>44366</v>
      </c>
      <c r="F830" s="32">
        <v>30155</v>
      </c>
      <c r="G830" s="5" t="str">
        <f>INDEX(customer[عنوان],MATCH(Main[[#This Row],[کد ردیابی]],customer[کد],0))</f>
        <v>سری تراشی طاهری</v>
      </c>
      <c r="H830">
        <v>321</v>
      </c>
      <c r="I830" s="6">
        <f ca="1">-Main[[#This Row],[بدهی تسویه شده (کیلوگرم)]]+Main[[#This Row],[بستانکار (کیلوگرم)]]</f>
        <v>321</v>
      </c>
      <c r="J830" s="6">
        <f>IF(Main[[#This Row],[مقدار (کیلوگرم)]]&gt;0,Main[[#This Row],[مقدار (کیلوگرم)]],0)</f>
        <v>321</v>
      </c>
      <c r="K830" s="6">
        <f>-IF(Main[[#This Row],[مقدار (کیلوگرم)]]&lt;0,Main[[#This Row],[مقدار (کیلوگرم)]],0)</f>
        <v>0</v>
      </c>
      <c r="L8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0" s="7">
        <f>-IF(AND(Main[[#This Row],[مقدار (کیلوگرم)]]&lt;0,Main[[#This Row],[تاريخ میلادی]]&gt;44276),Main[[#This Row],[مقدار (کیلوگرم)]],0)</f>
        <v>0</v>
      </c>
      <c r="N830" s="6">
        <f ca="1">Main[[#This Row],[بدهکار (کیلوگرم)]]-Main[[#This Row],[بدهی تسویه نشده (کیلوگرم)]]</f>
        <v>0</v>
      </c>
      <c r="O830" s="6">
        <f ca="1">Main[[#This Row],[تفکیک]]</f>
        <v>0</v>
      </c>
      <c r="P830" s="6">
        <f ca="1">IF(Main[[#This Row],[تاخیر از سررسید]]&gt;0,Main[[#This Row],[بدهی تسویه نشده (کیلوگرم)]],0)</f>
        <v>0</v>
      </c>
      <c r="Q830" s="6">
        <f ca="1">IF(Main[[#This Row],[بدهی تسویه نشده (کیلوگرم)]]&gt;0,'گزارش فردی'!$B$7-Main[[#This Row],[تاريخ میلادی]],0)</f>
        <v>0</v>
      </c>
      <c r="R830" s="6">
        <f ca="1">IF(Main[[#This Row],[بدهی تسویه نشده (کیلوگرم)]]&gt;0,'گزارش فردی'!$B$7-Main[[#This Row],[تاريخ میلادی]]-'گزارش فردی'!$B$8,0)</f>
        <v>0</v>
      </c>
      <c r="S830" s="6">
        <f ca="1">Main[[#This Row],[روز از ارسال سفارش]]*Main[[#This Row],[بدهی تسویه نشده (کیلوگرم)]]</f>
        <v>0</v>
      </c>
      <c r="T830" s="6">
        <f ca="1">Main[[#This Row],[بدهی سررسید شده (کیلوگرم)]]*Main[[#This Row],[روز از ارسال سفارش]]</f>
        <v>0</v>
      </c>
      <c r="U830" s="6">
        <f>-SUBTOTAL(9,INDEX(Main[مقدار (کیلوگرم)],1):Main[[#This Row],[مقدار (کیلوگرم)]])</f>
        <v>28139</v>
      </c>
      <c r="V8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0" s="6">
        <f>Main[[#This Row],[تعداد کل روزهای بدهکار (روز)]]*Main[[#This Row],[مانده در خط کل (کیلوگرم)]]</f>
        <v>28139</v>
      </c>
      <c r="X830" s="6">
        <f ca="1">-SUBTOTAL(9,INDEX(Main[مقدار تسویه شده (کیلوگرم)],1):Main[[#This Row],[مقدار تسویه شده (کیلوگرم)]])</f>
        <v>28139</v>
      </c>
      <c r="Y830" s="6">
        <f ca="1">IF(Main[[#This Row],[مانده در خط تسویه شده (کیلوگرم)]]&lt;&gt;0,Main[[#This Row],[تعداد کل روزهای بدهکار (روز)]],0)</f>
        <v>1</v>
      </c>
      <c r="Z830" s="6">
        <f ca="1">Main[[#This Row],[تعداد روزهای بدهکار تسویه شده (روز)]]*Main[[#This Row],[مانده در خط تسویه شده (کیلوگرم)]]</f>
        <v>28139</v>
      </c>
      <c r="AA830" s="6">
        <f ca="1">SUBTOTAL(9,INDEX(Main[بدهی تسویه نشده (کیلوگرم)],1):Main[[#This Row],[بدهی تسویه نشده (کیلوگرم)]])</f>
        <v>0</v>
      </c>
      <c r="AB830" s="6">
        <f ca="1">IF(Main[[#This Row],[مانده در خط تسویه نشده (کیلوگرم)]]&lt;&gt;0,Main[[#This Row],[تعداد کل روزهای بدهکار (روز)]],0)</f>
        <v>0</v>
      </c>
      <c r="AC830" s="6">
        <f ca="1">Main[[#This Row],[تعداد روزهای بدهکار  تسویه نشده (روز)]]*Main[[#This Row],[مانده در خط تسویه نشده (کیلوگرم)]]</f>
        <v>0</v>
      </c>
      <c r="AD830" s="6">
        <f ca="1">SUBTOTAL(9,INDEX(Main[بدهی سررسید شده (کیلوگرم)],1):Main[[#This Row],[بدهی سررسید شده (کیلوگرم)]])</f>
        <v>0</v>
      </c>
      <c r="AE830" s="6">
        <f ca="1">IF(Main[[#This Row],[مانده در خط سررسید شده (کیلوگرم)]]&lt;&gt;0,Main[[#This Row],[تعداد کل روزهای بدهکار (روز)]],0)</f>
        <v>0</v>
      </c>
      <c r="AF830" s="6">
        <f ca="1">Main[[#This Row],[تعداد روزهای بدهکار سررسید شده (روز)]]*Main[[#This Row],[مانده در خط سررسید شده (کیلوگرم)]]</f>
        <v>0</v>
      </c>
    </row>
    <row r="831" spans="1:32" hidden="1" x14ac:dyDescent="0.35">
      <c r="A831" s="5">
        <f>ROW()-ROW(INDEX(Main[ردیف],1))+1</f>
        <v>829</v>
      </c>
      <c r="B831" s="31">
        <f>SUBTOTAL(2,INDEX(Main[ردیف],1):Main[[#This Row],[ردیف]])</f>
        <v>79</v>
      </c>
      <c r="C831" s="32" t="s">
        <v>594</v>
      </c>
      <c r="D831" s="32" t="str">
        <f>_xlfn.CONCAT("14",Main[[#This Row],[تاريخ]])</f>
        <v>1400/03/29</v>
      </c>
      <c r="E831" s="33">
        <v>44366</v>
      </c>
      <c r="F831" s="32">
        <v>10089</v>
      </c>
      <c r="G831" s="5" t="str">
        <f>INDEX(customer[عنوان],MATCH(Main[[#This Row],[کد ردیابی]],customer[کد],0))</f>
        <v>خسروآبادی مهدی</v>
      </c>
      <c r="H831">
        <v>-210</v>
      </c>
      <c r="I831" s="6">
        <f ca="1">-Main[[#This Row],[بدهی تسویه شده (کیلوگرم)]]+Main[[#This Row],[بستانکار (کیلوگرم)]]</f>
        <v>-210</v>
      </c>
      <c r="J831" s="6">
        <f>IF(Main[[#This Row],[مقدار (کیلوگرم)]]&gt;0,Main[[#This Row],[مقدار (کیلوگرم)]],0)</f>
        <v>0</v>
      </c>
      <c r="K831" s="6">
        <f>-IF(Main[[#This Row],[مقدار (کیلوگرم)]]&lt;0,Main[[#This Row],[مقدار (کیلوگرم)]],0)</f>
        <v>210</v>
      </c>
      <c r="L8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1" s="7">
        <f>-IF(AND(Main[[#This Row],[مقدار (کیلوگرم)]]&lt;0,Main[[#This Row],[تاريخ میلادی]]&gt;44276),Main[[#This Row],[مقدار (کیلوگرم)]],0)</f>
        <v>210</v>
      </c>
      <c r="N831" s="6">
        <f ca="1">Main[[#This Row],[بدهکار (کیلوگرم)]]-Main[[#This Row],[بدهی تسویه نشده (کیلوگرم)]]</f>
        <v>210</v>
      </c>
      <c r="O831" s="6">
        <f ca="1">Main[[#This Row],[تفکیک]]</f>
        <v>0</v>
      </c>
      <c r="P831" s="6">
        <f ca="1">IF(Main[[#This Row],[تاخیر از سررسید]]&gt;0,Main[[#This Row],[بدهی تسویه نشده (کیلوگرم)]],0)</f>
        <v>0</v>
      </c>
      <c r="Q831" s="6">
        <f ca="1">IF(Main[[#This Row],[بدهی تسویه نشده (کیلوگرم)]]&gt;0,'گزارش فردی'!$B$7-Main[[#This Row],[تاريخ میلادی]],0)</f>
        <v>0</v>
      </c>
      <c r="R831" s="6">
        <f ca="1">IF(Main[[#This Row],[بدهی تسویه نشده (کیلوگرم)]]&gt;0,'گزارش فردی'!$B$7-Main[[#This Row],[تاريخ میلادی]]-'گزارش فردی'!$B$8,0)</f>
        <v>0</v>
      </c>
      <c r="S831" s="6">
        <f ca="1">Main[[#This Row],[روز از ارسال سفارش]]*Main[[#This Row],[بدهی تسویه نشده (کیلوگرم)]]</f>
        <v>0</v>
      </c>
      <c r="T831" s="6">
        <f ca="1">Main[[#This Row],[بدهی سررسید شده (کیلوگرم)]]*Main[[#This Row],[روز از ارسال سفارش]]</f>
        <v>0</v>
      </c>
      <c r="U831" s="6">
        <f>-SUBTOTAL(9,INDEX(Main[مقدار (کیلوگرم)],1):Main[[#This Row],[مقدار (کیلوگرم)]])</f>
        <v>28139</v>
      </c>
      <c r="V8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1" s="6">
        <f>Main[[#This Row],[تعداد کل روزهای بدهکار (روز)]]*Main[[#This Row],[مانده در خط کل (کیلوگرم)]]</f>
        <v>28139</v>
      </c>
      <c r="X831" s="6">
        <f ca="1">-SUBTOTAL(9,INDEX(Main[مقدار تسویه شده (کیلوگرم)],1):Main[[#This Row],[مقدار تسویه شده (کیلوگرم)]])</f>
        <v>28139</v>
      </c>
      <c r="Y831" s="6">
        <f ca="1">IF(Main[[#This Row],[مانده در خط تسویه شده (کیلوگرم)]]&lt;&gt;0,Main[[#This Row],[تعداد کل روزهای بدهکار (روز)]],0)</f>
        <v>1</v>
      </c>
      <c r="Z831" s="6">
        <f ca="1">Main[[#This Row],[تعداد روزهای بدهکار تسویه شده (روز)]]*Main[[#This Row],[مانده در خط تسویه شده (کیلوگرم)]]</f>
        <v>28139</v>
      </c>
      <c r="AA831" s="6">
        <f ca="1">SUBTOTAL(9,INDEX(Main[بدهی تسویه نشده (کیلوگرم)],1):Main[[#This Row],[بدهی تسویه نشده (کیلوگرم)]])</f>
        <v>0</v>
      </c>
      <c r="AB831" s="6">
        <f ca="1">IF(Main[[#This Row],[مانده در خط تسویه نشده (کیلوگرم)]]&lt;&gt;0,Main[[#This Row],[تعداد کل روزهای بدهکار (روز)]],0)</f>
        <v>0</v>
      </c>
      <c r="AC831" s="6">
        <f ca="1">Main[[#This Row],[تعداد روزهای بدهکار  تسویه نشده (روز)]]*Main[[#This Row],[مانده در خط تسویه نشده (کیلوگرم)]]</f>
        <v>0</v>
      </c>
      <c r="AD831" s="6">
        <f ca="1">SUBTOTAL(9,INDEX(Main[بدهی سررسید شده (کیلوگرم)],1):Main[[#This Row],[بدهی سررسید شده (کیلوگرم)]])</f>
        <v>0</v>
      </c>
      <c r="AE831" s="6">
        <f ca="1">IF(Main[[#This Row],[مانده در خط سررسید شده (کیلوگرم)]]&lt;&gt;0,Main[[#This Row],[تعداد کل روزهای بدهکار (روز)]],0)</f>
        <v>0</v>
      </c>
      <c r="AF831" s="6">
        <f ca="1">Main[[#This Row],[تعداد روزهای بدهکار سررسید شده (روز)]]*Main[[#This Row],[مانده در خط سررسید شده (کیلوگرم)]]</f>
        <v>0</v>
      </c>
    </row>
    <row r="832" spans="1:32" hidden="1" x14ac:dyDescent="0.35">
      <c r="A832" s="5">
        <f>ROW()-ROW(INDEX(Main[ردیف],1))+1</f>
        <v>830</v>
      </c>
      <c r="B832" s="31">
        <f>SUBTOTAL(2,INDEX(Main[ردیف],1):Main[[#This Row],[ردیف]])</f>
        <v>79</v>
      </c>
      <c r="C832" s="32" t="s">
        <v>594</v>
      </c>
      <c r="D832" s="32" t="str">
        <f>_xlfn.CONCAT("14",Main[[#This Row],[تاريخ]])</f>
        <v>1400/03/29</v>
      </c>
      <c r="E832" s="33">
        <v>44366</v>
      </c>
      <c r="F832" s="32">
        <v>30155</v>
      </c>
      <c r="G832" s="5" t="str">
        <f>INDEX(customer[عنوان],MATCH(Main[[#This Row],[کد ردیابی]],customer[کد],0))</f>
        <v>سری تراشی طاهری</v>
      </c>
      <c r="H832">
        <v>67</v>
      </c>
      <c r="I832" s="6">
        <f ca="1">-Main[[#This Row],[بدهی تسویه شده (کیلوگرم)]]+Main[[#This Row],[بستانکار (کیلوگرم)]]</f>
        <v>67</v>
      </c>
      <c r="J832" s="6">
        <f>IF(Main[[#This Row],[مقدار (کیلوگرم)]]&gt;0,Main[[#This Row],[مقدار (کیلوگرم)]],0)</f>
        <v>67</v>
      </c>
      <c r="K832" s="6">
        <f>-IF(Main[[#This Row],[مقدار (کیلوگرم)]]&lt;0,Main[[#This Row],[مقدار (کیلوگرم)]],0)</f>
        <v>0</v>
      </c>
      <c r="L8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2" s="7">
        <f>-IF(AND(Main[[#This Row],[مقدار (کیلوگرم)]]&lt;0,Main[[#This Row],[تاريخ میلادی]]&gt;44276),Main[[#This Row],[مقدار (کیلوگرم)]],0)</f>
        <v>0</v>
      </c>
      <c r="N832" s="6">
        <f ca="1">Main[[#This Row],[بدهکار (کیلوگرم)]]-Main[[#This Row],[بدهی تسویه نشده (کیلوگرم)]]</f>
        <v>0</v>
      </c>
      <c r="O832" s="6">
        <f ca="1">Main[[#This Row],[تفکیک]]</f>
        <v>0</v>
      </c>
      <c r="P832" s="6">
        <f ca="1">IF(Main[[#This Row],[تاخیر از سررسید]]&gt;0,Main[[#This Row],[بدهی تسویه نشده (کیلوگرم)]],0)</f>
        <v>0</v>
      </c>
      <c r="Q832" s="6">
        <f ca="1">IF(Main[[#This Row],[بدهی تسویه نشده (کیلوگرم)]]&gt;0,'گزارش فردی'!$B$7-Main[[#This Row],[تاريخ میلادی]],0)</f>
        <v>0</v>
      </c>
      <c r="R832" s="6">
        <f ca="1">IF(Main[[#This Row],[بدهی تسویه نشده (کیلوگرم)]]&gt;0,'گزارش فردی'!$B$7-Main[[#This Row],[تاريخ میلادی]]-'گزارش فردی'!$B$8,0)</f>
        <v>0</v>
      </c>
      <c r="S832" s="6">
        <f ca="1">Main[[#This Row],[روز از ارسال سفارش]]*Main[[#This Row],[بدهی تسویه نشده (کیلوگرم)]]</f>
        <v>0</v>
      </c>
      <c r="T832" s="6">
        <f ca="1">Main[[#This Row],[بدهی سررسید شده (کیلوگرم)]]*Main[[#This Row],[روز از ارسال سفارش]]</f>
        <v>0</v>
      </c>
      <c r="U832" s="6">
        <f>-SUBTOTAL(9,INDEX(Main[مقدار (کیلوگرم)],1):Main[[#This Row],[مقدار (کیلوگرم)]])</f>
        <v>28139</v>
      </c>
      <c r="V8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2" s="6">
        <f>Main[[#This Row],[تعداد کل روزهای بدهکار (روز)]]*Main[[#This Row],[مانده در خط کل (کیلوگرم)]]</f>
        <v>28139</v>
      </c>
      <c r="X832" s="6">
        <f ca="1">-SUBTOTAL(9,INDEX(Main[مقدار تسویه شده (کیلوگرم)],1):Main[[#This Row],[مقدار تسویه شده (کیلوگرم)]])</f>
        <v>28139</v>
      </c>
      <c r="Y832" s="6">
        <f ca="1">IF(Main[[#This Row],[مانده در خط تسویه شده (کیلوگرم)]]&lt;&gt;0,Main[[#This Row],[تعداد کل روزهای بدهکار (روز)]],0)</f>
        <v>1</v>
      </c>
      <c r="Z832" s="6">
        <f ca="1">Main[[#This Row],[تعداد روزهای بدهکار تسویه شده (روز)]]*Main[[#This Row],[مانده در خط تسویه شده (کیلوگرم)]]</f>
        <v>28139</v>
      </c>
      <c r="AA832" s="6">
        <f ca="1">SUBTOTAL(9,INDEX(Main[بدهی تسویه نشده (کیلوگرم)],1):Main[[#This Row],[بدهی تسویه نشده (کیلوگرم)]])</f>
        <v>0</v>
      </c>
      <c r="AB832" s="6">
        <f ca="1">IF(Main[[#This Row],[مانده در خط تسویه نشده (کیلوگرم)]]&lt;&gt;0,Main[[#This Row],[تعداد کل روزهای بدهکار (روز)]],0)</f>
        <v>0</v>
      </c>
      <c r="AC832" s="6">
        <f ca="1">Main[[#This Row],[تعداد روزهای بدهکار  تسویه نشده (روز)]]*Main[[#This Row],[مانده در خط تسویه نشده (کیلوگرم)]]</f>
        <v>0</v>
      </c>
      <c r="AD832" s="6">
        <f ca="1">SUBTOTAL(9,INDEX(Main[بدهی سررسید شده (کیلوگرم)],1):Main[[#This Row],[بدهی سررسید شده (کیلوگرم)]])</f>
        <v>0</v>
      </c>
      <c r="AE832" s="6">
        <f ca="1">IF(Main[[#This Row],[مانده در خط سررسید شده (کیلوگرم)]]&lt;&gt;0,Main[[#This Row],[تعداد کل روزهای بدهکار (روز)]],0)</f>
        <v>0</v>
      </c>
      <c r="AF832" s="6">
        <f ca="1">Main[[#This Row],[تعداد روزهای بدهکار سررسید شده (روز)]]*Main[[#This Row],[مانده در خط سررسید شده (کیلوگرم)]]</f>
        <v>0</v>
      </c>
    </row>
    <row r="833" spans="1:32" hidden="1" x14ac:dyDescent="0.35">
      <c r="A833" s="5">
        <f>ROW()-ROW(INDEX(Main[ردیف],1))+1</f>
        <v>831</v>
      </c>
      <c r="B833" s="31">
        <f>SUBTOTAL(2,INDEX(Main[ردیف],1):Main[[#This Row],[ردیف]])</f>
        <v>79</v>
      </c>
      <c r="C833" s="32" t="s">
        <v>594</v>
      </c>
      <c r="D833" s="32" t="str">
        <f>_xlfn.CONCAT("14",Main[[#This Row],[تاريخ]])</f>
        <v>1400/03/29</v>
      </c>
      <c r="E833" s="33">
        <v>44366</v>
      </c>
      <c r="F833" s="32">
        <v>10026</v>
      </c>
      <c r="G833" s="5" t="str">
        <f>INDEX(customer[عنوان],MATCH(Main[[#This Row],[کد ردیابی]],customer[کد],0))</f>
        <v xml:space="preserve">محسن فیاض بخش </v>
      </c>
      <c r="H833">
        <v>-2021</v>
      </c>
      <c r="I833" s="6">
        <f ca="1">-Main[[#This Row],[بدهی تسویه شده (کیلوگرم)]]+Main[[#This Row],[بستانکار (کیلوگرم)]]</f>
        <v>-2021</v>
      </c>
      <c r="J833" s="6">
        <f>IF(Main[[#This Row],[مقدار (کیلوگرم)]]&gt;0,Main[[#This Row],[مقدار (کیلوگرم)]],0)</f>
        <v>0</v>
      </c>
      <c r="K833" s="6">
        <f>-IF(Main[[#This Row],[مقدار (کیلوگرم)]]&lt;0,Main[[#This Row],[مقدار (کیلوگرم)]],0)</f>
        <v>2021</v>
      </c>
      <c r="L8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3" s="7">
        <f>-IF(AND(Main[[#This Row],[مقدار (کیلوگرم)]]&lt;0,Main[[#This Row],[تاريخ میلادی]]&gt;44276),Main[[#This Row],[مقدار (کیلوگرم)]],0)</f>
        <v>2021</v>
      </c>
      <c r="N833" s="6">
        <f ca="1">Main[[#This Row],[بدهکار (کیلوگرم)]]-Main[[#This Row],[بدهی تسویه نشده (کیلوگرم)]]</f>
        <v>2021</v>
      </c>
      <c r="O833" s="6">
        <f ca="1">Main[[#This Row],[تفکیک]]</f>
        <v>0</v>
      </c>
      <c r="P833" s="6">
        <f ca="1">IF(Main[[#This Row],[تاخیر از سررسید]]&gt;0,Main[[#This Row],[بدهی تسویه نشده (کیلوگرم)]],0)</f>
        <v>0</v>
      </c>
      <c r="Q833" s="6">
        <f ca="1">IF(Main[[#This Row],[بدهی تسویه نشده (کیلوگرم)]]&gt;0,'گزارش فردی'!$B$7-Main[[#This Row],[تاريخ میلادی]],0)</f>
        <v>0</v>
      </c>
      <c r="R833" s="6">
        <f ca="1">IF(Main[[#This Row],[بدهی تسویه نشده (کیلوگرم)]]&gt;0,'گزارش فردی'!$B$7-Main[[#This Row],[تاريخ میلادی]]-'گزارش فردی'!$B$8,0)</f>
        <v>0</v>
      </c>
      <c r="S833" s="6">
        <f ca="1">Main[[#This Row],[روز از ارسال سفارش]]*Main[[#This Row],[بدهی تسویه نشده (کیلوگرم)]]</f>
        <v>0</v>
      </c>
      <c r="T833" s="6">
        <f ca="1">Main[[#This Row],[بدهی سررسید شده (کیلوگرم)]]*Main[[#This Row],[روز از ارسال سفارش]]</f>
        <v>0</v>
      </c>
      <c r="U833" s="6">
        <f>-SUBTOTAL(9,INDEX(Main[مقدار (کیلوگرم)],1):Main[[#This Row],[مقدار (کیلوگرم)]])</f>
        <v>28139</v>
      </c>
      <c r="V8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3" s="6">
        <f>Main[[#This Row],[تعداد کل روزهای بدهکار (روز)]]*Main[[#This Row],[مانده در خط کل (کیلوگرم)]]</f>
        <v>28139</v>
      </c>
      <c r="X833" s="6">
        <f ca="1">-SUBTOTAL(9,INDEX(Main[مقدار تسویه شده (کیلوگرم)],1):Main[[#This Row],[مقدار تسویه شده (کیلوگرم)]])</f>
        <v>28139</v>
      </c>
      <c r="Y833" s="6">
        <f ca="1">IF(Main[[#This Row],[مانده در خط تسویه شده (کیلوگرم)]]&lt;&gt;0,Main[[#This Row],[تعداد کل روزهای بدهکار (روز)]],0)</f>
        <v>1</v>
      </c>
      <c r="Z833" s="6">
        <f ca="1">Main[[#This Row],[تعداد روزهای بدهکار تسویه شده (روز)]]*Main[[#This Row],[مانده در خط تسویه شده (کیلوگرم)]]</f>
        <v>28139</v>
      </c>
      <c r="AA833" s="6">
        <f ca="1">SUBTOTAL(9,INDEX(Main[بدهی تسویه نشده (کیلوگرم)],1):Main[[#This Row],[بدهی تسویه نشده (کیلوگرم)]])</f>
        <v>0</v>
      </c>
      <c r="AB833" s="6">
        <f ca="1">IF(Main[[#This Row],[مانده در خط تسویه نشده (کیلوگرم)]]&lt;&gt;0,Main[[#This Row],[تعداد کل روزهای بدهکار (روز)]],0)</f>
        <v>0</v>
      </c>
      <c r="AC833" s="6">
        <f ca="1">Main[[#This Row],[تعداد روزهای بدهکار  تسویه نشده (روز)]]*Main[[#This Row],[مانده در خط تسویه نشده (کیلوگرم)]]</f>
        <v>0</v>
      </c>
      <c r="AD833" s="6">
        <f ca="1">SUBTOTAL(9,INDEX(Main[بدهی سررسید شده (کیلوگرم)],1):Main[[#This Row],[بدهی سررسید شده (کیلوگرم)]])</f>
        <v>0</v>
      </c>
      <c r="AE833" s="6">
        <f ca="1">IF(Main[[#This Row],[مانده در خط سررسید شده (کیلوگرم)]]&lt;&gt;0,Main[[#This Row],[تعداد کل روزهای بدهکار (روز)]],0)</f>
        <v>0</v>
      </c>
      <c r="AF833" s="6">
        <f ca="1">Main[[#This Row],[تعداد روزهای بدهکار سررسید شده (روز)]]*Main[[#This Row],[مانده در خط سررسید شده (کیلوگرم)]]</f>
        <v>0</v>
      </c>
    </row>
    <row r="834" spans="1:32" hidden="1" x14ac:dyDescent="0.35">
      <c r="A834" s="5">
        <f>ROW()-ROW(INDEX(Main[ردیف],1))+1</f>
        <v>832</v>
      </c>
      <c r="B834" s="31">
        <f>SUBTOTAL(2,INDEX(Main[ردیف],1):Main[[#This Row],[ردیف]])</f>
        <v>79</v>
      </c>
      <c r="C834" s="32" t="s">
        <v>594</v>
      </c>
      <c r="D834" s="32" t="str">
        <f>_xlfn.CONCAT("14",Main[[#This Row],[تاريخ]])</f>
        <v>1400/03/29</v>
      </c>
      <c r="E834" s="33">
        <v>44366</v>
      </c>
      <c r="F834" s="32">
        <v>30155</v>
      </c>
      <c r="G834" s="5" t="str">
        <f>INDEX(customer[عنوان],MATCH(Main[[#This Row],[کد ردیابی]],customer[کد],0))</f>
        <v>سری تراشی طاهری</v>
      </c>
      <c r="H834">
        <v>1768</v>
      </c>
      <c r="I834" s="6">
        <f ca="1">-Main[[#This Row],[بدهی تسویه شده (کیلوگرم)]]+Main[[#This Row],[بستانکار (کیلوگرم)]]</f>
        <v>1768</v>
      </c>
      <c r="J834" s="6">
        <f>IF(Main[[#This Row],[مقدار (کیلوگرم)]]&gt;0,Main[[#This Row],[مقدار (کیلوگرم)]],0)</f>
        <v>1768</v>
      </c>
      <c r="K834" s="6">
        <f>-IF(Main[[#This Row],[مقدار (کیلوگرم)]]&lt;0,Main[[#This Row],[مقدار (کیلوگرم)]],0)</f>
        <v>0</v>
      </c>
      <c r="L8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4" s="7">
        <f>-IF(AND(Main[[#This Row],[مقدار (کیلوگرم)]]&lt;0,Main[[#This Row],[تاريخ میلادی]]&gt;44276),Main[[#This Row],[مقدار (کیلوگرم)]],0)</f>
        <v>0</v>
      </c>
      <c r="N834" s="6">
        <f ca="1">Main[[#This Row],[بدهکار (کیلوگرم)]]-Main[[#This Row],[بدهی تسویه نشده (کیلوگرم)]]</f>
        <v>0</v>
      </c>
      <c r="O834" s="6">
        <f ca="1">Main[[#This Row],[تفکیک]]</f>
        <v>0</v>
      </c>
      <c r="P834" s="6">
        <f ca="1">IF(Main[[#This Row],[تاخیر از سررسید]]&gt;0,Main[[#This Row],[بدهی تسویه نشده (کیلوگرم)]],0)</f>
        <v>0</v>
      </c>
      <c r="Q834" s="6">
        <f ca="1">IF(Main[[#This Row],[بدهی تسویه نشده (کیلوگرم)]]&gt;0,'گزارش فردی'!$B$7-Main[[#This Row],[تاريخ میلادی]],0)</f>
        <v>0</v>
      </c>
      <c r="R834" s="6">
        <f ca="1">IF(Main[[#This Row],[بدهی تسویه نشده (کیلوگرم)]]&gt;0,'گزارش فردی'!$B$7-Main[[#This Row],[تاريخ میلادی]]-'گزارش فردی'!$B$8,0)</f>
        <v>0</v>
      </c>
      <c r="S834" s="6">
        <f ca="1">Main[[#This Row],[روز از ارسال سفارش]]*Main[[#This Row],[بدهی تسویه نشده (کیلوگرم)]]</f>
        <v>0</v>
      </c>
      <c r="T834" s="6">
        <f ca="1">Main[[#This Row],[بدهی سررسید شده (کیلوگرم)]]*Main[[#This Row],[روز از ارسال سفارش]]</f>
        <v>0</v>
      </c>
      <c r="U834" s="6">
        <f>-SUBTOTAL(9,INDEX(Main[مقدار (کیلوگرم)],1):Main[[#This Row],[مقدار (کیلوگرم)]])</f>
        <v>28139</v>
      </c>
      <c r="V8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4" s="6">
        <f>Main[[#This Row],[تعداد کل روزهای بدهکار (روز)]]*Main[[#This Row],[مانده در خط کل (کیلوگرم)]]</f>
        <v>28139</v>
      </c>
      <c r="X834" s="6">
        <f ca="1">-SUBTOTAL(9,INDEX(Main[مقدار تسویه شده (کیلوگرم)],1):Main[[#This Row],[مقدار تسویه شده (کیلوگرم)]])</f>
        <v>28139</v>
      </c>
      <c r="Y834" s="6">
        <f ca="1">IF(Main[[#This Row],[مانده در خط تسویه شده (کیلوگرم)]]&lt;&gt;0,Main[[#This Row],[تعداد کل روزهای بدهکار (روز)]],0)</f>
        <v>1</v>
      </c>
      <c r="Z834" s="6">
        <f ca="1">Main[[#This Row],[تعداد روزهای بدهکار تسویه شده (روز)]]*Main[[#This Row],[مانده در خط تسویه شده (کیلوگرم)]]</f>
        <v>28139</v>
      </c>
      <c r="AA834" s="6">
        <f ca="1">SUBTOTAL(9,INDEX(Main[بدهی تسویه نشده (کیلوگرم)],1):Main[[#This Row],[بدهی تسویه نشده (کیلوگرم)]])</f>
        <v>0</v>
      </c>
      <c r="AB834" s="6">
        <f ca="1">IF(Main[[#This Row],[مانده در خط تسویه نشده (کیلوگرم)]]&lt;&gt;0,Main[[#This Row],[تعداد کل روزهای بدهکار (روز)]],0)</f>
        <v>0</v>
      </c>
      <c r="AC834" s="6">
        <f ca="1">Main[[#This Row],[تعداد روزهای بدهکار  تسویه نشده (روز)]]*Main[[#This Row],[مانده در خط تسویه نشده (کیلوگرم)]]</f>
        <v>0</v>
      </c>
      <c r="AD834" s="6">
        <f ca="1">SUBTOTAL(9,INDEX(Main[بدهی سررسید شده (کیلوگرم)],1):Main[[#This Row],[بدهی سررسید شده (کیلوگرم)]])</f>
        <v>0</v>
      </c>
      <c r="AE834" s="6">
        <f ca="1">IF(Main[[#This Row],[مانده در خط سررسید شده (کیلوگرم)]]&lt;&gt;0,Main[[#This Row],[تعداد کل روزهای بدهکار (روز)]],0)</f>
        <v>0</v>
      </c>
      <c r="AF834" s="6">
        <f ca="1">Main[[#This Row],[تعداد روزهای بدهکار سررسید شده (روز)]]*Main[[#This Row],[مانده در خط سررسید شده (کیلوگرم)]]</f>
        <v>0</v>
      </c>
    </row>
    <row r="835" spans="1:32" hidden="1" x14ac:dyDescent="0.35">
      <c r="A835" s="5">
        <f>ROW()-ROW(INDEX(Main[ردیف],1))+1</f>
        <v>833</v>
      </c>
      <c r="B835" s="31">
        <f>SUBTOTAL(2,INDEX(Main[ردیف],1):Main[[#This Row],[ردیف]])</f>
        <v>79</v>
      </c>
      <c r="C835" s="32" t="s">
        <v>594</v>
      </c>
      <c r="D835" s="32" t="str">
        <f>_xlfn.CONCAT("14",Main[[#This Row],[تاريخ]])</f>
        <v>1400/03/29</v>
      </c>
      <c r="E835" s="33">
        <v>44366</v>
      </c>
      <c r="F835" s="32">
        <v>30003</v>
      </c>
      <c r="G835" s="5" t="str">
        <f>INDEX(customer[عنوان],MATCH(Main[[#This Row],[کد ردیابی]],customer[کد],0))</f>
        <v xml:space="preserve">شهاب گاز سوز </v>
      </c>
      <c r="H835">
        <v>1302</v>
      </c>
      <c r="I835" s="6">
        <f ca="1">-Main[[#This Row],[بدهی تسویه شده (کیلوگرم)]]+Main[[#This Row],[بستانکار (کیلوگرم)]]</f>
        <v>1302</v>
      </c>
      <c r="J835" s="6">
        <f>IF(Main[[#This Row],[مقدار (کیلوگرم)]]&gt;0,Main[[#This Row],[مقدار (کیلوگرم)]],0)</f>
        <v>1302</v>
      </c>
      <c r="K835" s="6">
        <f>-IF(Main[[#This Row],[مقدار (کیلوگرم)]]&lt;0,Main[[#This Row],[مقدار (کیلوگرم)]],0)</f>
        <v>0</v>
      </c>
      <c r="L8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5" s="7">
        <f>-IF(AND(Main[[#This Row],[مقدار (کیلوگرم)]]&lt;0,Main[[#This Row],[تاريخ میلادی]]&gt;44276),Main[[#This Row],[مقدار (کیلوگرم)]],0)</f>
        <v>0</v>
      </c>
      <c r="N835" s="6">
        <f ca="1">Main[[#This Row],[بدهکار (کیلوگرم)]]-Main[[#This Row],[بدهی تسویه نشده (کیلوگرم)]]</f>
        <v>0</v>
      </c>
      <c r="O835" s="6">
        <f ca="1">Main[[#This Row],[تفکیک]]</f>
        <v>0</v>
      </c>
      <c r="P835" s="6">
        <f ca="1">IF(Main[[#This Row],[تاخیر از سررسید]]&gt;0,Main[[#This Row],[بدهی تسویه نشده (کیلوگرم)]],0)</f>
        <v>0</v>
      </c>
      <c r="Q835" s="6">
        <f ca="1">IF(Main[[#This Row],[بدهی تسویه نشده (کیلوگرم)]]&gt;0,'گزارش فردی'!$B$7-Main[[#This Row],[تاريخ میلادی]],0)</f>
        <v>0</v>
      </c>
      <c r="R835" s="6">
        <f ca="1">IF(Main[[#This Row],[بدهی تسویه نشده (کیلوگرم)]]&gt;0,'گزارش فردی'!$B$7-Main[[#This Row],[تاريخ میلادی]]-'گزارش فردی'!$B$8,0)</f>
        <v>0</v>
      </c>
      <c r="S835" s="6">
        <f ca="1">Main[[#This Row],[روز از ارسال سفارش]]*Main[[#This Row],[بدهی تسویه نشده (کیلوگرم)]]</f>
        <v>0</v>
      </c>
      <c r="T835" s="6">
        <f ca="1">Main[[#This Row],[بدهی سررسید شده (کیلوگرم)]]*Main[[#This Row],[روز از ارسال سفارش]]</f>
        <v>0</v>
      </c>
      <c r="U835" s="6">
        <f>-SUBTOTAL(9,INDEX(Main[مقدار (کیلوگرم)],1):Main[[#This Row],[مقدار (کیلوگرم)]])</f>
        <v>28139</v>
      </c>
      <c r="V8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5" s="6">
        <f>Main[[#This Row],[تعداد کل روزهای بدهکار (روز)]]*Main[[#This Row],[مانده در خط کل (کیلوگرم)]]</f>
        <v>28139</v>
      </c>
      <c r="X835" s="6">
        <f ca="1">-SUBTOTAL(9,INDEX(Main[مقدار تسویه شده (کیلوگرم)],1):Main[[#This Row],[مقدار تسویه شده (کیلوگرم)]])</f>
        <v>28139</v>
      </c>
      <c r="Y835" s="6">
        <f ca="1">IF(Main[[#This Row],[مانده در خط تسویه شده (کیلوگرم)]]&lt;&gt;0,Main[[#This Row],[تعداد کل روزهای بدهکار (روز)]],0)</f>
        <v>1</v>
      </c>
      <c r="Z835" s="6">
        <f ca="1">Main[[#This Row],[تعداد روزهای بدهکار تسویه شده (روز)]]*Main[[#This Row],[مانده در خط تسویه شده (کیلوگرم)]]</f>
        <v>28139</v>
      </c>
      <c r="AA835" s="6">
        <f ca="1">SUBTOTAL(9,INDEX(Main[بدهی تسویه نشده (کیلوگرم)],1):Main[[#This Row],[بدهی تسویه نشده (کیلوگرم)]])</f>
        <v>0</v>
      </c>
      <c r="AB835" s="6">
        <f ca="1">IF(Main[[#This Row],[مانده در خط تسویه نشده (کیلوگرم)]]&lt;&gt;0,Main[[#This Row],[تعداد کل روزهای بدهکار (روز)]],0)</f>
        <v>0</v>
      </c>
      <c r="AC835" s="6">
        <f ca="1">Main[[#This Row],[تعداد روزهای بدهکار  تسویه نشده (روز)]]*Main[[#This Row],[مانده در خط تسویه نشده (کیلوگرم)]]</f>
        <v>0</v>
      </c>
      <c r="AD835" s="6">
        <f ca="1">SUBTOTAL(9,INDEX(Main[بدهی سررسید شده (کیلوگرم)],1):Main[[#This Row],[بدهی سررسید شده (کیلوگرم)]])</f>
        <v>0</v>
      </c>
      <c r="AE835" s="6">
        <f ca="1">IF(Main[[#This Row],[مانده در خط سررسید شده (کیلوگرم)]]&lt;&gt;0,Main[[#This Row],[تعداد کل روزهای بدهکار (روز)]],0)</f>
        <v>0</v>
      </c>
      <c r="AF835" s="6">
        <f ca="1">Main[[#This Row],[تعداد روزهای بدهکار سررسید شده (روز)]]*Main[[#This Row],[مانده در خط سررسید شده (کیلوگرم)]]</f>
        <v>0</v>
      </c>
    </row>
    <row r="836" spans="1:32" hidden="1" x14ac:dyDescent="0.35">
      <c r="A836" s="5">
        <f>ROW()-ROW(INDEX(Main[ردیف],1))+1</f>
        <v>834</v>
      </c>
      <c r="B836" s="31">
        <f>SUBTOTAL(2,INDEX(Main[ردیف],1):Main[[#This Row],[ردیف]])</f>
        <v>79</v>
      </c>
      <c r="C836" s="32" t="s">
        <v>594</v>
      </c>
      <c r="D836" s="32" t="str">
        <f>_xlfn.CONCAT("14",Main[[#This Row],[تاريخ]])</f>
        <v>1400/03/29</v>
      </c>
      <c r="E836" s="33">
        <v>44366</v>
      </c>
      <c r="F836" s="32">
        <v>30003</v>
      </c>
      <c r="G836" s="5" t="str">
        <f>INDEX(customer[عنوان],MATCH(Main[[#This Row],[کد ردیابی]],customer[کد],0))</f>
        <v xml:space="preserve">شهاب گاز سوز </v>
      </c>
      <c r="H836">
        <v>284</v>
      </c>
      <c r="I836" s="6">
        <f ca="1">-Main[[#This Row],[بدهی تسویه شده (کیلوگرم)]]+Main[[#This Row],[بستانکار (کیلوگرم)]]</f>
        <v>284</v>
      </c>
      <c r="J836" s="6">
        <f>IF(Main[[#This Row],[مقدار (کیلوگرم)]]&gt;0,Main[[#This Row],[مقدار (کیلوگرم)]],0)</f>
        <v>284</v>
      </c>
      <c r="K836" s="6">
        <f>-IF(Main[[#This Row],[مقدار (کیلوگرم)]]&lt;0,Main[[#This Row],[مقدار (کیلوگرم)]],0)</f>
        <v>0</v>
      </c>
      <c r="L8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6" s="7">
        <f>-IF(AND(Main[[#This Row],[مقدار (کیلوگرم)]]&lt;0,Main[[#This Row],[تاريخ میلادی]]&gt;44276),Main[[#This Row],[مقدار (کیلوگرم)]],0)</f>
        <v>0</v>
      </c>
      <c r="N836" s="6">
        <f ca="1">Main[[#This Row],[بدهکار (کیلوگرم)]]-Main[[#This Row],[بدهی تسویه نشده (کیلوگرم)]]</f>
        <v>0</v>
      </c>
      <c r="O836" s="6">
        <f ca="1">Main[[#This Row],[تفکیک]]</f>
        <v>0</v>
      </c>
      <c r="P836" s="6">
        <f ca="1">IF(Main[[#This Row],[تاخیر از سررسید]]&gt;0,Main[[#This Row],[بدهی تسویه نشده (کیلوگرم)]],0)</f>
        <v>0</v>
      </c>
      <c r="Q836" s="6">
        <f ca="1">IF(Main[[#This Row],[بدهی تسویه نشده (کیلوگرم)]]&gt;0,'گزارش فردی'!$B$7-Main[[#This Row],[تاريخ میلادی]],0)</f>
        <v>0</v>
      </c>
      <c r="R836" s="6">
        <f ca="1">IF(Main[[#This Row],[بدهی تسویه نشده (کیلوگرم)]]&gt;0,'گزارش فردی'!$B$7-Main[[#This Row],[تاريخ میلادی]]-'گزارش فردی'!$B$8,0)</f>
        <v>0</v>
      </c>
      <c r="S836" s="6">
        <f ca="1">Main[[#This Row],[روز از ارسال سفارش]]*Main[[#This Row],[بدهی تسویه نشده (کیلوگرم)]]</f>
        <v>0</v>
      </c>
      <c r="T836" s="6">
        <f ca="1">Main[[#This Row],[بدهی سررسید شده (کیلوگرم)]]*Main[[#This Row],[روز از ارسال سفارش]]</f>
        <v>0</v>
      </c>
      <c r="U836" s="6">
        <f>-SUBTOTAL(9,INDEX(Main[مقدار (کیلوگرم)],1):Main[[#This Row],[مقدار (کیلوگرم)]])</f>
        <v>28139</v>
      </c>
      <c r="V8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6" s="6">
        <f>Main[[#This Row],[تعداد کل روزهای بدهکار (روز)]]*Main[[#This Row],[مانده در خط کل (کیلوگرم)]]</f>
        <v>28139</v>
      </c>
      <c r="X836" s="6">
        <f ca="1">-SUBTOTAL(9,INDEX(Main[مقدار تسویه شده (کیلوگرم)],1):Main[[#This Row],[مقدار تسویه شده (کیلوگرم)]])</f>
        <v>28139</v>
      </c>
      <c r="Y836" s="6">
        <f ca="1">IF(Main[[#This Row],[مانده در خط تسویه شده (کیلوگرم)]]&lt;&gt;0,Main[[#This Row],[تعداد کل روزهای بدهکار (روز)]],0)</f>
        <v>1</v>
      </c>
      <c r="Z836" s="6">
        <f ca="1">Main[[#This Row],[تعداد روزهای بدهکار تسویه شده (روز)]]*Main[[#This Row],[مانده در خط تسویه شده (کیلوگرم)]]</f>
        <v>28139</v>
      </c>
      <c r="AA836" s="6">
        <f ca="1">SUBTOTAL(9,INDEX(Main[بدهی تسویه نشده (کیلوگرم)],1):Main[[#This Row],[بدهی تسویه نشده (کیلوگرم)]])</f>
        <v>0</v>
      </c>
      <c r="AB836" s="6">
        <f ca="1">IF(Main[[#This Row],[مانده در خط تسویه نشده (کیلوگرم)]]&lt;&gt;0,Main[[#This Row],[تعداد کل روزهای بدهکار (روز)]],0)</f>
        <v>0</v>
      </c>
      <c r="AC836" s="6">
        <f ca="1">Main[[#This Row],[تعداد روزهای بدهکار  تسویه نشده (روز)]]*Main[[#This Row],[مانده در خط تسویه نشده (کیلوگرم)]]</f>
        <v>0</v>
      </c>
      <c r="AD836" s="6">
        <f ca="1">SUBTOTAL(9,INDEX(Main[بدهی سررسید شده (کیلوگرم)],1):Main[[#This Row],[بدهی سررسید شده (کیلوگرم)]])</f>
        <v>0</v>
      </c>
      <c r="AE836" s="6">
        <f ca="1">IF(Main[[#This Row],[مانده در خط سررسید شده (کیلوگرم)]]&lt;&gt;0,Main[[#This Row],[تعداد کل روزهای بدهکار (روز)]],0)</f>
        <v>0</v>
      </c>
      <c r="AF836" s="6">
        <f ca="1">Main[[#This Row],[تعداد روزهای بدهکار سررسید شده (روز)]]*Main[[#This Row],[مانده در خط سررسید شده (کیلوگرم)]]</f>
        <v>0</v>
      </c>
    </row>
    <row r="837" spans="1:32" hidden="1" x14ac:dyDescent="0.35">
      <c r="A837" s="5">
        <f>ROW()-ROW(INDEX(Main[ردیف],1))+1</f>
        <v>835</v>
      </c>
      <c r="B837" s="31">
        <f>SUBTOTAL(2,INDEX(Main[ردیف],1):Main[[#This Row],[ردیف]])</f>
        <v>79</v>
      </c>
      <c r="C837" s="32" t="s">
        <v>594</v>
      </c>
      <c r="D837" s="32" t="str">
        <f>_xlfn.CONCAT("14",Main[[#This Row],[تاريخ]])</f>
        <v>1400/03/29</v>
      </c>
      <c r="E837" s="33">
        <v>44366</v>
      </c>
      <c r="F837" s="32">
        <v>30066</v>
      </c>
      <c r="G837" s="5" t="str">
        <f>INDEX(customer[عنوان],MATCH(Main[[#This Row],[کد ردیابی]],customer[کد],0))</f>
        <v xml:space="preserve">شیر آلات بهداشتی قهرمان </v>
      </c>
      <c r="H837">
        <v>2817</v>
      </c>
      <c r="I837" s="6">
        <f ca="1">-Main[[#This Row],[بدهی تسویه شده (کیلوگرم)]]+Main[[#This Row],[بستانکار (کیلوگرم)]]</f>
        <v>2817</v>
      </c>
      <c r="J837" s="6">
        <f>IF(Main[[#This Row],[مقدار (کیلوگرم)]]&gt;0,Main[[#This Row],[مقدار (کیلوگرم)]],0)</f>
        <v>2817</v>
      </c>
      <c r="K837" s="6">
        <f>-IF(Main[[#This Row],[مقدار (کیلوگرم)]]&lt;0,Main[[#This Row],[مقدار (کیلوگرم)]],0)</f>
        <v>0</v>
      </c>
      <c r="L8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7" s="7">
        <f>-IF(AND(Main[[#This Row],[مقدار (کیلوگرم)]]&lt;0,Main[[#This Row],[تاريخ میلادی]]&gt;44276),Main[[#This Row],[مقدار (کیلوگرم)]],0)</f>
        <v>0</v>
      </c>
      <c r="N837" s="6">
        <f ca="1">Main[[#This Row],[بدهکار (کیلوگرم)]]-Main[[#This Row],[بدهی تسویه نشده (کیلوگرم)]]</f>
        <v>0</v>
      </c>
      <c r="O837" s="6">
        <f ca="1">Main[[#This Row],[تفکیک]]</f>
        <v>0</v>
      </c>
      <c r="P837" s="6">
        <f ca="1">IF(Main[[#This Row],[تاخیر از سررسید]]&gt;0,Main[[#This Row],[بدهی تسویه نشده (کیلوگرم)]],0)</f>
        <v>0</v>
      </c>
      <c r="Q837" s="6">
        <f ca="1">IF(Main[[#This Row],[بدهی تسویه نشده (کیلوگرم)]]&gt;0,'گزارش فردی'!$B$7-Main[[#This Row],[تاريخ میلادی]],0)</f>
        <v>0</v>
      </c>
      <c r="R837" s="6">
        <f ca="1">IF(Main[[#This Row],[بدهی تسویه نشده (کیلوگرم)]]&gt;0,'گزارش فردی'!$B$7-Main[[#This Row],[تاريخ میلادی]]-'گزارش فردی'!$B$8,0)</f>
        <v>0</v>
      </c>
      <c r="S837" s="6">
        <f ca="1">Main[[#This Row],[روز از ارسال سفارش]]*Main[[#This Row],[بدهی تسویه نشده (کیلوگرم)]]</f>
        <v>0</v>
      </c>
      <c r="T837" s="6">
        <f ca="1">Main[[#This Row],[بدهی سررسید شده (کیلوگرم)]]*Main[[#This Row],[روز از ارسال سفارش]]</f>
        <v>0</v>
      </c>
      <c r="U837" s="6">
        <f>-SUBTOTAL(9,INDEX(Main[مقدار (کیلوگرم)],1):Main[[#This Row],[مقدار (کیلوگرم)]])</f>
        <v>28139</v>
      </c>
      <c r="V8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7" s="6">
        <f>Main[[#This Row],[تعداد کل روزهای بدهکار (روز)]]*Main[[#This Row],[مانده در خط کل (کیلوگرم)]]</f>
        <v>28139</v>
      </c>
      <c r="X837" s="6">
        <f ca="1">-SUBTOTAL(9,INDEX(Main[مقدار تسویه شده (کیلوگرم)],1):Main[[#This Row],[مقدار تسویه شده (کیلوگرم)]])</f>
        <v>28139</v>
      </c>
      <c r="Y837" s="6">
        <f ca="1">IF(Main[[#This Row],[مانده در خط تسویه شده (کیلوگرم)]]&lt;&gt;0,Main[[#This Row],[تعداد کل روزهای بدهکار (روز)]],0)</f>
        <v>1</v>
      </c>
      <c r="Z837" s="6">
        <f ca="1">Main[[#This Row],[تعداد روزهای بدهکار تسویه شده (روز)]]*Main[[#This Row],[مانده در خط تسویه شده (کیلوگرم)]]</f>
        <v>28139</v>
      </c>
      <c r="AA837" s="6">
        <f ca="1">SUBTOTAL(9,INDEX(Main[بدهی تسویه نشده (کیلوگرم)],1):Main[[#This Row],[بدهی تسویه نشده (کیلوگرم)]])</f>
        <v>0</v>
      </c>
      <c r="AB837" s="6">
        <f ca="1">IF(Main[[#This Row],[مانده در خط تسویه نشده (کیلوگرم)]]&lt;&gt;0,Main[[#This Row],[تعداد کل روزهای بدهکار (روز)]],0)</f>
        <v>0</v>
      </c>
      <c r="AC837" s="6">
        <f ca="1">Main[[#This Row],[تعداد روزهای بدهکار  تسویه نشده (روز)]]*Main[[#This Row],[مانده در خط تسویه نشده (کیلوگرم)]]</f>
        <v>0</v>
      </c>
      <c r="AD837" s="6">
        <f ca="1">SUBTOTAL(9,INDEX(Main[بدهی سررسید شده (کیلوگرم)],1):Main[[#This Row],[بدهی سررسید شده (کیلوگرم)]])</f>
        <v>0</v>
      </c>
      <c r="AE837" s="6">
        <f ca="1">IF(Main[[#This Row],[مانده در خط سررسید شده (کیلوگرم)]]&lt;&gt;0,Main[[#This Row],[تعداد کل روزهای بدهکار (روز)]],0)</f>
        <v>0</v>
      </c>
      <c r="AF837" s="6">
        <f ca="1">Main[[#This Row],[تعداد روزهای بدهکار سررسید شده (روز)]]*Main[[#This Row],[مانده در خط سررسید شده (کیلوگرم)]]</f>
        <v>0</v>
      </c>
    </row>
    <row r="838" spans="1:32" hidden="1" x14ac:dyDescent="0.35">
      <c r="A838" s="5">
        <f>ROW()-ROW(INDEX(Main[ردیف],1))+1</f>
        <v>836</v>
      </c>
      <c r="B838" s="31">
        <f>SUBTOTAL(2,INDEX(Main[ردیف],1):Main[[#This Row],[ردیف]])</f>
        <v>79</v>
      </c>
      <c r="C838" s="32" t="s">
        <v>595</v>
      </c>
      <c r="D838" s="32" t="str">
        <f>_xlfn.CONCAT("14",Main[[#This Row],[تاريخ]])</f>
        <v>1400/03/30</v>
      </c>
      <c r="E838" s="33">
        <v>44367</v>
      </c>
      <c r="F838" s="32">
        <v>30017</v>
      </c>
      <c r="G838" s="5" t="str">
        <f>INDEX(customer[عنوان],MATCH(Main[[#This Row],[کد ردیابی]],customer[کد],0))</f>
        <v xml:space="preserve">البرز یدک </v>
      </c>
      <c r="H838">
        <v>-4443</v>
      </c>
      <c r="I838" s="6">
        <f ca="1">-Main[[#This Row],[بدهی تسویه شده (کیلوگرم)]]+Main[[#This Row],[بستانکار (کیلوگرم)]]</f>
        <v>-4443</v>
      </c>
      <c r="J838" s="6">
        <f>IF(Main[[#This Row],[مقدار (کیلوگرم)]]&gt;0,Main[[#This Row],[مقدار (کیلوگرم)]],0)</f>
        <v>0</v>
      </c>
      <c r="K838" s="6">
        <f>-IF(Main[[#This Row],[مقدار (کیلوگرم)]]&lt;0,Main[[#This Row],[مقدار (کیلوگرم)]],0)</f>
        <v>4443</v>
      </c>
      <c r="L8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8" s="7">
        <f>-IF(AND(Main[[#This Row],[مقدار (کیلوگرم)]]&lt;0,Main[[#This Row],[تاريخ میلادی]]&gt;44276),Main[[#This Row],[مقدار (کیلوگرم)]],0)</f>
        <v>4443</v>
      </c>
      <c r="N838" s="6">
        <f ca="1">Main[[#This Row],[بدهکار (کیلوگرم)]]-Main[[#This Row],[بدهی تسویه نشده (کیلوگرم)]]</f>
        <v>4443</v>
      </c>
      <c r="O838" s="6">
        <f ca="1">Main[[#This Row],[تفکیک]]</f>
        <v>0</v>
      </c>
      <c r="P838" s="6">
        <f ca="1">IF(Main[[#This Row],[تاخیر از سررسید]]&gt;0,Main[[#This Row],[بدهی تسویه نشده (کیلوگرم)]],0)</f>
        <v>0</v>
      </c>
      <c r="Q838" s="6">
        <f ca="1">IF(Main[[#This Row],[بدهی تسویه نشده (کیلوگرم)]]&gt;0,'گزارش فردی'!$B$7-Main[[#This Row],[تاريخ میلادی]],0)</f>
        <v>0</v>
      </c>
      <c r="R838" s="6">
        <f ca="1">IF(Main[[#This Row],[بدهی تسویه نشده (کیلوگرم)]]&gt;0,'گزارش فردی'!$B$7-Main[[#This Row],[تاريخ میلادی]]-'گزارش فردی'!$B$8,0)</f>
        <v>0</v>
      </c>
      <c r="S838" s="6">
        <f ca="1">Main[[#This Row],[روز از ارسال سفارش]]*Main[[#This Row],[بدهی تسویه نشده (کیلوگرم)]]</f>
        <v>0</v>
      </c>
      <c r="T838" s="6">
        <f ca="1">Main[[#This Row],[بدهی سررسید شده (کیلوگرم)]]*Main[[#This Row],[روز از ارسال سفارش]]</f>
        <v>0</v>
      </c>
      <c r="U838" s="6">
        <f>-SUBTOTAL(9,INDEX(Main[مقدار (کیلوگرم)],1):Main[[#This Row],[مقدار (کیلوگرم)]])</f>
        <v>28139</v>
      </c>
      <c r="V8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38" s="6">
        <f>Main[[#This Row],[تعداد کل روزهای بدهکار (روز)]]*Main[[#This Row],[مانده در خط کل (کیلوگرم)]]</f>
        <v>0</v>
      </c>
      <c r="X838" s="6">
        <f ca="1">-SUBTOTAL(9,INDEX(Main[مقدار تسویه شده (کیلوگرم)],1):Main[[#This Row],[مقدار تسویه شده (کیلوگرم)]])</f>
        <v>28139</v>
      </c>
      <c r="Y838" s="6">
        <f ca="1">IF(Main[[#This Row],[مانده در خط تسویه شده (کیلوگرم)]]&lt;&gt;0,Main[[#This Row],[تعداد کل روزهای بدهکار (روز)]],0)</f>
        <v>0</v>
      </c>
      <c r="Z838" s="6">
        <f ca="1">Main[[#This Row],[تعداد روزهای بدهکار تسویه شده (روز)]]*Main[[#This Row],[مانده در خط تسویه شده (کیلوگرم)]]</f>
        <v>0</v>
      </c>
      <c r="AA838" s="6">
        <f ca="1">SUBTOTAL(9,INDEX(Main[بدهی تسویه نشده (کیلوگرم)],1):Main[[#This Row],[بدهی تسویه نشده (کیلوگرم)]])</f>
        <v>0</v>
      </c>
      <c r="AB838" s="6">
        <f ca="1">IF(Main[[#This Row],[مانده در خط تسویه نشده (کیلوگرم)]]&lt;&gt;0,Main[[#This Row],[تعداد کل روزهای بدهکار (روز)]],0)</f>
        <v>0</v>
      </c>
      <c r="AC838" s="6">
        <f ca="1">Main[[#This Row],[تعداد روزهای بدهکار  تسویه نشده (روز)]]*Main[[#This Row],[مانده در خط تسویه نشده (کیلوگرم)]]</f>
        <v>0</v>
      </c>
      <c r="AD838" s="6">
        <f ca="1">SUBTOTAL(9,INDEX(Main[بدهی سررسید شده (کیلوگرم)],1):Main[[#This Row],[بدهی سررسید شده (کیلوگرم)]])</f>
        <v>0</v>
      </c>
      <c r="AE838" s="6">
        <f ca="1">IF(Main[[#This Row],[مانده در خط سررسید شده (کیلوگرم)]]&lt;&gt;0,Main[[#This Row],[تعداد کل روزهای بدهکار (روز)]],0)</f>
        <v>0</v>
      </c>
      <c r="AF838" s="6">
        <f ca="1">Main[[#This Row],[تعداد روزهای بدهکار سررسید شده (روز)]]*Main[[#This Row],[مانده در خط سررسید شده (کیلوگرم)]]</f>
        <v>0</v>
      </c>
    </row>
    <row r="839" spans="1:32" hidden="1" x14ac:dyDescent="0.35">
      <c r="A839" s="5">
        <f>ROW()-ROW(INDEX(Main[ردیف],1))+1</f>
        <v>837</v>
      </c>
      <c r="B839" s="31">
        <f>SUBTOTAL(2,INDEX(Main[ردیف],1):Main[[#This Row],[ردیف]])</f>
        <v>79</v>
      </c>
      <c r="C839" s="32" t="s">
        <v>595</v>
      </c>
      <c r="D839" s="32" t="str">
        <f>_xlfn.CONCAT("14",Main[[#This Row],[تاريخ]])</f>
        <v>1400/03/30</v>
      </c>
      <c r="E839" s="33">
        <v>44367</v>
      </c>
      <c r="F839" s="32">
        <v>10026</v>
      </c>
      <c r="G839" s="5" t="str">
        <f>INDEX(customer[عنوان],MATCH(Main[[#This Row],[کد ردیابی]],customer[کد],0))</f>
        <v xml:space="preserve">محسن فیاض بخش </v>
      </c>
      <c r="H839">
        <v>3040</v>
      </c>
      <c r="I839" s="6">
        <f ca="1">-Main[[#This Row],[بدهی تسویه شده (کیلوگرم)]]+Main[[#This Row],[بستانکار (کیلوگرم)]]</f>
        <v>3040</v>
      </c>
      <c r="J839" s="6">
        <f>IF(Main[[#This Row],[مقدار (کیلوگرم)]]&gt;0,Main[[#This Row],[مقدار (کیلوگرم)]],0)</f>
        <v>3040</v>
      </c>
      <c r="K839" s="6">
        <f>-IF(Main[[#This Row],[مقدار (کیلوگرم)]]&lt;0,Main[[#This Row],[مقدار (کیلوگرم)]],0)</f>
        <v>0</v>
      </c>
      <c r="L8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9" s="7">
        <f>-IF(AND(Main[[#This Row],[مقدار (کیلوگرم)]]&lt;0,Main[[#This Row],[تاريخ میلادی]]&gt;44276),Main[[#This Row],[مقدار (کیلوگرم)]],0)</f>
        <v>0</v>
      </c>
      <c r="N839" s="6">
        <f ca="1">Main[[#This Row],[بدهکار (کیلوگرم)]]-Main[[#This Row],[بدهی تسویه نشده (کیلوگرم)]]</f>
        <v>0</v>
      </c>
      <c r="O839" s="6">
        <f ca="1">Main[[#This Row],[تفکیک]]</f>
        <v>0</v>
      </c>
      <c r="P839" s="6">
        <f ca="1">IF(Main[[#This Row],[تاخیر از سررسید]]&gt;0,Main[[#This Row],[بدهی تسویه نشده (کیلوگرم)]],0)</f>
        <v>0</v>
      </c>
      <c r="Q839" s="6">
        <f ca="1">IF(Main[[#This Row],[بدهی تسویه نشده (کیلوگرم)]]&gt;0,'گزارش فردی'!$B$7-Main[[#This Row],[تاريخ میلادی]],0)</f>
        <v>0</v>
      </c>
      <c r="R839" s="6">
        <f ca="1">IF(Main[[#This Row],[بدهی تسویه نشده (کیلوگرم)]]&gt;0,'گزارش فردی'!$B$7-Main[[#This Row],[تاريخ میلادی]]-'گزارش فردی'!$B$8,0)</f>
        <v>0</v>
      </c>
      <c r="S839" s="6">
        <f ca="1">Main[[#This Row],[روز از ارسال سفارش]]*Main[[#This Row],[بدهی تسویه نشده (کیلوگرم)]]</f>
        <v>0</v>
      </c>
      <c r="T839" s="6">
        <f ca="1">Main[[#This Row],[بدهی سررسید شده (کیلوگرم)]]*Main[[#This Row],[روز از ارسال سفارش]]</f>
        <v>0</v>
      </c>
      <c r="U839" s="6">
        <f>-SUBTOTAL(9,INDEX(Main[مقدار (کیلوگرم)],1):Main[[#This Row],[مقدار (کیلوگرم)]])</f>
        <v>28139</v>
      </c>
      <c r="V8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39" s="6">
        <f>Main[[#This Row],[تعداد کل روزهای بدهکار (روز)]]*Main[[#This Row],[مانده در خط کل (کیلوگرم)]]</f>
        <v>0</v>
      </c>
      <c r="X839" s="6">
        <f ca="1">-SUBTOTAL(9,INDEX(Main[مقدار تسویه شده (کیلوگرم)],1):Main[[#This Row],[مقدار تسویه شده (کیلوگرم)]])</f>
        <v>28139</v>
      </c>
      <c r="Y839" s="6">
        <f ca="1">IF(Main[[#This Row],[مانده در خط تسویه شده (کیلوگرم)]]&lt;&gt;0,Main[[#This Row],[تعداد کل روزهای بدهکار (روز)]],0)</f>
        <v>0</v>
      </c>
      <c r="Z839" s="6">
        <f ca="1">Main[[#This Row],[تعداد روزهای بدهکار تسویه شده (روز)]]*Main[[#This Row],[مانده در خط تسویه شده (کیلوگرم)]]</f>
        <v>0</v>
      </c>
      <c r="AA839" s="6">
        <f ca="1">SUBTOTAL(9,INDEX(Main[بدهی تسویه نشده (کیلوگرم)],1):Main[[#This Row],[بدهی تسویه نشده (کیلوگرم)]])</f>
        <v>0</v>
      </c>
      <c r="AB839" s="6">
        <f ca="1">IF(Main[[#This Row],[مانده در خط تسویه نشده (کیلوگرم)]]&lt;&gt;0,Main[[#This Row],[تعداد کل روزهای بدهکار (روز)]],0)</f>
        <v>0</v>
      </c>
      <c r="AC839" s="6">
        <f ca="1">Main[[#This Row],[تعداد روزهای بدهکار  تسویه نشده (روز)]]*Main[[#This Row],[مانده در خط تسویه نشده (کیلوگرم)]]</f>
        <v>0</v>
      </c>
      <c r="AD839" s="6">
        <f ca="1">SUBTOTAL(9,INDEX(Main[بدهی سررسید شده (کیلوگرم)],1):Main[[#This Row],[بدهی سررسید شده (کیلوگرم)]])</f>
        <v>0</v>
      </c>
      <c r="AE839" s="6">
        <f ca="1">IF(Main[[#This Row],[مانده در خط سررسید شده (کیلوگرم)]]&lt;&gt;0,Main[[#This Row],[تعداد کل روزهای بدهکار (روز)]],0)</f>
        <v>0</v>
      </c>
      <c r="AF839" s="6">
        <f ca="1">Main[[#This Row],[تعداد روزهای بدهکار سررسید شده (روز)]]*Main[[#This Row],[مانده در خط سررسید شده (کیلوگرم)]]</f>
        <v>0</v>
      </c>
    </row>
    <row r="840" spans="1:32" hidden="1" x14ac:dyDescent="0.35">
      <c r="A840" s="5">
        <f>ROW()-ROW(INDEX(Main[ردیف],1))+1</f>
        <v>838</v>
      </c>
      <c r="B840" s="31">
        <f>SUBTOTAL(2,INDEX(Main[ردیف],1):Main[[#This Row],[ردیف]])</f>
        <v>79</v>
      </c>
      <c r="C840" s="32" t="s">
        <v>595</v>
      </c>
      <c r="D840" s="32" t="str">
        <f>_xlfn.CONCAT("14",Main[[#This Row],[تاريخ]])</f>
        <v>1400/03/30</v>
      </c>
      <c r="E840" s="33">
        <v>44367</v>
      </c>
      <c r="F840" s="32">
        <v>30081</v>
      </c>
      <c r="G840" s="5" t="str">
        <f>INDEX(customer[عنوان],MATCH(Main[[#This Row],[کد ردیابی]],customer[کد],0))</f>
        <v xml:space="preserve">شیرآلات بهداشتی راسان </v>
      </c>
      <c r="H840">
        <v>-5730</v>
      </c>
      <c r="I840" s="6">
        <f ca="1">-Main[[#This Row],[بدهی تسویه شده (کیلوگرم)]]+Main[[#This Row],[بستانکار (کیلوگرم)]]</f>
        <v>-5730</v>
      </c>
      <c r="J840" s="6">
        <f>IF(Main[[#This Row],[مقدار (کیلوگرم)]]&gt;0,Main[[#This Row],[مقدار (کیلوگرم)]],0)</f>
        <v>0</v>
      </c>
      <c r="K840" s="6">
        <f>-IF(Main[[#This Row],[مقدار (کیلوگرم)]]&lt;0,Main[[#This Row],[مقدار (کیلوگرم)]],0)</f>
        <v>5730</v>
      </c>
      <c r="L8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0" s="7">
        <f>-IF(AND(Main[[#This Row],[مقدار (کیلوگرم)]]&lt;0,Main[[#This Row],[تاريخ میلادی]]&gt;44276),Main[[#This Row],[مقدار (کیلوگرم)]],0)</f>
        <v>5730</v>
      </c>
      <c r="N840" s="6">
        <f ca="1">Main[[#This Row],[بدهکار (کیلوگرم)]]-Main[[#This Row],[بدهی تسویه نشده (کیلوگرم)]]</f>
        <v>5730</v>
      </c>
      <c r="O840" s="6">
        <f ca="1">Main[[#This Row],[تفکیک]]</f>
        <v>0</v>
      </c>
      <c r="P840" s="6">
        <f ca="1">IF(Main[[#This Row],[تاخیر از سررسید]]&gt;0,Main[[#This Row],[بدهی تسویه نشده (کیلوگرم)]],0)</f>
        <v>0</v>
      </c>
      <c r="Q840" s="6">
        <f ca="1">IF(Main[[#This Row],[بدهی تسویه نشده (کیلوگرم)]]&gt;0,'گزارش فردی'!$B$7-Main[[#This Row],[تاريخ میلادی]],0)</f>
        <v>0</v>
      </c>
      <c r="R840" s="6">
        <f ca="1">IF(Main[[#This Row],[بدهی تسویه نشده (کیلوگرم)]]&gt;0,'گزارش فردی'!$B$7-Main[[#This Row],[تاريخ میلادی]]-'گزارش فردی'!$B$8,0)</f>
        <v>0</v>
      </c>
      <c r="S840" s="6">
        <f ca="1">Main[[#This Row],[روز از ارسال سفارش]]*Main[[#This Row],[بدهی تسویه نشده (کیلوگرم)]]</f>
        <v>0</v>
      </c>
      <c r="T840" s="6">
        <f ca="1">Main[[#This Row],[بدهی سررسید شده (کیلوگرم)]]*Main[[#This Row],[روز از ارسال سفارش]]</f>
        <v>0</v>
      </c>
      <c r="U840" s="6">
        <f>-SUBTOTAL(9,INDEX(Main[مقدار (کیلوگرم)],1):Main[[#This Row],[مقدار (کیلوگرم)]])</f>
        <v>28139</v>
      </c>
      <c r="V8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0" s="6">
        <f>Main[[#This Row],[تعداد کل روزهای بدهکار (روز)]]*Main[[#This Row],[مانده در خط کل (کیلوگرم)]]</f>
        <v>0</v>
      </c>
      <c r="X840" s="6">
        <f ca="1">-SUBTOTAL(9,INDEX(Main[مقدار تسویه شده (کیلوگرم)],1):Main[[#This Row],[مقدار تسویه شده (کیلوگرم)]])</f>
        <v>28139</v>
      </c>
      <c r="Y840" s="6">
        <f ca="1">IF(Main[[#This Row],[مانده در خط تسویه شده (کیلوگرم)]]&lt;&gt;0,Main[[#This Row],[تعداد کل روزهای بدهکار (روز)]],0)</f>
        <v>0</v>
      </c>
      <c r="Z840" s="6">
        <f ca="1">Main[[#This Row],[تعداد روزهای بدهکار تسویه شده (روز)]]*Main[[#This Row],[مانده در خط تسویه شده (کیلوگرم)]]</f>
        <v>0</v>
      </c>
      <c r="AA840" s="6">
        <f ca="1">SUBTOTAL(9,INDEX(Main[بدهی تسویه نشده (کیلوگرم)],1):Main[[#This Row],[بدهی تسویه نشده (کیلوگرم)]])</f>
        <v>0</v>
      </c>
      <c r="AB840" s="6">
        <f ca="1">IF(Main[[#This Row],[مانده در خط تسویه نشده (کیلوگرم)]]&lt;&gt;0,Main[[#This Row],[تعداد کل روزهای بدهکار (روز)]],0)</f>
        <v>0</v>
      </c>
      <c r="AC840" s="6">
        <f ca="1">Main[[#This Row],[تعداد روزهای بدهکار  تسویه نشده (روز)]]*Main[[#This Row],[مانده در خط تسویه نشده (کیلوگرم)]]</f>
        <v>0</v>
      </c>
      <c r="AD840" s="6">
        <f ca="1">SUBTOTAL(9,INDEX(Main[بدهی سررسید شده (کیلوگرم)],1):Main[[#This Row],[بدهی سررسید شده (کیلوگرم)]])</f>
        <v>0</v>
      </c>
      <c r="AE840" s="6">
        <f ca="1">IF(Main[[#This Row],[مانده در خط سررسید شده (کیلوگرم)]]&lt;&gt;0,Main[[#This Row],[تعداد کل روزهای بدهکار (روز)]],0)</f>
        <v>0</v>
      </c>
      <c r="AF840" s="6">
        <f ca="1">Main[[#This Row],[تعداد روزهای بدهکار سررسید شده (روز)]]*Main[[#This Row],[مانده در خط سررسید شده (کیلوگرم)]]</f>
        <v>0</v>
      </c>
    </row>
    <row r="841" spans="1:32" hidden="1" x14ac:dyDescent="0.35">
      <c r="A841" s="5">
        <f>ROW()-ROW(INDEX(Main[ردیف],1))+1</f>
        <v>839</v>
      </c>
      <c r="B841" s="31">
        <f>SUBTOTAL(2,INDEX(Main[ردیف],1):Main[[#This Row],[ردیف]])</f>
        <v>79</v>
      </c>
      <c r="C841" s="32" t="s">
        <v>595</v>
      </c>
      <c r="D841" s="32" t="str">
        <f>_xlfn.CONCAT("14",Main[[#This Row],[تاريخ]])</f>
        <v>1400/03/30</v>
      </c>
      <c r="E841" s="33">
        <v>44367</v>
      </c>
      <c r="F841" s="32">
        <v>30009</v>
      </c>
      <c r="G841" s="5" t="str">
        <f>INDEX(customer[عنوان],MATCH(Main[[#This Row],[کد ردیابی]],customer[کد],0))</f>
        <v>شرکت ایمن تک پیشرو</v>
      </c>
      <c r="H841">
        <v>1021</v>
      </c>
      <c r="I841" s="6">
        <f ca="1">-Main[[#This Row],[بدهی تسویه شده (کیلوگرم)]]+Main[[#This Row],[بستانکار (کیلوگرم)]]</f>
        <v>1021</v>
      </c>
      <c r="J841" s="6">
        <f>IF(Main[[#This Row],[مقدار (کیلوگرم)]]&gt;0,Main[[#This Row],[مقدار (کیلوگرم)]],0)</f>
        <v>1021</v>
      </c>
      <c r="K841" s="6">
        <f>-IF(Main[[#This Row],[مقدار (کیلوگرم)]]&lt;0,Main[[#This Row],[مقدار (کیلوگرم)]],0)</f>
        <v>0</v>
      </c>
      <c r="L8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1" s="7">
        <f>-IF(AND(Main[[#This Row],[مقدار (کیلوگرم)]]&lt;0,Main[[#This Row],[تاريخ میلادی]]&gt;44276),Main[[#This Row],[مقدار (کیلوگرم)]],0)</f>
        <v>0</v>
      </c>
      <c r="N841" s="6">
        <f ca="1">Main[[#This Row],[بدهکار (کیلوگرم)]]-Main[[#This Row],[بدهی تسویه نشده (کیلوگرم)]]</f>
        <v>0</v>
      </c>
      <c r="O841" s="6">
        <f ca="1">Main[[#This Row],[تفکیک]]</f>
        <v>0</v>
      </c>
      <c r="P841" s="6">
        <f ca="1">IF(Main[[#This Row],[تاخیر از سررسید]]&gt;0,Main[[#This Row],[بدهی تسویه نشده (کیلوگرم)]],0)</f>
        <v>0</v>
      </c>
      <c r="Q841" s="6">
        <f ca="1">IF(Main[[#This Row],[بدهی تسویه نشده (کیلوگرم)]]&gt;0,'گزارش فردی'!$B$7-Main[[#This Row],[تاريخ میلادی]],0)</f>
        <v>0</v>
      </c>
      <c r="R841" s="6">
        <f ca="1">IF(Main[[#This Row],[بدهی تسویه نشده (کیلوگرم)]]&gt;0,'گزارش فردی'!$B$7-Main[[#This Row],[تاريخ میلادی]]-'گزارش فردی'!$B$8,0)</f>
        <v>0</v>
      </c>
      <c r="S841" s="6">
        <f ca="1">Main[[#This Row],[روز از ارسال سفارش]]*Main[[#This Row],[بدهی تسویه نشده (کیلوگرم)]]</f>
        <v>0</v>
      </c>
      <c r="T841" s="6">
        <f ca="1">Main[[#This Row],[بدهی سررسید شده (کیلوگرم)]]*Main[[#This Row],[روز از ارسال سفارش]]</f>
        <v>0</v>
      </c>
      <c r="U841" s="6">
        <f>-SUBTOTAL(9,INDEX(Main[مقدار (کیلوگرم)],1):Main[[#This Row],[مقدار (کیلوگرم)]])</f>
        <v>28139</v>
      </c>
      <c r="V8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1" s="6">
        <f>Main[[#This Row],[تعداد کل روزهای بدهکار (روز)]]*Main[[#This Row],[مانده در خط کل (کیلوگرم)]]</f>
        <v>0</v>
      </c>
      <c r="X841" s="6">
        <f ca="1">-SUBTOTAL(9,INDEX(Main[مقدار تسویه شده (کیلوگرم)],1):Main[[#This Row],[مقدار تسویه شده (کیلوگرم)]])</f>
        <v>28139</v>
      </c>
      <c r="Y841" s="6">
        <f ca="1">IF(Main[[#This Row],[مانده در خط تسویه شده (کیلوگرم)]]&lt;&gt;0,Main[[#This Row],[تعداد کل روزهای بدهکار (روز)]],0)</f>
        <v>0</v>
      </c>
      <c r="Z841" s="6">
        <f ca="1">Main[[#This Row],[تعداد روزهای بدهکار تسویه شده (روز)]]*Main[[#This Row],[مانده در خط تسویه شده (کیلوگرم)]]</f>
        <v>0</v>
      </c>
      <c r="AA841" s="6">
        <f ca="1">SUBTOTAL(9,INDEX(Main[بدهی تسویه نشده (کیلوگرم)],1):Main[[#This Row],[بدهی تسویه نشده (کیلوگرم)]])</f>
        <v>0</v>
      </c>
      <c r="AB841" s="6">
        <f ca="1">IF(Main[[#This Row],[مانده در خط تسویه نشده (کیلوگرم)]]&lt;&gt;0,Main[[#This Row],[تعداد کل روزهای بدهکار (روز)]],0)</f>
        <v>0</v>
      </c>
      <c r="AC841" s="6">
        <f ca="1">Main[[#This Row],[تعداد روزهای بدهکار  تسویه نشده (روز)]]*Main[[#This Row],[مانده در خط تسویه نشده (کیلوگرم)]]</f>
        <v>0</v>
      </c>
      <c r="AD841" s="6">
        <f ca="1">SUBTOTAL(9,INDEX(Main[بدهی سررسید شده (کیلوگرم)],1):Main[[#This Row],[بدهی سررسید شده (کیلوگرم)]])</f>
        <v>0</v>
      </c>
      <c r="AE841" s="6">
        <f ca="1">IF(Main[[#This Row],[مانده در خط سررسید شده (کیلوگرم)]]&lt;&gt;0,Main[[#This Row],[تعداد کل روزهای بدهکار (روز)]],0)</f>
        <v>0</v>
      </c>
      <c r="AF841" s="6">
        <f ca="1">Main[[#This Row],[تعداد روزهای بدهکار سررسید شده (روز)]]*Main[[#This Row],[مانده در خط سررسید شده (کیلوگرم)]]</f>
        <v>0</v>
      </c>
    </row>
    <row r="842" spans="1:32" hidden="1" x14ac:dyDescent="0.35">
      <c r="A842" s="5">
        <f>ROW()-ROW(INDEX(Main[ردیف],1))+1</f>
        <v>840</v>
      </c>
      <c r="B842" s="31">
        <f>SUBTOTAL(2,INDEX(Main[ردیف],1):Main[[#This Row],[ردیف]])</f>
        <v>79</v>
      </c>
      <c r="C842" s="32" t="s">
        <v>595</v>
      </c>
      <c r="D842" s="32" t="str">
        <f>_xlfn.CONCAT("14",Main[[#This Row],[تاريخ]])</f>
        <v>1400/03/30</v>
      </c>
      <c r="E842" s="33">
        <v>44367</v>
      </c>
      <c r="F842" s="32">
        <v>30127</v>
      </c>
      <c r="G842" s="5" t="str">
        <f>INDEX(customer[عنوان],MATCH(Main[[#This Row],[کد ردیابی]],customer[کد],0))</f>
        <v>شیر گاز آذران</v>
      </c>
      <c r="H842">
        <v>-15495</v>
      </c>
      <c r="I842" s="6">
        <f ca="1">-Main[[#This Row],[بدهی تسویه شده (کیلوگرم)]]+Main[[#This Row],[بستانکار (کیلوگرم)]]</f>
        <v>-15495</v>
      </c>
      <c r="J842" s="6">
        <f>IF(Main[[#This Row],[مقدار (کیلوگرم)]]&gt;0,Main[[#This Row],[مقدار (کیلوگرم)]],0)</f>
        <v>0</v>
      </c>
      <c r="K842" s="6">
        <f>-IF(Main[[#This Row],[مقدار (کیلوگرم)]]&lt;0,Main[[#This Row],[مقدار (کیلوگرم)]],0)</f>
        <v>15495</v>
      </c>
      <c r="L8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2" s="7">
        <f>-IF(AND(Main[[#This Row],[مقدار (کیلوگرم)]]&lt;0,Main[[#This Row],[تاريخ میلادی]]&gt;44276),Main[[#This Row],[مقدار (کیلوگرم)]],0)</f>
        <v>15495</v>
      </c>
      <c r="N842" s="6">
        <f ca="1">Main[[#This Row],[بدهکار (کیلوگرم)]]-Main[[#This Row],[بدهی تسویه نشده (کیلوگرم)]]</f>
        <v>15495</v>
      </c>
      <c r="O842" s="6">
        <f ca="1">Main[[#This Row],[تفکیک]]</f>
        <v>0</v>
      </c>
      <c r="P842" s="6">
        <f ca="1">IF(Main[[#This Row],[تاخیر از سررسید]]&gt;0,Main[[#This Row],[بدهی تسویه نشده (کیلوگرم)]],0)</f>
        <v>0</v>
      </c>
      <c r="Q842" s="6">
        <f ca="1">IF(Main[[#This Row],[بدهی تسویه نشده (کیلوگرم)]]&gt;0,'گزارش فردی'!$B$7-Main[[#This Row],[تاريخ میلادی]],0)</f>
        <v>0</v>
      </c>
      <c r="R842" s="6">
        <f ca="1">IF(Main[[#This Row],[بدهی تسویه نشده (کیلوگرم)]]&gt;0,'گزارش فردی'!$B$7-Main[[#This Row],[تاريخ میلادی]]-'گزارش فردی'!$B$8,0)</f>
        <v>0</v>
      </c>
      <c r="S842" s="6">
        <f ca="1">Main[[#This Row],[روز از ارسال سفارش]]*Main[[#This Row],[بدهی تسویه نشده (کیلوگرم)]]</f>
        <v>0</v>
      </c>
      <c r="T842" s="6">
        <f ca="1">Main[[#This Row],[بدهی سررسید شده (کیلوگرم)]]*Main[[#This Row],[روز از ارسال سفارش]]</f>
        <v>0</v>
      </c>
      <c r="U842" s="6">
        <f>-SUBTOTAL(9,INDEX(Main[مقدار (کیلوگرم)],1):Main[[#This Row],[مقدار (کیلوگرم)]])</f>
        <v>28139</v>
      </c>
      <c r="V8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2" s="6">
        <f>Main[[#This Row],[تعداد کل روزهای بدهکار (روز)]]*Main[[#This Row],[مانده در خط کل (کیلوگرم)]]</f>
        <v>0</v>
      </c>
      <c r="X842" s="6">
        <f ca="1">-SUBTOTAL(9,INDEX(Main[مقدار تسویه شده (کیلوگرم)],1):Main[[#This Row],[مقدار تسویه شده (کیلوگرم)]])</f>
        <v>28139</v>
      </c>
      <c r="Y842" s="6">
        <f ca="1">IF(Main[[#This Row],[مانده در خط تسویه شده (کیلوگرم)]]&lt;&gt;0,Main[[#This Row],[تعداد کل روزهای بدهکار (روز)]],0)</f>
        <v>0</v>
      </c>
      <c r="Z842" s="6">
        <f ca="1">Main[[#This Row],[تعداد روزهای بدهکار تسویه شده (روز)]]*Main[[#This Row],[مانده در خط تسویه شده (کیلوگرم)]]</f>
        <v>0</v>
      </c>
      <c r="AA842" s="6">
        <f ca="1">SUBTOTAL(9,INDEX(Main[بدهی تسویه نشده (کیلوگرم)],1):Main[[#This Row],[بدهی تسویه نشده (کیلوگرم)]])</f>
        <v>0</v>
      </c>
      <c r="AB842" s="6">
        <f ca="1">IF(Main[[#This Row],[مانده در خط تسویه نشده (کیلوگرم)]]&lt;&gt;0,Main[[#This Row],[تعداد کل روزهای بدهکار (روز)]],0)</f>
        <v>0</v>
      </c>
      <c r="AC842" s="6">
        <f ca="1">Main[[#This Row],[تعداد روزهای بدهکار  تسویه نشده (روز)]]*Main[[#This Row],[مانده در خط تسویه نشده (کیلوگرم)]]</f>
        <v>0</v>
      </c>
      <c r="AD842" s="6">
        <f ca="1">SUBTOTAL(9,INDEX(Main[بدهی سررسید شده (کیلوگرم)],1):Main[[#This Row],[بدهی سررسید شده (کیلوگرم)]])</f>
        <v>0</v>
      </c>
      <c r="AE842" s="6">
        <f ca="1">IF(Main[[#This Row],[مانده در خط سررسید شده (کیلوگرم)]]&lt;&gt;0,Main[[#This Row],[تعداد کل روزهای بدهکار (روز)]],0)</f>
        <v>0</v>
      </c>
      <c r="AF842" s="6">
        <f ca="1">Main[[#This Row],[تعداد روزهای بدهکار سررسید شده (روز)]]*Main[[#This Row],[مانده در خط سررسید شده (کیلوگرم)]]</f>
        <v>0</v>
      </c>
    </row>
    <row r="843" spans="1:32" hidden="1" x14ac:dyDescent="0.35">
      <c r="A843" s="5">
        <f>ROW()-ROW(INDEX(Main[ردیف],1))+1</f>
        <v>841</v>
      </c>
      <c r="B843" s="31">
        <f>SUBTOTAL(2,INDEX(Main[ردیف],1):Main[[#This Row],[ردیف]])</f>
        <v>79</v>
      </c>
      <c r="C843" s="32" t="s">
        <v>595</v>
      </c>
      <c r="D843" s="32" t="str">
        <f>_xlfn.CONCAT("14",Main[[#This Row],[تاريخ]])</f>
        <v>1400/03/30</v>
      </c>
      <c r="E843" s="33">
        <v>44367</v>
      </c>
      <c r="F843" s="32">
        <v>10055</v>
      </c>
      <c r="G843" s="5" t="str">
        <f>INDEX(customer[عنوان],MATCH(Main[[#This Row],[کد ردیابی]],customer[کد],0))</f>
        <v xml:space="preserve">مریم فیض آبادی  </v>
      </c>
      <c r="H843">
        <v>4844</v>
      </c>
      <c r="I843" s="6">
        <f ca="1">-Main[[#This Row],[بدهی تسویه شده (کیلوگرم)]]+Main[[#This Row],[بستانکار (کیلوگرم)]]</f>
        <v>4844</v>
      </c>
      <c r="J843" s="6">
        <f>IF(Main[[#This Row],[مقدار (کیلوگرم)]]&gt;0,Main[[#This Row],[مقدار (کیلوگرم)]],0)</f>
        <v>4844</v>
      </c>
      <c r="K843" s="6">
        <f>-IF(Main[[#This Row],[مقدار (کیلوگرم)]]&lt;0,Main[[#This Row],[مقدار (کیلوگرم)]],0)</f>
        <v>0</v>
      </c>
      <c r="L8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3" s="7">
        <f>-IF(AND(Main[[#This Row],[مقدار (کیلوگرم)]]&lt;0,Main[[#This Row],[تاريخ میلادی]]&gt;44276),Main[[#This Row],[مقدار (کیلوگرم)]],0)</f>
        <v>0</v>
      </c>
      <c r="N843" s="6">
        <f ca="1">Main[[#This Row],[بدهکار (کیلوگرم)]]-Main[[#This Row],[بدهی تسویه نشده (کیلوگرم)]]</f>
        <v>0</v>
      </c>
      <c r="O843" s="6">
        <f ca="1">Main[[#This Row],[تفکیک]]</f>
        <v>0</v>
      </c>
      <c r="P843" s="6">
        <f ca="1">IF(Main[[#This Row],[تاخیر از سررسید]]&gt;0,Main[[#This Row],[بدهی تسویه نشده (کیلوگرم)]],0)</f>
        <v>0</v>
      </c>
      <c r="Q843" s="6">
        <f ca="1">IF(Main[[#This Row],[بدهی تسویه نشده (کیلوگرم)]]&gt;0,'گزارش فردی'!$B$7-Main[[#This Row],[تاريخ میلادی]],0)</f>
        <v>0</v>
      </c>
      <c r="R843" s="6">
        <f ca="1">IF(Main[[#This Row],[بدهی تسویه نشده (کیلوگرم)]]&gt;0,'گزارش فردی'!$B$7-Main[[#This Row],[تاريخ میلادی]]-'گزارش فردی'!$B$8,0)</f>
        <v>0</v>
      </c>
      <c r="S843" s="6">
        <f ca="1">Main[[#This Row],[روز از ارسال سفارش]]*Main[[#This Row],[بدهی تسویه نشده (کیلوگرم)]]</f>
        <v>0</v>
      </c>
      <c r="T843" s="6">
        <f ca="1">Main[[#This Row],[بدهی سررسید شده (کیلوگرم)]]*Main[[#This Row],[روز از ارسال سفارش]]</f>
        <v>0</v>
      </c>
      <c r="U843" s="6">
        <f>-SUBTOTAL(9,INDEX(Main[مقدار (کیلوگرم)],1):Main[[#This Row],[مقدار (کیلوگرم)]])</f>
        <v>28139</v>
      </c>
      <c r="V8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3" s="6">
        <f>Main[[#This Row],[تعداد کل روزهای بدهکار (روز)]]*Main[[#This Row],[مانده در خط کل (کیلوگرم)]]</f>
        <v>0</v>
      </c>
      <c r="X843" s="6">
        <f ca="1">-SUBTOTAL(9,INDEX(Main[مقدار تسویه شده (کیلوگرم)],1):Main[[#This Row],[مقدار تسویه شده (کیلوگرم)]])</f>
        <v>28139</v>
      </c>
      <c r="Y843" s="6">
        <f ca="1">IF(Main[[#This Row],[مانده در خط تسویه شده (کیلوگرم)]]&lt;&gt;0,Main[[#This Row],[تعداد کل روزهای بدهکار (روز)]],0)</f>
        <v>0</v>
      </c>
      <c r="Z843" s="6">
        <f ca="1">Main[[#This Row],[تعداد روزهای بدهکار تسویه شده (روز)]]*Main[[#This Row],[مانده در خط تسویه شده (کیلوگرم)]]</f>
        <v>0</v>
      </c>
      <c r="AA843" s="6">
        <f ca="1">SUBTOTAL(9,INDEX(Main[بدهی تسویه نشده (کیلوگرم)],1):Main[[#This Row],[بدهی تسویه نشده (کیلوگرم)]])</f>
        <v>0</v>
      </c>
      <c r="AB843" s="6">
        <f ca="1">IF(Main[[#This Row],[مانده در خط تسویه نشده (کیلوگرم)]]&lt;&gt;0,Main[[#This Row],[تعداد کل روزهای بدهکار (روز)]],0)</f>
        <v>0</v>
      </c>
      <c r="AC843" s="6">
        <f ca="1">Main[[#This Row],[تعداد روزهای بدهکار  تسویه نشده (روز)]]*Main[[#This Row],[مانده در خط تسویه نشده (کیلوگرم)]]</f>
        <v>0</v>
      </c>
      <c r="AD843" s="6">
        <f ca="1">SUBTOTAL(9,INDEX(Main[بدهی سررسید شده (کیلوگرم)],1):Main[[#This Row],[بدهی سررسید شده (کیلوگرم)]])</f>
        <v>0</v>
      </c>
      <c r="AE843" s="6">
        <f ca="1">IF(Main[[#This Row],[مانده در خط سررسید شده (کیلوگرم)]]&lt;&gt;0,Main[[#This Row],[تعداد کل روزهای بدهکار (روز)]],0)</f>
        <v>0</v>
      </c>
      <c r="AF843" s="6">
        <f ca="1">Main[[#This Row],[تعداد روزهای بدهکار سررسید شده (روز)]]*Main[[#This Row],[مانده در خط سررسید شده (کیلوگرم)]]</f>
        <v>0</v>
      </c>
    </row>
    <row r="844" spans="1:32" x14ac:dyDescent="0.35">
      <c r="A844" s="5">
        <f>ROW()-ROW(INDEX(Main[ردیف],1))+1</f>
        <v>842</v>
      </c>
      <c r="B844" s="31">
        <f>SUBTOTAL(2,INDEX(Main[ردیف],1):Main[[#This Row],[ردیف]])</f>
        <v>80</v>
      </c>
      <c r="C844" s="32" t="s">
        <v>595</v>
      </c>
      <c r="D844" s="32" t="str">
        <f>_xlfn.CONCAT("14",Main[[#This Row],[تاريخ]])</f>
        <v>1400/03/30</v>
      </c>
      <c r="E844" s="33">
        <v>44367</v>
      </c>
      <c r="F844" s="32">
        <v>10003</v>
      </c>
      <c r="G844" s="5" t="str">
        <f>INDEX(customer[عنوان],MATCH(Main[[#This Row],[کد ردیابی]],customer[کد],0))</f>
        <v>اصغر نورعلی</v>
      </c>
      <c r="H844">
        <v>-1698</v>
      </c>
      <c r="I844" s="6">
        <f ca="1">-Main[[#This Row],[بدهی تسویه شده (کیلوگرم)]]+Main[[#This Row],[بستانکار (کیلوگرم)]]</f>
        <v>-1698</v>
      </c>
      <c r="J844" s="6">
        <f>IF(Main[[#This Row],[مقدار (کیلوگرم)]]&gt;0,Main[[#This Row],[مقدار (کیلوگرم)]],0)</f>
        <v>0</v>
      </c>
      <c r="K844" s="6">
        <f>-IF(Main[[#This Row],[مقدار (کیلوگرم)]]&lt;0,Main[[#This Row],[مقدار (کیلوگرم)]],0)</f>
        <v>1698</v>
      </c>
      <c r="L8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4" s="7">
        <f>-IF(AND(Main[[#This Row],[مقدار (کیلوگرم)]]&lt;0,Main[[#This Row],[تاريخ میلادی]]&gt;44276),Main[[#This Row],[مقدار (کیلوگرم)]],0)</f>
        <v>1698</v>
      </c>
      <c r="N844" s="6">
        <f ca="1">Main[[#This Row],[بدهکار (کیلوگرم)]]-Main[[#This Row],[بدهی تسویه نشده (کیلوگرم)]]</f>
        <v>1698</v>
      </c>
      <c r="O844" s="6">
        <f ca="1">Main[[#This Row],[تفکیک]]</f>
        <v>0</v>
      </c>
      <c r="P844" s="6">
        <f ca="1">IF(Main[[#This Row],[تاخیر از سررسید]]&gt;0,Main[[#This Row],[بدهی تسویه نشده (کیلوگرم)]],0)</f>
        <v>0</v>
      </c>
      <c r="Q844" s="6">
        <f ca="1">IF(Main[[#This Row],[بدهی تسویه نشده (کیلوگرم)]]&gt;0,'گزارش فردی'!$B$7-Main[[#This Row],[تاريخ میلادی]],0)</f>
        <v>0</v>
      </c>
      <c r="R844" s="6">
        <f ca="1">IF(Main[[#This Row],[بدهی تسویه نشده (کیلوگرم)]]&gt;0,'گزارش فردی'!$B$7-Main[[#This Row],[تاريخ میلادی]]-'گزارش فردی'!$B$8,0)</f>
        <v>0</v>
      </c>
      <c r="S844" s="6">
        <f ca="1">Main[[#This Row],[روز از ارسال سفارش]]*Main[[#This Row],[بدهی تسویه نشده (کیلوگرم)]]</f>
        <v>0</v>
      </c>
      <c r="T844" s="6">
        <f ca="1">Main[[#This Row],[بدهی سررسید شده (کیلوگرم)]]*Main[[#This Row],[روز از ارسال سفارش]]</f>
        <v>0</v>
      </c>
      <c r="U844" s="6">
        <f>-SUBTOTAL(9,INDEX(Main[مقدار (کیلوگرم)],1):Main[[#This Row],[مقدار (کیلوگرم)]])</f>
        <v>29837</v>
      </c>
      <c r="V84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4" s="6">
        <f>Main[[#This Row],[تعداد کل روزهای بدهکار (روز)]]*Main[[#This Row],[مانده در خط کل (کیلوگرم)]]</f>
        <v>59674</v>
      </c>
      <c r="X844" s="6">
        <f ca="1">-SUBTOTAL(9,INDEX(Main[مقدار تسویه شده (کیلوگرم)],1):Main[[#This Row],[مقدار تسویه شده (کیلوگرم)]])</f>
        <v>29837</v>
      </c>
      <c r="Y844" s="6">
        <f ca="1">IF(Main[[#This Row],[مانده در خط تسویه شده (کیلوگرم)]]&lt;&gt;0,Main[[#This Row],[تعداد کل روزهای بدهکار (روز)]],0)</f>
        <v>2</v>
      </c>
      <c r="Z844" s="6">
        <f ca="1">Main[[#This Row],[تعداد روزهای بدهکار تسویه شده (روز)]]*Main[[#This Row],[مانده در خط تسویه شده (کیلوگرم)]]</f>
        <v>59674</v>
      </c>
      <c r="AA844" s="6">
        <f ca="1">SUBTOTAL(9,INDEX(Main[بدهی تسویه نشده (کیلوگرم)],1):Main[[#This Row],[بدهی تسویه نشده (کیلوگرم)]])</f>
        <v>0</v>
      </c>
      <c r="AB844" s="6">
        <f ca="1">IF(Main[[#This Row],[مانده در خط تسویه نشده (کیلوگرم)]]&lt;&gt;0,Main[[#This Row],[تعداد کل روزهای بدهکار (روز)]],0)</f>
        <v>0</v>
      </c>
      <c r="AC844" s="6">
        <f ca="1">Main[[#This Row],[تعداد روزهای بدهکار  تسویه نشده (روز)]]*Main[[#This Row],[مانده در خط تسویه نشده (کیلوگرم)]]</f>
        <v>0</v>
      </c>
      <c r="AD844" s="6">
        <f ca="1">SUBTOTAL(9,INDEX(Main[بدهی سررسید شده (کیلوگرم)],1):Main[[#This Row],[بدهی سررسید شده (کیلوگرم)]])</f>
        <v>0</v>
      </c>
      <c r="AE844" s="6">
        <f ca="1">IF(Main[[#This Row],[مانده در خط سررسید شده (کیلوگرم)]]&lt;&gt;0,Main[[#This Row],[تعداد کل روزهای بدهکار (روز)]],0)</f>
        <v>0</v>
      </c>
      <c r="AF844" s="6">
        <f ca="1">Main[[#This Row],[تعداد روزهای بدهکار سررسید شده (روز)]]*Main[[#This Row],[مانده در خط سررسید شده (کیلوگرم)]]</f>
        <v>0</v>
      </c>
    </row>
    <row r="845" spans="1:32" hidden="1" x14ac:dyDescent="0.35">
      <c r="A845" s="5">
        <f>ROW()-ROW(INDEX(Main[ردیف],1))+1</f>
        <v>843</v>
      </c>
      <c r="B845" s="31">
        <f>SUBTOTAL(2,INDEX(Main[ردیف],1):Main[[#This Row],[ردیف]])</f>
        <v>80</v>
      </c>
      <c r="C845" s="32" t="s">
        <v>595</v>
      </c>
      <c r="D845" s="32" t="str">
        <f>_xlfn.CONCAT("14",Main[[#This Row],[تاريخ]])</f>
        <v>1400/03/30</v>
      </c>
      <c r="E845" s="33">
        <v>44367</v>
      </c>
      <c r="F845" s="32">
        <v>10027</v>
      </c>
      <c r="G845" s="5" t="str">
        <f>INDEX(customer[عنوان],MATCH(Main[[#This Row],[کد ردیابی]],customer[کد],0))</f>
        <v xml:space="preserve">مصطفی نورعلی </v>
      </c>
      <c r="H845">
        <v>3041</v>
      </c>
      <c r="I845" s="6">
        <f ca="1">-Main[[#This Row],[بدهی تسویه شده (کیلوگرم)]]+Main[[#This Row],[بستانکار (کیلوگرم)]]</f>
        <v>3041</v>
      </c>
      <c r="J845" s="6">
        <f>IF(Main[[#This Row],[مقدار (کیلوگرم)]]&gt;0,Main[[#This Row],[مقدار (کیلوگرم)]],0)</f>
        <v>3041</v>
      </c>
      <c r="K845" s="6">
        <f>-IF(Main[[#This Row],[مقدار (کیلوگرم)]]&lt;0,Main[[#This Row],[مقدار (کیلوگرم)]],0)</f>
        <v>0</v>
      </c>
      <c r="L8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5" s="7">
        <f>-IF(AND(Main[[#This Row],[مقدار (کیلوگرم)]]&lt;0,Main[[#This Row],[تاريخ میلادی]]&gt;44276),Main[[#This Row],[مقدار (کیلوگرم)]],0)</f>
        <v>0</v>
      </c>
      <c r="N845" s="6">
        <f ca="1">Main[[#This Row],[بدهکار (کیلوگرم)]]-Main[[#This Row],[بدهی تسویه نشده (کیلوگرم)]]</f>
        <v>0</v>
      </c>
      <c r="O845" s="6">
        <f ca="1">Main[[#This Row],[تفکیک]]</f>
        <v>0</v>
      </c>
      <c r="P845" s="6">
        <f ca="1">IF(Main[[#This Row],[تاخیر از سررسید]]&gt;0,Main[[#This Row],[بدهی تسویه نشده (کیلوگرم)]],0)</f>
        <v>0</v>
      </c>
      <c r="Q845" s="6">
        <f ca="1">IF(Main[[#This Row],[بدهی تسویه نشده (کیلوگرم)]]&gt;0,'گزارش فردی'!$B$7-Main[[#This Row],[تاريخ میلادی]],0)</f>
        <v>0</v>
      </c>
      <c r="R845" s="6">
        <f ca="1">IF(Main[[#This Row],[بدهی تسویه نشده (کیلوگرم)]]&gt;0,'گزارش فردی'!$B$7-Main[[#This Row],[تاريخ میلادی]]-'گزارش فردی'!$B$8,0)</f>
        <v>0</v>
      </c>
      <c r="S845" s="6">
        <f ca="1">Main[[#This Row],[روز از ارسال سفارش]]*Main[[#This Row],[بدهی تسویه نشده (کیلوگرم)]]</f>
        <v>0</v>
      </c>
      <c r="T845" s="6">
        <f ca="1">Main[[#This Row],[بدهی سررسید شده (کیلوگرم)]]*Main[[#This Row],[روز از ارسال سفارش]]</f>
        <v>0</v>
      </c>
      <c r="U845" s="6">
        <f>-SUBTOTAL(9,INDEX(Main[مقدار (کیلوگرم)],1):Main[[#This Row],[مقدار (کیلوگرم)]])</f>
        <v>29837</v>
      </c>
      <c r="V8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5" s="6">
        <f>Main[[#This Row],[تعداد کل روزهای بدهکار (روز)]]*Main[[#This Row],[مانده در خط کل (کیلوگرم)]]</f>
        <v>59674</v>
      </c>
      <c r="X845" s="6">
        <f ca="1">-SUBTOTAL(9,INDEX(Main[مقدار تسویه شده (کیلوگرم)],1):Main[[#This Row],[مقدار تسویه شده (کیلوگرم)]])</f>
        <v>29837</v>
      </c>
      <c r="Y845" s="6">
        <f ca="1">IF(Main[[#This Row],[مانده در خط تسویه شده (کیلوگرم)]]&lt;&gt;0,Main[[#This Row],[تعداد کل روزهای بدهکار (روز)]],0)</f>
        <v>2</v>
      </c>
      <c r="Z845" s="6">
        <f ca="1">Main[[#This Row],[تعداد روزهای بدهکار تسویه شده (روز)]]*Main[[#This Row],[مانده در خط تسویه شده (کیلوگرم)]]</f>
        <v>59674</v>
      </c>
      <c r="AA845" s="6">
        <f ca="1">SUBTOTAL(9,INDEX(Main[بدهی تسویه نشده (کیلوگرم)],1):Main[[#This Row],[بدهی تسویه نشده (کیلوگرم)]])</f>
        <v>0</v>
      </c>
      <c r="AB845" s="6">
        <f ca="1">IF(Main[[#This Row],[مانده در خط تسویه نشده (کیلوگرم)]]&lt;&gt;0,Main[[#This Row],[تعداد کل روزهای بدهکار (روز)]],0)</f>
        <v>0</v>
      </c>
      <c r="AC845" s="6">
        <f ca="1">Main[[#This Row],[تعداد روزهای بدهکار  تسویه نشده (روز)]]*Main[[#This Row],[مانده در خط تسویه نشده (کیلوگرم)]]</f>
        <v>0</v>
      </c>
      <c r="AD845" s="6">
        <f ca="1">SUBTOTAL(9,INDEX(Main[بدهی سررسید شده (کیلوگرم)],1):Main[[#This Row],[بدهی سررسید شده (کیلوگرم)]])</f>
        <v>0</v>
      </c>
      <c r="AE845" s="6">
        <f ca="1">IF(Main[[#This Row],[مانده در خط سررسید شده (کیلوگرم)]]&lt;&gt;0,Main[[#This Row],[تعداد کل روزهای بدهکار (روز)]],0)</f>
        <v>0</v>
      </c>
      <c r="AF845" s="6">
        <f ca="1">Main[[#This Row],[تعداد روزهای بدهکار سررسید شده (روز)]]*Main[[#This Row],[مانده در خط سررسید شده (کیلوگرم)]]</f>
        <v>0</v>
      </c>
    </row>
    <row r="846" spans="1:32" hidden="1" x14ac:dyDescent="0.35">
      <c r="A846" s="5">
        <f>ROW()-ROW(INDEX(Main[ردیف],1))+1</f>
        <v>844</v>
      </c>
      <c r="B846" s="31">
        <f>SUBTOTAL(2,INDEX(Main[ردیف],1):Main[[#This Row],[ردیف]])</f>
        <v>80</v>
      </c>
      <c r="C846" s="32" t="s">
        <v>595</v>
      </c>
      <c r="D846" s="32" t="str">
        <f>_xlfn.CONCAT("14",Main[[#This Row],[تاريخ]])</f>
        <v>1400/03/30</v>
      </c>
      <c r="E846" s="33">
        <v>44367</v>
      </c>
      <c r="F846" s="32">
        <v>10026</v>
      </c>
      <c r="G846" s="5" t="str">
        <f>INDEX(customer[عنوان],MATCH(Main[[#This Row],[کد ردیابی]],customer[کد],0))</f>
        <v xml:space="preserve">محسن فیاض بخش </v>
      </c>
      <c r="H846">
        <v>-4053</v>
      </c>
      <c r="I846" s="6">
        <f ca="1">-Main[[#This Row],[بدهی تسویه شده (کیلوگرم)]]+Main[[#This Row],[بستانکار (کیلوگرم)]]</f>
        <v>-4053</v>
      </c>
      <c r="J846" s="6">
        <f>IF(Main[[#This Row],[مقدار (کیلوگرم)]]&gt;0,Main[[#This Row],[مقدار (کیلوگرم)]],0)</f>
        <v>0</v>
      </c>
      <c r="K846" s="6">
        <f>-IF(Main[[#This Row],[مقدار (کیلوگرم)]]&lt;0,Main[[#This Row],[مقدار (کیلوگرم)]],0)</f>
        <v>4053</v>
      </c>
      <c r="L8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6" s="7">
        <f>-IF(AND(Main[[#This Row],[مقدار (کیلوگرم)]]&lt;0,Main[[#This Row],[تاريخ میلادی]]&gt;44276),Main[[#This Row],[مقدار (کیلوگرم)]],0)</f>
        <v>4053</v>
      </c>
      <c r="N846" s="6">
        <f ca="1">Main[[#This Row],[بدهکار (کیلوگرم)]]-Main[[#This Row],[بدهی تسویه نشده (کیلوگرم)]]</f>
        <v>4053</v>
      </c>
      <c r="O846" s="6">
        <f ca="1">Main[[#This Row],[تفکیک]]</f>
        <v>0</v>
      </c>
      <c r="P846" s="6">
        <f ca="1">IF(Main[[#This Row],[تاخیر از سررسید]]&gt;0,Main[[#This Row],[بدهی تسویه نشده (کیلوگرم)]],0)</f>
        <v>0</v>
      </c>
      <c r="Q846" s="6">
        <f ca="1">IF(Main[[#This Row],[بدهی تسویه نشده (کیلوگرم)]]&gt;0,'گزارش فردی'!$B$7-Main[[#This Row],[تاريخ میلادی]],0)</f>
        <v>0</v>
      </c>
      <c r="R846" s="6">
        <f ca="1">IF(Main[[#This Row],[بدهی تسویه نشده (کیلوگرم)]]&gt;0,'گزارش فردی'!$B$7-Main[[#This Row],[تاريخ میلادی]]-'گزارش فردی'!$B$8,0)</f>
        <v>0</v>
      </c>
      <c r="S846" s="6">
        <f ca="1">Main[[#This Row],[روز از ارسال سفارش]]*Main[[#This Row],[بدهی تسویه نشده (کیلوگرم)]]</f>
        <v>0</v>
      </c>
      <c r="T846" s="6">
        <f ca="1">Main[[#This Row],[بدهی سررسید شده (کیلوگرم)]]*Main[[#This Row],[روز از ارسال سفارش]]</f>
        <v>0</v>
      </c>
      <c r="U846" s="6">
        <f>-SUBTOTAL(9,INDEX(Main[مقدار (کیلوگرم)],1):Main[[#This Row],[مقدار (کیلوگرم)]])</f>
        <v>29837</v>
      </c>
      <c r="V84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6" s="6">
        <f>Main[[#This Row],[تعداد کل روزهای بدهکار (روز)]]*Main[[#This Row],[مانده در خط کل (کیلوگرم)]]</f>
        <v>59674</v>
      </c>
      <c r="X846" s="6">
        <f ca="1">-SUBTOTAL(9,INDEX(Main[مقدار تسویه شده (کیلوگرم)],1):Main[[#This Row],[مقدار تسویه شده (کیلوگرم)]])</f>
        <v>29837</v>
      </c>
      <c r="Y846" s="6">
        <f ca="1">IF(Main[[#This Row],[مانده در خط تسویه شده (کیلوگرم)]]&lt;&gt;0,Main[[#This Row],[تعداد کل روزهای بدهکار (روز)]],0)</f>
        <v>2</v>
      </c>
      <c r="Z846" s="6">
        <f ca="1">Main[[#This Row],[تعداد روزهای بدهکار تسویه شده (روز)]]*Main[[#This Row],[مانده در خط تسویه شده (کیلوگرم)]]</f>
        <v>59674</v>
      </c>
      <c r="AA846" s="6">
        <f ca="1">SUBTOTAL(9,INDEX(Main[بدهی تسویه نشده (کیلوگرم)],1):Main[[#This Row],[بدهی تسویه نشده (کیلوگرم)]])</f>
        <v>0</v>
      </c>
      <c r="AB846" s="6">
        <f ca="1">IF(Main[[#This Row],[مانده در خط تسویه نشده (کیلوگرم)]]&lt;&gt;0,Main[[#This Row],[تعداد کل روزهای بدهکار (روز)]],0)</f>
        <v>0</v>
      </c>
      <c r="AC846" s="6">
        <f ca="1">Main[[#This Row],[تعداد روزهای بدهکار  تسویه نشده (روز)]]*Main[[#This Row],[مانده در خط تسویه نشده (کیلوگرم)]]</f>
        <v>0</v>
      </c>
      <c r="AD846" s="6">
        <f ca="1">SUBTOTAL(9,INDEX(Main[بدهی سررسید شده (کیلوگرم)],1):Main[[#This Row],[بدهی سررسید شده (کیلوگرم)]])</f>
        <v>0</v>
      </c>
      <c r="AE846" s="6">
        <f ca="1">IF(Main[[#This Row],[مانده در خط سررسید شده (کیلوگرم)]]&lt;&gt;0,Main[[#This Row],[تعداد کل روزهای بدهکار (روز)]],0)</f>
        <v>0</v>
      </c>
      <c r="AF846" s="6">
        <f ca="1">Main[[#This Row],[تعداد روزهای بدهکار سررسید شده (روز)]]*Main[[#This Row],[مانده در خط سررسید شده (کیلوگرم)]]</f>
        <v>0</v>
      </c>
    </row>
    <row r="847" spans="1:32" hidden="1" x14ac:dyDescent="0.35">
      <c r="A847" s="5">
        <f>ROW()-ROW(INDEX(Main[ردیف],1))+1</f>
        <v>845</v>
      </c>
      <c r="B847" s="31">
        <f>SUBTOTAL(2,INDEX(Main[ردیف],1):Main[[#This Row],[ردیف]])</f>
        <v>80</v>
      </c>
      <c r="C847" s="32" t="s">
        <v>595</v>
      </c>
      <c r="D847" s="32" t="str">
        <f>_xlfn.CONCAT("14",Main[[#This Row],[تاريخ]])</f>
        <v>1400/03/30</v>
      </c>
      <c r="E847" s="33">
        <v>44367</v>
      </c>
      <c r="F847" s="32">
        <v>50011</v>
      </c>
      <c r="G847" s="5" t="str">
        <f>INDEX(customer[عنوان],MATCH(Main[[#This Row],[کد ردیابی]],customer[کد],0))</f>
        <v xml:space="preserve">جعفر هوشمند </v>
      </c>
      <c r="H847">
        <v>704</v>
      </c>
      <c r="I847" s="6">
        <f ca="1">-Main[[#This Row],[بدهی تسویه شده (کیلوگرم)]]+Main[[#This Row],[بستانکار (کیلوگرم)]]</f>
        <v>704</v>
      </c>
      <c r="J847" s="6">
        <f>IF(Main[[#This Row],[مقدار (کیلوگرم)]]&gt;0,Main[[#This Row],[مقدار (کیلوگرم)]],0)</f>
        <v>704</v>
      </c>
      <c r="K847" s="6">
        <f>-IF(Main[[#This Row],[مقدار (کیلوگرم)]]&lt;0,Main[[#This Row],[مقدار (کیلوگرم)]],0)</f>
        <v>0</v>
      </c>
      <c r="L8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7" s="7">
        <f>-IF(AND(Main[[#This Row],[مقدار (کیلوگرم)]]&lt;0,Main[[#This Row],[تاريخ میلادی]]&gt;44276),Main[[#This Row],[مقدار (کیلوگرم)]],0)</f>
        <v>0</v>
      </c>
      <c r="N847" s="6">
        <f ca="1">Main[[#This Row],[بدهکار (کیلوگرم)]]-Main[[#This Row],[بدهی تسویه نشده (کیلوگرم)]]</f>
        <v>0</v>
      </c>
      <c r="O847" s="6">
        <f ca="1">Main[[#This Row],[تفکیک]]</f>
        <v>0</v>
      </c>
      <c r="P847" s="6">
        <f ca="1">IF(Main[[#This Row],[تاخیر از سررسید]]&gt;0,Main[[#This Row],[بدهی تسویه نشده (کیلوگرم)]],0)</f>
        <v>0</v>
      </c>
      <c r="Q847" s="6">
        <f ca="1">IF(Main[[#This Row],[بدهی تسویه نشده (کیلوگرم)]]&gt;0,'گزارش فردی'!$B$7-Main[[#This Row],[تاريخ میلادی]],0)</f>
        <v>0</v>
      </c>
      <c r="R847" s="6">
        <f ca="1">IF(Main[[#This Row],[بدهی تسویه نشده (کیلوگرم)]]&gt;0,'گزارش فردی'!$B$7-Main[[#This Row],[تاريخ میلادی]]-'گزارش فردی'!$B$8,0)</f>
        <v>0</v>
      </c>
      <c r="S847" s="6">
        <f ca="1">Main[[#This Row],[روز از ارسال سفارش]]*Main[[#This Row],[بدهی تسویه نشده (کیلوگرم)]]</f>
        <v>0</v>
      </c>
      <c r="T847" s="6">
        <f ca="1">Main[[#This Row],[بدهی سررسید شده (کیلوگرم)]]*Main[[#This Row],[روز از ارسال سفارش]]</f>
        <v>0</v>
      </c>
      <c r="U847" s="6">
        <f>-SUBTOTAL(9,INDEX(Main[مقدار (کیلوگرم)],1):Main[[#This Row],[مقدار (کیلوگرم)]])</f>
        <v>29837</v>
      </c>
      <c r="V8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7" s="6">
        <f>Main[[#This Row],[تعداد کل روزهای بدهکار (روز)]]*Main[[#This Row],[مانده در خط کل (کیلوگرم)]]</f>
        <v>59674</v>
      </c>
      <c r="X847" s="6">
        <f ca="1">-SUBTOTAL(9,INDEX(Main[مقدار تسویه شده (کیلوگرم)],1):Main[[#This Row],[مقدار تسویه شده (کیلوگرم)]])</f>
        <v>29837</v>
      </c>
      <c r="Y847" s="6">
        <f ca="1">IF(Main[[#This Row],[مانده در خط تسویه شده (کیلوگرم)]]&lt;&gt;0,Main[[#This Row],[تعداد کل روزهای بدهکار (روز)]],0)</f>
        <v>2</v>
      </c>
      <c r="Z847" s="6">
        <f ca="1">Main[[#This Row],[تعداد روزهای بدهکار تسویه شده (روز)]]*Main[[#This Row],[مانده در خط تسویه شده (کیلوگرم)]]</f>
        <v>59674</v>
      </c>
      <c r="AA847" s="6">
        <f ca="1">SUBTOTAL(9,INDEX(Main[بدهی تسویه نشده (کیلوگرم)],1):Main[[#This Row],[بدهی تسویه نشده (کیلوگرم)]])</f>
        <v>0</v>
      </c>
      <c r="AB847" s="6">
        <f ca="1">IF(Main[[#This Row],[مانده در خط تسویه نشده (کیلوگرم)]]&lt;&gt;0,Main[[#This Row],[تعداد کل روزهای بدهکار (روز)]],0)</f>
        <v>0</v>
      </c>
      <c r="AC847" s="6">
        <f ca="1">Main[[#This Row],[تعداد روزهای بدهکار  تسویه نشده (روز)]]*Main[[#This Row],[مانده در خط تسویه نشده (کیلوگرم)]]</f>
        <v>0</v>
      </c>
      <c r="AD847" s="6">
        <f ca="1">SUBTOTAL(9,INDEX(Main[بدهی سررسید شده (کیلوگرم)],1):Main[[#This Row],[بدهی سررسید شده (کیلوگرم)]])</f>
        <v>0</v>
      </c>
      <c r="AE847" s="6">
        <f ca="1">IF(Main[[#This Row],[مانده در خط سررسید شده (کیلوگرم)]]&lt;&gt;0,Main[[#This Row],[تعداد کل روزهای بدهکار (روز)]],0)</f>
        <v>0</v>
      </c>
      <c r="AF847" s="6">
        <f ca="1">Main[[#This Row],[تعداد روزهای بدهکار سررسید شده (روز)]]*Main[[#This Row],[مانده در خط سررسید شده (کیلوگرم)]]</f>
        <v>0</v>
      </c>
    </row>
    <row r="848" spans="1:32" hidden="1" x14ac:dyDescent="0.35">
      <c r="A848" s="5">
        <f>ROW()-ROW(INDEX(Main[ردیف],1))+1</f>
        <v>846</v>
      </c>
      <c r="B848" s="31">
        <f>SUBTOTAL(2,INDEX(Main[ردیف],1):Main[[#This Row],[ردیف]])</f>
        <v>80</v>
      </c>
      <c r="C848" s="32" t="s">
        <v>595</v>
      </c>
      <c r="D848" s="32" t="str">
        <f>_xlfn.CONCAT("14",Main[[#This Row],[تاريخ]])</f>
        <v>1400/03/30</v>
      </c>
      <c r="E848" s="33">
        <v>44367</v>
      </c>
      <c r="F848" s="32">
        <v>10055</v>
      </c>
      <c r="G848" s="5" t="str">
        <f>INDEX(customer[عنوان],MATCH(Main[[#This Row],[کد ردیابی]],customer[کد],0))</f>
        <v xml:space="preserve">مریم فیض آبادی  </v>
      </c>
      <c r="H848">
        <v>-4900</v>
      </c>
      <c r="I848" s="6">
        <f ca="1">-Main[[#This Row],[بدهی تسویه شده (کیلوگرم)]]+Main[[#This Row],[بستانکار (کیلوگرم)]]</f>
        <v>-4900</v>
      </c>
      <c r="J848" s="6">
        <f>IF(Main[[#This Row],[مقدار (کیلوگرم)]]&gt;0,Main[[#This Row],[مقدار (کیلوگرم)]],0)</f>
        <v>0</v>
      </c>
      <c r="K848" s="6">
        <f>-IF(Main[[#This Row],[مقدار (کیلوگرم)]]&lt;0,Main[[#This Row],[مقدار (کیلوگرم)]],0)</f>
        <v>4900</v>
      </c>
      <c r="L8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8" s="7">
        <f>-IF(AND(Main[[#This Row],[مقدار (کیلوگرم)]]&lt;0,Main[[#This Row],[تاريخ میلادی]]&gt;44276),Main[[#This Row],[مقدار (کیلوگرم)]],0)</f>
        <v>4900</v>
      </c>
      <c r="N848" s="6">
        <f ca="1">Main[[#This Row],[بدهکار (کیلوگرم)]]-Main[[#This Row],[بدهی تسویه نشده (کیلوگرم)]]</f>
        <v>4900</v>
      </c>
      <c r="O848" s="6">
        <f ca="1">Main[[#This Row],[تفکیک]]</f>
        <v>0</v>
      </c>
      <c r="P848" s="6">
        <f ca="1">IF(Main[[#This Row],[تاخیر از سررسید]]&gt;0,Main[[#This Row],[بدهی تسویه نشده (کیلوگرم)]],0)</f>
        <v>0</v>
      </c>
      <c r="Q848" s="6">
        <f ca="1">IF(Main[[#This Row],[بدهی تسویه نشده (کیلوگرم)]]&gt;0,'گزارش فردی'!$B$7-Main[[#This Row],[تاريخ میلادی]],0)</f>
        <v>0</v>
      </c>
      <c r="R848" s="6">
        <f ca="1">IF(Main[[#This Row],[بدهی تسویه نشده (کیلوگرم)]]&gt;0,'گزارش فردی'!$B$7-Main[[#This Row],[تاريخ میلادی]]-'گزارش فردی'!$B$8,0)</f>
        <v>0</v>
      </c>
      <c r="S848" s="6">
        <f ca="1">Main[[#This Row],[روز از ارسال سفارش]]*Main[[#This Row],[بدهی تسویه نشده (کیلوگرم)]]</f>
        <v>0</v>
      </c>
      <c r="T848" s="6">
        <f ca="1">Main[[#This Row],[بدهی سررسید شده (کیلوگرم)]]*Main[[#This Row],[روز از ارسال سفارش]]</f>
        <v>0</v>
      </c>
      <c r="U848" s="6">
        <f>-SUBTOTAL(9,INDEX(Main[مقدار (کیلوگرم)],1):Main[[#This Row],[مقدار (کیلوگرم)]])</f>
        <v>29837</v>
      </c>
      <c r="V8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8" s="6">
        <f>Main[[#This Row],[تعداد کل روزهای بدهکار (روز)]]*Main[[#This Row],[مانده در خط کل (کیلوگرم)]]</f>
        <v>59674</v>
      </c>
      <c r="X848" s="6">
        <f ca="1">-SUBTOTAL(9,INDEX(Main[مقدار تسویه شده (کیلوگرم)],1):Main[[#This Row],[مقدار تسویه شده (کیلوگرم)]])</f>
        <v>29837</v>
      </c>
      <c r="Y848" s="6">
        <f ca="1">IF(Main[[#This Row],[مانده در خط تسویه شده (کیلوگرم)]]&lt;&gt;0,Main[[#This Row],[تعداد کل روزهای بدهکار (روز)]],0)</f>
        <v>2</v>
      </c>
      <c r="Z848" s="6">
        <f ca="1">Main[[#This Row],[تعداد روزهای بدهکار تسویه شده (روز)]]*Main[[#This Row],[مانده در خط تسویه شده (کیلوگرم)]]</f>
        <v>59674</v>
      </c>
      <c r="AA848" s="6">
        <f ca="1">SUBTOTAL(9,INDEX(Main[بدهی تسویه نشده (کیلوگرم)],1):Main[[#This Row],[بدهی تسویه نشده (کیلوگرم)]])</f>
        <v>0</v>
      </c>
      <c r="AB848" s="6">
        <f ca="1">IF(Main[[#This Row],[مانده در خط تسویه نشده (کیلوگرم)]]&lt;&gt;0,Main[[#This Row],[تعداد کل روزهای بدهکار (روز)]],0)</f>
        <v>0</v>
      </c>
      <c r="AC848" s="6">
        <f ca="1">Main[[#This Row],[تعداد روزهای بدهکار  تسویه نشده (روز)]]*Main[[#This Row],[مانده در خط تسویه نشده (کیلوگرم)]]</f>
        <v>0</v>
      </c>
      <c r="AD848" s="6">
        <f ca="1">SUBTOTAL(9,INDEX(Main[بدهی سررسید شده (کیلوگرم)],1):Main[[#This Row],[بدهی سررسید شده (کیلوگرم)]])</f>
        <v>0</v>
      </c>
      <c r="AE848" s="6">
        <f ca="1">IF(Main[[#This Row],[مانده در خط سررسید شده (کیلوگرم)]]&lt;&gt;0,Main[[#This Row],[تعداد کل روزهای بدهکار (روز)]],0)</f>
        <v>0</v>
      </c>
      <c r="AF848" s="6">
        <f ca="1">Main[[#This Row],[تعداد روزهای بدهکار سررسید شده (روز)]]*Main[[#This Row],[مانده در خط سررسید شده (کیلوگرم)]]</f>
        <v>0</v>
      </c>
    </row>
    <row r="849" spans="1:32" hidden="1" x14ac:dyDescent="0.35">
      <c r="A849" s="5">
        <f>ROW()-ROW(INDEX(Main[ردیف],1))+1</f>
        <v>847</v>
      </c>
      <c r="B849" s="31">
        <f>SUBTOTAL(2,INDEX(Main[ردیف],1):Main[[#This Row],[ردیف]])</f>
        <v>80</v>
      </c>
      <c r="C849" s="32" t="s">
        <v>595</v>
      </c>
      <c r="D849" s="32" t="str">
        <f>_xlfn.CONCAT("14",Main[[#This Row],[تاريخ]])</f>
        <v>1400/03/30</v>
      </c>
      <c r="E849" s="33">
        <v>44367</v>
      </c>
      <c r="F849" s="32">
        <v>30004</v>
      </c>
      <c r="G849" s="5" t="str">
        <f>INDEX(customer[عنوان],MATCH(Main[[#This Row],[کد ردیابی]],customer[کد],0))</f>
        <v>تولیدی صنعتی صفاشیر پارس</v>
      </c>
      <c r="H849">
        <v>1691</v>
      </c>
      <c r="I849" s="6">
        <f ca="1">-Main[[#This Row],[بدهی تسویه شده (کیلوگرم)]]+Main[[#This Row],[بستانکار (کیلوگرم)]]</f>
        <v>1691</v>
      </c>
      <c r="J849" s="6">
        <f>IF(Main[[#This Row],[مقدار (کیلوگرم)]]&gt;0,Main[[#This Row],[مقدار (کیلوگرم)]],0)</f>
        <v>1691</v>
      </c>
      <c r="K849" s="6">
        <f>-IF(Main[[#This Row],[مقدار (کیلوگرم)]]&lt;0,Main[[#This Row],[مقدار (کیلوگرم)]],0)</f>
        <v>0</v>
      </c>
      <c r="L8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9" s="7">
        <f>-IF(AND(Main[[#This Row],[مقدار (کیلوگرم)]]&lt;0,Main[[#This Row],[تاريخ میلادی]]&gt;44276),Main[[#This Row],[مقدار (کیلوگرم)]],0)</f>
        <v>0</v>
      </c>
      <c r="N849" s="6">
        <f ca="1">Main[[#This Row],[بدهکار (کیلوگرم)]]-Main[[#This Row],[بدهی تسویه نشده (کیلوگرم)]]</f>
        <v>0</v>
      </c>
      <c r="O849" s="6">
        <f ca="1">Main[[#This Row],[تفکیک]]</f>
        <v>0</v>
      </c>
      <c r="P849" s="6">
        <f ca="1">IF(Main[[#This Row],[تاخیر از سررسید]]&gt;0,Main[[#This Row],[بدهی تسویه نشده (کیلوگرم)]],0)</f>
        <v>0</v>
      </c>
      <c r="Q849" s="6">
        <f ca="1">IF(Main[[#This Row],[بدهی تسویه نشده (کیلوگرم)]]&gt;0,'گزارش فردی'!$B$7-Main[[#This Row],[تاريخ میلادی]],0)</f>
        <v>0</v>
      </c>
      <c r="R849" s="6">
        <f ca="1">IF(Main[[#This Row],[بدهی تسویه نشده (کیلوگرم)]]&gt;0,'گزارش فردی'!$B$7-Main[[#This Row],[تاريخ میلادی]]-'گزارش فردی'!$B$8,0)</f>
        <v>0</v>
      </c>
      <c r="S849" s="6">
        <f ca="1">Main[[#This Row],[روز از ارسال سفارش]]*Main[[#This Row],[بدهی تسویه نشده (کیلوگرم)]]</f>
        <v>0</v>
      </c>
      <c r="T849" s="6">
        <f ca="1">Main[[#This Row],[بدهی سررسید شده (کیلوگرم)]]*Main[[#This Row],[روز از ارسال سفارش]]</f>
        <v>0</v>
      </c>
      <c r="U849" s="6">
        <f>-SUBTOTAL(9,INDEX(Main[مقدار (کیلوگرم)],1):Main[[#This Row],[مقدار (کیلوگرم)]])</f>
        <v>29837</v>
      </c>
      <c r="V8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9" s="6">
        <f>Main[[#This Row],[تعداد کل روزهای بدهکار (روز)]]*Main[[#This Row],[مانده در خط کل (کیلوگرم)]]</f>
        <v>59674</v>
      </c>
      <c r="X849" s="6">
        <f ca="1">-SUBTOTAL(9,INDEX(Main[مقدار تسویه شده (کیلوگرم)],1):Main[[#This Row],[مقدار تسویه شده (کیلوگرم)]])</f>
        <v>29837</v>
      </c>
      <c r="Y849" s="6">
        <f ca="1">IF(Main[[#This Row],[مانده در خط تسویه شده (کیلوگرم)]]&lt;&gt;0,Main[[#This Row],[تعداد کل روزهای بدهکار (روز)]],0)</f>
        <v>2</v>
      </c>
      <c r="Z849" s="6">
        <f ca="1">Main[[#This Row],[تعداد روزهای بدهکار تسویه شده (روز)]]*Main[[#This Row],[مانده در خط تسویه شده (کیلوگرم)]]</f>
        <v>59674</v>
      </c>
      <c r="AA849" s="6">
        <f ca="1">SUBTOTAL(9,INDEX(Main[بدهی تسویه نشده (کیلوگرم)],1):Main[[#This Row],[بدهی تسویه نشده (کیلوگرم)]])</f>
        <v>0</v>
      </c>
      <c r="AB849" s="6">
        <f ca="1">IF(Main[[#This Row],[مانده در خط تسویه نشده (کیلوگرم)]]&lt;&gt;0,Main[[#This Row],[تعداد کل روزهای بدهکار (روز)]],0)</f>
        <v>0</v>
      </c>
      <c r="AC849" s="6">
        <f ca="1">Main[[#This Row],[تعداد روزهای بدهکار  تسویه نشده (روز)]]*Main[[#This Row],[مانده در خط تسویه نشده (کیلوگرم)]]</f>
        <v>0</v>
      </c>
      <c r="AD849" s="6">
        <f ca="1">SUBTOTAL(9,INDEX(Main[بدهی سررسید شده (کیلوگرم)],1):Main[[#This Row],[بدهی سررسید شده (کیلوگرم)]])</f>
        <v>0</v>
      </c>
      <c r="AE849" s="6">
        <f ca="1">IF(Main[[#This Row],[مانده در خط سررسید شده (کیلوگرم)]]&lt;&gt;0,Main[[#This Row],[تعداد کل روزهای بدهکار (روز)]],0)</f>
        <v>0</v>
      </c>
      <c r="AF849" s="6">
        <f ca="1">Main[[#This Row],[تعداد روزهای بدهکار سررسید شده (روز)]]*Main[[#This Row],[مانده در خط سررسید شده (کیلوگرم)]]</f>
        <v>0</v>
      </c>
    </row>
    <row r="850" spans="1:32" hidden="1" x14ac:dyDescent="0.35">
      <c r="A850" s="5">
        <f>ROW()-ROW(INDEX(Main[ردیف],1))+1</f>
        <v>848</v>
      </c>
      <c r="B850" s="31">
        <f>SUBTOTAL(2,INDEX(Main[ردیف],1):Main[[#This Row],[ردیف]])</f>
        <v>80</v>
      </c>
      <c r="C850" s="32" t="s">
        <v>595</v>
      </c>
      <c r="D850" s="32" t="str">
        <f>_xlfn.CONCAT("14",Main[[#This Row],[تاريخ]])</f>
        <v>1400/03/30</v>
      </c>
      <c r="E850" s="33">
        <v>44367</v>
      </c>
      <c r="F850" s="32">
        <v>30009</v>
      </c>
      <c r="G850" s="5" t="str">
        <f>INDEX(customer[عنوان],MATCH(Main[[#This Row],[کد ردیابی]],customer[کد],0))</f>
        <v>شرکت ایمن تک پیشرو</v>
      </c>
      <c r="H850">
        <v>2178</v>
      </c>
      <c r="I850" s="6">
        <f ca="1">-Main[[#This Row],[بدهی تسویه شده (کیلوگرم)]]+Main[[#This Row],[بستانکار (کیلوگرم)]]</f>
        <v>2178</v>
      </c>
      <c r="J850" s="6">
        <f>IF(Main[[#This Row],[مقدار (کیلوگرم)]]&gt;0,Main[[#This Row],[مقدار (کیلوگرم)]],0)</f>
        <v>2178</v>
      </c>
      <c r="K850" s="6">
        <f>-IF(Main[[#This Row],[مقدار (کیلوگرم)]]&lt;0,Main[[#This Row],[مقدار (کیلوگرم)]],0)</f>
        <v>0</v>
      </c>
      <c r="L8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0" s="7">
        <f>-IF(AND(Main[[#This Row],[مقدار (کیلوگرم)]]&lt;0,Main[[#This Row],[تاريخ میلادی]]&gt;44276),Main[[#This Row],[مقدار (کیلوگرم)]],0)</f>
        <v>0</v>
      </c>
      <c r="N850" s="6">
        <f ca="1">Main[[#This Row],[بدهکار (کیلوگرم)]]-Main[[#This Row],[بدهی تسویه نشده (کیلوگرم)]]</f>
        <v>0</v>
      </c>
      <c r="O850" s="6">
        <f ca="1">Main[[#This Row],[تفکیک]]</f>
        <v>0</v>
      </c>
      <c r="P850" s="6">
        <f ca="1">IF(Main[[#This Row],[تاخیر از سررسید]]&gt;0,Main[[#This Row],[بدهی تسویه نشده (کیلوگرم)]],0)</f>
        <v>0</v>
      </c>
      <c r="Q850" s="6">
        <f ca="1">IF(Main[[#This Row],[بدهی تسویه نشده (کیلوگرم)]]&gt;0,'گزارش فردی'!$B$7-Main[[#This Row],[تاريخ میلادی]],0)</f>
        <v>0</v>
      </c>
      <c r="R850" s="6">
        <f ca="1">IF(Main[[#This Row],[بدهی تسویه نشده (کیلوگرم)]]&gt;0,'گزارش فردی'!$B$7-Main[[#This Row],[تاريخ میلادی]]-'گزارش فردی'!$B$8,0)</f>
        <v>0</v>
      </c>
      <c r="S850" s="6">
        <f ca="1">Main[[#This Row],[روز از ارسال سفارش]]*Main[[#This Row],[بدهی تسویه نشده (کیلوگرم)]]</f>
        <v>0</v>
      </c>
      <c r="T850" s="6">
        <f ca="1">Main[[#This Row],[بدهی سررسید شده (کیلوگرم)]]*Main[[#This Row],[روز از ارسال سفارش]]</f>
        <v>0</v>
      </c>
      <c r="U850" s="6">
        <f>-SUBTOTAL(9,INDEX(Main[مقدار (کیلوگرم)],1):Main[[#This Row],[مقدار (کیلوگرم)]])</f>
        <v>29837</v>
      </c>
      <c r="V8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50" s="6">
        <f>Main[[#This Row],[تعداد کل روزهای بدهکار (روز)]]*Main[[#This Row],[مانده در خط کل (کیلوگرم)]]</f>
        <v>59674</v>
      </c>
      <c r="X850" s="6">
        <f ca="1">-SUBTOTAL(9,INDEX(Main[مقدار تسویه شده (کیلوگرم)],1):Main[[#This Row],[مقدار تسویه شده (کیلوگرم)]])</f>
        <v>29837</v>
      </c>
      <c r="Y850" s="6">
        <f ca="1">IF(Main[[#This Row],[مانده در خط تسویه شده (کیلوگرم)]]&lt;&gt;0,Main[[#This Row],[تعداد کل روزهای بدهکار (روز)]],0)</f>
        <v>2</v>
      </c>
      <c r="Z850" s="6">
        <f ca="1">Main[[#This Row],[تعداد روزهای بدهکار تسویه شده (روز)]]*Main[[#This Row],[مانده در خط تسویه شده (کیلوگرم)]]</f>
        <v>59674</v>
      </c>
      <c r="AA850" s="6">
        <f ca="1">SUBTOTAL(9,INDEX(Main[بدهی تسویه نشده (کیلوگرم)],1):Main[[#This Row],[بدهی تسویه نشده (کیلوگرم)]])</f>
        <v>0</v>
      </c>
      <c r="AB850" s="6">
        <f ca="1">IF(Main[[#This Row],[مانده در خط تسویه نشده (کیلوگرم)]]&lt;&gt;0,Main[[#This Row],[تعداد کل روزهای بدهکار (روز)]],0)</f>
        <v>0</v>
      </c>
      <c r="AC850" s="6">
        <f ca="1">Main[[#This Row],[تعداد روزهای بدهکار  تسویه نشده (روز)]]*Main[[#This Row],[مانده در خط تسویه نشده (کیلوگرم)]]</f>
        <v>0</v>
      </c>
      <c r="AD850" s="6">
        <f ca="1">SUBTOTAL(9,INDEX(Main[بدهی سررسید شده (کیلوگرم)],1):Main[[#This Row],[بدهی سررسید شده (کیلوگرم)]])</f>
        <v>0</v>
      </c>
      <c r="AE850" s="6">
        <f ca="1">IF(Main[[#This Row],[مانده در خط سررسید شده (کیلوگرم)]]&lt;&gt;0,Main[[#This Row],[تعداد کل روزهای بدهکار (روز)]],0)</f>
        <v>0</v>
      </c>
      <c r="AF850" s="6">
        <f ca="1">Main[[#This Row],[تعداد روزهای بدهکار سررسید شده (روز)]]*Main[[#This Row],[مانده در خط سررسید شده (کیلوگرم)]]</f>
        <v>0</v>
      </c>
    </row>
    <row r="851" spans="1:32" hidden="1" x14ac:dyDescent="0.35">
      <c r="A851" s="5">
        <f>ROW()-ROW(INDEX(Main[ردیف],1))+1</f>
        <v>849</v>
      </c>
      <c r="B851" s="31">
        <f>SUBTOTAL(2,INDEX(Main[ردیف],1):Main[[#This Row],[ردیف]])</f>
        <v>80</v>
      </c>
      <c r="C851" s="32" t="s">
        <v>596</v>
      </c>
      <c r="D851" s="32" t="str">
        <f>_xlfn.CONCAT("14",Main[[#This Row],[تاريخ]])</f>
        <v>1400/03/31</v>
      </c>
      <c r="E851" s="33">
        <v>44368</v>
      </c>
      <c r="F851" s="32">
        <v>30058</v>
      </c>
      <c r="G851" s="5" t="str">
        <f>INDEX(customer[عنوان],MATCH(Main[[#This Row],[کد ردیابی]],customer[کد],0))</f>
        <v xml:space="preserve">پارس شیر </v>
      </c>
      <c r="H851">
        <v>-4960</v>
      </c>
      <c r="I851" s="6">
        <f ca="1">-Main[[#This Row],[بدهی تسویه شده (کیلوگرم)]]+Main[[#This Row],[بستانکار (کیلوگرم)]]</f>
        <v>-4960</v>
      </c>
      <c r="J851" s="6">
        <f>IF(Main[[#This Row],[مقدار (کیلوگرم)]]&gt;0,Main[[#This Row],[مقدار (کیلوگرم)]],0)</f>
        <v>0</v>
      </c>
      <c r="K851" s="6">
        <f>-IF(Main[[#This Row],[مقدار (کیلوگرم)]]&lt;0,Main[[#This Row],[مقدار (کیلوگرم)]],0)</f>
        <v>4960</v>
      </c>
      <c r="L8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1" s="7">
        <f>-IF(AND(Main[[#This Row],[مقدار (کیلوگرم)]]&lt;0,Main[[#This Row],[تاريخ میلادی]]&gt;44276),Main[[#This Row],[مقدار (کیلوگرم)]],0)</f>
        <v>4960</v>
      </c>
      <c r="N851" s="6">
        <f ca="1">Main[[#This Row],[بدهکار (کیلوگرم)]]-Main[[#This Row],[بدهی تسویه نشده (کیلوگرم)]]</f>
        <v>4960</v>
      </c>
      <c r="O851" s="6">
        <f ca="1">Main[[#This Row],[تفکیک]]</f>
        <v>0</v>
      </c>
      <c r="P851" s="6">
        <f ca="1">IF(Main[[#This Row],[تاخیر از سررسید]]&gt;0,Main[[#This Row],[بدهی تسویه نشده (کیلوگرم)]],0)</f>
        <v>0</v>
      </c>
      <c r="Q851" s="6">
        <f ca="1">IF(Main[[#This Row],[بدهی تسویه نشده (کیلوگرم)]]&gt;0,'گزارش فردی'!$B$7-Main[[#This Row],[تاريخ میلادی]],0)</f>
        <v>0</v>
      </c>
      <c r="R851" s="6">
        <f ca="1">IF(Main[[#This Row],[بدهی تسویه نشده (کیلوگرم)]]&gt;0,'گزارش فردی'!$B$7-Main[[#This Row],[تاريخ میلادی]]-'گزارش فردی'!$B$8,0)</f>
        <v>0</v>
      </c>
      <c r="S851" s="6">
        <f ca="1">Main[[#This Row],[روز از ارسال سفارش]]*Main[[#This Row],[بدهی تسویه نشده (کیلوگرم)]]</f>
        <v>0</v>
      </c>
      <c r="T851" s="6">
        <f ca="1">Main[[#This Row],[بدهی سررسید شده (کیلوگرم)]]*Main[[#This Row],[روز از ارسال سفارش]]</f>
        <v>0</v>
      </c>
      <c r="U851" s="6">
        <f>-SUBTOTAL(9,INDEX(Main[مقدار (کیلوگرم)],1):Main[[#This Row],[مقدار (کیلوگرم)]])</f>
        <v>29837</v>
      </c>
      <c r="V8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1" s="6">
        <f>Main[[#This Row],[تعداد کل روزهای بدهکار (روز)]]*Main[[#This Row],[مانده در خط کل (کیلوگرم)]]</f>
        <v>29837</v>
      </c>
      <c r="X851" s="6">
        <f ca="1">-SUBTOTAL(9,INDEX(Main[مقدار تسویه شده (کیلوگرم)],1):Main[[#This Row],[مقدار تسویه شده (کیلوگرم)]])</f>
        <v>29837</v>
      </c>
      <c r="Y851" s="6">
        <f ca="1">IF(Main[[#This Row],[مانده در خط تسویه شده (کیلوگرم)]]&lt;&gt;0,Main[[#This Row],[تعداد کل روزهای بدهکار (روز)]],0)</f>
        <v>1</v>
      </c>
      <c r="Z851" s="6">
        <f ca="1">Main[[#This Row],[تعداد روزهای بدهکار تسویه شده (روز)]]*Main[[#This Row],[مانده در خط تسویه شده (کیلوگرم)]]</f>
        <v>29837</v>
      </c>
      <c r="AA851" s="6">
        <f ca="1">SUBTOTAL(9,INDEX(Main[بدهی تسویه نشده (کیلوگرم)],1):Main[[#This Row],[بدهی تسویه نشده (کیلوگرم)]])</f>
        <v>0</v>
      </c>
      <c r="AB851" s="6">
        <f ca="1">IF(Main[[#This Row],[مانده در خط تسویه نشده (کیلوگرم)]]&lt;&gt;0,Main[[#This Row],[تعداد کل روزهای بدهکار (روز)]],0)</f>
        <v>0</v>
      </c>
      <c r="AC851" s="6">
        <f ca="1">Main[[#This Row],[تعداد روزهای بدهکار  تسویه نشده (روز)]]*Main[[#This Row],[مانده در خط تسویه نشده (کیلوگرم)]]</f>
        <v>0</v>
      </c>
      <c r="AD851" s="6">
        <f ca="1">SUBTOTAL(9,INDEX(Main[بدهی سررسید شده (کیلوگرم)],1):Main[[#This Row],[بدهی سررسید شده (کیلوگرم)]])</f>
        <v>0</v>
      </c>
      <c r="AE851" s="6">
        <f ca="1">IF(Main[[#This Row],[مانده در خط سررسید شده (کیلوگرم)]]&lt;&gt;0,Main[[#This Row],[تعداد کل روزهای بدهکار (روز)]],0)</f>
        <v>0</v>
      </c>
      <c r="AF851" s="6">
        <f ca="1">Main[[#This Row],[تعداد روزهای بدهکار سررسید شده (روز)]]*Main[[#This Row],[مانده در خط سررسید شده (کیلوگرم)]]</f>
        <v>0</v>
      </c>
    </row>
    <row r="852" spans="1:32" hidden="1" x14ac:dyDescent="0.35">
      <c r="A852" s="5">
        <f>ROW()-ROW(INDEX(Main[ردیف],1))+1</f>
        <v>850</v>
      </c>
      <c r="B852" s="31">
        <f>SUBTOTAL(2,INDEX(Main[ردیف],1):Main[[#This Row],[ردیف]])</f>
        <v>80</v>
      </c>
      <c r="C852" s="32" t="s">
        <v>596</v>
      </c>
      <c r="D852" s="32" t="str">
        <f>_xlfn.CONCAT("14",Main[[#This Row],[تاريخ]])</f>
        <v>1400/03/31</v>
      </c>
      <c r="E852" s="33">
        <v>44368</v>
      </c>
      <c r="F852" s="32">
        <v>30009</v>
      </c>
      <c r="G852" s="5" t="str">
        <f>INDEX(customer[عنوان],MATCH(Main[[#This Row],[کد ردیابی]],customer[کد],0))</f>
        <v>شرکت ایمن تک پیشرو</v>
      </c>
      <c r="H852">
        <v>1372</v>
      </c>
      <c r="I852" s="6">
        <f ca="1">-Main[[#This Row],[بدهی تسویه شده (کیلوگرم)]]+Main[[#This Row],[بستانکار (کیلوگرم)]]</f>
        <v>1372</v>
      </c>
      <c r="J852" s="6">
        <f>IF(Main[[#This Row],[مقدار (کیلوگرم)]]&gt;0,Main[[#This Row],[مقدار (کیلوگرم)]],0)</f>
        <v>1372</v>
      </c>
      <c r="K852" s="6">
        <f>-IF(Main[[#This Row],[مقدار (کیلوگرم)]]&lt;0,Main[[#This Row],[مقدار (کیلوگرم)]],0)</f>
        <v>0</v>
      </c>
      <c r="L8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2" s="7">
        <f>-IF(AND(Main[[#This Row],[مقدار (کیلوگرم)]]&lt;0,Main[[#This Row],[تاريخ میلادی]]&gt;44276),Main[[#This Row],[مقدار (کیلوگرم)]],0)</f>
        <v>0</v>
      </c>
      <c r="N852" s="6">
        <f ca="1">Main[[#This Row],[بدهکار (کیلوگرم)]]-Main[[#This Row],[بدهی تسویه نشده (کیلوگرم)]]</f>
        <v>0</v>
      </c>
      <c r="O852" s="6">
        <f ca="1">Main[[#This Row],[تفکیک]]</f>
        <v>0</v>
      </c>
      <c r="P852" s="6">
        <f ca="1">IF(Main[[#This Row],[تاخیر از سررسید]]&gt;0,Main[[#This Row],[بدهی تسویه نشده (کیلوگرم)]],0)</f>
        <v>0</v>
      </c>
      <c r="Q852" s="6">
        <f ca="1">IF(Main[[#This Row],[بدهی تسویه نشده (کیلوگرم)]]&gt;0,'گزارش فردی'!$B$7-Main[[#This Row],[تاريخ میلادی]],0)</f>
        <v>0</v>
      </c>
      <c r="R852" s="6">
        <f ca="1">IF(Main[[#This Row],[بدهی تسویه نشده (کیلوگرم)]]&gt;0,'گزارش فردی'!$B$7-Main[[#This Row],[تاريخ میلادی]]-'گزارش فردی'!$B$8,0)</f>
        <v>0</v>
      </c>
      <c r="S852" s="6">
        <f ca="1">Main[[#This Row],[روز از ارسال سفارش]]*Main[[#This Row],[بدهی تسویه نشده (کیلوگرم)]]</f>
        <v>0</v>
      </c>
      <c r="T852" s="6">
        <f ca="1">Main[[#This Row],[بدهی سررسید شده (کیلوگرم)]]*Main[[#This Row],[روز از ارسال سفارش]]</f>
        <v>0</v>
      </c>
      <c r="U852" s="6">
        <f>-SUBTOTAL(9,INDEX(Main[مقدار (کیلوگرم)],1):Main[[#This Row],[مقدار (کیلوگرم)]])</f>
        <v>29837</v>
      </c>
      <c r="V8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2" s="6">
        <f>Main[[#This Row],[تعداد کل روزهای بدهکار (روز)]]*Main[[#This Row],[مانده در خط کل (کیلوگرم)]]</f>
        <v>29837</v>
      </c>
      <c r="X852" s="6">
        <f ca="1">-SUBTOTAL(9,INDEX(Main[مقدار تسویه شده (کیلوگرم)],1):Main[[#This Row],[مقدار تسویه شده (کیلوگرم)]])</f>
        <v>29837</v>
      </c>
      <c r="Y852" s="6">
        <f ca="1">IF(Main[[#This Row],[مانده در خط تسویه شده (کیلوگرم)]]&lt;&gt;0,Main[[#This Row],[تعداد کل روزهای بدهکار (روز)]],0)</f>
        <v>1</v>
      </c>
      <c r="Z852" s="6">
        <f ca="1">Main[[#This Row],[تعداد روزهای بدهکار تسویه شده (روز)]]*Main[[#This Row],[مانده در خط تسویه شده (کیلوگرم)]]</f>
        <v>29837</v>
      </c>
      <c r="AA852" s="6">
        <f ca="1">SUBTOTAL(9,INDEX(Main[بدهی تسویه نشده (کیلوگرم)],1):Main[[#This Row],[بدهی تسویه نشده (کیلوگرم)]])</f>
        <v>0</v>
      </c>
      <c r="AB852" s="6">
        <f ca="1">IF(Main[[#This Row],[مانده در خط تسویه نشده (کیلوگرم)]]&lt;&gt;0,Main[[#This Row],[تعداد کل روزهای بدهکار (روز)]],0)</f>
        <v>0</v>
      </c>
      <c r="AC852" s="6">
        <f ca="1">Main[[#This Row],[تعداد روزهای بدهکار  تسویه نشده (روز)]]*Main[[#This Row],[مانده در خط تسویه نشده (کیلوگرم)]]</f>
        <v>0</v>
      </c>
      <c r="AD852" s="6">
        <f ca="1">SUBTOTAL(9,INDEX(Main[بدهی سررسید شده (کیلوگرم)],1):Main[[#This Row],[بدهی سررسید شده (کیلوگرم)]])</f>
        <v>0</v>
      </c>
      <c r="AE852" s="6">
        <f ca="1">IF(Main[[#This Row],[مانده در خط سررسید شده (کیلوگرم)]]&lt;&gt;0,Main[[#This Row],[تعداد کل روزهای بدهکار (روز)]],0)</f>
        <v>0</v>
      </c>
      <c r="AF852" s="6">
        <f ca="1">Main[[#This Row],[تعداد روزهای بدهکار سررسید شده (روز)]]*Main[[#This Row],[مانده در خط سررسید شده (کیلوگرم)]]</f>
        <v>0</v>
      </c>
    </row>
    <row r="853" spans="1:32" hidden="1" x14ac:dyDescent="0.35">
      <c r="A853" s="5">
        <f>ROW()-ROW(INDEX(Main[ردیف],1))+1</f>
        <v>851</v>
      </c>
      <c r="B853" s="31">
        <f>SUBTOTAL(2,INDEX(Main[ردیف],1):Main[[#This Row],[ردیف]])</f>
        <v>80</v>
      </c>
      <c r="C853" s="32" t="s">
        <v>596</v>
      </c>
      <c r="D853" s="32" t="str">
        <f>_xlfn.CONCAT("14",Main[[#This Row],[تاريخ]])</f>
        <v>1400/03/31</v>
      </c>
      <c r="E853" s="33">
        <v>44368</v>
      </c>
      <c r="F853" s="32">
        <v>30127</v>
      </c>
      <c r="G853" s="5" t="str">
        <f>INDEX(customer[عنوان],MATCH(Main[[#This Row],[کد ردیابی]],customer[کد],0))</f>
        <v>شیر گاز آذران</v>
      </c>
      <c r="H853">
        <v>-7092</v>
      </c>
      <c r="I853" s="6">
        <f ca="1">-Main[[#This Row],[بدهی تسویه شده (کیلوگرم)]]+Main[[#This Row],[بستانکار (کیلوگرم)]]</f>
        <v>-7092</v>
      </c>
      <c r="J853" s="6">
        <f>IF(Main[[#This Row],[مقدار (کیلوگرم)]]&gt;0,Main[[#This Row],[مقدار (کیلوگرم)]],0)</f>
        <v>0</v>
      </c>
      <c r="K853" s="6">
        <f>-IF(Main[[#This Row],[مقدار (کیلوگرم)]]&lt;0,Main[[#This Row],[مقدار (کیلوگرم)]],0)</f>
        <v>7092</v>
      </c>
      <c r="L8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3" s="7">
        <f>-IF(AND(Main[[#This Row],[مقدار (کیلوگرم)]]&lt;0,Main[[#This Row],[تاريخ میلادی]]&gt;44276),Main[[#This Row],[مقدار (کیلوگرم)]],0)</f>
        <v>7092</v>
      </c>
      <c r="N853" s="6">
        <f ca="1">Main[[#This Row],[بدهکار (کیلوگرم)]]-Main[[#This Row],[بدهی تسویه نشده (کیلوگرم)]]</f>
        <v>7092</v>
      </c>
      <c r="O853" s="6">
        <f ca="1">Main[[#This Row],[تفکیک]]</f>
        <v>0</v>
      </c>
      <c r="P853" s="6">
        <f ca="1">IF(Main[[#This Row],[تاخیر از سررسید]]&gt;0,Main[[#This Row],[بدهی تسویه نشده (کیلوگرم)]],0)</f>
        <v>0</v>
      </c>
      <c r="Q853" s="6">
        <f ca="1">IF(Main[[#This Row],[بدهی تسویه نشده (کیلوگرم)]]&gt;0,'گزارش فردی'!$B$7-Main[[#This Row],[تاريخ میلادی]],0)</f>
        <v>0</v>
      </c>
      <c r="R853" s="6">
        <f ca="1">IF(Main[[#This Row],[بدهی تسویه نشده (کیلوگرم)]]&gt;0,'گزارش فردی'!$B$7-Main[[#This Row],[تاريخ میلادی]]-'گزارش فردی'!$B$8,0)</f>
        <v>0</v>
      </c>
      <c r="S853" s="6">
        <f ca="1">Main[[#This Row],[روز از ارسال سفارش]]*Main[[#This Row],[بدهی تسویه نشده (کیلوگرم)]]</f>
        <v>0</v>
      </c>
      <c r="T853" s="6">
        <f ca="1">Main[[#This Row],[بدهی سررسید شده (کیلوگرم)]]*Main[[#This Row],[روز از ارسال سفارش]]</f>
        <v>0</v>
      </c>
      <c r="U853" s="6">
        <f>-SUBTOTAL(9,INDEX(Main[مقدار (کیلوگرم)],1):Main[[#This Row],[مقدار (کیلوگرم)]])</f>
        <v>29837</v>
      </c>
      <c r="V8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3" s="6">
        <f>Main[[#This Row],[تعداد کل روزهای بدهکار (روز)]]*Main[[#This Row],[مانده در خط کل (کیلوگرم)]]</f>
        <v>29837</v>
      </c>
      <c r="X853" s="6">
        <f ca="1">-SUBTOTAL(9,INDEX(Main[مقدار تسویه شده (کیلوگرم)],1):Main[[#This Row],[مقدار تسویه شده (کیلوگرم)]])</f>
        <v>29837</v>
      </c>
      <c r="Y853" s="6">
        <f ca="1">IF(Main[[#This Row],[مانده در خط تسویه شده (کیلوگرم)]]&lt;&gt;0,Main[[#This Row],[تعداد کل روزهای بدهکار (روز)]],0)</f>
        <v>1</v>
      </c>
      <c r="Z853" s="6">
        <f ca="1">Main[[#This Row],[تعداد روزهای بدهکار تسویه شده (روز)]]*Main[[#This Row],[مانده در خط تسویه شده (کیلوگرم)]]</f>
        <v>29837</v>
      </c>
      <c r="AA853" s="6">
        <f ca="1">SUBTOTAL(9,INDEX(Main[بدهی تسویه نشده (کیلوگرم)],1):Main[[#This Row],[بدهی تسویه نشده (کیلوگرم)]])</f>
        <v>0</v>
      </c>
      <c r="AB853" s="6">
        <f ca="1">IF(Main[[#This Row],[مانده در خط تسویه نشده (کیلوگرم)]]&lt;&gt;0,Main[[#This Row],[تعداد کل روزهای بدهکار (روز)]],0)</f>
        <v>0</v>
      </c>
      <c r="AC853" s="6">
        <f ca="1">Main[[#This Row],[تعداد روزهای بدهکار  تسویه نشده (روز)]]*Main[[#This Row],[مانده در خط تسویه نشده (کیلوگرم)]]</f>
        <v>0</v>
      </c>
      <c r="AD853" s="6">
        <f ca="1">SUBTOTAL(9,INDEX(Main[بدهی سررسید شده (کیلوگرم)],1):Main[[#This Row],[بدهی سررسید شده (کیلوگرم)]])</f>
        <v>0</v>
      </c>
      <c r="AE853" s="6">
        <f ca="1">IF(Main[[#This Row],[مانده در خط سررسید شده (کیلوگرم)]]&lt;&gt;0,Main[[#This Row],[تعداد کل روزهای بدهکار (روز)]],0)</f>
        <v>0</v>
      </c>
      <c r="AF853" s="6">
        <f ca="1">Main[[#This Row],[تعداد روزهای بدهکار سررسید شده (روز)]]*Main[[#This Row],[مانده در خط سررسید شده (کیلوگرم)]]</f>
        <v>0</v>
      </c>
    </row>
    <row r="854" spans="1:32" hidden="1" x14ac:dyDescent="0.35">
      <c r="A854" s="5">
        <f>ROW()-ROW(INDEX(Main[ردیف],1))+1</f>
        <v>852</v>
      </c>
      <c r="B854" s="31">
        <f>SUBTOTAL(2,INDEX(Main[ردیف],1):Main[[#This Row],[ردیف]])</f>
        <v>80</v>
      </c>
      <c r="C854" s="32" t="s">
        <v>596</v>
      </c>
      <c r="D854" s="32" t="str">
        <f>_xlfn.CONCAT("14",Main[[#This Row],[تاريخ]])</f>
        <v>1400/03/31</v>
      </c>
      <c r="E854" s="33">
        <v>44368</v>
      </c>
      <c r="F854" s="32">
        <v>30009</v>
      </c>
      <c r="G854" s="5" t="str">
        <f>INDEX(customer[عنوان],MATCH(Main[[#This Row],[کد ردیابی]],customer[کد],0))</f>
        <v>شرکت ایمن تک پیشرو</v>
      </c>
      <c r="H854">
        <v>874</v>
      </c>
      <c r="I854" s="6">
        <f ca="1">-Main[[#This Row],[بدهی تسویه شده (کیلوگرم)]]+Main[[#This Row],[بستانکار (کیلوگرم)]]</f>
        <v>874</v>
      </c>
      <c r="J854" s="6">
        <f>IF(Main[[#This Row],[مقدار (کیلوگرم)]]&gt;0,Main[[#This Row],[مقدار (کیلوگرم)]],0)</f>
        <v>874</v>
      </c>
      <c r="K854" s="6">
        <f>-IF(Main[[#This Row],[مقدار (کیلوگرم)]]&lt;0,Main[[#This Row],[مقدار (کیلوگرم)]],0)</f>
        <v>0</v>
      </c>
      <c r="L8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4" s="7">
        <f>-IF(AND(Main[[#This Row],[مقدار (کیلوگرم)]]&lt;0,Main[[#This Row],[تاريخ میلادی]]&gt;44276),Main[[#This Row],[مقدار (کیلوگرم)]],0)</f>
        <v>0</v>
      </c>
      <c r="N854" s="6">
        <f ca="1">Main[[#This Row],[بدهکار (کیلوگرم)]]-Main[[#This Row],[بدهی تسویه نشده (کیلوگرم)]]</f>
        <v>0</v>
      </c>
      <c r="O854" s="6">
        <f ca="1">Main[[#This Row],[تفکیک]]</f>
        <v>0</v>
      </c>
      <c r="P854" s="6">
        <f ca="1">IF(Main[[#This Row],[تاخیر از سررسید]]&gt;0,Main[[#This Row],[بدهی تسویه نشده (کیلوگرم)]],0)</f>
        <v>0</v>
      </c>
      <c r="Q854" s="6">
        <f ca="1">IF(Main[[#This Row],[بدهی تسویه نشده (کیلوگرم)]]&gt;0,'گزارش فردی'!$B$7-Main[[#This Row],[تاريخ میلادی]],0)</f>
        <v>0</v>
      </c>
      <c r="R854" s="6">
        <f ca="1">IF(Main[[#This Row],[بدهی تسویه نشده (کیلوگرم)]]&gt;0,'گزارش فردی'!$B$7-Main[[#This Row],[تاريخ میلادی]]-'گزارش فردی'!$B$8,0)</f>
        <v>0</v>
      </c>
      <c r="S854" s="6">
        <f ca="1">Main[[#This Row],[روز از ارسال سفارش]]*Main[[#This Row],[بدهی تسویه نشده (کیلوگرم)]]</f>
        <v>0</v>
      </c>
      <c r="T854" s="6">
        <f ca="1">Main[[#This Row],[بدهی سررسید شده (کیلوگرم)]]*Main[[#This Row],[روز از ارسال سفارش]]</f>
        <v>0</v>
      </c>
      <c r="U854" s="6">
        <f>-SUBTOTAL(9,INDEX(Main[مقدار (کیلوگرم)],1):Main[[#This Row],[مقدار (کیلوگرم)]])</f>
        <v>29837</v>
      </c>
      <c r="V8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4" s="6">
        <f>Main[[#This Row],[تعداد کل روزهای بدهکار (روز)]]*Main[[#This Row],[مانده در خط کل (کیلوگرم)]]</f>
        <v>29837</v>
      </c>
      <c r="X854" s="6">
        <f ca="1">-SUBTOTAL(9,INDEX(Main[مقدار تسویه شده (کیلوگرم)],1):Main[[#This Row],[مقدار تسویه شده (کیلوگرم)]])</f>
        <v>29837</v>
      </c>
      <c r="Y854" s="6">
        <f ca="1">IF(Main[[#This Row],[مانده در خط تسویه شده (کیلوگرم)]]&lt;&gt;0,Main[[#This Row],[تعداد کل روزهای بدهکار (روز)]],0)</f>
        <v>1</v>
      </c>
      <c r="Z854" s="6">
        <f ca="1">Main[[#This Row],[تعداد روزهای بدهکار تسویه شده (روز)]]*Main[[#This Row],[مانده در خط تسویه شده (کیلوگرم)]]</f>
        <v>29837</v>
      </c>
      <c r="AA854" s="6">
        <f ca="1">SUBTOTAL(9,INDEX(Main[بدهی تسویه نشده (کیلوگرم)],1):Main[[#This Row],[بدهی تسویه نشده (کیلوگرم)]])</f>
        <v>0</v>
      </c>
      <c r="AB854" s="6">
        <f ca="1">IF(Main[[#This Row],[مانده در خط تسویه نشده (کیلوگرم)]]&lt;&gt;0,Main[[#This Row],[تعداد کل روزهای بدهکار (روز)]],0)</f>
        <v>0</v>
      </c>
      <c r="AC854" s="6">
        <f ca="1">Main[[#This Row],[تعداد روزهای بدهکار  تسویه نشده (روز)]]*Main[[#This Row],[مانده در خط تسویه نشده (کیلوگرم)]]</f>
        <v>0</v>
      </c>
      <c r="AD854" s="6">
        <f ca="1">SUBTOTAL(9,INDEX(Main[بدهی سررسید شده (کیلوگرم)],1):Main[[#This Row],[بدهی سررسید شده (کیلوگرم)]])</f>
        <v>0</v>
      </c>
      <c r="AE854" s="6">
        <f ca="1">IF(Main[[#This Row],[مانده در خط سررسید شده (کیلوگرم)]]&lt;&gt;0,Main[[#This Row],[تعداد کل روزهای بدهکار (روز)]],0)</f>
        <v>0</v>
      </c>
      <c r="AF854" s="6">
        <f ca="1">Main[[#This Row],[تعداد روزهای بدهکار سررسید شده (روز)]]*Main[[#This Row],[مانده در خط سررسید شده (کیلوگرم)]]</f>
        <v>0</v>
      </c>
    </row>
    <row r="855" spans="1:32" hidden="1" x14ac:dyDescent="0.35">
      <c r="A855" s="5">
        <f>ROW()-ROW(INDEX(Main[ردیف],1))+1</f>
        <v>853</v>
      </c>
      <c r="B855" s="31">
        <f>SUBTOTAL(2,INDEX(Main[ردیف],1):Main[[#This Row],[ردیف]])</f>
        <v>80</v>
      </c>
      <c r="C855" s="32" t="s">
        <v>596</v>
      </c>
      <c r="D855" s="32" t="str">
        <f>_xlfn.CONCAT("14",Main[[#This Row],[تاريخ]])</f>
        <v>1400/03/31</v>
      </c>
      <c r="E855" s="33">
        <v>44368</v>
      </c>
      <c r="F855" s="32">
        <v>30138</v>
      </c>
      <c r="G855" s="5" t="str">
        <f>INDEX(customer[عنوان],MATCH(Main[[#This Row],[کد ردیابی]],customer[کد],0))</f>
        <v>شرکت توتی</v>
      </c>
      <c r="H855">
        <v>-2</v>
      </c>
      <c r="I855" s="6">
        <f ca="1">-Main[[#This Row],[بدهی تسویه شده (کیلوگرم)]]+Main[[#This Row],[بستانکار (کیلوگرم)]]</f>
        <v>-2</v>
      </c>
      <c r="J855" s="6">
        <f>IF(Main[[#This Row],[مقدار (کیلوگرم)]]&gt;0,Main[[#This Row],[مقدار (کیلوگرم)]],0)</f>
        <v>0</v>
      </c>
      <c r="K855" s="6">
        <f>-IF(Main[[#This Row],[مقدار (کیلوگرم)]]&lt;0,Main[[#This Row],[مقدار (کیلوگرم)]],0)</f>
        <v>2</v>
      </c>
      <c r="L8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5" s="7">
        <f>-IF(AND(Main[[#This Row],[مقدار (کیلوگرم)]]&lt;0,Main[[#This Row],[تاريخ میلادی]]&gt;44276),Main[[#This Row],[مقدار (کیلوگرم)]],0)</f>
        <v>2</v>
      </c>
      <c r="N855" s="6">
        <f ca="1">Main[[#This Row],[بدهکار (کیلوگرم)]]-Main[[#This Row],[بدهی تسویه نشده (کیلوگرم)]]</f>
        <v>2</v>
      </c>
      <c r="O855" s="6">
        <f ca="1">Main[[#This Row],[تفکیک]]</f>
        <v>0</v>
      </c>
      <c r="P855" s="6">
        <f ca="1">IF(Main[[#This Row],[تاخیر از سررسید]]&gt;0,Main[[#This Row],[بدهی تسویه نشده (کیلوگرم)]],0)</f>
        <v>0</v>
      </c>
      <c r="Q855" s="6">
        <f ca="1">IF(Main[[#This Row],[بدهی تسویه نشده (کیلوگرم)]]&gt;0,'گزارش فردی'!$B$7-Main[[#This Row],[تاريخ میلادی]],0)</f>
        <v>0</v>
      </c>
      <c r="R855" s="6">
        <f ca="1">IF(Main[[#This Row],[بدهی تسویه نشده (کیلوگرم)]]&gt;0,'گزارش فردی'!$B$7-Main[[#This Row],[تاريخ میلادی]]-'گزارش فردی'!$B$8,0)</f>
        <v>0</v>
      </c>
      <c r="S855" s="6">
        <f ca="1">Main[[#This Row],[روز از ارسال سفارش]]*Main[[#This Row],[بدهی تسویه نشده (کیلوگرم)]]</f>
        <v>0</v>
      </c>
      <c r="T855" s="6">
        <f ca="1">Main[[#This Row],[بدهی سررسید شده (کیلوگرم)]]*Main[[#This Row],[روز از ارسال سفارش]]</f>
        <v>0</v>
      </c>
      <c r="U855" s="6">
        <f>-SUBTOTAL(9,INDEX(Main[مقدار (کیلوگرم)],1):Main[[#This Row],[مقدار (کیلوگرم)]])</f>
        <v>29837</v>
      </c>
      <c r="V8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5" s="6">
        <f>Main[[#This Row],[تعداد کل روزهای بدهکار (روز)]]*Main[[#This Row],[مانده در خط کل (کیلوگرم)]]</f>
        <v>29837</v>
      </c>
      <c r="X855" s="6">
        <f ca="1">-SUBTOTAL(9,INDEX(Main[مقدار تسویه شده (کیلوگرم)],1):Main[[#This Row],[مقدار تسویه شده (کیلوگرم)]])</f>
        <v>29837</v>
      </c>
      <c r="Y855" s="6">
        <f ca="1">IF(Main[[#This Row],[مانده در خط تسویه شده (کیلوگرم)]]&lt;&gt;0,Main[[#This Row],[تعداد کل روزهای بدهکار (روز)]],0)</f>
        <v>1</v>
      </c>
      <c r="Z855" s="6">
        <f ca="1">Main[[#This Row],[تعداد روزهای بدهکار تسویه شده (روز)]]*Main[[#This Row],[مانده در خط تسویه شده (کیلوگرم)]]</f>
        <v>29837</v>
      </c>
      <c r="AA855" s="6">
        <f ca="1">SUBTOTAL(9,INDEX(Main[بدهی تسویه نشده (کیلوگرم)],1):Main[[#This Row],[بدهی تسویه نشده (کیلوگرم)]])</f>
        <v>0</v>
      </c>
      <c r="AB855" s="6">
        <f ca="1">IF(Main[[#This Row],[مانده در خط تسویه نشده (کیلوگرم)]]&lt;&gt;0,Main[[#This Row],[تعداد کل روزهای بدهکار (روز)]],0)</f>
        <v>0</v>
      </c>
      <c r="AC855" s="6">
        <f ca="1">Main[[#This Row],[تعداد روزهای بدهکار  تسویه نشده (روز)]]*Main[[#This Row],[مانده در خط تسویه نشده (کیلوگرم)]]</f>
        <v>0</v>
      </c>
      <c r="AD855" s="6">
        <f ca="1">SUBTOTAL(9,INDEX(Main[بدهی سررسید شده (کیلوگرم)],1):Main[[#This Row],[بدهی سررسید شده (کیلوگرم)]])</f>
        <v>0</v>
      </c>
      <c r="AE855" s="6">
        <f ca="1">IF(Main[[#This Row],[مانده در خط سررسید شده (کیلوگرم)]]&lt;&gt;0,Main[[#This Row],[تعداد کل روزهای بدهکار (روز)]],0)</f>
        <v>0</v>
      </c>
      <c r="AF855" s="6">
        <f ca="1">Main[[#This Row],[تعداد روزهای بدهکار سررسید شده (روز)]]*Main[[#This Row],[مانده در خط سررسید شده (کیلوگرم)]]</f>
        <v>0</v>
      </c>
    </row>
    <row r="856" spans="1:32" hidden="1" x14ac:dyDescent="0.35">
      <c r="A856" s="5">
        <f>ROW()-ROW(INDEX(Main[ردیف],1))+1</f>
        <v>854</v>
      </c>
      <c r="B856" s="31">
        <f>SUBTOTAL(2,INDEX(Main[ردیف],1):Main[[#This Row],[ردیف]])</f>
        <v>80</v>
      </c>
      <c r="C856" s="32" t="s">
        <v>596</v>
      </c>
      <c r="D856" s="32" t="str">
        <f>_xlfn.CONCAT("14",Main[[#This Row],[تاريخ]])</f>
        <v>1400/03/31</v>
      </c>
      <c r="E856" s="33">
        <v>44368</v>
      </c>
      <c r="F856" s="32">
        <v>30009</v>
      </c>
      <c r="G856" s="5" t="str">
        <f>INDEX(customer[عنوان],MATCH(Main[[#This Row],[کد ردیابی]],customer[کد],0))</f>
        <v>شرکت ایمن تک پیشرو</v>
      </c>
      <c r="H856">
        <v>954</v>
      </c>
      <c r="I856" s="6">
        <f ca="1">-Main[[#This Row],[بدهی تسویه شده (کیلوگرم)]]+Main[[#This Row],[بستانکار (کیلوگرم)]]</f>
        <v>954</v>
      </c>
      <c r="J856" s="6">
        <f>IF(Main[[#This Row],[مقدار (کیلوگرم)]]&gt;0,Main[[#This Row],[مقدار (کیلوگرم)]],0)</f>
        <v>954</v>
      </c>
      <c r="K856" s="6">
        <f>-IF(Main[[#This Row],[مقدار (کیلوگرم)]]&lt;0,Main[[#This Row],[مقدار (کیلوگرم)]],0)</f>
        <v>0</v>
      </c>
      <c r="L8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6" s="7">
        <f>-IF(AND(Main[[#This Row],[مقدار (کیلوگرم)]]&lt;0,Main[[#This Row],[تاريخ میلادی]]&gt;44276),Main[[#This Row],[مقدار (کیلوگرم)]],0)</f>
        <v>0</v>
      </c>
      <c r="N856" s="6">
        <f ca="1">Main[[#This Row],[بدهکار (کیلوگرم)]]-Main[[#This Row],[بدهی تسویه نشده (کیلوگرم)]]</f>
        <v>0</v>
      </c>
      <c r="O856" s="6">
        <f ca="1">Main[[#This Row],[تفکیک]]</f>
        <v>0</v>
      </c>
      <c r="P856" s="6">
        <f ca="1">IF(Main[[#This Row],[تاخیر از سررسید]]&gt;0,Main[[#This Row],[بدهی تسویه نشده (کیلوگرم)]],0)</f>
        <v>0</v>
      </c>
      <c r="Q856" s="6">
        <f ca="1">IF(Main[[#This Row],[بدهی تسویه نشده (کیلوگرم)]]&gt;0,'گزارش فردی'!$B$7-Main[[#This Row],[تاريخ میلادی]],0)</f>
        <v>0</v>
      </c>
      <c r="R856" s="6">
        <f ca="1">IF(Main[[#This Row],[بدهی تسویه نشده (کیلوگرم)]]&gt;0,'گزارش فردی'!$B$7-Main[[#This Row],[تاريخ میلادی]]-'گزارش فردی'!$B$8,0)</f>
        <v>0</v>
      </c>
      <c r="S856" s="6">
        <f ca="1">Main[[#This Row],[روز از ارسال سفارش]]*Main[[#This Row],[بدهی تسویه نشده (کیلوگرم)]]</f>
        <v>0</v>
      </c>
      <c r="T856" s="6">
        <f ca="1">Main[[#This Row],[بدهی سررسید شده (کیلوگرم)]]*Main[[#This Row],[روز از ارسال سفارش]]</f>
        <v>0</v>
      </c>
      <c r="U856" s="6">
        <f>-SUBTOTAL(9,INDEX(Main[مقدار (کیلوگرم)],1):Main[[#This Row],[مقدار (کیلوگرم)]])</f>
        <v>29837</v>
      </c>
      <c r="V8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6" s="6">
        <f>Main[[#This Row],[تعداد کل روزهای بدهکار (روز)]]*Main[[#This Row],[مانده در خط کل (کیلوگرم)]]</f>
        <v>29837</v>
      </c>
      <c r="X856" s="6">
        <f ca="1">-SUBTOTAL(9,INDEX(Main[مقدار تسویه شده (کیلوگرم)],1):Main[[#This Row],[مقدار تسویه شده (کیلوگرم)]])</f>
        <v>29837</v>
      </c>
      <c r="Y856" s="6">
        <f ca="1">IF(Main[[#This Row],[مانده در خط تسویه شده (کیلوگرم)]]&lt;&gt;0,Main[[#This Row],[تعداد کل روزهای بدهکار (روز)]],0)</f>
        <v>1</v>
      </c>
      <c r="Z856" s="6">
        <f ca="1">Main[[#This Row],[تعداد روزهای بدهکار تسویه شده (روز)]]*Main[[#This Row],[مانده در خط تسویه شده (کیلوگرم)]]</f>
        <v>29837</v>
      </c>
      <c r="AA856" s="6">
        <f ca="1">SUBTOTAL(9,INDEX(Main[بدهی تسویه نشده (کیلوگرم)],1):Main[[#This Row],[بدهی تسویه نشده (کیلوگرم)]])</f>
        <v>0</v>
      </c>
      <c r="AB856" s="6">
        <f ca="1">IF(Main[[#This Row],[مانده در خط تسویه نشده (کیلوگرم)]]&lt;&gt;0,Main[[#This Row],[تعداد کل روزهای بدهکار (روز)]],0)</f>
        <v>0</v>
      </c>
      <c r="AC856" s="6">
        <f ca="1">Main[[#This Row],[تعداد روزهای بدهکار  تسویه نشده (روز)]]*Main[[#This Row],[مانده در خط تسویه نشده (کیلوگرم)]]</f>
        <v>0</v>
      </c>
      <c r="AD856" s="6">
        <f ca="1">SUBTOTAL(9,INDEX(Main[بدهی سررسید شده (کیلوگرم)],1):Main[[#This Row],[بدهی سررسید شده (کیلوگرم)]])</f>
        <v>0</v>
      </c>
      <c r="AE856" s="6">
        <f ca="1">IF(Main[[#This Row],[مانده در خط سررسید شده (کیلوگرم)]]&lt;&gt;0,Main[[#This Row],[تعداد کل روزهای بدهکار (روز)]],0)</f>
        <v>0</v>
      </c>
      <c r="AF856" s="6">
        <f ca="1">Main[[#This Row],[تعداد روزهای بدهکار سررسید شده (روز)]]*Main[[#This Row],[مانده در خط سررسید شده (کیلوگرم)]]</f>
        <v>0</v>
      </c>
    </row>
    <row r="857" spans="1:32" hidden="1" x14ac:dyDescent="0.35">
      <c r="A857" s="5">
        <f>ROW()-ROW(INDEX(Main[ردیف],1))+1</f>
        <v>855</v>
      </c>
      <c r="B857" s="31">
        <f>SUBTOTAL(2,INDEX(Main[ردیف],1):Main[[#This Row],[ردیف]])</f>
        <v>80</v>
      </c>
      <c r="C857" s="32" t="s">
        <v>596</v>
      </c>
      <c r="D857" s="32" t="str">
        <f>_xlfn.CONCAT("14",Main[[#This Row],[تاريخ]])</f>
        <v>1400/03/31</v>
      </c>
      <c r="E857" s="33">
        <v>44368</v>
      </c>
      <c r="F857" s="32">
        <v>10070</v>
      </c>
      <c r="G857" s="5" t="str">
        <f>INDEX(customer[عنوان],MATCH(Main[[#This Row],[کد ردیابی]],customer[کد],0))</f>
        <v xml:space="preserve">حمیدرضا شفیعی </v>
      </c>
      <c r="H857">
        <v>-18</v>
      </c>
      <c r="I857" s="6">
        <f ca="1">-Main[[#This Row],[بدهی تسویه شده (کیلوگرم)]]+Main[[#This Row],[بستانکار (کیلوگرم)]]</f>
        <v>-18</v>
      </c>
      <c r="J857" s="6">
        <f>IF(Main[[#This Row],[مقدار (کیلوگرم)]]&gt;0,Main[[#This Row],[مقدار (کیلوگرم)]],0)</f>
        <v>0</v>
      </c>
      <c r="K857" s="6">
        <f>-IF(Main[[#This Row],[مقدار (کیلوگرم)]]&lt;0,Main[[#This Row],[مقدار (کیلوگرم)]],0)</f>
        <v>18</v>
      </c>
      <c r="L8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7" s="7">
        <f>-IF(AND(Main[[#This Row],[مقدار (کیلوگرم)]]&lt;0,Main[[#This Row],[تاريخ میلادی]]&gt;44276),Main[[#This Row],[مقدار (کیلوگرم)]],0)</f>
        <v>18</v>
      </c>
      <c r="N857" s="6">
        <f ca="1">Main[[#This Row],[بدهکار (کیلوگرم)]]-Main[[#This Row],[بدهی تسویه نشده (کیلوگرم)]]</f>
        <v>18</v>
      </c>
      <c r="O857" s="6">
        <f ca="1">Main[[#This Row],[تفکیک]]</f>
        <v>0</v>
      </c>
      <c r="P857" s="6">
        <f ca="1">IF(Main[[#This Row],[تاخیر از سررسید]]&gt;0,Main[[#This Row],[بدهی تسویه نشده (کیلوگرم)]],0)</f>
        <v>0</v>
      </c>
      <c r="Q857" s="6">
        <f ca="1">IF(Main[[#This Row],[بدهی تسویه نشده (کیلوگرم)]]&gt;0,'گزارش فردی'!$B$7-Main[[#This Row],[تاريخ میلادی]],0)</f>
        <v>0</v>
      </c>
      <c r="R857" s="6">
        <f ca="1">IF(Main[[#This Row],[بدهی تسویه نشده (کیلوگرم)]]&gt;0,'گزارش فردی'!$B$7-Main[[#This Row],[تاريخ میلادی]]-'گزارش فردی'!$B$8,0)</f>
        <v>0</v>
      </c>
      <c r="S857" s="6">
        <f ca="1">Main[[#This Row],[روز از ارسال سفارش]]*Main[[#This Row],[بدهی تسویه نشده (کیلوگرم)]]</f>
        <v>0</v>
      </c>
      <c r="T857" s="6">
        <f ca="1">Main[[#This Row],[بدهی سررسید شده (کیلوگرم)]]*Main[[#This Row],[روز از ارسال سفارش]]</f>
        <v>0</v>
      </c>
      <c r="U857" s="6">
        <f>-SUBTOTAL(9,INDEX(Main[مقدار (کیلوگرم)],1):Main[[#This Row],[مقدار (کیلوگرم)]])</f>
        <v>29837</v>
      </c>
      <c r="V8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7" s="6">
        <f>Main[[#This Row],[تعداد کل روزهای بدهکار (روز)]]*Main[[#This Row],[مانده در خط کل (کیلوگرم)]]</f>
        <v>29837</v>
      </c>
      <c r="X857" s="6">
        <f ca="1">-SUBTOTAL(9,INDEX(Main[مقدار تسویه شده (کیلوگرم)],1):Main[[#This Row],[مقدار تسویه شده (کیلوگرم)]])</f>
        <v>29837</v>
      </c>
      <c r="Y857" s="6">
        <f ca="1">IF(Main[[#This Row],[مانده در خط تسویه شده (کیلوگرم)]]&lt;&gt;0,Main[[#This Row],[تعداد کل روزهای بدهکار (روز)]],0)</f>
        <v>1</v>
      </c>
      <c r="Z857" s="6">
        <f ca="1">Main[[#This Row],[تعداد روزهای بدهکار تسویه شده (روز)]]*Main[[#This Row],[مانده در خط تسویه شده (کیلوگرم)]]</f>
        <v>29837</v>
      </c>
      <c r="AA857" s="6">
        <f ca="1">SUBTOTAL(9,INDEX(Main[بدهی تسویه نشده (کیلوگرم)],1):Main[[#This Row],[بدهی تسویه نشده (کیلوگرم)]])</f>
        <v>0</v>
      </c>
      <c r="AB857" s="6">
        <f ca="1">IF(Main[[#This Row],[مانده در خط تسویه نشده (کیلوگرم)]]&lt;&gt;0,Main[[#This Row],[تعداد کل روزهای بدهکار (روز)]],0)</f>
        <v>0</v>
      </c>
      <c r="AC857" s="6">
        <f ca="1">Main[[#This Row],[تعداد روزهای بدهکار  تسویه نشده (روز)]]*Main[[#This Row],[مانده در خط تسویه نشده (کیلوگرم)]]</f>
        <v>0</v>
      </c>
      <c r="AD857" s="6">
        <f ca="1">SUBTOTAL(9,INDEX(Main[بدهی سررسید شده (کیلوگرم)],1):Main[[#This Row],[بدهی سررسید شده (کیلوگرم)]])</f>
        <v>0</v>
      </c>
      <c r="AE857" s="6">
        <f ca="1">IF(Main[[#This Row],[مانده در خط سررسید شده (کیلوگرم)]]&lt;&gt;0,Main[[#This Row],[تعداد کل روزهای بدهکار (روز)]],0)</f>
        <v>0</v>
      </c>
      <c r="AF857" s="6">
        <f ca="1">Main[[#This Row],[تعداد روزهای بدهکار سررسید شده (روز)]]*Main[[#This Row],[مانده در خط سررسید شده (کیلوگرم)]]</f>
        <v>0</v>
      </c>
    </row>
    <row r="858" spans="1:32" hidden="1" x14ac:dyDescent="0.35">
      <c r="A858" s="5">
        <f>ROW()-ROW(INDEX(Main[ردیف],1))+1</f>
        <v>856</v>
      </c>
      <c r="B858" s="31">
        <f>SUBTOTAL(2,INDEX(Main[ردیف],1):Main[[#This Row],[ردیف]])</f>
        <v>80</v>
      </c>
      <c r="C858" s="32" t="s">
        <v>596</v>
      </c>
      <c r="D858" s="32" t="str">
        <f>_xlfn.CONCAT("14",Main[[#This Row],[تاريخ]])</f>
        <v>1400/03/31</v>
      </c>
      <c r="E858" s="33">
        <v>44368</v>
      </c>
      <c r="F858" s="32">
        <v>30004</v>
      </c>
      <c r="G858" s="5" t="str">
        <f>INDEX(customer[عنوان],MATCH(Main[[#This Row],[کد ردیابی]],customer[کد],0))</f>
        <v>تولیدی صنعتی صفاشیر پارس</v>
      </c>
      <c r="H858">
        <v>3883</v>
      </c>
      <c r="I858" s="6">
        <f ca="1">-Main[[#This Row],[بدهی تسویه شده (کیلوگرم)]]+Main[[#This Row],[بستانکار (کیلوگرم)]]</f>
        <v>3883</v>
      </c>
      <c r="J858" s="6">
        <f>IF(Main[[#This Row],[مقدار (کیلوگرم)]]&gt;0,Main[[#This Row],[مقدار (کیلوگرم)]],0)</f>
        <v>3883</v>
      </c>
      <c r="K858" s="6">
        <f>-IF(Main[[#This Row],[مقدار (کیلوگرم)]]&lt;0,Main[[#This Row],[مقدار (کیلوگرم)]],0)</f>
        <v>0</v>
      </c>
      <c r="L8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8" s="7">
        <f>-IF(AND(Main[[#This Row],[مقدار (کیلوگرم)]]&lt;0,Main[[#This Row],[تاريخ میلادی]]&gt;44276),Main[[#This Row],[مقدار (کیلوگرم)]],0)</f>
        <v>0</v>
      </c>
      <c r="N858" s="6">
        <f ca="1">Main[[#This Row],[بدهکار (کیلوگرم)]]-Main[[#This Row],[بدهی تسویه نشده (کیلوگرم)]]</f>
        <v>0</v>
      </c>
      <c r="O858" s="6">
        <f ca="1">Main[[#This Row],[تفکیک]]</f>
        <v>0</v>
      </c>
      <c r="P858" s="6">
        <f ca="1">IF(Main[[#This Row],[تاخیر از سررسید]]&gt;0,Main[[#This Row],[بدهی تسویه نشده (کیلوگرم)]],0)</f>
        <v>0</v>
      </c>
      <c r="Q858" s="6">
        <f ca="1">IF(Main[[#This Row],[بدهی تسویه نشده (کیلوگرم)]]&gt;0,'گزارش فردی'!$B$7-Main[[#This Row],[تاريخ میلادی]],0)</f>
        <v>0</v>
      </c>
      <c r="R858" s="6">
        <f ca="1">IF(Main[[#This Row],[بدهی تسویه نشده (کیلوگرم)]]&gt;0,'گزارش فردی'!$B$7-Main[[#This Row],[تاريخ میلادی]]-'گزارش فردی'!$B$8,0)</f>
        <v>0</v>
      </c>
      <c r="S858" s="6">
        <f ca="1">Main[[#This Row],[روز از ارسال سفارش]]*Main[[#This Row],[بدهی تسویه نشده (کیلوگرم)]]</f>
        <v>0</v>
      </c>
      <c r="T858" s="6">
        <f ca="1">Main[[#This Row],[بدهی سررسید شده (کیلوگرم)]]*Main[[#This Row],[روز از ارسال سفارش]]</f>
        <v>0</v>
      </c>
      <c r="U858" s="6">
        <f>-SUBTOTAL(9,INDEX(Main[مقدار (کیلوگرم)],1):Main[[#This Row],[مقدار (کیلوگرم)]])</f>
        <v>29837</v>
      </c>
      <c r="V8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8" s="6">
        <f>Main[[#This Row],[تعداد کل روزهای بدهکار (روز)]]*Main[[#This Row],[مانده در خط کل (کیلوگرم)]]</f>
        <v>29837</v>
      </c>
      <c r="X858" s="6">
        <f ca="1">-SUBTOTAL(9,INDEX(Main[مقدار تسویه شده (کیلوگرم)],1):Main[[#This Row],[مقدار تسویه شده (کیلوگرم)]])</f>
        <v>29837</v>
      </c>
      <c r="Y858" s="6">
        <f ca="1">IF(Main[[#This Row],[مانده در خط تسویه شده (کیلوگرم)]]&lt;&gt;0,Main[[#This Row],[تعداد کل روزهای بدهکار (روز)]],0)</f>
        <v>1</v>
      </c>
      <c r="Z858" s="6">
        <f ca="1">Main[[#This Row],[تعداد روزهای بدهکار تسویه شده (روز)]]*Main[[#This Row],[مانده در خط تسویه شده (کیلوگرم)]]</f>
        <v>29837</v>
      </c>
      <c r="AA858" s="6">
        <f ca="1">SUBTOTAL(9,INDEX(Main[بدهی تسویه نشده (کیلوگرم)],1):Main[[#This Row],[بدهی تسویه نشده (کیلوگرم)]])</f>
        <v>0</v>
      </c>
      <c r="AB858" s="6">
        <f ca="1">IF(Main[[#This Row],[مانده در خط تسویه نشده (کیلوگرم)]]&lt;&gt;0,Main[[#This Row],[تعداد کل روزهای بدهکار (روز)]],0)</f>
        <v>0</v>
      </c>
      <c r="AC858" s="6">
        <f ca="1">Main[[#This Row],[تعداد روزهای بدهکار  تسویه نشده (روز)]]*Main[[#This Row],[مانده در خط تسویه نشده (کیلوگرم)]]</f>
        <v>0</v>
      </c>
      <c r="AD858" s="6">
        <f ca="1">SUBTOTAL(9,INDEX(Main[بدهی سررسید شده (کیلوگرم)],1):Main[[#This Row],[بدهی سررسید شده (کیلوگرم)]])</f>
        <v>0</v>
      </c>
      <c r="AE858" s="6">
        <f ca="1">IF(Main[[#This Row],[مانده در خط سررسید شده (کیلوگرم)]]&lt;&gt;0,Main[[#This Row],[تعداد کل روزهای بدهکار (روز)]],0)</f>
        <v>0</v>
      </c>
      <c r="AF858" s="6">
        <f ca="1">Main[[#This Row],[تعداد روزهای بدهکار سررسید شده (روز)]]*Main[[#This Row],[مانده در خط سررسید شده (کیلوگرم)]]</f>
        <v>0</v>
      </c>
    </row>
    <row r="859" spans="1:32" hidden="1" x14ac:dyDescent="0.35">
      <c r="A859" s="5">
        <f>ROW()-ROW(INDEX(Main[ردیف],1))+1</f>
        <v>857</v>
      </c>
      <c r="B859" s="31">
        <f>SUBTOTAL(2,INDEX(Main[ردیف],1):Main[[#This Row],[ردیف]])</f>
        <v>80</v>
      </c>
      <c r="C859" s="32" t="s">
        <v>596</v>
      </c>
      <c r="D859" s="32" t="str">
        <f>_xlfn.CONCAT("14",Main[[#This Row],[تاريخ]])</f>
        <v>1400/03/31</v>
      </c>
      <c r="E859" s="33">
        <v>44368</v>
      </c>
      <c r="F859" s="32">
        <v>10009</v>
      </c>
      <c r="G859" s="5" t="str">
        <f>INDEX(customer[عنوان],MATCH(Main[[#This Row],[کد ردیابی]],customer[کد],0))</f>
        <v>محمد نمازی</v>
      </c>
      <c r="H859">
        <v>-2098</v>
      </c>
      <c r="I859" s="6">
        <f ca="1">-Main[[#This Row],[بدهی تسویه شده (کیلوگرم)]]+Main[[#This Row],[بستانکار (کیلوگرم)]]</f>
        <v>-2098</v>
      </c>
      <c r="J859" s="6">
        <f>IF(Main[[#This Row],[مقدار (کیلوگرم)]]&gt;0,Main[[#This Row],[مقدار (کیلوگرم)]],0)</f>
        <v>0</v>
      </c>
      <c r="K859" s="6">
        <f>-IF(Main[[#This Row],[مقدار (کیلوگرم)]]&lt;0,Main[[#This Row],[مقدار (کیلوگرم)]],0)</f>
        <v>2098</v>
      </c>
      <c r="L8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9" s="7">
        <f>-IF(AND(Main[[#This Row],[مقدار (کیلوگرم)]]&lt;0,Main[[#This Row],[تاريخ میلادی]]&gt;44276),Main[[#This Row],[مقدار (کیلوگرم)]],0)</f>
        <v>2098</v>
      </c>
      <c r="N859" s="6">
        <f ca="1">Main[[#This Row],[بدهکار (کیلوگرم)]]-Main[[#This Row],[بدهی تسویه نشده (کیلوگرم)]]</f>
        <v>2098</v>
      </c>
      <c r="O859" s="6">
        <f ca="1">Main[[#This Row],[تفکیک]]</f>
        <v>0</v>
      </c>
      <c r="P859" s="6">
        <f ca="1">IF(Main[[#This Row],[تاخیر از سررسید]]&gt;0,Main[[#This Row],[بدهی تسویه نشده (کیلوگرم)]],0)</f>
        <v>0</v>
      </c>
      <c r="Q859" s="6">
        <f ca="1">IF(Main[[#This Row],[بدهی تسویه نشده (کیلوگرم)]]&gt;0,'گزارش فردی'!$B$7-Main[[#This Row],[تاريخ میلادی]],0)</f>
        <v>0</v>
      </c>
      <c r="R859" s="6">
        <f ca="1">IF(Main[[#This Row],[بدهی تسویه نشده (کیلوگرم)]]&gt;0,'گزارش فردی'!$B$7-Main[[#This Row],[تاريخ میلادی]]-'گزارش فردی'!$B$8,0)</f>
        <v>0</v>
      </c>
      <c r="S859" s="6">
        <f ca="1">Main[[#This Row],[روز از ارسال سفارش]]*Main[[#This Row],[بدهی تسویه نشده (کیلوگرم)]]</f>
        <v>0</v>
      </c>
      <c r="T859" s="6">
        <f ca="1">Main[[#This Row],[بدهی سررسید شده (کیلوگرم)]]*Main[[#This Row],[روز از ارسال سفارش]]</f>
        <v>0</v>
      </c>
      <c r="U859" s="6">
        <f>-SUBTOTAL(9,INDEX(Main[مقدار (کیلوگرم)],1):Main[[#This Row],[مقدار (کیلوگرم)]])</f>
        <v>29837</v>
      </c>
      <c r="V8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9" s="6">
        <f>Main[[#This Row],[تعداد کل روزهای بدهکار (روز)]]*Main[[#This Row],[مانده در خط کل (کیلوگرم)]]</f>
        <v>29837</v>
      </c>
      <c r="X859" s="6">
        <f ca="1">-SUBTOTAL(9,INDEX(Main[مقدار تسویه شده (کیلوگرم)],1):Main[[#This Row],[مقدار تسویه شده (کیلوگرم)]])</f>
        <v>29837</v>
      </c>
      <c r="Y859" s="6">
        <f ca="1">IF(Main[[#This Row],[مانده در خط تسویه شده (کیلوگرم)]]&lt;&gt;0,Main[[#This Row],[تعداد کل روزهای بدهکار (روز)]],0)</f>
        <v>1</v>
      </c>
      <c r="Z859" s="6">
        <f ca="1">Main[[#This Row],[تعداد روزهای بدهکار تسویه شده (روز)]]*Main[[#This Row],[مانده در خط تسویه شده (کیلوگرم)]]</f>
        <v>29837</v>
      </c>
      <c r="AA859" s="6">
        <f ca="1">SUBTOTAL(9,INDEX(Main[بدهی تسویه نشده (کیلوگرم)],1):Main[[#This Row],[بدهی تسویه نشده (کیلوگرم)]])</f>
        <v>0</v>
      </c>
      <c r="AB859" s="6">
        <f ca="1">IF(Main[[#This Row],[مانده در خط تسویه نشده (کیلوگرم)]]&lt;&gt;0,Main[[#This Row],[تعداد کل روزهای بدهکار (روز)]],0)</f>
        <v>0</v>
      </c>
      <c r="AC859" s="6">
        <f ca="1">Main[[#This Row],[تعداد روزهای بدهکار  تسویه نشده (روز)]]*Main[[#This Row],[مانده در خط تسویه نشده (کیلوگرم)]]</f>
        <v>0</v>
      </c>
      <c r="AD859" s="6">
        <f ca="1">SUBTOTAL(9,INDEX(Main[بدهی سررسید شده (کیلوگرم)],1):Main[[#This Row],[بدهی سررسید شده (کیلوگرم)]])</f>
        <v>0</v>
      </c>
      <c r="AE859" s="6">
        <f ca="1">IF(Main[[#This Row],[مانده در خط سررسید شده (کیلوگرم)]]&lt;&gt;0,Main[[#This Row],[تعداد کل روزهای بدهکار (روز)]],0)</f>
        <v>0</v>
      </c>
      <c r="AF859" s="6">
        <f ca="1">Main[[#This Row],[تعداد روزهای بدهکار سررسید شده (روز)]]*Main[[#This Row],[مانده در خط سررسید شده (کیلوگرم)]]</f>
        <v>0</v>
      </c>
    </row>
    <row r="860" spans="1:32" hidden="1" x14ac:dyDescent="0.35">
      <c r="A860" s="5">
        <f>ROW()-ROW(INDEX(Main[ردیف],1))+1</f>
        <v>858</v>
      </c>
      <c r="B860" s="31">
        <f>SUBTOTAL(2,INDEX(Main[ردیف],1):Main[[#This Row],[ردیف]])</f>
        <v>80</v>
      </c>
      <c r="C860" s="32" t="s">
        <v>596</v>
      </c>
      <c r="D860" s="32" t="str">
        <f>_xlfn.CONCAT("14",Main[[#This Row],[تاريخ]])</f>
        <v>1400/03/31</v>
      </c>
      <c r="E860" s="33">
        <v>44368</v>
      </c>
      <c r="F860" s="32">
        <v>30127</v>
      </c>
      <c r="G860" s="5" t="str">
        <f>INDEX(customer[عنوان],MATCH(Main[[#This Row],[کد ردیابی]],customer[کد],0))</f>
        <v>شیر گاز آذران</v>
      </c>
      <c r="H860">
        <v>11466</v>
      </c>
      <c r="I860" s="6">
        <f ca="1">-Main[[#This Row],[بدهی تسویه شده (کیلوگرم)]]+Main[[#This Row],[بستانکار (کیلوگرم)]]</f>
        <v>11466</v>
      </c>
      <c r="J860" s="6">
        <f>IF(Main[[#This Row],[مقدار (کیلوگرم)]]&gt;0,Main[[#This Row],[مقدار (کیلوگرم)]],0)</f>
        <v>11466</v>
      </c>
      <c r="K860" s="6">
        <f>-IF(Main[[#This Row],[مقدار (کیلوگرم)]]&lt;0,Main[[#This Row],[مقدار (کیلوگرم)]],0)</f>
        <v>0</v>
      </c>
      <c r="L8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0" s="7">
        <f>-IF(AND(Main[[#This Row],[مقدار (کیلوگرم)]]&lt;0,Main[[#This Row],[تاريخ میلادی]]&gt;44276),Main[[#This Row],[مقدار (کیلوگرم)]],0)</f>
        <v>0</v>
      </c>
      <c r="N860" s="6">
        <f ca="1">Main[[#This Row],[بدهکار (کیلوگرم)]]-Main[[#This Row],[بدهی تسویه نشده (کیلوگرم)]]</f>
        <v>0</v>
      </c>
      <c r="O860" s="6">
        <f ca="1">Main[[#This Row],[تفکیک]]</f>
        <v>0</v>
      </c>
      <c r="P860" s="6">
        <f ca="1">IF(Main[[#This Row],[تاخیر از سررسید]]&gt;0,Main[[#This Row],[بدهی تسویه نشده (کیلوگرم)]],0)</f>
        <v>0</v>
      </c>
      <c r="Q860" s="6">
        <f ca="1">IF(Main[[#This Row],[بدهی تسویه نشده (کیلوگرم)]]&gt;0,'گزارش فردی'!$B$7-Main[[#This Row],[تاريخ میلادی]],0)</f>
        <v>0</v>
      </c>
      <c r="R860" s="6">
        <f ca="1">IF(Main[[#This Row],[بدهی تسویه نشده (کیلوگرم)]]&gt;0,'گزارش فردی'!$B$7-Main[[#This Row],[تاريخ میلادی]]-'گزارش فردی'!$B$8,0)</f>
        <v>0</v>
      </c>
      <c r="S860" s="6">
        <f ca="1">Main[[#This Row],[روز از ارسال سفارش]]*Main[[#This Row],[بدهی تسویه نشده (کیلوگرم)]]</f>
        <v>0</v>
      </c>
      <c r="T860" s="6">
        <f ca="1">Main[[#This Row],[بدهی سررسید شده (کیلوگرم)]]*Main[[#This Row],[روز از ارسال سفارش]]</f>
        <v>0</v>
      </c>
      <c r="U860" s="6">
        <f>-SUBTOTAL(9,INDEX(Main[مقدار (کیلوگرم)],1):Main[[#This Row],[مقدار (کیلوگرم)]])</f>
        <v>29837</v>
      </c>
      <c r="V8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0" s="6">
        <f>Main[[#This Row],[تعداد کل روزهای بدهکار (روز)]]*Main[[#This Row],[مانده در خط کل (کیلوگرم)]]</f>
        <v>29837</v>
      </c>
      <c r="X860" s="6">
        <f ca="1">-SUBTOTAL(9,INDEX(Main[مقدار تسویه شده (کیلوگرم)],1):Main[[#This Row],[مقدار تسویه شده (کیلوگرم)]])</f>
        <v>29837</v>
      </c>
      <c r="Y860" s="6">
        <f ca="1">IF(Main[[#This Row],[مانده در خط تسویه شده (کیلوگرم)]]&lt;&gt;0,Main[[#This Row],[تعداد کل روزهای بدهکار (روز)]],0)</f>
        <v>1</v>
      </c>
      <c r="Z860" s="6">
        <f ca="1">Main[[#This Row],[تعداد روزهای بدهکار تسویه شده (روز)]]*Main[[#This Row],[مانده در خط تسویه شده (کیلوگرم)]]</f>
        <v>29837</v>
      </c>
      <c r="AA860" s="6">
        <f ca="1">SUBTOTAL(9,INDEX(Main[بدهی تسویه نشده (کیلوگرم)],1):Main[[#This Row],[بدهی تسویه نشده (کیلوگرم)]])</f>
        <v>0</v>
      </c>
      <c r="AB860" s="6">
        <f ca="1">IF(Main[[#This Row],[مانده در خط تسویه نشده (کیلوگرم)]]&lt;&gt;0,Main[[#This Row],[تعداد کل روزهای بدهکار (روز)]],0)</f>
        <v>0</v>
      </c>
      <c r="AC860" s="6">
        <f ca="1">Main[[#This Row],[تعداد روزهای بدهکار  تسویه نشده (روز)]]*Main[[#This Row],[مانده در خط تسویه نشده (کیلوگرم)]]</f>
        <v>0</v>
      </c>
      <c r="AD860" s="6">
        <f ca="1">SUBTOTAL(9,INDEX(Main[بدهی سررسید شده (کیلوگرم)],1):Main[[#This Row],[بدهی سررسید شده (کیلوگرم)]])</f>
        <v>0</v>
      </c>
      <c r="AE860" s="6">
        <f ca="1">IF(Main[[#This Row],[مانده در خط سررسید شده (کیلوگرم)]]&lt;&gt;0,Main[[#This Row],[تعداد کل روزهای بدهکار (روز)]],0)</f>
        <v>0</v>
      </c>
      <c r="AF860" s="6">
        <f ca="1">Main[[#This Row],[تعداد روزهای بدهکار سررسید شده (روز)]]*Main[[#This Row],[مانده در خط سررسید شده (کیلوگرم)]]</f>
        <v>0</v>
      </c>
    </row>
    <row r="861" spans="1:32" hidden="1" x14ac:dyDescent="0.35">
      <c r="A861" s="5">
        <f>ROW()-ROW(INDEX(Main[ردیف],1))+1</f>
        <v>859</v>
      </c>
      <c r="B861" s="31">
        <f>SUBTOTAL(2,INDEX(Main[ردیف],1):Main[[#This Row],[ردیف]])</f>
        <v>80</v>
      </c>
      <c r="C861" s="32" t="s">
        <v>596</v>
      </c>
      <c r="D861" s="32" t="str">
        <f>_xlfn.CONCAT("14",Main[[#This Row],[تاريخ]])</f>
        <v>1400/03/31</v>
      </c>
      <c r="E861" s="33">
        <v>44368</v>
      </c>
      <c r="F861" s="32">
        <v>10048</v>
      </c>
      <c r="G861" s="5" t="str">
        <f>INDEX(customer[عنوان],MATCH(Main[[#This Row],[کد ردیابی]],customer[کد],0))</f>
        <v xml:space="preserve">حسام کریمان  </v>
      </c>
      <c r="H861">
        <v>-896</v>
      </c>
      <c r="I861" s="6">
        <f ca="1">-Main[[#This Row],[بدهی تسویه شده (کیلوگرم)]]+Main[[#This Row],[بستانکار (کیلوگرم)]]</f>
        <v>-896</v>
      </c>
      <c r="J861" s="6">
        <f>IF(Main[[#This Row],[مقدار (کیلوگرم)]]&gt;0,Main[[#This Row],[مقدار (کیلوگرم)]],0)</f>
        <v>0</v>
      </c>
      <c r="K861" s="6">
        <f>-IF(Main[[#This Row],[مقدار (کیلوگرم)]]&lt;0,Main[[#This Row],[مقدار (کیلوگرم)]],0)</f>
        <v>896</v>
      </c>
      <c r="L8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1" s="7">
        <f>-IF(AND(Main[[#This Row],[مقدار (کیلوگرم)]]&lt;0,Main[[#This Row],[تاريخ میلادی]]&gt;44276),Main[[#This Row],[مقدار (کیلوگرم)]],0)</f>
        <v>896</v>
      </c>
      <c r="N861" s="6">
        <f ca="1">Main[[#This Row],[بدهکار (کیلوگرم)]]-Main[[#This Row],[بدهی تسویه نشده (کیلوگرم)]]</f>
        <v>896</v>
      </c>
      <c r="O861" s="6">
        <f ca="1">Main[[#This Row],[تفکیک]]</f>
        <v>0</v>
      </c>
      <c r="P861" s="6">
        <f ca="1">IF(Main[[#This Row],[تاخیر از سررسید]]&gt;0,Main[[#This Row],[بدهی تسویه نشده (کیلوگرم)]],0)</f>
        <v>0</v>
      </c>
      <c r="Q861" s="6">
        <f ca="1">IF(Main[[#This Row],[بدهی تسویه نشده (کیلوگرم)]]&gt;0,'گزارش فردی'!$B$7-Main[[#This Row],[تاريخ میلادی]],0)</f>
        <v>0</v>
      </c>
      <c r="R861" s="6">
        <f ca="1">IF(Main[[#This Row],[بدهی تسویه نشده (کیلوگرم)]]&gt;0,'گزارش فردی'!$B$7-Main[[#This Row],[تاريخ میلادی]]-'گزارش فردی'!$B$8,0)</f>
        <v>0</v>
      </c>
      <c r="S861" s="6">
        <f ca="1">Main[[#This Row],[روز از ارسال سفارش]]*Main[[#This Row],[بدهی تسویه نشده (کیلوگرم)]]</f>
        <v>0</v>
      </c>
      <c r="T861" s="6">
        <f ca="1">Main[[#This Row],[بدهی سررسید شده (کیلوگرم)]]*Main[[#This Row],[روز از ارسال سفارش]]</f>
        <v>0</v>
      </c>
      <c r="U861" s="6">
        <f>-SUBTOTAL(9,INDEX(Main[مقدار (کیلوگرم)],1):Main[[#This Row],[مقدار (کیلوگرم)]])</f>
        <v>29837</v>
      </c>
      <c r="V8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1" s="6">
        <f>Main[[#This Row],[تعداد کل روزهای بدهکار (روز)]]*Main[[#This Row],[مانده در خط کل (کیلوگرم)]]</f>
        <v>29837</v>
      </c>
      <c r="X861" s="6">
        <f ca="1">-SUBTOTAL(9,INDEX(Main[مقدار تسویه شده (کیلوگرم)],1):Main[[#This Row],[مقدار تسویه شده (کیلوگرم)]])</f>
        <v>29837</v>
      </c>
      <c r="Y861" s="6">
        <f ca="1">IF(Main[[#This Row],[مانده در خط تسویه شده (کیلوگرم)]]&lt;&gt;0,Main[[#This Row],[تعداد کل روزهای بدهکار (روز)]],0)</f>
        <v>1</v>
      </c>
      <c r="Z861" s="6">
        <f ca="1">Main[[#This Row],[تعداد روزهای بدهکار تسویه شده (روز)]]*Main[[#This Row],[مانده در خط تسویه شده (کیلوگرم)]]</f>
        <v>29837</v>
      </c>
      <c r="AA861" s="6">
        <f ca="1">SUBTOTAL(9,INDEX(Main[بدهی تسویه نشده (کیلوگرم)],1):Main[[#This Row],[بدهی تسویه نشده (کیلوگرم)]])</f>
        <v>0</v>
      </c>
      <c r="AB861" s="6">
        <f ca="1">IF(Main[[#This Row],[مانده در خط تسویه نشده (کیلوگرم)]]&lt;&gt;0,Main[[#This Row],[تعداد کل روزهای بدهکار (روز)]],0)</f>
        <v>0</v>
      </c>
      <c r="AC861" s="6">
        <f ca="1">Main[[#This Row],[تعداد روزهای بدهکار  تسویه نشده (روز)]]*Main[[#This Row],[مانده در خط تسویه نشده (کیلوگرم)]]</f>
        <v>0</v>
      </c>
      <c r="AD861" s="6">
        <f ca="1">SUBTOTAL(9,INDEX(Main[بدهی سررسید شده (کیلوگرم)],1):Main[[#This Row],[بدهی سررسید شده (کیلوگرم)]])</f>
        <v>0</v>
      </c>
      <c r="AE861" s="6">
        <f ca="1">IF(Main[[#This Row],[مانده در خط سررسید شده (کیلوگرم)]]&lt;&gt;0,Main[[#This Row],[تعداد کل روزهای بدهکار (روز)]],0)</f>
        <v>0</v>
      </c>
      <c r="AF861" s="6">
        <f ca="1">Main[[#This Row],[تعداد روزهای بدهکار سررسید شده (روز)]]*Main[[#This Row],[مانده در خط سررسید شده (کیلوگرم)]]</f>
        <v>0</v>
      </c>
    </row>
    <row r="862" spans="1:32" hidden="1" x14ac:dyDescent="0.35">
      <c r="A862" s="5">
        <f>ROW()-ROW(INDEX(Main[ردیف],1))+1</f>
        <v>860</v>
      </c>
      <c r="B862" s="31">
        <f>SUBTOTAL(2,INDEX(Main[ردیف],1):Main[[#This Row],[ردیف]])</f>
        <v>80</v>
      </c>
      <c r="C862" s="32" t="s">
        <v>596</v>
      </c>
      <c r="D862" s="32" t="str">
        <f>_xlfn.CONCAT("14",Main[[#This Row],[تاريخ]])</f>
        <v>1400/03/31</v>
      </c>
      <c r="E862" s="33">
        <v>44368</v>
      </c>
      <c r="F862" s="32">
        <v>30009</v>
      </c>
      <c r="G862" s="5" t="str">
        <f>INDEX(customer[عنوان],MATCH(Main[[#This Row],[کد ردیابی]],customer[کد],0))</f>
        <v>شرکت ایمن تک پیشرو</v>
      </c>
      <c r="H862">
        <v>1442</v>
      </c>
      <c r="I862" s="6">
        <f ca="1">-Main[[#This Row],[بدهی تسویه شده (کیلوگرم)]]+Main[[#This Row],[بستانکار (کیلوگرم)]]</f>
        <v>1442</v>
      </c>
      <c r="J862" s="6">
        <f>IF(Main[[#This Row],[مقدار (کیلوگرم)]]&gt;0,Main[[#This Row],[مقدار (کیلوگرم)]],0)</f>
        <v>1442</v>
      </c>
      <c r="K862" s="6">
        <f>-IF(Main[[#This Row],[مقدار (کیلوگرم)]]&lt;0,Main[[#This Row],[مقدار (کیلوگرم)]],0)</f>
        <v>0</v>
      </c>
      <c r="L8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2" s="7">
        <f>-IF(AND(Main[[#This Row],[مقدار (کیلوگرم)]]&lt;0,Main[[#This Row],[تاريخ میلادی]]&gt;44276),Main[[#This Row],[مقدار (کیلوگرم)]],0)</f>
        <v>0</v>
      </c>
      <c r="N862" s="6">
        <f ca="1">Main[[#This Row],[بدهکار (کیلوگرم)]]-Main[[#This Row],[بدهی تسویه نشده (کیلوگرم)]]</f>
        <v>0</v>
      </c>
      <c r="O862" s="6">
        <f ca="1">Main[[#This Row],[تفکیک]]</f>
        <v>0</v>
      </c>
      <c r="P862" s="6">
        <f ca="1">IF(Main[[#This Row],[تاخیر از سررسید]]&gt;0,Main[[#This Row],[بدهی تسویه نشده (کیلوگرم)]],0)</f>
        <v>0</v>
      </c>
      <c r="Q862" s="6">
        <f ca="1">IF(Main[[#This Row],[بدهی تسویه نشده (کیلوگرم)]]&gt;0,'گزارش فردی'!$B$7-Main[[#This Row],[تاريخ میلادی]],0)</f>
        <v>0</v>
      </c>
      <c r="R862" s="6">
        <f ca="1">IF(Main[[#This Row],[بدهی تسویه نشده (کیلوگرم)]]&gt;0,'گزارش فردی'!$B$7-Main[[#This Row],[تاريخ میلادی]]-'گزارش فردی'!$B$8,0)</f>
        <v>0</v>
      </c>
      <c r="S862" s="6">
        <f ca="1">Main[[#This Row],[روز از ارسال سفارش]]*Main[[#This Row],[بدهی تسویه نشده (کیلوگرم)]]</f>
        <v>0</v>
      </c>
      <c r="T862" s="6">
        <f ca="1">Main[[#This Row],[بدهی سررسید شده (کیلوگرم)]]*Main[[#This Row],[روز از ارسال سفارش]]</f>
        <v>0</v>
      </c>
      <c r="U862" s="6">
        <f>-SUBTOTAL(9,INDEX(Main[مقدار (کیلوگرم)],1):Main[[#This Row],[مقدار (کیلوگرم)]])</f>
        <v>29837</v>
      </c>
      <c r="V8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2" s="6">
        <f>Main[[#This Row],[تعداد کل روزهای بدهکار (روز)]]*Main[[#This Row],[مانده در خط کل (کیلوگرم)]]</f>
        <v>29837</v>
      </c>
      <c r="X862" s="6">
        <f ca="1">-SUBTOTAL(9,INDEX(Main[مقدار تسویه شده (کیلوگرم)],1):Main[[#This Row],[مقدار تسویه شده (کیلوگرم)]])</f>
        <v>29837</v>
      </c>
      <c r="Y862" s="6">
        <f ca="1">IF(Main[[#This Row],[مانده در خط تسویه شده (کیلوگرم)]]&lt;&gt;0,Main[[#This Row],[تعداد کل روزهای بدهکار (روز)]],0)</f>
        <v>1</v>
      </c>
      <c r="Z862" s="6">
        <f ca="1">Main[[#This Row],[تعداد روزهای بدهکار تسویه شده (روز)]]*Main[[#This Row],[مانده در خط تسویه شده (کیلوگرم)]]</f>
        <v>29837</v>
      </c>
      <c r="AA862" s="6">
        <f ca="1">SUBTOTAL(9,INDEX(Main[بدهی تسویه نشده (کیلوگرم)],1):Main[[#This Row],[بدهی تسویه نشده (کیلوگرم)]])</f>
        <v>0</v>
      </c>
      <c r="AB862" s="6">
        <f ca="1">IF(Main[[#This Row],[مانده در خط تسویه نشده (کیلوگرم)]]&lt;&gt;0,Main[[#This Row],[تعداد کل روزهای بدهکار (روز)]],0)</f>
        <v>0</v>
      </c>
      <c r="AC862" s="6">
        <f ca="1">Main[[#This Row],[تعداد روزهای بدهکار  تسویه نشده (روز)]]*Main[[#This Row],[مانده در خط تسویه نشده (کیلوگرم)]]</f>
        <v>0</v>
      </c>
      <c r="AD862" s="6">
        <f ca="1">SUBTOTAL(9,INDEX(Main[بدهی سررسید شده (کیلوگرم)],1):Main[[#This Row],[بدهی سررسید شده (کیلوگرم)]])</f>
        <v>0</v>
      </c>
      <c r="AE862" s="6">
        <f ca="1">IF(Main[[#This Row],[مانده در خط سررسید شده (کیلوگرم)]]&lt;&gt;0,Main[[#This Row],[تعداد کل روزهای بدهکار (روز)]],0)</f>
        <v>0</v>
      </c>
      <c r="AF862" s="6">
        <f ca="1">Main[[#This Row],[تعداد روزهای بدهکار سررسید شده (روز)]]*Main[[#This Row],[مانده در خط سررسید شده (کیلوگرم)]]</f>
        <v>0</v>
      </c>
    </row>
    <row r="863" spans="1:32" hidden="1" x14ac:dyDescent="0.35">
      <c r="A863" s="5">
        <f>ROW()-ROW(INDEX(Main[ردیف],1))+1</f>
        <v>861</v>
      </c>
      <c r="B863" s="31">
        <f>SUBTOTAL(2,INDEX(Main[ردیف],1):Main[[#This Row],[ردیف]])</f>
        <v>80</v>
      </c>
      <c r="C863" s="32" t="s">
        <v>596</v>
      </c>
      <c r="D863" s="32" t="str">
        <f>_xlfn.CONCAT("14",Main[[#This Row],[تاريخ]])</f>
        <v>1400/03/31</v>
      </c>
      <c r="E863" s="33">
        <v>44368</v>
      </c>
      <c r="F863" s="32">
        <v>10055</v>
      </c>
      <c r="G863" s="5" t="str">
        <f>INDEX(customer[عنوان],MATCH(Main[[#This Row],[کد ردیابی]],customer[کد],0))</f>
        <v xml:space="preserve">مریم فیض آبادی  </v>
      </c>
      <c r="H863">
        <v>-4692</v>
      </c>
      <c r="I863" s="6">
        <f ca="1">-Main[[#This Row],[بدهی تسویه شده (کیلوگرم)]]+Main[[#This Row],[بستانکار (کیلوگرم)]]</f>
        <v>-4692</v>
      </c>
      <c r="J863" s="6">
        <f>IF(Main[[#This Row],[مقدار (کیلوگرم)]]&gt;0,Main[[#This Row],[مقدار (کیلوگرم)]],0)</f>
        <v>0</v>
      </c>
      <c r="K863" s="6">
        <f>-IF(Main[[#This Row],[مقدار (کیلوگرم)]]&lt;0,Main[[#This Row],[مقدار (کیلوگرم)]],0)</f>
        <v>4692</v>
      </c>
      <c r="L8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3" s="7">
        <f>-IF(AND(Main[[#This Row],[مقدار (کیلوگرم)]]&lt;0,Main[[#This Row],[تاريخ میلادی]]&gt;44276),Main[[#This Row],[مقدار (کیلوگرم)]],0)</f>
        <v>4692</v>
      </c>
      <c r="N863" s="6">
        <f ca="1">Main[[#This Row],[بدهکار (کیلوگرم)]]-Main[[#This Row],[بدهی تسویه نشده (کیلوگرم)]]</f>
        <v>4692</v>
      </c>
      <c r="O863" s="6">
        <f ca="1">Main[[#This Row],[تفکیک]]</f>
        <v>0</v>
      </c>
      <c r="P863" s="6">
        <f ca="1">IF(Main[[#This Row],[تاخیر از سررسید]]&gt;0,Main[[#This Row],[بدهی تسویه نشده (کیلوگرم)]],0)</f>
        <v>0</v>
      </c>
      <c r="Q863" s="6">
        <f ca="1">IF(Main[[#This Row],[بدهی تسویه نشده (کیلوگرم)]]&gt;0,'گزارش فردی'!$B$7-Main[[#This Row],[تاريخ میلادی]],0)</f>
        <v>0</v>
      </c>
      <c r="R863" s="6">
        <f ca="1">IF(Main[[#This Row],[بدهی تسویه نشده (کیلوگرم)]]&gt;0,'گزارش فردی'!$B$7-Main[[#This Row],[تاريخ میلادی]]-'گزارش فردی'!$B$8,0)</f>
        <v>0</v>
      </c>
      <c r="S863" s="6">
        <f ca="1">Main[[#This Row],[روز از ارسال سفارش]]*Main[[#This Row],[بدهی تسویه نشده (کیلوگرم)]]</f>
        <v>0</v>
      </c>
      <c r="T863" s="6">
        <f ca="1">Main[[#This Row],[بدهی سررسید شده (کیلوگرم)]]*Main[[#This Row],[روز از ارسال سفارش]]</f>
        <v>0</v>
      </c>
      <c r="U863" s="6">
        <f>-SUBTOTAL(9,INDEX(Main[مقدار (کیلوگرم)],1):Main[[#This Row],[مقدار (کیلوگرم)]])</f>
        <v>29837</v>
      </c>
      <c r="V8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3" s="6">
        <f>Main[[#This Row],[تعداد کل روزهای بدهکار (روز)]]*Main[[#This Row],[مانده در خط کل (کیلوگرم)]]</f>
        <v>29837</v>
      </c>
      <c r="X863" s="6">
        <f ca="1">-SUBTOTAL(9,INDEX(Main[مقدار تسویه شده (کیلوگرم)],1):Main[[#This Row],[مقدار تسویه شده (کیلوگرم)]])</f>
        <v>29837</v>
      </c>
      <c r="Y863" s="6">
        <f ca="1">IF(Main[[#This Row],[مانده در خط تسویه شده (کیلوگرم)]]&lt;&gt;0,Main[[#This Row],[تعداد کل روزهای بدهکار (روز)]],0)</f>
        <v>1</v>
      </c>
      <c r="Z863" s="6">
        <f ca="1">Main[[#This Row],[تعداد روزهای بدهکار تسویه شده (روز)]]*Main[[#This Row],[مانده در خط تسویه شده (کیلوگرم)]]</f>
        <v>29837</v>
      </c>
      <c r="AA863" s="6">
        <f ca="1">SUBTOTAL(9,INDEX(Main[بدهی تسویه نشده (کیلوگرم)],1):Main[[#This Row],[بدهی تسویه نشده (کیلوگرم)]])</f>
        <v>0</v>
      </c>
      <c r="AB863" s="6">
        <f ca="1">IF(Main[[#This Row],[مانده در خط تسویه نشده (کیلوگرم)]]&lt;&gt;0,Main[[#This Row],[تعداد کل روزهای بدهکار (روز)]],0)</f>
        <v>0</v>
      </c>
      <c r="AC863" s="6">
        <f ca="1">Main[[#This Row],[تعداد روزهای بدهکار  تسویه نشده (روز)]]*Main[[#This Row],[مانده در خط تسویه نشده (کیلوگرم)]]</f>
        <v>0</v>
      </c>
      <c r="AD863" s="6">
        <f ca="1">SUBTOTAL(9,INDEX(Main[بدهی سررسید شده (کیلوگرم)],1):Main[[#This Row],[بدهی سررسید شده (کیلوگرم)]])</f>
        <v>0</v>
      </c>
      <c r="AE863" s="6">
        <f ca="1">IF(Main[[#This Row],[مانده در خط سررسید شده (کیلوگرم)]]&lt;&gt;0,Main[[#This Row],[تعداد کل روزهای بدهکار (روز)]],0)</f>
        <v>0</v>
      </c>
      <c r="AF863" s="6">
        <f ca="1">Main[[#This Row],[تعداد روزهای بدهکار سررسید شده (روز)]]*Main[[#This Row],[مانده در خط سررسید شده (کیلوگرم)]]</f>
        <v>0</v>
      </c>
    </row>
    <row r="864" spans="1:32" hidden="1" x14ac:dyDescent="0.35">
      <c r="A864" s="5">
        <f>ROW()-ROW(INDEX(Main[ردیف],1))+1</f>
        <v>862</v>
      </c>
      <c r="B864" s="31">
        <f>SUBTOTAL(2,INDEX(Main[ردیف],1):Main[[#This Row],[ردیف]])</f>
        <v>80</v>
      </c>
      <c r="C864" s="32" t="s">
        <v>596</v>
      </c>
      <c r="D864" s="32" t="str">
        <f>_xlfn.CONCAT("14",Main[[#This Row],[تاريخ]])</f>
        <v>1400/03/31</v>
      </c>
      <c r="E864" s="33">
        <v>44368</v>
      </c>
      <c r="F864" s="32">
        <v>10048</v>
      </c>
      <c r="G864" s="5" t="str">
        <f>INDEX(customer[عنوان],MATCH(Main[[#This Row],[کد ردیابی]],customer[کد],0))</f>
        <v xml:space="preserve">حسام کریمان  </v>
      </c>
      <c r="H864">
        <v>605</v>
      </c>
      <c r="I864" s="6">
        <f ca="1">-Main[[#This Row],[بدهی تسویه شده (کیلوگرم)]]+Main[[#This Row],[بستانکار (کیلوگرم)]]</f>
        <v>605</v>
      </c>
      <c r="J864" s="6">
        <f>IF(Main[[#This Row],[مقدار (کیلوگرم)]]&gt;0,Main[[#This Row],[مقدار (کیلوگرم)]],0)</f>
        <v>605</v>
      </c>
      <c r="K864" s="6">
        <f>-IF(Main[[#This Row],[مقدار (کیلوگرم)]]&lt;0,Main[[#This Row],[مقدار (کیلوگرم)]],0)</f>
        <v>0</v>
      </c>
      <c r="L8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4" s="7">
        <f>-IF(AND(Main[[#This Row],[مقدار (کیلوگرم)]]&lt;0,Main[[#This Row],[تاريخ میلادی]]&gt;44276),Main[[#This Row],[مقدار (کیلوگرم)]],0)</f>
        <v>0</v>
      </c>
      <c r="N864" s="6">
        <f ca="1">Main[[#This Row],[بدهکار (کیلوگرم)]]-Main[[#This Row],[بدهی تسویه نشده (کیلوگرم)]]</f>
        <v>0</v>
      </c>
      <c r="O864" s="6">
        <f ca="1">Main[[#This Row],[تفکیک]]</f>
        <v>0</v>
      </c>
      <c r="P864" s="6">
        <f ca="1">IF(Main[[#This Row],[تاخیر از سررسید]]&gt;0,Main[[#This Row],[بدهی تسویه نشده (کیلوگرم)]],0)</f>
        <v>0</v>
      </c>
      <c r="Q864" s="6">
        <f ca="1">IF(Main[[#This Row],[بدهی تسویه نشده (کیلوگرم)]]&gt;0,'گزارش فردی'!$B$7-Main[[#This Row],[تاريخ میلادی]],0)</f>
        <v>0</v>
      </c>
      <c r="R864" s="6">
        <f ca="1">IF(Main[[#This Row],[بدهی تسویه نشده (کیلوگرم)]]&gt;0,'گزارش فردی'!$B$7-Main[[#This Row],[تاريخ میلادی]]-'گزارش فردی'!$B$8,0)</f>
        <v>0</v>
      </c>
      <c r="S864" s="6">
        <f ca="1">Main[[#This Row],[روز از ارسال سفارش]]*Main[[#This Row],[بدهی تسویه نشده (کیلوگرم)]]</f>
        <v>0</v>
      </c>
      <c r="T864" s="6">
        <f ca="1">Main[[#This Row],[بدهی سررسید شده (کیلوگرم)]]*Main[[#This Row],[روز از ارسال سفارش]]</f>
        <v>0</v>
      </c>
      <c r="U864" s="6">
        <f>-SUBTOTAL(9,INDEX(Main[مقدار (کیلوگرم)],1):Main[[#This Row],[مقدار (کیلوگرم)]])</f>
        <v>29837</v>
      </c>
      <c r="V8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4" s="6">
        <f>Main[[#This Row],[تعداد کل روزهای بدهکار (روز)]]*Main[[#This Row],[مانده در خط کل (کیلوگرم)]]</f>
        <v>29837</v>
      </c>
      <c r="X864" s="6">
        <f ca="1">-SUBTOTAL(9,INDEX(Main[مقدار تسویه شده (کیلوگرم)],1):Main[[#This Row],[مقدار تسویه شده (کیلوگرم)]])</f>
        <v>29837</v>
      </c>
      <c r="Y864" s="6">
        <f ca="1">IF(Main[[#This Row],[مانده در خط تسویه شده (کیلوگرم)]]&lt;&gt;0,Main[[#This Row],[تعداد کل روزهای بدهکار (روز)]],0)</f>
        <v>1</v>
      </c>
      <c r="Z864" s="6">
        <f ca="1">Main[[#This Row],[تعداد روزهای بدهکار تسویه شده (روز)]]*Main[[#This Row],[مانده در خط تسویه شده (کیلوگرم)]]</f>
        <v>29837</v>
      </c>
      <c r="AA864" s="6">
        <f ca="1">SUBTOTAL(9,INDEX(Main[بدهی تسویه نشده (کیلوگرم)],1):Main[[#This Row],[بدهی تسویه نشده (کیلوگرم)]])</f>
        <v>0</v>
      </c>
      <c r="AB864" s="6">
        <f ca="1">IF(Main[[#This Row],[مانده در خط تسویه نشده (کیلوگرم)]]&lt;&gt;0,Main[[#This Row],[تعداد کل روزهای بدهکار (روز)]],0)</f>
        <v>0</v>
      </c>
      <c r="AC864" s="6">
        <f ca="1">Main[[#This Row],[تعداد روزهای بدهکار  تسویه نشده (روز)]]*Main[[#This Row],[مانده در خط تسویه نشده (کیلوگرم)]]</f>
        <v>0</v>
      </c>
      <c r="AD864" s="6">
        <f ca="1">SUBTOTAL(9,INDEX(Main[بدهی سررسید شده (کیلوگرم)],1):Main[[#This Row],[بدهی سررسید شده (کیلوگرم)]])</f>
        <v>0</v>
      </c>
      <c r="AE864" s="6">
        <f ca="1">IF(Main[[#This Row],[مانده در خط سررسید شده (کیلوگرم)]]&lt;&gt;0,Main[[#This Row],[تعداد کل روزهای بدهکار (روز)]],0)</f>
        <v>0</v>
      </c>
      <c r="AF864" s="6">
        <f ca="1">Main[[#This Row],[تعداد روزهای بدهکار سررسید شده (روز)]]*Main[[#This Row],[مانده در خط سررسید شده (کیلوگرم)]]</f>
        <v>0</v>
      </c>
    </row>
    <row r="865" spans="1:32" hidden="1" x14ac:dyDescent="0.35">
      <c r="A865" s="5">
        <f>ROW()-ROW(INDEX(Main[ردیف],1))+1</f>
        <v>863</v>
      </c>
      <c r="B865" s="31">
        <f>SUBTOTAL(2,INDEX(Main[ردیف],1):Main[[#This Row],[ردیف]])</f>
        <v>80</v>
      </c>
      <c r="C865" s="32" t="s">
        <v>596</v>
      </c>
      <c r="D865" s="32" t="str">
        <f>_xlfn.CONCAT("14",Main[[#This Row],[تاريخ]])</f>
        <v>1400/03/31</v>
      </c>
      <c r="E865" s="33">
        <v>44368</v>
      </c>
      <c r="F865" s="32">
        <v>30004</v>
      </c>
      <c r="G865" s="5" t="str">
        <f>INDEX(customer[عنوان],MATCH(Main[[#This Row],[کد ردیابی]],customer[کد],0))</f>
        <v>تولیدی صنعتی صفاشیر پارس</v>
      </c>
      <c r="H865">
        <v>990</v>
      </c>
      <c r="I865" s="6">
        <f ca="1">-Main[[#This Row],[بدهی تسویه شده (کیلوگرم)]]+Main[[#This Row],[بستانکار (کیلوگرم)]]</f>
        <v>990</v>
      </c>
      <c r="J865" s="6">
        <f>IF(Main[[#This Row],[مقدار (کیلوگرم)]]&gt;0,Main[[#This Row],[مقدار (کیلوگرم)]],0)</f>
        <v>990</v>
      </c>
      <c r="K865" s="6">
        <f>-IF(Main[[#This Row],[مقدار (کیلوگرم)]]&lt;0,Main[[#This Row],[مقدار (کیلوگرم)]],0)</f>
        <v>0</v>
      </c>
      <c r="L8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5" s="7">
        <f>-IF(AND(Main[[#This Row],[مقدار (کیلوگرم)]]&lt;0,Main[[#This Row],[تاريخ میلادی]]&gt;44276),Main[[#This Row],[مقدار (کیلوگرم)]],0)</f>
        <v>0</v>
      </c>
      <c r="N865" s="6">
        <f ca="1">Main[[#This Row],[بدهکار (کیلوگرم)]]-Main[[#This Row],[بدهی تسویه نشده (کیلوگرم)]]</f>
        <v>0</v>
      </c>
      <c r="O865" s="6">
        <f ca="1">Main[[#This Row],[تفکیک]]</f>
        <v>0</v>
      </c>
      <c r="P865" s="6">
        <f ca="1">IF(Main[[#This Row],[تاخیر از سررسید]]&gt;0,Main[[#This Row],[بدهی تسویه نشده (کیلوگرم)]],0)</f>
        <v>0</v>
      </c>
      <c r="Q865" s="6">
        <f ca="1">IF(Main[[#This Row],[بدهی تسویه نشده (کیلوگرم)]]&gt;0,'گزارش فردی'!$B$7-Main[[#This Row],[تاريخ میلادی]],0)</f>
        <v>0</v>
      </c>
      <c r="R865" s="6">
        <f ca="1">IF(Main[[#This Row],[بدهی تسویه نشده (کیلوگرم)]]&gt;0,'گزارش فردی'!$B$7-Main[[#This Row],[تاريخ میلادی]]-'گزارش فردی'!$B$8,0)</f>
        <v>0</v>
      </c>
      <c r="S865" s="6">
        <f ca="1">Main[[#This Row],[روز از ارسال سفارش]]*Main[[#This Row],[بدهی تسویه نشده (کیلوگرم)]]</f>
        <v>0</v>
      </c>
      <c r="T865" s="6">
        <f ca="1">Main[[#This Row],[بدهی سررسید شده (کیلوگرم)]]*Main[[#This Row],[روز از ارسال سفارش]]</f>
        <v>0</v>
      </c>
      <c r="U865" s="6">
        <f>-SUBTOTAL(9,INDEX(Main[مقدار (کیلوگرم)],1):Main[[#This Row],[مقدار (کیلوگرم)]])</f>
        <v>29837</v>
      </c>
      <c r="V8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5" s="6">
        <f>Main[[#This Row],[تعداد کل روزهای بدهکار (روز)]]*Main[[#This Row],[مانده در خط کل (کیلوگرم)]]</f>
        <v>29837</v>
      </c>
      <c r="X865" s="6">
        <f ca="1">-SUBTOTAL(9,INDEX(Main[مقدار تسویه شده (کیلوگرم)],1):Main[[#This Row],[مقدار تسویه شده (کیلوگرم)]])</f>
        <v>29837</v>
      </c>
      <c r="Y865" s="6">
        <f ca="1">IF(Main[[#This Row],[مانده در خط تسویه شده (کیلوگرم)]]&lt;&gt;0,Main[[#This Row],[تعداد کل روزهای بدهکار (روز)]],0)</f>
        <v>1</v>
      </c>
      <c r="Z865" s="6">
        <f ca="1">Main[[#This Row],[تعداد روزهای بدهکار تسویه شده (روز)]]*Main[[#This Row],[مانده در خط تسویه شده (کیلوگرم)]]</f>
        <v>29837</v>
      </c>
      <c r="AA865" s="6">
        <f ca="1">SUBTOTAL(9,INDEX(Main[بدهی تسویه نشده (کیلوگرم)],1):Main[[#This Row],[بدهی تسویه نشده (کیلوگرم)]])</f>
        <v>0</v>
      </c>
      <c r="AB865" s="6">
        <f ca="1">IF(Main[[#This Row],[مانده در خط تسویه نشده (کیلوگرم)]]&lt;&gt;0,Main[[#This Row],[تعداد کل روزهای بدهکار (روز)]],0)</f>
        <v>0</v>
      </c>
      <c r="AC865" s="6">
        <f ca="1">Main[[#This Row],[تعداد روزهای بدهکار  تسویه نشده (روز)]]*Main[[#This Row],[مانده در خط تسویه نشده (کیلوگرم)]]</f>
        <v>0</v>
      </c>
      <c r="AD865" s="6">
        <f ca="1">SUBTOTAL(9,INDEX(Main[بدهی سررسید شده (کیلوگرم)],1):Main[[#This Row],[بدهی سررسید شده (کیلوگرم)]])</f>
        <v>0</v>
      </c>
      <c r="AE865" s="6">
        <f ca="1">IF(Main[[#This Row],[مانده در خط سررسید شده (کیلوگرم)]]&lt;&gt;0,Main[[#This Row],[تعداد کل روزهای بدهکار (روز)]],0)</f>
        <v>0</v>
      </c>
      <c r="AF865" s="6">
        <f ca="1">Main[[#This Row],[تعداد روزهای بدهکار سررسید شده (روز)]]*Main[[#This Row],[مانده در خط سررسید شده (کیلوگرم)]]</f>
        <v>0</v>
      </c>
    </row>
    <row r="866" spans="1:32" hidden="1" x14ac:dyDescent="0.35">
      <c r="A866" s="5">
        <f>ROW()-ROW(INDEX(Main[ردیف],1))+1</f>
        <v>864</v>
      </c>
      <c r="B866" s="31">
        <f>SUBTOTAL(2,INDEX(Main[ردیف],1):Main[[#This Row],[ردیف]])</f>
        <v>80</v>
      </c>
      <c r="C866" s="32" t="s">
        <v>596</v>
      </c>
      <c r="D866" s="32" t="str">
        <f>_xlfn.CONCAT("14",Main[[#This Row],[تاريخ]])</f>
        <v>1400/03/31</v>
      </c>
      <c r="E866" s="33">
        <v>44368</v>
      </c>
      <c r="F866" s="32">
        <v>30004</v>
      </c>
      <c r="G866" s="5" t="str">
        <f>INDEX(customer[عنوان],MATCH(Main[[#This Row],[کد ردیابی]],customer[کد],0))</f>
        <v>تولیدی صنعتی صفاشیر پارس</v>
      </c>
      <c r="H866">
        <v>1355</v>
      </c>
      <c r="I866" s="6">
        <f ca="1">-Main[[#This Row],[بدهی تسویه شده (کیلوگرم)]]+Main[[#This Row],[بستانکار (کیلوگرم)]]</f>
        <v>1355</v>
      </c>
      <c r="J866" s="6">
        <f>IF(Main[[#This Row],[مقدار (کیلوگرم)]]&gt;0,Main[[#This Row],[مقدار (کیلوگرم)]],0)</f>
        <v>1355</v>
      </c>
      <c r="K866" s="6">
        <f>-IF(Main[[#This Row],[مقدار (کیلوگرم)]]&lt;0,Main[[#This Row],[مقدار (کیلوگرم)]],0)</f>
        <v>0</v>
      </c>
      <c r="L8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6" s="7">
        <f>-IF(AND(Main[[#This Row],[مقدار (کیلوگرم)]]&lt;0,Main[[#This Row],[تاريخ میلادی]]&gt;44276),Main[[#This Row],[مقدار (کیلوگرم)]],0)</f>
        <v>0</v>
      </c>
      <c r="N866" s="6">
        <f ca="1">Main[[#This Row],[بدهکار (کیلوگرم)]]-Main[[#This Row],[بدهی تسویه نشده (کیلوگرم)]]</f>
        <v>0</v>
      </c>
      <c r="O866" s="6">
        <f ca="1">Main[[#This Row],[تفکیک]]</f>
        <v>0</v>
      </c>
      <c r="P866" s="6">
        <f ca="1">IF(Main[[#This Row],[تاخیر از سررسید]]&gt;0,Main[[#This Row],[بدهی تسویه نشده (کیلوگرم)]],0)</f>
        <v>0</v>
      </c>
      <c r="Q866" s="6">
        <f ca="1">IF(Main[[#This Row],[بدهی تسویه نشده (کیلوگرم)]]&gt;0,'گزارش فردی'!$B$7-Main[[#This Row],[تاريخ میلادی]],0)</f>
        <v>0</v>
      </c>
      <c r="R866" s="6">
        <f ca="1">IF(Main[[#This Row],[بدهی تسویه نشده (کیلوگرم)]]&gt;0,'گزارش فردی'!$B$7-Main[[#This Row],[تاريخ میلادی]]-'گزارش فردی'!$B$8,0)</f>
        <v>0</v>
      </c>
      <c r="S866" s="6">
        <f ca="1">Main[[#This Row],[روز از ارسال سفارش]]*Main[[#This Row],[بدهی تسویه نشده (کیلوگرم)]]</f>
        <v>0</v>
      </c>
      <c r="T866" s="6">
        <f ca="1">Main[[#This Row],[بدهی سررسید شده (کیلوگرم)]]*Main[[#This Row],[روز از ارسال سفارش]]</f>
        <v>0</v>
      </c>
      <c r="U866" s="6">
        <f>-SUBTOTAL(9,INDEX(Main[مقدار (کیلوگرم)],1):Main[[#This Row],[مقدار (کیلوگرم)]])</f>
        <v>29837</v>
      </c>
      <c r="V8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6" s="6">
        <f>Main[[#This Row],[تعداد کل روزهای بدهکار (روز)]]*Main[[#This Row],[مانده در خط کل (کیلوگرم)]]</f>
        <v>29837</v>
      </c>
      <c r="X866" s="6">
        <f ca="1">-SUBTOTAL(9,INDEX(Main[مقدار تسویه شده (کیلوگرم)],1):Main[[#This Row],[مقدار تسویه شده (کیلوگرم)]])</f>
        <v>29837</v>
      </c>
      <c r="Y866" s="6">
        <f ca="1">IF(Main[[#This Row],[مانده در خط تسویه شده (کیلوگرم)]]&lt;&gt;0,Main[[#This Row],[تعداد کل روزهای بدهکار (روز)]],0)</f>
        <v>1</v>
      </c>
      <c r="Z866" s="6">
        <f ca="1">Main[[#This Row],[تعداد روزهای بدهکار تسویه شده (روز)]]*Main[[#This Row],[مانده در خط تسویه شده (کیلوگرم)]]</f>
        <v>29837</v>
      </c>
      <c r="AA866" s="6">
        <f ca="1">SUBTOTAL(9,INDEX(Main[بدهی تسویه نشده (کیلوگرم)],1):Main[[#This Row],[بدهی تسویه نشده (کیلوگرم)]])</f>
        <v>0</v>
      </c>
      <c r="AB866" s="6">
        <f ca="1">IF(Main[[#This Row],[مانده در خط تسویه نشده (کیلوگرم)]]&lt;&gt;0,Main[[#This Row],[تعداد کل روزهای بدهکار (روز)]],0)</f>
        <v>0</v>
      </c>
      <c r="AC866" s="6">
        <f ca="1">Main[[#This Row],[تعداد روزهای بدهکار  تسویه نشده (روز)]]*Main[[#This Row],[مانده در خط تسویه نشده (کیلوگرم)]]</f>
        <v>0</v>
      </c>
      <c r="AD866" s="6">
        <f ca="1">SUBTOTAL(9,INDEX(Main[بدهی سررسید شده (کیلوگرم)],1):Main[[#This Row],[بدهی سررسید شده (کیلوگرم)]])</f>
        <v>0</v>
      </c>
      <c r="AE866" s="6">
        <f ca="1">IF(Main[[#This Row],[مانده در خط سررسید شده (کیلوگرم)]]&lt;&gt;0,Main[[#This Row],[تعداد کل روزهای بدهکار (روز)]],0)</f>
        <v>0</v>
      </c>
      <c r="AF866" s="6">
        <f ca="1">Main[[#This Row],[تعداد روزهای بدهکار سررسید شده (روز)]]*Main[[#This Row],[مانده در خط سررسید شده (کیلوگرم)]]</f>
        <v>0</v>
      </c>
    </row>
    <row r="867" spans="1:32" hidden="1" x14ac:dyDescent="0.35">
      <c r="A867" s="5">
        <f>ROW()-ROW(INDEX(Main[ردیف],1))+1</f>
        <v>865</v>
      </c>
      <c r="B867" s="31">
        <f>SUBTOTAL(2,INDEX(Main[ردیف],1):Main[[#This Row],[ردیف]])</f>
        <v>80</v>
      </c>
      <c r="C867" s="32" t="s">
        <v>598</v>
      </c>
      <c r="D867" s="32" t="str">
        <f>_xlfn.CONCAT("14",Main[[#This Row],[تاريخ]])</f>
        <v>1400/04/01</v>
      </c>
      <c r="E867" s="33">
        <v>44369</v>
      </c>
      <c r="F867" s="32">
        <v>30009</v>
      </c>
      <c r="G867" s="5" t="str">
        <f>INDEX(customer[عنوان],MATCH(Main[[#This Row],[کد ردیابی]],customer[کد],0))</f>
        <v>شرکت ایمن تک پیشرو</v>
      </c>
      <c r="H867">
        <v>-3592</v>
      </c>
      <c r="I867" s="6">
        <f ca="1">-Main[[#This Row],[بدهی تسویه شده (کیلوگرم)]]+Main[[#This Row],[بستانکار (کیلوگرم)]]</f>
        <v>-3592</v>
      </c>
      <c r="J867" s="6">
        <f>IF(Main[[#This Row],[مقدار (کیلوگرم)]]&gt;0,Main[[#This Row],[مقدار (کیلوگرم)]],0)</f>
        <v>0</v>
      </c>
      <c r="K867" s="6">
        <f>-IF(Main[[#This Row],[مقدار (کیلوگرم)]]&lt;0,Main[[#This Row],[مقدار (کیلوگرم)]],0)</f>
        <v>3592</v>
      </c>
      <c r="L8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7" s="7">
        <f>-IF(AND(Main[[#This Row],[مقدار (کیلوگرم)]]&lt;0,Main[[#This Row],[تاريخ میلادی]]&gt;44276),Main[[#This Row],[مقدار (کیلوگرم)]],0)</f>
        <v>3592</v>
      </c>
      <c r="N867" s="6">
        <f ca="1">Main[[#This Row],[بدهکار (کیلوگرم)]]-Main[[#This Row],[بدهی تسویه نشده (کیلوگرم)]]</f>
        <v>3592</v>
      </c>
      <c r="O867" s="6">
        <f ca="1">Main[[#This Row],[تفکیک]]</f>
        <v>0</v>
      </c>
      <c r="P867" s="6">
        <f ca="1">IF(Main[[#This Row],[تاخیر از سررسید]]&gt;0,Main[[#This Row],[بدهی تسویه نشده (کیلوگرم)]],0)</f>
        <v>0</v>
      </c>
      <c r="Q867" s="6">
        <f ca="1">IF(Main[[#This Row],[بدهی تسویه نشده (کیلوگرم)]]&gt;0,'گزارش فردی'!$B$7-Main[[#This Row],[تاريخ میلادی]],0)</f>
        <v>0</v>
      </c>
      <c r="R867" s="6">
        <f ca="1">IF(Main[[#This Row],[بدهی تسویه نشده (کیلوگرم)]]&gt;0,'گزارش فردی'!$B$7-Main[[#This Row],[تاريخ میلادی]]-'گزارش فردی'!$B$8,0)</f>
        <v>0</v>
      </c>
      <c r="S867" s="6">
        <f ca="1">Main[[#This Row],[روز از ارسال سفارش]]*Main[[#This Row],[بدهی تسویه نشده (کیلوگرم)]]</f>
        <v>0</v>
      </c>
      <c r="T867" s="6">
        <f ca="1">Main[[#This Row],[بدهی سررسید شده (کیلوگرم)]]*Main[[#This Row],[روز از ارسال سفارش]]</f>
        <v>0</v>
      </c>
      <c r="U867" s="6">
        <f>-SUBTOTAL(9,INDEX(Main[مقدار (کیلوگرم)],1):Main[[#This Row],[مقدار (کیلوگرم)]])</f>
        <v>29837</v>
      </c>
      <c r="V8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67" s="6">
        <f>Main[[#This Row],[تعداد کل روزهای بدهکار (روز)]]*Main[[#This Row],[مانده در خط کل (کیلوگرم)]]</f>
        <v>0</v>
      </c>
      <c r="X867" s="6">
        <f ca="1">-SUBTOTAL(9,INDEX(Main[مقدار تسویه شده (کیلوگرم)],1):Main[[#This Row],[مقدار تسویه شده (کیلوگرم)]])</f>
        <v>29837</v>
      </c>
      <c r="Y867" s="6">
        <f ca="1">IF(Main[[#This Row],[مانده در خط تسویه شده (کیلوگرم)]]&lt;&gt;0,Main[[#This Row],[تعداد کل روزهای بدهکار (روز)]],0)</f>
        <v>0</v>
      </c>
      <c r="Z867" s="6">
        <f ca="1">Main[[#This Row],[تعداد روزهای بدهکار تسویه شده (روز)]]*Main[[#This Row],[مانده در خط تسویه شده (کیلوگرم)]]</f>
        <v>0</v>
      </c>
      <c r="AA867" s="6">
        <f ca="1">SUBTOTAL(9,INDEX(Main[بدهی تسویه نشده (کیلوگرم)],1):Main[[#This Row],[بدهی تسویه نشده (کیلوگرم)]])</f>
        <v>0</v>
      </c>
      <c r="AB867" s="6">
        <f ca="1">IF(Main[[#This Row],[مانده در خط تسویه نشده (کیلوگرم)]]&lt;&gt;0,Main[[#This Row],[تعداد کل روزهای بدهکار (روز)]],0)</f>
        <v>0</v>
      </c>
      <c r="AC867" s="6">
        <f ca="1">Main[[#This Row],[تعداد روزهای بدهکار  تسویه نشده (روز)]]*Main[[#This Row],[مانده در خط تسویه نشده (کیلوگرم)]]</f>
        <v>0</v>
      </c>
      <c r="AD867" s="6">
        <f ca="1">SUBTOTAL(9,INDEX(Main[بدهی سررسید شده (کیلوگرم)],1):Main[[#This Row],[بدهی سررسید شده (کیلوگرم)]])</f>
        <v>0</v>
      </c>
      <c r="AE867" s="6">
        <f ca="1">IF(Main[[#This Row],[مانده در خط سررسید شده (کیلوگرم)]]&lt;&gt;0,Main[[#This Row],[تعداد کل روزهای بدهکار (روز)]],0)</f>
        <v>0</v>
      </c>
      <c r="AF867" s="6">
        <f ca="1">Main[[#This Row],[تعداد روزهای بدهکار سررسید شده (روز)]]*Main[[#This Row],[مانده در خط سررسید شده (کیلوگرم)]]</f>
        <v>0</v>
      </c>
    </row>
    <row r="868" spans="1:32" hidden="1" x14ac:dyDescent="0.35">
      <c r="A868" s="5">
        <f>ROW()-ROW(INDEX(Main[ردیف],1))+1</f>
        <v>866</v>
      </c>
      <c r="B868" s="31">
        <f>SUBTOTAL(2,INDEX(Main[ردیف],1):Main[[#This Row],[ردیف]])</f>
        <v>80</v>
      </c>
      <c r="C868" s="32" t="s">
        <v>598</v>
      </c>
      <c r="D868" s="32" t="str">
        <f>_xlfn.CONCAT("14",Main[[#This Row],[تاريخ]])</f>
        <v>1400/04/01</v>
      </c>
      <c r="E868" s="33">
        <v>44369</v>
      </c>
      <c r="F868" s="32">
        <v>10048</v>
      </c>
      <c r="G868" s="5" t="str">
        <f>INDEX(customer[عنوان],MATCH(Main[[#This Row],[کد ردیابی]],customer[کد],0))</f>
        <v xml:space="preserve">حسام کریمان  </v>
      </c>
      <c r="H868">
        <v>371</v>
      </c>
      <c r="I868" s="6">
        <f ca="1">-Main[[#This Row],[بدهی تسویه شده (کیلوگرم)]]+Main[[#This Row],[بستانکار (کیلوگرم)]]</f>
        <v>371</v>
      </c>
      <c r="J868" s="6">
        <f>IF(Main[[#This Row],[مقدار (کیلوگرم)]]&gt;0,Main[[#This Row],[مقدار (کیلوگرم)]],0)</f>
        <v>371</v>
      </c>
      <c r="K868" s="6">
        <f>-IF(Main[[#This Row],[مقدار (کیلوگرم)]]&lt;0,Main[[#This Row],[مقدار (کیلوگرم)]],0)</f>
        <v>0</v>
      </c>
      <c r="L8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8" s="7">
        <f>-IF(AND(Main[[#This Row],[مقدار (کیلوگرم)]]&lt;0,Main[[#This Row],[تاريخ میلادی]]&gt;44276),Main[[#This Row],[مقدار (کیلوگرم)]],0)</f>
        <v>0</v>
      </c>
      <c r="N868" s="6">
        <f ca="1">Main[[#This Row],[بدهکار (کیلوگرم)]]-Main[[#This Row],[بدهی تسویه نشده (کیلوگرم)]]</f>
        <v>0</v>
      </c>
      <c r="O868" s="6">
        <f ca="1">Main[[#This Row],[تفکیک]]</f>
        <v>0</v>
      </c>
      <c r="P868" s="6">
        <f ca="1">IF(Main[[#This Row],[تاخیر از سررسید]]&gt;0,Main[[#This Row],[بدهی تسویه نشده (کیلوگرم)]],0)</f>
        <v>0</v>
      </c>
      <c r="Q868" s="6">
        <f ca="1">IF(Main[[#This Row],[بدهی تسویه نشده (کیلوگرم)]]&gt;0,'گزارش فردی'!$B$7-Main[[#This Row],[تاريخ میلادی]],0)</f>
        <v>0</v>
      </c>
      <c r="R868" s="6">
        <f ca="1">IF(Main[[#This Row],[بدهی تسویه نشده (کیلوگرم)]]&gt;0,'گزارش فردی'!$B$7-Main[[#This Row],[تاريخ میلادی]]-'گزارش فردی'!$B$8,0)</f>
        <v>0</v>
      </c>
      <c r="S868" s="6">
        <f ca="1">Main[[#This Row],[روز از ارسال سفارش]]*Main[[#This Row],[بدهی تسویه نشده (کیلوگرم)]]</f>
        <v>0</v>
      </c>
      <c r="T868" s="6">
        <f ca="1">Main[[#This Row],[بدهی سررسید شده (کیلوگرم)]]*Main[[#This Row],[روز از ارسال سفارش]]</f>
        <v>0</v>
      </c>
      <c r="U868" s="6">
        <f>-SUBTOTAL(9,INDEX(Main[مقدار (کیلوگرم)],1):Main[[#This Row],[مقدار (کیلوگرم)]])</f>
        <v>29837</v>
      </c>
      <c r="V8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68" s="6">
        <f>Main[[#This Row],[تعداد کل روزهای بدهکار (روز)]]*Main[[#This Row],[مانده در خط کل (کیلوگرم)]]</f>
        <v>0</v>
      </c>
      <c r="X868" s="6">
        <f ca="1">-SUBTOTAL(9,INDEX(Main[مقدار تسویه شده (کیلوگرم)],1):Main[[#This Row],[مقدار تسویه شده (کیلوگرم)]])</f>
        <v>29837</v>
      </c>
      <c r="Y868" s="6">
        <f ca="1">IF(Main[[#This Row],[مانده در خط تسویه شده (کیلوگرم)]]&lt;&gt;0,Main[[#This Row],[تعداد کل روزهای بدهکار (روز)]],0)</f>
        <v>0</v>
      </c>
      <c r="Z868" s="6">
        <f ca="1">Main[[#This Row],[تعداد روزهای بدهکار تسویه شده (روز)]]*Main[[#This Row],[مانده در خط تسویه شده (کیلوگرم)]]</f>
        <v>0</v>
      </c>
      <c r="AA868" s="6">
        <f ca="1">SUBTOTAL(9,INDEX(Main[بدهی تسویه نشده (کیلوگرم)],1):Main[[#This Row],[بدهی تسویه نشده (کیلوگرم)]])</f>
        <v>0</v>
      </c>
      <c r="AB868" s="6">
        <f ca="1">IF(Main[[#This Row],[مانده در خط تسویه نشده (کیلوگرم)]]&lt;&gt;0,Main[[#This Row],[تعداد کل روزهای بدهکار (روز)]],0)</f>
        <v>0</v>
      </c>
      <c r="AC868" s="6">
        <f ca="1">Main[[#This Row],[تعداد روزهای بدهکار  تسویه نشده (روز)]]*Main[[#This Row],[مانده در خط تسویه نشده (کیلوگرم)]]</f>
        <v>0</v>
      </c>
      <c r="AD868" s="6">
        <f ca="1">SUBTOTAL(9,INDEX(Main[بدهی سررسید شده (کیلوگرم)],1):Main[[#This Row],[بدهی سررسید شده (کیلوگرم)]])</f>
        <v>0</v>
      </c>
      <c r="AE868" s="6">
        <f ca="1">IF(Main[[#This Row],[مانده در خط سررسید شده (کیلوگرم)]]&lt;&gt;0,Main[[#This Row],[تعداد کل روزهای بدهکار (روز)]],0)</f>
        <v>0</v>
      </c>
      <c r="AF868" s="6">
        <f ca="1">Main[[#This Row],[تعداد روزهای بدهکار سررسید شده (روز)]]*Main[[#This Row],[مانده در خط سررسید شده (کیلوگرم)]]</f>
        <v>0</v>
      </c>
    </row>
    <row r="869" spans="1:32" hidden="1" x14ac:dyDescent="0.35">
      <c r="A869" s="5">
        <f>ROW()-ROW(INDEX(Main[ردیف],1))+1</f>
        <v>867</v>
      </c>
      <c r="B869" s="31">
        <f>SUBTOTAL(2,INDEX(Main[ردیف],1):Main[[#This Row],[ردیف]])</f>
        <v>80</v>
      </c>
      <c r="C869" s="32" t="s">
        <v>598</v>
      </c>
      <c r="D869" s="32" t="str">
        <f>_xlfn.CONCAT("14",Main[[#This Row],[تاريخ]])</f>
        <v>1400/04/01</v>
      </c>
      <c r="E869" s="33">
        <v>44369</v>
      </c>
      <c r="F869" s="32">
        <v>30081</v>
      </c>
      <c r="G869" s="5" t="str">
        <f>INDEX(customer[عنوان],MATCH(Main[[#This Row],[کد ردیابی]],customer[کد],0))</f>
        <v xml:space="preserve">شیرآلات بهداشتی راسان </v>
      </c>
      <c r="H869">
        <v>-1990</v>
      </c>
      <c r="I869" s="6">
        <f ca="1">-Main[[#This Row],[بدهی تسویه شده (کیلوگرم)]]+Main[[#This Row],[بستانکار (کیلوگرم)]]</f>
        <v>-1990</v>
      </c>
      <c r="J869" s="6">
        <f>IF(Main[[#This Row],[مقدار (کیلوگرم)]]&gt;0,Main[[#This Row],[مقدار (کیلوگرم)]],0)</f>
        <v>0</v>
      </c>
      <c r="K869" s="6">
        <f>-IF(Main[[#This Row],[مقدار (کیلوگرم)]]&lt;0,Main[[#This Row],[مقدار (کیلوگرم)]],0)</f>
        <v>1990</v>
      </c>
      <c r="L8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9" s="7">
        <f>-IF(AND(Main[[#This Row],[مقدار (کیلوگرم)]]&lt;0,Main[[#This Row],[تاريخ میلادی]]&gt;44276),Main[[#This Row],[مقدار (کیلوگرم)]],0)</f>
        <v>1990</v>
      </c>
      <c r="N869" s="6">
        <f ca="1">Main[[#This Row],[بدهکار (کیلوگرم)]]-Main[[#This Row],[بدهی تسویه نشده (کیلوگرم)]]</f>
        <v>1990</v>
      </c>
      <c r="O869" s="6">
        <f ca="1">Main[[#This Row],[تفکیک]]</f>
        <v>0</v>
      </c>
      <c r="P869" s="6">
        <f ca="1">IF(Main[[#This Row],[تاخیر از سررسید]]&gt;0,Main[[#This Row],[بدهی تسویه نشده (کیلوگرم)]],0)</f>
        <v>0</v>
      </c>
      <c r="Q869" s="6">
        <f ca="1">IF(Main[[#This Row],[بدهی تسویه نشده (کیلوگرم)]]&gt;0,'گزارش فردی'!$B$7-Main[[#This Row],[تاريخ میلادی]],0)</f>
        <v>0</v>
      </c>
      <c r="R869" s="6">
        <f ca="1">IF(Main[[#This Row],[بدهی تسویه نشده (کیلوگرم)]]&gt;0,'گزارش فردی'!$B$7-Main[[#This Row],[تاريخ میلادی]]-'گزارش فردی'!$B$8,0)</f>
        <v>0</v>
      </c>
      <c r="S869" s="6">
        <f ca="1">Main[[#This Row],[روز از ارسال سفارش]]*Main[[#This Row],[بدهی تسویه نشده (کیلوگرم)]]</f>
        <v>0</v>
      </c>
      <c r="T869" s="6">
        <f ca="1">Main[[#This Row],[بدهی سررسید شده (کیلوگرم)]]*Main[[#This Row],[روز از ارسال سفارش]]</f>
        <v>0</v>
      </c>
      <c r="U869" s="6">
        <f>-SUBTOTAL(9,INDEX(Main[مقدار (کیلوگرم)],1):Main[[#This Row],[مقدار (کیلوگرم)]])</f>
        <v>29837</v>
      </c>
      <c r="V8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69" s="6">
        <f>Main[[#This Row],[تعداد کل روزهای بدهکار (روز)]]*Main[[#This Row],[مانده در خط کل (کیلوگرم)]]</f>
        <v>0</v>
      </c>
      <c r="X869" s="6">
        <f ca="1">-SUBTOTAL(9,INDEX(Main[مقدار تسویه شده (کیلوگرم)],1):Main[[#This Row],[مقدار تسویه شده (کیلوگرم)]])</f>
        <v>29837</v>
      </c>
      <c r="Y869" s="6">
        <f ca="1">IF(Main[[#This Row],[مانده در خط تسویه شده (کیلوگرم)]]&lt;&gt;0,Main[[#This Row],[تعداد کل روزهای بدهکار (روز)]],0)</f>
        <v>0</v>
      </c>
      <c r="Z869" s="6">
        <f ca="1">Main[[#This Row],[تعداد روزهای بدهکار تسویه شده (روز)]]*Main[[#This Row],[مانده در خط تسویه شده (کیلوگرم)]]</f>
        <v>0</v>
      </c>
      <c r="AA869" s="6">
        <f ca="1">SUBTOTAL(9,INDEX(Main[بدهی تسویه نشده (کیلوگرم)],1):Main[[#This Row],[بدهی تسویه نشده (کیلوگرم)]])</f>
        <v>0</v>
      </c>
      <c r="AB869" s="6">
        <f ca="1">IF(Main[[#This Row],[مانده در خط تسویه نشده (کیلوگرم)]]&lt;&gt;0,Main[[#This Row],[تعداد کل روزهای بدهکار (روز)]],0)</f>
        <v>0</v>
      </c>
      <c r="AC869" s="6">
        <f ca="1">Main[[#This Row],[تعداد روزهای بدهکار  تسویه نشده (روز)]]*Main[[#This Row],[مانده در خط تسویه نشده (کیلوگرم)]]</f>
        <v>0</v>
      </c>
      <c r="AD869" s="6">
        <f ca="1">SUBTOTAL(9,INDEX(Main[بدهی سررسید شده (کیلوگرم)],1):Main[[#This Row],[بدهی سررسید شده (کیلوگرم)]])</f>
        <v>0</v>
      </c>
      <c r="AE869" s="6">
        <f ca="1">IF(Main[[#This Row],[مانده در خط سررسید شده (کیلوگرم)]]&lt;&gt;0,Main[[#This Row],[تعداد کل روزهای بدهکار (روز)]],0)</f>
        <v>0</v>
      </c>
      <c r="AF869" s="6">
        <f ca="1">Main[[#This Row],[تعداد روزهای بدهکار سررسید شده (روز)]]*Main[[#This Row],[مانده در خط سررسید شده (کیلوگرم)]]</f>
        <v>0</v>
      </c>
    </row>
    <row r="870" spans="1:32" x14ac:dyDescent="0.35">
      <c r="A870" s="5">
        <f>ROW()-ROW(INDEX(Main[ردیف],1))+1</f>
        <v>868</v>
      </c>
      <c r="B870" s="31">
        <f>SUBTOTAL(2,INDEX(Main[ردیف],1):Main[[#This Row],[ردیف]])</f>
        <v>81</v>
      </c>
      <c r="C870" s="32" t="s">
        <v>598</v>
      </c>
      <c r="D870" s="32" t="str">
        <f>_xlfn.CONCAT("14",Main[[#This Row],[تاريخ]])</f>
        <v>1400/04/01</v>
      </c>
      <c r="E870" s="33">
        <v>44369</v>
      </c>
      <c r="F870" s="32">
        <v>10003</v>
      </c>
      <c r="G870" s="5" t="str">
        <f>INDEX(customer[عنوان],MATCH(Main[[#This Row],[کد ردیابی]],customer[کد],0))</f>
        <v>اصغر نورعلی</v>
      </c>
      <c r="H870">
        <v>-1492</v>
      </c>
      <c r="I870" s="6">
        <f ca="1">-Main[[#This Row],[بدهی تسویه شده (کیلوگرم)]]+Main[[#This Row],[بستانکار (کیلوگرم)]]</f>
        <v>-1492</v>
      </c>
      <c r="J870" s="6">
        <f>IF(Main[[#This Row],[مقدار (کیلوگرم)]]&gt;0,Main[[#This Row],[مقدار (کیلوگرم)]],0)</f>
        <v>0</v>
      </c>
      <c r="K870" s="6">
        <f>-IF(Main[[#This Row],[مقدار (کیلوگرم)]]&lt;0,Main[[#This Row],[مقدار (کیلوگرم)]],0)</f>
        <v>1492</v>
      </c>
      <c r="L8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0" s="7">
        <f>-IF(AND(Main[[#This Row],[مقدار (کیلوگرم)]]&lt;0,Main[[#This Row],[تاريخ میلادی]]&gt;44276),Main[[#This Row],[مقدار (کیلوگرم)]],0)</f>
        <v>1492</v>
      </c>
      <c r="N870" s="6">
        <f ca="1">Main[[#This Row],[بدهکار (کیلوگرم)]]-Main[[#This Row],[بدهی تسویه نشده (کیلوگرم)]]</f>
        <v>1492</v>
      </c>
      <c r="O870" s="6">
        <f ca="1">Main[[#This Row],[تفکیک]]</f>
        <v>0</v>
      </c>
      <c r="P870" s="6">
        <f ca="1">IF(Main[[#This Row],[تاخیر از سررسید]]&gt;0,Main[[#This Row],[بدهی تسویه نشده (کیلوگرم)]],0)</f>
        <v>0</v>
      </c>
      <c r="Q870" s="6">
        <f ca="1">IF(Main[[#This Row],[بدهی تسویه نشده (کیلوگرم)]]&gt;0,'گزارش فردی'!$B$7-Main[[#This Row],[تاريخ میلادی]],0)</f>
        <v>0</v>
      </c>
      <c r="R870" s="6">
        <f ca="1">IF(Main[[#This Row],[بدهی تسویه نشده (کیلوگرم)]]&gt;0,'گزارش فردی'!$B$7-Main[[#This Row],[تاريخ میلادی]]-'گزارش فردی'!$B$8,0)</f>
        <v>0</v>
      </c>
      <c r="S870" s="6">
        <f ca="1">Main[[#This Row],[روز از ارسال سفارش]]*Main[[#This Row],[بدهی تسویه نشده (کیلوگرم)]]</f>
        <v>0</v>
      </c>
      <c r="T870" s="6">
        <f ca="1">Main[[#This Row],[بدهی سررسید شده (کیلوگرم)]]*Main[[#This Row],[روز از ارسال سفارش]]</f>
        <v>0</v>
      </c>
      <c r="U870" s="6">
        <f>-SUBTOTAL(9,INDEX(Main[مقدار (کیلوگرم)],1):Main[[#This Row],[مقدار (کیلوگرم)]])</f>
        <v>31329</v>
      </c>
      <c r="V8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70" s="6">
        <f>Main[[#This Row],[تعداد کل روزهای بدهکار (روز)]]*Main[[#This Row],[مانده در خط کل (کیلوگرم)]]</f>
        <v>31329</v>
      </c>
      <c r="X870" s="6">
        <f ca="1">-SUBTOTAL(9,INDEX(Main[مقدار تسویه شده (کیلوگرم)],1):Main[[#This Row],[مقدار تسویه شده (کیلوگرم)]])</f>
        <v>31329</v>
      </c>
      <c r="Y870" s="6">
        <f ca="1">IF(Main[[#This Row],[مانده در خط تسویه شده (کیلوگرم)]]&lt;&gt;0,Main[[#This Row],[تعداد کل روزهای بدهکار (روز)]],0)</f>
        <v>1</v>
      </c>
      <c r="Z870" s="6">
        <f ca="1">Main[[#This Row],[تعداد روزهای بدهکار تسویه شده (روز)]]*Main[[#This Row],[مانده در خط تسویه شده (کیلوگرم)]]</f>
        <v>31329</v>
      </c>
      <c r="AA870" s="6">
        <f ca="1">SUBTOTAL(9,INDEX(Main[بدهی تسویه نشده (کیلوگرم)],1):Main[[#This Row],[بدهی تسویه نشده (کیلوگرم)]])</f>
        <v>0</v>
      </c>
      <c r="AB870" s="6">
        <f ca="1">IF(Main[[#This Row],[مانده در خط تسویه نشده (کیلوگرم)]]&lt;&gt;0,Main[[#This Row],[تعداد کل روزهای بدهکار (روز)]],0)</f>
        <v>0</v>
      </c>
      <c r="AC870" s="6">
        <f ca="1">Main[[#This Row],[تعداد روزهای بدهکار  تسویه نشده (روز)]]*Main[[#This Row],[مانده در خط تسویه نشده (کیلوگرم)]]</f>
        <v>0</v>
      </c>
      <c r="AD870" s="6">
        <f ca="1">SUBTOTAL(9,INDEX(Main[بدهی سررسید شده (کیلوگرم)],1):Main[[#This Row],[بدهی سررسید شده (کیلوگرم)]])</f>
        <v>0</v>
      </c>
      <c r="AE870" s="6">
        <f ca="1">IF(Main[[#This Row],[مانده در خط سررسید شده (کیلوگرم)]]&lt;&gt;0,Main[[#This Row],[تعداد کل روزهای بدهکار (روز)]],0)</f>
        <v>0</v>
      </c>
      <c r="AF870" s="6">
        <f ca="1">Main[[#This Row],[تعداد روزهای بدهکار سررسید شده (روز)]]*Main[[#This Row],[مانده در خط سررسید شده (کیلوگرم)]]</f>
        <v>0</v>
      </c>
    </row>
    <row r="871" spans="1:32" hidden="1" x14ac:dyDescent="0.35">
      <c r="A871" s="5">
        <f>ROW()-ROW(INDEX(Main[ردیف],1))+1</f>
        <v>869</v>
      </c>
      <c r="B871" s="31">
        <f>SUBTOTAL(2,INDEX(Main[ردیف],1):Main[[#This Row],[ردیف]])</f>
        <v>81</v>
      </c>
      <c r="C871" s="32" t="s">
        <v>598</v>
      </c>
      <c r="D871" s="32" t="str">
        <f>_xlfn.CONCAT("14",Main[[#This Row],[تاريخ]])</f>
        <v>1400/04/01</v>
      </c>
      <c r="E871" s="33">
        <v>44369</v>
      </c>
      <c r="F871" s="32">
        <v>30004</v>
      </c>
      <c r="G871" s="5" t="str">
        <f>INDEX(customer[عنوان],MATCH(Main[[#This Row],[کد ردیابی]],customer[کد],0))</f>
        <v>تولیدی صنعتی صفاشیر پارس</v>
      </c>
      <c r="H871">
        <v>-4603</v>
      </c>
      <c r="I871" s="6">
        <f ca="1">-Main[[#This Row],[بدهی تسویه شده (کیلوگرم)]]+Main[[#This Row],[بستانکار (کیلوگرم)]]</f>
        <v>-4603</v>
      </c>
      <c r="J871" s="6">
        <f>IF(Main[[#This Row],[مقدار (کیلوگرم)]]&gt;0,Main[[#This Row],[مقدار (کیلوگرم)]],0)</f>
        <v>0</v>
      </c>
      <c r="K871" s="6">
        <f>-IF(Main[[#This Row],[مقدار (کیلوگرم)]]&lt;0,Main[[#This Row],[مقدار (کیلوگرم)]],0)</f>
        <v>4603</v>
      </c>
      <c r="L8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1" s="7">
        <f>-IF(AND(Main[[#This Row],[مقدار (کیلوگرم)]]&lt;0,Main[[#This Row],[تاريخ میلادی]]&gt;44276),Main[[#This Row],[مقدار (کیلوگرم)]],0)</f>
        <v>4603</v>
      </c>
      <c r="N871" s="6">
        <f ca="1">Main[[#This Row],[بدهکار (کیلوگرم)]]-Main[[#This Row],[بدهی تسویه نشده (کیلوگرم)]]</f>
        <v>4603</v>
      </c>
      <c r="O871" s="6">
        <f ca="1">Main[[#This Row],[تفکیک]]</f>
        <v>0</v>
      </c>
      <c r="P871" s="6">
        <f ca="1">IF(Main[[#This Row],[تاخیر از سررسید]]&gt;0,Main[[#This Row],[بدهی تسویه نشده (کیلوگرم)]],0)</f>
        <v>0</v>
      </c>
      <c r="Q871" s="6">
        <f ca="1">IF(Main[[#This Row],[بدهی تسویه نشده (کیلوگرم)]]&gt;0,'گزارش فردی'!$B$7-Main[[#This Row],[تاريخ میلادی]],0)</f>
        <v>0</v>
      </c>
      <c r="R871" s="6">
        <f ca="1">IF(Main[[#This Row],[بدهی تسویه نشده (کیلوگرم)]]&gt;0,'گزارش فردی'!$B$7-Main[[#This Row],[تاريخ میلادی]]-'گزارش فردی'!$B$8,0)</f>
        <v>0</v>
      </c>
      <c r="S871" s="6">
        <f ca="1">Main[[#This Row],[روز از ارسال سفارش]]*Main[[#This Row],[بدهی تسویه نشده (کیلوگرم)]]</f>
        <v>0</v>
      </c>
      <c r="T871" s="6">
        <f ca="1">Main[[#This Row],[بدهی سررسید شده (کیلوگرم)]]*Main[[#This Row],[روز از ارسال سفارش]]</f>
        <v>0</v>
      </c>
      <c r="U871" s="6">
        <f>-SUBTOTAL(9,INDEX(Main[مقدار (کیلوگرم)],1):Main[[#This Row],[مقدار (کیلوگرم)]])</f>
        <v>31329</v>
      </c>
      <c r="V8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71" s="6">
        <f>Main[[#This Row],[تعداد کل روزهای بدهکار (روز)]]*Main[[#This Row],[مانده در خط کل (کیلوگرم)]]</f>
        <v>31329</v>
      </c>
      <c r="X871" s="6">
        <f ca="1">-SUBTOTAL(9,INDEX(Main[مقدار تسویه شده (کیلوگرم)],1):Main[[#This Row],[مقدار تسویه شده (کیلوگرم)]])</f>
        <v>31329</v>
      </c>
      <c r="Y871" s="6">
        <f ca="1">IF(Main[[#This Row],[مانده در خط تسویه شده (کیلوگرم)]]&lt;&gt;0,Main[[#This Row],[تعداد کل روزهای بدهکار (روز)]],0)</f>
        <v>1</v>
      </c>
      <c r="Z871" s="6">
        <f ca="1">Main[[#This Row],[تعداد روزهای بدهکار تسویه شده (روز)]]*Main[[#This Row],[مانده در خط تسویه شده (کیلوگرم)]]</f>
        <v>31329</v>
      </c>
      <c r="AA871" s="6">
        <f ca="1">SUBTOTAL(9,INDEX(Main[بدهی تسویه نشده (کیلوگرم)],1):Main[[#This Row],[بدهی تسویه نشده (کیلوگرم)]])</f>
        <v>0</v>
      </c>
      <c r="AB871" s="6">
        <f ca="1">IF(Main[[#This Row],[مانده در خط تسویه نشده (کیلوگرم)]]&lt;&gt;0,Main[[#This Row],[تعداد کل روزهای بدهکار (روز)]],0)</f>
        <v>0</v>
      </c>
      <c r="AC871" s="6">
        <f ca="1">Main[[#This Row],[تعداد روزهای بدهکار  تسویه نشده (روز)]]*Main[[#This Row],[مانده در خط تسویه نشده (کیلوگرم)]]</f>
        <v>0</v>
      </c>
      <c r="AD871" s="6">
        <f ca="1">SUBTOTAL(9,INDEX(Main[بدهی سررسید شده (کیلوگرم)],1):Main[[#This Row],[بدهی سررسید شده (کیلوگرم)]])</f>
        <v>0</v>
      </c>
      <c r="AE871" s="6">
        <f ca="1">IF(Main[[#This Row],[مانده در خط سررسید شده (کیلوگرم)]]&lt;&gt;0,Main[[#This Row],[تعداد کل روزهای بدهکار (روز)]],0)</f>
        <v>0</v>
      </c>
      <c r="AF871" s="6">
        <f ca="1">Main[[#This Row],[تعداد روزهای بدهکار سررسید شده (روز)]]*Main[[#This Row],[مانده در خط سررسید شده (کیلوگرم)]]</f>
        <v>0</v>
      </c>
    </row>
    <row r="872" spans="1:32" hidden="1" x14ac:dyDescent="0.35">
      <c r="A872" s="5">
        <f>ROW()-ROW(INDEX(Main[ردیف],1))+1</f>
        <v>870</v>
      </c>
      <c r="B872" s="31">
        <f>SUBTOTAL(2,INDEX(Main[ردیف],1):Main[[#This Row],[ردیف]])</f>
        <v>81</v>
      </c>
      <c r="C872" s="32" t="s">
        <v>599</v>
      </c>
      <c r="D872" s="32" t="str">
        <f>_xlfn.CONCAT("14",Main[[#This Row],[تاريخ]])</f>
        <v>1400/04/02</v>
      </c>
      <c r="E872" s="33">
        <v>44370</v>
      </c>
      <c r="F872" s="32">
        <v>30127</v>
      </c>
      <c r="G872" s="5" t="str">
        <f>INDEX(customer[عنوان],MATCH(Main[[#This Row],[کد ردیابی]],customer[کد],0))</f>
        <v>شیر گاز آذران</v>
      </c>
      <c r="H872">
        <v>14894</v>
      </c>
      <c r="I872" s="6">
        <f ca="1">-Main[[#This Row],[بدهی تسویه شده (کیلوگرم)]]+Main[[#This Row],[بستانکار (کیلوگرم)]]</f>
        <v>14894</v>
      </c>
      <c r="J872" s="6">
        <f>IF(Main[[#This Row],[مقدار (کیلوگرم)]]&gt;0,Main[[#This Row],[مقدار (کیلوگرم)]],0)</f>
        <v>14894</v>
      </c>
      <c r="K872" s="6">
        <f>-IF(Main[[#This Row],[مقدار (کیلوگرم)]]&lt;0,Main[[#This Row],[مقدار (کیلوگرم)]],0)</f>
        <v>0</v>
      </c>
      <c r="L8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2" s="7">
        <f>-IF(AND(Main[[#This Row],[مقدار (کیلوگرم)]]&lt;0,Main[[#This Row],[تاريخ میلادی]]&gt;44276),Main[[#This Row],[مقدار (کیلوگرم)]],0)</f>
        <v>0</v>
      </c>
      <c r="N872" s="6">
        <f ca="1">Main[[#This Row],[بدهکار (کیلوگرم)]]-Main[[#This Row],[بدهی تسویه نشده (کیلوگرم)]]</f>
        <v>0</v>
      </c>
      <c r="O872" s="6">
        <f ca="1">Main[[#This Row],[تفکیک]]</f>
        <v>0</v>
      </c>
      <c r="P872" s="6">
        <f ca="1">IF(Main[[#This Row],[تاخیر از سررسید]]&gt;0,Main[[#This Row],[بدهی تسویه نشده (کیلوگرم)]],0)</f>
        <v>0</v>
      </c>
      <c r="Q872" s="6">
        <f ca="1">IF(Main[[#This Row],[بدهی تسویه نشده (کیلوگرم)]]&gt;0,'گزارش فردی'!$B$7-Main[[#This Row],[تاريخ میلادی]],0)</f>
        <v>0</v>
      </c>
      <c r="R872" s="6">
        <f ca="1">IF(Main[[#This Row],[بدهی تسویه نشده (کیلوگرم)]]&gt;0,'گزارش فردی'!$B$7-Main[[#This Row],[تاريخ میلادی]]-'گزارش فردی'!$B$8,0)</f>
        <v>0</v>
      </c>
      <c r="S872" s="6">
        <f ca="1">Main[[#This Row],[روز از ارسال سفارش]]*Main[[#This Row],[بدهی تسویه نشده (کیلوگرم)]]</f>
        <v>0</v>
      </c>
      <c r="T872" s="6">
        <f ca="1">Main[[#This Row],[بدهی سررسید شده (کیلوگرم)]]*Main[[#This Row],[روز از ارسال سفارش]]</f>
        <v>0</v>
      </c>
      <c r="U872" s="6">
        <f>-SUBTOTAL(9,INDEX(Main[مقدار (کیلوگرم)],1):Main[[#This Row],[مقدار (کیلوگرم)]])</f>
        <v>31329</v>
      </c>
      <c r="V8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2" s="6">
        <f>Main[[#This Row],[تعداد کل روزهای بدهکار (روز)]]*Main[[#This Row],[مانده در خط کل (کیلوگرم)]]</f>
        <v>0</v>
      </c>
      <c r="X872" s="6">
        <f ca="1">-SUBTOTAL(9,INDEX(Main[مقدار تسویه شده (کیلوگرم)],1):Main[[#This Row],[مقدار تسویه شده (کیلوگرم)]])</f>
        <v>31329</v>
      </c>
      <c r="Y872" s="6">
        <f ca="1">IF(Main[[#This Row],[مانده در خط تسویه شده (کیلوگرم)]]&lt;&gt;0,Main[[#This Row],[تعداد کل روزهای بدهکار (روز)]],0)</f>
        <v>0</v>
      </c>
      <c r="Z872" s="6">
        <f ca="1">Main[[#This Row],[تعداد روزهای بدهکار تسویه شده (روز)]]*Main[[#This Row],[مانده در خط تسویه شده (کیلوگرم)]]</f>
        <v>0</v>
      </c>
      <c r="AA872" s="6">
        <f ca="1">SUBTOTAL(9,INDEX(Main[بدهی تسویه نشده (کیلوگرم)],1):Main[[#This Row],[بدهی تسویه نشده (کیلوگرم)]])</f>
        <v>0</v>
      </c>
      <c r="AB872" s="6">
        <f ca="1">IF(Main[[#This Row],[مانده در خط تسویه نشده (کیلوگرم)]]&lt;&gt;0,Main[[#This Row],[تعداد کل روزهای بدهکار (روز)]],0)</f>
        <v>0</v>
      </c>
      <c r="AC872" s="6">
        <f ca="1">Main[[#This Row],[تعداد روزهای بدهکار  تسویه نشده (روز)]]*Main[[#This Row],[مانده در خط تسویه نشده (کیلوگرم)]]</f>
        <v>0</v>
      </c>
      <c r="AD872" s="6">
        <f ca="1">SUBTOTAL(9,INDEX(Main[بدهی سررسید شده (کیلوگرم)],1):Main[[#This Row],[بدهی سررسید شده (کیلوگرم)]])</f>
        <v>0</v>
      </c>
      <c r="AE872" s="6">
        <f ca="1">IF(Main[[#This Row],[مانده در خط سررسید شده (کیلوگرم)]]&lt;&gt;0,Main[[#This Row],[تعداد کل روزهای بدهکار (روز)]],0)</f>
        <v>0</v>
      </c>
      <c r="AF872" s="6">
        <f ca="1">Main[[#This Row],[تعداد روزهای بدهکار سررسید شده (روز)]]*Main[[#This Row],[مانده در خط سررسید شده (کیلوگرم)]]</f>
        <v>0</v>
      </c>
    </row>
    <row r="873" spans="1:32" hidden="1" x14ac:dyDescent="0.35">
      <c r="A873" s="5">
        <f>ROW()-ROW(INDEX(Main[ردیف],1))+1</f>
        <v>871</v>
      </c>
      <c r="B873" s="31">
        <f>SUBTOTAL(2,INDEX(Main[ردیف],1):Main[[#This Row],[ردیف]])</f>
        <v>81</v>
      </c>
      <c r="C873" s="32" t="s">
        <v>599</v>
      </c>
      <c r="D873" s="32" t="str">
        <f>_xlfn.CONCAT("14",Main[[#This Row],[تاريخ]])</f>
        <v>1400/04/02</v>
      </c>
      <c r="E873" s="33">
        <v>44370</v>
      </c>
      <c r="F873" s="32">
        <v>30009</v>
      </c>
      <c r="G873" s="5" t="str">
        <f>INDEX(customer[عنوان],MATCH(Main[[#This Row],[کد ردیابی]],customer[کد],0))</f>
        <v>شرکت ایمن تک پیشرو</v>
      </c>
      <c r="H873">
        <v>-2062</v>
      </c>
      <c r="I873" s="6">
        <f ca="1">-Main[[#This Row],[بدهی تسویه شده (کیلوگرم)]]+Main[[#This Row],[بستانکار (کیلوگرم)]]</f>
        <v>-2062</v>
      </c>
      <c r="J873" s="6">
        <f>IF(Main[[#This Row],[مقدار (کیلوگرم)]]&gt;0,Main[[#This Row],[مقدار (کیلوگرم)]],0)</f>
        <v>0</v>
      </c>
      <c r="K873" s="6">
        <f>-IF(Main[[#This Row],[مقدار (کیلوگرم)]]&lt;0,Main[[#This Row],[مقدار (کیلوگرم)]],0)</f>
        <v>2062</v>
      </c>
      <c r="L8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3" s="7">
        <f>-IF(AND(Main[[#This Row],[مقدار (کیلوگرم)]]&lt;0,Main[[#This Row],[تاريخ میلادی]]&gt;44276),Main[[#This Row],[مقدار (کیلوگرم)]],0)</f>
        <v>2062</v>
      </c>
      <c r="N873" s="6">
        <f ca="1">Main[[#This Row],[بدهکار (کیلوگرم)]]-Main[[#This Row],[بدهی تسویه نشده (کیلوگرم)]]</f>
        <v>2062</v>
      </c>
      <c r="O873" s="6">
        <f ca="1">Main[[#This Row],[تفکیک]]</f>
        <v>0</v>
      </c>
      <c r="P873" s="6">
        <f ca="1">IF(Main[[#This Row],[تاخیر از سررسید]]&gt;0,Main[[#This Row],[بدهی تسویه نشده (کیلوگرم)]],0)</f>
        <v>0</v>
      </c>
      <c r="Q873" s="6">
        <f ca="1">IF(Main[[#This Row],[بدهی تسویه نشده (کیلوگرم)]]&gt;0,'گزارش فردی'!$B$7-Main[[#This Row],[تاريخ میلادی]],0)</f>
        <v>0</v>
      </c>
      <c r="R873" s="6">
        <f ca="1">IF(Main[[#This Row],[بدهی تسویه نشده (کیلوگرم)]]&gt;0,'گزارش فردی'!$B$7-Main[[#This Row],[تاريخ میلادی]]-'گزارش فردی'!$B$8,0)</f>
        <v>0</v>
      </c>
      <c r="S873" s="6">
        <f ca="1">Main[[#This Row],[روز از ارسال سفارش]]*Main[[#This Row],[بدهی تسویه نشده (کیلوگرم)]]</f>
        <v>0</v>
      </c>
      <c r="T873" s="6">
        <f ca="1">Main[[#This Row],[بدهی سررسید شده (کیلوگرم)]]*Main[[#This Row],[روز از ارسال سفارش]]</f>
        <v>0</v>
      </c>
      <c r="U873" s="6">
        <f>-SUBTOTAL(9,INDEX(Main[مقدار (کیلوگرم)],1):Main[[#This Row],[مقدار (کیلوگرم)]])</f>
        <v>31329</v>
      </c>
      <c r="V8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3" s="6">
        <f>Main[[#This Row],[تعداد کل روزهای بدهکار (روز)]]*Main[[#This Row],[مانده در خط کل (کیلوگرم)]]</f>
        <v>0</v>
      </c>
      <c r="X873" s="6">
        <f ca="1">-SUBTOTAL(9,INDEX(Main[مقدار تسویه شده (کیلوگرم)],1):Main[[#This Row],[مقدار تسویه شده (کیلوگرم)]])</f>
        <v>31329</v>
      </c>
      <c r="Y873" s="6">
        <f ca="1">IF(Main[[#This Row],[مانده در خط تسویه شده (کیلوگرم)]]&lt;&gt;0,Main[[#This Row],[تعداد کل روزهای بدهکار (روز)]],0)</f>
        <v>0</v>
      </c>
      <c r="Z873" s="6">
        <f ca="1">Main[[#This Row],[تعداد روزهای بدهکار تسویه شده (روز)]]*Main[[#This Row],[مانده در خط تسویه شده (کیلوگرم)]]</f>
        <v>0</v>
      </c>
      <c r="AA873" s="6">
        <f ca="1">SUBTOTAL(9,INDEX(Main[بدهی تسویه نشده (کیلوگرم)],1):Main[[#This Row],[بدهی تسویه نشده (کیلوگرم)]])</f>
        <v>0</v>
      </c>
      <c r="AB873" s="6">
        <f ca="1">IF(Main[[#This Row],[مانده در خط تسویه نشده (کیلوگرم)]]&lt;&gt;0,Main[[#This Row],[تعداد کل روزهای بدهکار (روز)]],0)</f>
        <v>0</v>
      </c>
      <c r="AC873" s="6">
        <f ca="1">Main[[#This Row],[تعداد روزهای بدهکار  تسویه نشده (روز)]]*Main[[#This Row],[مانده در خط تسویه نشده (کیلوگرم)]]</f>
        <v>0</v>
      </c>
      <c r="AD873" s="6">
        <f ca="1">SUBTOTAL(9,INDEX(Main[بدهی سررسید شده (کیلوگرم)],1):Main[[#This Row],[بدهی سررسید شده (کیلوگرم)]])</f>
        <v>0</v>
      </c>
      <c r="AE873" s="6">
        <f ca="1">IF(Main[[#This Row],[مانده در خط سررسید شده (کیلوگرم)]]&lt;&gt;0,Main[[#This Row],[تعداد کل روزهای بدهکار (روز)]],0)</f>
        <v>0</v>
      </c>
      <c r="AF873" s="6">
        <f ca="1">Main[[#This Row],[تعداد روزهای بدهکار سررسید شده (روز)]]*Main[[#This Row],[مانده در خط سررسید شده (کیلوگرم)]]</f>
        <v>0</v>
      </c>
    </row>
    <row r="874" spans="1:32" x14ac:dyDescent="0.35">
      <c r="A874" s="5">
        <f>ROW()-ROW(INDEX(Main[ردیف],1))+1</f>
        <v>872</v>
      </c>
      <c r="B874" s="31">
        <f>SUBTOTAL(2,INDEX(Main[ردیف],1):Main[[#This Row],[ردیف]])</f>
        <v>82</v>
      </c>
      <c r="C874" s="32" t="s">
        <v>599</v>
      </c>
      <c r="D874" s="32" t="str">
        <f>_xlfn.CONCAT("14",Main[[#This Row],[تاريخ]])</f>
        <v>1400/04/02</v>
      </c>
      <c r="E874" s="33">
        <v>44370</v>
      </c>
      <c r="F874" s="32">
        <v>10003</v>
      </c>
      <c r="G874" s="5" t="str">
        <f>INDEX(customer[عنوان],MATCH(Main[[#This Row],[کد ردیابی]],customer[کد],0))</f>
        <v>اصغر نورعلی</v>
      </c>
      <c r="H874">
        <v>5288</v>
      </c>
      <c r="I874" s="6">
        <f ca="1">-Main[[#This Row],[بدهی تسویه شده (کیلوگرم)]]+Main[[#This Row],[بستانکار (کیلوگرم)]]</f>
        <v>5288</v>
      </c>
      <c r="J874" s="6">
        <f>IF(Main[[#This Row],[مقدار (کیلوگرم)]]&gt;0,Main[[#This Row],[مقدار (کیلوگرم)]],0)</f>
        <v>5288</v>
      </c>
      <c r="K874" s="6">
        <f>-IF(Main[[#This Row],[مقدار (کیلوگرم)]]&lt;0,Main[[#This Row],[مقدار (کیلوگرم)]],0)</f>
        <v>0</v>
      </c>
      <c r="L8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4" s="7">
        <f>-IF(AND(Main[[#This Row],[مقدار (کیلوگرم)]]&lt;0,Main[[#This Row],[تاريخ میلادی]]&gt;44276),Main[[#This Row],[مقدار (کیلوگرم)]],0)</f>
        <v>0</v>
      </c>
      <c r="N874" s="6">
        <f ca="1">Main[[#This Row],[بدهکار (کیلوگرم)]]-Main[[#This Row],[بدهی تسویه نشده (کیلوگرم)]]</f>
        <v>0</v>
      </c>
      <c r="O874" s="6">
        <f ca="1">Main[[#This Row],[تفکیک]]</f>
        <v>0</v>
      </c>
      <c r="P874" s="6">
        <f ca="1">IF(Main[[#This Row],[تاخیر از سررسید]]&gt;0,Main[[#This Row],[بدهی تسویه نشده (کیلوگرم)]],0)</f>
        <v>0</v>
      </c>
      <c r="Q874" s="6">
        <f ca="1">IF(Main[[#This Row],[بدهی تسویه نشده (کیلوگرم)]]&gt;0,'گزارش فردی'!$B$7-Main[[#This Row],[تاريخ میلادی]],0)</f>
        <v>0</v>
      </c>
      <c r="R874" s="6">
        <f ca="1">IF(Main[[#This Row],[بدهی تسویه نشده (کیلوگرم)]]&gt;0,'گزارش فردی'!$B$7-Main[[#This Row],[تاريخ میلادی]]-'گزارش فردی'!$B$8,0)</f>
        <v>0</v>
      </c>
      <c r="S874" s="6">
        <f ca="1">Main[[#This Row],[روز از ارسال سفارش]]*Main[[#This Row],[بدهی تسویه نشده (کیلوگرم)]]</f>
        <v>0</v>
      </c>
      <c r="T874" s="6">
        <f ca="1">Main[[#This Row],[بدهی سررسید شده (کیلوگرم)]]*Main[[#This Row],[روز از ارسال سفارش]]</f>
        <v>0</v>
      </c>
      <c r="U874" s="6">
        <f>-SUBTOTAL(9,INDEX(Main[مقدار (کیلوگرم)],1):Main[[#This Row],[مقدار (کیلوگرم)]])</f>
        <v>26041</v>
      </c>
      <c r="V8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4" s="6">
        <f>Main[[#This Row],[تعداد کل روزهای بدهکار (روز)]]*Main[[#This Row],[مانده در خط کل (کیلوگرم)]]</f>
        <v>0</v>
      </c>
      <c r="X874" s="6">
        <f ca="1">-SUBTOTAL(9,INDEX(Main[مقدار تسویه شده (کیلوگرم)],1):Main[[#This Row],[مقدار تسویه شده (کیلوگرم)]])</f>
        <v>26041</v>
      </c>
      <c r="Y874" s="6">
        <f ca="1">IF(Main[[#This Row],[مانده در خط تسویه شده (کیلوگرم)]]&lt;&gt;0,Main[[#This Row],[تعداد کل روزهای بدهکار (روز)]],0)</f>
        <v>0</v>
      </c>
      <c r="Z874" s="6">
        <f ca="1">Main[[#This Row],[تعداد روزهای بدهکار تسویه شده (روز)]]*Main[[#This Row],[مانده در خط تسویه شده (کیلوگرم)]]</f>
        <v>0</v>
      </c>
      <c r="AA874" s="6">
        <f ca="1">SUBTOTAL(9,INDEX(Main[بدهی تسویه نشده (کیلوگرم)],1):Main[[#This Row],[بدهی تسویه نشده (کیلوگرم)]])</f>
        <v>0</v>
      </c>
      <c r="AB874" s="6">
        <f ca="1">IF(Main[[#This Row],[مانده در خط تسویه نشده (کیلوگرم)]]&lt;&gt;0,Main[[#This Row],[تعداد کل روزهای بدهکار (روز)]],0)</f>
        <v>0</v>
      </c>
      <c r="AC874" s="6">
        <f ca="1">Main[[#This Row],[تعداد روزهای بدهکار  تسویه نشده (روز)]]*Main[[#This Row],[مانده در خط تسویه نشده (کیلوگرم)]]</f>
        <v>0</v>
      </c>
      <c r="AD874" s="6">
        <f ca="1">SUBTOTAL(9,INDEX(Main[بدهی سررسید شده (کیلوگرم)],1):Main[[#This Row],[بدهی سررسید شده (کیلوگرم)]])</f>
        <v>0</v>
      </c>
      <c r="AE874" s="6">
        <f ca="1">IF(Main[[#This Row],[مانده در خط سررسید شده (کیلوگرم)]]&lt;&gt;0,Main[[#This Row],[تعداد کل روزهای بدهکار (روز)]],0)</f>
        <v>0</v>
      </c>
      <c r="AF874" s="6">
        <f ca="1">Main[[#This Row],[تعداد روزهای بدهکار سررسید شده (روز)]]*Main[[#This Row],[مانده در خط سررسید شده (کیلوگرم)]]</f>
        <v>0</v>
      </c>
    </row>
    <row r="875" spans="1:32" hidden="1" x14ac:dyDescent="0.35">
      <c r="A875" s="5">
        <f>ROW()-ROW(INDEX(Main[ردیف],1))+1</f>
        <v>873</v>
      </c>
      <c r="B875" s="31">
        <f>SUBTOTAL(2,INDEX(Main[ردیف],1):Main[[#This Row],[ردیف]])</f>
        <v>82</v>
      </c>
      <c r="C875" s="32" t="s">
        <v>599</v>
      </c>
      <c r="D875" s="32" t="str">
        <f>_xlfn.CONCAT("14",Main[[#This Row],[تاريخ]])</f>
        <v>1400/04/02</v>
      </c>
      <c r="E875" s="33">
        <v>44370</v>
      </c>
      <c r="F875" s="32">
        <v>30004</v>
      </c>
      <c r="G875" s="5" t="str">
        <f>INDEX(customer[عنوان],MATCH(Main[[#This Row],[کد ردیابی]],customer[کد],0))</f>
        <v>تولیدی صنعتی صفاشیر پارس</v>
      </c>
      <c r="H875">
        <v>-4304</v>
      </c>
      <c r="I875" s="6">
        <f ca="1">-Main[[#This Row],[بدهی تسویه شده (کیلوگرم)]]+Main[[#This Row],[بستانکار (کیلوگرم)]]</f>
        <v>-4304</v>
      </c>
      <c r="J875" s="6">
        <f>IF(Main[[#This Row],[مقدار (کیلوگرم)]]&gt;0,Main[[#This Row],[مقدار (کیلوگرم)]],0)</f>
        <v>0</v>
      </c>
      <c r="K875" s="6">
        <f>-IF(Main[[#This Row],[مقدار (کیلوگرم)]]&lt;0,Main[[#This Row],[مقدار (کیلوگرم)]],0)</f>
        <v>4304</v>
      </c>
      <c r="L8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5" s="7">
        <f>-IF(AND(Main[[#This Row],[مقدار (کیلوگرم)]]&lt;0,Main[[#This Row],[تاريخ میلادی]]&gt;44276),Main[[#This Row],[مقدار (کیلوگرم)]],0)</f>
        <v>4304</v>
      </c>
      <c r="N875" s="6">
        <f ca="1">Main[[#This Row],[بدهکار (کیلوگرم)]]-Main[[#This Row],[بدهی تسویه نشده (کیلوگرم)]]</f>
        <v>4304</v>
      </c>
      <c r="O875" s="6">
        <f ca="1">Main[[#This Row],[تفکیک]]</f>
        <v>0</v>
      </c>
      <c r="P875" s="6">
        <f ca="1">IF(Main[[#This Row],[تاخیر از سررسید]]&gt;0,Main[[#This Row],[بدهی تسویه نشده (کیلوگرم)]],0)</f>
        <v>0</v>
      </c>
      <c r="Q875" s="6">
        <f ca="1">IF(Main[[#This Row],[بدهی تسویه نشده (کیلوگرم)]]&gt;0,'گزارش فردی'!$B$7-Main[[#This Row],[تاريخ میلادی]],0)</f>
        <v>0</v>
      </c>
      <c r="R875" s="6">
        <f ca="1">IF(Main[[#This Row],[بدهی تسویه نشده (کیلوگرم)]]&gt;0,'گزارش فردی'!$B$7-Main[[#This Row],[تاريخ میلادی]]-'گزارش فردی'!$B$8,0)</f>
        <v>0</v>
      </c>
      <c r="S875" s="6">
        <f ca="1">Main[[#This Row],[روز از ارسال سفارش]]*Main[[#This Row],[بدهی تسویه نشده (کیلوگرم)]]</f>
        <v>0</v>
      </c>
      <c r="T875" s="6">
        <f ca="1">Main[[#This Row],[بدهی سررسید شده (کیلوگرم)]]*Main[[#This Row],[روز از ارسال سفارش]]</f>
        <v>0</v>
      </c>
      <c r="U875" s="6">
        <f>-SUBTOTAL(9,INDEX(Main[مقدار (کیلوگرم)],1):Main[[#This Row],[مقدار (کیلوگرم)]])</f>
        <v>26041</v>
      </c>
      <c r="V8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5" s="6">
        <f>Main[[#This Row],[تعداد کل روزهای بدهکار (روز)]]*Main[[#This Row],[مانده در خط کل (کیلوگرم)]]</f>
        <v>0</v>
      </c>
      <c r="X875" s="6">
        <f ca="1">-SUBTOTAL(9,INDEX(Main[مقدار تسویه شده (کیلوگرم)],1):Main[[#This Row],[مقدار تسویه شده (کیلوگرم)]])</f>
        <v>26041</v>
      </c>
      <c r="Y875" s="6">
        <f ca="1">IF(Main[[#This Row],[مانده در خط تسویه شده (کیلوگرم)]]&lt;&gt;0,Main[[#This Row],[تعداد کل روزهای بدهکار (روز)]],0)</f>
        <v>0</v>
      </c>
      <c r="Z875" s="6">
        <f ca="1">Main[[#This Row],[تعداد روزهای بدهکار تسویه شده (روز)]]*Main[[#This Row],[مانده در خط تسویه شده (کیلوگرم)]]</f>
        <v>0</v>
      </c>
      <c r="AA875" s="6">
        <f ca="1">SUBTOTAL(9,INDEX(Main[بدهی تسویه نشده (کیلوگرم)],1):Main[[#This Row],[بدهی تسویه نشده (کیلوگرم)]])</f>
        <v>0</v>
      </c>
      <c r="AB875" s="6">
        <f ca="1">IF(Main[[#This Row],[مانده در خط تسویه نشده (کیلوگرم)]]&lt;&gt;0,Main[[#This Row],[تعداد کل روزهای بدهکار (روز)]],0)</f>
        <v>0</v>
      </c>
      <c r="AC875" s="6">
        <f ca="1">Main[[#This Row],[تعداد روزهای بدهکار  تسویه نشده (روز)]]*Main[[#This Row],[مانده در خط تسویه نشده (کیلوگرم)]]</f>
        <v>0</v>
      </c>
      <c r="AD875" s="6">
        <f ca="1">SUBTOTAL(9,INDEX(Main[بدهی سررسید شده (کیلوگرم)],1):Main[[#This Row],[بدهی سررسید شده (کیلوگرم)]])</f>
        <v>0</v>
      </c>
      <c r="AE875" s="6">
        <f ca="1">IF(Main[[#This Row],[مانده در خط سررسید شده (کیلوگرم)]]&lt;&gt;0,Main[[#This Row],[تعداد کل روزهای بدهکار (روز)]],0)</f>
        <v>0</v>
      </c>
      <c r="AF875" s="6">
        <f ca="1">Main[[#This Row],[تعداد روزهای بدهکار سررسید شده (روز)]]*Main[[#This Row],[مانده در خط سررسید شده (کیلوگرم)]]</f>
        <v>0</v>
      </c>
    </row>
    <row r="876" spans="1:32" hidden="1" x14ac:dyDescent="0.35">
      <c r="A876" s="5">
        <f>ROW()-ROW(INDEX(Main[ردیف],1))+1</f>
        <v>874</v>
      </c>
      <c r="B876" s="31">
        <f>SUBTOTAL(2,INDEX(Main[ردیف],1):Main[[#This Row],[ردیف]])</f>
        <v>82</v>
      </c>
      <c r="C876" s="32" t="s">
        <v>599</v>
      </c>
      <c r="D876" s="32" t="str">
        <f>_xlfn.CONCAT("14",Main[[#This Row],[تاريخ]])</f>
        <v>1400/04/02</v>
      </c>
      <c r="E876" s="33">
        <v>44370</v>
      </c>
      <c r="F876" s="32">
        <v>30146</v>
      </c>
      <c r="G876" s="5" t="str">
        <f>INDEX(customer[عنوان],MATCH(Main[[#This Row],[کد ردیابی]],customer[کد],0))</f>
        <v>شرکت آذرپاد</v>
      </c>
      <c r="H876">
        <v>2453</v>
      </c>
      <c r="I876" s="6">
        <f ca="1">-Main[[#This Row],[بدهی تسویه شده (کیلوگرم)]]+Main[[#This Row],[بستانکار (کیلوگرم)]]</f>
        <v>2453</v>
      </c>
      <c r="J876" s="6">
        <f>IF(Main[[#This Row],[مقدار (کیلوگرم)]]&gt;0,Main[[#This Row],[مقدار (کیلوگرم)]],0)</f>
        <v>2453</v>
      </c>
      <c r="K876" s="6">
        <f>-IF(Main[[#This Row],[مقدار (کیلوگرم)]]&lt;0,Main[[#This Row],[مقدار (کیلوگرم)]],0)</f>
        <v>0</v>
      </c>
      <c r="L8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6" s="7">
        <f>-IF(AND(Main[[#This Row],[مقدار (کیلوگرم)]]&lt;0,Main[[#This Row],[تاريخ میلادی]]&gt;44276),Main[[#This Row],[مقدار (کیلوگرم)]],0)</f>
        <v>0</v>
      </c>
      <c r="N876" s="6">
        <f ca="1">Main[[#This Row],[بدهکار (کیلوگرم)]]-Main[[#This Row],[بدهی تسویه نشده (کیلوگرم)]]</f>
        <v>0</v>
      </c>
      <c r="O876" s="6">
        <f ca="1">Main[[#This Row],[تفکیک]]</f>
        <v>0</v>
      </c>
      <c r="P876" s="6">
        <f ca="1">IF(Main[[#This Row],[تاخیر از سررسید]]&gt;0,Main[[#This Row],[بدهی تسویه نشده (کیلوگرم)]],0)</f>
        <v>0</v>
      </c>
      <c r="Q876" s="6">
        <f ca="1">IF(Main[[#This Row],[بدهی تسویه نشده (کیلوگرم)]]&gt;0,'گزارش فردی'!$B$7-Main[[#This Row],[تاريخ میلادی]],0)</f>
        <v>0</v>
      </c>
      <c r="R876" s="6">
        <f ca="1">IF(Main[[#This Row],[بدهی تسویه نشده (کیلوگرم)]]&gt;0,'گزارش فردی'!$B$7-Main[[#This Row],[تاريخ میلادی]]-'گزارش فردی'!$B$8,0)</f>
        <v>0</v>
      </c>
      <c r="S876" s="6">
        <f ca="1">Main[[#This Row],[روز از ارسال سفارش]]*Main[[#This Row],[بدهی تسویه نشده (کیلوگرم)]]</f>
        <v>0</v>
      </c>
      <c r="T876" s="6">
        <f ca="1">Main[[#This Row],[بدهی سررسید شده (کیلوگرم)]]*Main[[#This Row],[روز از ارسال سفارش]]</f>
        <v>0</v>
      </c>
      <c r="U876" s="6">
        <f>-SUBTOTAL(9,INDEX(Main[مقدار (کیلوگرم)],1):Main[[#This Row],[مقدار (کیلوگرم)]])</f>
        <v>26041</v>
      </c>
      <c r="V8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6" s="6">
        <f>Main[[#This Row],[تعداد کل روزهای بدهکار (روز)]]*Main[[#This Row],[مانده در خط کل (کیلوگرم)]]</f>
        <v>0</v>
      </c>
      <c r="X876" s="6">
        <f ca="1">-SUBTOTAL(9,INDEX(Main[مقدار تسویه شده (کیلوگرم)],1):Main[[#This Row],[مقدار تسویه شده (کیلوگرم)]])</f>
        <v>26041</v>
      </c>
      <c r="Y876" s="6">
        <f ca="1">IF(Main[[#This Row],[مانده در خط تسویه شده (کیلوگرم)]]&lt;&gt;0,Main[[#This Row],[تعداد کل روزهای بدهکار (روز)]],0)</f>
        <v>0</v>
      </c>
      <c r="Z876" s="6">
        <f ca="1">Main[[#This Row],[تعداد روزهای بدهکار تسویه شده (روز)]]*Main[[#This Row],[مانده در خط تسویه شده (کیلوگرم)]]</f>
        <v>0</v>
      </c>
      <c r="AA876" s="6">
        <f ca="1">SUBTOTAL(9,INDEX(Main[بدهی تسویه نشده (کیلوگرم)],1):Main[[#This Row],[بدهی تسویه نشده (کیلوگرم)]])</f>
        <v>0</v>
      </c>
      <c r="AB876" s="6">
        <f ca="1">IF(Main[[#This Row],[مانده در خط تسویه نشده (کیلوگرم)]]&lt;&gt;0,Main[[#This Row],[تعداد کل روزهای بدهکار (روز)]],0)</f>
        <v>0</v>
      </c>
      <c r="AC876" s="6">
        <f ca="1">Main[[#This Row],[تعداد روزهای بدهکار  تسویه نشده (روز)]]*Main[[#This Row],[مانده در خط تسویه نشده (کیلوگرم)]]</f>
        <v>0</v>
      </c>
      <c r="AD876" s="6">
        <f ca="1">SUBTOTAL(9,INDEX(Main[بدهی سررسید شده (کیلوگرم)],1):Main[[#This Row],[بدهی سررسید شده (کیلوگرم)]])</f>
        <v>0</v>
      </c>
      <c r="AE876" s="6">
        <f ca="1">IF(Main[[#This Row],[مانده در خط سررسید شده (کیلوگرم)]]&lt;&gt;0,Main[[#This Row],[تعداد کل روزهای بدهکار (روز)]],0)</f>
        <v>0</v>
      </c>
      <c r="AF876" s="6">
        <f ca="1">Main[[#This Row],[تعداد روزهای بدهکار سررسید شده (روز)]]*Main[[#This Row],[مانده در خط سررسید شده (کیلوگرم)]]</f>
        <v>0</v>
      </c>
    </row>
    <row r="877" spans="1:32" hidden="1" x14ac:dyDescent="0.35">
      <c r="A877" s="5">
        <f>ROW()-ROW(INDEX(Main[ردیف],1))+1</f>
        <v>875</v>
      </c>
      <c r="B877" s="31">
        <f>SUBTOTAL(2,INDEX(Main[ردیف],1):Main[[#This Row],[ردیف]])</f>
        <v>82</v>
      </c>
      <c r="C877" s="32" t="s">
        <v>599</v>
      </c>
      <c r="D877" s="32" t="str">
        <f>_xlfn.CONCAT("14",Main[[#This Row],[تاريخ]])</f>
        <v>1400/04/02</v>
      </c>
      <c r="E877" s="33">
        <v>44370</v>
      </c>
      <c r="F877" s="32">
        <v>30174</v>
      </c>
      <c r="G877" s="5" t="str">
        <f>INDEX(customer[عنوان],MATCH(Main[[#This Row],[کد ردیابی]],customer[کد],0))</f>
        <v>شیرآلات مهرآرا</v>
      </c>
      <c r="H877">
        <v>-430</v>
      </c>
      <c r="I877" s="6">
        <f ca="1">-Main[[#This Row],[بدهی تسویه شده (کیلوگرم)]]+Main[[#This Row],[بستانکار (کیلوگرم)]]</f>
        <v>-430</v>
      </c>
      <c r="J877" s="6">
        <f>IF(Main[[#This Row],[مقدار (کیلوگرم)]]&gt;0,Main[[#This Row],[مقدار (کیلوگرم)]],0)</f>
        <v>0</v>
      </c>
      <c r="K877" s="6">
        <f>-IF(Main[[#This Row],[مقدار (کیلوگرم)]]&lt;0,Main[[#This Row],[مقدار (کیلوگرم)]],0)</f>
        <v>430</v>
      </c>
      <c r="L8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7" s="7">
        <f>-IF(AND(Main[[#This Row],[مقدار (کیلوگرم)]]&lt;0,Main[[#This Row],[تاريخ میلادی]]&gt;44276),Main[[#This Row],[مقدار (کیلوگرم)]],0)</f>
        <v>430</v>
      </c>
      <c r="N877" s="6">
        <f ca="1">Main[[#This Row],[بدهکار (کیلوگرم)]]-Main[[#This Row],[بدهی تسویه نشده (کیلوگرم)]]</f>
        <v>430</v>
      </c>
      <c r="O877" s="6">
        <f ca="1">Main[[#This Row],[تفکیک]]</f>
        <v>0</v>
      </c>
      <c r="P877" s="6">
        <f ca="1">IF(Main[[#This Row],[تاخیر از سررسید]]&gt;0,Main[[#This Row],[بدهی تسویه نشده (کیلوگرم)]],0)</f>
        <v>0</v>
      </c>
      <c r="Q877" s="6">
        <f ca="1">IF(Main[[#This Row],[بدهی تسویه نشده (کیلوگرم)]]&gt;0,'گزارش فردی'!$B$7-Main[[#This Row],[تاريخ میلادی]],0)</f>
        <v>0</v>
      </c>
      <c r="R877" s="6">
        <f ca="1">IF(Main[[#This Row],[بدهی تسویه نشده (کیلوگرم)]]&gt;0,'گزارش فردی'!$B$7-Main[[#This Row],[تاريخ میلادی]]-'گزارش فردی'!$B$8,0)</f>
        <v>0</v>
      </c>
      <c r="S877" s="6">
        <f ca="1">Main[[#This Row],[روز از ارسال سفارش]]*Main[[#This Row],[بدهی تسویه نشده (کیلوگرم)]]</f>
        <v>0</v>
      </c>
      <c r="T877" s="6">
        <f ca="1">Main[[#This Row],[بدهی سررسید شده (کیلوگرم)]]*Main[[#This Row],[روز از ارسال سفارش]]</f>
        <v>0</v>
      </c>
      <c r="U877" s="6">
        <f>-SUBTOTAL(9,INDEX(Main[مقدار (کیلوگرم)],1):Main[[#This Row],[مقدار (کیلوگرم)]])</f>
        <v>26041</v>
      </c>
      <c r="V8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7" s="6">
        <f>Main[[#This Row],[تعداد کل روزهای بدهکار (روز)]]*Main[[#This Row],[مانده در خط کل (کیلوگرم)]]</f>
        <v>0</v>
      </c>
      <c r="X877" s="6">
        <f ca="1">-SUBTOTAL(9,INDEX(Main[مقدار تسویه شده (کیلوگرم)],1):Main[[#This Row],[مقدار تسویه شده (کیلوگرم)]])</f>
        <v>26041</v>
      </c>
      <c r="Y877" s="6">
        <f ca="1">IF(Main[[#This Row],[مانده در خط تسویه شده (کیلوگرم)]]&lt;&gt;0,Main[[#This Row],[تعداد کل روزهای بدهکار (روز)]],0)</f>
        <v>0</v>
      </c>
      <c r="Z877" s="6">
        <f ca="1">Main[[#This Row],[تعداد روزهای بدهکار تسویه شده (روز)]]*Main[[#This Row],[مانده در خط تسویه شده (کیلوگرم)]]</f>
        <v>0</v>
      </c>
      <c r="AA877" s="6">
        <f ca="1">SUBTOTAL(9,INDEX(Main[بدهی تسویه نشده (کیلوگرم)],1):Main[[#This Row],[بدهی تسویه نشده (کیلوگرم)]])</f>
        <v>0</v>
      </c>
      <c r="AB877" s="6">
        <f ca="1">IF(Main[[#This Row],[مانده در خط تسویه نشده (کیلوگرم)]]&lt;&gt;0,Main[[#This Row],[تعداد کل روزهای بدهکار (روز)]],0)</f>
        <v>0</v>
      </c>
      <c r="AC877" s="6">
        <f ca="1">Main[[#This Row],[تعداد روزهای بدهکار  تسویه نشده (روز)]]*Main[[#This Row],[مانده در خط تسویه نشده (کیلوگرم)]]</f>
        <v>0</v>
      </c>
      <c r="AD877" s="6">
        <f ca="1">SUBTOTAL(9,INDEX(Main[بدهی سررسید شده (کیلوگرم)],1):Main[[#This Row],[بدهی سررسید شده (کیلوگرم)]])</f>
        <v>0</v>
      </c>
      <c r="AE877" s="6">
        <f ca="1">IF(Main[[#This Row],[مانده در خط سررسید شده (کیلوگرم)]]&lt;&gt;0,Main[[#This Row],[تعداد کل روزهای بدهکار (روز)]],0)</f>
        <v>0</v>
      </c>
      <c r="AF877" s="6">
        <f ca="1">Main[[#This Row],[تعداد روزهای بدهکار سررسید شده (روز)]]*Main[[#This Row],[مانده در خط سررسید شده (کیلوگرم)]]</f>
        <v>0</v>
      </c>
    </row>
    <row r="878" spans="1:32" hidden="1" x14ac:dyDescent="0.35">
      <c r="A878" s="5">
        <f>ROW()-ROW(INDEX(Main[ردیف],1))+1</f>
        <v>876</v>
      </c>
      <c r="B878" s="31">
        <f>SUBTOTAL(2,INDEX(Main[ردیف],1):Main[[#This Row],[ردیف]])</f>
        <v>82</v>
      </c>
      <c r="C878" s="32" t="s">
        <v>599</v>
      </c>
      <c r="D878" s="32" t="str">
        <f>_xlfn.CONCAT("14",Main[[#This Row],[تاريخ]])</f>
        <v>1400/04/02</v>
      </c>
      <c r="E878" s="33">
        <v>44370</v>
      </c>
      <c r="F878" s="32">
        <v>30146</v>
      </c>
      <c r="G878" s="5" t="str">
        <f>INDEX(customer[عنوان],MATCH(Main[[#This Row],[کد ردیابی]],customer[کد],0))</f>
        <v>شرکت آذرپاد</v>
      </c>
      <c r="H878">
        <v>3142</v>
      </c>
      <c r="I878" s="6">
        <f ca="1">-Main[[#This Row],[بدهی تسویه شده (کیلوگرم)]]+Main[[#This Row],[بستانکار (کیلوگرم)]]</f>
        <v>3142</v>
      </c>
      <c r="J878" s="6">
        <f>IF(Main[[#This Row],[مقدار (کیلوگرم)]]&gt;0,Main[[#This Row],[مقدار (کیلوگرم)]],0)</f>
        <v>3142</v>
      </c>
      <c r="K878" s="6">
        <f>-IF(Main[[#This Row],[مقدار (کیلوگرم)]]&lt;0,Main[[#This Row],[مقدار (کیلوگرم)]],0)</f>
        <v>0</v>
      </c>
      <c r="L8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8" s="7">
        <f>-IF(AND(Main[[#This Row],[مقدار (کیلوگرم)]]&lt;0,Main[[#This Row],[تاريخ میلادی]]&gt;44276),Main[[#This Row],[مقدار (کیلوگرم)]],0)</f>
        <v>0</v>
      </c>
      <c r="N878" s="6">
        <f ca="1">Main[[#This Row],[بدهکار (کیلوگرم)]]-Main[[#This Row],[بدهی تسویه نشده (کیلوگرم)]]</f>
        <v>0</v>
      </c>
      <c r="O878" s="6">
        <f ca="1">Main[[#This Row],[تفکیک]]</f>
        <v>0</v>
      </c>
      <c r="P878" s="6">
        <f ca="1">IF(Main[[#This Row],[تاخیر از سررسید]]&gt;0,Main[[#This Row],[بدهی تسویه نشده (کیلوگرم)]],0)</f>
        <v>0</v>
      </c>
      <c r="Q878" s="6">
        <f ca="1">IF(Main[[#This Row],[بدهی تسویه نشده (کیلوگرم)]]&gt;0,'گزارش فردی'!$B$7-Main[[#This Row],[تاريخ میلادی]],0)</f>
        <v>0</v>
      </c>
      <c r="R878" s="6">
        <f ca="1">IF(Main[[#This Row],[بدهی تسویه نشده (کیلوگرم)]]&gt;0,'گزارش فردی'!$B$7-Main[[#This Row],[تاريخ میلادی]]-'گزارش فردی'!$B$8,0)</f>
        <v>0</v>
      </c>
      <c r="S878" s="6">
        <f ca="1">Main[[#This Row],[روز از ارسال سفارش]]*Main[[#This Row],[بدهی تسویه نشده (کیلوگرم)]]</f>
        <v>0</v>
      </c>
      <c r="T878" s="6">
        <f ca="1">Main[[#This Row],[بدهی سررسید شده (کیلوگرم)]]*Main[[#This Row],[روز از ارسال سفارش]]</f>
        <v>0</v>
      </c>
      <c r="U878" s="6">
        <f>-SUBTOTAL(9,INDEX(Main[مقدار (کیلوگرم)],1):Main[[#This Row],[مقدار (کیلوگرم)]])</f>
        <v>26041</v>
      </c>
      <c r="V8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8" s="6">
        <f>Main[[#This Row],[تعداد کل روزهای بدهکار (روز)]]*Main[[#This Row],[مانده در خط کل (کیلوگرم)]]</f>
        <v>0</v>
      </c>
      <c r="X878" s="6">
        <f ca="1">-SUBTOTAL(9,INDEX(Main[مقدار تسویه شده (کیلوگرم)],1):Main[[#This Row],[مقدار تسویه شده (کیلوگرم)]])</f>
        <v>26041</v>
      </c>
      <c r="Y878" s="6">
        <f ca="1">IF(Main[[#This Row],[مانده در خط تسویه شده (کیلوگرم)]]&lt;&gt;0,Main[[#This Row],[تعداد کل روزهای بدهکار (روز)]],0)</f>
        <v>0</v>
      </c>
      <c r="Z878" s="6">
        <f ca="1">Main[[#This Row],[تعداد روزهای بدهکار تسویه شده (روز)]]*Main[[#This Row],[مانده در خط تسویه شده (کیلوگرم)]]</f>
        <v>0</v>
      </c>
      <c r="AA878" s="6">
        <f ca="1">SUBTOTAL(9,INDEX(Main[بدهی تسویه نشده (کیلوگرم)],1):Main[[#This Row],[بدهی تسویه نشده (کیلوگرم)]])</f>
        <v>0</v>
      </c>
      <c r="AB878" s="6">
        <f ca="1">IF(Main[[#This Row],[مانده در خط تسویه نشده (کیلوگرم)]]&lt;&gt;0,Main[[#This Row],[تعداد کل روزهای بدهکار (روز)]],0)</f>
        <v>0</v>
      </c>
      <c r="AC878" s="6">
        <f ca="1">Main[[#This Row],[تعداد روزهای بدهکار  تسویه نشده (روز)]]*Main[[#This Row],[مانده در خط تسویه نشده (کیلوگرم)]]</f>
        <v>0</v>
      </c>
      <c r="AD878" s="6">
        <f ca="1">SUBTOTAL(9,INDEX(Main[بدهی سررسید شده (کیلوگرم)],1):Main[[#This Row],[بدهی سررسید شده (کیلوگرم)]])</f>
        <v>0</v>
      </c>
      <c r="AE878" s="6">
        <f ca="1">IF(Main[[#This Row],[مانده در خط سررسید شده (کیلوگرم)]]&lt;&gt;0,Main[[#This Row],[تعداد کل روزهای بدهکار (روز)]],0)</f>
        <v>0</v>
      </c>
      <c r="AF878" s="6">
        <f ca="1">Main[[#This Row],[تعداد روزهای بدهکار سررسید شده (روز)]]*Main[[#This Row],[مانده در خط سررسید شده (کیلوگرم)]]</f>
        <v>0</v>
      </c>
    </row>
    <row r="879" spans="1:32" hidden="1" x14ac:dyDescent="0.35">
      <c r="A879" s="5">
        <f>ROW()-ROW(INDEX(Main[ردیف],1))+1</f>
        <v>877</v>
      </c>
      <c r="B879" s="31">
        <f>SUBTOTAL(2,INDEX(Main[ردیف],1):Main[[#This Row],[ردیف]])</f>
        <v>82</v>
      </c>
      <c r="C879" s="32" t="s">
        <v>599</v>
      </c>
      <c r="D879" s="32" t="str">
        <f>_xlfn.CONCAT("14",Main[[#This Row],[تاريخ]])</f>
        <v>1400/04/02</v>
      </c>
      <c r="E879" s="33">
        <v>44370</v>
      </c>
      <c r="F879" s="32">
        <v>30146</v>
      </c>
      <c r="G879" s="5" t="str">
        <f>INDEX(customer[عنوان],MATCH(Main[[#This Row],[کد ردیابی]],customer[کد],0))</f>
        <v>شرکت آذرپاد</v>
      </c>
      <c r="H879">
        <v>-2453</v>
      </c>
      <c r="I879" s="6">
        <f ca="1">-Main[[#This Row],[بدهی تسویه شده (کیلوگرم)]]+Main[[#This Row],[بستانکار (کیلوگرم)]]</f>
        <v>-2453</v>
      </c>
      <c r="J879" s="6">
        <f>IF(Main[[#This Row],[مقدار (کیلوگرم)]]&gt;0,Main[[#This Row],[مقدار (کیلوگرم)]],0)</f>
        <v>0</v>
      </c>
      <c r="K879" s="6">
        <f>-IF(Main[[#This Row],[مقدار (کیلوگرم)]]&lt;0,Main[[#This Row],[مقدار (کیلوگرم)]],0)</f>
        <v>2453</v>
      </c>
      <c r="L8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9" s="7">
        <f>-IF(AND(Main[[#This Row],[مقدار (کیلوگرم)]]&lt;0,Main[[#This Row],[تاريخ میلادی]]&gt;44276),Main[[#This Row],[مقدار (کیلوگرم)]],0)</f>
        <v>2453</v>
      </c>
      <c r="N879" s="6">
        <f ca="1">Main[[#This Row],[بدهکار (کیلوگرم)]]-Main[[#This Row],[بدهی تسویه نشده (کیلوگرم)]]</f>
        <v>2453</v>
      </c>
      <c r="O879" s="6">
        <f ca="1">Main[[#This Row],[تفکیک]]</f>
        <v>0</v>
      </c>
      <c r="P879" s="6">
        <f ca="1">IF(Main[[#This Row],[تاخیر از سررسید]]&gt;0,Main[[#This Row],[بدهی تسویه نشده (کیلوگرم)]],0)</f>
        <v>0</v>
      </c>
      <c r="Q879" s="6">
        <f ca="1">IF(Main[[#This Row],[بدهی تسویه نشده (کیلوگرم)]]&gt;0,'گزارش فردی'!$B$7-Main[[#This Row],[تاريخ میلادی]],0)</f>
        <v>0</v>
      </c>
      <c r="R879" s="6">
        <f ca="1">IF(Main[[#This Row],[بدهی تسویه نشده (کیلوگرم)]]&gt;0,'گزارش فردی'!$B$7-Main[[#This Row],[تاريخ میلادی]]-'گزارش فردی'!$B$8,0)</f>
        <v>0</v>
      </c>
      <c r="S879" s="6">
        <f ca="1">Main[[#This Row],[روز از ارسال سفارش]]*Main[[#This Row],[بدهی تسویه نشده (کیلوگرم)]]</f>
        <v>0</v>
      </c>
      <c r="T879" s="6">
        <f ca="1">Main[[#This Row],[بدهی سررسید شده (کیلوگرم)]]*Main[[#This Row],[روز از ارسال سفارش]]</f>
        <v>0</v>
      </c>
      <c r="U879" s="6">
        <f>-SUBTOTAL(9,INDEX(Main[مقدار (کیلوگرم)],1):Main[[#This Row],[مقدار (کیلوگرم)]])</f>
        <v>26041</v>
      </c>
      <c r="V8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9" s="6">
        <f>Main[[#This Row],[تعداد کل روزهای بدهکار (روز)]]*Main[[#This Row],[مانده در خط کل (کیلوگرم)]]</f>
        <v>0</v>
      </c>
      <c r="X879" s="6">
        <f ca="1">-SUBTOTAL(9,INDEX(Main[مقدار تسویه شده (کیلوگرم)],1):Main[[#This Row],[مقدار تسویه شده (کیلوگرم)]])</f>
        <v>26041</v>
      </c>
      <c r="Y879" s="6">
        <f ca="1">IF(Main[[#This Row],[مانده در خط تسویه شده (کیلوگرم)]]&lt;&gt;0,Main[[#This Row],[تعداد کل روزهای بدهکار (روز)]],0)</f>
        <v>0</v>
      </c>
      <c r="Z879" s="6">
        <f ca="1">Main[[#This Row],[تعداد روزهای بدهکار تسویه شده (روز)]]*Main[[#This Row],[مانده در خط تسویه شده (کیلوگرم)]]</f>
        <v>0</v>
      </c>
      <c r="AA879" s="6">
        <f ca="1">SUBTOTAL(9,INDEX(Main[بدهی تسویه نشده (کیلوگرم)],1):Main[[#This Row],[بدهی تسویه نشده (کیلوگرم)]])</f>
        <v>0</v>
      </c>
      <c r="AB879" s="6">
        <f ca="1">IF(Main[[#This Row],[مانده در خط تسویه نشده (کیلوگرم)]]&lt;&gt;0,Main[[#This Row],[تعداد کل روزهای بدهکار (روز)]],0)</f>
        <v>0</v>
      </c>
      <c r="AC879" s="6">
        <f ca="1">Main[[#This Row],[تعداد روزهای بدهکار  تسویه نشده (روز)]]*Main[[#This Row],[مانده در خط تسویه نشده (کیلوگرم)]]</f>
        <v>0</v>
      </c>
      <c r="AD879" s="6">
        <f ca="1">SUBTOTAL(9,INDEX(Main[بدهی سررسید شده (کیلوگرم)],1):Main[[#This Row],[بدهی سررسید شده (کیلوگرم)]])</f>
        <v>0</v>
      </c>
      <c r="AE879" s="6">
        <f ca="1">IF(Main[[#This Row],[مانده در خط سررسید شده (کیلوگرم)]]&lt;&gt;0,Main[[#This Row],[تعداد کل روزهای بدهکار (روز)]],0)</f>
        <v>0</v>
      </c>
      <c r="AF879" s="6">
        <f ca="1">Main[[#This Row],[تعداد روزهای بدهکار سررسید شده (روز)]]*Main[[#This Row],[مانده در خط سررسید شده (کیلوگرم)]]</f>
        <v>0</v>
      </c>
    </row>
    <row r="880" spans="1:32" hidden="1" x14ac:dyDescent="0.35">
      <c r="A880" s="5">
        <f>ROW()-ROW(INDEX(Main[ردیف],1))+1</f>
        <v>878</v>
      </c>
      <c r="B880" s="31">
        <f>SUBTOTAL(2,INDEX(Main[ردیف],1):Main[[#This Row],[ردیف]])</f>
        <v>82</v>
      </c>
      <c r="C880" s="32" t="s">
        <v>599</v>
      </c>
      <c r="D880" s="32" t="str">
        <f>_xlfn.CONCAT("14",Main[[#This Row],[تاريخ]])</f>
        <v>1400/04/02</v>
      </c>
      <c r="E880" s="33">
        <v>44370</v>
      </c>
      <c r="F880" s="32">
        <v>30003</v>
      </c>
      <c r="G880" s="5" t="str">
        <f>INDEX(customer[عنوان],MATCH(Main[[#This Row],[کد ردیابی]],customer[کد],0))</f>
        <v xml:space="preserve">شهاب گاز سوز </v>
      </c>
      <c r="H880">
        <v>799</v>
      </c>
      <c r="I880" s="6">
        <f ca="1">-Main[[#This Row],[بدهی تسویه شده (کیلوگرم)]]+Main[[#This Row],[بستانکار (کیلوگرم)]]</f>
        <v>799</v>
      </c>
      <c r="J880" s="6">
        <f>IF(Main[[#This Row],[مقدار (کیلوگرم)]]&gt;0,Main[[#This Row],[مقدار (کیلوگرم)]],0)</f>
        <v>799</v>
      </c>
      <c r="K880" s="6">
        <f>-IF(Main[[#This Row],[مقدار (کیلوگرم)]]&lt;0,Main[[#This Row],[مقدار (کیلوگرم)]],0)</f>
        <v>0</v>
      </c>
      <c r="L8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0" s="7">
        <f>-IF(AND(Main[[#This Row],[مقدار (کیلوگرم)]]&lt;0,Main[[#This Row],[تاريخ میلادی]]&gt;44276),Main[[#This Row],[مقدار (کیلوگرم)]],0)</f>
        <v>0</v>
      </c>
      <c r="N880" s="6">
        <f ca="1">Main[[#This Row],[بدهکار (کیلوگرم)]]-Main[[#This Row],[بدهی تسویه نشده (کیلوگرم)]]</f>
        <v>0</v>
      </c>
      <c r="O880" s="6">
        <f ca="1">Main[[#This Row],[تفکیک]]</f>
        <v>0</v>
      </c>
      <c r="P880" s="6">
        <f ca="1">IF(Main[[#This Row],[تاخیر از سررسید]]&gt;0,Main[[#This Row],[بدهی تسویه نشده (کیلوگرم)]],0)</f>
        <v>0</v>
      </c>
      <c r="Q880" s="6">
        <f ca="1">IF(Main[[#This Row],[بدهی تسویه نشده (کیلوگرم)]]&gt;0,'گزارش فردی'!$B$7-Main[[#This Row],[تاريخ میلادی]],0)</f>
        <v>0</v>
      </c>
      <c r="R880" s="6">
        <f ca="1">IF(Main[[#This Row],[بدهی تسویه نشده (کیلوگرم)]]&gt;0,'گزارش فردی'!$B$7-Main[[#This Row],[تاريخ میلادی]]-'گزارش فردی'!$B$8,0)</f>
        <v>0</v>
      </c>
      <c r="S880" s="6">
        <f ca="1">Main[[#This Row],[روز از ارسال سفارش]]*Main[[#This Row],[بدهی تسویه نشده (کیلوگرم)]]</f>
        <v>0</v>
      </c>
      <c r="T880" s="6">
        <f ca="1">Main[[#This Row],[بدهی سررسید شده (کیلوگرم)]]*Main[[#This Row],[روز از ارسال سفارش]]</f>
        <v>0</v>
      </c>
      <c r="U880" s="6">
        <f>-SUBTOTAL(9,INDEX(Main[مقدار (کیلوگرم)],1):Main[[#This Row],[مقدار (کیلوگرم)]])</f>
        <v>26041</v>
      </c>
      <c r="V8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80" s="6">
        <f>Main[[#This Row],[تعداد کل روزهای بدهکار (روز)]]*Main[[#This Row],[مانده در خط کل (کیلوگرم)]]</f>
        <v>0</v>
      </c>
      <c r="X880" s="6">
        <f ca="1">-SUBTOTAL(9,INDEX(Main[مقدار تسویه شده (کیلوگرم)],1):Main[[#This Row],[مقدار تسویه شده (کیلوگرم)]])</f>
        <v>26041</v>
      </c>
      <c r="Y880" s="6">
        <f ca="1">IF(Main[[#This Row],[مانده در خط تسویه شده (کیلوگرم)]]&lt;&gt;0,Main[[#This Row],[تعداد کل روزهای بدهکار (روز)]],0)</f>
        <v>0</v>
      </c>
      <c r="Z880" s="6">
        <f ca="1">Main[[#This Row],[تعداد روزهای بدهکار تسویه شده (روز)]]*Main[[#This Row],[مانده در خط تسویه شده (کیلوگرم)]]</f>
        <v>0</v>
      </c>
      <c r="AA880" s="6">
        <f ca="1">SUBTOTAL(9,INDEX(Main[بدهی تسویه نشده (کیلوگرم)],1):Main[[#This Row],[بدهی تسویه نشده (کیلوگرم)]])</f>
        <v>0</v>
      </c>
      <c r="AB880" s="6">
        <f ca="1">IF(Main[[#This Row],[مانده در خط تسویه نشده (کیلوگرم)]]&lt;&gt;0,Main[[#This Row],[تعداد کل روزهای بدهکار (روز)]],0)</f>
        <v>0</v>
      </c>
      <c r="AC880" s="6">
        <f ca="1">Main[[#This Row],[تعداد روزهای بدهکار  تسویه نشده (روز)]]*Main[[#This Row],[مانده در خط تسویه نشده (کیلوگرم)]]</f>
        <v>0</v>
      </c>
      <c r="AD880" s="6">
        <f ca="1">SUBTOTAL(9,INDEX(Main[بدهی سررسید شده (کیلوگرم)],1):Main[[#This Row],[بدهی سررسید شده (کیلوگرم)]])</f>
        <v>0</v>
      </c>
      <c r="AE880" s="6">
        <f ca="1">IF(Main[[#This Row],[مانده در خط سررسید شده (کیلوگرم)]]&lt;&gt;0,Main[[#This Row],[تعداد کل روزهای بدهکار (روز)]],0)</f>
        <v>0</v>
      </c>
      <c r="AF880" s="6">
        <f ca="1">Main[[#This Row],[تعداد روزهای بدهکار سررسید شده (روز)]]*Main[[#This Row],[مانده در خط سررسید شده (کیلوگرم)]]</f>
        <v>0</v>
      </c>
    </row>
    <row r="881" spans="1:32" hidden="1" x14ac:dyDescent="0.35">
      <c r="A881" s="5">
        <f>ROW()-ROW(INDEX(Main[ردیف],1))+1</f>
        <v>879</v>
      </c>
      <c r="B881" s="31">
        <f>SUBTOTAL(2,INDEX(Main[ردیف],1):Main[[#This Row],[ردیف]])</f>
        <v>82</v>
      </c>
      <c r="C881" s="32" t="s">
        <v>599</v>
      </c>
      <c r="D881" s="32" t="str">
        <f>_xlfn.CONCAT("14",Main[[#This Row],[تاريخ]])</f>
        <v>1400/04/02</v>
      </c>
      <c r="E881" s="33">
        <v>44370</v>
      </c>
      <c r="F881" s="32">
        <v>10057</v>
      </c>
      <c r="G881" s="5" t="str">
        <f>INDEX(customer[عنوان],MATCH(Main[[#This Row],[کد ردیابی]],customer[کد],0))</f>
        <v xml:space="preserve">عبدالله یادگار </v>
      </c>
      <c r="H881">
        <v>-2058</v>
      </c>
      <c r="I881" s="6">
        <f ca="1">-Main[[#This Row],[بدهی تسویه شده (کیلوگرم)]]+Main[[#This Row],[بستانکار (کیلوگرم)]]</f>
        <v>-2058</v>
      </c>
      <c r="J881" s="6">
        <f>IF(Main[[#This Row],[مقدار (کیلوگرم)]]&gt;0,Main[[#This Row],[مقدار (کیلوگرم)]],0)</f>
        <v>0</v>
      </c>
      <c r="K881" s="6">
        <f>-IF(Main[[#This Row],[مقدار (کیلوگرم)]]&lt;0,Main[[#This Row],[مقدار (کیلوگرم)]],0)</f>
        <v>2058</v>
      </c>
      <c r="L8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1" s="7">
        <f>-IF(AND(Main[[#This Row],[مقدار (کیلوگرم)]]&lt;0,Main[[#This Row],[تاريخ میلادی]]&gt;44276),Main[[#This Row],[مقدار (کیلوگرم)]],0)</f>
        <v>2058</v>
      </c>
      <c r="N881" s="6">
        <f ca="1">Main[[#This Row],[بدهکار (کیلوگرم)]]-Main[[#This Row],[بدهی تسویه نشده (کیلوگرم)]]</f>
        <v>2058</v>
      </c>
      <c r="O881" s="6">
        <f ca="1">Main[[#This Row],[تفکیک]]</f>
        <v>0</v>
      </c>
      <c r="P881" s="6">
        <f ca="1">IF(Main[[#This Row],[تاخیر از سررسید]]&gt;0,Main[[#This Row],[بدهی تسویه نشده (کیلوگرم)]],0)</f>
        <v>0</v>
      </c>
      <c r="Q881" s="6">
        <f ca="1">IF(Main[[#This Row],[بدهی تسویه نشده (کیلوگرم)]]&gt;0,'گزارش فردی'!$B$7-Main[[#This Row],[تاريخ میلادی]],0)</f>
        <v>0</v>
      </c>
      <c r="R881" s="6">
        <f ca="1">IF(Main[[#This Row],[بدهی تسویه نشده (کیلوگرم)]]&gt;0,'گزارش فردی'!$B$7-Main[[#This Row],[تاريخ میلادی]]-'گزارش فردی'!$B$8,0)</f>
        <v>0</v>
      </c>
      <c r="S881" s="6">
        <f ca="1">Main[[#This Row],[روز از ارسال سفارش]]*Main[[#This Row],[بدهی تسویه نشده (کیلوگرم)]]</f>
        <v>0</v>
      </c>
      <c r="T881" s="6">
        <f ca="1">Main[[#This Row],[بدهی سررسید شده (کیلوگرم)]]*Main[[#This Row],[روز از ارسال سفارش]]</f>
        <v>0</v>
      </c>
      <c r="U881" s="6">
        <f>-SUBTOTAL(9,INDEX(Main[مقدار (کیلوگرم)],1):Main[[#This Row],[مقدار (کیلوگرم)]])</f>
        <v>26041</v>
      </c>
      <c r="V8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81" s="6">
        <f>Main[[#This Row],[تعداد کل روزهای بدهکار (روز)]]*Main[[#This Row],[مانده در خط کل (کیلوگرم)]]</f>
        <v>0</v>
      </c>
      <c r="X881" s="6">
        <f ca="1">-SUBTOTAL(9,INDEX(Main[مقدار تسویه شده (کیلوگرم)],1):Main[[#This Row],[مقدار تسویه شده (کیلوگرم)]])</f>
        <v>26041</v>
      </c>
      <c r="Y881" s="6">
        <f ca="1">IF(Main[[#This Row],[مانده در خط تسویه شده (کیلوگرم)]]&lt;&gt;0,Main[[#This Row],[تعداد کل روزهای بدهکار (روز)]],0)</f>
        <v>0</v>
      </c>
      <c r="Z881" s="6">
        <f ca="1">Main[[#This Row],[تعداد روزهای بدهکار تسویه شده (روز)]]*Main[[#This Row],[مانده در خط تسویه شده (کیلوگرم)]]</f>
        <v>0</v>
      </c>
      <c r="AA881" s="6">
        <f ca="1">SUBTOTAL(9,INDEX(Main[بدهی تسویه نشده (کیلوگرم)],1):Main[[#This Row],[بدهی تسویه نشده (کیلوگرم)]])</f>
        <v>0</v>
      </c>
      <c r="AB881" s="6">
        <f ca="1">IF(Main[[#This Row],[مانده در خط تسویه نشده (کیلوگرم)]]&lt;&gt;0,Main[[#This Row],[تعداد کل روزهای بدهکار (روز)]],0)</f>
        <v>0</v>
      </c>
      <c r="AC881" s="6">
        <f ca="1">Main[[#This Row],[تعداد روزهای بدهکار  تسویه نشده (روز)]]*Main[[#This Row],[مانده در خط تسویه نشده (کیلوگرم)]]</f>
        <v>0</v>
      </c>
      <c r="AD881" s="6">
        <f ca="1">SUBTOTAL(9,INDEX(Main[بدهی سررسید شده (کیلوگرم)],1):Main[[#This Row],[بدهی سررسید شده (کیلوگرم)]])</f>
        <v>0</v>
      </c>
      <c r="AE881" s="6">
        <f ca="1">IF(Main[[#This Row],[مانده در خط سررسید شده (کیلوگرم)]]&lt;&gt;0,Main[[#This Row],[تعداد کل روزهای بدهکار (روز)]],0)</f>
        <v>0</v>
      </c>
      <c r="AF881" s="6">
        <f ca="1">Main[[#This Row],[تعداد روزهای بدهکار سررسید شده (روز)]]*Main[[#This Row],[مانده در خط سررسید شده (کیلوگرم)]]</f>
        <v>0</v>
      </c>
    </row>
    <row r="882" spans="1:32" hidden="1" x14ac:dyDescent="0.35">
      <c r="A882" s="5">
        <f>ROW()-ROW(INDEX(Main[ردیف],1))+1</f>
        <v>880</v>
      </c>
      <c r="B882" s="31">
        <f>SUBTOTAL(2,INDEX(Main[ردیف],1):Main[[#This Row],[ردیف]])</f>
        <v>82</v>
      </c>
      <c r="C882" s="32" t="s">
        <v>599</v>
      </c>
      <c r="D882" s="32" t="str">
        <f>_xlfn.CONCAT("14",Main[[#This Row],[تاريخ]])</f>
        <v>1400/04/02</v>
      </c>
      <c r="E882" s="33">
        <v>44370</v>
      </c>
      <c r="F882" s="32">
        <v>10057</v>
      </c>
      <c r="G882" s="5" t="str">
        <f>INDEX(customer[عنوان],MATCH(Main[[#This Row],[کد ردیابی]],customer[کد],0))</f>
        <v xml:space="preserve">عبدالله یادگار </v>
      </c>
      <c r="H882">
        <v>37</v>
      </c>
      <c r="I882" s="6">
        <f ca="1">-Main[[#This Row],[بدهی تسویه شده (کیلوگرم)]]+Main[[#This Row],[بستانکار (کیلوگرم)]]</f>
        <v>37</v>
      </c>
      <c r="J882" s="6">
        <f>IF(Main[[#This Row],[مقدار (کیلوگرم)]]&gt;0,Main[[#This Row],[مقدار (کیلوگرم)]],0)</f>
        <v>37</v>
      </c>
      <c r="K882" s="6">
        <f>-IF(Main[[#This Row],[مقدار (کیلوگرم)]]&lt;0,Main[[#This Row],[مقدار (کیلوگرم)]],0)</f>
        <v>0</v>
      </c>
      <c r="L8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2" s="7">
        <f>-IF(AND(Main[[#This Row],[مقدار (کیلوگرم)]]&lt;0,Main[[#This Row],[تاريخ میلادی]]&gt;44276),Main[[#This Row],[مقدار (کیلوگرم)]],0)</f>
        <v>0</v>
      </c>
      <c r="N882" s="6">
        <f ca="1">Main[[#This Row],[بدهکار (کیلوگرم)]]-Main[[#This Row],[بدهی تسویه نشده (کیلوگرم)]]</f>
        <v>0</v>
      </c>
      <c r="O882" s="6">
        <f ca="1">Main[[#This Row],[تفکیک]]</f>
        <v>0</v>
      </c>
      <c r="P882" s="6">
        <f ca="1">IF(Main[[#This Row],[تاخیر از سررسید]]&gt;0,Main[[#This Row],[بدهی تسویه نشده (کیلوگرم)]],0)</f>
        <v>0</v>
      </c>
      <c r="Q882" s="6">
        <f ca="1">IF(Main[[#This Row],[بدهی تسویه نشده (کیلوگرم)]]&gt;0,'گزارش فردی'!$B$7-Main[[#This Row],[تاريخ میلادی]],0)</f>
        <v>0</v>
      </c>
      <c r="R882" s="6">
        <f ca="1">IF(Main[[#This Row],[بدهی تسویه نشده (کیلوگرم)]]&gt;0,'گزارش فردی'!$B$7-Main[[#This Row],[تاريخ میلادی]]-'گزارش فردی'!$B$8,0)</f>
        <v>0</v>
      </c>
      <c r="S882" s="6">
        <f ca="1">Main[[#This Row],[روز از ارسال سفارش]]*Main[[#This Row],[بدهی تسویه نشده (کیلوگرم)]]</f>
        <v>0</v>
      </c>
      <c r="T882" s="6">
        <f ca="1">Main[[#This Row],[بدهی سررسید شده (کیلوگرم)]]*Main[[#This Row],[روز از ارسال سفارش]]</f>
        <v>0</v>
      </c>
      <c r="U882" s="6">
        <f>-SUBTOTAL(9,INDEX(Main[مقدار (کیلوگرم)],1):Main[[#This Row],[مقدار (کیلوگرم)]])</f>
        <v>26041</v>
      </c>
      <c r="V8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82" s="6">
        <f>Main[[#This Row],[تعداد کل روزهای بدهکار (روز)]]*Main[[#This Row],[مانده در خط کل (کیلوگرم)]]</f>
        <v>0</v>
      </c>
      <c r="X882" s="6">
        <f ca="1">-SUBTOTAL(9,INDEX(Main[مقدار تسویه شده (کیلوگرم)],1):Main[[#This Row],[مقدار تسویه شده (کیلوگرم)]])</f>
        <v>26041</v>
      </c>
      <c r="Y882" s="6">
        <f ca="1">IF(Main[[#This Row],[مانده در خط تسویه شده (کیلوگرم)]]&lt;&gt;0,Main[[#This Row],[تعداد کل روزهای بدهکار (روز)]],0)</f>
        <v>0</v>
      </c>
      <c r="Z882" s="6">
        <f ca="1">Main[[#This Row],[تعداد روزهای بدهکار تسویه شده (روز)]]*Main[[#This Row],[مانده در خط تسویه شده (کیلوگرم)]]</f>
        <v>0</v>
      </c>
      <c r="AA882" s="6">
        <f ca="1">SUBTOTAL(9,INDEX(Main[بدهی تسویه نشده (کیلوگرم)],1):Main[[#This Row],[بدهی تسویه نشده (کیلوگرم)]])</f>
        <v>0</v>
      </c>
      <c r="AB882" s="6">
        <f ca="1">IF(Main[[#This Row],[مانده در خط تسویه نشده (کیلوگرم)]]&lt;&gt;0,Main[[#This Row],[تعداد کل روزهای بدهکار (روز)]],0)</f>
        <v>0</v>
      </c>
      <c r="AC882" s="6">
        <f ca="1">Main[[#This Row],[تعداد روزهای بدهکار  تسویه نشده (روز)]]*Main[[#This Row],[مانده در خط تسویه نشده (کیلوگرم)]]</f>
        <v>0</v>
      </c>
      <c r="AD882" s="6">
        <f ca="1">SUBTOTAL(9,INDEX(Main[بدهی سررسید شده (کیلوگرم)],1):Main[[#This Row],[بدهی سررسید شده (کیلوگرم)]])</f>
        <v>0</v>
      </c>
      <c r="AE882" s="6">
        <f ca="1">IF(Main[[#This Row],[مانده در خط سررسید شده (کیلوگرم)]]&lt;&gt;0,Main[[#This Row],[تعداد کل روزهای بدهکار (روز)]],0)</f>
        <v>0</v>
      </c>
      <c r="AF882" s="6">
        <f ca="1">Main[[#This Row],[تعداد روزهای بدهکار سررسید شده (روز)]]*Main[[#This Row],[مانده در خط سررسید شده (کیلوگرم)]]</f>
        <v>0</v>
      </c>
    </row>
    <row r="883" spans="1:32" x14ac:dyDescent="0.35">
      <c r="A883" s="5">
        <f>ROW()-ROW(INDEX(Main[ردیف],1))+1</f>
        <v>881</v>
      </c>
      <c r="B883" s="31">
        <f>SUBTOTAL(2,INDEX(Main[ردیف],1):Main[[#This Row],[ردیف]])</f>
        <v>83</v>
      </c>
      <c r="C883" s="32" t="s">
        <v>599</v>
      </c>
      <c r="D883" s="32" t="str">
        <f>_xlfn.CONCAT("14",Main[[#This Row],[تاريخ]])</f>
        <v>1400/04/02</v>
      </c>
      <c r="E883" s="33">
        <v>44370</v>
      </c>
      <c r="F883" s="32">
        <v>10003</v>
      </c>
      <c r="G883" s="5" t="str">
        <f>INDEX(customer[عنوان],MATCH(Main[[#This Row],[کد ردیابی]],customer[کد],0))</f>
        <v>اصغر نورعلی</v>
      </c>
      <c r="H883">
        <v>-2362</v>
      </c>
      <c r="I883" s="6">
        <f ca="1">-Main[[#This Row],[بدهی تسویه شده (کیلوگرم)]]+Main[[#This Row],[بستانکار (کیلوگرم)]]</f>
        <v>-2362</v>
      </c>
      <c r="J883" s="6">
        <f>IF(Main[[#This Row],[مقدار (کیلوگرم)]]&gt;0,Main[[#This Row],[مقدار (کیلوگرم)]],0)</f>
        <v>0</v>
      </c>
      <c r="K883" s="6">
        <f>-IF(Main[[#This Row],[مقدار (کیلوگرم)]]&lt;0,Main[[#This Row],[مقدار (کیلوگرم)]],0)</f>
        <v>2362</v>
      </c>
      <c r="L8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3" s="7">
        <f>-IF(AND(Main[[#This Row],[مقدار (کیلوگرم)]]&lt;0,Main[[#This Row],[تاريخ میلادی]]&gt;44276),Main[[#This Row],[مقدار (کیلوگرم)]],0)</f>
        <v>2362</v>
      </c>
      <c r="N883" s="6">
        <f ca="1">Main[[#This Row],[بدهکار (کیلوگرم)]]-Main[[#This Row],[بدهی تسویه نشده (کیلوگرم)]]</f>
        <v>2362</v>
      </c>
      <c r="O883" s="6">
        <f ca="1">Main[[#This Row],[تفکیک]]</f>
        <v>0</v>
      </c>
      <c r="P883" s="6">
        <f ca="1">IF(Main[[#This Row],[تاخیر از سررسید]]&gt;0,Main[[#This Row],[بدهی تسویه نشده (کیلوگرم)]],0)</f>
        <v>0</v>
      </c>
      <c r="Q883" s="6">
        <f ca="1">IF(Main[[#This Row],[بدهی تسویه نشده (کیلوگرم)]]&gt;0,'گزارش فردی'!$B$7-Main[[#This Row],[تاريخ میلادی]],0)</f>
        <v>0</v>
      </c>
      <c r="R883" s="6">
        <f ca="1">IF(Main[[#This Row],[بدهی تسویه نشده (کیلوگرم)]]&gt;0,'گزارش فردی'!$B$7-Main[[#This Row],[تاريخ میلادی]]-'گزارش فردی'!$B$8,0)</f>
        <v>0</v>
      </c>
      <c r="S883" s="6">
        <f ca="1">Main[[#This Row],[روز از ارسال سفارش]]*Main[[#This Row],[بدهی تسویه نشده (کیلوگرم)]]</f>
        <v>0</v>
      </c>
      <c r="T883" s="6">
        <f ca="1">Main[[#This Row],[بدهی سررسید شده (کیلوگرم)]]*Main[[#This Row],[روز از ارسال سفارش]]</f>
        <v>0</v>
      </c>
      <c r="U883" s="6">
        <f>-SUBTOTAL(9,INDEX(Main[مقدار (کیلوگرم)],1):Main[[#This Row],[مقدار (کیلوگرم)]])</f>
        <v>28403</v>
      </c>
      <c r="V8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3" s="6">
        <f>Main[[#This Row],[تعداد کل روزهای بدهکار (روز)]]*Main[[#This Row],[مانده در خط کل (کیلوگرم)]]</f>
        <v>28403</v>
      </c>
      <c r="X883" s="6">
        <f ca="1">-SUBTOTAL(9,INDEX(Main[مقدار تسویه شده (کیلوگرم)],1):Main[[#This Row],[مقدار تسویه شده (کیلوگرم)]])</f>
        <v>28403</v>
      </c>
      <c r="Y883" s="6">
        <f ca="1">IF(Main[[#This Row],[مانده در خط تسویه شده (کیلوگرم)]]&lt;&gt;0,Main[[#This Row],[تعداد کل روزهای بدهکار (روز)]],0)</f>
        <v>1</v>
      </c>
      <c r="Z883" s="6">
        <f ca="1">Main[[#This Row],[تعداد روزهای بدهکار تسویه شده (روز)]]*Main[[#This Row],[مانده در خط تسویه شده (کیلوگرم)]]</f>
        <v>28403</v>
      </c>
      <c r="AA883" s="6">
        <f ca="1">SUBTOTAL(9,INDEX(Main[بدهی تسویه نشده (کیلوگرم)],1):Main[[#This Row],[بدهی تسویه نشده (کیلوگرم)]])</f>
        <v>0</v>
      </c>
      <c r="AB883" s="6">
        <f ca="1">IF(Main[[#This Row],[مانده در خط تسویه نشده (کیلوگرم)]]&lt;&gt;0,Main[[#This Row],[تعداد کل روزهای بدهکار (روز)]],0)</f>
        <v>0</v>
      </c>
      <c r="AC883" s="6">
        <f ca="1">Main[[#This Row],[تعداد روزهای بدهکار  تسویه نشده (روز)]]*Main[[#This Row],[مانده در خط تسویه نشده (کیلوگرم)]]</f>
        <v>0</v>
      </c>
      <c r="AD883" s="6">
        <f ca="1">SUBTOTAL(9,INDEX(Main[بدهی سررسید شده (کیلوگرم)],1):Main[[#This Row],[بدهی سررسید شده (کیلوگرم)]])</f>
        <v>0</v>
      </c>
      <c r="AE883" s="6">
        <f ca="1">IF(Main[[#This Row],[مانده در خط سررسید شده (کیلوگرم)]]&lt;&gt;0,Main[[#This Row],[تعداد کل روزهای بدهکار (روز)]],0)</f>
        <v>0</v>
      </c>
      <c r="AF883" s="6">
        <f ca="1">Main[[#This Row],[تعداد روزهای بدهکار سررسید شده (روز)]]*Main[[#This Row],[مانده در خط سررسید شده (کیلوگرم)]]</f>
        <v>0</v>
      </c>
    </row>
    <row r="884" spans="1:32" hidden="1" x14ac:dyDescent="0.35">
      <c r="A884" s="5">
        <f>ROW()-ROW(INDEX(Main[ردیف],1))+1</f>
        <v>882</v>
      </c>
      <c r="B884" s="31">
        <f>SUBTOTAL(2,INDEX(Main[ردیف],1):Main[[#This Row],[ردیف]])</f>
        <v>83</v>
      </c>
      <c r="C884" s="32" t="s">
        <v>599</v>
      </c>
      <c r="D884" s="32" t="str">
        <f>_xlfn.CONCAT("14",Main[[#This Row],[تاريخ]])</f>
        <v>1400/04/02</v>
      </c>
      <c r="E884" s="33">
        <v>44370</v>
      </c>
      <c r="F884" s="32">
        <v>10057</v>
      </c>
      <c r="G884" s="5" t="str">
        <f>INDEX(customer[عنوان],MATCH(Main[[#This Row],[کد ردیابی]],customer[کد],0))</f>
        <v xml:space="preserve">عبدالله یادگار </v>
      </c>
      <c r="H884">
        <v>162</v>
      </c>
      <c r="I884" s="6">
        <f ca="1">-Main[[#This Row],[بدهی تسویه شده (کیلوگرم)]]+Main[[#This Row],[بستانکار (کیلوگرم)]]</f>
        <v>162</v>
      </c>
      <c r="J884" s="6">
        <f>IF(Main[[#This Row],[مقدار (کیلوگرم)]]&gt;0,Main[[#This Row],[مقدار (کیلوگرم)]],0)</f>
        <v>162</v>
      </c>
      <c r="K884" s="6">
        <f>-IF(Main[[#This Row],[مقدار (کیلوگرم)]]&lt;0,Main[[#This Row],[مقدار (کیلوگرم)]],0)</f>
        <v>0</v>
      </c>
      <c r="L8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4" s="7">
        <f>-IF(AND(Main[[#This Row],[مقدار (کیلوگرم)]]&lt;0,Main[[#This Row],[تاريخ میلادی]]&gt;44276),Main[[#This Row],[مقدار (کیلوگرم)]],0)</f>
        <v>0</v>
      </c>
      <c r="N884" s="6">
        <f ca="1">Main[[#This Row],[بدهکار (کیلوگرم)]]-Main[[#This Row],[بدهی تسویه نشده (کیلوگرم)]]</f>
        <v>0</v>
      </c>
      <c r="O884" s="6">
        <f ca="1">Main[[#This Row],[تفکیک]]</f>
        <v>0</v>
      </c>
      <c r="P884" s="6">
        <f ca="1">IF(Main[[#This Row],[تاخیر از سررسید]]&gt;0,Main[[#This Row],[بدهی تسویه نشده (کیلوگرم)]],0)</f>
        <v>0</v>
      </c>
      <c r="Q884" s="6">
        <f ca="1">IF(Main[[#This Row],[بدهی تسویه نشده (کیلوگرم)]]&gt;0,'گزارش فردی'!$B$7-Main[[#This Row],[تاريخ میلادی]],0)</f>
        <v>0</v>
      </c>
      <c r="R884" s="6">
        <f ca="1">IF(Main[[#This Row],[بدهی تسویه نشده (کیلوگرم)]]&gt;0,'گزارش فردی'!$B$7-Main[[#This Row],[تاريخ میلادی]]-'گزارش فردی'!$B$8,0)</f>
        <v>0</v>
      </c>
      <c r="S884" s="6">
        <f ca="1">Main[[#This Row],[روز از ارسال سفارش]]*Main[[#This Row],[بدهی تسویه نشده (کیلوگرم)]]</f>
        <v>0</v>
      </c>
      <c r="T884" s="6">
        <f ca="1">Main[[#This Row],[بدهی سررسید شده (کیلوگرم)]]*Main[[#This Row],[روز از ارسال سفارش]]</f>
        <v>0</v>
      </c>
      <c r="U884" s="6">
        <f>-SUBTOTAL(9,INDEX(Main[مقدار (کیلوگرم)],1):Main[[#This Row],[مقدار (کیلوگرم)]])</f>
        <v>28403</v>
      </c>
      <c r="V8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4" s="6">
        <f>Main[[#This Row],[تعداد کل روزهای بدهکار (روز)]]*Main[[#This Row],[مانده در خط کل (کیلوگرم)]]</f>
        <v>28403</v>
      </c>
      <c r="X884" s="6">
        <f ca="1">-SUBTOTAL(9,INDEX(Main[مقدار تسویه شده (کیلوگرم)],1):Main[[#This Row],[مقدار تسویه شده (کیلوگرم)]])</f>
        <v>28403</v>
      </c>
      <c r="Y884" s="6">
        <f ca="1">IF(Main[[#This Row],[مانده در خط تسویه شده (کیلوگرم)]]&lt;&gt;0,Main[[#This Row],[تعداد کل روزهای بدهکار (روز)]],0)</f>
        <v>1</v>
      </c>
      <c r="Z884" s="6">
        <f ca="1">Main[[#This Row],[تعداد روزهای بدهکار تسویه شده (روز)]]*Main[[#This Row],[مانده در خط تسویه شده (کیلوگرم)]]</f>
        <v>28403</v>
      </c>
      <c r="AA884" s="6">
        <f ca="1">SUBTOTAL(9,INDEX(Main[بدهی تسویه نشده (کیلوگرم)],1):Main[[#This Row],[بدهی تسویه نشده (کیلوگرم)]])</f>
        <v>0</v>
      </c>
      <c r="AB884" s="6">
        <f ca="1">IF(Main[[#This Row],[مانده در خط تسویه نشده (کیلوگرم)]]&lt;&gt;0,Main[[#This Row],[تعداد کل روزهای بدهکار (روز)]],0)</f>
        <v>0</v>
      </c>
      <c r="AC884" s="6">
        <f ca="1">Main[[#This Row],[تعداد روزهای بدهکار  تسویه نشده (روز)]]*Main[[#This Row],[مانده در خط تسویه نشده (کیلوگرم)]]</f>
        <v>0</v>
      </c>
      <c r="AD884" s="6">
        <f ca="1">SUBTOTAL(9,INDEX(Main[بدهی سررسید شده (کیلوگرم)],1):Main[[#This Row],[بدهی سررسید شده (کیلوگرم)]])</f>
        <v>0</v>
      </c>
      <c r="AE884" s="6">
        <f ca="1">IF(Main[[#This Row],[مانده در خط سررسید شده (کیلوگرم)]]&lt;&gt;0,Main[[#This Row],[تعداد کل روزهای بدهکار (روز)]],0)</f>
        <v>0</v>
      </c>
      <c r="AF884" s="6">
        <f ca="1">Main[[#This Row],[تعداد روزهای بدهکار سررسید شده (روز)]]*Main[[#This Row],[مانده در خط سررسید شده (کیلوگرم)]]</f>
        <v>0</v>
      </c>
    </row>
    <row r="885" spans="1:32" hidden="1" x14ac:dyDescent="0.35">
      <c r="A885" s="5">
        <f>ROW()-ROW(INDEX(Main[ردیف],1))+1</f>
        <v>883</v>
      </c>
      <c r="B885" s="31">
        <f>SUBTOTAL(2,INDEX(Main[ردیف],1):Main[[#This Row],[ردیف]])</f>
        <v>83</v>
      </c>
      <c r="C885" s="32" t="s">
        <v>599</v>
      </c>
      <c r="D885" s="32" t="str">
        <f>_xlfn.CONCAT("14",Main[[#This Row],[تاريخ]])</f>
        <v>1400/04/02</v>
      </c>
      <c r="E885" s="33">
        <v>44370</v>
      </c>
      <c r="F885" s="32">
        <v>30003</v>
      </c>
      <c r="G885" s="5" t="str">
        <f>INDEX(customer[عنوان],MATCH(Main[[#This Row],[کد ردیابی]],customer[کد],0))</f>
        <v xml:space="preserve">شهاب گاز سوز </v>
      </c>
      <c r="H885">
        <v>-788</v>
      </c>
      <c r="I885" s="6">
        <f ca="1">-Main[[#This Row],[بدهی تسویه شده (کیلوگرم)]]+Main[[#This Row],[بستانکار (کیلوگرم)]]</f>
        <v>-788</v>
      </c>
      <c r="J885" s="6">
        <f>IF(Main[[#This Row],[مقدار (کیلوگرم)]]&gt;0,Main[[#This Row],[مقدار (کیلوگرم)]],0)</f>
        <v>0</v>
      </c>
      <c r="K885" s="6">
        <f>-IF(Main[[#This Row],[مقدار (کیلوگرم)]]&lt;0,Main[[#This Row],[مقدار (کیلوگرم)]],0)</f>
        <v>788</v>
      </c>
      <c r="L8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5" s="7">
        <f>-IF(AND(Main[[#This Row],[مقدار (کیلوگرم)]]&lt;0,Main[[#This Row],[تاريخ میلادی]]&gt;44276),Main[[#This Row],[مقدار (کیلوگرم)]],0)</f>
        <v>788</v>
      </c>
      <c r="N885" s="6">
        <f ca="1">Main[[#This Row],[بدهکار (کیلوگرم)]]-Main[[#This Row],[بدهی تسویه نشده (کیلوگرم)]]</f>
        <v>788</v>
      </c>
      <c r="O885" s="6">
        <f ca="1">Main[[#This Row],[تفکیک]]</f>
        <v>0</v>
      </c>
      <c r="P885" s="6">
        <f ca="1">IF(Main[[#This Row],[تاخیر از سررسید]]&gt;0,Main[[#This Row],[بدهی تسویه نشده (کیلوگرم)]],0)</f>
        <v>0</v>
      </c>
      <c r="Q885" s="6">
        <f ca="1">IF(Main[[#This Row],[بدهی تسویه نشده (کیلوگرم)]]&gt;0,'گزارش فردی'!$B$7-Main[[#This Row],[تاريخ میلادی]],0)</f>
        <v>0</v>
      </c>
      <c r="R885" s="6">
        <f ca="1">IF(Main[[#This Row],[بدهی تسویه نشده (کیلوگرم)]]&gt;0,'گزارش فردی'!$B$7-Main[[#This Row],[تاريخ میلادی]]-'گزارش فردی'!$B$8,0)</f>
        <v>0</v>
      </c>
      <c r="S885" s="6">
        <f ca="1">Main[[#This Row],[روز از ارسال سفارش]]*Main[[#This Row],[بدهی تسویه نشده (کیلوگرم)]]</f>
        <v>0</v>
      </c>
      <c r="T885" s="6">
        <f ca="1">Main[[#This Row],[بدهی سررسید شده (کیلوگرم)]]*Main[[#This Row],[روز از ارسال سفارش]]</f>
        <v>0</v>
      </c>
      <c r="U885" s="6">
        <f>-SUBTOTAL(9,INDEX(Main[مقدار (کیلوگرم)],1):Main[[#This Row],[مقدار (کیلوگرم)]])</f>
        <v>28403</v>
      </c>
      <c r="V8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5" s="6">
        <f>Main[[#This Row],[تعداد کل روزهای بدهکار (روز)]]*Main[[#This Row],[مانده در خط کل (کیلوگرم)]]</f>
        <v>28403</v>
      </c>
      <c r="X885" s="6">
        <f ca="1">-SUBTOTAL(9,INDEX(Main[مقدار تسویه شده (کیلوگرم)],1):Main[[#This Row],[مقدار تسویه شده (کیلوگرم)]])</f>
        <v>28403</v>
      </c>
      <c r="Y885" s="6">
        <f ca="1">IF(Main[[#This Row],[مانده در خط تسویه شده (کیلوگرم)]]&lt;&gt;0,Main[[#This Row],[تعداد کل روزهای بدهکار (روز)]],0)</f>
        <v>1</v>
      </c>
      <c r="Z885" s="6">
        <f ca="1">Main[[#This Row],[تعداد روزهای بدهکار تسویه شده (روز)]]*Main[[#This Row],[مانده در خط تسویه شده (کیلوگرم)]]</f>
        <v>28403</v>
      </c>
      <c r="AA885" s="6">
        <f ca="1">SUBTOTAL(9,INDEX(Main[بدهی تسویه نشده (کیلوگرم)],1):Main[[#This Row],[بدهی تسویه نشده (کیلوگرم)]])</f>
        <v>0</v>
      </c>
      <c r="AB885" s="6">
        <f ca="1">IF(Main[[#This Row],[مانده در خط تسویه نشده (کیلوگرم)]]&lt;&gt;0,Main[[#This Row],[تعداد کل روزهای بدهکار (روز)]],0)</f>
        <v>0</v>
      </c>
      <c r="AC885" s="6">
        <f ca="1">Main[[#This Row],[تعداد روزهای بدهکار  تسویه نشده (روز)]]*Main[[#This Row],[مانده در خط تسویه نشده (کیلوگرم)]]</f>
        <v>0</v>
      </c>
      <c r="AD885" s="6">
        <f ca="1">SUBTOTAL(9,INDEX(Main[بدهی سررسید شده (کیلوگرم)],1):Main[[#This Row],[بدهی سررسید شده (کیلوگرم)]])</f>
        <v>0</v>
      </c>
      <c r="AE885" s="6">
        <f ca="1">IF(Main[[#This Row],[مانده در خط سررسید شده (کیلوگرم)]]&lt;&gt;0,Main[[#This Row],[تعداد کل روزهای بدهکار (روز)]],0)</f>
        <v>0</v>
      </c>
      <c r="AF885" s="6">
        <f ca="1">Main[[#This Row],[تعداد روزهای بدهکار سررسید شده (روز)]]*Main[[#This Row],[مانده در خط سررسید شده (کیلوگرم)]]</f>
        <v>0</v>
      </c>
    </row>
    <row r="886" spans="1:32" hidden="1" x14ac:dyDescent="0.35">
      <c r="A886" s="5">
        <f>ROW()-ROW(INDEX(Main[ردیف],1))+1</f>
        <v>884</v>
      </c>
      <c r="B886" s="31">
        <f>SUBTOTAL(2,INDEX(Main[ردیف],1):Main[[#This Row],[ردیف]])</f>
        <v>83</v>
      </c>
      <c r="C886" s="32" t="s">
        <v>599</v>
      </c>
      <c r="D886" s="32" t="str">
        <f>_xlfn.CONCAT("14",Main[[#This Row],[تاريخ]])</f>
        <v>1400/04/02</v>
      </c>
      <c r="E886" s="33">
        <v>44370</v>
      </c>
      <c r="F886" s="32">
        <v>10057</v>
      </c>
      <c r="G886" s="5" t="str">
        <f>INDEX(customer[عنوان],MATCH(Main[[#This Row],[کد ردیابی]],customer[کد],0))</f>
        <v xml:space="preserve">عبدالله یادگار </v>
      </c>
      <c r="H886">
        <v>159</v>
      </c>
      <c r="I886" s="6">
        <f ca="1">-Main[[#This Row],[بدهی تسویه شده (کیلوگرم)]]+Main[[#This Row],[بستانکار (کیلوگرم)]]</f>
        <v>159</v>
      </c>
      <c r="J886" s="6">
        <f>IF(Main[[#This Row],[مقدار (کیلوگرم)]]&gt;0,Main[[#This Row],[مقدار (کیلوگرم)]],0)</f>
        <v>159</v>
      </c>
      <c r="K886" s="6">
        <f>-IF(Main[[#This Row],[مقدار (کیلوگرم)]]&lt;0,Main[[#This Row],[مقدار (کیلوگرم)]],0)</f>
        <v>0</v>
      </c>
      <c r="L8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6" s="7">
        <f>-IF(AND(Main[[#This Row],[مقدار (کیلوگرم)]]&lt;0,Main[[#This Row],[تاريخ میلادی]]&gt;44276),Main[[#This Row],[مقدار (کیلوگرم)]],0)</f>
        <v>0</v>
      </c>
      <c r="N886" s="6">
        <f ca="1">Main[[#This Row],[بدهکار (کیلوگرم)]]-Main[[#This Row],[بدهی تسویه نشده (کیلوگرم)]]</f>
        <v>0</v>
      </c>
      <c r="O886" s="6">
        <f ca="1">Main[[#This Row],[تفکیک]]</f>
        <v>0</v>
      </c>
      <c r="P886" s="6">
        <f ca="1">IF(Main[[#This Row],[تاخیر از سررسید]]&gt;0,Main[[#This Row],[بدهی تسویه نشده (کیلوگرم)]],0)</f>
        <v>0</v>
      </c>
      <c r="Q886" s="6">
        <f ca="1">IF(Main[[#This Row],[بدهی تسویه نشده (کیلوگرم)]]&gt;0,'گزارش فردی'!$B$7-Main[[#This Row],[تاريخ میلادی]],0)</f>
        <v>0</v>
      </c>
      <c r="R886" s="6">
        <f ca="1">IF(Main[[#This Row],[بدهی تسویه نشده (کیلوگرم)]]&gt;0,'گزارش فردی'!$B$7-Main[[#This Row],[تاريخ میلادی]]-'گزارش فردی'!$B$8,0)</f>
        <v>0</v>
      </c>
      <c r="S886" s="6">
        <f ca="1">Main[[#This Row],[روز از ارسال سفارش]]*Main[[#This Row],[بدهی تسویه نشده (کیلوگرم)]]</f>
        <v>0</v>
      </c>
      <c r="T886" s="6">
        <f ca="1">Main[[#This Row],[بدهی سررسید شده (کیلوگرم)]]*Main[[#This Row],[روز از ارسال سفارش]]</f>
        <v>0</v>
      </c>
      <c r="U886" s="6">
        <f>-SUBTOTAL(9,INDEX(Main[مقدار (کیلوگرم)],1):Main[[#This Row],[مقدار (کیلوگرم)]])</f>
        <v>28403</v>
      </c>
      <c r="V8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6" s="6">
        <f>Main[[#This Row],[تعداد کل روزهای بدهکار (روز)]]*Main[[#This Row],[مانده در خط کل (کیلوگرم)]]</f>
        <v>28403</v>
      </c>
      <c r="X886" s="6">
        <f ca="1">-SUBTOTAL(9,INDEX(Main[مقدار تسویه شده (کیلوگرم)],1):Main[[#This Row],[مقدار تسویه شده (کیلوگرم)]])</f>
        <v>28403</v>
      </c>
      <c r="Y886" s="6">
        <f ca="1">IF(Main[[#This Row],[مانده در خط تسویه شده (کیلوگرم)]]&lt;&gt;0,Main[[#This Row],[تعداد کل روزهای بدهکار (روز)]],0)</f>
        <v>1</v>
      </c>
      <c r="Z886" s="6">
        <f ca="1">Main[[#This Row],[تعداد روزهای بدهکار تسویه شده (روز)]]*Main[[#This Row],[مانده در خط تسویه شده (کیلوگرم)]]</f>
        <v>28403</v>
      </c>
      <c r="AA886" s="6">
        <f ca="1">SUBTOTAL(9,INDEX(Main[بدهی تسویه نشده (کیلوگرم)],1):Main[[#This Row],[بدهی تسویه نشده (کیلوگرم)]])</f>
        <v>0</v>
      </c>
      <c r="AB886" s="6">
        <f ca="1">IF(Main[[#This Row],[مانده در خط تسویه نشده (کیلوگرم)]]&lt;&gt;0,Main[[#This Row],[تعداد کل روزهای بدهکار (روز)]],0)</f>
        <v>0</v>
      </c>
      <c r="AC886" s="6">
        <f ca="1">Main[[#This Row],[تعداد روزهای بدهکار  تسویه نشده (روز)]]*Main[[#This Row],[مانده در خط تسویه نشده (کیلوگرم)]]</f>
        <v>0</v>
      </c>
      <c r="AD886" s="6">
        <f ca="1">SUBTOTAL(9,INDEX(Main[بدهی سررسید شده (کیلوگرم)],1):Main[[#This Row],[بدهی سررسید شده (کیلوگرم)]])</f>
        <v>0</v>
      </c>
      <c r="AE886" s="6">
        <f ca="1">IF(Main[[#This Row],[مانده در خط سررسید شده (کیلوگرم)]]&lt;&gt;0,Main[[#This Row],[تعداد کل روزهای بدهکار (روز)]],0)</f>
        <v>0</v>
      </c>
      <c r="AF886" s="6">
        <f ca="1">Main[[#This Row],[تعداد روزهای بدهکار سررسید شده (روز)]]*Main[[#This Row],[مانده در خط سررسید شده (کیلوگرم)]]</f>
        <v>0</v>
      </c>
    </row>
    <row r="887" spans="1:32" hidden="1" x14ac:dyDescent="0.35">
      <c r="A887" s="5">
        <f>ROW()-ROW(INDEX(Main[ردیف],1))+1</f>
        <v>885</v>
      </c>
      <c r="B887" s="31">
        <f>SUBTOTAL(2,INDEX(Main[ردیف],1):Main[[#This Row],[ردیف]])</f>
        <v>83</v>
      </c>
      <c r="C887" s="32" t="s">
        <v>599</v>
      </c>
      <c r="D887" s="32" t="str">
        <f>_xlfn.CONCAT("14",Main[[#This Row],[تاريخ]])</f>
        <v>1400/04/02</v>
      </c>
      <c r="E887" s="33">
        <v>44370</v>
      </c>
      <c r="F887" s="32">
        <v>10070</v>
      </c>
      <c r="G887" s="5" t="str">
        <f>INDEX(customer[عنوان],MATCH(Main[[#This Row],[کد ردیابی]],customer[کد],0))</f>
        <v xml:space="preserve">حمیدرضا شفیعی </v>
      </c>
      <c r="H887">
        <v>-1246</v>
      </c>
      <c r="I887" s="6">
        <f ca="1">-Main[[#This Row],[بدهی تسویه شده (کیلوگرم)]]+Main[[#This Row],[بستانکار (کیلوگرم)]]</f>
        <v>-1246</v>
      </c>
      <c r="J887" s="6">
        <f>IF(Main[[#This Row],[مقدار (کیلوگرم)]]&gt;0,Main[[#This Row],[مقدار (کیلوگرم)]],0)</f>
        <v>0</v>
      </c>
      <c r="K887" s="6">
        <f>-IF(Main[[#This Row],[مقدار (کیلوگرم)]]&lt;0,Main[[#This Row],[مقدار (کیلوگرم)]],0)</f>
        <v>1246</v>
      </c>
      <c r="L8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7" s="7">
        <f>-IF(AND(Main[[#This Row],[مقدار (کیلوگرم)]]&lt;0,Main[[#This Row],[تاريخ میلادی]]&gt;44276),Main[[#This Row],[مقدار (کیلوگرم)]],0)</f>
        <v>1246</v>
      </c>
      <c r="N887" s="6">
        <f ca="1">Main[[#This Row],[بدهکار (کیلوگرم)]]-Main[[#This Row],[بدهی تسویه نشده (کیلوگرم)]]</f>
        <v>1246</v>
      </c>
      <c r="O887" s="6">
        <f ca="1">Main[[#This Row],[تفکیک]]</f>
        <v>0</v>
      </c>
      <c r="P887" s="6">
        <f ca="1">IF(Main[[#This Row],[تاخیر از سررسید]]&gt;0,Main[[#This Row],[بدهی تسویه نشده (کیلوگرم)]],0)</f>
        <v>0</v>
      </c>
      <c r="Q887" s="6">
        <f ca="1">IF(Main[[#This Row],[بدهی تسویه نشده (کیلوگرم)]]&gt;0,'گزارش فردی'!$B$7-Main[[#This Row],[تاريخ میلادی]],0)</f>
        <v>0</v>
      </c>
      <c r="R887" s="6">
        <f ca="1">IF(Main[[#This Row],[بدهی تسویه نشده (کیلوگرم)]]&gt;0,'گزارش فردی'!$B$7-Main[[#This Row],[تاريخ میلادی]]-'گزارش فردی'!$B$8,0)</f>
        <v>0</v>
      </c>
      <c r="S887" s="6">
        <f ca="1">Main[[#This Row],[روز از ارسال سفارش]]*Main[[#This Row],[بدهی تسویه نشده (کیلوگرم)]]</f>
        <v>0</v>
      </c>
      <c r="T887" s="6">
        <f ca="1">Main[[#This Row],[بدهی سررسید شده (کیلوگرم)]]*Main[[#This Row],[روز از ارسال سفارش]]</f>
        <v>0</v>
      </c>
      <c r="U887" s="6">
        <f>-SUBTOTAL(9,INDEX(Main[مقدار (کیلوگرم)],1):Main[[#This Row],[مقدار (کیلوگرم)]])</f>
        <v>28403</v>
      </c>
      <c r="V8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7" s="6">
        <f>Main[[#This Row],[تعداد کل روزهای بدهکار (روز)]]*Main[[#This Row],[مانده در خط کل (کیلوگرم)]]</f>
        <v>28403</v>
      </c>
      <c r="X887" s="6">
        <f ca="1">-SUBTOTAL(9,INDEX(Main[مقدار تسویه شده (کیلوگرم)],1):Main[[#This Row],[مقدار تسویه شده (کیلوگرم)]])</f>
        <v>28403</v>
      </c>
      <c r="Y887" s="6">
        <f ca="1">IF(Main[[#This Row],[مانده در خط تسویه شده (کیلوگرم)]]&lt;&gt;0,Main[[#This Row],[تعداد کل روزهای بدهکار (روز)]],0)</f>
        <v>1</v>
      </c>
      <c r="Z887" s="6">
        <f ca="1">Main[[#This Row],[تعداد روزهای بدهکار تسویه شده (روز)]]*Main[[#This Row],[مانده در خط تسویه شده (کیلوگرم)]]</f>
        <v>28403</v>
      </c>
      <c r="AA887" s="6">
        <f ca="1">SUBTOTAL(9,INDEX(Main[بدهی تسویه نشده (کیلوگرم)],1):Main[[#This Row],[بدهی تسویه نشده (کیلوگرم)]])</f>
        <v>0</v>
      </c>
      <c r="AB887" s="6">
        <f ca="1">IF(Main[[#This Row],[مانده در خط تسویه نشده (کیلوگرم)]]&lt;&gt;0,Main[[#This Row],[تعداد کل روزهای بدهکار (روز)]],0)</f>
        <v>0</v>
      </c>
      <c r="AC887" s="6">
        <f ca="1">Main[[#This Row],[تعداد روزهای بدهکار  تسویه نشده (روز)]]*Main[[#This Row],[مانده در خط تسویه نشده (کیلوگرم)]]</f>
        <v>0</v>
      </c>
      <c r="AD887" s="6">
        <f ca="1">SUBTOTAL(9,INDEX(Main[بدهی سررسید شده (کیلوگرم)],1):Main[[#This Row],[بدهی سررسید شده (کیلوگرم)]])</f>
        <v>0</v>
      </c>
      <c r="AE887" s="6">
        <f ca="1">IF(Main[[#This Row],[مانده در خط سررسید شده (کیلوگرم)]]&lt;&gt;0,Main[[#This Row],[تعداد کل روزهای بدهکار (روز)]],0)</f>
        <v>0</v>
      </c>
      <c r="AF887" s="6">
        <f ca="1">Main[[#This Row],[تعداد روزهای بدهکار سررسید شده (روز)]]*Main[[#This Row],[مانده در خط سررسید شده (کیلوگرم)]]</f>
        <v>0</v>
      </c>
    </row>
    <row r="888" spans="1:32" hidden="1" x14ac:dyDescent="0.35">
      <c r="A888" s="5">
        <f>ROW()-ROW(INDEX(Main[ردیف],1))+1</f>
        <v>886</v>
      </c>
      <c r="B888" s="31">
        <f>SUBTOTAL(2,INDEX(Main[ردیف],1):Main[[#This Row],[ردیف]])</f>
        <v>83</v>
      </c>
      <c r="C888" s="32" t="s">
        <v>599</v>
      </c>
      <c r="D888" s="32" t="str">
        <f>_xlfn.CONCAT("14",Main[[#This Row],[تاريخ]])</f>
        <v>1400/04/02</v>
      </c>
      <c r="E888" s="33">
        <v>44370</v>
      </c>
      <c r="F888" s="32">
        <v>30174</v>
      </c>
      <c r="G888" s="5" t="str">
        <f>INDEX(customer[عنوان],MATCH(Main[[#This Row],[کد ردیابی]],customer[کد],0))</f>
        <v>شیرآلات مهرآرا</v>
      </c>
      <c r="H888">
        <v>558</v>
      </c>
      <c r="I888" s="6">
        <f ca="1">-Main[[#This Row],[بدهی تسویه شده (کیلوگرم)]]+Main[[#This Row],[بستانکار (کیلوگرم)]]</f>
        <v>558</v>
      </c>
      <c r="J888" s="6">
        <f>IF(Main[[#This Row],[مقدار (کیلوگرم)]]&gt;0,Main[[#This Row],[مقدار (کیلوگرم)]],0)</f>
        <v>558</v>
      </c>
      <c r="K888" s="6">
        <f>-IF(Main[[#This Row],[مقدار (کیلوگرم)]]&lt;0,Main[[#This Row],[مقدار (کیلوگرم)]],0)</f>
        <v>0</v>
      </c>
      <c r="L8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8" s="7">
        <f>-IF(AND(Main[[#This Row],[مقدار (کیلوگرم)]]&lt;0,Main[[#This Row],[تاريخ میلادی]]&gt;44276),Main[[#This Row],[مقدار (کیلوگرم)]],0)</f>
        <v>0</v>
      </c>
      <c r="N888" s="6">
        <f ca="1">Main[[#This Row],[بدهکار (کیلوگرم)]]-Main[[#This Row],[بدهی تسویه نشده (کیلوگرم)]]</f>
        <v>0</v>
      </c>
      <c r="O888" s="6">
        <f ca="1">Main[[#This Row],[تفکیک]]</f>
        <v>0</v>
      </c>
      <c r="P888" s="6">
        <f ca="1">IF(Main[[#This Row],[تاخیر از سررسید]]&gt;0,Main[[#This Row],[بدهی تسویه نشده (کیلوگرم)]],0)</f>
        <v>0</v>
      </c>
      <c r="Q888" s="6">
        <f ca="1">IF(Main[[#This Row],[بدهی تسویه نشده (کیلوگرم)]]&gt;0,'گزارش فردی'!$B$7-Main[[#This Row],[تاريخ میلادی]],0)</f>
        <v>0</v>
      </c>
      <c r="R888" s="6">
        <f ca="1">IF(Main[[#This Row],[بدهی تسویه نشده (کیلوگرم)]]&gt;0,'گزارش فردی'!$B$7-Main[[#This Row],[تاريخ میلادی]]-'گزارش فردی'!$B$8,0)</f>
        <v>0</v>
      </c>
      <c r="S888" s="6">
        <f ca="1">Main[[#This Row],[روز از ارسال سفارش]]*Main[[#This Row],[بدهی تسویه نشده (کیلوگرم)]]</f>
        <v>0</v>
      </c>
      <c r="T888" s="6">
        <f ca="1">Main[[#This Row],[بدهی سررسید شده (کیلوگرم)]]*Main[[#This Row],[روز از ارسال سفارش]]</f>
        <v>0</v>
      </c>
      <c r="U888" s="6">
        <f>-SUBTOTAL(9,INDEX(Main[مقدار (کیلوگرم)],1):Main[[#This Row],[مقدار (کیلوگرم)]])</f>
        <v>28403</v>
      </c>
      <c r="V8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8" s="6">
        <f>Main[[#This Row],[تعداد کل روزهای بدهکار (روز)]]*Main[[#This Row],[مانده در خط کل (کیلوگرم)]]</f>
        <v>28403</v>
      </c>
      <c r="X888" s="6">
        <f ca="1">-SUBTOTAL(9,INDEX(Main[مقدار تسویه شده (کیلوگرم)],1):Main[[#This Row],[مقدار تسویه شده (کیلوگرم)]])</f>
        <v>28403</v>
      </c>
      <c r="Y888" s="6">
        <f ca="1">IF(Main[[#This Row],[مانده در خط تسویه شده (کیلوگرم)]]&lt;&gt;0,Main[[#This Row],[تعداد کل روزهای بدهکار (روز)]],0)</f>
        <v>1</v>
      </c>
      <c r="Z888" s="6">
        <f ca="1">Main[[#This Row],[تعداد روزهای بدهکار تسویه شده (روز)]]*Main[[#This Row],[مانده در خط تسویه شده (کیلوگرم)]]</f>
        <v>28403</v>
      </c>
      <c r="AA888" s="6">
        <f ca="1">SUBTOTAL(9,INDEX(Main[بدهی تسویه نشده (کیلوگرم)],1):Main[[#This Row],[بدهی تسویه نشده (کیلوگرم)]])</f>
        <v>0</v>
      </c>
      <c r="AB888" s="6">
        <f ca="1">IF(Main[[#This Row],[مانده در خط تسویه نشده (کیلوگرم)]]&lt;&gt;0,Main[[#This Row],[تعداد کل روزهای بدهکار (روز)]],0)</f>
        <v>0</v>
      </c>
      <c r="AC888" s="6">
        <f ca="1">Main[[#This Row],[تعداد روزهای بدهکار  تسویه نشده (روز)]]*Main[[#This Row],[مانده در خط تسویه نشده (کیلوگرم)]]</f>
        <v>0</v>
      </c>
      <c r="AD888" s="6">
        <f ca="1">SUBTOTAL(9,INDEX(Main[بدهی سررسید شده (کیلوگرم)],1):Main[[#This Row],[بدهی سررسید شده (کیلوگرم)]])</f>
        <v>0</v>
      </c>
      <c r="AE888" s="6">
        <f ca="1">IF(Main[[#This Row],[مانده در خط سررسید شده (کیلوگرم)]]&lt;&gt;0,Main[[#This Row],[تعداد کل روزهای بدهکار (روز)]],0)</f>
        <v>0</v>
      </c>
      <c r="AF888" s="6">
        <f ca="1">Main[[#This Row],[تعداد روزهای بدهکار سررسید شده (روز)]]*Main[[#This Row],[مانده در خط سررسید شده (کیلوگرم)]]</f>
        <v>0</v>
      </c>
    </row>
    <row r="889" spans="1:32" hidden="1" x14ac:dyDescent="0.35">
      <c r="A889" s="5">
        <f>ROW()-ROW(INDEX(Main[ردیف],1))+1</f>
        <v>887</v>
      </c>
      <c r="B889" s="31">
        <f>SUBTOTAL(2,INDEX(Main[ردیف],1):Main[[#This Row],[ردیف]])</f>
        <v>83</v>
      </c>
      <c r="C889" s="32" t="s">
        <v>599</v>
      </c>
      <c r="D889" s="32" t="str">
        <f>_xlfn.CONCAT("14",Main[[#This Row],[تاريخ]])</f>
        <v>1400/04/02</v>
      </c>
      <c r="E889" s="33">
        <v>44370</v>
      </c>
      <c r="F889" s="32">
        <v>30081</v>
      </c>
      <c r="G889" s="5" t="str">
        <f>INDEX(customer[عنوان],MATCH(Main[[#This Row],[کد ردیابی]],customer[کد],0))</f>
        <v xml:space="preserve">شیرآلات بهداشتی راسان </v>
      </c>
      <c r="H889">
        <v>5296</v>
      </c>
      <c r="I889" s="6">
        <f ca="1">-Main[[#This Row],[بدهی تسویه شده (کیلوگرم)]]+Main[[#This Row],[بستانکار (کیلوگرم)]]</f>
        <v>5296</v>
      </c>
      <c r="J889" s="6">
        <f>IF(Main[[#This Row],[مقدار (کیلوگرم)]]&gt;0,Main[[#This Row],[مقدار (کیلوگرم)]],0)</f>
        <v>5296</v>
      </c>
      <c r="K889" s="6">
        <f>-IF(Main[[#This Row],[مقدار (کیلوگرم)]]&lt;0,Main[[#This Row],[مقدار (کیلوگرم)]],0)</f>
        <v>0</v>
      </c>
      <c r="L8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9" s="7">
        <f>-IF(AND(Main[[#This Row],[مقدار (کیلوگرم)]]&lt;0,Main[[#This Row],[تاريخ میلادی]]&gt;44276),Main[[#This Row],[مقدار (کیلوگرم)]],0)</f>
        <v>0</v>
      </c>
      <c r="N889" s="6">
        <f ca="1">Main[[#This Row],[بدهکار (کیلوگرم)]]-Main[[#This Row],[بدهی تسویه نشده (کیلوگرم)]]</f>
        <v>0</v>
      </c>
      <c r="O889" s="6">
        <f ca="1">Main[[#This Row],[تفکیک]]</f>
        <v>0</v>
      </c>
      <c r="P889" s="6">
        <f ca="1">IF(Main[[#This Row],[تاخیر از سررسید]]&gt;0,Main[[#This Row],[بدهی تسویه نشده (کیلوگرم)]],0)</f>
        <v>0</v>
      </c>
      <c r="Q889" s="6">
        <f ca="1">IF(Main[[#This Row],[بدهی تسویه نشده (کیلوگرم)]]&gt;0,'گزارش فردی'!$B$7-Main[[#This Row],[تاريخ میلادی]],0)</f>
        <v>0</v>
      </c>
      <c r="R889" s="6">
        <f ca="1">IF(Main[[#This Row],[بدهی تسویه نشده (کیلوگرم)]]&gt;0,'گزارش فردی'!$B$7-Main[[#This Row],[تاريخ میلادی]]-'گزارش فردی'!$B$8,0)</f>
        <v>0</v>
      </c>
      <c r="S889" s="6">
        <f ca="1">Main[[#This Row],[روز از ارسال سفارش]]*Main[[#This Row],[بدهی تسویه نشده (کیلوگرم)]]</f>
        <v>0</v>
      </c>
      <c r="T889" s="6">
        <f ca="1">Main[[#This Row],[بدهی سررسید شده (کیلوگرم)]]*Main[[#This Row],[روز از ارسال سفارش]]</f>
        <v>0</v>
      </c>
      <c r="U889" s="6">
        <f>-SUBTOTAL(9,INDEX(Main[مقدار (کیلوگرم)],1):Main[[#This Row],[مقدار (کیلوگرم)]])</f>
        <v>28403</v>
      </c>
      <c r="V8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9" s="6">
        <f>Main[[#This Row],[تعداد کل روزهای بدهکار (روز)]]*Main[[#This Row],[مانده در خط کل (کیلوگرم)]]</f>
        <v>28403</v>
      </c>
      <c r="X889" s="6">
        <f ca="1">-SUBTOTAL(9,INDEX(Main[مقدار تسویه شده (کیلوگرم)],1):Main[[#This Row],[مقدار تسویه شده (کیلوگرم)]])</f>
        <v>28403</v>
      </c>
      <c r="Y889" s="6">
        <f ca="1">IF(Main[[#This Row],[مانده در خط تسویه شده (کیلوگرم)]]&lt;&gt;0,Main[[#This Row],[تعداد کل روزهای بدهکار (روز)]],0)</f>
        <v>1</v>
      </c>
      <c r="Z889" s="6">
        <f ca="1">Main[[#This Row],[تعداد روزهای بدهکار تسویه شده (روز)]]*Main[[#This Row],[مانده در خط تسویه شده (کیلوگرم)]]</f>
        <v>28403</v>
      </c>
      <c r="AA889" s="6">
        <f ca="1">SUBTOTAL(9,INDEX(Main[بدهی تسویه نشده (کیلوگرم)],1):Main[[#This Row],[بدهی تسویه نشده (کیلوگرم)]])</f>
        <v>0</v>
      </c>
      <c r="AB889" s="6">
        <f ca="1">IF(Main[[#This Row],[مانده در خط تسویه نشده (کیلوگرم)]]&lt;&gt;0,Main[[#This Row],[تعداد کل روزهای بدهکار (روز)]],0)</f>
        <v>0</v>
      </c>
      <c r="AC889" s="6">
        <f ca="1">Main[[#This Row],[تعداد روزهای بدهکار  تسویه نشده (روز)]]*Main[[#This Row],[مانده در خط تسویه نشده (کیلوگرم)]]</f>
        <v>0</v>
      </c>
      <c r="AD889" s="6">
        <f ca="1">SUBTOTAL(9,INDEX(Main[بدهی سررسید شده (کیلوگرم)],1):Main[[#This Row],[بدهی سررسید شده (کیلوگرم)]])</f>
        <v>0</v>
      </c>
      <c r="AE889" s="6">
        <f ca="1">IF(Main[[#This Row],[مانده در خط سررسید شده (کیلوگرم)]]&lt;&gt;0,Main[[#This Row],[تعداد کل روزهای بدهکار (روز)]],0)</f>
        <v>0</v>
      </c>
      <c r="AF889" s="6">
        <f ca="1">Main[[#This Row],[تعداد روزهای بدهکار سررسید شده (روز)]]*Main[[#This Row],[مانده در خط سررسید شده (کیلوگرم)]]</f>
        <v>0</v>
      </c>
    </row>
    <row r="890" spans="1:32" hidden="1" x14ac:dyDescent="0.35">
      <c r="A890" s="5">
        <f>ROW()-ROW(INDEX(Main[ردیف],1))+1</f>
        <v>888</v>
      </c>
      <c r="B890" s="31">
        <f>SUBTOTAL(2,INDEX(Main[ردیف],1):Main[[#This Row],[ردیف]])</f>
        <v>83</v>
      </c>
      <c r="C890" s="32" t="s">
        <v>600</v>
      </c>
      <c r="D890" s="32" t="str">
        <f>_xlfn.CONCAT("14",Main[[#This Row],[تاريخ]])</f>
        <v>1400/04/03</v>
      </c>
      <c r="E890" s="33">
        <v>44371</v>
      </c>
      <c r="F890" s="32">
        <v>30131</v>
      </c>
      <c r="G890" s="5" t="str">
        <f>INDEX(customer[عنوان],MATCH(Main[[#This Row],[کد ردیابی]],customer[کد],0))</f>
        <v>ادهم مس تبریز</v>
      </c>
      <c r="H890">
        <v>-5006</v>
      </c>
      <c r="I890" s="6">
        <f ca="1">-Main[[#This Row],[بدهی تسویه شده (کیلوگرم)]]+Main[[#This Row],[بستانکار (کیلوگرم)]]</f>
        <v>-5006</v>
      </c>
      <c r="J890" s="6">
        <f>IF(Main[[#This Row],[مقدار (کیلوگرم)]]&gt;0,Main[[#This Row],[مقدار (کیلوگرم)]],0)</f>
        <v>0</v>
      </c>
      <c r="K890" s="6">
        <f>-IF(Main[[#This Row],[مقدار (کیلوگرم)]]&lt;0,Main[[#This Row],[مقدار (کیلوگرم)]],0)</f>
        <v>5006</v>
      </c>
      <c r="L8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0" s="7">
        <f>-IF(AND(Main[[#This Row],[مقدار (کیلوگرم)]]&lt;0,Main[[#This Row],[تاريخ میلادی]]&gt;44276),Main[[#This Row],[مقدار (کیلوگرم)]],0)</f>
        <v>5006</v>
      </c>
      <c r="N890" s="6">
        <f ca="1">Main[[#This Row],[بدهکار (کیلوگرم)]]-Main[[#This Row],[بدهی تسویه نشده (کیلوگرم)]]</f>
        <v>5006</v>
      </c>
      <c r="O890" s="6">
        <f ca="1">Main[[#This Row],[تفکیک]]</f>
        <v>0</v>
      </c>
      <c r="P890" s="6">
        <f ca="1">IF(Main[[#This Row],[تاخیر از سررسید]]&gt;0,Main[[#This Row],[بدهی تسویه نشده (کیلوگرم)]],0)</f>
        <v>0</v>
      </c>
      <c r="Q890" s="6">
        <f ca="1">IF(Main[[#This Row],[بدهی تسویه نشده (کیلوگرم)]]&gt;0,'گزارش فردی'!$B$7-Main[[#This Row],[تاريخ میلادی]],0)</f>
        <v>0</v>
      </c>
      <c r="R890" s="6">
        <f ca="1">IF(Main[[#This Row],[بدهی تسویه نشده (کیلوگرم)]]&gt;0,'گزارش فردی'!$B$7-Main[[#This Row],[تاريخ میلادی]]-'گزارش فردی'!$B$8,0)</f>
        <v>0</v>
      </c>
      <c r="S890" s="6">
        <f ca="1">Main[[#This Row],[روز از ارسال سفارش]]*Main[[#This Row],[بدهی تسویه نشده (کیلوگرم)]]</f>
        <v>0</v>
      </c>
      <c r="T890" s="6">
        <f ca="1">Main[[#This Row],[بدهی سررسید شده (کیلوگرم)]]*Main[[#This Row],[روز از ارسال سفارش]]</f>
        <v>0</v>
      </c>
      <c r="U890" s="6">
        <f>-SUBTOTAL(9,INDEX(Main[مقدار (کیلوگرم)],1):Main[[#This Row],[مقدار (کیلوگرم)]])</f>
        <v>28403</v>
      </c>
      <c r="V8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90" s="6">
        <f>Main[[#This Row],[تعداد کل روزهای بدهکار (روز)]]*Main[[#This Row],[مانده در خط کل (کیلوگرم)]]</f>
        <v>0</v>
      </c>
      <c r="X890" s="6">
        <f ca="1">-SUBTOTAL(9,INDEX(Main[مقدار تسویه شده (کیلوگرم)],1):Main[[#This Row],[مقدار تسویه شده (کیلوگرم)]])</f>
        <v>28403</v>
      </c>
      <c r="Y890" s="6">
        <f ca="1">IF(Main[[#This Row],[مانده در خط تسویه شده (کیلوگرم)]]&lt;&gt;0,Main[[#This Row],[تعداد کل روزهای بدهکار (روز)]],0)</f>
        <v>0</v>
      </c>
      <c r="Z890" s="6">
        <f ca="1">Main[[#This Row],[تعداد روزهای بدهکار تسویه شده (روز)]]*Main[[#This Row],[مانده در خط تسویه شده (کیلوگرم)]]</f>
        <v>0</v>
      </c>
      <c r="AA890" s="6">
        <f ca="1">SUBTOTAL(9,INDEX(Main[بدهی تسویه نشده (کیلوگرم)],1):Main[[#This Row],[بدهی تسویه نشده (کیلوگرم)]])</f>
        <v>0</v>
      </c>
      <c r="AB890" s="6">
        <f ca="1">IF(Main[[#This Row],[مانده در خط تسویه نشده (کیلوگرم)]]&lt;&gt;0,Main[[#This Row],[تعداد کل روزهای بدهکار (روز)]],0)</f>
        <v>0</v>
      </c>
      <c r="AC890" s="6">
        <f ca="1">Main[[#This Row],[تعداد روزهای بدهکار  تسویه نشده (روز)]]*Main[[#This Row],[مانده در خط تسویه نشده (کیلوگرم)]]</f>
        <v>0</v>
      </c>
      <c r="AD890" s="6">
        <f ca="1">SUBTOTAL(9,INDEX(Main[بدهی سررسید شده (کیلوگرم)],1):Main[[#This Row],[بدهی سررسید شده (کیلوگرم)]])</f>
        <v>0</v>
      </c>
      <c r="AE890" s="6">
        <f ca="1">IF(Main[[#This Row],[مانده در خط سررسید شده (کیلوگرم)]]&lt;&gt;0,Main[[#This Row],[تعداد کل روزهای بدهکار (روز)]],0)</f>
        <v>0</v>
      </c>
      <c r="AF890" s="6">
        <f ca="1">Main[[#This Row],[تعداد روزهای بدهکار سررسید شده (روز)]]*Main[[#This Row],[مانده در خط سررسید شده (کیلوگرم)]]</f>
        <v>0</v>
      </c>
    </row>
    <row r="891" spans="1:32" x14ac:dyDescent="0.35">
      <c r="A891" s="5">
        <f>ROW()-ROW(INDEX(Main[ردیف],1))+1</f>
        <v>889</v>
      </c>
      <c r="B891" s="31">
        <f>SUBTOTAL(2,INDEX(Main[ردیف],1):Main[[#This Row],[ردیف]])</f>
        <v>84</v>
      </c>
      <c r="C891" s="32" t="s">
        <v>600</v>
      </c>
      <c r="D891" s="32" t="str">
        <f>_xlfn.CONCAT("14",Main[[#This Row],[تاريخ]])</f>
        <v>1400/04/03</v>
      </c>
      <c r="E891" s="33">
        <v>44371</v>
      </c>
      <c r="F891" s="32">
        <v>10003</v>
      </c>
      <c r="G891" s="5" t="str">
        <f>INDEX(customer[عنوان],MATCH(Main[[#This Row],[کد ردیابی]],customer[کد],0))</f>
        <v>اصغر نورعلی</v>
      </c>
      <c r="H891">
        <v>5134</v>
      </c>
      <c r="I891" s="6">
        <f ca="1">-Main[[#This Row],[بدهی تسویه شده (کیلوگرم)]]+Main[[#This Row],[بستانکار (کیلوگرم)]]</f>
        <v>5134</v>
      </c>
      <c r="J891" s="6">
        <f>IF(Main[[#This Row],[مقدار (کیلوگرم)]]&gt;0,Main[[#This Row],[مقدار (کیلوگرم)]],0)</f>
        <v>5134</v>
      </c>
      <c r="K891" s="6">
        <f>-IF(Main[[#This Row],[مقدار (کیلوگرم)]]&lt;0,Main[[#This Row],[مقدار (کیلوگرم)]],0)</f>
        <v>0</v>
      </c>
      <c r="L8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1" s="7">
        <f>-IF(AND(Main[[#This Row],[مقدار (کیلوگرم)]]&lt;0,Main[[#This Row],[تاريخ میلادی]]&gt;44276),Main[[#This Row],[مقدار (کیلوگرم)]],0)</f>
        <v>0</v>
      </c>
      <c r="N891" s="6">
        <f ca="1">Main[[#This Row],[بدهکار (کیلوگرم)]]-Main[[#This Row],[بدهی تسویه نشده (کیلوگرم)]]</f>
        <v>0</v>
      </c>
      <c r="O891" s="6">
        <f ca="1">Main[[#This Row],[تفکیک]]</f>
        <v>0</v>
      </c>
      <c r="P891" s="6">
        <f ca="1">IF(Main[[#This Row],[تاخیر از سررسید]]&gt;0,Main[[#This Row],[بدهی تسویه نشده (کیلوگرم)]],0)</f>
        <v>0</v>
      </c>
      <c r="Q891" s="6">
        <f ca="1">IF(Main[[#This Row],[بدهی تسویه نشده (کیلوگرم)]]&gt;0,'گزارش فردی'!$B$7-Main[[#This Row],[تاريخ میلادی]],0)</f>
        <v>0</v>
      </c>
      <c r="R891" s="6">
        <f ca="1">IF(Main[[#This Row],[بدهی تسویه نشده (کیلوگرم)]]&gt;0,'گزارش فردی'!$B$7-Main[[#This Row],[تاريخ میلادی]]-'گزارش فردی'!$B$8,0)</f>
        <v>0</v>
      </c>
      <c r="S891" s="6">
        <f ca="1">Main[[#This Row],[روز از ارسال سفارش]]*Main[[#This Row],[بدهی تسویه نشده (کیلوگرم)]]</f>
        <v>0</v>
      </c>
      <c r="T891" s="6">
        <f ca="1">Main[[#This Row],[بدهی سررسید شده (کیلوگرم)]]*Main[[#This Row],[روز از ارسال سفارش]]</f>
        <v>0</v>
      </c>
      <c r="U891" s="6">
        <f>-SUBTOTAL(9,INDEX(Main[مقدار (کیلوگرم)],1):Main[[#This Row],[مقدار (کیلوگرم)]])</f>
        <v>23269</v>
      </c>
      <c r="V8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1" s="6">
        <f>Main[[#This Row],[تعداد کل روزهای بدهکار (روز)]]*Main[[#This Row],[مانده در خط کل (کیلوگرم)]]</f>
        <v>46538</v>
      </c>
      <c r="X891" s="6">
        <f ca="1">-SUBTOTAL(9,INDEX(Main[مقدار تسویه شده (کیلوگرم)],1):Main[[#This Row],[مقدار تسویه شده (کیلوگرم)]])</f>
        <v>23269</v>
      </c>
      <c r="Y891" s="6">
        <f ca="1">IF(Main[[#This Row],[مانده در خط تسویه شده (کیلوگرم)]]&lt;&gt;0,Main[[#This Row],[تعداد کل روزهای بدهکار (روز)]],0)</f>
        <v>2</v>
      </c>
      <c r="Z891" s="6">
        <f ca="1">Main[[#This Row],[تعداد روزهای بدهکار تسویه شده (روز)]]*Main[[#This Row],[مانده در خط تسویه شده (کیلوگرم)]]</f>
        <v>46538</v>
      </c>
      <c r="AA891" s="6">
        <f ca="1">SUBTOTAL(9,INDEX(Main[بدهی تسویه نشده (کیلوگرم)],1):Main[[#This Row],[بدهی تسویه نشده (کیلوگرم)]])</f>
        <v>0</v>
      </c>
      <c r="AB891" s="6">
        <f ca="1">IF(Main[[#This Row],[مانده در خط تسویه نشده (کیلوگرم)]]&lt;&gt;0,Main[[#This Row],[تعداد کل روزهای بدهکار (روز)]],0)</f>
        <v>0</v>
      </c>
      <c r="AC891" s="6">
        <f ca="1">Main[[#This Row],[تعداد روزهای بدهکار  تسویه نشده (روز)]]*Main[[#This Row],[مانده در خط تسویه نشده (کیلوگرم)]]</f>
        <v>0</v>
      </c>
      <c r="AD891" s="6">
        <f ca="1">SUBTOTAL(9,INDEX(Main[بدهی سررسید شده (کیلوگرم)],1):Main[[#This Row],[بدهی سررسید شده (کیلوگرم)]])</f>
        <v>0</v>
      </c>
      <c r="AE891" s="6">
        <f ca="1">IF(Main[[#This Row],[مانده در خط سررسید شده (کیلوگرم)]]&lt;&gt;0,Main[[#This Row],[تعداد کل روزهای بدهکار (روز)]],0)</f>
        <v>0</v>
      </c>
      <c r="AF891" s="6">
        <f ca="1">Main[[#This Row],[تعداد روزهای بدهکار سررسید شده (روز)]]*Main[[#This Row],[مانده در خط سررسید شده (کیلوگرم)]]</f>
        <v>0</v>
      </c>
    </row>
    <row r="892" spans="1:32" hidden="1" x14ac:dyDescent="0.35">
      <c r="A892" s="5">
        <f>ROW()-ROW(INDEX(Main[ردیف],1))+1</f>
        <v>890</v>
      </c>
      <c r="B892" s="31">
        <f>SUBTOTAL(2,INDEX(Main[ردیف],1):Main[[#This Row],[ردیف]])</f>
        <v>84</v>
      </c>
      <c r="C892" s="32" t="s">
        <v>600</v>
      </c>
      <c r="D892" s="32" t="str">
        <f>_xlfn.CONCAT("14",Main[[#This Row],[تاريخ]])</f>
        <v>1400/04/03</v>
      </c>
      <c r="E892" s="33">
        <v>44371</v>
      </c>
      <c r="F892" s="32">
        <v>30066</v>
      </c>
      <c r="G892" s="5" t="str">
        <f>INDEX(customer[عنوان],MATCH(Main[[#This Row],[کد ردیابی]],customer[کد],0))</f>
        <v xml:space="preserve">شیر آلات بهداشتی قهرمان </v>
      </c>
      <c r="H892">
        <v>-7166</v>
      </c>
      <c r="I892" s="6">
        <f ca="1">-Main[[#This Row],[بدهی تسویه شده (کیلوگرم)]]+Main[[#This Row],[بستانکار (کیلوگرم)]]</f>
        <v>-7166</v>
      </c>
      <c r="J892" s="6">
        <f>IF(Main[[#This Row],[مقدار (کیلوگرم)]]&gt;0,Main[[#This Row],[مقدار (کیلوگرم)]],0)</f>
        <v>0</v>
      </c>
      <c r="K892" s="6">
        <f>-IF(Main[[#This Row],[مقدار (کیلوگرم)]]&lt;0,Main[[#This Row],[مقدار (کیلوگرم)]],0)</f>
        <v>7166</v>
      </c>
      <c r="L8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2" s="7">
        <f>-IF(AND(Main[[#This Row],[مقدار (کیلوگرم)]]&lt;0,Main[[#This Row],[تاريخ میلادی]]&gt;44276),Main[[#This Row],[مقدار (کیلوگرم)]],0)</f>
        <v>7166</v>
      </c>
      <c r="N892" s="6">
        <f ca="1">Main[[#This Row],[بدهکار (کیلوگرم)]]-Main[[#This Row],[بدهی تسویه نشده (کیلوگرم)]]</f>
        <v>7166</v>
      </c>
      <c r="O892" s="6">
        <f ca="1">Main[[#This Row],[تفکیک]]</f>
        <v>0</v>
      </c>
      <c r="P892" s="6">
        <f ca="1">IF(Main[[#This Row],[تاخیر از سررسید]]&gt;0,Main[[#This Row],[بدهی تسویه نشده (کیلوگرم)]],0)</f>
        <v>0</v>
      </c>
      <c r="Q892" s="6">
        <f ca="1">IF(Main[[#This Row],[بدهی تسویه نشده (کیلوگرم)]]&gt;0,'گزارش فردی'!$B$7-Main[[#This Row],[تاريخ میلادی]],0)</f>
        <v>0</v>
      </c>
      <c r="R892" s="6">
        <f ca="1">IF(Main[[#This Row],[بدهی تسویه نشده (کیلوگرم)]]&gt;0,'گزارش فردی'!$B$7-Main[[#This Row],[تاريخ میلادی]]-'گزارش فردی'!$B$8,0)</f>
        <v>0</v>
      </c>
      <c r="S892" s="6">
        <f ca="1">Main[[#This Row],[روز از ارسال سفارش]]*Main[[#This Row],[بدهی تسویه نشده (کیلوگرم)]]</f>
        <v>0</v>
      </c>
      <c r="T892" s="6">
        <f ca="1">Main[[#This Row],[بدهی سررسید شده (کیلوگرم)]]*Main[[#This Row],[روز از ارسال سفارش]]</f>
        <v>0</v>
      </c>
      <c r="U892" s="6">
        <f>-SUBTOTAL(9,INDEX(Main[مقدار (کیلوگرم)],1):Main[[#This Row],[مقدار (کیلوگرم)]])</f>
        <v>23269</v>
      </c>
      <c r="V8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2" s="6">
        <f>Main[[#This Row],[تعداد کل روزهای بدهکار (روز)]]*Main[[#This Row],[مانده در خط کل (کیلوگرم)]]</f>
        <v>46538</v>
      </c>
      <c r="X892" s="6">
        <f ca="1">-SUBTOTAL(9,INDEX(Main[مقدار تسویه شده (کیلوگرم)],1):Main[[#This Row],[مقدار تسویه شده (کیلوگرم)]])</f>
        <v>23269</v>
      </c>
      <c r="Y892" s="6">
        <f ca="1">IF(Main[[#This Row],[مانده در خط تسویه شده (کیلوگرم)]]&lt;&gt;0,Main[[#This Row],[تعداد کل روزهای بدهکار (روز)]],0)</f>
        <v>2</v>
      </c>
      <c r="Z892" s="6">
        <f ca="1">Main[[#This Row],[تعداد روزهای بدهکار تسویه شده (روز)]]*Main[[#This Row],[مانده در خط تسویه شده (کیلوگرم)]]</f>
        <v>46538</v>
      </c>
      <c r="AA892" s="6">
        <f ca="1">SUBTOTAL(9,INDEX(Main[بدهی تسویه نشده (کیلوگرم)],1):Main[[#This Row],[بدهی تسویه نشده (کیلوگرم)]])</f>
        <v>0</v>
      </c>
      <c r="AB892" s="6">
        <f ca="1">IF(Main[[#This Row],[مانده در خط تسویه نشده (کیلوگرم)]]&lt;&gt;0,Main[[#This Row],[تعداد کل روزهای بدهکار (روز)]],0)</f>
        <v>0</v>
      </c>
      <c r="AC892" s="6">
        <f ca="1">Main[[#This Row],[تعداد روزهای بدهکار  تسویه نشده (روز)]]*Main[[#This Row],[مانده در خط تسویه نشده (کیلوگرم)]]</f>
        <v>0</v>
      </c>
      <c r="AD892" s="6">
        <f ca="1">SUBTOTAL(9,INDEX(Main[بدهی سررسید شده (کیلوگرم)],1):Main[[#This Row],[بدهی سررسید شده (کیلوگرم)]])</f>
        <v>0</v>
      </c>
      <c r="AE892" s="6">
        <f ca="1">IF(Main[[#This Row],[مانده در خط سررسید شده (کیلوگرم)]]&lt;&gt;0,Main[[#This Row],[تعداد کل روزهای بدهکار (روز)]],0)</f>
        <v>0</v>
      </c>
      <c r="AF892" s="6">
        <f ca="1">Main[[#This Row],[تعداد روزهای بدهکار سررسید شده (روز)]]*Main[[#This Row],[مانده در خط سررسید شده (کیلوگرم)]]</f>
        <v>0</v>
      </c>
    </row>
    <row r="893" spans="1:32" hidden="1" x14ac:dyDescent="0.35">
      <c r="A893" s="5">
        <f>ROW()-ROW(INDEX(Main[ردیف],1))+1</f>
        <v>891</v>
      </c>
      <c r="B893" s="31">
        <f>SUBTOTAL(2,INDEX(Main[ردیف],1):Main[[#This Row],[ردیف]])</f>
        <v>84</v>
      </c>
      <c r="C893" s="32" t="s">
        <v>600</v>
      </c>
      <c r="D893" s="32" t="str">
        <f>_xlfn.CONCAT("14",Main[[#This Row],[تاريخ]])</f>
        <v>1400/04/03</v>
      </c>
      <c r="E893" s="33">
        <v>44371</v>
      </c>
      <c r="F893" s="32">
        <v>30058</v>
      </c>
      <c r="G893" s="5" t="str">
        <f>INDEX(customer[عنوان],MATCH(Main[[#This Row],[کد ردیابی]],customer[کد],0))</f>
        <v xml:space="preserve">پارس شیر </v>
      </c>
      <c r="H893">
        <v>9734</v>
      </c>
      <c r="I893" s="6">
        <f ca="1">-Main[[#This Row],[بدهی تسویه شده (کیلوگرم)]]+Main[[#This Row],[بستانکار (کیلوگرم)]]</f>
        <v>9734</v>
      </c>
      <c r="J893" s="6">
        <f>IF(Main[[#This Row],[مقدار (کیلوگرم)]]&gt;0,Main[[#This Row],[مقدار (کیلوگرم)]],0)</f>
        <v>9734</v>
      </c>
      <c r="K893" s="6">
        <f>-IF(Main[[#This Row],[مقدار (کیلوگرم)]]&lt;0,Main[[#This Row],[مقدار (کیلوگرم)]],0)</f>
        <v>0</v>
      </c>
      <c r="L8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3" s="7">
        <f>-IF(AND(Main[[#This Row],[مقدار (کیلوگرم)]]&lt;0,Main[[#This Row],[تاريخ میلادی]]&gt;44276),Main[[#This Row],[مقدار (کیلوگرم)]],0)</f>
        <v>0</v>
      </c>
      <c r="N893" s="6">
        <f ca="1">Main[[#This Row],[بدهکار (کیلوگرم)]]-Main[[#This Row],[بدهی تسویه نشده (کیلوگرم)]]</f>
        <v>0</v>
      </c>
      <c r="O893" s="6">
        <f ca="1">Main[[#This Row],[تفکیک]]</f>
        <v>0</v>
      </c>
      <c r="P893" s="6">
        <f ca="1">IF(Main[[#This Row],[تاخیر از سررسید]]&gt;0,Main[[#This Row],[بدهی تسویه نشده (کیلوگرم)]],0)</f>
        <v>0</v>
      </c>
      <c r="Q893" s="6">
        <f ca="1">IF(Main[[#This Row],[بدهی تسویه نشده (کیلوگرم)]]&gt;0,'گزارش فردی'!$B$7-Main[[#This Row],[تاريخ میلادی]],0)</f>
        <v>0</v>
      </c>
      <c r="R893" s="6">
        <f ca="1">IF(Main[[#This Row],[بدهی تسویه نشده (کیلوگرم)]]&gt;0,'گزارش فردی'!$B$7-Main[[#This Row],[تاريخ میلادی]]-'گزارش فردی'!$B$8,0)</f>
        <v>0</v>
      </c>
      <c r="S893" s="6">
        <f ca="1">Main[[#This Row],[روز از ارسال سفارش]]*Main[[#This Row],[بدهی تسویه نشده (کیلوگرم)]]</f>
        <v>0</v>
      </c>
      <c r="T893" s="6">
        <f ca="1">Main[[#This Row],[بدهی سررسید شده (کیلوگرم)]]*Main[[#This Row],[روز از ارسال سفارش]]</f>
        <v>0</v>
      </c>
      <c r="U893" s="6">
        <f>-SUBTOTAL(9,INDEX(Main[مقدار (کیلوگرم)],1):Main[[#This Row],[مقدار (کیلوگرم)]])</f>
        <v>23269</v>
      </c>
      <c r="V8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3" s="6">
        <f>Main[[#This Row],[تعداد کل روزهای بدهکار (روز)]]*Main[[#This Row],[مانده در خط کل (کیلوگرم)]]</f>
        <v>46538</v>
      </c>
      <c r="X893" s="6">
        <f ca="1">-SUBTOTAL(9,INDEX(Main[مقدار تسویه شده (کیلوگرم)],1):Main[[#This Row],[مقدار تسویه شده (کیلوگرم)]])</f>
        <v>23269</v>
      </c>
      <c r="Y893" s="6">
        <f ca="1">IF(Main[[#This Row],[مانده در خط تسویه شده (کیلوگرم)]]&lt;&gt;0,Main[[#This Row],[تعداد کل روزهای بدهکار (روز)]],0)</f>
        <v>2</v>
      </c>
      <c r="Z893" s="6">
        <f ca="1">Main[[#This Row],[تعداد روزهای بدهکار تسویه شده (روز)]]*Main[[#This Row],[مانده در خط تسویه شده (کیلوگرم)]]</f>
        <v>46538</v>
      </c>
      <c r="AA893" s="6">
        <f ca="1">SUBTOTAL(9,INDEX(Main[بدهی تسویه نشده (کیلوگرم)],1):Main[[#This Row],[بدهی تسویه نشده (کیلوگرم)]])</f>
        <v>0</v>
      </c>
      <c r="AB893" s="6">
        <f ca="1">IF(Main[[#This Row],[مانده در خط تسویه نشده (کیلوگرم)]]&lt;&gt;0,Main[[#This Row],[تعداد کل روزهای بدهکار (روز)]],0)</f>
        <v>0</v>
      </c>
      <c r="AC893" s="6">
        <f ca="1">Main[[#This Row],[تعداد روزهای بدهکار  تسویه نشده (روز)]]*Main[[#This Row],[مانده در خط تسویه نشده (کیلوگرم)]]</f>
        <v>0</v>
      </c>
      <c r="AD893" s="6">
        <f ca="1">SUBTOTAL(9,INDEX(Main[بدهی سررسید شده (کیلوگرم)],1):Main[[#This Row],[بدهی سررسید شده (کیلوگرم)]])</f>
        <v>0</v>
      </c>
      <c r="AE893" s="6">
        <f ca="1">IF(Main[[#This Row],[مانده در خط سررسید شده (کیلوگرم)]]&lt;&gt;0,Main[[#This Row],[تعداد کل روزهای بدهکار (روز)]],0)</f>
        <v>0</v>
      </c>
      <c r="AF893" s="6">
        <f ca="1">Main[[#This Row],[تعداد روزهای بدهکار سررسید شده (روز)]]*Main[[#This Row],[مانده در خط سررسید شده (کیلوگرم)]]</f>
        <v>0</v>
      </c>
    </row>
    <row r="894" spans="1:32" hidden="1" x14ac:dyDescent="0.35">
      <c r="A894" s="5">
        <f>ROW()-ROW(INDEX(Main[ردیف],1))+1</f>
        <v>892</v>
      </c>
      <c r="B894" s="31">
        <f>SUBTOTAL(2,INDEX(Main[ردیف],1):Main[[#This Row],[ردیف]])</f>
        <v>84</v>
      </c>
      <c r="C894" s="32" t="s">
        <v>600</v>
      </c>
      <c r="D894" s="32" t="str">
        <f>_xlfn.CONCAT("14",Main[[#This Row],[تاريخ]])</f>
        <v>1400/04/03</v>
      </c>
      <c r="E894" s="33">
        <v>44371</v>
      </c>
      <c r="F894" s="32">
        <v>30127</v>
      </c>
      <c r="G894" s="5" t="str">
        <f>INDEX(customer[عنوان],MATCH(Main[[#This Row],[کد ردیابی]],customer[کد],0))</f>
        <v>شیر گاز آذران</v>
      </c>
      <c r="H894">
        <v>-14991</v>
      </c>
      <c r="I894" s="6">
        <f ca="1">-Main[[#This Row],[بدهی تسویه شده (کیلوگرم)]]+Main[[#This Row],[بستانکار (کیلوگرم)]]</f>
        <v>-14991</v>
      </c>
      <c r="J894" s="6">
        <f>IF(Main[[#This Row],[مقدار (کیلوگرم)]]&gt;0,Main[[#This Row],[مقدار (کیلوگرم)]],0)</f>
        <v>0</v>
      </c>
      <c r="K894" s="6">
        <f>-IF(Main[[#This Row],[مقدار (کیلوگرم)]]&lt;0,Main[[#This Row],[مقدار (کیلوگرم)]],0)</f>
        <v>14991</v>
      </c>
      <c r="L8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4" s="7">
        <f>-IF(AND(Main[[#This Row],[مقدار (کیلوگرم)]]&lt;0,Main[[#This Row],[تاريخ میلادی]]&gt;44276),Main[[#This Row],[مقدار (کیلوگرم)]],0)</f>
        <v>14991</v>
      </c>
      <c r="N894" s="6">
        <f ca="1">Main[[#This Row],[بدهکار (کیلوگرم)]]-Main[[#This Row],[بدهی تسویه نشده (کیلوگرم)]]</f>
        <v>14991</v>
      </c>
      <c r="O894" s="6">
        <f ca="1">Main[[#This Row],[تفکیک]]</f>
        <v>0</v>
      </c>
      <c r="P894" s="6">
        <f ca="1">IF(Main[[#This Row],[تاخیر از سررسید]]&gt;0,Main[[#This Row],[بدهی تسویه نشده (کیلوگرم)]],0)</f>
        <v>0</v>
      </c>
      <c r="Q894" s="6">
        <f ca="1">IF(Main[[#This Row],[بدهی تسویه نشده (کیلوگرم)]]&gt;0,'گزارش فردی'!$B$7-Main[[#This Row],[تاريخ میلادی]],0)</f>
        <v>0</v>
      </c>
      <c r="R894" s="6">
        <f ca="1">IF(Main[[#This Row],[بدهی تسویه نشده (کیلوگرم)]]&gt;0,'گزارش فردی'!$B$7-Main[[#This Row],[تاريخ میلادی]]-'گزارش فردی'!$B$8,0)</f>
        <v>0</v>
      </c>
      <c r="S894" s="6">
        <f ca="1">Main[[#This Row],[روز از ارسال سفارش]]*Main[[#This Row],[بدهی تسویه نشده (کیلوگرم)]]</f>
        <v>0</v>
      </c>
      <c r="T894" s="6">
        <f ca="1">Main[[#This Row],[بدهی سررسید شده (کیلوگرم)]]*Main[[#This Row],[روز از ارسال سفارش]]</f>
        <v>0</v>
      </c>
      <c r="U894" s="6">
        <f>-SUBTOTAL(9,INDEX(Main[مقدار (کیلوگرم)],1):Main[[#This Row],[مقدار (کیلوگرم)]])</f>
        <v>23269</v>
      </c>
      <c r="V89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4" s="6">
        <f>Main[[#This Row],[تعداد کل روزهای بدهکار (روز)]]*Main[[#This Row],[مانده در خط کل (کیلوگرم)]]</f>
        <v>46538</v>
      </c>
      <c r="X894" s="6">
        <f ca="1">-SUBTOTAL(9,INDEX(Main[مقدار تسویه شده (کیلوگرم)],1):Main[[#This Row],[مقدار تسویه شده (کیلوگرم)]])</f>
        <v>23269</v>
      </c>
      <c r="Y894" s="6">
        <f ca="1">IF(Main[[#This Row],[مانده در خط تسویه شده (کیلوگرم)]]&lt;&gt;0,Main[[#This Row],[تعداد کل روزهای بدهکار (روز)]],0)</f>
        <v>2</v>
      </c>
      <c r="Z894" s="6">
        <f ca="1">Main[[#This Row],[تعداد روزهای بدهکار تسویه شده (روز)]]*Main[[#This Row],[مانده در خط تسویه شده (کیلوگرم)]]</f>
        <v>46538</v>
      </c>
      <c r="AA894" s="6">
        <f ca="1">SUBTOTAL(9,INDEX(Main[بدهی تسویه نشده (کیلوگرم)],1):Main[[#This Row],[بدهی تسویه نشده (کیلوگرم)]])</f>
        <v>0</v>
      </c>
      <c r="AB894" s="6">
        <f ca="1">IF(Main[[#This Row],[مانده در خط تسویه نشده (کیلوگرم)]]&lt;&gt;0,Main[[#This Row],[تعداد کل روزهای بدهکار (روز)]],0)</f>
        <v>0</v>
      </c>
      <c r="AC894" s="6">
        <f ca="1">Main[[#This Row],[تعداد روزهای بدهکار  تسویه نشده (روز)]]*Main[[#This Row],[مانده در خط تسویه نشده (کیلوگرم)]]</f>
        <v>0</v>
      </c>
      <c r="AD894" s="6">
        <f ca="1">SUBTOTAL(9,INDEX(Main[بدهی سررسید شده (کیلوگرم)],1):Main[[#This Row],[بدهی سررسید شده (کیلوگرم)]])</f>
        <v>0</v>
      </c>
      <c r="AE894" s="6">
        <f ca="1">IF(Main[[#This Row],[مانده در خط سررسید شده (کیلوگرم)]]&lt;&gt;0,Main[[#This Row],[تعداد کل روزهای بدهکار (روز)]],0)</f>
        <v>0</v>
      </c>
      <c r="AF894" s="6">
        <f ca="1">Main[[#This Row],[تعداد روزهای بدهکار سررسید شده (روز)]]*Main[[#This Row],[مانده در خط سررسید شده (کیلوگرم)]]</f>
        <v>0</v>
      </c>
    </row>
    <row r="895" spans="1:32" hidden="1" x14ac:dyDescent="0.35">
      <c r="A895" s="5">
        <f>ROW()-ROW(INDEX(Main[ردیف],1))+1</f>
        <v>893</v>
      </c>
      <c r="B895" s="31">
        <f>SUBTOTAL(2,INDEX(Main[ردیف],1):Main[[#This Row],[ردیف]])</f>
        <v>84</v>
      </c>
      <c r="C895" s="32" t="s">
        <v>600</v>
      </c>
      <c r="D895" s="32" t="str">
        <f>_xlfn.CONCAT("14",Main[[#This Row],[تاريخ]])</f>
        <v>1400/04/03</v>
      </c>
      <c r="E895" s="33">
        <v>44371</v>
      </c>
      <c r="F895" s="32">
        <v>10057</v>
      </c>
      <c r="G895" s="5" t="str">
        <f>INDEX(customer[عنوان],MATCH(Main[[#This Row],[کد ردیابی]],customer[کد],0))</f>
        <v xml:space="preserve">عبدالله یادگار </v>
      </c>
      <c r="H895">
        <v>1000</v>
      </c>
      <c r="I895" s="6">
        <f ca="1">-Main[[#This Row],[بدهی تسویه شده (کیلوگرم)]]+Main[[#This Row],[بستانکار (کیلوگرم)]]</f>
        <v>1000</v>
      </c>
      <c r="J895" s="6">
        <f>IF(Main[[#This Row],[مقدار (کیلوگرم)]]&gt;0,Main[[#This Row],[مقدار (کیلوگرم)]],0)</f>
        <v>1000</v>
      </c>
      <c r="K895" s="6">
        <f>-IF(Main[[#This Row],[مقدار (کیلوگرم)]]&lt;0,Main[[#This Row],[مقدار (کیلوگرم)]],0)</f>
        <v>0</v>
      </c>
      <c r="L8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5" s="7">
        <f>-IF(AND(Main[[#This Row],[مقدار (کیلوگرم)]]&lt;0,Main[[#This Row],[تاريخ میلادی]]&gt;44276),Main[[#This Row],[مقدار (کیلوگرم)]],0)</f>
        <v>0</v>
      </c>
      <c r="N895" s="6">
        <f ca="1">Main[[#This Row],[بدهکار (کیلوگرم)]]-Main[[#This Row],[بدهی تسویه نشده (کیلوگرم)]]</f>
        <v>0</v>
      </c>
      <c r="O895" s="6">
        <f ca="1">Main[[#This Row],[تفکیک]]</f>
        <v>0</v>
      </c>
      <c r="P895" s="6">
        <f ca="1">IF(Main[[#This Row],[تاخیر از سررسید]]&gt;0,Main[[#This Row],[بدهی تسویه نشده (کیلوگرم)]],0)</f>
        <v>0</v>
      </c>
      <c r="Q895" s="6">
        <f ca="1">IF(Main[[#This Row],[بدهی تسویه نشده (کیلوگرم)]]&gt;0,'گزارش فردی'!$B$7-Main[[#This Row],[تاريخ میلادی]],0)</f>
        <v>0</v>
      </c>
      <c r="R895" s="6">
        <f ca="1">IF(Main[[#This Row],[بدهی تسویه نشده (کیلوگرم)]]&gt;0,'گزارش فردی'!$B$7-Main[[#This Row],[تاريخ میلادی]]-'گزارش فردی'!$B$8,0)</f>
        <v>0</v>
      </c>
      <c r="S895" s="6">
        <f ca="1">Main[[#This Row],[روز از ارسال سفارش]]*Main[[#This Row],[بدهی تسویه نشده (کیلوگرم)]]</f>
        <v>0</v>
      </c>
      <c r="T895" s="6">
        <f ca="1">Main[[#This Row],[بدهی سررسید شده (کیلوگرم)]]*Main[[#This Row],[روز از ارسال سفارش]]</f>
        <v>0</v>
      </c>
      <c r="U895" s="6">
        <f>-SUBTOTAL(9,INDEX(Main[مقدار (کیلوگرم)],1):Main[[#This Row],[مقدار (کیلوگرم)]])</f>
        <v>23269</v>
      </c>
      <c r="V89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5" s="6">
        <f>Main[[#This Row],[تعداد کل روزهای بدهکار (روز)]]*Main[[#This Row],[مانده در خط کل (کیلوگرم)]]</f>
        <v>46538</v>
      </c>
      <c r="X895" s="6">
        <f ca="1">-SUBTOTAL(9,INDEX(Main[مقدار تسویه شده (کیلوگرم)],1):Main[[#This Row],[مقدار تسویه شده (کیلوگرم)]])</f>
        <v>23269</v>
      </c>
      <c r="Y895" s="6">
        <f ca="1">IF(Main[[#This Row],[مانده در خط تسویه شده (کیلوگرم)]]&lt;&gt;0,Main[[#This Row],[تعداد کل روزهای بدهکار (روز)]],0)</f>
        <v>2</v>
      </c>
      <c r="Z895" s="6">
        <f ca="1">Main[[#This Row],[تعداد روزهای بدهکار تسویه شده (روز)]]*Main[[#This Row],[مانده در خط تسویه شده (کیلوگرم)]]</f>
        <v>46538</v>
      </c>
      <c r="AA895" s="6">
        <f ca="1">SUBTOTAL(9,INDEX(Main[بدهی تسویه نشده (کیلوگرم)],1):Main[[#This Row],[بدهی تسویه نشده (کیلوگرم)]])</f>
        <v>0</v>
      </c>
      <c r="AB895" s="6">
        <f ca="1">IF(Main[[#This Row],[مانده در خط تسویه نشده (کیلوگرم)]]&lt;&gt;0,Main[[#This Row],[تعداد کل روزهای بدهکار (روز)]],0)</f>
        <v>0</v>
      </c>
      <c r="AC895" s="6">
        <f ca="1">Main[[#This Row],[تعداد روزهای بدهکار  تسویه نشده (روز)]]*Main[[#This Row],[مانده در خط تسویه نشده (کیلوگرم)]]</f>
        <v>0</v>
      </c>
      <c r="AD895" s="6">
        <f ca="1">SUBTOTAL(9,INDEX(Main[بدهی سررسید شده (کیلوگرم)],1):Main[[#This Row],[بدهی سررسید شده (کیلوگرم)]])</f>
        <v>0</v>
      </c>
      <c r="AE895" s="6">
        <f ca="1">IF(Main[[#This Row],[مانده در خط سررسید شده (کیلوگرم)]]&lt;&gt;0,Main[[#This Row],[تعداد کل روزهای بدهکار (روز)]],0)</f>
        <v>0</v>
      </c>
      <c r="AF895" s="6">
        <f ca="1">Main[[#This Row],[تعداد روزهای بدهکار سررسید شده (روز)]]*Main[[#This Row],[مانده در خط سررسید شده (کیلوگرم)]]</f>
        <v>0</v>
      </c>
    </row>
    <row r="896" spans="1:32" hidden="1" x14ac:dyDescent="0.35">
      <c r="A896" s="5">
        <f>ROW()-ROW(INDEX(Main[ردیف],1))+1</f>
        <v>894</v>
      </c>
      <c r="B896" s="31">
        <f>SUBTOTAL(2,INDEX(Main[ردیف],1):Main[[#This Row],[ردیف]])</f>
        <v>84</v>
      </c>
      <c r="C896" s="32" t="s">
        <v>600</v>
      </c>
      <c r="D896" s="32" t="str">
        <f>_xlfn.CONCAT("14",Main[[#This Row],[تاريخ]])</f>
        <v>1400/04/03</v>
      </c>
      <c r="E896" s="33">
        <v>44371</v>
      </c>
      <c r="F896" s="32">
        <v>30004</v>
      </c>
      <c r="G896" s="5" t="str">
        <f>INDEX(customer[عنوان],MATCH(Main[[#This Row],[کد ردیابی]],customer[کد],0))</f>
        <v>تولیدی صنعتی صفاشیر پارس</v>
      </c>
      <c r="H896">
        <v>-4298</v>
      </c>
      <c r="I896" s="6">
        <f ca="1">-Main[[#This Row],[بدهی تسویه شده (کیلوگرم)]]+Main[[#This Row],[بستانکار (کیلوگرم)]]</f>
        <v>-4298</v>
      </c>
      <c r="J896" s="6">
        <f>IF(Main[[#This Row],[مقدار (کیلوگرم)]]&gt;0,Main[[#This Row],[مقدار (کیلوگرم)]],0)</f>
        <v>0</v>
      </c>
      <c r="K896" s="6">
        <f>-IF(Main[[#This Row],[مقدار (کیلوگرم)]]&lt;0,Main[[#This Row],[مقدار (کیلوگرم)]],0)</f>
        <v>4298</v>
      </c>
      <c r="L8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6" s="7">
        <f>-IF(AND(Main[[#This Row],[مقدار (کیلوگرم)]]&lt;0,Main[[#This Row],[تاريخ میلادی]]&gt;44276),Main[[#This Row],[مقدار (کیلوگرم)]],0)</f>
        <v>4298</v>
      </c>
      <c r="N896" s="6">
        <f ca="1">Main[[#This Row],[بدهکار (کیلوگرم)]]-Main[[#This Row],[بدهی تسویه نشده (کیلوگرم)]]</f>
        <v>4298</v>
      </c>
      <c r="O896" s="6">
        <f ca="1">Main[[#This Row],[تفکیک]]</f>
        <v>0</v>
      </c>
      <c r="P896" s="6">
        <f ca="1">IF(Main[[#This Row],[تاخیر از سررسید]]&gt;0,Main[[#This Row],[بدهی تسویه نشده (کیلوگرم)]],0)</f>
        <v>0</v>
      </c>
      <c r="Q896" s="6">
        <f ca="1">IF(Main[[#This Row],[بدهی تسویه نشده (کیلوگرم)]]&gt;0,'گزارش فردی'!$B$7-Main[[#This Row],[تاريخ میلادی]],0)</f>
        <v>0</v>
      </c>
      <c r="R896" s="6">
        <f ca="1">IF(Main[[#This Row],[بدهی تسویه نشده (کیلوگرم)]]&gt;0,'گزارش فردی'!$B$7-Main[[#This Row],[تاريخ میلادی]]-'گزارش فردی'!$B$8,0)</f>
        <v>0</v>
      </c>
      <c r="S896" s="6">
        <f ca="1">Main[[#This Row],[روز از ارسال سفارش]]*Main[[#This Row],[بدهی تسویه نشده (کیلوگرم)]]</f>
        <v>0</v>
      </c>
      <c r="T896" s="6">
        <f ca="1">Main[[#This Row],[بدهی سررسید شده (کیلوگرم)]]*Main[[#This Row],[روز از ارسال سفارش]]</f>
        <v>0</v>
      </c>
      <c r="U896" s="6">
        <f>-SUBTOTAL(9,INDEX(Main[مقدار (کیلوگرم)],1):Main[[#This Row],[مقدار (کیلوگرم)]])</f>
        <v>23269</v>
      </c>
      <c r="V89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6" s="6">
        <f>Main[[#This Row],[تعداد کل روزهای بدهکار (روز)]]*Main[[#This Row],[مانده در خط کل (کیلوگرم)]]</f>
        <v>46538</v>
      </c>
      <c r="X896" s="6">
        <f ca="1">-SUBTOTAL(9,INDEX(Main[مقدار تسویه شده (کیلوگرم)],1):Main[[#This Row],[مقدار تسویه شده (کیلوگرم)]])</f>
        <v>23269</v>
      </c>
      <c r="Y896" s="6">
        <f ca="1">IF(Main[[#This Row],[مانده در خط تسویه شده (کیلوگرم)]]&lt;&gt;0,Main[[#This Row],[تعداد کل روزهای بدهکار (روز)]],0)</f>
        <v>2</v>
      </c>
      <c r="Z896" s="6">
        <f ca="1">Main[[#This Row],[تعداد روزهای بدهکار تسویه شده (روز)]]*Main[[#This Row],[مانده در خط تسویه شده (کیلوگرم)]]</f>
        <v>46538</v>
      </c>
      <c r="AA896" s="6">
        <f ca="1">SUBTOTAL(9,INDEX(Main[بدهی تسویه نشده (کیلوگرم)],1):Main[[#This Row],[بدهی تسویه نشده (کیلوگرم)]])</f>
        <v>0</v>
      </c>
      <c r="AB896" s="6">
        <f ca="1">IF(Main[[#This Row],[مانده در خط تسویه نشده (کیلوگرم)]]&lt;&gt;0,Main[[#This Row],[تعداد کل روزهای بدهکار (روز)]],0)</f>
        <v>0</v>
      </c>
      <c r="AC896" s="6">
        <f ca="1">Main[[#This Row],[تعداد روزهای بدهکار  تسویه نشده (روز)]]*Main[[#This Row],[مانده در خط تسویه نشده (کیلوگرم)]]</f>
        <v>0</v>
      </c>
      <c r="AD896" s="6">
        <f ca="1">SUBTOTAL(9,INDEX(Main[بدهی سررسید شده (کیلوگرم)],1):Main[[#This Row],[بدهی سررسید شده (کیلوگرم)]])</f>
        <v>0</v>
      </c>
      <c r="AE896" s="6">
        <f ca="1">IF(Main[[#This Row],[مانده در خط سررسید شده (کیلوگرم)]]&lt;&gt;0,Main[[#This Row],[تعداد کل روزهای بدهکار (روز)]],0)</f>
        <v>0</v>
      </c>
      <c r="AF896" s="6">
        <f ca="1">Main[[#This Row],[تعداد روزهای بدهکار سررسید شده (روز)]]*Main[[#This Row],[مانده در خط سررسید شده (کیلوگرم)]]</f>
        <v>0</v>
      </c>
    </row>
    <row r="897" spans="1:32" hidden="1" x14ac:dyDescent="0.35">
      <c r="A897" s="5">
        <f>ROW()-ROW(INDEX(Main[ردیف],1))+1</f>
        <v>895</v>
      </c>
      <c r="B897" s="31">
        <f>SUBTOTAL(2,INDEX(Main[ردیف],1):Main[[#This Row],[ردیف]])</f>
        <v>84</v>
      </c>
      <c r="C897" s="32" t="s">
        <v>600</v>
      </c>
      <c r="D897" s="32" t="str">
        <f>_xlfn.CONCAT("14",Main[[#This Row],[تاريخ]])</f>
        <v>1400/04/03</v>
      </c>
      <c r="E897" s="33">
        <v>44371</v>
      </c>
      <c r="F897" s="32">
        <v>30004</v>
      </c>
      <c r="G897" s="5" t="str">
        <f>INDEX(customer[عنوان],MATCH(Main[[#This Row],[کد ردیابی]],customer[کد],0))</f>
        <v>تولیدی صنعتی صفاشیر پارس</v>
      </c>
      <c r="H897">
        <v>1916</v>
      </c>
      <c r="I897" s="6">
        <f ca="1">-Main[[#This Row],[بدهی تسویه شده (کیلوگرم)]]+Main[[#This Row],[بستانکار (کیلوگرم)]]</f>
        <v>1916</v>
      </c>
      <c r="J897" s="6">
        <f>IF(Main[[#This Row],[مقدار (کیلوگرم)]]&gt;0,Main[[#This Row],[مقدار (کیلوگرم)]],0)</f>
        <v>1916</v>
      </c>
      <c r="K897" s="6">
        <f>-IF(Main[[#This Row],[مقدار (کیلوگرم)]]&lt;0,Main[[#This Row],[مقدار (کیلوگرم)]],0)</f>
        <v>0</v>
      </c>
      <c r="L8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7" s="7">
        <f>-IF(AND(Main[[#This Row],[مقدار (کیلوگرم)]]&lt;0,Main[[#This Row],[تاريخ میلادی]]&gt;44276),Main[[#This Row],[مقدار (کیلوگرم)]],0)</f>
        <v>0</v>
      </c>
      <c r="N897" s="6">
        <f ca="1">Main[[#This Row],[بدهکار (کیلوگرم)]]-Main[[#This Row],[بدهی تسویه نشده (کیلوگرم)]]</f>
        <v>0</v>
      </c>
      <c r="O897" s="6">
        <f ca="1">Main[[#This Row],[تفکیک]]</f>
        <v>0</v>
      </c>
      <c r="P897" s="6">
        <f ca="1">IF(Main[[#This Row],[تاخیر از سررسید]]&gt;0,Main[[#This Row],[بدهی تسویه نشده (کیلوگرم)]],0)</f>
        <v>0</v>
      </c>
      <c r="Q897" s="6">
        <f ca="1">IF(Main[[#This Row],[بدهی تسویه نشده (کیلوگرم)]]&gt;0,'گزارش فردی'!$B$7-Main[[#This Row],[تاريخ میلادی]],0)</f>
        <v>0</v>
      </c>
      <c r="R897" s="6">
        <f ca="1">IF(Main[[#This Row],[بدهی تسویه نشده (کیلوگرم)]]&gt;0,'گزارش فردی'!$B$7-Main[[#This Row],[تاريخ میلادی]]-'گزارش فردی'!$B$8,0)</f>
        <v>0</v>
      </c>
      <c r="S897" s="6">
        <f ca="1">Main[[#This Row],[روز از ارسال سفارش]]*Main[[#This Row],[بدهی تسویه نشده (کیلوگرم)]]</f>
        <v>0</v>
      </c>
      <c r="T897" s="6">
        <f ca="1">Main[[#This Row],[بدهی سررسید شده (کیلوگرم)]]*Main[[#This Row],[روز از ارسال سفارش]]</f>
        <v>0</v>
      </c>
      <c r="U897" s="6">
        <f>-SUBTOTAL(9,INDEX(Main[مقدار (کیلوگرم)],1):Main[[#This Row],[مقدار (کیلوگرم)]])</f>
        <v>23269</v>
      </c>
      <c r="V89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7" s="6">
        <f>Main[[#This Row],[تعداد کل روزهای بدهکار (روز)]]*Main[[#This Row],[مانده در خط کل (کیلوگرم)]]</f>
        <v>46538</v>
      </c>
      <c r="X897" s="6">
        <f ca="1">-SUBTOTAL(9,INDEX(Main[مقدار تسویه شده (کیلوگرم)],1):Main[[#This Row],[مقدار تسویه شده (کیلوگرم)]])</f>
        <v>23269</v>
      </c>
      <c r="Y897" s="6">
        <f ca="1">IF(Main[[#This Row],[مانده در خط تسویه شده (کیلوگرم)]]&lt;&gt;0,Main[[#This Row],[تعداد کل روزهای بدهکار (روز)]],0)</f>
        <v>2</v>
      </c>
      <c r="Z897" s="6">
        <f ca="1">Main[[#This Row],[تعداد روزهای بدهکار تسویه شده (روز)]]*Main[[#This Row],[مانده در خط تسویه شده (کیلوگرم)]]</f>
        <v>46538</v>
      </c>
      <c r="AA897" s="6">
        <f ca="1">SUBTOTAL(9,INDEX(Main[بدهی تسویه نشده (کیلوگرم)],1):Main[[#This Row],[بدهی تسویه نشده (کیلوگرم)]])</f>
        <v>0</v>
      </c>
      <c r="AB897" s="6">
        <f ca="1">IF(Main[[#This Row],[مانده در خط تسویه نشده (کیلوگرم)]]&lt;&gt;0,Main[[#This Row],[تعداد کل روزهای بدهکار (روز)]],0)</f>
        <v>0</v>
      </c>
      <c r="AC897" s="6">
        <f ca="1">Main[[#This Row],[تعداد روزهای بدهکار  تسویه نشده (روز)]]*Main[[#This Row],[مانده در خط تسویه نشده (کیلوگرم)]]</f>
        <v>0</v>
      </c>
      <c r="AD897" s="6">
        <f ca="1">SUBTOTAL(9,INDEX(Main[بدهی سررسید شده (کیلوگرم)],1):Main[[#This Row],[بدهی سررسید شده (کیلوگرم)]])</f>
        <v>0</v>
      </c>
      <c r="AE897" s="6">
        <f ca="1">IF(Main[[#This Row],[مانده در خط سررسید شده (کیلوگرم)]]&lt;&gt;0,Main[[#This Row],[تعداد کل روزهای بدهکار (روز)]],0)</f>
        <v>0</v>
      </c>
      <c r="AF897" s="6">
        <f ca="1">Main[[#This Row],[تعداد روزهای بدهکار سررسید شده (روز)]]*Main[[#This Row],[مانده در خط سررسید شده (کیلوگرم)]]</f>
        <v>0</v>
      </c>
    </row>
    <row r="898" spans="1:32" hidden="1" x14ac:dyDescent="0.35">
      <c r="A898" s="5">
        <f>ROW()-ROW(INDEX(Main[ردیف],1))+1</f>
        <v>896</v>
      </c>
      <c r="B898" s="31">
        <f>SUBTOTAL(2,INDEX(Main[ردیف],1):Main[[#This Row],[ردیف]])</f>
        <v>84</v>
      </c>
      <c r="C898" s="32" t="s">
        <v>600</v>
      </c>
      <c r="D898" s="32" t="str">
        <f>_xlfn.CONCAT("14",Main[[#This Row],[تاريخ]])</f>
        <v>1400/04/03</v>
      </c>
      <c r="E898" s="33">
        <v>44371</v>
      </c>
      <c r="F898" s="32">
        <v>30009</v>
      </c>
      <c r="G898" s="5" t="str">
        <f>INDEX(customer[عنوان],MATCH(Main[[#This Row],[کد ردیابی]],customer[کد],0))</f>
        <v>شرکت ایمن تک پیشرو</v>
      </c>
      <c r="H898">
        <v>-2112</v>
      </c>
      <c r="I898" s="6">
        <f ca="1">-Main[[#This Row],[بدهی تسویه شده (کیلوگرم)]]+Main[[#This Row],[بستانکار (کیلوگرم)]]</f>
        <v>-2112</v>
      </c>
      <c r="J898" s="6">
        <f>IF(Main[[#This Row],[مقدار (کیلوگرم)]]&gt;0,Main[[#This Row],[مقدار (کیلوگرم)]],0)</f>
        <v>0</v>
      </c>
      <c r="K898" s="6">
        <f>-IF(Main[[#This Row],[مقدار (کیلوگرم)]]&lt;0,Main[[#This Row],[مقدار (کیلوگرم)]],0)</f>
        <v>2112</v>
      </c>
      <c r="L8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8" s="7">
        <f>-IF(AND(Main[[#This Row],[مقدار (کیلوگرم)]]&lt;0,Main[[#This Row],[تاريخ میلادی]]&gt;44276),Main[[#This Row],[مقدار (کیلوگرم)]],0)</f>
        <v>2112</v>
      </c>
      <c r="N898" s="6">
        <f ca="1">Main[[#This Row],[بدهکار (کیلوگرم)]]-Main[[#This Row],[بدهی تسویه نشده (کیلوگرم)]]</f>
        <v>2112</v>
      </c>
      <c r="O898" s="6">
        <f ca="1">Main[[#This Row],[تفکیک]]</f>
        <v>0</v>
      </c>
      <c r="P898" s="6">
        <f ca="1">IF(Main[[#This Row],[تاخیر از سررسید]]&gt;0,Main[[#This Row],[بدهی تسویه نشده (کیلوگرم)]],0)</f>
        <v>0</v>
      </c>
      <c r="Q898" s="6">
        <f ca="1">IF(Main[[#This Row],[بدهی تسویه نشده (کیلوگرم)]]&gt;0,'گزارش فردی'!$B$7-Main[[#This Row],[تاريخ میلادی]],0)</f>
        <v>0</v>
      </c>
      <c r="R898" s="6">
        <f ca="1">IF(Main[[#This Row],[بدهی تسویه نشده (کیلوگرم)]]&gt;0,'گزارش فردی'!$B$7-Main[[#This Row],[تاريخ میلادی]]-'گزارش فردی'!$B$8,0)</f>
        <v>0</v>
      </c>
      <c r="S898" s="6">
        <f ca="1">Main[[#This Row],[روز از ارسال سفارش]]*Main[[#This Row],[بدهی تسویه نشده (کیلوگرم)]]</f>
        <v>0</v>
      </c>
      <c r="T898" s="6">
        <f ca="1">Main[[#This Row],[بدهی سررسید شده (کیلوگرم)]]*Main[[#This Row],[روز از ارسال سفارش]]</f>
        <v>0</v>
      </c>
      <c r="U898" s="6">
        <f>-SUBTOTAL(9,INDEX(Main[مقدار (کیلوگرم)],1):Main[[#This Row],[مقدار (کیلوگرم)]])</f>
        <v>23269</v>
      </c>
      <c r="V89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8" s="6">
        <f>Main[[#This Row],[تعداد کل روزهای بدهکار (روز)]]*Main[[#This Row],[مانده در خط کل (کیلوگرم)]]</f>
        <v>46538</v>
      </c>
      <c r="X898" s="6">
        <f ca="1">-SUBTOTAL(9,INDEX(Main[مقدار تسویه شده (کیلوگرم)],1):Main[[#This Row],[مقدار تسویه شده (کیلوگرم)]])</f>
        <v>23269</v>
      </c>
      <c r="Y898" s="6">
        <f ca="1">IF(Main[[#This Row],[مانده در خط تسویه شده (کیلوگرم)]]&lt;&gt;0,Main[[#This Row],[تعداد کل روزهای بدهکار (روز)]],0)</f>
        <v>2</v>
      </c>
      <c r="Z898" s="6">
        <f ca="1">Main[[#This Row],[تعداد روزهای بدهکار تسویه شده (روز)]]*Main[[#This Row],[مانده در خط تسویه شده (کیلوگرم)]]</f>
        <v>46538</v>
      </c>
      <c r="AA898" s="6">
        <f ca="1">SUBTOTAL(9,INDEX(Main[بدهی تسویه نشده (کیلوگرم)],1):Main[[#This Row],[بدهی تسویه نشده (کیلوگرم)]])</f>
        <v>0</v>
      </c>
      <c r="AB898" s="6">
        <f ca="1">IF(Main[[#This Row],[مانده در خط تسویه نشده (کیلوگرم)]]&lt;&gt;0,Main[[#This Row],[تعداد کل روزهای بدهکار (روز)]],0)</f>
        <v>0</v>
      </c>
      <c r="AC898" s="6">
        <f ca="1">Main[[#This Row],[تعداد روزهای بدهکار  تسویه نشده (روز)]]*Main[[#This Row],[مانده در خط تسویه نشده (کیلوگرم)]]</f>
        <v>0</v>
      </c>
      <c r="AD898" s="6">
        <f ca="1">SUBTOTAL(9,INDEX(Main[بدهی سررسید شده (کیلوگرم)],1):Main[[#This Row],[بدهی سررسید شده (کیلوگرم)]])</f>
        <v>0</v>
      </c>
      <c r="AE898" s="6">
        <f ca="1">IF(Main[[#This Row],[مانده در خط سررسید شده (کیلوگرم)]]&lt;&gt;0,Main[[#This Row],[تعداد کل روزهای بدهکار (روز)]],0)</f>
        <v>0</v>
      </c>
      <c r="AF898" s="6">
        <f ca="1">Main[[#This Row],[تعداد روزهای بدهکار سررسید شده (روز)]]*Main[[#This Row],[مانده در خط سررسید شده (کیلوگرم)]]</f>
        <v>0</v>
      </c>
    </row>
    <row r="899" spans="1:32" hidden="1" x14ac:dyDescent="0.35">
      <c r="A899" s="5">
        <f>ROW()-ROW(INDEX(Main[ردیف],1))+1</f>
        <v>897</v>
      </c>
      <c r="B899" s="31">
        <f>SUBTOTAL(2,INDEX(Main[ردیف],1):Main[[#This Row],[ردیف]])</f>
        <v>84</v>
      </c>
      <c r="C899" s="32" t="s">
        <v>600</v>
      </c>
      <c r="D899" s="32" t="str">
        <f>_xlfn.CONCAT("14",Main[[#This Row],[تاريخ]])</f>
        <v>1400/04/03</v>
      </c>
      <c r="E899" s="33">
        <v>44371</v>
      </c>
      <c r="F899" s="32">
        <v>30131</v>
      </c>
      <c r="G899" s="5" t="str">
        <f>INDEX(customer[عنوان],MATCH(Main[[#This Row],[کد ردیابی]],customer[کد],0))</f>
        <v>ادهم مس تبریز</v>
      </c>
      <c r="H899">
        <v>4160</v>
      </c>
      <c r="I899" s="6">
        <f ca="1">-Main[[#This Row],[بدهی تسویه شده (کیلوگرم)]]+Main[[#This Row],[بستانکار (کیلوگرم)]]</f>
        <v>4160</v>
      </c>
      <c r="J899" s="6">
        <f>IF(Main[[#This Row],[مقدار (کیلوگرم)]]&gt;0,Main[[#This Row],[مقدار (کیلوگرم)]],0)</f>
        <v>4160</v>
      </c>
      <c r="K899" s="6">
        <f>-IF(Main[[#This Row],[مقدار (کیلوگرم)]]&lt;0,Main[[#This Row],[مقدار (کیلوگرم)]],0)</f>
        <v>0</v>
      </c>
      <c r="L8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9" s="7">
        <f>-IF(AND(Main[[#This Row],[مقدار (کیلوگرم)]]&lt;0,Main[[#This Row],[تاريخ میلادی]]&gt;44276),Main[[#This Row],[مقدار (کیلوگرم)]],0)</f>
        <v>0</v>
      </c>
      <c r="N899" s="6">
        <f ca="1">Main[[#This Row],[بدهکار (کیلوگرم)]]-Main[[#This Row],[بدهی تسویه نشده (کیلوگرم)]]</f>
        <v>0</v>
      </c>
      <c r="O899" s="6">
        <f ca="1">Main[[#This Row],[تفکیک]]</f>
        <v>0</v>
      </c>
      <c r="P899" s="6">
        <f ca="1">IF(Main[[#This Row],[تاخیر از سررسید]]&gt;0,Main[[#This Row],[بدهی تسویه نشده (کیلوگرم)]],0)</f>
        <v>0</v>
      </c>
      <c r="Q899" s="6">
        <f ca="1">IF(Main[[#This Row],[بدهی تسویه نشده (کیلوگرم)]]&gt;0,'گزارش فردی'!$B$7-Main[[#This Row],[تاريخ میلادی]],0)</f>
        <v>0</v>
      </c>
      <c r="R899" s="6">
        <f ca="1">IF(Main[[#This Row],[بدهی تسویه نشده (کیلوگرم)]]&gt;0,'گزارش فردی'!$B$7-Main[[#This Row],[تاريخ میلادی]]-'گزارش فردی'!$B$8,0)</f>
        <v>0</v>
      </c>
      <c r="S899" s="6">
        <f ca="1">Main[[#This Row],[روز از ارسال سفارش]]*Main[[#This Row],[بدهی تسویه نشده (کیلوگرم)]]</f>
        <v>0</v>
      </c>
      <c r="T899" s="6">
        <f ca="1">Main[[#This Row],[بدهی سررسید شده (کیلوگرم)]]*Main[[#This Row],[روز از ارسال سفارش]]</f>
        <v>0</v>
      </c>
      <c r="U899" s="6">
        <f>-SUBTOTAL(9,INDEX(Main[مقدار (کیلوگرم)],1):Main[[#This Row],[مقدار (کیلوگرم)]])</f>
        <v>23269</v>
      </c>
      <c r="V89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9" s="6">
        <f>Main[[#This Row],[تعداد کل روزهای بدهکار (روز)]]*Main[[#This Row],[مانده در خط کل (کیلوگرم)]]</f>
        <v>46538</v>
      </c>
      <c r="X899" s="6">
        <f ca="1">-SUBTOTAL(9,INDEX(Main[مقدار تسویه شده (کیلوگرم)],1):Main[[#This Row],[مقدار تسویه شده (کیلوگرم)]])</f>
        <v>23269</v>
      </c>
      <c r="Y899" s="6">
        <f ca="1">IF(Main[[#This Row],[مانده در خط تسویه شده (کیلوگرم)]]&lt;&gt;0,Main[[#This Row],[تعداد کل روزهای بدهکار (روز)]],0)</f>
        <v>2</v>
      </c>
      <c r="Z899" s="6">
        <f ca="1">Main[[#This Row],[تعداد روزهای بدهکار تسویه شده (روز)]]*Main[[#This Row],[مانده در خط تسویه شده (کیلوگرم)]]</f>
        <v>46538</v>
      </c>
      <c r="AA899" s="6">
        <f ca="1">SUBTOTAL(9,INDEX(Main[بدهی تسویه نشده (کیلوگرم)],1):Main[[#This Row],[بدهی تسویه نشده (کیلوگرم)]])</f>
        <v>0</v>
      </c>
      <c r="AB899" s="6">
        <f ca="1">IF(Main[[#This Row],[مانده در خط تسویه نشده (کیلوگرم)]]&lt;&gt;0,Main[[#This Row],[تعداد کل روزهای بدهکار (روز)]],0)</f>
        <v>0</v>
      </c>
      <c r="AC899" s="6">
        <f ca="1">Main[[#This Row],[تعداد روزهای بدهکار  تسویه نشده (روز)]]*Main[[#This Row],[مانده در خط تسویه نشده (کیلوگرم)]]</f>
        <v>0</v>
      </c>
      <c r="AD899" s="6">
        <f ca="1">SUBTOTAL(9,INDEX(Main[بدهی سررسید شده (کیلوگرم)],1):Main[[#This Row],[بدهی سررسید شده (کیلوگرم)]])</f>
        <v>0</v>
      </c>
      <c r="AE899" s="6">
        <f ca="1">IF(Main[[#This Row],[مانده در خط سررسید شده (کیلوگرم)]]&lt;&gt;0,Main[[#This Row],[تعداد کل روزهای بدهکار (روز)]],0)</f>
        <v>0</v>
      </c>
      <c r="AF899" s="6">
        <f ca="1">Main[[#This Row],[تعداد روزهای بدهکار سررسید شده (روز)]]*Main[[#This Row],[مانده در خط سررسید شده (کیلوگرم)]]</f>
        <v>0</v>
      </c>
    </row>
    <row r="900" spans="1:32" hidden="1" x14ac:dyDescent="0.35">
      <c r="A900" s="5">
        <f>ROW()-ROW(INDEX(Main[ردیف],1))+1</f>
        <v>898</v>
      </c>
      <c r="B900" s="31">
        <f>SUBTOTAL(2,INDEX(Main[ردیف],1):Main[[#This Row],[ردیف]])</f>
        <v>84</v>
      </c>
      <c r="C900" s="32" t="s">
        <v>600</v>
      </c>
      <c r="D900" s="32" t="str">
        <f>_xlfn.CONCAT("14",Main[[#This Row],[تاريخ]])</f>
        <v>1400/04/03</v>
      </c>
      <c r="E900" s="33">
        <v>44371</v>
      </c>
      <c r="F900" s="32">
        <v>30131</v>
      </c>
      <c r="G900" s="5" t="str">
        <f>INDEX(customer[عنوان],MATCH(Main[[#This Row],[کد ردیابی]],customer[کد],0))</f>
        <v>ادهم مس تبریز</v>
      </c>
      <c r="H900">
        <v>740</v>
      </c>
      <c r="I900" s="6">
        <f ca="1">-Main[[#This Row],[بدهی تسویه شده (کیلوگرم)]]+Main[[#This Row],[بستانکار (کیلوگرم)]]</f>
        <v>740</v>
      </c>
      <c r="J900" s="6">
        <f>IF(Main[[#This Row],[مقدار (کیلوگرم)]]&gt;0,Main[[#This Row],[مقدار (کیلوگرم)]],0)</f>
        <v>740</v>
      </c>
      <c r="K900" s="6">
        <f>-IF(Main[[#This Row],[مقدار (کیلوگرم)]]&lt;0,Main[[#This Row],[مقدار (کیلوگرم)]],0)</f>
        <v>0</v>
      </c>
      <c r="L9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0" s="7">
        <f>-IF(AND(Main[[#This Row],[مقدار (کیلوگرم)]]&lt;0,Main[[#This Row],[تاريخ میلادی]]&gt;44276),Main[[#This Row],[مقدار (کیلوگرم)]],0)</f>
        <v>0</v>
      </c>
      <c r="N900" s="6">
        <f ca="1">Main[[#This Row],[بدهکار (کیلوگرم)]]-Main[[#This Row],[بدهی تسویه نشده (کیلوگرم)]]</f>
        <v>0</v>
      </c>
      <c r="O900" s="6">
        <f ca="1">Main[[#This Row],[تفکیک]]</f>
        <v>0</v>
      </c>
      <c r="P900" s="6">
        <f ca="1">IF(Main[[#This Row],[تاخیر از سررسید]]&gt;0,Main[[#This Row],[بدهی تسویه نشده (کیلوگرم)]],0)</f>
        <v>0</v>
      </c>
      <c r="Q900" s="6">
        <f ca="1">IF(Main[[#This Row],[بدهی تسویه نشده (کیلوگرم)]]&gt;0,'گزارش فردی'!$B$7-Main[[#This Row],[تاريخ میلادی]],0)</f>
        <v>0</v>
      </c>
      <c r="R900" s="6">
        <f ca="1">IF(Main[[#This Row],[بدهی تسویه نشده (کیلوگرم)]]&gt;0,'گزارش فردی'!$B$7-Main[[#This Row],[تاريخ میلادی]]-'گزارش فردی'!$B$8,0)</f>
        <v>0</v>
      </c>
      <c r="S900" s="6">
        <f ca="1">Main[[#This Row],[روز از ارسال سفارش]]*Main[[#This Row],[بدهی تسویه نشده (کیلوگرم)]]</f>
        <v>0</v>
      </c>
      <c r="T900" s="6">
        <f ca="1">Main[[#This Row],[بدهی سررسید شده (کیلوگرم)]]*Main[[#This Row],[روز از ارسال سفارش]]</f>
        <v>0</v>
      </c>
      <c r="U900" s="6">
        <f>-SUBTOTAL(9,INDEX(Main[مقدار (کیلوگرم)],1):Main[[#This Row],[مقدار (کیلوگرم)]])</f>
        <v>23269</v>
      </c>
      <c r="V90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00" s="6">
        <f>Main[[#This Row],[تعداد کل روزهای بدهکار (روز)]]*Main[[#This Row],[مانده در خط کل (کیلوگرم)]]</f>
        <v>46538</v>
      </c>
      <c r="X900" s="6">
        <f ca="1">-SUBTOTAL(9,INDEX(Main[مقدار تسویه شده (کیلوگرم)],1):Main[[#This Row],[مقدار تسویه شده (کیلوگرم)]])</f>
        <v>23269</v>
      </c>
      <c r="Y900" s="6">
        <f ca="1">IF(Main[[#This Row],[مانده در خط تسویه شده (کیلوگرم)]]&lt;&gt;0,Main[[#This Row],[تعداد کل روزهای بدهکار (روز)]],0)</f>
        <v>2</v>
      </c>
      <c r="Z900" s="6">
        <f ca="1">Main[[#This Row],[تعداد روزهای بدهکار تسویه شده (روز)]]*Main[[#This Row],[مانده در خط تسویه شده (کیلوگرم)]]</f>
        <v>46538</v>
      </c>
      <c r="AA900" s="6">
        <f ca="1">SUBTOTAL(9,INDEX(Main[بدهی تسویه نشده (کیلوگرم)],1):Main[[#This Row],[بدهی تسویه نشده (کیلوگرم)]])</f>
        <v>0</v>
      </c>
      <c r="AB900" s="6">
        <f ca="1">IF(Main[[#This Row],[مانده در خط تسویه نشده (کیلوگرم)]]&lt;&gt;0,Main[[#This Row],[تعداد کل روزهای بدهکار (روز)]],0)</f>
        <v>0</v>
      </c>
      <c r="AC900" s="6">
        <f ca="1">Main[[#This Row],[تعداد روزهای بدهکار  تسویه نشده (روز)]]*Main[[#This Row],[مانده در خط تسویه نشده (کیلوگرم)]]</f>
        <v>0</v>
      </c>
      <c r="AD900" s="6">
        <f ca="1">SUBTOTAL(9,INDEX(Main[بدهی سررسید شده (کیلوگرم)],1):Main[[#This Row],[بدهی سررسید شده (کیلوگرم)]])</f>
        <v>0</v>
      </c>
      <c r="AE900" s="6">
        <f ca="1">IF(Main[[#This Row],[مانده در خط سررسید شده (کیلوگرم)]]&lt;&gt;0,Main[[#This Row],[تعداد کل روزهای بدهکار (روز)]],0)</f>
        <v>0</v>
      </c>
      <c r="AF900" s="6">
        <f ca="1">Main[[#This Row],[تعداد روزهای بدهکار سررسید شده (روز)]]*Main[[#This Row],[مانده در خط سررسید شده (کیلوگرم)]]</f>
        <v>0</v>
      </c>
    </row>
    <row r="901" spans="1:32" hidden="1" x14ac:dyDescent="0.35">
      <c r="A901" s="5">
        <f>ROW()-ROW(INDEX(Main[ردیف],1))+1</f>
        <v>899</v>
      </c>
      <c r="B901" s="31">
        <f>SUBTOTAL(2,INDEX(Main[ردیف],1):Main[[#This Row],[ردیف]])</f>
        <v>84</v>
      </c>
      <c r="C901" s="32" t="s">
        <v>600</v>
      </c>
      <c r="D901" s="32" t="str">
        <f>_xlfn.CONCAT("14",Main[[#This Row],[تاريخ]])</f>
        <v>1400/04/03</v>
      </c>
      <c r="E901" s="33">
        <v>44371</v>
      </c>
      <c r="F901" s="32">
        <v>30131</v>
      </c>
      <c r="G901" s="5" t="str">
        <f>INDEX(customer[عنوان],MATCH(Main[[#This Row],[کد ردیابی]],customer[کد],0))</f>
        <v>ادهم مس تبریز</v>
      </c>
      <c r="H901">
        <v>206</v>
      </c>
      <c r="I901" s="6">
        <f ca="1">-Main[[#This Row],[بدهی تسویه شده (کیلوگرم)]]+Main[[#This Row],[بستانکار (کیلوگرم)]]</f>
        <v>206</v>
      </c>
      <c r="J901" s="6">
        <f>IF(Main[[#This Row],[مقدار (کیلوگرم)]]&gt;0,Main[[#This Row],[مقدار (کیلوگرم)]],0)</f>
        <v>206</v>
      </c>
      <c r="K901" s="6">
        <f>-IF(Main[[#This Row],[مقدار (کیلوگرم)]]&lt;0,Main[[#This Row],[مقدار (کیلوگرم)]],0)</f>
        <v>0</v>
      </c>
      <c r="L9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1" s="7">
        <f>-IF(AND(Main[[#This Row],[مقدار (کیلوگرم)]]&lt;0,Main[[#This Row],[تاريخ میلادی]]&gt;44276),Main[[#This Row],[مقدار (کیلوگرم)]],0)</f>
        <v>0</v>
      </c>
      <c r="N901" s="6">
        <f ca="1">Main[[#This Row],[بدهکار (کیلوگرم)]]-Main[[#This Row],[بدهی تسویه نشده (کیلوگرم)]]</f>
        <v>0</v>
      </c>
      <c r="O901" s="6">
        <f ca="1">Main[[#This Row],[تفکیک]]</f>
        <v>0</v>
      </c>
      <c r="P901" s="6">
        <f ca="1">IF(Main[[#This Row],[تاخیر از سررسید]]&gt;0,Main[[#This Row],[بدهی تسویه نشده (کیلوگرم)]],0)</f>
        <v>0</v>
      </c>
      <c r="Q901" s="6">
        <f ca="1">IF(Main[[#This Row],[بدهی تسویه نشده (کیلوگرم)]]&gt;0,'گزارش فردی'!$B$7-Main[[#This Row],[تاريخ میلادی]],0)</f>
        <v>0</v>
      </c>
      <c r="R901" s="6">
        <f ca="1">IF(Main[[#This Row],[بدهی تسویه نشده (کیلوگرم)]]&gt;0,'گزارش فردی'!$B$7-Main[[#This Row],[تاريخ میلادی]]-'گزارش فردی'!$B$8,0)</f>
        <v>0</v>
      </c>
      <c r="S901" s="6">
        <f ca="1">Main[[#This Row],[روز از ارسال سفارش]]*Main[[#This Row],[بدهی تسویه نشده (کیلوگرم)]]</f>
        <v>0</v>
      </c>
      <c r="T901" s="6">
        <f ca="1">Main[[#This Row],[بدهی سررسید شده (کیلوگرم)]]*Main[[#This Row],[روز از ارسال سفارش]]</f>
        <v>0</v>
      </c>
      <c r="U901" s="6">
        <f>-SUBTOTAL(9,INDEX(Main[مقدار (کیلوگرم)],1):Main[[#This Row],[مقدار (کیلوگرم)]])</f>
        <v>23269</v>
      </c>
      <c r="V9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01" s="6">
        <f>Main[[#This Row],[تعداد کل روزهای بدهکار (روز)]]*Main[[#This Row],[مانده در خط کل (کیلوگرم)]]</f>
        <v>46538</v>
      </c>
      <c r="X901" s="6">
        <f ca="1">-SUBTOTAL(9,INDEX(Main[مقدار تسویه شده (کیلوگرم)],1):Main[[#This Row],[مقدار تسویه شده (کیلوگرم)]])</f>
        <v>23269</v>
      </c>
      <c r="Y901" s="6">
        <f ca="1">IF(Main[[#This Row],[مانده در خط تسویه شده (کیلوگرم)]]&lt;&gt;0,Main[[#This Row],[تعداد کل روزهای بدهکار (روز)]],0)</f>
        <v>2</v>
      </c>
      <c r="Z901" s="6">
        <f ca="1">Main[[#This Row],[تعداد روزهای بدهکار تسویه شده (روز)]]*Main[[#This Row],[مانده در خط تسویه شده (کیلوگرم)]]</f>
        <v>46538</v>
      </c>
      <c r="AA901" s="6">
        <f ca="1">SUBTOTAL(9,INDEX(Main[بدهی تسویه نشده (کیلوگرم)],1):Main[[#This Row],[بدهی تسویه نشده (کیلوگرم)]])</f>
        <v>0</v>
      </c>
      <c r="AB901" s="6">
        <f ca="1">IF(Main[[#This Row],[مانده در خط تسویه نشده (کیلوگرم)]]&lt;&gt;0,Main[[#This Row],[تعداد کل روزهای بدهکار (روز)]],0)</f>
        <v>0</v>
      </c>
      <c r="AC901" s="6">
        <f ca="1">Main[[#This Row],[تعداد روزهای بدهکار  تسویه نشده (روز)]]*Main[[#This Row],[مانده در خط تسویه نشده (کیلوگرم)]]</f>
        <v>0</v>
      </c>
      <c r="AD901" s="6">
        <f ca="1">SUBTOTAL(9,INDEX(Main[بدهی سررسید شده (کیلوگرم)],1):Main[[#This Row],[بدهی سررسید شده (کیلوگرم)]])</f>
        <v>0</v>
      </c>
      <c r="AE901" s="6">
        <f ca="1">IF(Main[[#This Row],[مانده در خط سررسید شده (کیلوگرم)]]&lt;&gt;0,Main[[#This Row],[تعداد کل روزهای بدهکار (روز)]],0)</f>
        <v>0</v>
      </c>
      <c r="AF901" s="6">
        <f ca="1">Main[[#This Row],[تعداد روزهای بدهکار سررسید شده (روز)]]*Main[[#This Row],[مانده در خط سررسید شده (کیلوگرم)]]</f>
        <v>0</v>
      </c>
    </row>
    <row r="902" spans="1:32" hidden="1" x14ac:dyDescent="0.35">
      <c r="A902" s="5">
        <f>ROW()-ROW(INDEX(Main[ردیف],1))+1</f>
        <v>900</v>
      </c>
      <c r="B902" s="31">
        <f>SUBTOTAL(2,INDEX(Main[ردیف],1):Main[[#This Row],[ردیف]])</f>
        <v>84</v>
      </c>
      <c r="C902" s="32" t="s">
        <v>601</v>
      </c>
      <c r="D902" s="32" t="str">
        <f>_xlfn.CONCAT("14",Main[[#This Row],[تاريخ]])</f>
        <v>1400/04/05</v>
      </c>
      <c r="E902" s="33">
        <v>44373</v>
      </c>
      <c r="F902" s="32">
        <v>10127</v>
      </c>
      <c r="G902" s="5" t="str">
        <f>INDEX(customer[عنوان],MATCH(Main[[#This Row],[کد ردیابی]],customer[کد],0))</f>
        <v xml:space="preserve">عماد هاشمی </v>
      </c>
      <c r="H902">
        <v>-2048</v>
      </c>
      <c r="I902" s="6">
        <f ca="1">-Main[[#This Row],[بدهی تسویه شده (کیلوگرم)]]+Main[[#This Row],[بستانکار (کیلوگرم)]]</f>
        <v>-2048</v>
      </c>
      <c r="J902" s="6">
        <f>IF(Main[[#This Row],[مقدار (کیلوگرم)]]&gt;0,Main[[#This Row],[مقدار (کیلوگرم)]],0)</f>
        <v>0</v>
      </c>
      <c r="K902" s="6">
        <f>-IF(Main[[#This Row],[مقدار (کیلوگرم)]]&lt;0,Main[[#This Row],[مقدار (کیلوگرم)]],0)</f>
        <v>2048</v>
      </c>
      <c r="L9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2" s="7">
        <f>-IF(AND(Main[[#This Row],[مقدار (کیلوگرم)]]&lt;0,Main[[#This Row],[تاريخ میلادی]]&gt;44276),Main[[#This Row],[مقدار (کیلوگرم)]],0)</f>
        <v>2048</v>
      </c>
      <c r="N902" s="6">
        <f ca="1">Main[[#This Row],[بدهکار (کیلوگرم)]]-Main[[#This Row],[بدهی تسویه نشده (کیلوگرم)]]</f>
        <v>2048</v>
      </c>
      <c r="O902" s="6">
        <f ca="1">Main[[#This Row],[تفکیک]]</f>
        <v>0</v>
      </c>
      <c r="P902" s="6">
        <f ca="1">IF(Main[[#This Row],[تاخیر از سررسید]]&gt;0,Main[[#This Row],[بدهی تسویه نشده (کیلوگرم)]],0)</f>
        <v>0</v>
      </c>
      <c r="Q902" s="6">
        <f ca="1">IF(Main[[#This Row],[بدهی تسویه نشده (کیلوگرم)]]&gt;0,'گزارش فردی'!$B$7-Main[[#This Row],[تاريخ میلادی]],0)</f>
        <v>0</v>
      </c>
      <c r="R902" s="6">
        <f ca="1">IF(Main[[#This Row],[بدهی تسویه نشده (کیلوگرم)]]&gt;0,'گزارش فردی'!$B$7-Main[[#This Row],[تاريخ میلادی]]-'گزارش فردی'!$B$8,0)</f>
        <v>0</v>
      </c>
      <c r="S902" s="6">
        <f ca="1">Main[[#This Row],[روز از ارسال سفارش]]*Main[[#This Row],[بدهی تسویه نشده (کیلوگرم)]]</f>
        <v>0</v>
      </c>
      <c r="T902" s="6">
        <f ca="1">Main[[#This Row],[بدهی سررسید شده (کیلوگرم)]]*Main[[#This Row],[روز از ارسال سفارش]]</f>
        <v>0</v>
      </c>
      <c r="U902" s="6">
        <f>-SUBTOTAL(9,INDEX(Main[مقدار (کیلوگرم)],1):Main[[#This Row],[مقدار (کیلوگرم)]])</f>
        <v>23269</v>
      </c>
      <c r="V9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2" s="6">
        <f>Main[[#This Row],[تعداد کل روزهای بدهکار (روز)]]*Main[[#This Row],[مانده در خط کل (کیلوگرم)]]</f>
        <v>0</v>
      </c>
      <c r="X902" s="6">
        <f ca="1">-SUBTOTAL(9,INDEX(Main[مقدار تسویه شده (کیلوگرم)],1):Main[[#This Row],[مقدار تسویه شده (کیلوگرم)]])</f>
        <v>23269</v>
      </c>
      <c r="Y902" s="6">
        <f ca="1">IF(Main[[#This Row],[مانده در خط تسویه شده (کیلوگرم)]]&lt;&gt;0,Main[[#This Row],[تعداد کل روزهای بدهکار (روز)]],0)</f>
        <v>0</v>
      </c>
      <c r="Z902" s="6">
        <f ca="1">Main[[#This Row],[تعداد روزهای بدهکار تسویه شده (روز)]]*Main[[#This Row],[مانده در خط تسویه شده (کیلوگرم)]]</f>
        <v>0</v>
      </c>
      <c r="AA902" s="6">
        <f ca="1">SUBTOTAL(9,INDEX(Main[بدهی تسویه نشده (کیلوگرم)],1):Main[[#This Row],[بدهی تسویه نشده (کیلوگرم)]])</f>
        <v>0</v>
      </c>
      <c r="AB902" s="6">
        <f ca="1">IF(Main[[#This Row],[مانده در خط تسویه نشده (کیلوگرم)]]&lt;&gt;0,Main[[#This Row],[تعداد کل روزهای بدهکار (روز)]],0)</f>
        <v>0</v>
      </c>
      <c r="AC902" s="6">
        <f ca="1">Main[[#This Row],[تعداد روزهای بدهکار  تسویه نشده (روز)]]*Main[[#This Row],[مانده در خط تسویه نشده (کیلوگرم)]]</f>
        <v>0</v>
      </c>
      <c r="AD902" s="6">
        <f ca="1">SUBTOTAL(9,INDEX(Main[بدهی سررسید شده (کیلوگرم)],1):Main[[#This Row],[بدهی سررسید شده (کیلوگرم)]])</f>
        <v>0</v>
      </c>
      <c r="AE902" s="6">
        <f ca="1">IF(Main[[#This Row],[مانده در خط سررسید شده (کیلوگرم)]]&lt;&gt;0,Main[[#This Row],[تعداد کل روزهای بدهکار (روز)]],0)</f>
        <v>0</v>
      </c>
      <c r="AF902" s="6">
        <f ca="1">Main[[#This Row],[تعداد روزهای بدهکار سررسید شده (روز)]]*Main[[#This Row],[مانده در خط سررسید شده (کیلوگرم)]]</f>
        <v>0</v>
      </c>
    </row>
    <row r="903" spans="1:32" hidden="1" x14ac:dyDescent="0.35">
      <c r="A903" s="5">
        <f>ROW()-ROW(INDEX(Main[ردیف],1))+1</f>
        <v>901</v>
      </c>
      <c r="B903" s="31">
        <f>SUBTOTAL(2,INDEX(Main[ردیف],1):Main[[#This Row],[ردیف]])</f>
        <v>84</v>
      </c>
      <c r="C903" s="32" t="s">
        <v>601</v>
      </c>
      <c r="D903" s="32" t="str">
        <f>_xlfn.CONCAT("14",Main[[#This Row],[تاريخ]])</f>
        <v>1400/04/05</v>
      </c>
      <c r="E903" s="33">
        <v>44373</v>
      </c>
      <c r="F903" s="32">
        <v>10055</v>
      </c>
      <c r="G903" s="5" t="str">
        <f>INDEX(customer[عنوان],MATCH(Main[[#This Row],[کد ردیابی]],customer[کد],0))</f>
        <v xml:space="preserve">مریم فیض آبادی  </v>
      </c>
      <c r="H903">
        <v>5050</v>
      </c>
      <c r="I903" s="6">
        <f ca="1">-Main[[#This Row],[بدهی تسویه شده (کیلوگرم)]]+Main[[#This Row],[بستانکار (کیلوگرم)]]</f>
        <v>5050</v>
      </c>
      <c r="J903" s="6">
        <f>IF(Main[[#This Row],[مقدار (کیلوگرم)]]&gt;0,Main[[#This Row],[مقدار (کیلوگرم)]],0)</f>
        <v>5050</v>
      </c>
      <c r="K903" s="6">
        <f>-IF(Main[[#This Row],[مقدار (کیلوگرم)]]&lt;0,Main[[#This Row],[مقدار (کیلوگرم)]],0)</f>
        <v>0</v>
      </c>
      <c r="L9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3" s="7">
        <f>-IF(AND(Main[[#This Row],[مقدار (کیلوگرم)]]&lt;0,Main[[#This Row],[تاريخ میلادی]]&gt;44276),Main[[#This Row],[مقدار (کیلوگرم)]],0)</f>
        <v>0</v>
      </c>
      <c r="N903" s="6">
        <f ca="1">Main[[#This Row],[بدهکار (کیلوگرم)]]-Main[[#This Row],[بدهی تسویه نشده (کیلوگرم)]]</f>
        <v>0</v>
      </c>
      <c r="O903" s="6">
        <f ca="1">Main[[#This Row],[تفکیک]]</f>
        <v>0</v>
      </c>
      <c r="P903" s="6">
        <f ca="1">IF(Main[[#This Row],[تاخیر از سررسید]]&gt;0,Main[[#This Row],[بدهی تسویه نشده (کیلوگرم)]],0)</f>
        <v>0</v>
      </c>
      <c r="Q903" s="6">
        <f ca="1">IF(Main[[#This Row],[بدهی تسویه نشده (کیلوگرم)]]&gt;0,'گزارش فردی'!$B$7-Main[[#This Row],[تاريخ میلادی]],0)</f>
        <v>0</v>
      </c>
      <c r="R903" s="6">
        <f ca="1">IF(Main[[#This Row],[بدهی تسویه نشده (کیلوگرم)]]&gt;0,'گزارش فردی'!$B$7-Main[[#This Row],[تاريخ میلادی]]-'گزارش فردی'!$B$8,0)</f>
        <v>0</v>
      </c>
      <c r="S903" s="6">
        <f ca="1">Main[[#This Row],[روز از ارسال سفارش]]*Main[[#This Row],[بدهی تسویه نشده (کیلوگرم)]]</f>
        <v>0</v>
      </c>
      <c r="T903" s="6">
        <f ca="1">Main[[#This Row],[بدهی سررسید شده (کیلوگرم)]]*Main[[#This Row],[روز از ارسال سفارش]]</f>
        <v>0</v>
      </c>
      <c r="U903" s="6">
        <f>-SUBTOTAL(9,INDEX(Main[مقدار (کیلوگرم)],1):Main[[#This Row],[مقدار (کیلوگرم)]])</f>
        <v>23269</v>
      </c>
      <c r="V9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3" s="6">
        <f>Main[[#This Row],[تعداد کل روزهای بدهکار (روز)]]*Main[[#This Row],[مانده در خط کل (کیلوگرم)]]</f>
        <v>0</v>
      </c>
      <c r="X903" s="6">
        <f ca="1">-SUBTOTAL(9,INDEX(Main[مقدار تسویه شده (کیلوگرم)],1):Main[[#This Row],[مقدار تسویه شده (کیلوگرم)]])</f>
        <v>23269</v>
      </c>
      <c r="Y903" s="6">
        <f ca="1">IF(Main[[#This Row],[مانده در خط تسویه شده (کیلوگرم)]]&lt;&gt;0,Main[[#This Row],[تعداد کل روزهای بدهکار (روز)]],0)</f>
        <v>0</v>
      </c>
      <c r="Z903" s="6">
        <f ca="1">Main[[#This Row],[تعداد روزهای بدهکار تسویه شده (روز)]]*Main[[#This Row],[مانده در خط تسویه شده (کیلوگرم)]]</f>
        <v>0</v>
      </c>
      <c r="AA903" s="6">
        <f ca="1">SUBTOTAL(9,INDEX(Main[بدهی تسویه نشده (کیلوگرم)],1):Main[[#This Row],[بدهی تسویه نشده (کیلوگرم)]])</f>
        <v>0</v>
      </c>
      <c r="AB903" s="6">
        <f ca="1">IF(Main[[#This Row],[مانده در خط تسویه نشده (کیلوگرم)]]&lt;&gt;0,Main[[#This Row],[تعداد کل روزهای بدهکار (روز)]],0)</f>
        <v>0</v>
      </c>
      <c r="AC903" s="6">
        <f ca="1">Main[[#This Row],[تعداد روزهای بدهکار  تسویه نشده (روز)]]*Main[[#This Row],[مانده در خط تسویه نشده (کیلوگرم)]]</f>
        <v>0</v>
      </c>
      <c r="AD903" s="6">
        <f ca="1">SUBTOTAL(9,INDEX(Main[بدهی سررسید شده (کیلوگرم)],1):Main[[#This Row],[بدهی سررسید شده (کیلوگرم)]])</f>
        <v>0</v>
      </c>
      <c r="AE903" s="6">
        <f ca="1">IF(Main[[#This Row],[مانده در خط سررسید شده (کیلوگرم)]]&lt;&gt;0,Main[[#This Row],[تعداد کل روزهای بدهکار (روز)]],0)</f>
        <v>0</v>
      </c>
      <c r="AF903" s="6">
        <f ca="1">Main[[#This Row],[تعداد روزهای بدهکار سررسید شده (روز)]]*Main[[#This Row],[مانده در خط سررسید شده (کیلوگرم)]]</f>
        <v>0</v>
      </c>
    </row>
    <row r="904" spans="1:32" hidden="1" x14ac:dyDescent="0.35">
      <c r="A904" s="5">
        <f>ROW()-ROW(INDEX(Main[ردیف],1))+1</f>
        <v>902</v>
      </c>
      <c r="B904" s="31">
        <f>SUBTOTAL(2,INDEX(Main[ردیف],1):Main[[#This Row],[ردیف]])</f>
        <v>84</v>
      </c>
      <c r="C904" s="32" t="s">
        <v>601</v>
      </c>
      <c r="D904" s="32" t="str">
        <f>_xlfn.CONCAT("14",Main[[#This Row],[تاريخ]])</f>
        <v>1400/04/05</v>
      </c>
      <c r="E904" s="33">
        <v>44373</v>
      </c>
      <c r="F904" s="32">
        <v>10020</v>
      </c>
      <c r="G904" s="5" t="str">
        <f>INDEX(customer[عنوان],MATCH(Main[[#This Row],[کد ردیابی]],customer[کد],0))</f>
        <v>فرزاد اسماعیل زاده</v>
      </c>
      <c r="H904">
        <v>-1478</v>
      </c>
      <c r="I904" s="6">
        <f ca="1">-Main[[#This Row],[بدهی تسویه شده (کیلوگرم)]]+Main[[#This Row],[بستانکار (کیلوگرم)]]</f>
        <v>-1478</v>
      </c>
      <c r="J904" s="6">
        <f>IF(Main[[#This Row],[مقدار (کیلوگرم)]]&gt;0,Main[[#This Row],[مقدار (کیلوگرم)]],0)</f>
        <v>0</v>
      </c>
      <c r="K904" s="6">
        <f>-IF(Main[[#This Row],[مقدار (کیلوگرم)]]&lt;0,Main[[#This Row],[مقدار (کیلوگرم)]],0)</f>
        <v>1478</v>
      </c>
      <c r="L9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4" s="7">
        <f>-IF(AND(Main[[#This Row],[مقدار (کیلوگرم)]]&lt;0,Main[[#This Row],[تاريخ میلادی]]&gt;44276),Main[[#This Row],[مقدار (کیلوگرم)]],0)</f>
        <v>1478</v>
      </c>
      <c r="N904" s="6">
        <f ca="1">Main[[#This Row],[بدهکار (کیلوگرم)]]-Main[[#This Row],[بدهی تسویه نشده (کیلوگرم)]]</f>
        <v>1478</v>
      </c>
      <c r="O904" s="6">
        <f ca="1">Main[[#This Row],[تفکیک]]</f>
        <v>0</v>
      </c>
      <c r="P904" s="6">
        <f ca="1">IF(Main[[#This Row],[تاخیر از سررسید]]&gt;0,Main[[#This Row],[بدهی تسویه نشده (کیلوگرم)]],0)</f>
        <v>0</v>
      </c>
      <c r="Q904" s="6">
        <f ca="1">IF(Main[[#This Row],[بدهی تسویه نشده (کیلوگرم)]]&gt;0,'گزارش فردی'!$B$7-Main[[#This Row],[تاريخ میلادی]],0)</f>
        <v>0</v>
      </c>
      <c r="R904" s="6">
        <f ca="1">IF(Main[[#This Row],[بدهی تسویه نشده (کیلوگرم)]]&gt;0,'گزارش فردی'!$B$7-Main[[#This Row],[تاريخ میلادی]]-'گزارش فردی'!$B$8,0)</f>
        <v>0</v>
      </c>
      <c r="S904" s="6">
        <f ca="1">Main[[#This Row],[روز از ارسال سفارش]]*Main[[#This Row],[بدهی تسویه نشده (کیلوگرم)]]</f>
        <v>0</v>
      </c>
      <c r="T904" s="6">
        <f ca="1">Main[[#This Row],[بدهی سررسید شده (کیلوگرم)]]*Main[[#This Row],[روز از ارسال سفارش]]</f>
        <v>0</v>
      </c>
      <c r="U904" s="6">
        <f>-SUBTOTAL(9,INDEX(Main[مقدار (کیلوگرم)],1):Main[[#This Row],[مقدار (کیلوگرم)]])</f>
        <v>23269</v>
      </c>
      <c r="V9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4" s="6">
        <f>Main[[#This Row],[تعداد کل روزهای بدهکار (روز)]]*Main[[#This Row],[مانده در خط کل (کیلوگرم)]]</f>
        <v>0</v>
      </c>
      <c r="X904" s="6">
        <f ca="1">-SUBTOTAL(9,INDEX(Main[مقدار تسویه شده (کیلوگرم)],1):Main[[#This Row],[مقدار تسویه شده (کیلوگرم)]])</f>
        <v>23269</v>
      </c>
      <c r="Y904" s="6">
        <f ca="1">IF(Main[[#This Row],[مانده در خط تسویه شده (کیلوگرم)]]&lt;&gt;0,Main[[#This Row],[تعداد کل روزهای بدهکار (روز)]],0)</f>
        <v>0</v>
      </c>
      <c r="Z904" s="6">
        <f ca="1">Main[[#This Row],[تعداد روزهای بدهکار تسویه شده (روز)]]*Main[[#This Row],[مانده در خط تسویه شده (کیلوگرم)]]</f>
        <v>0</v>
      </c>
      <c r="AA904" s="6">
        <f ca="1">SUBTOTAL(9,INDEX(Main[بدهی تسویه نشده (کیلوگرم)],1):Main[[#This Row],[بدهی تسویه نشده (کیلوگرم)]])</f>
        <v>0</v>
      </c>
      <c r="AB904" s="6">
        <f ca="1">IF(Main[[#This Row],[مانده در خط تسویه نشده (کیلوگرم)]]&lt;&gt;0,Main[[#This Row],[تعداد کل روزهای بدهکار (روز)]],0)</f>
        <v>0</v>
      </c>
      <c r="AC904" s="6">
        <f ca="1">Main[[#This Row],[تعداد روزهای بدهکار  تسویه نشده (روز)]]*Main[[#This Row],[مانده در خط تسویه نشده (کیلوگرم)]]</f>
        <v>0</v>
      </c>
      <c r="AD904" s="6">
        <f ca="1">SUBTOTAL(9,INDEX(Main[بدهی سررسید شده (کیلوگرم)],1):Main[[#This Row],[بدهی سررسید شده (کیلوگرم)]])</f>
        <v>0</v>
      </c>
      <c r="AE904" s="6">
        <f ca="1">IF(Main[[#This Row],[مانده در خط سررسید شده (کیلوگرم)]]&lt;&gt;0,Main[[#This Row],[تعداد کل روزهای بدهکار (روز)]],0)</f>
        <v>0</v>
      </c>
      <c r="AF904" s="6">
        <f ca="1">Main[[#This Row],[تعداد روزهای بدهکار سررسید شده (روز)]]*Main[[#This Row],[مانده در خط سررسید شده (کیلوگرم)]]</f>
        <v>0</v>
      </c>
    </row>
    <row r="905" spans="1:32" hidden="1" x14ac:dyDescent="0.35">
      <c r="A905" s="5">
        <f>ROW()-ROW(INDEX(Main[ردیف],1))+1</f>
        <v>903</v>
      </c>
      <c r="B905" s="31">
        <f>SUBTOTAL(2,INDEX(Main[ردیف],1):Main[[#This Row],[ردیف]])</f>
        <v>84</v>
      </c>
      <c r="C905" s="32" t="s">
        <v>601</v>
      </c>
      <c r="D905" s="32" t="str">
        <f>_xlfn.CONCAT("14",Main[[#This Row],[تاريخ]])</f>
        <v>1400/04/05</v>
      </c>
      <c r="E905" s="33">
        <v>44373</v>
      </c>
      <c r="F905" s="32">
        <v>10027</v>
      </c>
      <c r="G905" s="5" t="str">
        <f>INDEX(customer[عنوان],MATCH(Main[[#This Row],[کد ردیابی]],customer[کد],0))</f>
        <v xml:space="preserve">مصطفی نورعلی </v>
      </c>
      <c r="H905">
        <v>2875</v>
      </c>
      <c r="I905" s="6">
        <f ca="1">-Main[[#This Row],[بدهی تسویه شده (کیلوگرم)]]+Main[[#This Row],[بستانکار (کیلوگرم)]]</f>
        <v>2875</v>
      </c>
      <c r="J905" s="6">
        <f>IF(Main[[#This Row],[مقدار (کیلوگرم)]]&gt;0,Main[[#This Row],[مقدار (کیلوگرم)]],0)</f>
        <v>2875</v>
      </c>
      <c r="K905" s="6">
        <f>-IF(Main[[#This Row],[مقدار (کیلوگرم)]]&lt;0,Main[[#This Row],[مقدار (کیلوگرم)]],0)</f>
        <v>0</v>
      </c>
      <c r="L9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5" s="7">
        <f>-IF(AND(Main[[#This Row],[مقدار (کیلوگرم)]]&lt;0,Main[[#This Row],[تاريخ میلادی]]&gt;44276),Main[[#This Row],[مقدار (کیلوگرم)]],0)</f>
        <v>0</v>
      </c>
      <c r="N905" s="6">
        <f ca="1">Main[[#This Row],[بدهکار (کیلوگرم)]]-Main[[#This Row],[بدهی تسویه نشده (کیلوگرم)]]</f>
        <v>0</v>
      </c>
      <c r="O905" s="6">
        <f ca="1">Main[[#This Row],[تفکیک]]</f>
        <v>0</v>
      </c>
      <c r="P905" s="6">
        <f ca="1">IF(Main[[#This Row],[تاخیر از سررسید]]&gt;0,Main[[#This Row],[بدهی تسویه نشده (کیلوگرم)]],0)</f>
        <v>0</v>
      </c>
      <c r="Q905" s="6">
        <f ca="1">IF(Main[[#This Row],[بدهی تسویه نشده (کیلوگرم)]]&gt;0,'گزارش فردی'!$B$7-Main[[#This Row],[تاريخ میلادی]],0)</f>
        <v>0</v>
      </c>
      <c r="R905" s="6">
        <f ca="1">IF(Main[[#This Row],[بدهی تسویه نشده (کیلوگرم)]]&gt;0,'گزارش فردی'!$B$7-Main[[#This Row],[تاريخ میلادی]]-'گزارش فردی'!$B$8,0)</f>
        <v>0</v>
      </c>
      <c r="S905" s="6">
        <f ca="1">Main[[#This Row],[روز از ارسال سفارش]]*Main[[#This Row],[بدهی تسویه نشده (کیلوگرم)]]</f>
        <v>0</v>
      </c>
      <c r="T905" s="6">
        <f ca="1">Main[[#This Row],[بدهی سررسید شده (کیلوگرم)]]*Main[[#This Row],[روز از ارسال سفارش]]</f>
        <v>0</v>
      </c>
      <c r="U905" s="6">
        <f>-SUBTOTAL(9,INDEX(Main[مقدار (کیلوگرم)],1):Main[[#This Row],[مقدار (کیلوگرم)]])</f>
        <v>23269</v>
      </c>
      <c r="V9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5" s="6">
        <f>Main[[#This Row],[تعداد کل روزهای بدهکار (روز)]]*Main[[#This Row],[مانده در خط کل (کیلوگرم)]]</f>
        <v>0</v>
      </c>
      <c r="X905" s="6">
        <f ca="1">-SUBTOTAL(9,INDEX(Main[مقدار تسویه شده (کیلوگرم)],1):Main[[#This Row],[مقدار تسویه شده (کیلوگرم)]])</f>
        <v>23269</v>
      </c>
      <c r="Y905" s="6">
        <f ca="1">IF(Main[[#This Row],[مانده در خط تسویه شده (کیلوگرم)]]&lt;&gt;0,Main[[#This Row],[تعداد کل روزهای بدهکار (روز)]],0)</f>
        <v>0</v>
      </c>
      <c r="Z905" s="6">
        <f ca="1">Main[[#This Row],[تعداد روزهای بدهکار تسویه شده (روز)]]*Main[[#This Row],[مانده در خط تسویه شده (کیلوگرم)]]</f>
        <v>0</v>
      </c>
      <c r="AA905" s="6">
        <f ca="1">SUBTOTAL(9,INDEX(Main[بدهی تسویه نشده (کیلوگرم)],1):Main[[#This Row],[بدهی تسویه نشده (کیلوگرم)]])</f>
        <v>0</v>
      </c>
      <c r="AB905" s="6">
        <f ca="1">IF(Main[[#This Row],[مانده در خط تسویه نشده (کیلوگرم)]]&lt;&gt;0,Main[[#This Row],[تعداد کل روزهای بدهکار (روز)]],0)</f>
        <v>0</v>
      </c>
      <c r="AC905" s="6">
        <f ca="1">Main[[#This Row],[تعداد روزهای بدهکار  تسویه نشده (روز)]]*Main[[#This Row],[مانده در خط تسویه نشده (کیلوگرم)]]</f>
        <v>0</v>
      </c>
      <c r="AD905" s="6">
        <f ca="1">SUBTOTAL(9,INDEX(Main[بدهی سررسید شده (کیلوگرم)],1):Main[[#This Row],[بدهی سررسید شده (کیلوگرم)]])</f>
        <v>0</v>
      </c>
      <c r="AE905" s="6">
        <f ca="1">IF(Main[[#This Row],[مانده در خط سررسید شده (کیلوگرم)]]&lt;&gt;0,Main[[#This Row],[تعداد کل روزهای بدهکار (روز)]],0)</f>
        <v>0</v>
      </c>
      <c r="AF905" s="6">
        <f ca="1">Main[[#This Row],[تعداد روزهای بدهکار سررسید شده (روز)]]*Main[[#This Row],[مانده در خط سررسید شده (کیلوگرم)]]</f>
        <v>0</v>
      </c>
    </row>
    <row r="906" spans="1:32" x14ac:dyDescent="0.35">
      <c r="A906" s="5">
        <f>ROW()-ROW(INDEX(Main[ردیف],1))+1</f>
        <v>904</v>
      </c>
      <c r="B906" s="31">
        <f>SUBTOTAL(2,INDEX(Main[ردیف],1):Main[[#This Row],[ردیف]])</f>
        <v>85</v>
      </c>
      <c r="C906" s="32" t="s">
        <v>601</v>
      </c>
      <c r="D906" s="32" t="str">
        <f>_xlfn.CONCAT("14",Main[[#This Row],[تاريخ]])</f>
        <v>1400/04/05</v>
      </c>
      <c r="E906" s="33">
        <v>44373</v>
      </c>
      <c r="F906" s="32">
        <v>10003</v>
      </c>
      <c r="G906" s="5" t="str">
        <f>INDEX(customer[عنوان],MATCH(Main[[#This Row],[کد ردیابی]],customer[کد],0))</f>
        <v>اصغر نورعلی</v>
      </c>
      <c r="H906">
        <v>-2058</v>
      </c>
      <c r="I906" s="6">
        <f ca="1">-Main[[#This Row],[بدهی تسویه شده (کیلوگرم)]]+Main[[#This Row],[بستانکار (کیلوگرم)]]</f>
        <v>-2058</v>
      </c>
      <c r="J906" s="6">
        <f>IF(Main[[#This Row],[مقدار (کیلوگرم)]]&gt;0,Main[[#This Row],[مقدار (کیلوگرم)]],0)</f>
        <v>0</v>
      </c>
      <c r="K906" s="6">
        <f>-IF(Main[[#This Row],[مقدار (کیلوگرم)]]&lt;0,Main[[#This Row],[مقدار (کیلوگرم)]],0)</f>
        <v>2058</v>
      </c>
      <c r="L9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6" s="7">
        <f>-IF(AND(Main[[#This Row],[مقدار (کیلوگرم)]]&lt;0,Main[[#This Row],[تاريخ میلادی]]&gt;44276),Main[[#This Row],[مقدار (کیلوگرم)]],0)</f>
        <v>2058</v>
      </c>
      <c r="N906" s="6">
        <f ca="1">Main[[#This Row],[بدهکار (کیلوگرم)]]-Main[[#This Row],[بدهی تسویه نشده (کیلوگرم)]]</f>
        <v>2058</v>
      </c>
      <c r="O906" s="6">
        <f ca="1">Main[[#This Row],[تفکیک]]</f>
        <v>0</v>
      </c>
      <c r="P906" s="6">
        <f ca="1">IF(Main[[#This Row],[تاخیر از سررسید]]&gt;0,Main[[#This Row],[بدهی تسویه نشده (کیلوگرم)]],0)</f>
        <v>0</v>
      </c>
      <c r="Q906" s="6">
        <f ca="1">IF(Main[[#This Row],[بدهی تسویه نشده (کیلوگرم)]]&gt;0,'گزارش فردی'!$B$7-Main[[#This Row],[تاريخ میلادی]],0)</f>
        <v>0</v>
      </c>
      <c r="R906" s="6">
        <f ca="1">IF(Main[[#This Row],[بدهی تسویه نشده (کیلوگرم)]]&gt;0,'گزارش فردی'!$B$7-Main[[#This Row],[تاريخ میلادی]]-'گزارش فردی'!$B$8,0)</f>
        <v>0</v>
      </c>
      <c r="S906" s="6">
        <f ca="1">Main[[#This Row],[روز از ارسال سفارش]]*Main[[#This Row],[بدهی تسویه نشده (کیلوگرم)]]</f>
        <v>0</v>
      </c>
      <c r="T906" s="6">
        <f ca="1">Main[[#This Row],[بدهی سررسید شده (کیلوگرم)]]*Main[[#This Row],[روز از ارسال سفارش]]</f>
        <v>0</v>
      </c>
      <c r="U906" s="6">
        <f>-SUBTOTAL(9,INDEX(Main[مقدار (کیلوگرم)],1):Main[[#This Row],[مقدار (کیلوگرم)]])</f>
        <v>25327</v>
      </c>
      <c r="V9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06" s="6">
        <f>Main[[#This Row],[تعداد کل روزهای بدهکار (روز)]]*Main[[#This Row],[مانده در خط کل (کیلوگرم)]]</f>
        <v>25327</v>
      </c>
      <c r="X906" s="6">
        <f ca="1">-SUBTOTAL(9,INDEX(Main[مقدار تسویه شده (کیلوگرم)],1):Main[[#This Row],[مقدار تسویه شده (کیلوگرم)]])</f>
        <v>25327</v>
      </c>
      <c r="Y906" s="6">
        <f ca="1">IF(Main[[#This Row],[مانده در خط تسویه شده (کیلوگرم)]]&lt;&gt;0,Main[[#This Row],[تعداد کل روزهای بدهکار (روز)]],0)</f>
        <v>1</v>
      </c>
      <c r="Z906" s="6">
        <f ca="1">Main[[#This Row],[تعداد روزهای بدهکار تسویه شده (روز)]]*Main[[#This Row],[مانده در خط تسویه شده (کیلوگرم)]]</f>
        <v>25327</v>
      </c>
      <c r="AA906" s="6">
        <f ca="1">SUBTOTAL(9,INDEX(Main[بدهی تسویه نشده (کیلوگرم)],1):Main[[#This Row],[بدهی تسویه نشده (کیلوگرم)]])</f>
        <v>0</v>
      </c>
      <c r="AB906" s="6">
        <f ca="1">IF(Main[[#This Row],[مانده در خط تسویه نشده (کیلوگرم)]]&lt;&gt;0,Main[[#This Row],[تعداد کل روزهای بدهکار (روز)]],0)</f>
        <v>0</v>
      </c>
      <c r="AC906" s="6">
        <f ca="1">Main[[#This Row],[تعداد روزهای بدهکار  تسویه نشده (روز)]]*Main[[#This Row],[مانده در خط تسویه نشده (کیلوگرم)]]</f>
        <v>0</v>
      </c>
      <c r="AD906" s="6">
        <f ca="1">SUBTOTAL(9,INDEX(Main[بدهی سررسید شده (کیلوگرم)],1):Main[[#This Row],[بدهی سررسید شده (کیلوگرم)]])</f>
        <v>0</v>
      </c>
      <c r="AE906" s="6">
        <f ca="1">IF(Main[[#This Row],[مانده در خط سررسید شده (کیلوگرم)]]&lt;&gt;0,Main[[#This Row],[تعداد کل روزهای بدهکار (روز)]],0)</f>
        <v>0</v>
      </c>
      <c r="AF906" s="6">
        <f ca="1">Main[[#This Row],[تعداد روزهای بدهکار سررسید شده (روز)]]*Main[[#This Row],[مانده در خط سررسید شده (کیلوگرم)]]</f>
        <v>0</v>
      </c>
    </row>
    <row r="907" spans="1:32" hidden="1" x14ac:dyDescent="0.35">
      <c r="A907" s="5">
        <f>ROW()-ROW(INDEX(Main[ردیف],1))+1</f>
        <v>905</v>
      </c>
      <c r="B907" s="31">
        <f>SUBTOTAL(2,INDEX(Main[ردیف],1):Main[[#This Row],[ردیف]])</f>
        <v>85</v>
      </c>
      <c r="C907" s="32" t="s">
        <v>601</v>
      </c>
      <c r="D907" s="32" t="str">
        <f>_xlfn.CONCAT("14",Main[[#This Row],[تاريخ]])</f>
        <v>1400/04/05</v>
      </c>
      <c r="E907" s="33">
        <v>44373</v>
      </c>
      <c r="F907" s="32">
        <v>30081</v>
      </c>
      <c r="G907" s="5" t="str">
        <f>INDEX(customer[عنوان],MATCH(Main[[#This Row],[کد ردیابی]],customer[کد],0))</f>
        <v xml:space="preserve">شیرآلات بهداشتی راسان </v>
      </c>
      <c r="H907">
        <v>4680</v>
      </c>
      <c r="I907" s="6">
        <f ca="1">-Main[[#This Row],[بدهی تسویه شده (کیلوگرم)]]+Main[[#This Row],[بستانکار (کیلوگرم)]]</f>
        <v>4680</v>
      </c>
      <c r="J907" s="6">
        <f>IF(Main[[#This Row],[مقدار (کیلوگرم)]]&gt;0,Main[[#This Row],[مقدار (کیلوگرم)]],0)</f>
        <v>4680</v>
      </c>
      <c r="K907" s="6">
        <f>-IF(Main[[#This Row],[مقدار (کیلوگرم)]]&lt;0,Main[[#This Row],[مقدار (کیلوگرم)]],0)</f>
        <v>0</v>
      </c>
      <c r="L9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7" s="7">
        <f>-IF(AND(Main[[#This Row],[مقدار (کیلوگرم)]]&lt;0,Main[[#This Row],[تاريخ میلادی]]&gt;44276),Main[[#This Row],[مقدار (کیلوگرم)]],0)</f>
        <v>0</v>
      </c>
      <c r="N907" s="6">
        <f ca="1">Main[[#This Row],[بدهکار (کیلوگرم)]]-Main[[#This Row],[بدهی تسویه نشده (کیلوگرم)]]</f>
        <v>0</v>
      </c>
      <c r="O907" s="6">
        <f ca="1">Main[[#This Row],[تفکیک]]</f>
        <v>0</v>
      </c>
      <c r="P907" s="6">
        <f ca="1">IF(Main[[#This Row],[تاخیر از سررسید]]&gt;0,Main[[#This Row],[بدهی تسویه نشده (کیلوگرم)]],0)</f>
        <v>0</v>
      </c>
      <c r="Q907" s="6">
        <f ca="1">IF(Main[[#This Row],[بدهی تسویه نشده (کیلوگرم)]]&gt;0,'گزارش فردی'!$B$7-Main[[#This Row],[تاريخ میلادی]],0)</f>
        <v>0</v>
      </c>
      <c r="R907" s="6">
        <f ca="1">IF(Main[[#This Row],[بدهی تسویه نشده (کیلوگرم)]]&gt;0,'گزارش فردی'!$B$7-Main[[#This Row],[تاريخ میلادی]]-'گزارش فردی'!$B$8,0)</f>
        <v>0</v>
      </c>
      <c r="S907" s="6">
        <f ca="1">Main[[#This Row],[روز از ارسال سفارش]]*Main[[#This Row],[بدهی تسویه نشده (کیلوگرم)]]</f>
        <v>0</v>
      </c>
      <c r="T907" s="6">
        <f ca="1">Main[[#This Row],[بدهی سررسید شده (کیلوگرم)]]*Main[[#This Row],[روز از ارسال سفارش]]</f>
        <v>0</v>
      </c>
      <c r="U907" s="6">
        <f>-SUBTOTAL(9,INDEX(Main[مقدار (کیلوگرم)],1):Main[[#This Row],[مقدار (کیلوگرم)]])</f>
        <v>25327</v>
      </c>
      <c r="V9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07" s="6">
        <f>Main[[#This Row],[تعداد کل روزهای بدهکار (روز)]]*Main[[#This Row],[مانده در خط کل (کیلوگرم)]]</f>
        <v>25327</v>
      </c>
      <c r="X907" s="6">
        <f ca="1">-SUBTOTAL(9,INDEX(Main[مقدار تسویه شده (کیلوگرم)],1):Main[[#This Row],[مقدار تسویه شده (کیلوگرم)]])</f>
        <v>25327</v>
      </c>
      <c r="Y907" s="6">
        <f ca="1">IF(Main[[#This Row],[مانده در خط تسویه شده (کیلوگرم)]]&lt;&gt;0,Main[[#This Row],[تعداد کل روزهای بدهکار (روز)]],0)</f>
        <v>1</v>
      </c>
      <c r="Z907" s="6">
        <f ca="1">Main[[#This Row],[تعداد روزهای بدهکار تسویه شده (روز)]]*Main[[#This Row],[مانده در خط تسویه شده (کیلوگرم)]]</f>
        <v>25327</v>
      </c>
      <c r="AA907" s="6">
        <f ca="1">SUBTOTAL(9,INDEX(Main[بدهی تسویه نشده (کیلوگرم)],1):Main[[#This Row],[بدهی تسویه نشده (کیلوگرم)]])</f>
        <v>0</v>
      </c>
      <c r="AB907" s="6">
        <f ca="1">IF(Main[[#This Row],[مانده در خط تسویه نشده (کیلوگرم)]]&lt;&gt;0,Main[[#This Row],[تعداد کل روزهای بدهکار (روز)]],0)</f>
        <v>0</v>
      </c>
      <c r="AC907" s="6">
        <f ca="1">Main[[#This Row],[تعداد روزهای بدهکار  تسویه نشده (روز)]]*Main[[#This Row],[مانده در خط تسویه نشده (کیلوگرم)]]</f>
        <v>0</v>
      </c>
      <c r="AD907" s="6">
        <f ca="1">SUBTOTAL(9,INDEX(Main[بدهی سررسید شده (کیلوگرم)],1):Main[[#This Row],[بدهی سررسید شده (کیلوگرم)]])</f>
        <v>0</v>
      </c>
      <c r="AE907" s="6">
        <f ca="1">IF(Main[[#This Row],[مانده در خط سررسید شده (کیلوگرم)]]&lt;&gt;0,Main[[#This Row],[تعداد کل روزهای بدهکار (روز)]],0)</f>
        <v>0</v>
      </c>
      <c r="AF907" s="6">
        <f ca="1">Main[[#This Row],[تعداد روزهای بدهکار سررسید شده (روز)]]*Main[[#This Row],[مانده در خط سررسید شده (کیلوگرم)]]</f>
        <v>0</v>
      </c>
    </row>
    <row r="908" spans="1:32" hidden="1" x14ac:dyDescent="0.35">
      <c r="A908" s="5">
        <f>ROW()-ROW(INDEX(Main[ردیف],1))+1</f>
        <v>906</v>
      </c>
      <c r="B908" s="31">
        <f>SUBTOTAL(2,INDEX(Main[ردیف],1):Main[[#This Row],[ردیف]])</f>
        <v>85</v>
      </c>
      <c r="C908" s="32" t="s">
        <v>602</v>
      </c>
      <c r="D908" s="32" t="str">
        <f>_xlfn.CONCAT("14",Main[[#This Row],[تاريخ]])</f>
        <v>1400/04/06</v>
      </c>
      <c r="E908" s="33">
        <v>44374</v>
      </c>
      <c r="F908" s="32">
        <v>30081</v>
      </c>
      <c r="G908" s="5" t="str">
        <f>INDEX(customer[عنوان],MATCH(Main[[#This Row],[کد ردیابی]],customer[کد],0))</f>
        <v xml:space="preserve">شیرآلات بهداشتی راسان </v>
      </c>
      <c r="H908">
        <v>-3801</v>
      </c>
      <c r="I908" s="6">
        <f ca="1">-Main[[#This Row],[بدهی تسویه شده (کیلوگرم)]]+Main[[#This Row],[بستانکار (کیلوگرم)]]</f>
        <v>-3801</v>
      </c>
      <c r="J908" s="6">
        <f>IF(Main[[#This Row],[مقدار (کیلوگرم)]]&gt;0,Main[[#This Row],[مقدار (کیلوگرم)]],0)</f>
        <v>0</v>
      </c>
      <c r="K908" s="6">
        <f>-IF(Main[[#This Row],[مقدار (کیلوگرم)]]&lt;0,Main[[#This Row],[مقدار (کیلوگرم)]],0)</f>
        <v>3801</v>
      </c>
      <c r="L9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8" s="7">
        <f>-IF(AND(Main[[#This Row],[مقدار (کیلوگرم)]]&lt;0,Main[[#This Row],[تاريخ میلادی]]&gt;44276),Main[[#This Row],[مقدار (کیلوگرم)]],0)</f>
        <v>3801</v>
      </c>
      <c r="N908" s="6">
        <f ca="1">Main[[#This Row],[بدهکار (کیلوگرم)]]-Main[[#This Row],[بدهی تسویه نشده (کیلوگرم)]]</f>
        <v>3801</v>
      </c>
      <c r="O908" s="6">
        <f ca="1">Main[[#This Row],[تفکیک]]</f>
        <v>0</v>
      </c>
      <c r="P908" s="6">
        <f ca="1">IF(Main[[#This Row],[تاخیر از سررسید]]&gt;0,Main[[#This Row],[بدهی تسویه نشده (کیلوگرم)]],0)</f>
        <v>0</v>
      </c>
      <c r="Q908" s="6">
        <f ca="1">IF(Main[[#This Row],[بدهی تسویه نشده (کیلوگرم)]]&gt;0,'گزارش فردی'!$B$7-Main[[#This Row],[تاريخ میلادی]],0)</f>
        <v>0</v>
      </c>
      <c r="R908" s="6">
        <f ca="1">IF(Main[[#This Row],[بدهی تسویه نشده (کیلوگرم)]]&gt;0,'گزارش فردی'!$B$7-Main[[#This Row],[تاريخ میلادی]]-'گزارش فردی'!$B$8,0)</f>
        <v>0</v>
      </c>
      <c r="S908" s="6">
        <f ca="1">Main[[#This Row],[روز از ارسال سفارش]]*Main[[#This Row],[بدهی تسویه نشده (کیلوگرم)]]</f>
        <v>0</v>
      </c>
      <c r="T908" s="6">
        <f ca="1">Main[[#This Row],[بدهی سررسید شده (کیلوگرم)]]*Main[[#This Row],[روز از ارسال سفارش]]</f>
        <v>0</v>
      </c>
      <c r="U908" s="6">
        <f>-SUBTOTAL(9,INDEX(Main[مقدار (کیلوگرم)],1):Main[[#This Row],[مقدار (کیلوگرم)]])</f>
        <v>25327</v>
      </c>
      <c r="V9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8" s="6">
        <f>Main[[#This Row],[تعداد کل روزهای بدهکار (روز)]]*Main[[#This Row],[مانده در خط کل (کیلوگرم)]]</f>
        <v>0</v>
      </c>
      <c r="X908" s="6">
        <f ca="1">-SUBTOTAL(9,INDEX(Main[مقدار تسویه شده (کیلوگرم)],1):Main[[#This Row],[مقدار تسویه شده (کیلوگرم)]])</f>
        <v>25327</v>
      </c>
      <c r="Y908" s="6">
        <f ca="1">IF(Main[[#This Row],[مانده در خط تسویه شده (کیلوگرم)]]&lt;&gt;0,Main[[#This Row],[تعداد کل روزهای بدهکار (روز)]],0)</f>
        <v>0</v>
      </c>
      <c r="Z908" s="6">
        <f ca="1">Main[[#This Row],[تعداد روزهای بدهکار تسویه شده (روز)]]*Main[[#This Row],[مانده در خط تسویه شده (کیلوگرم)]]</f>
        <v>0</v>
      </c>
      <c r="AA908" s="6">
        <f ca="1">SUBTOTAL(9,INDEX(Main[بدهی تسویه نشده (کیلوگرم)],1):Main[[#This Row],[بدهی تسویه نشده (کیلوگرم)]])</f>
        <v>0</v>
      </c>
      <c r="AB908" s="6">
        <f ca="1">IF(Main[[#This Row],[مانده در خط تسویه نشده (کیلوگرم)]]&lt;&gt;0,Main[[#This Row],[تعداد کل روزهای بدهکار (روز)]],0)</f>
        <v>0</v>
      </c>
      <c r="AC908" s="6">
        <f ca="1">Main[[#This Row],[تعداد روزهای بدهکار  تسویه نشده (روز)]]*Main[[#This Row],[مانده در خط تسویه نشده (کیلوگرم)]]</f>
        <v>0</v>
      </c>
      <c r="AD908" s="6">
        <f ca="1">SUBTOTAL(9,INDEX(Main[بدهی سررسید شده (کیلوگرم)],1):Main[[#This Row],[بدهی سررسید شده (کیلوگرم)]])</f>
        <v>0</v>
      </c>
      <c r="AE908" s="6">
        <f ca="1">IF(Main[[#This Row],[مانده در خط سررسید شده (کیلوگرم)]]&lt;&gt;0,Main[[#This Row],[تعداد کل روزهای بدهکار (روز)]],0)</f>
        <v>0</v>
      </c>
      <c r="AF908" s="6">
        <f ca="1">Main[[#This Row],[تعداد روزهای بدهکار سررسید شده (روز)]]*Main[[#This Row],[مانده در خط سررسید شده (کیلوگرم)]]</f>
        <v>0</v>
      </c>
    </row>
    <row r="909" spans="1:32" hidden="1" x14ac:dyDescent="0.35">
      <c r="A909" s="5">
        <f>ROW()-ROW(INDEX(Main[ردیف],1))+1</f>
        <v>907</v>
      </c>
      <c r="B909" s="31">
        <f>SUBTOTAL(2,INDEX(Main[ردیف],1):Main[[#This Row],[ردیف]])</f>
        <v>85</v>
      </c>
      <c r="C909" s="32" t="s">
        <v>602</v>
      </c>
      <c r="D909" s="32" t="str">
        <f>_xlfn.CONCAT("14",Main[[#This Row],[تاريخ]])</f>
        <v>1400/04/06</v>
      </c>
      <c r="E909" s="33">
        <v>44374</v>
      </c>
      <c r="F909" s="32">
        <v>10026</v>
      </c>
      <c r="G909" s="5" t="str">
        <f>INDEX(customer[عنوان],MATCH(Main[[#This Row],[کد ردیابی]],customer[کد],0))</f>
        <v xml:space="preserve">محسن فیاض بخش </v>
      </c>
      <c r="H909">
        <v>3108</v>
      </c>
      <c r="I909" s="6">
        <f ca="1">-Main[[#This Row],[بدهی تسویه شده (کیلوگرم)]]+Main[[#This Row],[بستانکار (کیلوگرم)]]</f>
        <v>3108</v>
      </c>
      <c r="J909" s="6">
        <f>IF(Main[[#This Row],[مقدار (کیلوگرم)]]&gt;0,Main[[#This Row],[مقدار (کیلوگرم)]],0)</f>
        <v>3108</v>
      </c>
      <c r="K909" s="6">
        <f>-IF(Main[[#This Row],[مقدار (کیلوگرم)]]&lt;0,Main[[#This Row],[مقدار (کیلوگرم)]],0)</f>
        <v>0</v>
      </c>
      <c r="L9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9" s="7">
        <f>-IF(AND(Main[[#This Row],[مقدار (کیلوگرم)]]&lt;0,Main[[#This Row],[تاريخ میلادی]]&gt;44276),Main[[#This Row],[مقدار (کیلوگرم)]],0)</f>
        <v>0</v>
      </c>
      <c r="N909" s="6">
        <f ca="1">Main[[#This Row],[بدهکار (کیلوگرم)]]-Main[[#This Row],[بدهی تسویه نشده (کیلوگرم)]]</f>
        <v>0</v>
      </c>
      <c r="O909" s="6">
        <f ca="1">Main[[#This Row],[تفکیک]]</f>
        <v>0</v>
      </c>
      <c r="P909" s="6">
        <f ca="1">IF(Main[[#This Row],[تاخیر از سررسید]]&gt;0,Main[[#This Row],[بدهی تسویه نشده (کیلوگرم)]],0)</f>
        <v>0</v>
      </c>
      <c r="Q909" s="6">
        <f ca="1">IF(Main[[#This Row],[بدهی تسویه نشده (کیلوگرم)]]&gt;0,'گزارش فردی'!$B$7-Main[[#This Row],[تاريخ میلادی]],0)</f>
        <v>0</v>
      </c>
      <c r="R909" s="6">
        <f ca="1">IF(Main[[#This Row],[بدهی تسویه نشده (کیلوگرم)]]&gt;0,'گزارش فردی'!$B$7-Main[[#This Row],[تاريخ میلادی]]-'گزارش فردی'!$B$8,0)</f>
        <v>0</v>
      </c>
      <c r="S909" s="6">
        <f ca="1">Main[[#This Row],[روز از ارسال سفارش]]*Main[[#This Row],[بدهی تسویه نشده (کیلوگرم)]]</f>
        <v>0</v>
      </c>
      <c r="T909" s="6">
        <f ca="1">Main[[#This Row],[بدهی سررسید شده (کیلوگرم)]]*Main[[#This Row],[روز از ارسال سفارش]]</f>
        <v>0</v>
      </c>
      <c r="U909" s="6">
        <f>-SUBTOTAL(9,INDEX(Main[مقدار (کیلوگرم)],1):Main[[#This Row],[مقدار (کیلوگرم)]])</f>
        <v>25327</v>
      </c>
      <c r="V9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9" s="6">
        <f>Main[[#This Row],[تعداد کل روزهای بدهکار (روز)]]*Main[[#This Row],[مانده در خط کل (کیلوگرم)]]</f>
        <v>0</v>
      </c>
      <c r="X909" s="6">
        <f ca="1">-SUBTOTAL(9,INDEX(Main[مقدار تسویه شده (کیلوگرم)],1):Main[[#This Row],[مقدار تسویه شده (کیلوگرم)]])</f>
        <v>25327</v>
      </c>
      <c r="Y909" s="6">
        <f ca="1">IF(Main[[#This Row],[مانده در خط تسویه شده (کیلوگرم)]]&lt;&gt;0,Main[[#This Row],[تعداد کل روزهای بدهکار (روز)]],0)</f>
        <v>0</v>
      </c>
      <c r="Z909" s="6">
        <f ca="1">Main[[#This Row],[تعداد روزهای بدهکار تسویه شده (روز)]]*Main[[#This Row],[مانده در خط تسویه شده (کیلوگرم)]]</f>
        <v>0</v>
      </c>
      <c r="AA909" s="6">
        <f ca="1">SUBTOTAL(9,INDEX(Main[بدهی تسویه نشده (کیلوگرم)],1):Main[[#This Row],[بدهی تسویه نشده (کیلوگرم)]])</f>
        <v>0</v>
      </c>
      <c r="AB909" s="6">
        <f ca="1">IF(Main[[#This Row],[مانده در خط تسویه نشده (کیلوگرم)]]&lt;&gt;0,Main[[#This Row],[تعداد کل روزهای بدهکار (روز)]],0)</f>
        <v>0</v>
      </c>
      <c r="AC909" s="6">
        <f ca="1">Main[[#This Row],[تعداد روزهای بدهکار  تسویه نشده (روز)]]*Main[[#This Row],[مانده در خط تسویه نشده (کیلوگرم)]]</f>
        <v>0</v>
      </c>
      <c r="AD909" s="6">
        <f ca="1">SUBTOTAL(9,INDEX(Main[بدهی سررسید شده (کیلوگرم)],1):Main[[#This Row],[بدهی سررسید شده (کیلوگرم)]])</f>
        <v>0</v>
      </c>
      <c r="AE909" s="6">
        <f ca="1">IF(Main[[#This Row],[مانده در خط سررسید شده (کیلوگرم)]]&lt;&gt;0,Main[[#This Row],[تعداد کل روزهای بدهکار (روز)]],0)</f>
        <v>0</v>
      </c>
      <c r="AF909" s="6">
        <f ca="1">Main[[#This Row],[تعداد روزهای بدهکار سررسید شده (روز)]]*Main[[#This Row],[مانده در خط سررسید شده (کیلوگرم)]]</f>
        <v>0</v>
      </c>
    </row>
    <row r="910" spans="1:32" hidden="1" x14ac:dyDescent="0.35">
      <c r="A910" s="5">
        <f>ROW()-ROW(INDEX(Main[ردیف],1))+1</f>
        <v>908</v>
      </c>
      <c r="B910" s="31">
        <f>SUBTOTAL(2,INDEX(Main[ردیف],1):Main[[#This Row],[ردیف]])</f>
        <v>85</v>
      </c>
      <c r="C910" s="32" t="s">
        <v>602</v>
      </c>
      <c r="D910" s="32" t="str">
        <f>_xlfn.CONCAT("14",Main[[#This Row],[تاريخ]])</f>
        <v>1400/04/06</v>
      </c>
      <c r="E910" s="33">
        <v>44374</v>
      </c>
      <c r="F910" s="32">
        <v>50011</v>
      </c>
      <c r="G910" s="5" t="str">
        <f>INDEX(customer[عنوان],MATCH(Main[[#This Row],[کد ردیابی]],customer[کد],0))</f>
        <v xml:space="preserve">جعفر هوشمند </v>
      </c>
      <c r="H910">
        <v>-2174</v>
      </c>
      <c r="I910" s="6">
        <f ca="1">-Main[[#This Row],[بدهی تسویه شده (کیلوگرم)]]+Main[[#This Row],[بستانکار (کیلوگرم)]]</f>
        <v>-2174</v>
      </c>
      <c r="J910" s="6">
        <f>IF(Main[[#This Row],[مقدار (کیلوگرم)]]&gt;0,Main[[#This Row],[مقدار (کیلوگرم)]],0)</f>
        <v>0</v>
      </c>
      <c r="K910" s="6">
        <f>-IF(Main[[#This Row],[مقدار (کیلوگرم)]]&lt;0,Main[[#This Row],[مقدار (کیلوگرم)]],0)</f>
        <v>2174</v>
      </c>
      <c r="L9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0" s="7">
        <f>-IF(AND(Main[[#This Row],[مقدار (کیلوگرم)]]&lt;0,Main[[#This Row],[تاريخ میلادی]]&gt;44276),Main[[#This Row],[مقدار (کیلوگرم)]],0)</f>
        <v>2174</v>
      </c>
      <c r="N910" s="6">
        <f ca="1">Main[[#This Row],[بدهکار (کیلوگرم)]]-Main[[#This Row],[بدهی تسویه نشده (کیلوگرم)]]</f>
        <v>2174</v>
      </c>
      <c r="O910" s="6">
        <f ca="1">Main[[#This Row],[تفکیک]]</f>
        <v>0</v>
      </c>
      <c r="P910" s="6">
        <f ca="1">IF(Main[[#This Row],[تاخیر از سررسید]]&gt;0,Main[[#This Row],[بدهی تسویه نشده (کیلوگرم)]],0)</f>
        <v>0</v>
      </c>
      <c r="Q910" s="6">
        <f ca="1">IF(Main[[#This Row],[بدهی تسویه نشده (کیلوگرم)]]&gt;0,'گزارش فردی'!$B$7-Main[[#This Row],[تاريخ میلادی]],0)</f>
        <v>0</v>
      </c>
      <c r="R910" s="6">
        <f ca="1">IF(Main[[#This Row],[بدهی تسویه نشده (کیلوگرم)]]&gt;0,'گزارش فردی'!$B$7-Main[[#This Row],[تاريخ میلادی]]-'گزارش فردی'!$B$8,0)</f>
        <v>0</v>
      </c>
      <c r="S910" s="6">
        <f ca="1">Main[[#This Row],[روز از ارسال سفارش]]*Main[[#This Row],[بدهی تسویه نشده (کیلوگرم)]]</f>
        <v>0</v>
      </c>
      <c r="T910" s="6">
        <f ca="1">Main[[#This Row],[بدهی سررسید شده (کیلوگرم)]]*Main[[#This Row],[روز از ارسال سفارش]]</f>
        <v>0</v>
      </c>
      <c r="U910" s="6">
        <f>-SUBTOTAL(9,INDEX(Main[مقدار (کیلوگرم)],1):Main[[#This Row],[مقدار (کیلوگرم)]])</f>
        <v>25327</v>
      </c>
      <c r="V9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0" s="6">
        <f>Main[[#This Row],[تعداد کل روزهای بدهکار (روز)]]*Main[[#This Row],[مانده در خط کل (کیلوگرم)]]</f>
        <v>0</v>
      </c>
      <c r="X910" s="6">
        <f ca="1">-SUBTOTAL(9,INDEX(Main[مقدار تسویه شده (کیلوگرم)],1):Main[[#This Row],[مقدار تسویه شده (کیلوگرم)]])</f>
        <v>25327</v>
      </c>
      <c r="Y910" s="6">
        <f ca="1">IF(Main[[#This Row],[مانده در خط تسویه شده (کیلوگرم)]]&lt;&gt;0,Main[[#This Row],[تعداد کل روزهای بدهکار (روز)]],0)</f>
        <v>0</v>
      </c>
      <c r="Z910" s="6">
        <f ca="1">Main[[#This Row],[تعداد روزهای بدهکار تسویه شده (روز)]]*Main[[#This Row],[مانده در خط تسویه شده (کیلوگرم)]]</f>
        <v>0</v>
      </c>
      <c r="AA910" s="6">
        <f ca="1">SUBTOTAL(9,INDEX(Main[بدهی تسویه نشده (کیلوگرم)],1):Main[[#This Row],[بدهی تسویه نشده (کیلوگرم)]])</f>
        <v>0</v>
      </c>
      <c r="AB910" s="6">
        <f ca="1">IF(Main[[#This Row],[مانده در خط تسویه نشده (کیلوگرم)]]&lt;&gt;0,Main[[#This Row],[تعداد کل روزهای بدهکار (روز)]],0)</f>
        <v>0</v>
      </c>
      <c r="AC910" s="6">
        <f ca="1">Main[[#This Row],[تعداد روزهای بدهکار  تسویه نشده (روز)]]*Main[[#This Row],[مانده در خط تسویه نشده (کیلوگرم)]]</f>
        <v>0</v>
      </c>
      <c r="AD910" s="6">
        <f ca="1">SUBTOTAL(9,INDEX(Main[بدهی سررسید شده (کیلوگرم)],1):Main[[#This Row],[بدهی سررسید شده (کیلوگرم)]])</f>
        <v>0</v>
      </c>
      <c r="AE910" s="6">
        <f ca="1">IF(Main[[#This Row],[مانده در خط سررسید شده (کیلوگرم)]]&lt;&gt;0,Main[[#This Row],[تعداد کل روزهای بدهکار (روز)]],0)</f>
        <v>0</v>
      </c>
      <c r="AF910" s="6">
        <f ca="1">Main[[#This Row],[تعداد روزهای بدهکار سررسید شده (روز)]]*Main[[#This Row],[مانده در خط سررسید شده (کیلوگرم)]]</f>
        <v>0</v>
      </c>
    </row>
    <row r="911" spans="1:32" hidden="1" x14ac:dyDescent="0.35">
      <c r="A911" s="5">
        <f>ROW()-ROW(INDEX(Main[ردیف],1))+1</f>
        <v>909</v>
      </c>
      <c r="B911" s="31">
        <f>SUBTOTAL(2,INDEX(Main[ردیف],1):Main[[#This Row],[ردیف]])</f>
        <v>85</v>
      </c>
      <c r="C911" s="32" t="s">
        <v>602</v>
      </c>
      <c r="D911" s="32" t="str">
        <f>_xlfn.CONCAT("14",Main[[#This Row],[تاريخ]])</f>
        <v>1400/04/06</v>
      </c>
      <c r="E911" s="33">
        <v>44374</v>
      </c>
      <c r="F911" s="32">
        <v>10055</v>
      </c>
      <c r="G911" s="5" t="str">
        <f>INDEX(customer[عنوان],MATCH(Main[[#This Row],[کد ردیابی]],customer[کد],0))</f>
        <v xml:space="preserve">مریم فیض آبادی  </v>
      </c>
      <c r="H911">
        <v>5681</v>
      </c>
      <c r="I911" s="6">
        <f ca="1">-Main[[#This Row],[بدهی تسویه شده (کیلوگرم)]]+Main[[#This Row],[بستانکار (کیلوگرم)]]</f>
        <v>5681</v>
      </c>
      <c r="J911" s="6">
        <f>IF(Main[[#This Row],[مقدار (کیلوگرم)]]&gt;0,Main[[#This Row],[مقدار (کیلوگرم)]],0)</f>
        <v>5681</v>
      </c>
      <c r="K911" s="6">
        <f>-IF(Main[[#This Row],[مقدار (کیلوگرم)]]&lt;0,Main[[#This Row],[مقدار (کیلوگرم)]],0)</f>
        <v>0</v>
      </c>
      <c r="L9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1" s="7">
        <f>-IF(AND(Main[[#This Row],[مقدار (کیلوگرم)]]&lt;0,Main[[#This Row],[تاريخ میلادی]]&gt;44276),Main[[#This Row],[مقدار (کیلوگرم)]],0)</f>
        <v>0</v>
      </c>
      <c r="N911" s="6">
        <f ca="1">Main[[#This Row],[بدهکار (کیلوگرم)]]-Main[[#This Row],[بدهی تسویه نشده (کیلوگرم)]]</f>
        <v>0</v>
      </c>
      <c r="O911" s="6">
        <f ca="1">Main[[#This Row],[تفکیک]]</f>
        <v>0</v>
      </c>
      <c r="P911" s="6">
        <f ca="1">IF(Main[[#This Row],[تاخیر از سررسید]]&gt;0,Main[[#This Row],[بدهی تسویه نشده (کیلوگرم)]],0)</f>
        <v>0</v>
      </c>
      <c r="Q911" s="6">
        <f ca="1">IF(Main[[#This Row],[بدهی تسویه نشده (کیلوگرم)]]&gt;0,'گزارش فردی'!$B$7-Main[[#This Row],[تاريخ میلادی]],0)</f>
        <v>0</v>
      </c>
      <c r="R911" s="6">
        <f ca="1">IF(Main[[#This Row],[بدهی تسویه نشده (کیلوگرم)]]&gt;0,'گزارش فردی'!$B$7-Main[[#This Row],[تاريخ میلادی]]-'گزارش فردی'!$B$8,0)</f>
        <v>0</v>
      </c>
      <c r="S911" s="6">
        <f ca="1">Main[[#This Row],[روز از ارسال سفارش]]*Main[[#This Row],[بدهی تسویه نشده (کیلوگرم)]]</f>
        <v>0</v>
      </c>
      <c r="T911" s="6">
        <f ca="1">Main[[#This Row],[بدهی سررسید شده (کیلوگرم)]]*Main[[#This Row],[روز از ارسال سفارش]]</f>
        <v>0</v>
      </c>
      <c r="U911" s="6">
        <f>-SUBTOTAL(9,INDEX(Main[مقدار (کیلوگرم)],1):Main[[#This Row],[مقدار (کیلوگرم)]])</f>
        <v>25327</v>
      </c>
      <c r="V9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1" s="6">
        <f>Main[[#This Row],[تعداد کل روزهای بدهکار (روز)]]*Main[[#This Row],[مانده در خط کل (کیلوگرم)]]</f>
        <v>0</v>
      </c>
      <c r="X911" s="6">
        <f ca="1">-SUBTOTAL(9,INDEX(Main[مقدار تسویه شده (کیلوگرم)],1):Main[[#This Row],[مقدار تسویه شده (کیلوگرم)]])</f>
        <v>25327</v>
      </c>
      <c r="Y911" s="6">
        <f ca="1">IF(Main[[#This Row],[مانده در خط تسویه شده (کیلوگرم)]]&lt;&gt;0,Main[[#This Row],[تعداد کل روزهای بدهکار (روز)]],0)</f>
        <v>0</v>
      </c>
      <c r="Z911" s="6">
        <f ca="1">Main[[#This Row],[تعداد روزهای بدهکار تسویه شده (روز)]]*Main[[#This Row],[مانده در خط تسویه شده (کیلوگرم)]]</f>
        <v>0</v>
      </c>
      <c r="AA911" s="6">
        <f ca="1">SUBTOTAL(9,INDEX(Main[بدهی تسویه نشده (کیلوگرم)],1):Main[[#This Row],[بدهی تسویه نشده (کیلوگرم)]])</f>
        <v>0</v>
      </c>
      <c r="AB911" s="6">
        <f ca="1">IF(Main[[#This Row],[مانده در خط تسویه نشده (کیلوگرم)]]&lt;&gt;0,Main[[#This Row],[تعداد کل روزهای بدهکار (روز)]],0)</f>
        <v>0</v>
      </c>
      <c r="AC911" s="6">
        <f ca="1">Main[[#This Row],[تعداد روزهای بدهکار  تسویه نشده (روز)]]*Main[[#This Row],[مانده در خط تسویه نشده (کیلوگرم)]]</f>
        <v>0</v>
      </c>
      <c r="AD911" s="6">
        <f ca="1">SUBTOTAL(9,INDEX(Main[بدهی سررسید شده (کیلوگرم)],1):Main[[#This Row],[بدهی سررسید شده (کیلوگرم)]])</f>
        <v>0</v>
      </c>
      <c r="AE911" s="6">
        <f ca="1">IF(Main[[#This Row],[مانده در خط سررسید شده (کیلوگرم)]]&lt;&gt;0,Main[[#This Row],[تعداد کل روزهای بدهکار (روز)]],0)</f>
        <v>0</v>
      </c>
      <c r="AF911" s="6">
        <f ca="1">Main[[#This Row],[تعداد روزهای بدهکار سررسید شده (روز)]]*Main[[#This Row],[مانده در خط سررسید شده (کیلوگرم)]]</f>
        <v>0</v>
      </c>
    </row>
    <row r="912" spans="1:32" hidden="1" x14ac:dyDescent="0.35">
      <c r="A912" s="5">
        <f>ROW()-ROW(INDEX(Main[ردیف],1))+1</f>
        <v>910</v>
      </c>
      <c r="B912" s="31">
        <f>SUBTOTAL(2,INDEX(Main[ردیف],1):Main[[#This Row],[ردیف]])</f>
        <v>85</v>
      </c>
      <c r="C912" s="32" t="s">
        <v>602</v>
      </c>
      <c r="D912" s="32" t="str">
        <f>_xlfn.CONCAT("14",Main[[#This Row],[تاريخ]])</f>
        <v>1400/04/06</v>
      </c>
      <c r="E912" s="33">
        <v>44374</v>
      </c>
      <c r="F912" s="32">
        <v>30004</v>
      </c>
      <c r="G912" s="5" t="str">
        <f>INDEX(customer[عنوان],MATCH(Main[[#This Row],[کد ردیابی]],customer[کد],0))</f>
        <v>تولیدی صنعتی صفاشیر پارس</v>
      </c>
      <c r="H912">
        <v>-4748</v>
      </c>
      <c r="I912" s="6">
        <f ca="1">-Main[[#This Row],[بدهی تسویه شده (کیلوگرم)]]+Main[[#This Row],[بستانکار (کیلوگرم)]]</f>
        <v>-4748</v>
      </c>
      <c r="J912" s="6">
        <f>IF(Main[[#This Row],[مقدار (کیلوگرم)]]&gt;0,Main[[#This Row],[مقدار (کیلوگرم)]],0)</f>
        <v>0</v>
      </c>
      <c r="K912" s="6">
        <f>-IF(Main[[#This Row],[مقدار (کیلوگرم)]]&lt;0,Main[[#This Row],[مقدار (کیلوگرم)]],0)</f>
        <v>4748</v>
      </c>
      <c r="L9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2" s="7">
        <f>-IF(AND(Main[[#This Row],[مقدار (کیلوگرم)]]&lt;0,Main[[#This Row],[تاريخ میلادی]]&gt;44276),Main[[#This Row],[مقدار (کیلوگرم)]],0)</f>
        <v>4748</v>
      </c>
      <c r="N912" s="6">
        <f ca="1">Main[[#This Row],[بدهکار (کیلوگرم)]]-Main[[#This Row],[بدهی تسویه نشده (کیلوگرم)]]</f>
        <v>4748</v>
      </c>
      <c r="O912" s="6">
        <f ca="1">Main[[#This Row],[تفکیک]]</f>
        <v>0</v>
      </c>
      <c r="P912" s="6">
        <f ca="1">IF(Main[[#This Row],[تاخیر از سررسید]]&gt;0,Main[[#This Row],[بدهی تسویه نشده (کیلوگرم)]],0)</f>
        <v>0</v>
      </c>
      <c r="Q912" s="6">
        <f ca="1">IF(Main[[#This Row],[بدهی تسویه نشده (کیلوگرم)]]&gt;0,'گزارش فردی'!$B$7-Main[[#This Row],[تاريخ میلادی]],0)</f>
        <v>0</v>
      </c>
      <c r="R912" s="6">
        <f ca="1">IF(Main[[#This Row],[بدهی تسویه نشده (کیلوگرم)]]&gt;0,'گزارش فردی'!$B$7-Main[[#This Row],[تاريخ میلادی]]-'گزارش فردی'!$B$8,0)</f>
        <v>0</v>
      </c>
      <c r="S912" s="6">
        <f ca="1">Main[[#This Row],[روز از ارسال سفارش]]*Main[[#This Row],[بدهی تسویه نشده (کیلوگرم)]]</f>
        <v>0</v>
      </c>
      <c r="T912" s="6">
        <f ca="1">Main[[#This Row],[بدهی سررسید شده (کیلوگرم)]]*Main[[#This Row],[روز از ارسال سفارش]]</f>
        <v>0</v>
      </c>
      <c r="U912" s="6">
        <f>-SUBTOTAL(9,INDEX(Main[مقدار (کیلوگرم)],1):Main[[#This Row],[مقدار (کیلوگرم)]])</f>
        <v>25327</v>
      </c>
      <c r="V9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2" s="6">
        <f>Main[[#This Row],[تعداد کل روزهای بدهکار (روز)]]*Main[[#This Row],[مانده در خط کل (کیلوگرم)]]</f>
        <v>0</v>
      </c>
      <c r="X912" s="6">
        <f ca="1">-SUBTOTAL(9,INDEX(Main[مقدار تسویه شده (کیلوگرم)],1):Main[[#This Row],[مقدار تسویه شده (کیلوگرم)]])</f>
        <v>25327</v>
      </c>
      <c r="Y912" s="6">
        <f ca="1">IF(Main[[#This Row],[مانده در خط تسویه شده (کیلوگرم)]]&lt;&gt;0,Main[[#This Row],[تعداد کل روزهای بدهکار (روز)]],0)</f>
        <v>0</v>
      </c>
      <c r="Z912" s="6">
        <f ca="1">Main[[#This Row],[تعداد روزهای بدهکار تسویه شده (روز)]]*Main[[#This Row],[مانده در خط تسویه شده (کیلوگرم)]]</f>
        <v>0</v>
      </c>
      <c r="AA912" s="6">
        <f ca="1">SUBTOTAL(9,INDEX(Main[بدهی تسویه نشده (کیلوگرم)],1):Main[[#This Row],[بدهی تسویه نشده (کیلوگرم)]])</f>
        <v>0</v>
      </c>
      <c r="AB912" s="6">
        <f ca="1">IF(Main[[#This Row],[مانده در خط تسویه نشده (کیلوگرم)]]&lt;&gt;0,Main[[#This Row],[تعداد کل روزهای بدهکار (روز)]],0)</f>
        <v>0</v>
      </c>
      <c r="AC912" s="6">
        <f ca="1">Main[[#This Row],[تعداد روزهای بدهکار  تسویه نشده (روز)]]*Main[[#This Row],[مانده در خط تسویه نشده (کیلوگرم)]]</f>
        <v>0</v>
      </c>
      <c r="AD912" s="6">
        <f ca="1">SUBTOTAL(9,INDEX(Main[بدهی سررسید شده (کیلوگرم)],1):Main[[#This Row],[بدهی سررسید شده (کیلوگرم)]])</f>
        <v>0</v>
      </c>
      <c r="AE912" s="6">
        <f ca="1">IF(Main[[#This Row],[مانده در خط سررسید شده (کیلوگرم)]]&lt;&gt;0,Main[[#This Row],[تعداد کل روزهای بدهکار (روز)]],0)</f>
        <v>0</v>
      </c>
      <c r="AF912" s="6">
        <f ca="1">Main[[#This Row],[تعداد روزهای بدهکار سررسید شده (روز)]]*Main[[#This Row],[مانده در خط سررسید شده (کیلوگرم)]]</f>
        <v>0</v>
      </c>
    </row>
    <row r="913" spans="1:32" hidden="1" x14ac:dyDescent="0.35">
      <c r="A913" s="5">
        <f>ROW()-ROW(INDEX(Main[ردیف],1))+1</f>
        <v>911</v>
      </c>
      <c r="B913" s="31">
        <f>SUBTOTAL(2,INDEX(Main[ردیف],1):Main[[#This Row],[ردیف]])</f>
        <v>85</v>
      </c>
      <c r="C913" s="32" t="s">
        <v>602</v>
      </c>
      <c r="D913" s="32" t="str">
        <f>_xlfn.CONCAT("14",Main[[#This Row],[تاريخ]])</f>
        <v>1400/04/06</v>
      </c>
      <c r="E913" s="33">
        <v>44374</v>
      </c>
      <c r="F913" s="32">
        <v>30099</v>
      </c>
      <c r="G913" s="5" t="str">
        <f>INDEX(customer[عنوان],MATCH(Main[[#This Row],[کد ردیابی]],customer[کد],0))</f>
        <v>ایران شرق نیشابور</v>
      </c>
      <c r="H913">
        <v>4744</v>
      </c>
      <c r="I913" s="6">
        <f ca="1">-Main[[#This Row],[بدهی تسویه شده (کیلوگرم)]]+Main[[#This Row],[بستانکار (کیلوگرم)]]</f>
        <v>4744</v>
      </c>
      <c r="J913" s="6">
        <f>IF(Main[[#This Row],[مقدار (کیلوگرم)]]&gt;0,Main[[#This Row],[مقدار (کیلوگرم)]],0)</f>
        <v>4744</v>
      </c>
      <c r="K913" s="6">
        <f>-IF(Main[[#This Row],[مقدار (کیلوگرم)]]&lt;0,Main[[#This Row],[مقدار (کیلوگرم)]],0)</f>
        <v>0</v>
      </c>
      <c r="L9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3" s="7">
        <f>-IF(AND(Main[[#This Row],[مقدار (کیلوگرم)]]&lt;0,Main[[#This Row],[تاريخ میلادی]]&gt;44276),Main[[#This Row],[مقدار (کیلوگرم)]],0)</f>
        <v>0</v>
      </c>
      <c r="N913" s="6">
        <f ca="1">Main[[#This Row],[بدهکار (کیلوگرم)]]-Main[[#This Row],[بدهی تسویه نشده (کیلوگرم)]]</f>
        <v>0</v>
      </c>
      <c r="O913" s="6">
        <f ca="1">Main[[#This Row],[تفکیک]]</f>
        <v>0</v>
      </c>
      <c r="P913" s="6">
        <f ca="1">IF(Main[[#This Row],[تاخیر از سررسید]]&gt;0,Main[[#This Row],[بدهی تسویه نشده (کیلوگرم)]],0)</f>
        <v>0</v>
      </c>
      <c r="Q913" s="6">
        <f ca="1">IF(Main[[#This Row],[بدهی تسویه نشده (کیلوگرم)]]&gt;0,'گزارش فردی'!$B$7-Main[[#This Row],[تاريخ میلادی]],0)</f>
        <v>0</v>
      </c>
      <c r="R913" s="6">
        <f ca="1">IF(Main[[#This Row],[بدهی تسویه نشده (کیلوگرم)]]&gt;0,'گزارش فردی'!$B$7-Main[[#This Row],[تاريخ میلادی]]-'گزارش فردی'!$B$8,0)</f>
        <v>0</v>
      </c>
      <c r="S913" s="6">
        <f ca="1">Main[[#This Row],[روز از ارسال سفارش]]*Main[[#This Row],[بدهی تسویه نشده (کیلوگرم)]]</f>
        <v>0</v>
      </c>
      <c r="T913" s="6">
        <f ca="1">Main[[#This Row],[بدهی سررسید شده (کیلوگرم)]]*Main[[#This Row],[روز از ارسال سفارش]]</f>
        <v>0</v>
      </c>
      <c r="U913" s="6">
        <f>-SUBTOTAL(9,INDEX(Main[مقدار (کیلوگرم)],1):Main[[#This Row],[مقدار (کیلوگرم)]])</f>
        <v>25327</v>
      </c>
      <c r="V9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3" s="6">
        <f>Main[[#This Row],[تعداد کل روزهای بدهکار (روز)]]*Main[[#This Row],[مانده در خط کل (کیلوگرم)]]</f>
        <v>0</v>
      </c>
      <c r="X913" s="6">
        <f ca="1">-SUBTOTAL(9,INDEX(Main[مقدار تسویه شده (کیلوگرم)],1):Main[[#This Row],[مقدار تسویه شده (کیلوگرم)]])</f>
        <v>25327</v>
      </c>
      <c r="Y913" s="6">
        <f ca="1">IF(Main[[#This Row],[مانده در خط تسویه شده (کیلوگرم)]]&lt;&gt;0,Main[[#This Row],[تعداد کل روزهای بدهکار (روز)]],0)</f>
        <v>0</v>
      </c>
      <c r="Z913" s="6">
        <f ca="1">Main[[#This Row],[تعداد روزهای بدهکار تسویه شده (روز)]]*Main[[#This Row],[مانده در خط تسویه شده (کیلوگرم)]]</f>
        <v>0</v>
      </c>
      <c r="AA913" s="6">
        <f ca="1">SUBTOTAL(9,INDEX(Main[بدهی تسویه نشده (کیلوگرم)],1):Main[[#This Row],[بدهی تسویه نشده (کیلوگرم)]])</f>
        <v>0</v>
      </c>
      <c r="AB913" s="6">
        <f ca="1">IF(Main[[#This Row],[مانده در خط تسویه نشده (کیلوگرم)]]&lt;&gt;0,Main[[#This Row],[تعداد کل روزهای بدهکار (روز)]],0)</f>
        <v>0</v>
      </c>
      <c r="AC913" s="6">
        <f ca="1">Main[[#This Row],[تعداد روزهای بدهکار  تسویه نشده (روز)]]*Main[[#This Row],[مانده در خط تسویه نشده (کیلوگرم)]]</f>
        <v>0</v>
      </c>
      <c r="AD913" s="6">
        <f ca="1">SUBTOTAL(9,INDEX(Main[بدهی سررسید شده (کیلوگرم)],1):Main[[#This Row],[بدهی سررسید شده (کیلوگرم)]])</f>
        <v>0</v>
      </c>
      <c r="AE913" s="6">
        <f ca="1">IF(Main[[#This Row],[مانده در خط سررسید شده (کیلوگرم)]]&lt;&gt;0,Main[[#This Row],[تعداد کل روزهای بدهکار (روز)]],0)</f>
        <v>0</v>
      </c>
      <c r="AF913" s="6">
        <f ca="1">Main[[#This Row],[تعداد روزهای بدهکار سررسید شده (روز)]]*Main[[#This Row],[مانده در خط سررسید شده (کیلوگرم)]]</f>
        <v>0</v>
      </c>
    </row>
    <row r="914" spans="1:32" x14ac:dyDescent="0.35">
      <c r="A914" s="5">
        <f>ROW()-ROW(INDEX(Main[ردیف],1))+1</f>
        <v>912</v>
      </c>
      <c r="B914" s="31">
        <f>SUBTOTAL(2,INDEX(Main[ردیف],1):Main[[#This Row],[ردیف]])</f>
        <v>86</v>
      </c>
      <c r="C914" s="32" t="s">
        <v>602</v>
      </c>
      <c r="D914" s="32" t="str">
        <f>_xlfn.CONCAT("14",Main[[#This Row],[تاريخ]])</f>
        <v>1400/04/06</v>
      </c>
      <c r="E914" s="33">
        <v>44374</v>
      </c>
      <c r="F914" s="32">
        <v>10003</v>
      </c>
      <c r="G914" s="5" t="str">
        <f>INDEX(customer[عنوان],MATCH(Main[[#This Row],[کد ردیابی]],customer[کد],0))</f>
        <v>اصغر نورعلی</v>
      </c>
      <c r="H914">
        <v>-2038</v>
      </c>
      <c r="I914" s="6">
        <f ca="1">-Main[[#This Row],[بدهی تسویه شده (کیلوگرم)]]+Main[[#This Row],[بستانکار (کیلوگرم)]]</f>
        <v>-2038</v>
      </c>
      <c r="J914" s="6">
        <f>IF(Main[[#This Row],[مقدار (کیلوگرم)]]&gt;0,Main[[#This Row],[مقدار (کیلوگرم)]],0)</f>
        <v>0</v>
      </c>
      <c r="K914" s="6">
        <f>-IF(Main[[#This Row],[مقدار (کیلوگرم)]]&lt;0,Main[[#This Row],[مقدار (کیلوگرم)]],0)</f>
        <v>2038</v>
      </c>
      <c r="L9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4" s="7">
        <f>-IF(AND(Main[[#This Row],[مقدار (کیلوگرم)]]&lt;0,Main[[#This Row],[تاريخ میلادی]]&gt;44276),Main[[#This Row],[مقدار (کیلوگرم)]],0)</f>
        <v>2038</v>
      </c>
      <c r="N914" s="6">
        <f ca="1">Main[[#This Row],[بدهکار (کیلوگرم)]]-Main[[#This Row],[بدهی تسویه نشده (کیلوگرم)]]</f>
        <v>2038</v>
      </c>
      <c r="O914" s="6">
        <f ca="1">Main[[#This Row],[تفکیک]]</f>
        <v>0</v>
      </c>
      <c r="P914" s="6">
        <f ca="1">IF(Main[[#This Row],[تاخیر از سررسید]]&gt;0,Main[[#This Row],[بدهی تسویه نشده (کیلوگرم)]],0)</f>
        <v>0</v>
      </c>
      <c r="Q914" s="6">
        <f ca="1">IF(Main[[#This Row],[بدهی تسویه نشده (کیلوگرم)]]&gt;0,'گزارش فردی'!$B$7-Main[[#This Row],[تاريخ میلادی]],0)</f>
        <v>0</v>
      </c>
      <c r="R914" s="6">
        <f ca="1">IF(Main[[#This Row],[بدهی تسویه نشده (کیلوگرم)]]&gt;0,'گزارش فردی'!$B$7-Main[[#This Row],[تاريخ میلادی]]-'گزارش فردی'!$B$8,0)</f>
        <v>0</v>
      </c>
      <c r="S914" s="6">
        <f ca="1">Main[[#This Row],[روز از ارسال سفارش]]*Main[[#This Row],[بدهی تسویه نشده (کیلوگرم)]]</f>
        <v>0</v>
      </c>
      <c r="T914" s="6">
        <f ca="1">Main[[#This Row],[بدهی سررسید شده (کیلوگرم)]]*Main[[#This Row],[روز از ارسال سفارش]]</f>
        <v>0</v>
      </c>
      <c r="U914" s="6">
        <f>-SUBTOTAL(9,INDEX(Main[مقدار (کیلوگرم)],1):Main[[#This Row],[مقدار (کیلوگرم)]])</f>
        <v>27365</v>
      </c>
      <c r="V9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4" s="6">
        <f>Main[[#This Row],[تعداد کل روزهای بدهکار (روز)]]*Main[[#This Row],[مانده در خط کل (کیلوگرم)]]</f>
        <v>0</v>
      </c>
      <c r="X914" s="6">
        <f ca="1">-SUBTOTAL(9,INDEX(Main[مقدار تسویه شده (کیلوگرم)],1):Main[[#This Row],[مقدار تسویه شده (کیلوگرم)]])</f>
        <v>27365</v>
      </c>
      <c r="Y914" s="6">
        <f ca="1">IF(Main[[#This Row],[مانده در خط تسویه شده (کیلوگرم)]]&lt;&gt;0,Main[[#This Row],[تعداد کل روزهای بدهکار (روز)]],0)</f>
        <v>0</v>
      </c>
      <c r="Z914" s="6">
        <f ca="1">Main[[#This Row],[تعداد روزهای بدهکار تسویه شده (روز)]]*Main[[#This Row],[مانده در خط تسویه شده (کیلوگرم)]]</f>
        <v>0</v>
      </c>
      <c r="AA914" s="6">
        <f ca="1">SUBTOTAL(9,INDEX(Main[بدهی تسویه نشده (کیلوگرم)],1):Main[[#This Row],[بدهی تسویه نشده (کیلوگرم)]])</f>
        <v>0</v>
      </c>
      <c r="AB914" s="6">
        <f ca="1">IF(Main[[#This Row],[مانده در خط تسویه نشده (کیلوگرم)]]&lt;&gt;0,Main[[#This Row],[تعداد کل روزهای بدهکار (روز)]],0)</f>
        <v>0</v>
      </c>
      <c r="AC914" s="6">
        <f ca="1">Main[[#This Row],[تعداد روزهای بدهکار  تسویه نشده (روز)]]*Main[[#This Row],[مانده در خط تسویه نشده (کیلوگرم)]]</f>
        <v>0</v>
      </c>
      <c r="AD914" s="6">
        <f ca="1">SUBTOTAL(9,INDEX(Main[بدهی سررسید شده (کیلوگرم)],1):Main[[#This Row],[بدهی سررسید شده (کیلوگرم)]])</f>
        <v>0</v>
      </c>
      <c r="AE914" s="6">
        <f ca="1">IF(Main[[#This Row],[مانده در خط سررسید شده (کیلوگرم)]]&lt;&gt;0,Main[[#This Row],[تعداد کل روزهای بدهکار (روز)]],0)</f>
        <v>0</v>
      </c>
      <c r="AF914" s="6">
        <f ca="1">Main[[#This Row],[تعداد روزهای بدهکار سررسید شده (روز)]]*Main[[#This Row],[مانده در خط سررسید شده (کیلوگرم)]]</f>
        <v>0</v>
      </c>
    </row>
    <row r="915" spans="1:32" x14ac:dyDescent="0.35">
      <c r="A915" s="5">
        <f>ROW()-ROW(INDEX(Main[ردیف],1))+1</f>
        <v>913</v>
      </c>
      <c r="B915" s="31">
        <f>SUBTOTAL(2,INDEX(Main[ردیف],1):Main[[#This Row],[ردیف]])</f>
        <v>87</v>
      </c>
      <c r="C915" s="32" t="s">
        <v>602</v>
      </c>
      <c r="D915" s="32" t="str">
        <f>_xlfn.CONCAT("14",Main[[#This Row],[تاريخ]])</f>
        <v>1400/04/06</v>
      </c>
      <c r="E915" s="33">
        <v>44374</v>
      </c>
      <c r="F915" s="32">
        <v>10003</v>
      </c>
      <c r="G915" s="5" t="str">
        <f>INDEX(customer[عنوان],MATCH(Main[[#This Row],[کد ردیابی]],customer[کد],0))</f>
        <v>اصغر نورعلی</v>
      </c>
      <c r="H915">
        <v>2360</v>
      </c>
      <c r="I915" s="6">
        <f ca="1">-Main[[#This Row],[بدهی تسویه شده (کیلوگرم)]]+Main[[#This Row],[بستانکار (کیلوگرم)]]</f>
        <v>2360</v>
      </c>
      <c r="J915" s="6">
        <f>IF(Main[[#This Row],[مقدار (کیلوگرم)]]&gt;0,Main[[#This Row],[مقدار (کیلوگرم)]],0)</f>
        <v>2360</v>
      </c>
      <c r="K915" s="6">
        <f>-IF(Main[[#This Row],[مقدار (کیلوگرم)]]&lt;0,Main[[#This Row],[مقدار (کیلوگرم)]],0)</f>
        <v>0</v>
      </c>
      <c r="L9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5" s="7">
        <f>-IF(AND(Main[[#This Row],[مقدار (کیلوگرم)]]&lt;0,Main[[#This Row],[تاريخ میلادی]]&gt;44276),Main[[#This Row],[مقدار (کیلوگرم)]],0)</f>
        <v>0</v>
      </c>
      <c r="N915" s="6">
        <f ca="1">Main[[#This Row],[بدهکار (کیلوگرم)]]-Main[[#This Row],[بدهی تسویه نشده (کیلوگرم)]]</f>
        <v>0</v>
      </c>
      <c r="O915" s="6">
        <f ca="1">Main[[#This Row],[تفکیک]]</f>
        <v>0</v>
      </c>
      <c r="P915" s="6">
        <f ca="1">IF(Main[[#This Row],[تاخیر از سررسید]]&gt;0,Main[[#This Row],[بدهی تسویه نشده (کیلوگرم)]],0)</f>
        <v>0</v>
      </c>
      <c r="Q915" s="6">
        <f ca="1">IF(Main[[#This Row],[بدهی تسویه نشده (کیلوگرم)]]&gt;0,'گزارش فردی'!$B$7-Main[[#This Row],[تاريخ میلادی]],0)</f>
        <v>0</v>
      </c>
      <c r="R915" s="6">
        <f ca="1">IF(Main[[#This Row],[بدهی تسویه نشده (کیلوگرم)]]&gt;0,'گزارش فردی'!$B$7-Main[[#This Row],[تاريخ میلادی]]-'گزارش فردی'!$B$8,0)</f>
        <v>0</v>
      </c>
      <c r="S915" s="6">
        <f ca="1">Main[[#This Row],[روز از ارسال سفارش]]*Main[[#This Row],[بدهی تسویه نشده (کیلوگرم)]]</f>
        <v>0</v>
      </c>
      <c r="T915" s="6">
        <f ca="1">Main[[#This Row],[بدهی سررسید شده (کیلوگرم)]]*Main[[#This Row],[روز از ارسال سفارش]]</f>
        <v>0</v>
      </c>
      <c r="U915" s="6">
        <f>-SUBTOTAL(9,INDEX(Main[مقدار (کیلوگرم)],1):Main[[#This Row],[مقدار (کیلوگرم)]])</f>
        <v>25005</v>
      </c>
      <c r="V9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15" s="6">
        <f>Main[[#This Row],[تعداد کل روزهای بدهکار (روز)]]*Main[[#This Row],[مانده در خط کل (کیلوگرم)]]</f>
        <v>25005</v>
      </c>
      <c r="X915" s="6">
        <f ca="1">-SUBTOTAL(9,INDEX(Main[مقدار تسویه شده (کیلوگرم)],1):Main[[#This Row],[مقدار تسویه شده (کیلوگرم)]])</f>
        <v>25005</v>
      </c>
      <c r="Y915" s="6">
        <f ca="1">IF(Main[[#This Row],[مانده در خط تسویه شده (کیلوگرم)]]&lt;&gt;0,Main[[#This Row],[تعداد کل روزهای بدهکار (روز)]],0)</f>
        <v>1</v>
      </c>
      <c r="Z915" s="6">
        <f ca="1">Main[[#This Row],[تعداد روزهای بدهکار تسویه شده (روز)]]*Main[[#This Row],[مانده در خط تسویه شده (کیلوگرم)]]</f>
        <v>25005</v>
      </c>
      <c r="AA915" s="6">
        <f ca="1">SUBTOTAL(9,INDEX(Main[بدهی تسویه نشده (کیلوگرم)],1):Main[[#This Row],[بدهی تسویه نشده (کیلوگرم)]])</f>
        <v>0</v>
      </c>
      <c r="AB915" s="6">
        <f ca="1">IF(Main[[#This Row],[مانده در خط تسویه نشده (کیلوگرم)]]&lt;&gt;0,Main[[#This Row],[تعداد کل روزهای بدهکار (روز)]],0)</f>
        <v>0</v>
      </c>
      <c r="AC915" s="6">
        <f ca="1">Main[[#This Row],[تعداد روزهای بدهکار  تسویه نشده (روز)]]*Main[[#This Row],[مانده در خط تسویه نشده (کیلوگرم)]]</f>
        <v>0</v>
      </c>
      <c r="AD915" s="6">
        <f ca="1">SUBTOTAL(9,INDEX(Main[بدهی سررسید شده (کیلوگرم)],1):Main[[#This Row],[بدهی سررسید شده (کیلوگرم)]])</f>
        <v>0</v>
      </c>
      <c r="AE915" s="6">
        <f ca="1">IF(Main[[#This Row],[مانده در خط سررسید شده (کیلوگرم)]]&lt;&gt;0,Main[[#This Row],[تعداد کل روزهای بدهکار (روز)]],0)</f>
        <v>0</v>
      </c>
      <c r="AF915" s="6">
        <f ca="1">Main[[#This Row],[تعداد روزهای بدهکار سررسید شده (روز)]]*Main[[#This Row],[مانده در خط سررسید شده (کیلوگرم)]]</f>
        <v>0</v>
      </c>
    </row>
    <row r="916" spans="1:32" hidden="1" x14ac:dyDescent="0.35">
      <c r="A916" s="5">
        <f>ROW()-ROW(INDEX(Main[ردیف],1))+1</f>
        <v>914</v>
      </c>
      <c r="B916" s="31">
        <f>SUBTOTAL(2,INDEX(Main[ردیف],1):Main[[#This Row],[ردیف]])</f>
        <v>87</v>
      </c>
      <c r="C916" s="32" t="s">
        <v>602</v>
      </c>
      <c r="D916" s="32" t="str">
        <f>_xlfn.CONCAT("14",Main[[#This Row],[تاريخ]])</f>
        <v>1400/04/06</v>
      </c>
      <c r="E916" s="33">
        <v>44374</v>
      </c>
      <c r="F916" s="32">
        <v>10055</v>
      </c>
      <c r="G916" s="5" t="str">
        <f>INDEX(customer[عنوان],MATCH(Main[[#This Row],[کد ردیابی]],customer[کد],0))</f>
        <v xml:space="preserve">مریم فیض آبادی  </v>
      </c>
      <c r="H916">
        <v>-9812</v>
      </c>
      <c r="I916" s="6">
        <f ca="1">-Main[[#This Row],[بدهی تسویه شده (کیلوگرم)]]+Main[[#This Row],[بستانکار (کیلوگرم)]]</f>
        <v>-9812</v>
      </c>
      <c r="J916" s="6">
        <f>IF(Main[[#This Row],[مقدار (کیلوگرم)]]&gt;0,Main[[#This Row],[مقدار (کیلوگرم)]],0)</f>
        <v>0</v>
      </c>
      <c r="K916" s="6">
        <f>-IF(Main[[#This Row],[مقدار (کیلوگرم)]]&lt;0,Main[[#This Row],[مقدار (کیلوگرم)]],0)</f>
        <v>9812</v>
      </c>
      <c r="L9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6" s="7">
        <f>-IF(AND(Main[[#This Row],[مقدار (کیلوگرم)]]&lt;0,Main[[#This Row],[تاريخ میلادی]]&gt;44276),Main[[#This Row],[مقدار (کیلوگرم)]],0)</f>
        <v>9812</v>
      </c>
      <c r="N916" s="6">
        <f ca="1">Main[[#This Row],[بدهکار (کیلوگرم)]]-Main[[#This Row],[بدهی تسویه نشده (کیلوگرم)]]</f>
        <v>9812</v>
      </c>
      <c r="O916" s="6">
        <f ca="1">Main[[#This Row],[تفکیک]]</f>
        <v>0</v>
      </c>
      <c r="P916" s="6">
        <f ca="1">IF(Main[[#This Row],[تاخیر از سررسید]]&gt;0,Main[[#This Row],[بدهی تسویه نشده (کیلوگرم)]],0)</f>
        <v>0</v>
      </c>
      <c r="Q916" s="6">
        <f ca="1">IF(Main[[#This Row],[بدهی تسویه نشده (کیلوگرم)]]&gt;0,'گزارش فردی'!$B$7-Main[[#This Row],[تاريخ میلادی]],0)</f>
        <v>0</v>
      </c>
      <c r="R916" s="6">
        <f ca="1">IF(Main[[#This Row],[بدهی تسویه نشده (کیلوگرم)]]&gt;0,'گزارش فردی'!$B$7-Main[[#This Row],[تاريخ میلادی]]-'گزارش فردی'!$B$8,0)</f>
        <v>0</v>
      </c>
      <c r="S916" s="6">
        <f ca="1">Main[[#This Row],[روز از ارسال سفارش]]*Main[[#This Row],[بدهی تسویه نشده (کیلوگرم)]]</f>
        <v>0</v>
      </c>
      <c r="T916" s="6">
        <f ca="1">Main[[#This Row],[بدهی سررسید شده (کیلوگرم)]]*Main[[#This Row],[روز از ارسال سفارش]]</f>
        <v>0</v>
      </c>
      <c r="U916" s="6">
        <f>-SUBTOTAL(9,INDEX(Main[مقدار (کیلوگرم)],1):Main[[#This Row],[مقدار (کیلوگرم)]])</f>
        <v>25005</v>
      </c>
      <c r="V9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16" s="6">
        <f>Main[[#This Row],[تعداد کل روزهای بدهکار (روز)]]*Main[[#This Row],[مانده در خط کل (کیلوگرم)]]</f>
        <v>25005</v>
      </c>
      <c r="X916" s="6">
        <f ca="1">-SUBTOTAL(9,INDEX(Main[مقدار تسویه شده (کیلوگرم)],1):Main[[#This Row],[مقدار تسویه شده (کیلوگرم)]])</f>
        <v>25005</v>
      </c>
      <c r="Y916" s="6">
        <f ca="1">IF(Main[[#This Row],[مانده در خط تسویه شده (کیلوگرم)]]&lt;&gt;0,Main[[#This Row],[تعداد کل روزهای بدهکار (روز)]],0)</f>
        <v>1</v>
      </c>
      <c r="Z916" s="6">
        <f ca="1">Main[[#This Row],[تعداد روزهای بدهکار تسویه شده (روز)]]*Main[[#This Row],[مانده در خط تسویه شده (کیلوگرم)]]</f>
        <v>25005</v>
      </c>
      <c r="AA916" s="6">
        <f ca="1">SUBTOTAL(9,INDEX(Main[بدهی تسویه نشده (کیلوگرم)],1):Main[[#This Row],[بدهی تسویه نشده (کیلوگرم)]])</f>
        <v>0</v>
      </c>
      <c r="AB916" s="6">
        <f ca="1">IF(Main[[#This Row],[مانده در خط تسویه نشده (کیلوگرم)]]&lt;&gt;0,Main[[#This Row],[تعداد کل روزهای بدهکار (روز)]],0)</f>
        <v>0</v>
      </c>
      <c r="AC916" s="6">
        <f ca="1">Main[[#This Row],[تعداد روزهای بدهکار  تسویه نشده (روز)]]*Main[[#This Row],[مانده در خط تسویه نشده (کیلوگرم)]]</f>
        <v>0</v>
      </c>
      <c r="AD916" s="6">
        <f ca="1">SUBTOTAL(9,INDEX(Main[بدهی سررسید شده (کیلوگرم)],1):Main[[#This Row],[بدهی سررسید شده (کیلوگرم)]])</f>
        <v>0</v>
      </c>
      <c r="AE916" s="6">
        <f ca="1">IF(Main[[#This Row],[مانده در خط سررسید شده (کیلوگرم)]]&lt;&gt;0,Main[[#This Row],[تعداد کل روزهای بدهکار (روز)]],0)</f>
        <v>0</v>
      </c>
      <c r="AF916" s="6">
        <f ca="1">Main[[#This Row],[تعداد روزهای بدهکار سررسید شده (روز)]]*Main[[#This Row],[مانده در خط سررسید شده (کیلوگرم)]]</f>
        <v>0</v>
      </c>
    </row>
    <row r="917" spans="1:32" hidden="1" x14ac:dyDescent="0.35">
      <c r="A917" s="5">
        <f>ROW()-ROW(INDEX(Main[ردیف],1))+1</f>
        <v>915</v>
      </c>
      <c r="B917" s="31">
        <f>SUBTOTAL(2,INDEX(Main[ردیف],1):Main[[#This Row],[ردیف]])</f>
        <v>87</v>
      </c>
      <c r="C917" s="32" t="s">
        <v>602</v>
      </c>
      <c r="D917" s="32" t="str">
        <f>_xlfn.CONCAT("14",Main[[#This Row],[تاريخ]])</f>
        <v>1400/04/06</v>
      </c>
      <c r="E917" s="33">
        <v>44374</v>
      </c>
      <c r="F917" s="32">
        <v>30137</v>
      </c>
      <c r="G917" s="5" t="str">
        <f>INDEX(customer[عنوان],MATCH(Main[[#This Row],[کد ردیابی]],customer[کد],0))</f>
        <v>شرکت آفتابگردان</v>
      </c>
      <c r="H917">
        <v>1018</v>
      </c>
      <c r="I917" s="6">
        <f ca="1">-Main[[#This Row],[بدهی تسویه شده (کیلوگرم)]]+Main[[#This Row],[بستانکار (کیلوگرم)]]</f>
        <v>1018</v>
      </c>
      <c r="J917" s="6">
        <f>IF(Main[[#This Row],[مقدار (کیلوگرم)]]&gt;0,Main[[#This Row],[مقدار (کیلوگرم)]],0)</f>
        <v>1018</v>
      </c>
      <c r="K917" s="6">
        <f>-IF(Main[[#This Row],[مقدار (کیلوگرم)]]&lt;0,Main[[#This Row],[مقدار (کیلوگرم)]],0)</f>
        <v>0</v>
      </c>
      <c r="L9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7" s="7">
        <f>-IF(AND(Main[[#This Row],[مقدار (کیلوگرم)]]&lt;0,Main[[#This Row],[تاريخ میلادی]]&gt;44276),Main[[#This Row],[مقدار (کیلوگرم)]],0)</f>
        <v>0</v>
      </c>
      <c r="N917" s="6">
        <f ca="1">Main[[#This Row],[بدهکار (کیلوگرم)]]-Main[[#This Row],[بدهی تسویه نشده (کیلوگرم)]]</f>
        <v>0</v>
      </c>
      <c r="O917" s="6">
        <f ca="1">Main[[#This Row],[تفکیک]]</f>
        <v>0</v>
      </c>
      <c r="P917" s="6">
        <f ca="1">IF(Main[[#This Row],[تاخیر از سررسید]]&gt;0,Main[[#This Row],[بدهی تسویه نشده (کیلوگرم)]],0)</f>
        <v>0</v>
      </c>
      <c r="Q917" s="6">
        <f ca="1">IF(Main[[#This Row],[بدهی تسویه نشده (کیلوگرم)]]&gt;0,'گزارش فردی'!$B$7-Main[[#This Row],[تاريخ میلادی]],0)</f>
        <v>0</v>
      </c>
      <c r="R917" s="6">
        <f ca="1">IF(Main[[#This Row],[بدهی تسویه نشده (کیلوگرم)]]&gt;0,'گزارش فردی'!$B$7-Main[[#This Row],[تاريخ میلادی]]-'گزارش فردی'!$B$8,0)</f>
        <v>0</v>
      </c>
      <c r="S917" s="6">
        <f ca="1">Main[[#This Row],[روز از ارسال سفارش]]*Main[[#This Row],[بدهی تسویه نشده (کیلوگرم)]]</f>
        <v>0</v>
      </c>
      <c r="T917" s="6">
        <f ca="1">Main[[#This Row],[بدهی سررسید شده (کیلوگرم)]]*Main[[#This Row],[روز از ارسال سفارش]]</f>
        <v>0</v>
      </c>
      <c r="U917" s="6">
        <f>-SUBTOTAL(9,INDEX(Main[مقدار (کیلوگرم)],1):Main[[#This Row],[مقدار (کیلوگرم)]])</f>
        <v>25005</v>
      </c>
      <c r="V9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17" s="6">
        <f>Main[[#This Row],[تعداد کل روزهای بدهکار (روز)]]*Main[[#This Row],[مانده در خط کل (کیلوگرم)]]</f>
        <v>25005</v>
      </c>
      <c r="X917" s="6">
        <f ca="1">-SUBTOTAL(9,INDEX(Main[مقدار تسویه شده (کیلوگرم)],1):Main[[#This Row],[مقدار تسویه شده (کیلوگرم)]])</f>
        <v>25005</v>
      </c>
      <c r="Y917" s="6">
        <f ca="1">IF(Main[[#This Row],[مانده در خط تسویه شده (کیلوگرم)]]&lt;&gt;0,Main[[#This Row],[تعداد کل روزهای بدهکار (روز)]],0)</f>
        <v>1</v>
      </c>
      <c r="Z917" s="6">
        <f ca="1">Main[[#This Row],[تعداد روزهای بدهکار تسویه شده (روز)]]*Main[[#This Row],[مانده در خط تسویه شده (کیلوگرم)]]</f>
        <v>25005</v>
      </c>
      <c r="AA917" s="6">
        <f ca="1">SUBTOTAL(9,INDEX(Main[بدهی تسویه نشده (کیلوگرم)],1):Main[[#This Row],[بدهی تسویه نشده (کیلوگرم)]])</f>
        <v>0</v>
      </c>
      <c r="AB917" s="6">
        <f ca="1">IF(Main[[#This Row],[مانده در خط تسویه نشده (کیلوگرم)]]&lt;&gt;0,Main[[#This Row],[تعداد کل روزهای بدهکار (روز)]],0)</f>
        <v>0</v>
      </c>
      <c r="AC917" s="6">
        <f ca="1">Main[[#This Row],[تعداد روزهای بدهکار  تسویه نشده (روز)]]*Main[[#This Row],[مانده در خط تسویه نشده (کیلوگرم)]]</f>
        <v>0</v>
      </c>
      <c r="AD917" s="6">
        <f ca="1">SUBTOTAL(9,INDEX(Main[بدهی سررسید شده (کیلوگرم)],1):Main[[#This Row],[بدهی سررسید شده (کیلوگرم)]])</f>
        <v>0</v>
      </c>
      <c r="AE917" s="6">
        <f ca="1">IF(Main[[#This Row],[مانده در خط سررسید شده (کیلوگرم)]]&lt;&gt;0,Main[[#This Row],[تعداد کل روزهای بدهکار (روز)]],0)</f>
        <v>0</v>
      </c>
      <c r="AF917" s="6">
        <f ca="1">Main[[#This Row],[تعداد روزهای بدهکار سررسید شده (روز)]]*Main[[#This Row],[مانده در خط سررسید شده (کیلوگرم)]]</f>
        <v>0</v>
      </c>
    </row>
    <row r="918" spans="1:32" hidden="1" x14ac:dyDescent="0.35">
      <c r="A918" s="5">
        <f>ROW()-ROW(INDEX(Main[ردیف],1))+1</f>
        <v>916</v>
      </c>
      <c r="B918" s="31">
        <f>SUBTOTAL(2,INDEX(Main[ردیف],1):Main[[#This Row],[ردیف]])</f>
        <v>87</v>
      </c>
      <c r="C918" s="32" t="s">
        <v>603</v>
      </c>
      <c r="D918" s="32" t="str">
        <f>_xlfn.CONCAT("14",Main[[#This Row],[تاريخ]])</f>
        <v>1400/04/07</v>
      </c>
      <c r="E918" s="33">
        <v>44375</v>
      </c>
      <c r="F918" s="32">
        <v>10131</v>
      </c>
      <c r="G918" s="5" t="str">
        <f>INDEX(customer[عنوان],MATCH(Main[[#This Row],[کد ردیابی]],customer[کد],0))</f>
        <v>بهرام چرخیان</v>
      </c>
      <c r="H918">
        <v>-556</v>
      </c>
      <c r="I918" s="6">
        <f ca="1">-Main[[#This Row],[بدهی تسویه شده (کیلوگرم)]]+Main[[#This Row],[بستانکار (کیلوگرم)]]</f>
        <v>-556</v>
      </c>
      <c r="J918" s="6">
        <f>IF(Main[[#This Row],[مقدار (کیلوگرم)]]&gt;0,Main[[#This Row],[مقدار (کیلوگرم)]],0)</f>
        <v>0</v>
      </c>
      <c r="K918" s="6">
        <f>-IF(Main[[#This Row],[مقدار (کیلوگرم)]]&lt;0,Main[[#This Row],[مقدار (کیلوگرم)]],0)</f>
        <v>556</v>
      </c>
      <c r="L9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8" s="7">
        <f>-IF(AND(Main[[#This Row],[مقدار (کیلوگرم)]]&lt;0,Main[[#This Row],[تاريخ میلادی]]&gt;44276),Main[[#This Row],[مقدار (کیلوگرم)]],0)</f>
        <v>556</v>
      </c>
      <c r="N918" s="6">
        <f ca="1">Main[[#This Row],[بدهکار (کیلوگرم)]]-Main[[#This Row],[بدهی تسویه نشده (کیلوگرم)]]</f>
        <v>556</v>
      </c>
      <c r="O918" s="6">
        <f ca="1">Main[[#This Row],[تفکیک]]</f>
        <v>0</v>
      </c>
      <c r="P918" s="6">
        <f ca="1">IF(Main[[#This Row],[تاخیر از سررسید]]&gt;0,Main[[#This Row],[بدهی تسویه نشده (کیلوگرم)]],0)</f>
        <v>0</v>
      </c>
      <c r="Q918" s="6">
        <f ca="1">IF(Main[[#This Row],[بدهی تسویه نشده (کیلوگرم)]]&gt;0,'گزارش فردی'!$B$7-Main[[#This Row],[تاريخ میلادی]],0)</f>
        <v>0</v>
      </c>
      <c r="R918" s="6">
        <f ca="1">IF(Main[[#This Row],[بدهی تسویه نشده (کیلوگرم)]]&gt;0,'گزارش فردی'!$B$7-Main[[#This Row],[تاريخ میلادی]]-'گزارش فردی'!$B$8,0)</f>
        <v>0</v>
      </c>
      <c r="S918" s="6">
        <f ca="1">Main[[#This Row],[روز از ارسال سفارش]]*Main[[#This Row],[بدهی تسویه نشده (کیلوگرم)]]</f>
        <v>0</v>
      </c>
      <c r="T918" s="6">
        <f ca="1">Main[[#This Row],[بدهی سررسید شده (کیلوگرم)]]*Main[[#This Row],[روز از ارسال سفارش]]</f>
        <v>0</v>
      </c>
      <c r="U918" s="6">
        <f>-SUBTOTAL(9,INDEX(Main[مقدار (کیلوگرم)],1):Main[[#This Row],[مقدار (کیلوگرم)]])</f>
        <v>25005</v>
      </c>
      <c r="V9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8" s="6">
        <f>Main[[#This Row],[تعداد کل روزهای بدهکار (روز)]]*Main[[#This Row],[مانده در خط کل (کیلوگرم)]]</f>
        <v>0</v>
      </c>
      <c r="X918" s="6">
        <f ca="1">-SUBTOTAL(9,INDEX(Main[مقدار تسویه شده (کیلوگرم)],1):Main[[#This Row],[مقدار تسویه شده (کیلوگرم)]])</f>
        <v>25005</v>
      </c>
      <c r="Y918" s="6">
        <f ca="1">IF(Main[[#This Row],[مانده در خط تسویه شده (کیلوگرم)]]&lt;&gt;0,Main[[#This Row],[تعداد کل روزهای بدهکار (روز)]],0)</f>
        <v>0</v>
      </c>
      <c r="Z918" s="6">
        <f ca="1">Main[[#This Row],[تعداد روزهای بدهکار تسویه شده (روز)]]*Main[[#This Row],[مانده در خط تسویه شده (کیلوگرم)]]</f>
        <v>0</v>
      </c>
      <c r="AA918" s="6">
        <f ca="1">SUBTOTAL(9,INDEX(Main[بدهی تسویه نشده (کیلوگرم)],1):Main[[#This Row],[بدهی تسویه نشده (کیلوگرم)]])</f>
        <v>0</v>
      </c>
      <c r="AB918" s="6">
        <f ca="1">IF(Main[[#This Row],[مانده در خط تسویه نشده (کیلوگرم)]]&lt;&gt;0,Main[[#This Row],[تعداد کل روزهای بدهکار (روز)]],0)</f>
        <v>0</v>
      </c>
      <c r="AC918" s="6">
        <f ca="1">Main[[#This Row],[تعداد روزهای بدهکار  تسویه نشده (روز)]]*Main[[#This Row],[مانده در خط تسویه نشده (کیلوگرم)]]</f>
        <v>0</v>
      </c>
      <c r="AD918" s="6">
        <f ca="1">SUBTOTAL(9,INDEX(Main[بدهی سررسید شده (کیلوگرم)],1):Main[[#This Row],[بدهی سررسید شده (کیلوگرم)]])</f>
        <v>0</v>
      </c>
      <c r="AE918" s="6">
        <f ca="1">IF(Main[[#This Row],[مانده در خط سررسید شده (کیلوگرم)]]&lt;&gt;0,Main[[#This Row],[تعداد کل روزهای بدهکار (روز)]],0)</f>
        <v>0</v>
      </c>
      <c r="AF918" s="6">
        <f ca="1">Main[[#This Row],[تعداد روزهای بدهکار سررسید شده (روز)]]*Main[[#This Row],[مانده در خط سررسید شده (کیلوگرم)]]</f>
        <v>0</v>
      </c>
    </row>
    <row r="919" spans="1:32" hidden="1" x14ac:dyDescent="0.35">
      <c r="A919" s="5">
        <f>ROW()-ROW(INDEX(Main[ردیف],1))+1</f>
        <v>917</v>
      </c>
      <c r="B919" s="31">
        <f>SUBTOTAL(2,INDEX(Main[ردیف],1):Main[[#This Row],[ردیف]])</f>
        <v>87</v>
      </c>
      <c r="C919" s="32" t="s">
        <v>603</v>
      </c>
      <c r="D919" s="32" t="str">
        <f>_xlfn.CONCAT("14",Main[[#This Row],[تاريخ]])</f>
        <v>1400/04/07</v>
      </c>
      <c r="E919" s="33">
        <v>44375</v>
      </c>
      <c r="F919" s="32">
        <v>10084</v>
      </c>
      <c r="G919" s="5" t="str">
        <f>INDEX(customer[عنوان],MATCH(Main[[#This Row],[کد ردیابی]],customer[کد],0))</f>
        <v xml:space="preserve">سیدحمید کاظمی </v>
      </c>
      <c r="H919">
        <v>1063</v>
      </c>
      <c r="I919" s="6">
        <f ca="1">-Main[[#This Row],[بدهی تسویه شده (کیلوگرم)]]+Main[[#This Row],[بستانکار (کیلوگرم)]]</f>
        <v>1063</v>
      </c>
      <c r="J919" s="6">
        <f>IF(Main[[#This Row],[مقدار (کیلوگرم)]]&gt;0,Main[[#This Row],[مقدار (کیلوگرم)]],0)</f>
        <v>1063</v>
      </c>
      <c r="K919" s="6">
        <f>-IF(Main[[#This Row],[مقدار (کیلوگرم)]]&lt;0,Main[[#This Row],[مقدار (کیلوگرم)]],0)</f>
        <v>0</v>
      </c>
      <c r="L9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9" s="7">
        <f>-IF(AND(Main[[#This Row],[مقدار (کیلوگرم)]]&lt;0,Main[[#This Row],[تاريخ میلادی]]&gt;44276),Main[[#This Row],[مقدار (کیلوگرم)]],0)</f>
        <v>0</v>
      </c>
      <c r="N919" s="6">
        <f ca="1">Main[[#This Row],[بدهکار (کیلوگرم)]]-Main[[#This Row],[بدهی تسویه نشده (کیلوگرم)]]</f>
        <v>0</v>
      </c>
      <c r="O919" s="6">
        <f ca="1">Main[[#This Row],[تفکیک]]</f>
        <v>0</v>
      </c>
      <c r="P919" s="6">
        <f ca="1">IF(Main[[#This Row],[تاخیر از سررسید]]&gt;0,Main[[#This Row],[بدهی تسویه نشده (کیلوگرم)]],0)</f>
        <v>0</v>
      </c>
      <c r="Q919" s="6">
        <f ca="1">IF(Main[[#This Row],[بدهی تسویه نشده (کیلوگرم)]]&gt;0,'گزارش فردی'!$B$7-Main[[#This Row],[تاريخ میلادی]],0)</f>
        <v>0</v>
      </c>
      <c r="R919" s="6">
        <f ca="1">IF(Main[[#This Row],[بدهی تسویه نشده (کیلوگرم)]]&gt;0,'گزارش فردی'!$B$7-Main[[#This Row],[تاريخ میلادی]]-'گزارش فردی'!$B$8,0)</f>
        <v>0</v>
      </c>
      <c r="S919" s="6">
        <f ca="1">Main[[#This Row],[روز از ارسال سفارش]]*Main[[#This Row],[بدهی تسویه نشده (کیلوگرم)]]</f>
        <v>0</v>
      </c>
      <c r="T919" s="6">
        <f ca="1">Main[[#This Row],[بدهی سررسید شده (کیلوگرم)]]*Main[[#This Row],[روز از ارسال سفارش]]</f>
        <v>0</v>
      </c>
      <c r="U919" s="6">
        <f>-SUBTOTAL(9,INDEX(Main[مقدار (کیلوگرم)],1):Main[[#This Row],[مقدار (کیلوگرم)]])</f>
        <v>25005</v>
      </c>
      <c r="V9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9" s="6">
        <f>Main[[#This Row],[تعداد کل روزهای بدهکار (روز)]]*Main[[#This Row],[مانده در خط کل (کیلوگرم)]]</f>
        <v>0</v>
      </c>
      <c r="X919" s="6">
        <f ca="1">-SUBTOTAL(9,INDEX(Main[مقدار تسویه شده (کیلوگرم)],1):Main[[#This Row],[مقدار تسویه شده (کیلوگرم)]])</f>
        <v>25005</v>
      </c>
      <c r="Y919" s="6">
        <f ca="1">IF(Main[[#This Row],[مانده در خط تسویه شده (کیلوگرم)]]&lt;&gt;0,Main[[#This Row],[تعداد کل روزهای بدهکار (روز)]],0)</f>
        <v>0</v>
      </c>
      <c r="Z919" s="6">
        <f ca="1">Main[[#This Row],[تعداد روزهای بدهکار تسویه شده (روز)]]*Main[[#This Row],[مانده در خط تسویه شده (کیلوگرم)]]</f>
        <v>0</v>
      </c>
      <c r="AA919" s="6">
        <f ca="1">SUBTOTAL(9,INDEX(Main[بدهی تسویه نشده (کیلوگرم)],1):Main[[#This Row],[بدهی تسویه نشده (کیلوگرم)]])</f>
        <v>0</v>
      </c>
      <c r="AB919" s="6">
        <f ca="1">IF(Main[[#This Row],[مانده در خط تسویه نشده (کیلوگرم)]]&lt;&gt;0,Main[[#This Row],[تعداد کل روزهای بدهکار (روز)]],0)</f>
        <v>0</v>
      </c>
      <c r="AC919" s="6">
        <f ca="1">Main[[#This Row],[تعداد روزهای بدهکار  تسویه نشده (روز)]]*Main[[#This Row],[مانده در خط تسویه نشده (کیلوگرم)]]</f>
        <v>0</v>
      </c>
      <c r="AD919" s="6">
        <f ca="1">SUBTOTAL(9,INDEX(Main[بدهی سررسید شده (کیلوگرم)],1):Main[[#This Row],[بدهی سررسید شده (کیلوگرم)]])</f>
        <v>0</v>
      </c>
      <c r="AE919" s="6">
        <f ca="1">IF(Main[[#This Row],[مانده در خط سررسید شده (کیلوگرم)]]&lt;&gt;0,Main[[#This Row],[تعداد کل روزهای بدهکار (روز)]],0)</f>
        <v>0</v>
      </c>
      <c r="AF919" s="6">
        <f ca="1">Main[[#This Row],[تعداد روزهای بدهکار سررسید شده (روز)]]*Main[[#This Row],[مانده در خط سررسید شده (کیلوگرم)]]</f>
        <v>0</v>
      </c>
    </row>
    <row r="920" spans="1:32" hidden="1" x14ac:dyDescent="0.35">
      <c r="A920" s="5">
        <f>ROW()-ROW(INDEX(Main[ردیف],1))+1</f>
        <v>918</v>
      </c>
      <c r="B920" s="31">
        <f>SUBTOTAL(2,INDEX(Main[ردیف],1):Main[[#This Row],[ردیف]])</f>
        <v>87</v>
      </c>
      <c r="C920" s="32" t="s">
        <v>603</v>
      </c>
      <c r="D920" s="32" t="str">
        <f>_xlfn.CONCAT("14",Main[[#This Row],[تاريخ]])</f>
        <v>1400/04/07</v>
      </c>
      <c r="E920" s="33">
        <v>44375</v>
      </c>
      <c r="F920" s="32">
        <v>30127</v>
      </c>
      <c r="G920" s="5" t="str">
        <f>INDEX(customer[عنوان],MATCH(Main[[#This Row],[کد ردیابی]],customer[کد],0))</f>
        <v>شیر گاز آذران</v>
      </c>
      <c r="H920">
        <v>-16225</v>
      </c>
      <c r="I920" s="6">
        <f ca="1">-Main[[#This Row],[بدهی تسویه شده (کیلوگرم)]]+Main[[#This Row],[بستانکار (کیلوگرم)]]</f>
        <v>-16225</v>
      </c>
      <c r="J920" s="6">
        <f>IF(Main[[#This Row],[مقدار (کیلوگرم)]]&gt;0,Main[[#This Row],[مقدار (کیلوگرم)]],0)</f>
        <v>0</v>
      </c>
      <c r="K920" s="6">
        <f>-IF(Main[[#This Row],[مقدار (کیلوگرم)]]&lt;0,Main[[#This Row],[مقدار (کیلوگرم)]],0)</f>
        <v>16225</v>
      </c>
      <c r="L9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0" s="7">
        <f>-IF(AND(Main[[#This Row],[مقدار (کیلوگرم)]]&lt;0,Main[[#This Row],[تاريخ میلادی]]&gt;44276),Main[[#This Row],[مقدار (کیلوگرم)]],0)</f>
        <v>16225</v>
      </c>
      <c r="N920" s="6">
        <f ca="1">Main[[#This Row],[بدهکار (کیلوگرم)]]-Main[[#This Row],[بدهی تسویه نشده (کیلوگرم)]]</f>
        <v>16225</v>
      </c>
      <c r="O920" s="6">
        <f ca="1">Main[[#This Row],[تفکیک]]</f>
        <v>0</v>
      </c>
      <c r="P920" s="6">
        <f ca="1">IF(Main[[#This Row],[تاخیر از سررسید]]&gt;0,Main[[#This Row],[بدهی تسویه نشده (کیلوگرم)]],0)</f>
        <v>0</v>
      </c>
      <c r="Q920" s="6">
        <f ca="1">IF(Main[[#This Row],[بدهی تسویه نشده (کیلوگرم)]]&gt;0,'گزارش فردی'!$B$7-Main[[#This Row],[تاريخ میلادی]],0)</f>
        <v>0</v>
      </c>
      <c r="R920" s="6">
        <f ca="1">IF(Main[[#This Row],[بدهی تسویه نشده (کیلوگرم)]]&gt;0,'گزارش فردی'!$B$7-Main[[#This Row],[تاريخ میلادی]]-'گزارش فردی'!$B$8,0)</f>
        <v>0</v>
      </c>
      <c r="S920" s="6">
        <f ca="1">Main[[#This Row],[روز از ارسال سفارش]]*Main[[#This Row],[بدهی تسویه نشده (کیلوگرم)]]</f>
        <v>0</v>
      </c>
      <c r="T920" s="6">
        <f ca="1">Main[[#This Row],[بدهی سررسید شده (کیلوگرم)]]*Main[[#This Row],[روز از ارسال سفارش]]</f>
        <v>0</v>
      </c>
      <c r="U920" s="6">
        <f>-SUBTOTAL(9,INDEX(Main[مقدار (کیلوگرم)],1):Main[[#This Row],[مقدار (کیلوگرم)]])</f>
        <v>25005</v>
      </c>
      <c r="V9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0" s="6">
        <f>Main[[#This Row],[تعداد کل روزهای بدهکار (روز)]]*Main[[#This Row],[مانده در خط کل (کیلوگرم)]]</f>
        <v>0</v>
      </c>
      <c r="X920" s="6">
        <f ca="1">-SUBTOTAL(9,INDEX(Main[مقدار تسویه شده (کیلوگرم)],1):Main[[#This Row],[مقدار تسویه شده (کیلوگرم)]])</f>
        <v>25005</v>
      </c>
      <c r="Y920" s="6">
        <f ca="1">IF(Main[[#This Row],[مانده در خط تسویه شده (کیلوگرم)]]&lt;&gt;0,Main[[#This Row],[تعداد کل روزهای بدهکار (روز)]],0)</f>
        <v>0</v>
      </c>
      <c r="Z920" s="6">
        <f ca="1">Main[[#This Row],[تعداد روزهای بدهکار تسویه شده (روز)]]*Main[[#This Row],[مانده در خط تسویه شده (کیلوگرم)]]</f>
        <v>0</v>
      </c>
      <c r="AA920" s="6">
        <f ca="1">SUBTOTAL(9,INDEX(Main[بدهی تسویه نشده (کیلوگرم)],1):Main[[#This Row],[بدهی تسویه نشده (کیلوگرم)]])</f>
        <v>0</v>
      </c>
      <c r="AB920" s="6">
        <f ca="1">IF(Main[[#This Row],[مانده در خط تسویه نشده (کیلوگرم)]]&lt;&gt;0,Main[[#This Row],[تعداد کل روزهای بدهکار (روز)]],0)</f>
        <v>0</v>
      </c>
      <c r="AC920" s="6">
        <f ca="1">Main[[#This Row],[تعداد روزهای بدهکار  تسویه نشده (روز)]]*Main[[#This Row],[مانده در خط تسویه نشده (کیلوگرم)]]</f>
        <v>0</v>
      </c>
      <c r="AD920" s="6">
        <f ca="1">SUBTOTAL(9,INDEX(Main[بدهی سررسید شده (کیلوگرم)],1):Main[[#This Row],[بدهی سررسید شده (کیلوگرم)]])</f>
        <v>0</v>
      </c>
      <c r="AE920" s="6">
        <f ca="1">IF(Main[[#This Row],[مانده در خط سررسید شده (کیلوگرم)]]&lt;&gt;0,Main[[#This Row],[تعداد کل روزهای بدهکار (روز)]],0)</f>
        <v>0</v>
      </c>
      <c r="AF920" s="6">
        <f ca="1">Main[[#This Row],[تعداد روزهای بدهکار سررسید شده (روز)]]*Main[[#This Row],[مانده در خط سررسید شده (کیلوگرم)]]</f>
        <v>0</v>
      </c>
    </row>
    <row r="921" spans="1:32" hidden="1" x14ac:dyDescent="0.35">
      <c r="A921" s="5">
        <f>ROW()-ROW(INDEX(Main[ردیف],1))+1</f>
        <v>919</v>
      </c>
      <c r="B921" s="31">
        <f>SUBTOTAL(2,INDEX(Main[ردیف],1):Main[[#This Row],[ردیف]])</f>
        <v>87</v>
      </c>
      <c r="C921" s="32" t="s">
        <v>603</v>
      </c>
      <c r="D921" s="32" t="str">
        <f>_xlfn.CONCAT("14",Main[[#This Row],[تاريخ]])</f>
        <v>1400/04/07</v>
      </c>
      <c r="E921" s="33">
        <v>44375</v>
      </c>
      <c r="F921" s="32">
        <v>10084</v>
      </c>
      <c r="G921" s="5" t="str">
        <f>INDEX(customer[عنوان],MATCH(Main[[#This Row],[کد ردیابی]],customer[کد],0))</f>
        <v xml:space="preserve">سیدحمید کاظمی </v>
      </c>
      <c r="H921">
        <v>112</v>
      </c>
      <c r="I921" s="6">
        <f ca="1">-Main[[#This Row],[بدهی تسویه شده (کیلوگرم)]]+Main[[#This Row],[بستانکار (کیلوگرم)]]</f>
        <v>112</v>
      </c>
      <c r="J921" s="6">
        <f>IF(Main[[#This Row],[مقدار (کیلوگرم)]]&gt;0,Main[[#This Row],[مقدار (کیلوگرم)]],0)</f>
        <v>112</v>
      </c>
      <c r="K921" s="6">
        <f>-IF(Main[[#This Row],[مقدار (کیلوگرم)]]&lt;0,Main[[#This Row],[مقدار (کیلوگرم)]],0)</f>
        <v>0</v>
      </c>
      <c r="L9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1" s="7">
        <f>-IF(AND(Main[[#This Row],[مقدار (کیلوگرم)]]&lt;0,Main[[#This Row],[تاريخ میلادی]]&gt;44276),Main[[#This Row],[مقدار (کیلوگرم)]],0)</f>
        <v>0</v>
      </c>
      <c r="N921" s="6">
        <f ca="1">Main[[#This Row],[بدهکار (کیلوگرم)]]-Main[[#This Row],[بدهی تسویه نشده (کیلوگرم)]]</f>
        <v>0</v>
      </c>
      <c r="O921" s="6">
        <f ca="1">Main[[#This Row],[تفکیک]]</f>
        <v>0</v>
      </c>
      <c r="P921" s="6">
        <f ca="1">IF(Main[[#This Row],[تاخیر از سررسید]]&gt;0,Main[[#This Row],[بدهی تسویه نشده (کیلوگرم)]],0)</f>
        <v>0</v>
      </c>
      <c r="Q921" s="6">
        <f ca="1">IF(Main[[#This Row],[بدهی تسویه نشده (کیلوگرم)]]&gt;0,'گزارش فردی'!$B$7-Main[[#This Row],[تاريخ میلادی]],0)</f>
        <v>0</v>
      </c>
      <c r="R921" s="6">
        <f ca="1">IF(Main[[#This Row],[بدهی تسویه نشده (کیلوگرم)]]&gt;0,'گزارش فردی'!$B$7-Main[[#This Row],[تاريخ میلادی]]-'گزارش فردی'!$B$8,0)</f>
        <v>0</v>
      </c>
      <c r="S921" s="6">
        <f ca="1">Main[[#This Row],[روز از ارسال سفارش]]*Main[[#This Row],[بدهی تسویه نشده (کیلوگرم)]]</f>
        <v>0</v>
      </c>
      <c r="T921" s="6">
        <f ca="1">Main[[#This Row],[بدهی سررسید شده (کیلوگرم)]]*Main[[#This Row],[روز از ارسال سفارش]]</f>
        <v>0</v>
      </c>
      <c r="U921" s="6">
        <f>-SUBTOTAL(9,INDEX(Main[مقدار (کیلوگرم)],1):Main[[#This Row],[مقدار (کیلوگرم)]])</f>
        <v>25005</v>
      </c>
      <c r="V9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1" s="6">
        <f>Main[[#This Row],[تعداد کل روزهای بدهکار (روز)]]*Main[[#This Row],[مانده در خط کل (کیلوگرم)]]</f>
        <v>0</v>
      </c>
      <c r="X921" s="6">
        <f ca="1">-SUBTOTAL(9,INDEX(Main[مقدار تسویه شده (کیلوگرم)],1):Main[[#This Row],[مقدار تسویه شده (کیلوگرم)]])</f>
        <v>25005</v>
      </c>
      <c r="Y921" s="6">
        <f ca="1">IF(Main[[#This Row],[مانده در خط تسویه شده (کیلوگرم)]]&lt;&gt;0,Main[[#This Row],[تعداد کل روزهای بدهکار (روز)]],0)</f>
        <v>0</v>
      </c>
      <c r="Z921" s="6">
        <f ca="1">Main[[#This Row],[تعداد روزهای بدهکار تسویه شده (روز)]]*Main[[#This Row],[مانده در خط تسویه شده (کیلوگرم)]]</f>
        <v>0</v>
      </c>
      <c r="AA921" s="6">
        <f ca="1">SUBTOTAL(9,INDEX(Main[بدهی تسویه نشده (کیلوگرم)],1):Main[[#This Row],[بدهی تسویه نشده (کیلوگرم)]])</f>
        <v>0</v>
      </c>
      <c r="AB921" s="6">
        <f ca="1">IF(Main[[#This Row],[مانده در خط تسویه نشده (کیلوگرم)]]&lt;&gt;0,Main[[#This Row],[تعداد کل روزهای بدهکار (روز)]],0)</f>
        <v>0</v>
      </c>
      <c r="AC921" s="6">
        <f ca="1">Main[[#This Row],[تعداد روزهای بدهکار  تسویه نشده (روز)]]*Main[[#This Row],[مانده در خط تسویه نشده (کیلوگرم)]]</f>
        <v>0</v>
      </c>
      <c r="AD921" s="6">
        <f ca="1">SUBTOTAL(9,INDEX(Main[بدهی سررسید شده (کیلوگرم)],1):Main[[#This Row],[بدهی سررسید شده (کیلوگرم)]])</f>
        <v>0</v>
      </c>
      <c r="AE921" s="6">
        <f ca="1">IF(Main[[#This Row],[مانده در خط سررسید شده (کیلوگرم)]]&lt;&gt;0,Main[[#This Row],[تعداد کل روزهای بدهکار (روز)]],0)</f>
        <v>0</v>
      </c>
      <c r="AF921" s="6">
        <f ca="1">Main[[#This Row],[تعداد روزهای بدهکار سررسید شده (روز)]]*Main[[#This Row],[مانده در خط سررسید شده (کیلوگرم)]]</f>
        <v>0</v>
      </c>
    </row>
    <row r="922" spans="1:32" hidden="1" x14ac:dyDescent="0.35">
      <c r="A922" s="5">
        <f>ROW()-ROW(INDEX(Main[ردیف],1))+1</f>
        <v>920</v>
      </c>
      <c r="B922" s="31">
        <f>SUBTOTAL(2,INDEX(Main[ردیف],1):Main[[#This Row],[ردیف]])</f>
        <v>87</v>
      </c>
      <c r="C922" s="32" t="s">
        <v>603</v>
      </c>
      <c r="D922" s="32" t="str">
        <f>_xlfn.CONCAT("14",Main[[#This Row],[تاريخ]])</f>
        <v>1400/04/07</v>
      </c>
      <c r="E922" s="33">
        <v>44375</v>
      </c>
      <c r="F922" s="32">
        <v>30140</v>
      </c>
      <c r="G922" s="5" t="str">
        <f>INDEX(customer[عنوان],MATCH(Main[[#This Row],[کد ردیابی]],customer[کد],0))</f>
        <v>شرکت سیتکو</v>
      </c>
      <c r="H922">
        <v>-1892</v>
      </c>
      <c r="I922" s="6">
        <f ca="1">-Main[[#This Row],[بدهی تسویه شده (کیلوگرم)]]+Main[[#This Row],[بستانکار (کیلوگرم)]]</f>
        <v>-1892</v>
      </c>
      <c r="J922" s="6">
        <f>IF(Main[[#This Row],[مقدار (کیلوگرم)]]&gt;0,Main[[#This Row],[مقدار (کیلوگرم)]],0)</f>
        <v>0</v>
      </c>
      <c r="K922" s="6">
        <f>-IF(Main[[#This Row],[مقدار (کیلوگرم)]]&lt;0,Main[[#This Row],[مقدار (کیلوگرم)]],0)</f>
        <v>1892</v>
      </c>
      <c r="L9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2" s="7">
        <f>-IF(AND(Main[[#This Row],[مقدار (کیلوگرم)]]&lt;0,Main[[#This Row],[تاريخ میلادی]]&gt;44276),Main[[#This Row],[مقدار (کیلوگرم)]],0)</f>
        <v>1892</v>
      </c>
      <c r="N922" s="6">
        <f ca="1">Main[[#This Row],[بدهکار (کیلوگرم)]]-Main[[#This Row],[بدهی تسویه نشده (کیلوگرم)]]</f>
        <v>1892</v>
      </c>
      <c r="O922" s="6">
        <f ca="1">Main[[#This Row],[تفکیک]]</f>
        <v>0</v>
      </c>
      <c r="P922" s="6">
        <f ca="1">IF(Main[[#This Row],[تاخیر از سررسید]]&gt;0,Main[[#This Row],[بدهی تسویه نشده (کیلوگرم)]],0)</f>
        <v>0</v>
      </c>
      <c r="Q922" s="6">
        <f ca="1">IF(Main[[#This Row],[بدهی تسویه نشده (کیلوگرم)]]&gt;0,'گزارش فردی'!$B$7-Main[[#This Row],[تاريخ میلادی]],0)</f>
        <v>0</v>
      </c>
      <c r="R922" s="6">
        <f ca="1">IF(Main[[#This Row],[بدهی تسویه نشده (کیلوگرم)]]&gt;0,'گزارش فردی'!$B$7-Main[[#This Row],[تاريخ میلادی]]-'گزارش فردی'!$B$8,0)</f>
        <v>0</v>
      </c>
      <c r="S922" s="6">
        <f ca="1">Main[[#This Row],[روز از ارسال سفارش]]*Main[[#This Row],[بدهی تسویه نشده (کیلوگرم)]]</f>
        <v>0</v>
      </c>
      <c r="T922" s="6">
        <f ca="1">Main[[#This Row],[بدهی سررسید شده (کیلوگرم)]]*Main[[#This Row],[روز از ارسال سفارش]]</f>
        <v>0</v>
      </c>
      <c r="U922" s="6">
        <f>-SUBTOTAL(9,INDEX(Main[مقدار (کیلوگرم)],1):Main[[#This Row],[مقدار (کیلوگرم)]])</f>
        <v>25005</v>
      </c>
      <c r="V9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2" s="6">
        <f>Main[[#This Row],[تعداد کل روزهای بدهکار (روز)]]*Main[[#This Row],[مانده در خط کل (کیلوگرم)]]</f>
        <v>0</v>
      </c>
      <c r="X922" s="6">
        <f ca="1">-SUBTOTAL(9,INDEX(Main[مقدار تسویه شده (کیلوگرم)],1):Main[[#This Row],[مقدار تسویه شده (کیلوگرم)]])</f>
        <v>25005</v>
      </c>
      <c r="Y922" s="6">
        <f ca="1">IF(Main[[#This Row],[مانده در خط تسویه شده (کیلوگرم)]]&lt;&gt;0,Main[[#This Row],[تعداد کل روزهای بدهکار (روز)]],0)</f>
        <v>0</v>
      </c>
      <c r="Z922" s="6">
        <f ca="1">Main[[#This Row],[تعداد روزهای بدهکار تسویه شده (روز)]]*Main[[#This Row],[مانده در خط تسویه شده (کیلوگرم)]]</f>
        <v>0</v>
      </c>
      <c r="AA922" s="6">
        <f ca="1">SUBTOTAL(9,INDEX(Main[بدهی تسویه نشده (کیلوگرم)],1):Main[[#This Row],[بدهی تسویه نشده (کیلوگرم)]])</f>
        <v>0</v>
      </c>
      <c r="AB922" s="6">
        <f ca="1">IF(Main[[#This Row],[مانده در خط تسویه نشده (کیلوگرم)]]&lt;&gt;0,Main[[#This Row],[تعداد کل روزهای بدهکار (روز)]],0)</f>
        <v>0</v>
      </c>
      <c r="AC922" s="6">
        <f ca="1">Main[[#This Row],[تعداد روزهای بدهکار  تسویه نشده (روز)]]*Main[[#This Row],[مانده در خط تسویه نشده (کیلوگرم)]]</f>
        <v>0</v>
      </c>
      <c r="AD922" s="6">
        <f ca="1">SUBTOTAL(9,INDEX(Main[بدهی سررسید شده (کیلوگرم)],1):Main[[#This Row],[بدهی سررسید شده (کیلوگرم)]])</f>
        <v>0</v>
      </c>
      <c r="AE922" s="6">
        <f ca="1">IF(Main[[#This Row],[مانده در خط سررسید شده (کیلوگرم)]]&lt;&gt;0,Main[[#This Row],[تعداد کل روزهای بدهکار (روز)]],0)</f>
        <v>0</v>
      </c>
      <c r="AF922" s="6">
        <f ca="1">Main[[#This Row],[تعداد روزهای بدهکار سررسید شده (روز)]]*Main[[#This Row],[مانده در خط سررسید شده (کیلوگرم)]]</f>
        <v>0</v>
      </c>
    </row>
    <row r="923" spans="1:32" hidden="1" x14ac:dyDescent="0.35">
      <c r="A923" s="5">
        <f>ROW()-ROW(INDEX(Main[ردیف],1))+1</f>
        <v>921</v>
      </c>
      <c r="B923" s="31">
        <f>SUBTOTAL(2,INDEX(Main[ردیف],1):Main[[#This Row],[ردیف]])</f>
        <v>87</v>
      </c>
      <c r="C923" s="32" t="s">
        <v>603</v>
      </c>
      <c r="D923" s="32" t="str">
        <f>_xlfn.CONCAT("14",Main[[#This Row],[تاريخ]])</f>
        <v>1400/04/07</v>
      </c>
      <c r="E923" s="33">
        <v>44375</v>
      </c>
      <c r="F923" s="32">
        <v>10126</v>
      </c>
      <c r="G923" s="5" t="str">
        <f>INDEX(customer[عنوان],MATCH(Main[[#This Row],[کد ردیابی]],customer[کد],0))</f>
        <v xml:space="preserve">کریم اسمعیلی </v>
      </c>
      <c r="H923">
        <v>360</v>
      </c>
      <c r="I923" s="6">
        <f ca="1">-Main[[#This Row],[بدهی تسویه شده (کیلوگرم)]]+Main[[#This Row],[بستانکار (کیلوگرم)]]</f>
        <v>360</v>
      </c>
      <c r="J923" s="6">
        <f>IF(Main[[#This Row],[مقدار (کیلوگرم)]]&gt;0,Main[[#This Row],[مقدار (کیلوگرم)]],0)</f>
        <v>360</v>
      </c>
      <c r="K923" s="6">
        <f>-IF(Main[[#This Row],[مقدار (کیلوگرم)]]&lt;0,Main[[#This Row],[مقدار (کیلوگرم)]],0)</f>
        <v>0</v>
      </c>
      <c r="L9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3" s="7">
        <f>-IF(AND(Main[[#This Row],[مقدار (کیلوگرم)]]&lt;0,Main[[#This Row],[تاريخ میلادی]]&gt;44276),Main[[#This Row],[مقدار (کیلوگرم)]],0)</f>
        <v>0</v>
      </c>
      <c r="N923" s="6">
        <f ca="1">Main[[#This Row],[بدهکار (کیلوگرم)]]-Main[[#This Row],[بدهی تسویه نشده (کیلوگرم)]]</f>
        <v>0</v>
      </c>
      <c r="O923" s="6">
        <f ca="1">Main[[#This Row],[تفکیک]]</f>
        <v>0</v>
      </c>
      <c r="P923" s="6">
        <f ca="1">IF(Main[[#This Row],[تاخیر از سررسید]]&gt;0,Main[[#This Row],[بدهی تسویه نشده (کیلوگرم)]],0)</f>
        <v>0</v>
      </c>
      <c r="Q923" s="6">
        <f ca="1">IF(Main[[#This Row],[بدهی تسویه نشده (کیلوگرم)]]&gt;0,'گزارش فردی'!$B$7-Main[[#This Row],[تاريخ میلادی]],0)</f>
        <v>0</v>
      </c>
      <c r="R923" s="6">
        <f ca="1">IF(Main[[#This Row],[بدهی تسویه نشده (کیلوگرم)]]&gt;0,'گزارش فردی'!$B$7-Main[[#This Row],[تاريخ میلادی]]-'گزارش فردی'!$B$8,0)</f>
        <v>0</v>
      </c>
      <c r="S923" s="6">
        <f ca="1">Main[[#This Row],[روز از ارسال سفارش]]*Main[[#This Row],[بدهی تسویه نشده (کیلوگرم)]]</f>
        <v>0</v>
      </c>
      <c r="T923" s="6">
        <f ca="1">Main[[#This Row],[بدهی سررسید شده (کیلوگرم)]]*Main[[#This Row],[روز از ارسال سفارش]]</f>
        <v>0</v>
      </c>
      <c r="U923" s="6">
        <f>-SUBTOTAL(9,INDEX(Main[مقدار (کیلوگرم)],1):Main[[#This Row],[مقدار (کیلوگرم)]])</f>
        <v>25005</v>
      </c>
      <c r="V9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3" s="6">
        <f>Main[[#This Row],[تعداد کل روزهای بدهکار (روز)]]*Main[[#This Row],[مانده در خط کل (کیلوگرم)]]</f>
        <v>0</v>
      </c>
      <c r="X923" s="6">
        <f ca="1">-SUBTOTAL(9,INDEX(Main[مقدار تسویه شده (کیلوگرم)],1):Main[[#This Row],[مقدار تسویه شده (کیلوگرم)]])</f>
        <v>25005</v>
      </c>
      <c r="Y923" s="6">
        <f ca="1">IF(Main[[#This Row],[مانده در خط تسویه شده (کیلوگرم)]]&lt;&gt;0,Main[[#This Row],[تعداد کل روزهای بدهکار (روز)]],0)</f>
        <v>0</v>
      </c>
      <c r="Z923" s="6">
        <f ca="1">Main[[#This Row],[تعداد روزهای بدهکار تسویه شده (روز)]]*Main[[#This Row],[مانده در خط تسویه شده (کیلوگرم)]]</f>
        <v>0</v>
      </c>
      <c r="AA923" s="6">
        <f ca="1">SUBTOTAL(9,INDEX(Main[بدهی تسویه نشده (کیلوگرم)],1):Main[[#This Row],[بدهی تسویه نشده (کیلوگرم)]])</f>
        <v>0</v>
      </c>
      <c r="AB923" s="6">
        <f ca="1">IF(Main[[#This Row],[مانده در خط تسویه نشده (کیلوگرم)]]&lt;&gt;0,Main[[#This Row],[تعداد کل روزهای بدهکار (روز)]],0)</f>
        <v>0</v>
      </c>
      <c r="AC923" s="6">
        <f ca="1">Main[[#This Row],[تعداد روزهای بدهکار  تسویه نشده (روز)]]*Main[[#This Row],[مانده در خط تسویه نشده (کیلوگرم)]]</f>
        <v>0</v>
      </c>
      <c r="AD923" s="6">
        <f ca="1">SUBTOTAL(9,INDEX(Main[بدهی سررسید شده (کیلوگرم)],1):Main[[#This Row],[بدهی سررسید شده (کیلوگرم)]])</f>
        <v>0</v>
      </c>
      <c r="AE923" s="6">
        <f ca="1">IF(Main[[#This Row],[مانده در خط سررسید شده (کیلوگرم)]]&lt;&gt;0,Main[[#This Row],[تعداد کل روزهای بدهکار (روز)]],0)</f>
        <v>0</v>
      </c>
      <c r="AF923" s="6">
        <f ca="1">Main[[#This Row],[تعداد روزهای بدهکار سررسید شده (روز)]]*Main[[#This Row],[مانده در خط سررسید شده (کیلوگرم)]]</f>
        <v>0</v>
      </c>
    </row>
    <row r="924" spans="1:32" x14ac:dyDescent="0.35">
      <c r="A924" s="5">
        <f>ROW()-ROW(INDEX(Main[ردیف],1))+1</f>
        <v>922</v>
      </c>
      <c r="B924" s="31">
        <f>SUBTOTAL(2,INDEX(Main[ردیف],1):Main[[#This Row],[ردیف]])</f>
        <v>88</v>
      </c>
      <c r="C924" s="32" t="s">
        <v>603</v>
      </c>
      <c r="D924" s="32" t="str">
        <f>_xlfn.CONCAT("14",Main[[#This Row],[تاريخ]])</f>
        <v>1400/04/07</v>
      </c>
      <c r="E924" s="33">
        <v>44375</v>
      </c>
      <c r="F924" s="32">
        <v>10003</v>
      </c>
      <c r="G924" s="5" t="str">
        <f>INDEX(customer[عنوان],MATCH(Main[[#This Row],[کد ردیابی]],customer[کد],0))</f>
        <v>اصغر نورعلی</v>
      </c>
      <c r="H924">
        <v>-5096</v>
      </c>
      <c r="I924" s="6">
        <f ca="1">-Main[[#This Row],[بدهی تسویه شده (کیلوگرم)]]+Main[[#This Row],[بستانکار (کیلوگرم)]]</f>
        <v>-5096</v>
      </c>
      <c r="J924" s="6">
        <f>IF(Main[[#This Row],[مقدار (کیلوگرم)]]&gt;0,Main[[#This Row],[مقدار (کیلوگرم)]],0)</f>
        <v>0</v>
      </c>
      <c r="K924" s="6">
        <f>-IF(Main[[#This Row],[مقدار (کیلوگرم)]]&lt;0,Main[[#This Row],[مقدار (کیلوگرم)]],0)</f>
        <v>5096</v>
      </c>
      <c r="L9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4" s="7">
        <f>-IF(AND(Main[[#This Row],[مقدار (کیلوگرم)]]&lt;0,Main[[#This Row],[تاريخ میلادی]]&gt;44276),Main[[#This Row],[مقدار (کیلوگرم)]],0)</f>
        <v>5096</v>
      </c>
      <c r="N924" s="6">
        <f ca="1">Main[[#This Row],[بدهکار (کیلوگرم)]]-Main[[#This Row],[بدهی تسویه نشده (کیلوگرم)]]</f>
        <v>5096</v>
      </c>
      <c r="O924" s="6">
        <f ca="1">Main[[#This Row],[تفکیک]]</f>
        <v>0</v>
      </c>
      <c r="P924" s="6">
        <f ca="1">IF(Main[[#This Row],[تاخیر از سررسید]]&gt;0,Main[[#This Row],[بدهی تسویه نشده (کیلوگرم)]],0)</f>
        <v>0</v>
      </c>
      <c r="Q924" s="6">
        <f ca="1">IF(Main[[#This Row],[بدهی تسویه نشده (کیلوگرم)]]&gt;0,'گزارش فردی'!$B$7-Main[[#This Row],[تاريخ میلادی]],0)</f>
        <v>0</v>
      </c>
      <c r="R924" s="6">
        <f ca="1">IF(Main[[#This Row],[بدهی تسویه نشده (کیلوگرم)]]&gt;0,'گزارش فردی'!$B$7-Main[[#This Row],[تاريخ میلادی]]-'گزارش فردی'!$B$8,0)</f>
        <v>0</v>
      </c>
      <c r="S924" s="6">
        <f ca="1">Main[[#This Row],[روز از ارسال سفارش]]*Main[[#This Row],[بدهی تسویه نشده (کیلوگرم)]]</f>
        <v>0</v>
      </c>
      <c r="T924" s="6">
        <f ca="1">Main[[#This Row],[بدهی سررسید شده (کیلوگرم)]]*Main[[#This Row],[روز از ارسال سفارش]]</f>
        <v>0</v>
      </c>
      <c r="U924" s="6">
        <f>-SUBTOTAL(9,INDEX(Main[مقدار (کیلوگرم)],1):Main[[#This Row],[مقدار (کیلوگرم)]])</f>
        <v>30101</v>
      </c>
      <c r="V9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4" s="6">
        <f>Main[[#This Row],[تعداد کل روزهای بدهکار (روز)]]*Main[[#This Row],[مانده در خط کل (کیلوگرم)]]</f>
        <v>30101</v>
      </c>
      <c r="X924" s="6">
        <f ca="1">-SUBTOTAL(9,INDEX(Main[مقدار تسویه شده (کیلوگرم)],1):Main[[#This Row],[مقدار تسویه شده (کیلوگرم)]])</f>
        <v>30101</v>
      </c>
      <c r="Y924" s="6">
        <f ca="1">IF(Main[[#This Row],[مانده در خط تسویه شده (کیلوگرم)]]&lt;&gt;0,Main[[#This Row],[تعداد کل روزهای بدهکار (روز)]],0)</f>
        <v>1</v>
      </c>
      <c r="Z924" s="6">
        <f ca="1">Main[[#This Row],[تعداد روزهای بدهکار تسویه شده (روز)]]*Main[[#This Row],[مانده در خط تسویه شده (کیلوگرم)]]</f>
        <v>30101</v>
      </c>
      <c r="AA924" s="6">
        <f ca="1">SUBTOTAL(9,INDEX(Main[بدهی تسویه نشده (کیلوگرم)],1):Main[[#This Row],[بدهی تسویه نشده (کیلوگرم)]])</f>
        <v>0</v>
      </c>
      <c r="AB924" s="6">
        <f ca="1">IF(Main[[#This Row],[مانده در خط تسویه نشده (کیلوگرم)]]&lt;&gt;0,Main[[#This Row],[تعداد کل روزهای بدهکار (روز)]],0)</f>
        <v>0</v>
      </c>
      <c r="AC924" s="6">
        <f ca="1">Main[[#This Row],[تعداد روزهای بدهکار  تسویه نشده (روز)]]*Main[[#This Row],[مانده در خط تسویه نشده (کیلوگرم)]]</f>
        <v>0</v>
      </c>
      <c r="AD924" s="6">
        <f ca="1">SUBTOTAL(9,INDEX(Main[بدهی سررسید شده (کیلوگرم)],1):Main[[#This Row],[بدهی سررسید شده (کیلوگرم)]])</f>
        <v>0</v>
      </c>
      <c r="AE924" s="6">
        <f ca="1">IF(Main[[#This Row],[مانده در خط سررسید شده (کیلوگرم)]]&lt;&gt;0,Main[[#This Row],[تعداد کل روزهای بدهکار (روز)]],0)</f>
        <v>0</v>
      </c>
      <c r="AF924" s="6">
        <f ca="1">Main[[#This Row],[تعداد روزهای بدهکار سررسید شده (روز)]]*Main[[#This Row],[مانده در خط سررسید شده (کیلوگرم)]]</f>
        <v>0</v>
      </c>
    </row>
    <row r="925" spans="1:32" hidden="1" x14ac:dyDescent="0.35">
      <c r="A925" s="5">
        <f>ROW()-ROW(INDEX(Main[ردیف],1))+1</f>
        <v>923</v>
      </c>
      <c r="B925" s="31">
        <f>SUBTOTAL(2,INDEX(Main[ردیف],1):Main[[#This Row],[ردیف]])</f>
        <v>88</v>
      </c>
      <c r="C925" s="32" t="s">
        <v>603</v>
      </c>
      <c r="D925" s="32" t="str">
        <f>_xlfn.CONCAT("14",Main[[#This Row],[تاريخ]])</f>
        <v>1400/04/07</v>
      </c>
      <c r="E925" s="33">
        <v>44375</v>
      </c>
      <c r="F925" s="32">
        <v>10027</v>
      </c>
      <c r="G925" s="5" t="str">
        <f>INDEX(customer[عنوان],MATCH(Main[[#This Row],[کد ردیابی]],customer[کد],0))</f>
        <v xml:space="preserve">مصطفی نورعلی </v>
      </c>
      <c r="H925">
        <v>2599</v>
      </c>
      <c r="I925" s="6">
        <f ca="1">-Main[[#This Row],[بدهی تسویه شده (کیلوگرم)]]+Main[[#This Row],[بستانکار (کیلوگرم)]]</f>
        <v>2599</v>
      </c>
      <c r="J925" s="6">
        <f>IF(Main[[#This Row],[مقدار (کیلوگرم)]]&gt;0,Main[[#This Row],[مقدار (کیلوگرم)]],0)</f>
        <v>2599</v>
      </c>
      <c r="K925" s="6">
        <f>-IF(Main[[#This Row],[مقدار (کیلوگرم)]]&lt;0,Main[[#This Row],[مقدار (کیلوگرم)]],0)</f>
        <v>0</v>
      </c>
      <c r="L9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5" s="7">
        <f>-IF(AND(Main[[#This Row],[مقدار (کیلوگرم)]]&lt;0,Main[[#This Row],[تاريخ میلادی]]&gt;44276),Main[[#This Row],[مقدار (کیلوگرم)]],0)</f>
        <v>0</v>
      </c>
      <c r="N925" s="6">
        <f ca="1">Main[[#This Row],[بدهکار (کیلوگرم)]]-Main[[#This Row],[بدهی تسویه نشده (کیلوگرم)]]</f>
        <v>0</v>
      </c>
      <c r="O925" s="6">
        <f ca="1">Main[[#This Row],[تفکیک]]</f>
        <v>0</v>
      </c>
      <c r="P925" s="6">
        <f ca="1">IF(Main[[#This Row],[تاخیر از سررسید]]&gt;0,Main[[#This Row],[بدهی تسویه نشده (کیلوگرم)]],0)</f>
        <v>0</v>
      </c>
      <c r="Q925" s="6">
        <f ca="1">IF(Main[[#This Row],[بدهی تسویه نشده (کیلوگرم)]]&gt;0,'گزارش فردی'!$B$7-Main[[#This Row],[تاريخ میلادی]],0)</f>
        <v>0</v>
      </c>
      <c r="R925" s="6">
        <f ca="1">IF(Main[[#This Row],[بدهی تسویه نشده (کیلوگرم)]]&gt;0,'گزارش فردی'!$B$7-Main[[#This Row],[تاريخ میلادی]]-'گزارش فردی'!$B$8,0)</f>
        <v>0</v>
      </c>
      <c r="S925" s="6">
        <f ca="1">Main[[#This Row],[روز از ارسال سفارش]]*Main[[#This Row],[بدهی تسویه نشده (کیلوگرم)]]</f>
        <v>0</v>
      </c>
      <c r="T925" s="6">
        <f ca="1">Main[[#This Row],[بدهی سررسید شده (کیلوگرم)]]*Main[[#This Row],[روز از ارسال سفارش]]</f>
        <v>0</v>
      </c>
      <c r="U925" s="6">
        <f>-SUBTOTAL(9,INDEX(Main[مقدار (کیلوگرم)],1):Main[[#This Row],[مقدار (کیلوگرم)]])</f>
        <v>30101</v>
      </c>
      <c r="V9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5" s="6">
        <f>Main[[#This Row],[تعداد کل روزهای بدهکار (روز)]]*Main[[#This Row],[مانده در خط کل (کیلوگرم)]]</f>
        <v>30101</v>
      </c>
      <c r="X925" s="6">
        <f ca="1">-SUBTOTAL(9,INDEX(Main[مقدار تسویه شده (کیلوگرم)],1):Main[[#This Row],[مقدار تسویه شده (کیلوگرم)]])</f>
        <v>30101</v>
      </c>
      <c r="Y925" s="6">
        <f ca="1">IF(Main[[#This Row],[مانده در خط تسویه شده (کیلوگرم)]]&lt;&gt;0,Main[[#This Row],[تعداد کل روزهای بدهکار (روز)]],0)</f>
        <v>1</v>
      </c>
      <c r="Z925" s="6">
        <f ca="1">Main[[#This Row],[تعداد روزهای بدهکار تسویه شده (روز)]]*Main[[#This Row],[مانده در خط تسویه شده (کیلوگرم)]]</f>
        <v>30101</v>
      </c>
      <c r="AA925" s="6">
        <f ca="1">SUBTOTAL(9,INDEX(Main[بدهی تسویه نشده (کیلوگرم)],1):Main[[#This Row],[بدهی تسویه نشده (کیلوگرم)]])</f>
        <v>0</v>
      </c>
      <c r="AB925" s="6">
        <f ca="1">IF(Main[[#This Row],[مانده در خط تسویه نشده (کیلوگرم)]]&lt;&gt;0,Main[[#This Row],[تعداد کل روزهای بدهکار (روز)]],0)</f>
        <v>0</v>
      </c>
      <c r="AC925" s="6">
        <f ca="1">Main[[#This Row],[تعداد روزهای بدهکار  تسویه نشده (روز)]]*Main[[#This Row],[مانده در خط تسویه نشده (کیلوگرم)]]</f>
        <v>0</v>
      </c>
      <c r="AD925" s="6">
        <f ca="1">SUBTOTAL(9,INDEX(Main[بدهی سررسید شده (کیلوگرم)],1):Main[[#This Row],[بدهی سررسید شده (کیلوگرم)]])</f>
        <v>0</v>
      </c>
      <c r="AE925" s="6">
        <f ca="1">IF(Main[[#This Row],[مانده در خط سررسید شده (کیلوگرم)]]&lt;&gt;0,Main[[#This Row],[تعداد کل روزهای بدهکار (روز)]],0)</f>
        <v>0</v>
      </c>
      <c r="AF925" s="6">
        <f ca="1">Main[[#This Row],[تعداد روزهای بدهکار سررسید شده (روز)]]*Main[[#This Row],[مانده در خط سررسید شده (کیلوگرم)]]</f>
        <v>0</v>
      </c>
    </row>
    <row r="926" spans="1:32" hidden="1" x14ac:dyDescent="0.35">
      <c r="A926" s="5">
        <f>ROW()-ROW(INDEX(Main[ردیف],1))+1</f>
        <v>924</v>
      </c>
      <c r="B926" s="31">
        <f>SUBTOTAL(2,INDEX(Main[ردیف],1):Main[[#This Row],[ردیف]])</f>
        <v>88</v>
      </c>
      <c r="C926" s="32" t="s">
        <v>603</v>
      </c>
      <c r="D926" s="32" t="str">
        <f>_xlfn.CONCAT("14",Main[[#This Row],[تاريخ]])</f>
        <v>1400/04/07</v>
      </c>
      <c r="E926" s="33">
        <v>44375</v>
      </c>
      <c r="F926" s="32">
        <v>10026</v>
      </c>
      <c r="G926" s="5" t="str">
        <f>INDEX(customer[عنوان],MATCH(Main[[#This Row],[کد ردیابی]],customer[کد],0))</f>
        <v xml:space="preserve">محسن فیاض بخش </v>
      </c>
      <c r="H926">
        <v>-28</v>
      </c>
      <c r="I926" s="6">
        <f ca="1">-Main[[#This Row],[بدهی تسویه شده (کیلوگرم)]]+Main[[#This Row],[بستانکار (کیلوگرم)]]</f>
        <v>-28</v>
      </c>
      <c r="J926" s="6">
        <f>IF(Main[[#This Row],[مقدار (کیلوگرم)]]&gt;0,Main[[#This Row],[مقدار (کیلوگرم)]],0)</f>
        <v>0</v>
      </c>
      <c r="K926" s="6">
        <f>-IF(Main[[#This Row],[مقدار (کیلوگرم)]]&lt;0,Main[[#This Row],[مقدار (کیلوگرم)]],0)</f>
        <v>28</v>
      </c>
      <c r="L9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6" s="7">
        <f>-IF(AND(Main[[#This Row],[مقدار (کیلوگرم)]]&lt;0,Main[[#This Row],[تاريخ میلادی]]&gt;44276),Main[[#This Row],[مقدار (کیلوگرم)]],0)</f>
        <v>28</v>
      </c>
      <c r="N926" s="6">
        <f ca="1">Main[[#This Row],[بدهکار (کیلوگرم)]]-Main[[#This Row],[بدهی تسویه نشده (کیلوگرم)]]</f>
        <v>28</v>
      </c>
      <c r="O926" s="6">
        <f ca="1">Main[[#This Row],[تفکیک]]</f>
        <v>0</v>
      </c>
      <c r="P926" s="6">
        <f ca="1">IF(Main[[#This Row],[تاخیر از سررسید]]&gt;0,Main[[#This Row],[بدهی تسویه نشده (کیلوگرم)]],0)</f>
        <v>0</v>
      </c>
      <c r="Q926" s="6">
        <f ca="1">IF(Main[[#This Row],[بدهی تسویه نشده (کیلوگرم)]]&gt;0,'گزارش فردی'!$B$7-Main[[#This Row],[تاريخ میلادی]],0)</f>
        <v>0</v>
      </c>
      <c r="R926" s="6">
        <f ca="1">IF(Main[[#This Row],[بدهی تسویه نشده (کیلوگرم)]]&gt;0,'گزارش فردی'!$B$7-Main[[#This Row],[تاريخ میلادی]]-'گزارش فردی'!$B$8,0)</f>
        <v>0</v>
      </c>
      <c r="S926" s="6">
        <f ca="1">Main[[#This Row],[روز از ارسال سفارش]]*Main[[#This Row],[بدهی تسویه نشده (کیلوگرم)]]</f>
        <v>0</v>
      </c>
      <c r="T926" s="6">
        <f ca="1">Main[[#This Row],[بدهی سررسید شده (کیلوگرم)]]*Main[[#This Row],[روز از ارسال سفارش]]</f>
        <v>0</v>
      </c>
      <c r="U926" s="6">
        <f>-SUBTOTAL(9,INDEX(Main[مقدار (کیلوگرم)],1):Main[[#This Row],[مقدار (کیلوگرم)]])</f>
        <v>30101</v>
      </c>
      <c r="V9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6" s="6">
        <f>Main[[#This Row],[تعداد کل روزهای بدهکار (روز)]]*Main[[#This Row],[مانده در خط کل (کیلوگرم)]]</f>
        <v>30101</v>
      </c>
      <c r="X926" s="6">
        <f ca="1">-SUBTOTAL(9,INDEX(Main[مقدار تسویه شده (کیلوگرم)],1):Main[[#This Row],[مقدار تسویه شده (کیلوگرم)]])</f>
        <v>30101</v>
      </c>
      <c r="Y926" s="6">
        <f ca="1">IF(Main[[#This Row],[مانده در خط تسویه شده (کیلوگرم)]]&lt;&gt;0,Main[[#This Row],[تعداد کل روزهای بدهکار (روز)]],0)</f>
        <v>1</v>
      </c>
      <c r="Z926" s="6">
        <f ca="1">Main[[#This Row],[تعداد روزهای بدهکار تسویه شده (روز)]]*Main[[#This Row],[مانده در خط تسویه شده (کیلوگرم)]]</f>
        <v>30101</v>
      </c>
      <c r="AA926" s="6">
        <f ca="1">SUBTOTAL(9,INDEX(Main[بدهی تسویه نشده (کیلوگرم)],1):Main[[#This Row],[بدهی تسویه نشده (کیلوگرم)]])</f>
        <v>0</v>
      </c>
      <c r="AB926" s="6">
        <f ca="1">IF(Main[[#This Row],[مانده در خط تسویه نشده (کیلوگرم)]]&lt;&gt;0,Main[[#This Row],[تعداد کل روزهای بدهکار (روز)]],0)</f>
        <v>0</v>
      </c>
      <c r="AC926" s="6">
        <f ca="1">Main[[#This Row],[تعداد روزهای بدهکار  تسویه نشده (روز)]]*Main[[#This Row],[مانده در خط تسویه نشده (کیلوگرم)]]</f>
        <v>0</v>
      </c>
      <c r="AD926" s="6">
        <f ca="1">SUBTOTAL(9,INDEX(Main[بدهی سررسید شده (کیلوگرم)],1):Main[[#This Row],[بدهی سررسید شده (کیلوگرم)]])</f>
        <v>0</v>
      </c>
      <c r="AE926" s="6">
        <f ca="1">IF(Main[[#This Row],[مانده در خط سررسید شده (کیلوگرم)]]&lt;&gt;0,Main[[#This Row],[تعداد کل روزهای بدهکار (روز)]],0)</f>
        <v>0</v>
      </c>
      <c r="AF926" s="6">
        <f ca="1">Main[[#This Row],[تعداد روزهای بدهکار سررسید شده (روز)]]*Main[[#This Row],[مانده در خط سررسید شده (کیلوگرم)]]</f>
        <v>0</v>
      </c>
    </row>
    <row r="927" spans="1:32" hidden="1" x14ac:dyDescent="0.35">
      <c r="A927" s="5">
        <f>ROW()-ROW(INDEX(Main[ردیف],1))+1</f>
        <v>925</v>
      </c>
      <c r="B927" s="31">
        <f>SUBTOTAL(2,INDEX(Main[ردیف],1):Main[[#This Row],[ردیف]])</f>
        <v>88</v>
      </c>
      <c r="C927" s="32" t="s">
        <v>603</v>
      </c>
      <c r="D927" s="32" t="str">
        <f>_xlfn.CONCAT("14",Main[[#This Row],[تاريخ]])</f>
        <v>1400/04/07</v>
      </c>
      <c r="E927" s="33">
        <v>44375</v>
      </c>
      <c r="F927" s="32">
        <v>30127</v>
      </c>
      <c r="G927" s="5" t="str">
        <f>INDEX(customer[عنوان],MATCH(Main[[#This Row],[کد ردیابی]],customer[کد],0))</f>
        <v>شیر گاز آذران</v>
      </c>
      <c r="H927">
        <v>14724</v>
      </c>
      <c r="I927" s="6">
        <f ca="1">-Main[[#This Row],[بدهی تسویه شده (کیلوگرم)]]+Main[[#This Row],[بستانکار (کیلوگرم)]]</f>
        <v>14724</v>
      </c>
      <c r="J927" s="6">
        <f>IF(Main[[#This Row],[مقدار (کیلوگرم)]]&gt;0,Main[[#This Row],[مقدار (کیلوگرم)]],0)</f>
        <v>14724</v>
      </c>
      <c r="K927" s="6">
        <f>-IF(Main[[#This Row],[مقدار (کیلوگرم)]]&lt;0,Main[[#This Row],[مقدار (کیلوگرم)]],0)</f>
        <v>0</v>
      </c>
      <c r="L9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7" s="7">
        <f>-IF(AND(Main[[#This Row],[مقدار (کیلوگرم)]]&lt;0,Main[[#This Row],[تاريخ میلادی]]&gt;44276),Main[[#This Row],[مقدار (کیلوگرم)]],0)</f>
        <v>0</v>
      </c>
      <c r="N927" s="6">
        <f ca="1">Main[[#This Row],[بدهکار (کیلوگرم)]]-Main[[#This Row],[بدهی تسویه نشده (کیلوگرم)]]</f>
        <v>0</v>
      </c>
      <c r="O927" s="6">
        <f ca="1">Main[[#This Row],[تفکیک]]</f>
        <v>0</v>
      </c>
      <c r="P927" s="6">
        <f ca="1">IF(Main[[#This Row],[تاخیر از سررسید]]&gt;0,Main[[#This Row],[بدهی تسویه نشده (کیلوگرم)]],0)</f>
        <v>0</v>
      </c>
      <c r="Q927" s="6">
        <f ca="1">IF(Main[[#This Row],[بدهی تسویه نشده (کیلوگرم)]]&gt;0,'گزارش فردی'!$B$7-Main[[#This Row],[تاريخ میلادی]],0)</f>
        <v>0</v>
      </c>
      <c r="R927" s="6">
        <f ca="1">IF(Main[[#This Row],[بدهی تسویه نشده (کیلوگرم)]]&gt;0,'گزارش فردی'!$B$7-Main[[#This Row],[تاريخ میلادی]]-'گزارش فردی'!$B$8,0)</f>
        <v>0</v>
      </c>
      <c r="S927" s="6">
        <f ca="1">Main[[#This Row],[روز از ارسال سفارش]]*Main[[#This Row],[بدهی تسویه نشده (کیلوگرم)]]</f>
        <v>0</v>
      </c>
      <c r="T927" s="6">
        <f ca="1">Main[[#This Row],[بدهی سررسید شده (کیلوگرم)]]*Main[[#This Row],[روز از ارسال سفارش]]</f>
        <v>0</v>
      </c>
      <c r="U927" s="6">
        <f>-SUBTOTAL(9,INDEX(Main[مقدار (کیلوگرم)],1):Main[[#This Row],[مقدار (کیلوگرم)]])</f>
        <v>30101</v>
      </c>
      <c r="V9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7" s="6">
        <f>Main[[#This Row],[تعداد کل روزهای بدهکار (روز)]]*Main[[#This Row],[مانده در خط کل (کیلوگرم)]]</f>
        <v>30101</v>
      </c>
      <c r="X927" s="6">
        <f ca="1">-SUBTOTAL(9,INDEX(Main[مقدار تسویه شده (کیلوگرم)],1):Main[[#This Row],[مقدار تسویه شده (کیلوگرم)]])</f>
        <v>30101</v>
      </c>
      <c r="Y927" s="6">
        <f ca="1">IF(Main[[#This Row],[مانده در خط تسویه شده (کیلوگرم)]]&lt;&gt;0,Main[[#This Row],[تعداد کل روزهای بدهکار (روز)]],0)</f>
        <v>1</v>
      </c>
      <c r="Z927" s="6">
        <f ca="1">Main[[#This Row],[تعداد روزهای بدهکار تسویه شده (روز)]]*Main[[#This Row],[مانده در خط تسویه شده (کیلوگرم)]]</f>
        <v>30101</v>
      </c>
      <c r="AA927" s="6">
        <f ca="1">SUBTOTAL(9,INDEX(Main[بدهی تسویه نشده (کیلوگرم)],1):Main[[#This Row],[بدهی تسویه نشده (کیلوگرم)]])</f>
        <v>0</v>
      </c>
      <c r="AB927" s="6">
        <f ca="1">IF(Main[[#This Row],[مانده در خط تسویه نشده (کیلوگرم)]]&lt;&gt;0,Main[[#This Row],[تعداد کل روزهای بدهکار (روز)]],0)</f>
        <v>0</v>
      </c>
      <c r="AC927" s="6">
        <f ca="1">Main[[#This Row],[تعداد روزهای بدهکار  تسویه نشده (روز)]]*Main[[#This Row],[مانده در خط تسویه نشده (کیلوگرم)]]</f>
        <v>0</v>
      </c>
      <c r="AD927" s="6">
        <f ca="1">SUBTOTAL(9,INDEX(Main[بدهی سررسید شده (کیلوگرم)],1):Main[[#This Row],[بدهی سررسید شده (کیلوگرم)]])</f>
        <v>0</v>
      </c>
      <c r="AE927" s="6">
        <f ca="1">IF(Main[[#This Row],[مانده در خط سررسید شده (کیلوگرم)]]&lt;&gt;0,Main[[#This Row],[تعداد کل روزهای بدهکار (روز)]],0)</f>
        <v>0</v>
      </c>
      <c r="AF927" s="6">
        <f ca="1">Main[[#This Row],[تعداد روزهای بدهکار سررسید شده (روز)]]*Main[[#This Row],[مانده در خط سررسید شده (کیلوگرم)]]</f>
        <v>0</v>
      </c>
    </row>
    <row r="928" spans="1:32" hidden="1" x14ac:dyDescent="0.35">
      <c r="A928" s="5">
        <f>ROW()-ROW(INDEX(Main[ردیف],1))+1</f>
        <v>926</v>
      </c>
      <c r="B928" s="31">
        <f>SUBTOTAL(2,INDEX(Main[ردیف],1):Main[[#This Row],[ردیف]])</f>
        <v>88</v>
      </c>
      <c r="C928" s="32" t="s">
        <v>603</v>
      </c>
      <c r="D928" s="32" t="str">
        <f>_xlfn.CONCAT("14",Main[[#This Row],[تاريخ]])</f>
        <v>1400/04/07</v>
      </c>
      <c r="E928" s="33">
        <v>44375</v>
      </c>
      <c r="F928" s="32">
        <v>10084</v>
      </c>
      <c r="G928" s="5" t="str">
        <f>INDEX(customer[عنوان],MATCH(Main[[#This Row],[کد ردیابی]],customer[کد],0))</f>
        <v xml:space="preserve">سیدحمید کاظمی </v>
      </c>
      <c r="H928">
        <v>-1550</v>
      </c>
      <c r="I928" s="6">
        <f ca="1">-Main[[#This Row],[بدهی تسویه شده (کیلوگرم)]]+Main[[#This Row],[بستانکار (کیلوگرم)]]</f>
        <v>-1550</v>
      </c>
      <c r="J928" s="6">
        <f>IF(Main[[#This Row],[مقدار (کیلوگرم)]]&gt;0,Main[[#This Row],[مقدار (کیلوگرم)]],0)</f>
        <v>0</v>
      </c>
      <c r="K928" s="6">
        <f>-IF(Main[[#This Row],[مقدار (کیلوگرم)]]&lt;0,Main[[#This Row],[مقدار (کیلوگرم)]],0)</f>
        <v>1550</v>
      </c>
      <c r="L9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8" s="7">
        <f>-IF(AND(Main[[#This Row],[مقدار (کیلوگرم)]]&lt;0,Main[[#This Row],[تاريخ میلادی]]&gt;44276),Main[[#This Row],[مقدار (کیلوگرم)]],0)</f>
        <v>1550</v>
      </c>
      <c r="N928" s="6">
        <f ca="1">Main[[#This Row],[بدهکار (کیلوگرم)]]-Main[[#This Row],[بدهی تسویه نشده (کیلوگرم)]]</f>
        <v>1550</v>
      </c>
      <c r="O928" s="6">
        <f ca="1">Main[[#This Row],[تفکیک]]</f>
        <v>0</v>
      </c>
      <c r="P928" s="6">
        <f ca="1">IF(Main[[#This Row],[تاخیر از سررسید]]&gt;0,Main[[#This Row],[بدهی تسویه نشده (کیلوگرم)]],0)</f>
        <v>0</v>
      </c>
      <c r="Q928" s="6">
        <f ca="1">IF(Main[[#This Row],[بدهی تسویه نشده (کیلوگرم)]]&gt;0,'گزارش فردی'!$B$7-Main[[#This Row],[تاريخ میلادی]],0)</f>
        <v>0</v>
      </c>
      <c r="R928" s="6">
        <f ca="1">IF(Main[[#This Row],[بدهی تسویه نشده (کیلوگرم)]]&gt;0,'گزارش فردی'!$B$7-Main[[#This Row],[تاريخ میلادی]]-'گزارش فردی'!$B$8,0)</f>
        <v>0</v>
      </c>
      <c r="S928" s="6">
        <f ca="1">Main[[#This Row],[روز از ارسال سفارش]]*Main[[#This Row],[بدهی تسویه نشده (کیلوگرم)]]</f>
        <v>0</v>
      </c>
      <c r="T928" s="6">
        <f ca="1">Main[[#This Row],[بدهی سررسید شده (کیلوگرم)]]*Main[[#This Row],[روز از ارسال سفارش]]</f>
        <v>0</v>
      </c>
      <c r="U928" s="6">
        <f>-SUBTOTAL(9,INDEX(Main[مقدار (کیلوگرم)],1):Main[[#This Row],[مقدار (کیلوگرم)]])</f>
        <v>30101</v>
      </c>
      <c r="V9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8" s="6">
        <f>Main[[#This Row],[تعداد کل روزهای بدهکار (روز)]]*Main[[#This Row],[مانده در خط کل (کیلوگرم)]]</f>
        <v>30101</v>
      </c>
      <c r="X928" s="6">
        <f ca="1">-SUBTOTAL(9,INDEX(Main[مقدار تسویه شده (کیلوگرم)],1):Main[[#This Row],[مقدار تسویه شده (کیلوگرم)]])</f>
        <v>30101</v>
      </c>
      <c r="Y928" s="6">
        <f ca="1">IF(Main[[#This Row],[مانده در خط تسویه شده (کیلوگرم)]]&lt;&gt;0,Main[[#This Row],[تعداد کل روزهای بدهکار (روز)]],0)</f>
        <v>1</v>
      </c>
      <c r="Z928" s="6">
        <f ca="1">Main[[#This Row],[تعداد روزهای بدهکار تسویه شده (روز)]]*Main[[#This Row],[مانده در خط تسویه شده (کیلوگرم)]]</f>
        <v>30101</v>
      </c>
      <c r="AA928" s="6">
        <f ca="1">SUBTOTAL(9,INDEX(Main[بدهی تسویه نشده (کیلوگرم)],1):Main[[#This Row],[بدهی تسویه نشده (کیلوگرم)]])</f>
        <v>0</v>
      </c>
      <c r="AB928" s="6">
        <f ca="1">IF(Main[[#This Row],[مانده در خط تسویه نشده (کیلوگرم)]]&lt;&gt;0,Main[[#This Row],[تعداد کل روزهای بدهکار (روز)]],0)</f>
        <v>0</v>
      </c>
      <c r="AC928" s="6">
        <f ca="1">Main[[#This Row],[تعداد روزهای بدهکار  تسویه نشده (روز)]]*Main[[#This Row],[مانده در خط تسویه نشده (کیلوگرم)]]</f>
        <v>0</v>
      </c>
      <c r="AD928" s="6">
        <f ca="1">SUBTOTAL(9,INDEX(Main[بدهی سررسید شده (کیلوگرم)],1):Main[[#This Row],[بدهی سررسید شده (کیلوگرم)]])</f>
        <v>0</v>
      </c>
      <c r="AE928" s="6">
        <f ca="1">IF(Main[[#This Row],[مانده در خط سررسید شده (کیلوگرم)]]&lt;&gt;0,Main[[#This Row],[تعداد کل روزهای بدهکار (روز)]],0)</f>
        <v>0</v>
      </c>
      <c r="AF928" s="6">
        <f ca="1">Main[[#This Row],[تعداد روزهای بدهکار سررسید شده (روز)]]*Main[[#This Row],[مانده در خط سررسید شده (کیلوگرم)]]</f>
        <v>0</v>
      </c>
    </row>
    <row r="929" spans="1:32" hidden="1" x14ac:dyDescent="0.35">
      <c r="A929" s="5">
        <f>ROW()-ROW(INDEX(Main[ردیف],1))+1</f>
        <v>927</v>
      </c>
      <c r="B929" s="31">
        <f>SUBTOTAL(2,INDEX(Main[ردیف],1):Main[[#This Row],[ردیف]])</f>
        <v>88</v>
      </c>
      <c r="C929" s="32" t="s">
        <v>603</v>
      </c>
      <c r="D929" s="32" t="str">
        <f>_xlfn.CONCAT("14",Main[[#This Row],[تاريخ]])</f>
        <v>1400/04/07</v>
      </c>
      <c r="E929" s="33">
        <v>44375</v>
      </c>
      <c r="F929" s="32">
        <v>10127</v>
      </c>
      <c r="G929" s="5" t="str">
        <f>INDEX(customer[عنوان],MATCH(Main[[#This Row],[کد ردیابی]],customer[کد],0))</f>
        <v xml:space="preserve">عماد هاشمی </v>
      </c>
      <c r="H929">
        <v>439</v>
      </c>
      <c r="I929" s="6">
        <f ca="1">-Main[[#This Row],[بدهی تسویه شده (کیلوگرم)]]+Main[[#This Row],[بستانکار (کیلوگرم)]]</f>
        <v>439</v>
      </c>
      <c r="J929" s="6">
        <f>IF(Main[[#This Row],[مقدار (کیلوگرم)]]&gt;0,Main[[#This Row],[مقدار (کیلوگرم)]],0)</f>
        <v>439</v>
      </c>
      <c r="K929" s="6">
        <f>-IF(Main[[#This Row],[مقدار (کیلوگرم)]]&lt;0,Main[[#This Row],[مقدار (کیلوگرم)]],0)</f>
        <v>0</v>
      </c>
      <c r="L9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9" s="7">
        <f>-IF(AND(Main[[#This Row],[مقدار (کیلوگرم)]]&lt;0,Main[[#This Row],[تاريخ میلادی]]&gt;44276),Main[[#This Row],[مقدار (کیلوگرم)]],0)</f>
        <v>0</v>
      </c>
      <c r="N929" s="6">
        <f ca="1">Main[[#This Row],[بدهکار (کیلوگرم)]]-Main[[#This Row],[بدهی تسویه نشده (کیلوگرم)]]</f>
        <v>0</v>
      </c>
      <c r="O929" s="6">
        <f ca="1">Main[[#This Row],[تفکیک]]</f>
        <v>0</v>
      </c>
      <c r="P929" s="6">
        <f ca="1">IF(Main[[#This Row],[تاخیر از سررسید]]&gt;0,Main[[#This Row],[بدهی تسویه نشده (کیلوگرم)]],0)</f>
        <v>0</v>
      </c>
      <c r="Q929" s="6">
        <f ca="1">IF(Main[[#This Row],[بدهی تسویه نشده (کیلوگرم)]]&gt;0,'گزارش فردی'!$B$7-Main[[#This Row],[تاريخ میلادی]],0)</f>
        <v>0</v>
      </c>
      <c r="R929" s="6">
        <f ca="1">IF(Main[[#This Row],[بدهی تسویه نشده (کیلوگرم)]]&gt;0,'گزارش فردی'!$B$7-Main[[#This Row],[تاريخ میلادی]]-'گزارش فردی'!$B$8,0)</f>
        <v>0</v>
      </c>
      <c r="S929" s="6">
        <f ca="1">Main[[#This Row],[روز از ارسال سفارش]]*Main[[#This Row],[بدهی تسویه نشده (کیلوگرم)]]</f>
        <v>0</v>
      </c>
      <c r="T929" s="6">
        <f ca="1">Main[[#This Row],[بدهی سررسید شده (کیلوگرم)]]*Main[[#This Row],[روز از ارسال سفارش]]</f>
        <v>0</v>
      </c>
      <c r="U929" s="6">
        <f>-SUBTOTAL(9,INDEX(Main[مقدار (کیلوگرم)],1):Main[[#This Row],[مقدار (کیلوگرم)]])</f>
        <v>30101</v>
      </c>
      <c r="V9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9" s="6">
        <f>Main[[#This Row],[تعداد کل روزهای بدهکار (روز)]]*Main[[#This Row],[مانده در خط کل (کیلوگرم)]]</f>
        <v>30101</v>
      </c>
      <c r="X929" s="6">
        <f ca="1">-SUBTOTAL(9,INDEX(Main[مقدار تسویه شده (کیلوگرم)],1):Main[[#This Row],[مقدار تسویه شده (کیلوگرم)]])</f>
        <v>30101</v>
      </c>
      <c r="Y929" s="6">
        <f ca="1">IF(Main[[#This Row],[مانده در خط تسویه شده (کیلوگرم)]]&lt;&gt;0,Main[[#This Row],[تعداد کل روزهای بدهکار (روز)]],0)</f>
        <v>1</v>
      </c>
      <c r="Z929" s="6">
        <f ca="1">Main[[#This Row],[تعداد روزهای بدهکار تسویه شده (روز)]]*Main[[#This Row],[مانده در خط تسویه شده (کیلوگرم)]]</f>
        <v>30101</v>
      </c>
      <c r="AA929" s="6">
        <f ca="1">SUBTOTAL(9,INDEX(Main[بدهی تسویه نشده (کیلوگرم)],1):Main[[#This Row],[بدهی تسویه نشده (کیلوگرم)]])</f>
        <v>0</v>
      </c>
      <c r="AB929" s="6">
        <f ca="1">IF(Main[[#This Row],[مانده در خط تسویه نشده (کیلوگرم)]]&lt;&gt;0,Main[[#This Row],[تعداد کل روزهای بدهکار (روز)]],0)</f>
        <v>0</v>
      </c>
      <c r="AC929" s="6">
        <f ca="1">Main[[#This Row],[تعداد روزهای بدهکار  تسویه نشده (روز)]]*Main[[#This Row],[مانده در خط تسویه نشده (کیلوگرم)]]</f>
        <v>0</v>
      </c>
      <c r="AD929" s="6">
        <f ca="1">SUBTOTAL(9,INDEX(Main[بدهی سررسید شده (کیلوگرم)],1):Main[[#This Row],[بدهی سررسید شده (کیلوگرم)]])</f>
        <v>0</v>
      </c>
      <c r="AE929" s="6">
        <f ca="1">IF(Main[[#This Row],[مانده در خط سررسید شده (کیلوگرم)]]&lt;&gt;0,Main[[#This Row],[تعداد کل روزهای بدهکار (روز)]],0)</f>
        <v>0</v>
      </c>
      <c r="AF929" s="6">
        <f ca="1">Main[[#This Row],[تعداد روزهای بدهکار سررسید شده (روز)]]*Main[[#This Row],[مانده در خط سررسید شده (کیلوگرم)]]</f>
        <v>0</v>
      </c>
    </row>
    <row r="930" spans="1:32" hidden="1" x14ac:dyDescent="0.35">
      <c r="A930" s="5">
        <f>ROW()-ROW(INDEX(Main[ردیف],1))+1</f>
        <v>928</v>
      </c>
      <c r="B930" s="31">
        <f>SUBTOTAL(2,INDEX(Main[ردیف],1):Main[[#This Row],[ردیف]])</f>
        <v>88</v>
      </c>
      <c r="C930" s="32" t="s">
        <v>603</v>
      </c>
      <c r="D930" s="32" t="str">
        <f>_xlfn.CONCAT("14",Main[[#This Row],[تاريخ]])</f>
        <v>1400/04/07</v>
      </c>
      <c r="E930" s="33">
        <v>44375</v>
      </c>
      <c r="F930" s="32">
        <v>10127</v>
      </c>
      <c r="G930" s="5" t="str">
        <f>INDEX(customer[عنوان],MATCH(Main[[#This Row],[کد ردیابی]],customer[کد],0))</f>
        <v xml:space="preserve">عماد هاشمی </v>
      </c>
      <c r="H930">
        <v>590</v>
      </c>
      <c r="I930" s="6">
        <f ca="1">-Main[[#This Row],[بدهی تسویه شده (کیلوگرم)]]+Main[[#This Row],[بستانکار (کیلوگرم)]]</f>
        <v>590</v>
      </c>
      <c r="J930" s="6">
        <f>IF(Main[[#This Row],[مقدار (کیلوگرم)]]&gt;0,Main[[#This Row],[مقدار (کیلوگرم)]],0)</f>
        <v>590</v>
      </c>
      <c r="K930" s="6">
        <f>-IF(Main[[#This Row],[مقدار (کیلوگرم)]]&lt;0,Main[[#This Row],[مقدار (کیلوگرم)]],0)</f>
        <v>0</v>
      </c>
      <c r="L9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0" s="7">
        <f>-IF(AND(Main[[#This Row],[مقدار (کیلوگرم)]]&lt;0,Main[[#This Row],[تاريخ میلادی]]&gt;44276),Main[[#This Row],[مقدار (کیلوگرم)]],0)</f>
        <v>0</v>
      </c>
      <c r="N930" s="6">
        <f ca="1">Main[[#This Row],[بدهکار (کیلوگرم)]]-Main[[#This Row],[بدهی تسویه نشده (کیلوگرم)]]</f>
        <v>0</v>
      </c>
      <c r="O930" s="6">
        <f ca="1">Main[[#This Row],[تفکیک]]</f>
        <v>0</v>
      </c>
      <c r="P930" s="6">
        <f ca="1">IF(Main[[#This Row],[تاخیر از سررسید]]&gt;0,Main[[#This Row],[بدهی تسویه نشده (کیلوگرم)]],0)</f>
        <v>0</v>
      </c>
      <c r="Q930" s="6">
        <f ca="1">IF(Main[[#This Row],[بدهی تسویه نشده (کیلوگرم)]]&gt;0,'گزارش فردی'!$B$7-Main[[#This Row],[تاريخ میلادی]],0)</f>
        <v>0</v>
      </c>
      <c r="R930" s="6">
        <f ca="1">IF(Main[[#This Row],[بدهی تسویه نشده (کیلوگرم)]]&gt;0,'گزارش فردی'!$B$7-Main[[#This Row],[تاريخ میلادی]]-'گزارش فردی'!$B$8,0)</f>
        <v>0</v>
      </c>
      <c r="S930" s="6">
        <f ca="1">Main[[#This Row],[روز از ارسال سفارش]]*Main[[#This Row],[بدهی تسویه نشده (کیلوگرم)]]</f>
        <v>0</v>
      </c>
      <c r="T930" s="6">
        <f ca="1">Main[[#This Row],[بدهی سررسید شده (کیلوگرم)]]*Main[[#This Row],[روز از ارسال سفارش]]</f>
        <v>0</v>
      </c>
      <c r="U930" s="6">
        <f>-SUBTOTAL(9,INDEX(Main[مقدار (کیلوگرم)],1):Main[[#This Row],[مقدار (کیلوگرم)]])</f>
        <v>30101</v>
      </c>
      <c r="V9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30" s="6">
        <f>Main[[#This Row],[تعداد کل روزهای بدهکار (روز)]]*Main[[#This Row],[مانده در خط کل (کیلوگرم)]]</f>
        <v>30101</v>
      </c>
      <c r="X930" s="6">
        <f ca="1">-SUBTOTAL(9,INDEX(Main[مقدار تسویه شده (کیلوگرم)],1):Main[[#This Row],[مقدار تسویه شده (کیلوگرم)]])</f>
        <v>30101</v>
      </c>
      <c r="Y930" s="6">
        <f ca="1">IF(Main[[#This Row],[مانده در خط تسویه شده (کیلوگرم)]]&lt;&gt;0,Main[[#This Row],[تعداد کل روزهای بدهکار (روز)]],0)</f>
        <v>1</v>
      </c>
      <c r="Z930" s="6">
        <f ca="1">Main[[#This Row],[تعداد روزهای بدهکار تسویه شده (روز)]]*Main[[#This Row],[مانده در خط تسویه شده (کیلوگرم)]]</f>
        <v>30101</v>
      </c>
      <c r="AA930" s="6">
        <f ca="1">SUBTOTAL(9,INDEX(Main[بدهی تسویه نشده (کیلوگرم)],1):Main[[#This Row],[بدهی تسویه نشده (کیلوگرم)]])</f>
        <v>0</v>
      </c>
      <c r="AB930" s="6">
        <f ca="1">IF(Main[[#This Row],[مانده در خط تسویه نشده (کیلوگرم)]]&lt;&gt;0,Main[[#This Row],[تعداد کل روزهای بدهکار (روز)]],0)</f>
        <v>0</v>
      </c>
      <c r="AC930" s="6">
        <f ca="1">Main[[#This Row],[تعداد روزهای بدهکار  تسویه نشده (روز)]]*Main[[#This Row],[مانده در خط تسویه نشده (کیلوگرم)]]</f>
        <v>0</v>
      </c>
      <c r="AD930" s="6">
        <f ca="1">SUBTOTAL(9,INDEX(Main[بدهی سررسید شده (کیلوگرم)],1):Main[[#This Row],[بدهی سررسید شده (کیلوگرم)]])</f>
        <v>0</v>
      </c>
      <c r="AE930" s="6">
        <f ca="1">IF(Main[[#This Row],[مانده در خط سررسید شده (کیلوگرم)]]&lt;&gt;0,Main[[#This Row],[تعداد کل روزهای بدهکار (روز)]],0)</f>
        <v>0</v>
      </c>
      <c r="AF930" s="6">
        <f ca="1">Main[[#This Row],[تعداد روزهای بدهکار سررسید شده (روز)]]*Main[[#This Row],[مانده در خط سررسید شده (کیلوگرم)]]</f>
        <v>0</v>
      </c>
    </row>
    <row r="931" spans="1:32" hidden="1" x14ac:dyDescent="0.35">
      <c r="A931" s="5">
        <f>ROW()-ROW(INDEX(Main[ردیف],1))+1</f>
        <v>929</v>
      </c>
      <c r="B931" s="31">
        <f>SUBTOTAL(2,INDEX(Main[ردیف],1):Main[[#This Row],[ردیف]])</f>
        <v>88</v>
      </c>
      <c r="C931" s="32" t="s">
        <v>603</v>
      </c>
      <c r="D931" s="32" t="str">
        <f>_xlfn.CONCAT("14",Main[[#This Row],[تاريخ]])</f>
        <v>1400/04/07</v>
      </c>
      <c r="E931" s="33">
        <v>44375</v>
      </c>
      <c r="F931" s="32">
        <v>10131</v>
      </c>
      <c r="G931" s="5" t="str">
        <f>INDEX(customer[عنوان],MATCH(Main[[#This Row],[کد ردیابی]],customer[کد],0))</f>
        <v>بهرام چرخیان</v>
      </c>
      <c r="H931">
        <v>748</v>
      </c>
      <c r="I931" s="6">
        <f ca="1">-Main[[#This Row],[بدهی تسویه شده (کیلوگرم)]]+Main[[#This Row],[بستانکار (کیلوگرم)]]</f>
        <v>748</v>
      </c>
      <c r="J931" s="6">
        <f>IF(Main[[#This Row],[مقدار (کیلوگرم)]]&gt;0,Main[[#This Row],[مقدار (کیلوگرم)]],0)</f>
        <v>748</v>
      </c>
      <c r="K931" s="6">
        <f>-IF(Main[[#This Row],[مقدار (کیلوگرم)]]&lt;0,Main[[#This Row],[مقدار (کیلوگرم)]],0)</f>
        <v>0</v>
      </c>
      <c r="L9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1" s="7">
        <f>-IF(AND(Main[[#This Row],[مقدار (کیلوگرم)]]&lt;0,Main[[#This Row],[تاريخ میلادی]]&gt;44276),Main[[#This Row],[مقدار (کیلوگرم)]],0)</f>
        <v>0</v>
      </c>
      <c r="N931" s="6">
        <f ca="1">Main[[#This Row],[بدهکار (کیلوگرم)]]-Main[[#This Row],[بدهی تسویه نشده (کیلوگرم)]]</f>
        <v>0</v>
      </c>
      <c r="O931" s="6">
        <f ca="1">Main[[#This Row],[تفکیک]]</f>
        <v>0</v>
      </c>
      <c r="P931" s="6">
        <f ca="1">IF(Main[[#This Row],[تاخیر از سررسید]]&gt;0,Main[[#This Row],[بدهی تسویه نشده (کیلوگرم)]],0)</f>
        <v>0</v>
      </c>
      <c r="Q931" s="6">
        <f ca="1">IF(Main[[#This Row],[بدهی تسویه نشده (کیلوگرم)]]&gt;0,'گزارش فردی'!$B$7-Main[[#This Row],[تاريخ میلادی]],0)</f>
        <v>0</v>
      </c>
      <c r="R931" s="6">
        <f ca="1">IF(Main[[#This Row],[بدهی تسویه نشده (کیلوگرم)]]&gt;0,'گزارش فردی'!$B$7-Main[[#This Row],[تاريخ میلادی]]-'گزارش فردی'!$B$8,0)</f>
        <v>0</v>
      </c>
      <c r="S931" s="6">
        <f ca="1">Main[[#This Row],[روز از ارسال سفارش]]*Main[[#This Row],[بدهی تسویه نشده (کیلوگرم)]]</f>
        <v>0</v>
      </c>
      <c r="T931" s="6">
        <f ca="1">Main[[#This Row],[بدهی سررسید شده (کیلوگرم)]]*Main[[#This Row],[روز از ارسال سفارش]]</f>
        <v>0</v>
      </c>
      <c r="U931" s="6">
        <f>-SUBTOTAL(9,INDEX(Main[مقدار (کیلوگرم)],1):Main[[#This Row],[مقدار (کیلوگرم)]])</f>
        <v>30101</v>
      </c>
      <c r="V9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31" s="6">
        <f>Main[[#This Row],[تعداد کل روزهای بدهکار (روز)]]*Main[[#This Row],[مانده در خط کل (کیلوگرم)]]</f>
        <v>30101</v>
      </c>
      <c r="X931" s="6">
        <f ca="1">-SUBTOTAL(9,INDEX(Main[مقدار تسویه شده (کیلوگرم)],1):Main[[#This Row],[مقدار تسویه شده (کیلوگرم)]])</f>
        <v>30101</v>
      </c>
      <c r="Y931" s="6">
        <f ca="1">IF(Main[[#This Row],[مانده در خط تسویه شده (کیلوگرم)]]&lt;&gt;0,Main[[#This Row],[تعداد کل روزهای بدهکار (روز)]],0)</f>
        <v>1</v>
      </c>
      <c r="Z931" s="6">
        <f ca="1">Main[[#This Row],[تعداد روزهای بدهکار تسویه شده (روز)]]*Main[[#This Row],[مانده در خط تسویه شده (کیلوگرم)]]</f>
        <v>30101</v>
      </c>
      <c r="AA931" s="6">
        <f ca="1">SUBTOTAL(9,INDEX(Main[بدهی تسویه نشده (کیلوگرم)],1):Main[[#This Row],[بدهی تسویه نشده (کیلوگرم)]])</f>
        <v>0</v>
      </c>
      <c r="AB931" s="6">
        <f ca="1">IF(Main[[#This Row],[مانده در خط تسویه نشده (کیلوگرم)]]&lt;&gt;0,Main[[#This Row],[تعداد کل روزهای بدهکار (روز)]],0)</f>
        <v>0</v>
      </c>
      <c r="AC931" s="6">
        <f ca="1">Main[[#This Row],[تعداد روزهای بدهکار  تسویه نشده (روز)]]*Main[[#This Row],[مانده در خط تسویه نشده (کیلوگرم)]]</f>
        <v>0</v>
      </c>
      <c r="AD931" s="6">
        <f ca="1">SUBTOTAL(9,INDEX(Main[بدهی سررسید شده (کیلوگرم)],1):Main[[#This Row],[بدهی سررسید شده (کیلوگرم)]])</f>
        <v>0</v>
      </c>
      <c r="AE931" s="6">
        <f ca="1">IF(Main[[#This Row],[مانده در خط سررسید شده (کیلوگرم)]]&lt;&gt;0,Main[[#This Row],[تعداد کل روزهای بدهکار (روز)]],0)</f>
        <v>0</v>
      </c>
      <c r="AF931" s="6">
        <f ca="1">Main[[#This Row],[تعداد روزهای بدهکار سررسید شده (روز)]]*Main[[#This Row],[مانده در خط سررسید شده (کیلوگرم)]]</f>
        <v>0</v>
      </c>
    </row>
    <row r="932" spans="1:32" hidden="1" x14ac:dyDescent="0.35">
      <c r="A932" s="5">
        <f>ROW()-ROW(INDEX(Main[ردیف],1))+1</f>
        <v>930</v>
      </c>
      <c r="B932" s="31">
        <f>SUBTOTAL(2,INDEX(Main[ردیف],1):Main[[#This Row],[ردیف]])</f>
        <v>88</v>
      </c>
      <c r="C932" s="32" t="s">
        <v>603</v>
      </c>
      <c r="D932" s="32" t="str">
        <f>_xlfn.CONCAT("14",Main[[#This Row],[تاريخ]])</f>
        <v>1400/04/07</v>
      </c>
      <c r="E932" s="33">
        <v>44375</v>
      </c>
      <c r="F932" s="32">
        <v>10127</v>
      </c>
      <c r="G932" s="5" t="str">
        <f>INDEX(customer[عنوان],MATCH(Main[[#This Row],[کد ردیابی]],customer[کد],0))</f>
        <v xml:space="preserve">عماد هاشمی </v>
      </c>
      <c r="H932">
        <v>105</v>
      </c>
      <c r="I932" s="6">
        <f ca="1">-Main[[#This Row],[بدهی تسویه شده (کیلوگرم)]]+Main[[#This Row],[بستانکار (کیلوگرم)]]</f>
        <v>105</v>
      </c>
      <c r="J932" s="6">
        <f>IF(Main[[#This Row],[مقدار (کیلوگرم)]]&gt;0,Main[[#This Row],[مقدار (کیلوگرم)]],0)</f>
        <v>105</v>
      </c>
      <c r="K932" s="6">
        <f>-IF(Main[[#This Row],[مقدار (کیلوگرم)]]&lt;0,Main[[#This Row],[مقدار (کیلوگرم)]],0)</f>
        <v>0</v>
      </c>
      <c r="L9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2" s="7">
        <f>-IF(AND(Main[[#This Row],[مقدار (کیلوگرم)]]&lt;0,Main[[#This Row],[تاريخ میلادی]]&gt;44276),Main[[#This Row],[مقدار (کیلوگرم)]],0)</f>
        <v>0</v>
      </c>
      <c r="N932" s="6">
        <f ca="1">Main[[#This Row],[بدهکار (کیلوگرم)]]-Main[[#This Row],[بدهی تسویه نشده (کیلوگرم)]]</f>
        <v>0</v>
      </c>
      <c r="O932" s="6">
        <f ca="1">Main[[#This Row],[تفکیک]]</f>
        <v>0</v>
      </c>
      <c r="P932" s="6">
        <f ca="1">IF(Main[[#This Row],[تاخیر از سررسید]]&gt;0,Main[[#This Row],[بدهی تسویه نشده (کیلوگرم)]],0)</f>
        <v>0</v>
      </c>
      <c r="Q932" s="6">
        <f ca="1">IF(Main[[#This Row],[بدهی تسویه نشده (کیلوگرم)]]&gt;0,'گزارش فردی'!$B$7-Main[[#This Row],[تاريخ میلادی]],0)</f>
        <v>0</v>
      </c>
      <c r="R932" s="6">
        <f ca="1">IF(Main[[#This Row],[بدهی تسویه نشده (کیلوگرم)]]&gt;0,'گزارش فردی'!$B$7-Main[[#This Row],[تاريخ میلادی]]-'گزارش فردی'!$B$8,0)</f>
        <v>0</v>
      </c>
      <c r="S932" s="6">
        <f ca="1">Main[[#This Row],[روز از ارسال سفارش]]*Main[[#This Row],[بدهی تسویه نشده (کیلوگرم)]]</f>
        <v>0</v>
      </c>
      <c r="T932" s="6">
        <f ca="1">Main[[#This Row],[بدهی سررسید شده (کیلوگرم)]]*Main[[#This Row],[روز از ارسال سفارش]]</f>
        <v>0</v>
      </c>
      <c r="U932" s="6">
        <f>-SUBTOTAL(9,INDEX(Main[مقدار (کیلوگرم)],1):Main[[#This Row],[مقدار (کیلوگرم)]])</f>
        <v>30101</v>
      </c>
      <c r="V9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32" s="6">
        <f>Main[[#This Row],[تعداد کل روزهای بدهکار (روز)]]*Main[[#This Row],[مانده در خط کل (کیلوگرم)]]</f>
        <v>30101</v>
      </c>
      <c r="X932" s="6">
        <f ca="1">-SUBTOTAL(9,INDEX(Main[مقدار تسویه شده (کیلوگرم)],1):Main[[#This Row],[مقدار تسویه شده (کیلوگرم)]])</f>
        <v>30101</v>
      </c>
      <c r="Y932" s="6">
        <f ca="1">IF(Main[[#This Row],[مانده در خط تسویه شده (کیلوگرم)]]&lt;&gt;0,Main[[#This Row],[تعداد کل روزهای بدهکار (روز)]],0)</f>
        <v>1</v>
      </c>
      <c r="Z932" s="6">
        <f ca="1">Main[[#This Row],[تعداد روزهای بدهکار تسویه شده (روز)]]*Main[[#This Row],[مانده در خط تسویه شده (کیلوگرم)]]</f>
        <v>30101</v>
      </c>
      <c r="AA932" s="6">
        <f ca="1">SUBTOTAL(9,INDEX(Main[بدهی تسویه نشده (کیلوگرم)],1):Main[[#This Row],[بدهی تسویه نشده (کیلوگرم)]])</f>
        <v>0</v>
      </c>
      <c r="AB932" s="6">
        <f ca="1">IF(Main[[#This Row],[مانده در خط تسویه نشده (کیلوگرم)]]&lt;&gt;0,Main[[#This Row],[تعداد کل روزهای بدهکار (روز)]],0)</f>
        <v>0</v>
      </c>
      <c r="AC932" s="6">
        <f ca="1">Main[[#This Row],[تعداد روزهای بدهکار  تسویه نشده (روز)]]*Main[[#This Row],[مانده در خط تسویه نشده (کیلوگرم)]]</f>
        <v>0</v>
      </c>
      <c r="AD932" s="6">
        <f ca="1">SUBTOTAL(9,INDEX(Main[بدهی سررسید شده (کیلوگرم)],1):Main[[#This Row],[بدهی سررسید شده (کیلوگرم)]])</f>
        <v>0</v>
      </c>
      <c r="AE932" s="6">
        <f ca="1">IF(Main[[#This Row],[مانده در خط سررسید شده (کیلوگرم)]]&lt;&gt;0,Main[[#This Row],[تعداد کل روزهای بدهکار (روز)]],0)</f>
        <v>0</v>
      </c>
      <c r="AF932" s="6">
        <f ca="1">Main[[#This Row],[تعداد روزهای بدهکار سررسید شده (روز)]]*Main[[#This Row],[مانده در خط سررسید شده (کیلوگرم)]]</f>
        <v>0</v>
      </c>
    </row>
    <row r="933" spans="1:32" hidden="1" x14ac:dyDescent="0.35">
      <c r="A933" s="5">
        <f>ROW()-ROW(INDEX(Main[ردیف],1))+1</f>
        <v>931</v>
      </c>
      <c r="B933" s="31">
        <f>SUBTOTAL(2,INDEX(Main[ردیف],1):Main[[#This Row],[ردیف]])</f>
        <v>88</v>
      </c>
      <c r="C933" s="32" t="s">
        <v>604</v>
      </c>
      <c r="D933" s="32" t="str">
        <f>_xlfn.CONCAT("14",Main[[#This Row],[تاريخ]])</f>
        <v>1400/04/08</v>
      </c>
      <c r="E933" s="33">
        <v>44376</v>
      </c>
      <c r="F933" s="32">
        <v>30017</v>
      </c>
      <c r="G933" s="5" t="str">
        <f>INDEX(customer[عنوان],MATCH(Main[[#This Row],[کد ردیابی]],customer[کد],0))</f>
        <v xml:space="preserve">البرز یدک </v>
      </c>
      <c r="H933">
        <v>-4966</v>
      </c>
      <c r="I933" s="6">
        <f ca="1">-Main[[#This Row],[بدهی تسویه شده (کیلوگرم)]]+Main[[#This Row],[بستانکار (کیلوگرم)]]</f>
        <v>-4966</v>
      </c>
      <c r="J933" s="6">
        <f>IF(Main[[#This Row],[مقدار (کیلوگرم)]]&gt;0,Main[[#This Row],[مقدار (کیلوگرم)]],0)</f>
        <v>0</v>
      </c>
      <c r="K933" s="6">
        <f>-IF(Main[[#This Row],[مقدار (کیلوگرم)]]&lt;0,Main[[#This Row],[مقدار (کیلوگرم)]],0)</f>
        <v>4966</v>
      </c>
      <c r="L9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3" s="7">
        <f>-IF(AND(Main[[#This Row],[مقدار (کیلوگرم)]]&lt;0,Main[[#This Row],[تاريخ میلادی]]&gt;44276),Main[[#This Row],[مقدار (کیلوگرم)]],0)</f>
        <v>4966</v>
      </c>
      <c r="N933" s="6">
        <f ca="1">Main[[#This Row],[بدهکار (کیلوگرم)]]-Main[[#This Row],[بدهی تسویه نشده (کیلوگرم)]]</f>
        <v>4966</v>
      </c>
      <c r="O933" s="6">
        <f ca="1">Main[[#This Row],[تفکیک]]</f>
        <v>0</v>
      </c>
      <c r="P933" s="6">
        <f ca="1">IF(Main[[#This Row],[تاخیر از سررسید]]&gt;0,Main[[#This Row],[بدهی تسویه نشده (کیلوگرم)]],0)</f>
        <v>0</v>
      </c>
      <c r="Q933" s="6">
        <f ca="1">IF(Main[[#This Row],[بدهی تسویه نشده (کیلوگرم)]]&gt;0,'گزارش فردی'!$B$7-Main[[#This Row],[تاريخ میلادی]],0)</f>
        <v>0</v>
      </c>
      <c r="R933" s="6">
        <f ca="1">IF(Main[[#This Row],[بدهی تسویه نشده (کیلوگرم)]]&gt;0,'گزارش فردی'!$B$7-Main[[#This Row],[تاريخ میلادی]]-'گزارش فردی'!$B$8,0)</f>
        <v>0</v>
      </c>
      <c r="S933" s="6">
        <f ca="1">Main[[#This Row],[روز از ارسال سفارش]]*Main[[#This Row],[بدهی تسویه نشده (کیلوگرم)]]</f>
        <v>0</v>
      </c>
      <c r="T933" s="6">
        <f ca="1">Main[[#This Row],[بدهی سررسید شده (کیلوگرم)]]*Main[[#This Row],[روز از ارسال سفارش]]</f>
        <v>0</v>
      </c>
      <c r="U933" s="6">
        <f>-SUBTOTAL(9,INDEX(Main[مقدار (کیلوگرم)],1):Main[[#This Row],[مقدار (کیلوگرم)]])</f>
        <v>30101</v>
      </c>
      <c r="V9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3" s="6">
        <f>Main[[#This Row],[تعداد کل روزهای بدهکار (روز)]]*Main[[#This Row],[مانده در خط کل (کیلوگرم)]]</f>
        <v>0</v>
      </c>
      <c r="X933" s="6">
        <f ca="1">-SUBTOTAL(9,INDEX(Main[مقدار تسویه شده (کیلوگرم)],1):Main[[#This Row],[مقدار تسویه شده (کیلوگرم)]])</f>
        <v>30101</v>
      </c>
      <c r="Y933" s="6">
        <f ca="1">IF(Main[[#This Row],[مانده در خط تسویه شده (کیلوگرم)]]&lt;&gt;0,Main[[#This Row],[تعداد کل روزهای بدهکار (روز)]],0)</f>
        <v>0</v>
      </c>
      <c r="Z933" s="6">
        <f ca="1">Main[[#This Row],[تعداد روزهای بدهکار تسویه شده (روز)]]*Main[[#This Row],[مانده در خط تسویه شده (کیلوگرم)]]</f>
        <v>0</v>
      </c>
      <c r="AA933" s="6">
        <f ca="1">SUBTOTAL(9,INDEX(Main[بدهی تسویه نشده (کیلوگرم)],1):Main[[#This Row],[بدهی تسویه نشده (کیلوگرم)]])</f>
        <v>0</v>
      </c>
      <c r="AB933" s="6">
        <f ca="1">IF(Main[[#This Row],[مانده در خط تسویه نشده (کیلوگرم)]]&lt;&gt;0,Main[[#This Row],[تعداد کل روزهای بدهکار (روز)]],0)</f>
        <v>0</v>
      </c>
      <c r="AC933" s="6">
        <f ca="1">Main[[#This Row],[تعداد روزهای بدهکار  تسویه نشده (روز)]]*Main[[#This Row],[مانده در خط تسویه نشده (کیلوگرم)]]</f>
        <v>0</v>
      </c>
      <c r="AD933" s="6">
        <f ca="1">SUBTOTAL(9,INDEX(Main[بدهی سررسید شده (کیلوگرم)],1):Main[[#This Row],[بدهی سررسید شده (کیلوگرم)]])</f>
        <v>0</v>
      </c>
      <c r="AE933" s="6">
        <f ca="1">IF(Main[[#This Row],[مانده در خط سررسید شده (کیلوگرم)]]&lt;&gt;0,Main[[#This Row],[تعداد کل روزهای بدهکار (روز)]],0)</f>
        <v>0</v>
      </c>
      <c r="AF933" s="6">
        <f ca="1">Main[[#This Row],[تعداد روزهای بدهکار سررسید شده (روز)]]*Main[[#This Row],[مانده در خط سررسید شده (کیلوگرم)]]</f>
        <v>0</v>
      </c>
    </row>
    <row r="934" spans="1:32" hidden="1" x14ac:dyDescent="0.35">
      <c r="A934" s="5">
        <f>ROW()-ROW(INDEX(Main[ردیف],1))+1</f>
        <v>932</v>
      </c>
      <c r="B934" s="31">
        <f>SUBTOTAL(2,INDEX(Main[ردیف],1):Main[[#This Row],[ردیف]])</f>
        <v>88</v>
      </c>
      <c r="C934" s="32" t="s">
        <v>604</v>
      </c>
      <c r="D934" s="32" t="str">
        <f>_xlfn.CONCAT("14",Main[[#This Row],[تاريخ]])</f>
        <v>1400/04/08</v>
      </c>
      <c r="E934" s="33">
        <v>44376</v>
      </c>
      <c r="F934" s="32">
        <v>10069</v>
      </c>
      <c r="G934" s="5" t="str">
        <f>INDEX(customer[عنوان],MATCH(Main[[#This Row],[کد ردیابی]],customer[کد],0))</f>
        <v xml:space="preserve">جواد عرب </v>
      </c>
      <c r="H934">
        <v>971</v>
      </c>
      <c r="I934" s="6">
        <f ca="1">-Main[[#This Row],[بدهی تسویه شده (کیلوگرم)]]+Main[[#This Row],[بستانکار (کیلوگرم)]]</f>
        <v>971</v>
      </c>
      <c r="J934" s="6">
        <f>IF(Main[[#This Row],[مقدار (کیلوگرم)]]&gt;0,Main[[#This Row],[مقدار (کیلوگرم)]],0)</f>
        <v>971</v>
      </c>
      <c r="K934" s="6">
        <f>-IF(Main[[#This Row],[مقدار (کیلوگرم)]]&lt;0,Main[[#This Row],[مقدار (کیلوگرم)]],0)</f>
        <v>0</v>
      </c>
      <c r="L9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4" s="7">
        <f>-IF(AND(Main[[#This Row],[مقدار (کیلوگرم)]]&lt;0,Main[[#This Row],[تاريخ میلادی]]&gt;44276),Main[[#This Row],[مقدار (کیلوگرم)]],0)</f>
        <v>0</v>
      </c>
      <c r="N934" s="6">
        <f ca="1">Main[[#This Row],[بدهکار (کیلوگرم)]]-Main[[#This Row],[بدهی تسویه نشده (کیلوگرم)]]</f>
        <v>0</v>
      </c>
      <c r="O934" s="6">
        <f ca="1">Main[[#This Row],[تفکیک]]</f>
        <v>0</v>
      </c>
      <c r="P934" s="6">
        <f ca="1">IF(Main[[#This Row],[تاخیر از سررسید]]&gt;0,Main[[#This Row],[بدهی تسویه نشده (کیلوگرم)]],0)</f>
        <v>0</v>
      </c>
      <c r="Q934" s="6">
        <f ca="1">IF(Main[[#This Row],[بدهی تسویه نشده (کیلوگرم)]]&gt;0,'گزارش فردی'!$B$7-Main[[#This Row],[تاريخ میلادی]],0)</f>
        <v>0</v>
      </c>
      <c r="R934" s="6">
        <f ca="1">IF(Main[[#This Row],[بدهی تسویه نشده (کیلوگرم)]]&gt;0,'گزارش فردی'!$B$7-Main[[#This Row],[تاريخ میلادی]]-'گزارش فردی'!$B$8,0)</f>
        <v>0</v>
      </c>
      <c r="S934" s="6">
        <f ca="1">Main[[#This Row],[روز از ارسال سفارش]]*Main[[#This Row],[بدهی تسویه نشده (کیلوگرم)]]</f>
        <v>0</v>
      </c>
      <c r="T934" s="6">
        <f ca="1">Main[[#This Row],[بدهی سررسید شده (کیلوگرم)]]*Main[[#This Row],[روز از ارسال سفارش]]</f>
        <v>0</v>
      </c>
      <c r="U934" s="6">
        <f>-SUBTOTAL(9,INDEX(Main[مقدار (کیلوگرم)],1):Main[[#This Row],[مقدار (کیلوگرم)]])</f>
        <v>30101</v>
      </c>
      <c r="V9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4" s="6">
        <f>Main[[#This Row],[تعداد کل روزهای بدهکار (روز)]]*Main[[#This Row],[مانده در خط کل (کیلوگرم)]]</f>
        <v>0</v>
      </c>
      <c r="X934" s="6">
        <f ca="1">-SUBTOTAL(9,INDEX(Main[مقدار تسویه شده (کیلوگرم)],1):Main[[#This Row],[مقدار تسویه شده (کیلوگرم)]])</f>
        <v>30101</v>
      </c>
      <c r="Y934" s="6">
        <f ca="1">IF(Main[[#This Row],[مانده در خط تسویه شده (کیلوگرم)]]&lt;&gt;0,Main[[#This Row],[تعداد کل روزهای بدهکار (روز)]],0)</f>
        <v>0</v>
      </c>
      <c r="Z934" s="6">
        <f ca="1">Main[[#This Row],[تعداد روزهای بدهکار تسویه شده (روز)]]*Main[[#This Row],[مانده در خط تسویه شده (کیلوگرم)]]</f>
        <v>0</v>
      </c>
      <c r="AA934" s="6">
        <f ca="1">SUBTOTAL(9,INDEX(Main[بدهی تسویه نشده (کیلوگرم)],1):Main[[#This Row],[بدهی تسویه نشده (کیلوگرم)]])</f>
        <v>0</v>
      </c>
      <c r="AB934" s="6">
        <f ca="1">IF(Main[[#This Row],[مانده در خط تسویه نشده (کیلوگرم)]]&lt;&gt;0,Main[[#This Row],[تعداد کل روزهای بدهکار (روز)]],0)</f>
        <v>0</v>
      </c>
      <c r="AC934" s="6">
        <f ca="1">Main[[#This Row],[تعداد روزهای بدهکار  تسویه نشده (روز)]]*Main[[#This Row],[مانده در خط تسویه نشده (کیلوگرم)]]</f>
        <v>0</v>
      </c>
      <c r="AD934" s="6">
        <f ca="1">SUBTOTAL(9,INDEX(Main[بدهی سررسید شده (کیلوگرم)],1):Main[[#This Row],[بدهی سررسید شده (کیلوگرم)]])</f>
        <v>0</v>
      </c>
      <c r="AE934" s="6">
        <f ca="1">IF(Main[[#This Row],[مانده در خط سررسید شده (کیلوگرم)]]&lt;&gt;0,Main[[#This Row],[تعداد کل روزهای بدهکار (روز)]],0)</f>
        <v>0</v>
      </c>
      <c r="AF934" s="6">
        <f ca="1">Main[[#This Row],[تعداد روزهای بدهکار سررسید شده (روز)]]*Main[[#This Row],[مانده در خط سررسید شده (کیلوگرم)]]</f>
        <v>0</v>
      </c>
    </row>
    <row r="935" spans="1:32" hidden="1" x14ac:dyDescent="0.35">
      <c r="A935" s="5">
        <f>ROW()-ROW(INDEX(Main[ردیف],1))+1</f>
        <v>933</v>
      </c>
      <c r="B935" s="31">
        <f>SUBTOTAL(2,INDEX(Main[ردیف],1):Main[[#This Row],[ردیف]])</f>
        <v>88</v>
      </c>
      <c r="C935" s="32" t="s">
        <v>604</v>
      </c>
      <c r="D935" s="32" t="str">
        <f>_xlfn.CONCAT("14",Main[[#This Row],[تاريخ]])</f>
        <v>1400/04/08</v>
      </c>
      <c r="E935" s="33">
        <v>44376</v>
      </c>
      <c r="F935" s="32">
        <v>30127</v>
      </c>
      <c r="G935" s="5" t="str">
        <f>INDEX(customer[عنوان],MATCH(Main[[#This Row],[کد ردیابی]],customer[کد],0))</f>
        <v>شیر گاز آذران</v>
      </c>
      <c r="H935">
        <v>-15354</v>
      </c>
      <c r="I935" s="6">
        <f ca="1">-Main[[#This Row],[بدهی تسویه شده (کیلوگرم)]]+Main[[#This Row],[بستانکار (کیلوگرم)]]</f>
        <v>-15354</v>
      </c>
      <c r="J935" s="6">
        <f>IF(Main[[#This Row],[مقدار (کیلوگرم)]]&gt;0,Main[[#This Row],[مقدار (کیلوگرم)]],0)</f>
        <v>0</v>
      </c>
      <c r="K935" s="6">
        <f>-IF(Main[[#This Row],[مقدار (کیلوگرم)]]&lt;0,Main[[#This Row],[مقدار (کیلوگرم)]],0)</f>
        <v>15354</v>
      </c>
      <c r="L9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5" s="7">
        <f>-IF(AND(Main[[#This Row],[مقدار (کیلوگرم)]]&lt;0,Main[[#This Row],[تاريخ میلادی]]&gt;44276),Main[[#This Row],[مقدار (کیلوگرم)]],0)</f>
        <v>15354</v>
      </c>
      <c r="N935" s="6">
        <f ca="1">Main[[#This Row],[بدهکار (کیلوگرم)]]-Main[[#This Row],[بدهی تسویه نشده (کیلوگرم)]]</f>
        <v>15354</v>
      </c>
      <c r="O935" s="6">
        <f ca="1">Main[[#This Row],[تفکیک]]</f>
        <v>0</v>
      </c>
      <c r="P935" s="6">
        <f ca="1">IF(Main[[#This Row],[تاخیر از سررسید]]&gt;0,Main[[#This Row],[بدهی تسویه نشده (کیلوگرم)]],0)</f>
        <v>0</v>
      </c>
      <c r="Q935" s="6">
        <f ca="1">IF(Main[[#This Row],[بدهی تسویه نشده (کیلوگرم)]]&gt;0,'گزارش فردی'!$B$7-Main[[#This Row],[تاريخ میلادی]],0)</f>
        <v>0</v>
      </c>
      <c r="R935" s="6">
        <f ca="1">IF(Main[[#This Row],[بدهی تسویه نشده (کیلوگرم)]]&gt;0,'گزارش فردی'!$B$7-Main[[#This Row],[تاريخ میلادی]]-'گزارش فردی'!$B$8,0)</f>
        <v>0</v>
      </c>
      <c r="S935" s="6">
        <f ca="1">Main[[#This Row],[روز از ارسال سفارش]]*Main[[#This Row],[بدهی تسویه نشده (کیلوگرم)]]</f>
        <v>0</v>
      </c>
      <c r="T935" s="6">
        <f ca="1">Main[[#This Row],[بدهی سررسید شده (کیلوگرم)]]*Main[[#This Row],[روز از ارسال سفارش]]</f>
        <v>0</v>
      </c>
      <c r="U935" s="6">
        <f>-SUBTOTAL(9,INDEX(Main[مقدار (کیلوگرم)],1):Main[[#This Row],[مقدار (کیلوگرم)]])</f>
        <v>30101</v>
      </c>
      <c r="V9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5" s="6">
        <f>Main[[#This Row],[تعداد کل روزهای بدهکار (روز)]]*Main[[#This Row],[مانده در خط کل (کیلوگرم)]]</f>
        <v>0</v>
      </c>
      <c r="X935" s="6">
        <f ca="1">-SUBTOTAL(9,INDEX(Main[مقدار تسویه شده (کیلوگرم)],1):Main[[#This Row],[مقدار تسویه شده (کیلوگرم)]])</f>
        <v>30101</v>
      </c>
      <c r="Y935" s="6">
        <f ca="1">IF(Main[[#This Row],[مانده در خط تسویه شده (کیلوگرم)]]&lt;&gt;0,Main[[#This Row],[تعداد کل روزهای بدهکار (روز)]],0)</f>
        <v>0</v>
      </c>
      <c r="Z935" s="6">
        <f ca="1">Main[[#This Row],[تعداد روزهای بدهکار تسویه شده (روز)]]*Main[[#This Row],[مانده در خط تسویه شده (کیلوگرم)]]</f>
        <v>0</v>
      </c>
      <c r="AA935" s="6">
        <f ca="1">SUBTOTAL(9,INDEX(Main[بدهی تسویه نشده (کیلوگرم)],1):Main[[#This Row],[بدهی تسویه نشده (کیلوگرم)]])</f>
        <v>0</v>
      </c>
      <c r="AB935" s="6">
        <f ca="1">IF(Main[[#This Row],[مانده در خط تسویه نشده (کیلوگرم)]]&lt;&gt;0,Main[[#This Row],[تعداد کل روزهای بدهکار (روز)]],0)</f>
        <v>0</v>
      </c>
      <c r="AC935" s="6">
        <f ca="1">Main[[#This Row],[تعداد روزهای بدهکار  تسویه نشده (روز)]]*Main[[#This Row],[مانده در خط تسویه نشده (کیلوگرم)]]</f>
        <v>0</v>
      </c>
      <c r="AD935" s="6">
        <f ca="1">SUBTOTAL(9,INDEX(Main[بدهی سررسید شده (کیلوگرم)],1):Main[[#This Row],[بدهی سررسید شده (کیلوگرم)]])</f>
        <v>0</v>
      </c>
      <c r="AE935" s="6">
        <f ca="1">IF(Main[[#This Row],[مانده در خط سررسید شده (کیلوگرم)]]&lt;&gt;0,Main[[#This Row],[تعداد کل روزهای بدهکار (روز)]],0)</f>
        <v>0</v>
      </c>
      <c r="AF935" s="6">
        <f ca="1">Main[[#This Row],[تعداد روزهای بدهکار سررسید شده (روز)]]*Main[[#This Row],[مانده در خط سررسید شده (کیلوگرم)]]</f>
        <v>0</v>
      </c>
    </row>
    <row r="936" spans="1:32" hidden="1" x14ac:dyDescent="0.35">
      <c r="A936" s="5">
        <f>ROW()-ROW(INDEX(Main[ردیف],1))+1</f>
        <v>934</v>
      </c>
      <c r="B936" s="31">
        <f>SUBTOTAL(2,INDEX(Main[ردیف],1):Main[[#This Row],[ردیف]])</f>
        <v>88</v>
      </c>
      <c r="C936" s="32" t="s">
        <v>604</v>
      </c>
      <c r="D936" s="32" t="str">
        <f>_xlfn.CONCAT("14",Main[[#This Row],[تاريخ]])</f>
        <v>1400/04/08</v>
      </c>
      <c r="E936" s="33">
        <v>44376</v>
      </c>
      <c r="F936" s="32">
        <v>10070</v>
      </c>
      <c r="G936" s="5" t="str">
        <f>INDEX(customer[عنوان],MATCH(Main[[#This Row],[کد ردیابی]],customer[کد],0))</f>
        <v xml:space="preserve">حمیدرضا شفیعی </v>
      </c>
      <c r="H936">
        <v>2052</v>
      </c>
      <c r="I936" s="6">
        <f ca="1">-Main[[#This Row],[بدهی تسویه شده (کیلوگرم)]]+Main[[#This Row],[بستانکار (کیلوگرم)]]</f>
        <v>2052</v>
      </c>
      <c r="J936" s="6">
        <f>IF(Main[[#This Row],[مقدار (کیلوگرم)]]&gt;0,Main[[#This Row],[مقدار (کیلوگرم)]],0)</f>
        <v>2052</v>
      </c>
      <c r="K936" s="6">
        <f>-IF(Main[[#This Row],[مقدار (کیلوگرم)]]&lt;0,Main[[#This Row],[مقدار (کیلوگرم)]],0)</f>
        <v>0</v>
      </c>
      <c r="L9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6" s="7">
        <f>-IF(AND(Main[[#This Row],[مقدار (کیلوگرم)]]&lt;0,Main[[#This Row],[تاريخ میلادی]]&gt;44276),Main[[#This Row],[مقدار (کیلوگرم)]],0)</f>
        <v>0</v>
      </c>
      <c r="N936" s="6">
        <f ca="1">Main[[#This Row],[بدهکار (کیلوگرم)]]-Main[[#This Row],[بدهی تسویه نشده (کیلوگرم)]]</f>
        <v>0</v>
      </c>
      <c r="O936" s="6">
        <f ca="1">Main[[#This Row],[تفکیک]]</f>
        <v>0</v>
      </c>
      <c r="P936" s="6">
        <f ca="1">IF(Main[[#This Row],[تاخیر از سررسید]]&gt;0,Main[[#This Row],[بدهی تسویه نشده (کیلوگرم)]],0)</f>
        <v>0</v>
      </c>
      <c r="Q936" s="6">
        <f ca="1">IF(Main[[#This Row],[بدهی تسویه نشده (کیلوگرم)]]&gt;0,'گزارش فردی'!$B$7-Main[[#This Row],[تاريخ میلادی]],0)</f>
        <v>0</v>
      </c>
      <c r="R936" s="6">
        <f ca="1">IF(Main[[#This Row],[بدهی تسویه نشده (کیلوگرم)]]&gt;0,'گزارش فردی'!$B$7-Main[[#This Row],[تاريخ میلادی]]-'گزارش فردی'!$B$8,0)</f>
        <v>0</v>
      </c>
      <c r="S936" s="6">
        <f ca="1">Main[[#This Row],[روز از ارسال سفارش]]*Main[[#This Row],[بدهی تسویه نشده (کیلوگرم)]]</f>
        <v>0</v>
      </c>
      <c r="T936" s="6">
        <f ca="1">Main[[#This Row],[بدهی سررسید شده (کیلوگرم)]]*Main[[#This Row],[روز از ارسال سفارش]]</f>
        <v>0</v>
      </c>
      <c r="U936" s="6">
        <f>-SUBTOTAL(9,INDEX(Main[مقدار (کیلوگرم)],1):Main[[#This Row],[مقدار (کیلوگرم)]])</f>
        <v>30101</v>
      </c>
      <c r="V9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6" s="6">
        <f>Main[[#This Row],[تعداد کل روزهای بدهکار (روز)]]*Main[[#This Row],[مانده در خط کل (کیلوگرم)]]</f>
        <v>0</v>
      </c>
      <c r="X936" s="6">
        <f ca="1">-SUBTOTAL(9,INDEX(Main[مقدار تسویه شده (کیلوگرم)],1):Main[[#This Row],[مقدار تسویه شده (کیلوگرم)]])</f>
        <v>30101</v>
      </c>
      <c r="Y936" s="6">
        <f ca="1">IF(Main[[#This Row],[مانده در خط تسویه شده (کیلوگرم)]]&lt;&gt;0,Main[[#This Row],[تعداد کل روزهای بدهکار (روز)]],0)</f>
        <v>0</v>
      </c>
      <c r="Z936" s="6">
        <f ca="1">Main[[#This Row],[تعداد روزهای بدهکار تسویه شده (روز)]]*Main[[#This Row],[مانده در خط تسویه شده (کیلوگرم)]]</f>
        <v>0</v>
      </c>
      <c r="AA936" s="6">
        <f ca="1">SUBTOTAL(9,INDEX(Main[بدهی تسویه نشده (کیلوگرم)],1):Main[[#This Row],[بدهی تسویه نشده (کیلوگرم)]])</f>
        <v>0</v>
      </c>
      <c r="AB936" s="6">
        <f ca="1">IF(Main[[#This Row],[مانده در خط تسویه نشده (کیلوگرم)]]&lt;&gt;0,Main[[#This Row],[تعداد کل روزهای بدهکار (روز)]],0)</f>
        <v>0</v>
      </c>
      <c r="AC936" s="6">
        <f ca="1">Main[[#This Row],[تعداد روزهای بدهکار  تسویه نشده (روز)]]*Main[[#This Row],[مانده در خط تسویه نشده (کیلوگرم)]]</f>
        <v>0</v>
      </c>
      <c r="AD936" s="6">
        <f ca="1">SUBTOTAL(9,INDEX(Main[بدهی سررسید شده (کیلوگرم)],1):Main[[#This Row],[بدهی سررسید شده (کیلوگرم)]])</f>
        <v>0</v>
      </c>
      <c r="AE936" s="6">
        <f ca="1">IF(Main[[#This Row],[مانده در خط سررسید شده (کیلوگرم)]]&lt;&gt;0,Main[[#This Row],[تعداد کل روزهای بدهکار (روز)]],0)</f>
        <v>0</v>
      </c>
      <c r="AF936" s="6">
        <f ca="1">Main[[#This Row],[تعداد روزهای بدهکار سررسید شده (روز)]]*Main[[#This Row],[مانده در خط سررسید شده (کیلوگرم)]]</f>
        <v>0</v>
      </c>
    </row>
    <row r="937" spans="1:32" hidden="1" x14ac:dyDescent="0.35">
      <c r="A937" s="5">
        <f>ROW()-ROW(INDEX(Main[ردیف],1))+1</f>
        <v>935</v>
      </c>
      <c r="B937" s="31">
        <f>SUBTOTAL(2,INDEX(Main[ردیف],1):Main[[#This Row],[ردیف]])</f>
        <v>88</v>
      </c>
      <c r="C937" s="32" t="s">
        <v>604</v>
      </c>
      <c r="D937" s="32" t="str">
        <f>_xlfn.CONCAT("14",Main[[#This Row],[تاريخ]])</f>
        <v>1400/04/08</v>
      </c>
      <c r="E937" s="33">
        <v>44376</v>
      </c>
      <c r="F937" s="32">
        <v>30009</v>
      </c>
      <c r="G937" s="5" t="str">
        <f>INDEX(customer[عنوان],MATCH(Main[[#This Row],[کد ردیابی]],customer[کد],0))</f>
        <v>شرکت ایمن تک پیشرو</v>
      </c>
      <c r="H937">
        <v>-2153</v>
      </c>
      <c r="I937" s="6">
        <f ca="1">-Main[[#This Row],[بدهی تسویه شده (کیلوگرم)]]+Main[[#This Row],[بستانکار (کیلوگرم)]]</f>
        <v>-2153</v>
      </c>
      <c r="J937" s="6">
        <f>IF(Main[[#This Row],[مقدار (کیلوگرم)]]&gt;0,Main[[#This Row],[مقدار (کیلوگرم)]],0)</f>
        <v>0</v>
      </c>
      <c r="K937" s="6">
        <f>-IF(Main[[#This Row],[مقدار (کیلوگرم)]]&lt;0,Main[[#This Row],[مقدار (کیلوگرم)]],0)</f>
        <v>2153</v>
      </c>
      <c r="L9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7" s="7">
        <f>-IF(AND(Main[[#This Row],[مقدار (کیلوگرم)]]&lt;0,Main[[#This Row],[تاريخ میلادی]]&gt;44276),Main[[#This Row],[مقدار (کیلوگرم)]],0)</f>
        <v>2153</v>
      </c>
      <c r="N937" s="6">
        <f ca="1">Main[[#This Row],[بدهکار (کیلوگرم)]]-Main[[#This Row],[بدهی تسویه نشده (کیلوگرم)]]</f>
        <v>2153</v>
      </c>
      <c r="O937" s="6">
        <f ca="1">Main[[#This Row],[تفکیک]]</f>
        <v>0</v>
      </c>
      <c r="P937" s="6">
        <f ca="1">IF(Main[[#This Row],[تاخیر از سررسید]]&gt;0,Main[[#This Row],[بدهی تسویه نشده (کیلوگرم)]],0)</f>
        <v>0</v>
      </c>
      <c r="Q937" s="6">
        <f ca="1">IF(Main[[#This Row],[بدهی تسویه نشده (کیلوگرم)]]&gt;0,'گزارش فردی'!$B$7-Main[[#This Row],[تاريخ میلادی]],0)</f>
        <v>0</v>
      </c>
      <c r="R937" s="6">
        <f ca="1">IF(Main[[#This Row],[بدهی تسویه نشده (کیلوگرم)]]&gt;0,'گزارش فردی'!$B$7-Main[[#This Row],[تاريخ میلادی]]-'گزارش فردی'!$B$8,0)</f>
        <v>0</v>
      </c>
      <c r="S937" s="6">
        <f ca="1">Main[[#This Row],[روز از ارسال سفارش]]*Main[[#This Row],[بدهی تسویه نشده (کیلوگرم)]]</f>
        <v>0</v>
      </c>
      <c r="T937" s="6">
        <f ca="1">Main[[#This Row],[بدهی سررسید شده (کیلوگرم)]]*Main[[#This Row],[روز از ارسال سفارش]]</f>
        <v>0</v>
      </c>
      <c r="U937" s="6">
        <f>-SUBTOTAL(9,INDEX(Main[مقدار (کیلوگرم)],1):Main[[#This Row],[مقدار (کیلوگرم)]])</f>
        <v>30101</v>
      </c>
      <c r="V9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7" s="6">
        <f>Main[[#This Row],[تعداد کل روزهای بدهکار (روز)]]*Main[[#This Row],[مانده در خط کل (کیلوگرم)]]</f>
        <v>0</v>
      </c>
      <c r="X937" s="6">
        <f ca="1">-SUBTOTAL(9,INDEX(Main[مقدار تسویه شده (کیلوگرم)],1):Main[[#This Row],[مقدار تسویه شده (کیلوگرم)]])</f>
        <v>30101</v>
      </c>
      <c r="Y937" s="6">
        <f ca="1">IF(Main[[#This Row],[مانده در خط تسویه شده (کیلوگرم)]]&lt;&gt;0,Main[[#This Row],[تعداد کل روزهای بدهکار (روز)]],0)</f>
        <v>0</v>
      </c>
      <c r="Z937" s="6">
        <f ca="1">Main[[#This Row],[تعداد روزهای بدهکار تسویه شده (روز)]]*Main[[#This Row],[مانده در خط تسویه شده (کیلوگرم)]]</f>
        <v>0</v>
      </c>
      <c r="AA937" s="6">
        <f ca="1">SUBTOTAL(9,INDEX(Main[بدهی تسویه نشده (کیلوگرم)],1):Main[[#This Row],[بدهی تسویه نشده (کیلوگرم)]])</f>
        <v>0</v>
      </c>
      <c r="AB937" s="6">
        <f ca="1">IF(Main[[#This Row],[مانده در خط تسویه نشده (کیلوگرم)]]&lt;&gt;0,Main[[#This Row],[تعداد کل روزهای بدهکار (روز)]],0)</f>
        <v>0</v>
      </c>
      <c r="AC937" s="6">
        <f ca="1">Main[[#This Row],[تعداد روزهای بدهکار  تسویه نشده (روز)]]*Main[[#This Row],[مانده در خط تسویه نشده (کیلوگرم)]]</f>
        <v>0</v>
      </c>
      <c r="AD937" s="6">
        <f ca="1">SUBTOTAL(9,INDEX(Main[بدهی سررسید شده (کیلوگرم)],1):Main[[#This Row],[بدهی سررسید شده (کیلوگرم)]])</f>
        <v>0</v>
      </c>
      <c r="AE937" s="6">
        <f ca="1">IF(Main[[#This Row],[مانده در خط سررسید شده (کیلوگرم)]]&lt;&gt;0,Main[[#This Row],[تعداد کل روزهای بدهکار (روز)]],0)</f>
        <v>0</v>
      </c>
      <c r="AF937" s="6">
        <f ca="1">Main[[#This Row],[تعداد روزهای بدهکار سررسید شده (روز)]]*Main[[#This Row],[مانده در خط سررسید شده (کیلوگرم)]]</f>
        <v>0</v>
      </c>
    </row>
    <row r="938" spans="1:32" hidden="1" x14ac:dyDescent="0.35">
      <c r="A938" s="5">
        <f>ROW()-ROW(INDEX(Main[ردیف],1))+1</f>
        <v>936</v>
      </c>
      <c r="B938" s="31">
        <f>SUBTOTAL(2,INDEX(Main[ردیف],1):Main[[#This Row],[ردیف]])</f>
        <v>88</v>
      </c>
      <c r="C938" s="32" t="s">
        <v>604</v>
      </c>
      <c r="D938" s="32" t="str">
        <f>_xlfn.CONCAT("14",Main[[#This Row],[تاريخ]])</f>
        <v>1400/04/08</v>
      </c>
      <c r="E938" s="33">
        <v>44376</v>
      </c>
      <c r="F938" s="32">
        <v>30009</v>
      </c>
      <c r="G938" s="5" t="str">
        <f>INDEX(customer[عنوان],MATCH(Main[[#This Row],[کد ردیابی]],customer[کد],0))</f>
        <v>شرکت ایمن تک پیشرو</v>
      </c>
      <c r="H938">
        <v>2064</v>
      </c>
      <c r="I938" s="6">
        <f ca="1">-Main[[#This Row],[بدهی تسویه شده (کیلوگرم)]]+Main[[#This Row],[بستانکار (کیلوگرم)]]</f>
        <v>2064</v>
      </c>
      <c r="J938" s="6">
        <f>IF(Main[[#This Row],[مقدار (کیلوگرم)]]&gt;0,Main[[#This Row],[مقدار (کیلوگرم)]],0)</f>
        <v>2064</v>
      </c>
      <c r="K938" s="6">
        <f>-IF(Main[[#This Row],[مقدار (کیلوگرم)]]&lt;0,Main[[#This Row],[مقدار (کیلوگرم)]],0)</f>
        <v>0</v>
      </c>
      <c r="L9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8" s="7">
        <f>-IF(AND(Main[[#This Row],[مقدار (کیلوگرم)]]&lt;0,Main[[#This Row],[تاريخ میلادی]]&gt;44276),Main[[#This Row],[مقدار (کیلوگرم)]],0)</f>
        <v>0</v>
      </c>
      <c r="N938" s="6">
        <f ca="1">Main[[#This Row],[بدهکار (کیلوگرم)]]-Main[[#This Row],[بدهی تسویه نشده (کیلوگرم)]]</f>
        <v>0</v>
      </c>
      <c r="O938" s="6">
        <f ca="1">Main[[#This Row],[تفکیک]]</f>
        <v>0</v>
      </c>
      <c r="P938" s="6">
        <f ca="1">IF(Main[[#This Row],[تاخیر از سررسید]]&gt;0,Main[[#This Row],[بدهی تسویه نشده (کیلوگرم)]],0)</f>
        <v>0</v>
      </c>
      <c r="Q938" s="6">
        <f ca="1">IF(Main[[#This Row],[بدهی تسویه نشده (کیلوگرم)]]&gt;0,'گزارش فردی'!$B$7-Main[[#This Row],[تاريخ میلادی]],0)</f>
        <v>0</v>
      </c>
      <c r="R938" s="6">
        <f ca="1">IF(Main[[#This Row],[بدهی تسویه نشده (کیلوگرم)]]&gt;0,'گزارش فردی'!$B$7-Main[[#This Row],[تاريخ میلادی]]-'گزارش فردی'!$B$8,0)</f>
        <v>0</v>
      </c>
      <c r="S938" s="6">
        <f ca="1">Main[[#This Row],[روز از ارسال سفارش]]*Main[[#This Row],[بدهی تسویه نشده (کیلوگرم)]]</f>
        <v>0</v>
      </c>
      <c r="T938" s="6">
        <f ca="1">Main[[#This Row],[بدهی سررسید شده (کیلوگرم)]]*Main[[#This Row],[روز از ارسال سفارش]]</f>
        <v>0</v>
      </c>
      <c r="U938" s="6">
        <f>-SUBTOTAL(9,INDEX(Main[مقدار (کیلوگرم)],1):Main[[#This Row],[مقدار (کیلوگرم)]])</f>
        <v>30101</v>
      </c>
      <c r="V9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8" s="6">
        <f>Main[[#This Row],[تعداد کل روزهای بدهکار (روز)]]*Main[[#This Row],[مانده در خط کل (کیلوگرم)]]</f>
        <v>0</v>
      </c>
      <c r="X938" s="6">
        <f ca="1">-SUBTOTAL(9,INDEX(Main[مقدار تسویه شده (کیلوگرم)],1):Main[[#This Row],[مقدار تسویه شده (کیلوگرم)]])</f>
        <v>30101</v>
      </c>
      <c r="Y938" s="6">
        <f ca="1">IF(Main[[#This Row],[مانده در خط تسویه شده (کیلوگرم)]]&lt;&gt;0,Main[[#This Row],[تعداد کل روزهای بدهکار (روز)]],0)</f>
        <v>0</v>
      </c>
      <c r="Z938" s="6">
        <f ca="1">Main[[#This Row],[تعداد روزهای بدهکار تسویه شده (روز)]]*Main[[#This Row],[مانده در خط تسویه شده (کیلوگرم)]]</f>
        <v>0</v>
      </c>
      <c r="AA938" s="6">
        <f ca="1">SUBTOTAL(9,INDEX(Main[بدهی تسویه نشده (کیلوگرم)],1):Main[[#This Row],[بدهی تسویه نشده (کیلوگرم)]])</f>
        <v>0</v>
      </c>
      <c r="AB938" s="6">
        <f ca="1">IF(Main[[#This Row],[مانده در خط تسویه نشده (کیلوگرم)]]&lt;&gt;0,Main[[#This Row],[تعداد کل روزهای بدهکار (روز)]],0)</f>
        <v>0</v>
      </c>
      <c r="AC938" s="6">
        <f ca="1">Main[[#This Row],[تعداد روزهای بدهکار  تسویه نشده (روز)]]*Main[[#This Row],[مانده در خط تسویه نشده (کیلوگرم)]]</f>
        <v>0</v>
      </c>
      <c r="AD938" s="6">
        <f ca="1">SUBTOTAL(9,INDEX(Main[بدهی سررسید شده (کیلوگرم)],1):Main[[#This Row],[بدهی سررسید شده (کیلوگرم)]])</f>
        <v>0</v>
      </c>
      <c r="AE938" s="6">
        <f ca="1">IF(Main[[#This Row],[مانده در خط سررسید شده (کیلوگرم)]]&lt;&gt;0,Main[[#This Row],[تعداد کل روزهای بدهکار (روز)]],0)</f>
        <v>0</v>
      </c>
      <c r="AF938" s="6">
        <f ca="1">Main[[#This Row],[تعداد روزهای بدهکار سررسید شده (روز)]]*Main[[#This Row],[مانده در خط سررسید شده (کیلوگرم)]]</f>
        <v>0</v>
      </c>
    </row>
    <row r="939" spans="1:32" hidden="1" x14ac:dyDescent="0.35">
      <c r="A939" s="5">
        <f>ROW()-ROW(INDEX(Main[ردیف],1))+1</f>
        <v>937</v>
      </c>
      <c r="B939" s="31">
        <f>SUBTOTAL(2,INDEX(Main[ردیف],1):Main[[#This Row],[ردیف]])</f>
        <v>88</v>
      </c>
      <c r="C939" s="32" t="s">
        <v>604</v>
      </c>
      <c r="D939" s="32" t="str">
        <f>_xlfn.CONCAT("14",Main[[#This Row],[تاريخ]])</f>
        <v>1400/04/08</v>
      </c>
      <c r="E939" s="33">
        <v>44376</v>
      </c>
      <c r="F939" s="32">
        <v>30009</v>
      </c>
      <c r="G939" s="5" t="str">
        <f>INDEX(customer[عنوان],MATCH(Main[[#This Row],[کد ردیابی]],customer[کد],0))</f>
        <v>شرکت ایمن تک پیشرو</v>
      </c>
      <c r="H939">
        <v>-41</v>
      </c>
      <c r="I939" s="6">
        <f ca="1">-Main[[#This Row],[بدهی تسویه شده (کیلوگرم)]]+Main[[#This Row],[بستانکار (کیلوگرم)]]</f>
        <v>-41</v>
      </c>
      <c r="J939" s="6">
        <f>IF(Main[[#This Row],[مقدار (کیلوگرم)]]&gt;0,Main[[#This Row],[مقدار (کیلوگرم)]],0)</f>
        <v>0</v>
      </c>
      <c r="K939" s="6">
        <f>-IF(Main[[#This Row],[مقدار (کیلوگرم)]]&lt;0,Main[[#This Row],[مقدار (کیلوگرم)]],0)</f>
        <v>41</v>
      </c>
      <c r="L9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9" s="7">
        <f>-IF(AND(Main[[#This Row],[مقدار (کیلوگرم)]]&lt;0,Main[[#This Row],[تاريخ میلادی]]&gt;44276),Main[[#This Row],[مقدار (کیلوگرم)]],0)</f>
        <v>41</v>
      </c>
      <c r="N939" s="6">
        <f ca="1">Main[[#This Row],[بدهکار (کیلوگرم)]]-Main[[#This Row],[بدهی تسویه نشده (کیلوگرم)]]</f>
        <v>41</v>
      </c>
      <c r="O939" s="6">
        <f ca="1">Main[[#This Row],[تفکیک]]</f>
        <v>0</v>
      </c>
      <c r="P939" s="6">
        <f ca="1">IF(Main[[#This Row],[تاخیر از سررسید]]&gt;0,Main[[#This Row],[بدهی تسویه نشده (کیلوگرم)]],0)</f>
        <v>0</v>
      </c>
      <c r="Q939" s="6">
        <f ca="1">IF(Main[[#This Row],[بدهی تسویه نشده (کیلوگرم)]]&gt;0,'گزارش فردی'!$B$7-Main[[#This Row],[تاريخ میلادی]],0)</f>
        <v>0</v>
      </c>
      <c r="R939" s="6">
        <f ca="1">IF(Main[[#This Row],[بدهی تسویه نشده (کیلوگرم)]]&gt;0,'گزارش فردی'!$B$7-Main[[#This Row],[تاريخ میلادی]]-'گزارش فردی'!$B$8,0)</f>
        <v>0</v>
      </c>
      <c r="S939" s="6">
        <f ca="1">Main[[#This Row],[روز از ارسال سفارش]]*Main[[#This Row],[بدهی تسویه نشده (کیلوگرم)]]</f>
        <v>0</v>
      </c>
      <c r="T939" s="6">
        <f ca="1">Main[[#This Row],[بدهی سررسید شده (کیلوگرم)]]*Main[[#This Row],[روز از ارسال سفارش]]</f>
        <v>0</v>
      </c>
      <c r="U939" s="6">
        <f>-SUBTOTAL(9,INDEX(Main[مقدار (کیلوگرم)],1):Main[[#This Row],[مقدار (کیلوگرم)]])</f>
        <v>30101</v>
      </c>
      <c r="V9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9" s="6">
        <f>Main[[#This Row],[تعداد کل روزهای بدهکار (روز)]]*Main[[#This Row],[مانده در خط کل (کیلوگرم)]]</f>
        <v>0</v>
      </c>
      <c r="X939" s="6">
        <f ca="1">-SUBTOTAL(9,INDEX(Main[مقدار تسویه شده (کیلوگرم)],1):Main[[#This Row],[مقدار تسویه شده (کیلوگرم)]])</f>
        <v>30101</v>
      </c>
      <c r="Y939" s="6">
        <f ca="1">IF(Main[[#This Row],[مانده در خط تسویه شده (کیلوگرم)]]&lt;&gt;0,Main[[#This Row],[تعداد کل روزهای بدهکار (روز)]],0)</f>
        <v>0</v>
      </c>
      <c r="Z939" s="6">
        <f ca="1">Main[[#This Row],[تعداد روزهای بدهکار تسویه شده (روز)]]*Main[[#This Row],[مانده در خط تسویه شده (کیلوگرم)]]</f>
        <v>0</v>
      </c>
      <c r="AA939" s="6">
        <f ca="1">SUBTOTAL(9,INDEX(Main[بدهی تسویه نشده (کیلوگرم)],1):Main[[#This Row],[بدهی تسویه نشده (کیلوگرم)]])</f>
        <v>0</v>
      </c>
      <c r="AB939" s="6">
        <f ca="1">IF(Main[[#This Row],[مانده در خط تسویه نشده (کیلوگرم)]]&lt;&gt;0,Main[[#This Row],[تعداد کل روزهای بدهکار (روز)]],0)</f>
        <v>0</v>
      </c>
      <c r="AC939" s="6">
        <f ca="1">Main[[#This Row],[تعداد روزهای بدهکار  تسویه نشده (روز)]]*Main[[#This Row],[مانده در خط تسویه نشده (کیلوگرم)]]</f>
        <v>0</v>
      </c>
      <c r="AD939" s="6">
        <f ca="1">SUBTOTAL(9,INDEX(Main[بدهی سررسید شده (کیلوگرم)],1):Main[[#This Row],[بدهی سررسید شده (کیلوگرم)]])</f>
        <v>0</v>
      </c>
      <c r="AE939" s="6">
        <f ca="1">IF(Main[[#This Row],[مانده در خط سررسید شده (کیلوگرم)]]&lt;&gt;0,Main[[#This Row],[تعداد کل روزهای بدهکار (روز)]],0)</f>
        <v>0</v>
      </c>
      <c r="AF939" s="6">
        <f ca="1">Main[[#This Row],[تعداد روزهای بدهکار سررسید شده (روز)]]*Main[[#This Row],[مانده در خط سررسید شده (کیلوگرم)]]</f>
        <v>0</v>
      </c>
    </row>
    <row r="940" spans="1:32" hidden="1" x14ac:dyDescent="0.35">
      <c r="A940" s="5">
        <f>ROW()-ROW(INDEX(Main[ردیف],1))+1</f>
        <v>938</v>
      </c>
      <c r="B940" s="31">
        <f>SUBTOTAL(2,INDEX(Main[ردیف],1):Main[[#This Row],[ردیف]])</f>
        <v>88</v>
      </c>
      <c r="C940" s="32" t="s">
        <v>604</v>
      </c>
      <c r="D940" s="32" t="str">
        <f>_xlfn.CONCAT("14",Main[[#This Row],[تاريخ]])</f>
        <v>1400/04/08</v>
      </c>
      <c r="E940" s="33">
        <v>44376</v>
      </c>
      <c r="F940" s="32">
        <v>30017</v>
      </c>
      <c r="G940" s="5" t="str">
        <f>INDEX(customer[عنوان],MATCH(Main[[#This Row],[کد ردیابی]],customer[کد],0))</f>
        <v xml:space="preserve">البرز یدک </v>
      </c>
      <c r="H940">
        <v>11407</v>
      </c>
      <c r="I940" s="6">
        <f ca="1">-Main[[#This Row],[بدهی تسویه شده (کیلوگرم)]]+Main[[#This Row],[بستانکار (کیلوگرم)]]</f>
        <v>11407</v>
      </c>
      <c r="J940" s="6">
        <f>IF(Main[[#This Row],[مقدار (کیلوگرم)]]&gt;0,Main[[#This Row],[مقدار (کیلوگرم)]],0)</f>
        <v>11407</v>
      </c>
      <c r="K940" s="6">
        <f>-IF(Main[[#This Row],[مقدار (کیلوگرم)]]&lt;0,Main[[#This Row],[مقدار (کیلوگرم)]],0)</f>
        <v>0</v>
      </c>
      <c r="L9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0" s="7">
        <f>-IF(AND(Main[[#This Row],[مقدار (کیلوگرم)]]&lt;0,Main[[#This Row],[تاريخ میلادی]]&gt;44276),Main[[#This Row],[مقدار (کیلوگرم)]],0)</f>
        <v>0</v>
      </c>
      <c r="N940" s="6">
        <f ca="1">Main[[#This Row],[بدهکار (کیلوگرم)]]-Main[[#This Row],[بدهی تسویه نشده (کیلوگرم)]]</f>
        <v>0</v>
      </c>
      <c r="O940" s="6">
        <f ca="1">Main[[#This Row],[تفکیک]]</f>
        <v>0</v>
      </c>
      <c r="P940" s="6">
        <f ca="1">IF(Main[[#This Row],[تاخیر از سررسید]]&gt;0,Main[[#This Row],[بدهی تسویه نشده (کیلوگرم)]],0)</f>
        <v>0</v>
      </c>
      <c r="Q940" s="6">
        <f ca="1">IF(Main[[#This Row],[بدهی تسویه نشده (کیلوگرم)]]&gt;0,'گزارش فردی'!$B$7-Main[[#This Row],[تاريخ میلادی]],0)</f>
        <v>0</v>
      </c>
      <c r="R940" s="6">
        <f ca="1">IF(Main[[#This Row],[بدهی تسویه نشده (کیلوگرم)]]&gt;0,'گزارش فردی'!$B$7-Main[[#This Row],[تاريخ میلادی]]-'گزارش فردی'!$B$8,0)</f>
        <v>0</v>
      </c>
      <c r="S940" s="6">
        <f ca="1">Main[[#This Row],[روز از ارسال سفارش]]*Main[[#This Row],[بدهی تسویه نشده (کیلوگرم)]]</f>
        <v>0</v>
      </c>
      <c r="T940" s="6">
        <f ca="1">Main[[#This Row],[بدهی سررسید شده (کیلوگرم)]]*Main[[#This Row],[روز از ارسال سفارش]]</f>
        <v>0</v>
      </c>
      <c r="U940" s="6">
        <f>-SUBTOTAL(9,INDEX(Main[مقدار (کیلوگرم)],1):Main[[#This Row],[مقدار (کیلوگرم)]])</f>
        <v>30101</v>
      </c>
      <c r="V9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0" s="6">
        <f>Main[[#This Row],[تعداد کل روزهای بدهکار (روز)]]*Main[[#This Row],[مانده در خط کل (کیلوگرم)]]</f>
        <v>0</v>
      </c>
      <c r="X940" s="6">
        <f ca="1">-SUBTOTAL(9,INDEX(Main[مقدار تسویه شده (کیلوگرم)],1):Main[[#This Row],[مقدار تسویه شده (کیلوگرم)]])</f>
        <v>30101</v>
      </c>
      <c r="Y940" s="6">
        <f ca="1">IF(Main[[#This Row],[مانده در خط تسویه شده (کیلوگرم)]]&lt;&gt;0,Main[[#This Row],[تعداد کل روزهای بدهکار (روز)]],0)</f>
        <v>0</v>
      </c>
      <c r="Z940" s="6">
        <f ca="1">Main[[#This Row],[تعداد روزهای بدهکار تسویه شده (روز)]]*Main[[#This Row],[مانده در خط تسویه شده (کیلوگرم)]]</f>
        <v>0</v>
      </c>
      <c r="AA940" s="6">
        <f ca="1">SUBTOTAL(9,INDEX(Main[بدهی تسویه نشده (کیلوگرم)],1):Main[[#This Row],[بدهی تسویه نشده (کیلوگرم)]])</f>
        <v>0</v>
      </c>
      <c r="AB940" s="6">
        <f ca="1">IF(Main[[#This Row],[مانده در خط تسویه نشده (کیلوگرم)]]&lt;&gt;0,Main[[#This Row],[تعداد کل روزهای بدهکار (روز)]],0)</f>
        <v>0</v>
      </c>
      <c r="AC940" s="6">
        <f ca="1">Main[[#This Row],[تعداد روزهای بدهکار  تسویه نشده (روز)]]*Main[[#This Row],[مانده در خط تسویه نشده (کیلوگرم)]]</f>
        <v>0</v>
      </c>
      <c r="AD940" s="6">
        <f ca="1">SUBTOTAL(9,INDEX(Main[بدهی سررسید شده (کیلوگرم)],1):Main[[#This Row],[بدهی سررسید شده (کیلوگرم)]])</f>
        <v>0</v>
      </c>
      <c r="AE940" s="6">
        <f ca="1">IF(Main[[#This Row],[مانده در خط سررسید شده (کیلوگرم)]]&lt;&gt;0,Main[[#This Row],[تعداد کل روزهای بدهکار (روز)]],0)</f>
        <v>0</v>
      </c>
      <c r="AF940" s="6">
        <f ca="1">Main[[#This Row],[تعداد روزهای بدهکار سررسید شده (روز)]]*Main[[#This Row],[مانده در خط سررسید شده (کیلوگرم)]]</f>
        <v>0</v>
      </c>
    </row>
    <row r="941" spans="1:32" x14ac:dyDescent="0.35">
      <c r="A941" s="5">
        <f>ROW()-ROW(INDEX(Main[ردیف],1))+1</f>
        <v>939</v>
      </c>
      <c r="B941" s="31">
        <f>SUBTOTAL(2,INDEX(Main[ردیف],1):Main[[#This Row],[ردیف]])</f>
        <v>89</v>
      </c>
      <c r="C941" s="32" t="s">
        <v>604</v>
      </c>
      <c r="D941" s="32" t="str">
        <f>_xlfn.CONCAT("14",Main[[#This Row],[تاريخ]])</f>
        <v>1400/04/08</v>
      </c>
      <c r="E941" s="33">
        <v>44376</v>
      </c>
      <c r="F941" s="32">
        <v>10003</v>
      </c>
      <c r="G941" s="5" t="str">
        <f>INDEX(customer[عنوان],MATCH(Main[[#This Row],[کد ردیابی]],customer[کد],0))</f>
        <v>اصغر نورعلی</v>
      </c>
      <c r="H941">
        <v>-3972</v>
      </c>
      <c r="I941" s="6">
        <f ca="1">-Main[[#This Row],[بدهی تسویه شده (کیلوگرم)]]+Main[[#This Row],[بستانکار (کیلوگرم)]]</f>
        <v>-3972</v>
      </c>
      <c r="J941" s="6">
        <f>IF(Main[[#This Row],[مقدار (کیلوگرم)]]&gt;0,Main[[#This Row],[مقدار (کیلوگرم)]],0)</f>
        <v>0</v>
      </c>
      <c r="K941" s="6">
        <f>-IF(Main[[#This Row],[مقدار (کیلوگرم)]]&lt;0,Main[[#This Row],[مقدار (کیلوگرم)]],0)</f>
        <v>3972</v>
      </c>
      <c r="L9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1" s="7">
        <f>-IF(AND(Main[[#This Row],[مقدار (کیلوگرم)]]&lt;0,Main[[#This Row],[تاريخ میلادی]]&gt;44276),Main[[#This Row],[مقدار (کیلوگرم)]],0)</f>
        <v>3972</v>
      </c>
      <c r="N941" s="6">
        <f ca="1">Main[[#This Row],[بدهکار (کیلوگرم)]]-Main[[#This Row],[بدهی تسویه نشده (کیلوگرم)]]</f>
        <v>3972</v>
      </c>
      <c r="O941" s="6">
        <f ca="1">Main[[#This Row],[تفکیک]]</f>
        <v>0</v>
      </c>
      <c r="P941" s="6">
        <f ca="1">IF(Main[[#This Row],[تاخیر از سررسید]]&gt;0,Main[[#This Row],[بدهی تسویه نشده (کیلوگرم)]],0)</f>
        <v>0</v>
      </c>
      <c r="Q941" s="6">
        <f ca="1">IF(Main[[#This Row],[بدهی تسویه نشده (کیلوگرم)]]&gt;0,'گزارش فردی'!$B$7-Main[[#This Row],[تاريخ میلادی]],0)</f>
        <v>0</v>
      </c>
      <c r="R941" s="6">
        <f ca="1">IF(Main[[#This Row],[بدهی تسویه نشده (کیلوگرم)]]&gt;0,'گزارش فردی'!$B$7-Main[[#This Row],[تاريخ میلادی]]-'گزارش فردی'!$B$8,0)</f>
        <v>0</v>
      </c>
      <c r="S941" s="6">
        <f ca="1">Main[[#This Row],[روز از ارسال سفارش]]*Main[[#This Row],[بدهی تسویه نشده (کیلوگرم)]]</f>
        <v>0</v>
      </c>
      <c r="T941" s="6">
        <f ca="1">Main[[#This Row],[بدهی سررسید شده (کیلوگرم)]]*Main[[#This Row],[روز از ارسال سفارش]]</f>
        <v>0</v>
      </c>
      <c r="U941" s="6">
        <f>-SUBTOTAL(9,INDEX(Main[مقدار (کیلوگرم)],1):Main[[#This Row],[مقدار (کیلوگرم)]])</f>
        <v>34073</v>
      </c>
      <c r="V9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1" s="6">
        <f>Main[[#This Row],[تعداد کل روزهای بدهکار (روز)]]*Main[[#This Row],[مانده در خط کل (کیلوگرم)]]</f>
        <v>34073</v>
      </c>
      <c r="X941" s="6">
        <f ca="1">-SUBTOTAL(9,INDEX(Main[مقدار تسویه شده (کیلوگرم)],1):Main[[#This Row],[مقدار تسویه شده (کیلوگرم)]])</f>
        <v>34073</v>
      </c>
      <c r="Y941" s="6">
        <f ca="1">IF(Main[[#This Row],[مانده در خط تسویه شده (کیلوگرم)]]&lt;&gt;0,Main[[#This Row],[تعداد کل روزهای بدهکار (روز)]],0)</f>
        <v>1</v>
      </c>
      <c r="Z941" s="6">
        <f ca="1">Main[[#This Row],[تعداد روزهای بدهکار تسویه شده (روز)]]*Main[[#This Row],[مانده در خط تسویه شده (کیلوگرم)]]</f>
        <v>34073</v>
      </c>
      <c r="AA941" s="6">
        <f ca="1">SUBTOTAL(9,INDEX(Main[بدهی تسویه نشده (کیلوگرم)],1):Main[[#This Row],[بدهی تسویه نشده (کیلوگرم)]])</f>
        <v>0</v>
      </c>
      <c r="AB941" s="6">
        <f ca="1">IF(Main[[#This Row],[مانده در خط تسویه نشده (کیلوگرم)]]&lt;&gt;0,Main[[#This Row],[تعداد کل روزهای بدهکار (روز)]],0)</f>
        <v>0</v>
      </c>
      <c r="AC941" s="6">
        <f ca="1">Main[[#This Row],[تعداد روزهای بدهکار  تسویه نشده (روز)]]*Main[[#This Row],[مانده در خط تسویه نشده (کیلوگرم)]]</f>
        <v>0</v>
      </c>
      <c r="AD941" s="6">
        <f ca="1">SUBTOTAL(9,INDEX(Main[بدهی سررسید شده (کیلوگرم)],1):Main[[#This Row],[بدهی سررسید شده (کیلوگرم)]])</f>
        <v>0</v>
      </c>
      <c r="AE941" s="6">
        <f ca="1">IF(Main[[#This Row],[مانده در خط سررسید شده (کیلوگرم)]]&lt;&gt;0,Main[[#This Row],[تعداد کل روزهای بدهکار (روز)]],0)</f>
        <v>0</v>
      </c>
      <c r="AF941" s="6">
        <f ca="1">Main[[#This Row],[تعداد روزهای بدهکار سررسید شده (روز)]]*Main[[#This Row],[مانده در خط سررسید شده (کیلوگرم)]]</f>
        <v>0</v>
      </c>
    </row>
    <row r="942" spans="1:32" hidden="1" x14ac:dyDescent="0.35">
      <c r="A942" s="5">
        <f>ROW()-ROW(INDEX(Main[ردیف],1))+1</f>
        <v>940</v>
      </c>
      <c r="B942" s="31">
        <f>SUBTOTAL(2,INDEX(Main[ردیف],1):Main[[#This Row],[ردیف]])</f>
        <v>89</v>
      </c>
      <c r="C942" s="32" t="s">
        <v>604</v>
      </c>
      <c r="D942" s="32" t="str">
        <f>_xlfn.CONCAT("14",Main[[#This Row],[تاريخ]])</f>
        <v>1400/04/08</v>
      </c>
      <c r="E942" s="33">
        <v>44376</v>
      </c>
      <c r="F942" s="32">
        <v>10069</v>
      </c>
      <c r="G942" s="5" t="str">
        <f>INDEX(customer[عنوان],MATCH(Main[[#This Row],[کد ردیابی]],customer[کد],0))</f>
        <v xml:space="preserve">جواد عرب </v>
      </c>
      <c r="H942">
        <v>1027</v>
      </c>
      <c r="I942" s="6">
        <f ca="1">-Main[[#This Row],[بدهی تسویه شده (کیلوگرم)]]+Main[[#This Row],[بستانکار (کیلوگرم)]]</f>
        <v>1027</v>
      </c>
      <c r="J942" s="6">
        <f>IF(Main[[#This Row],[مقدار (کیلوگرم)]]&gt;0,Main[[#This Row],[مقدار (کیلوگرم)]],0)</f>
        <v>1027</v>
      </c>
      <c r="K942" s="6">
        <f>-IF(Main[[#This Row],[مقدار (کیلوگرم)]]&lt;0,Main[[#This Row],[مقدار (کیلوگرم)]],0)</f>
        <v>0</v>
      </c>
      <c r="L9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2" s="7">
        <f>-IF(AND(Main[[#This Row],[مقدار (کیلوگرم)]]&lt;0,Main[[#This Row],[تاريخ میلادی]]&gt;44276),Main[[#This Row],[مقدار (کیلوگرم)]],0)</f>
        <v>0</v>
      </c>
      <c r="N942" s="6">
        <f ca="1">Main[[#This Row],[بدهکار (کیلوگرم)]]-Main[[#This Row],[بدهی تسویه نشده (کیلوگرم)]]</f>
        <v>0</v>
      </c>
      <c r="O942" s="6">
        <f ca="1">Main[[#This Row],[تفکیک]]</f>
        <v>0</v>
      </c>
      <c r="P942" s="6">
        <f ca="1">IF(Main[[#This Row],[تاخیر از سررسید]]&gt;0,Main[[#This Row],[بدهی تسویه نشده (کیلوگرم)]],0)</f>
        <v>0</v>
      </c>
      <c r="Q942" s="6">
        <f ca="1">IF(Main[[#This Row],[بدهی تسویه نشده (کیلوگرم)]]&gt;0,'گزارش فردی'!$B$7-Main[[#This Row],[تاريخ میلادی]],0)</f>
        <v>0</v>
      </c>
      <c r="R942" s="6">
        <f ca="1">IF(Main[[#This Row],[بدهی تسویه نشده (کیلوگرم)]]&gt;0,'گزارش فردی'!$B$7-Main[[#This Row],[تاريخ میلادی]]-'گزارش فردی'!$B$8,0)</f>
        <v>0</v>
      </c>
      <c r="S942" s="6">
        <f ca="1">Main[[#This Row],[روز از ارسال سفارش]]*Main[[#This Row],[بدهی تسویه نشده (کیلوگرم)]]</f>
        <v>0</v>
      </c>
      <c r="T942" s="6">
        <f ca="1">Main[[#This Row],[بدهی سررسید شده (کیلوگرم)]]*Main[[#This Row],[روز از ارسال سفارش]]</f>
        <v>0</v>
      </c>
      <c r="U942" s="6">
        <f>-SUBTOTAL(9,INDEX(Main[مقدار (کیلوگرم)],1):Main[[#This Row],[مقدار (کیلوگرم)]])</f>
        <v>34073</v>
      </c>
      <c r="V9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2" s="6">
        <f>Main[[#This Row],[تعداد کل روزهای بدهکار (روز)]]*Main[[#This Row],[مانده در خط کل (کیلوگرم)]]</f>
        <v>34073</v>
      </c>
      <c r="X942" s="6">
        <f ca="1">-SUBTOTAL(9,INDEX(Main[مقدار تسویه شده (کیلوگرم)],1):Main[[#This Row],[مقدار تسویه شده (کیلوگرم)]])</f>
        <v>34073</v>
      </c>
      <c r="Y942" s="6">
        <f ca="1">IF(Main[[#This Row],[مانده در خط تسویه شده (کیلوگرم)]]&lt;&gt;0,Main[[#This Row],[تعداد کل روزهای بدهکار (روز)]],0)</f>
        <v>1</v>
      </c>
      <c r="Z942" s="6">
        <f ca="1">Main[[#This Row],[تعداد روزهای بدهکار تسویه شده (روز)]]*Main[[#This Row],[مانده در خط تسویه شده (کیلوگرم)]]</f>
        <v>34073</v>
      </c>
      <c r="AA942" s="6">
        <f ca="1">SUBTOTAL(9,INDEX(Main[بدهی تسویه نشده (کیلوگرم)],1):Main[[#This Row],[بدهی تسویه نشده (کیلوگرم)]])</f>
        <v>0</v>
      </c>
      <c r="AB942" s="6">
        <f ca="1">IF(Main[[#This Row],[مانده در خط تسویه نشده (کیلوگرم)]]&lt;&gt;0,Main[[#This Row],[تعداد کل روزهای بدهکار (روز)]],0)</f>
        <v>0</v>
      </c>
      <c r="AC942" s="6">
        <f ca="1">Main[[#This Row],[تعداد روزهای بدهکار  تسویه نشده (روز)]]*Main[[#This Row],[مانده در خط تسویه نشده (کیلوگرم)]]</f>
        <v>0</v>
      </c>
      <c r="AD942" s="6">
        <f ca="1">SUBTOTAL(9,INDEX(Main[بدهی سررسید شده (کیلوگرم)],1):Main[[#This Row],[بدهی سررسید شده (کیلوگرم)]])</f>
        <v>0</v>
      </c>
      <c r="AE942" s="6">
        <f ca="1">IF(Main[[#This Row],[مانده در خط سررسید شده (کیلوگرم)]]&lt;&gt;0,Main[[#This Row],[تعداد کل روزهای بدهکار (روز)]],0)</f>
        <v>0</v>
      </c>
      <c r="AF942" s="6">
        <f ca="1">Main[[#This Row],[تعداد روزهای بدهکار سررسید شده (روز)]]*Main[[#This Row],[مانده در خط سررسید شده (کیلوگرم)]]</f>
        <v>0</v>
      </c>
    </row>
    <row r="943" spans="1:32" hidden="1" x14ac:dyDescent="0.35">
      <c r="A943" s="5">
        <f>ROW()-ROW(INDEX(Main[ردیف],1))+1</f>
        <v>941</v>
      </c>
      <c r="B943" s="31">
        <f>SUBTOTAL(2,INDEX(Main[ردیف],1):Main[[#This Row],[ردیف]])</f>
        <v>89</v>
      </c>
      <c r="C943" s="32" t="s">
        <v>604</v>
      </c>
      <c r="D943" s="32" t="str">
        <f>_xlfn.CONCAT("14",Main[[#This Row],[تاريخ]])</f>
        <v>1400/04/08</v>
      </c>
      <c r="E943" s="33">
        <v>44376</v>
      </c>
      <c r="F943" s="32">
        <v>10069</v>
      </c>
      <c r="G943" s="5" t="str">
        <f>INDEX(customer[عنوان],MATCH(Main[[#This Row],[کد ردیابی]],customer[کد],0))</f>
        <v xml:space="preserve">جواد عرب </v>
      </c>
      <c r="H943">
        <v>-1999</v>
      </c>
      <c r="I943" s="6">
        <f ca="1">-Main[[#This Row],[بدهی تسویه شده (کیلوگرم)]]+Main[[#This Row],[بستانکار (کیلوگرم)]]</f>
        <v>-1999</v>
      </c>
      <c r="J943" s="6">
        <f>IF(Main[[#This Row],[مقدار (کیلوگرم)]]&gt;0,Main[[#This Row],[مقدار (کیلوگرم)]],0)</f>
        <v>0</v>
      </c>
      <c r="K943" s="6">
        <f>-IF(Main[[#This Row],[مقدار (کیلوگرم)]]&lt;0,Main[[#This Row],[مقدار (کیلوگرم)]],0)</f>
        <v>1999</v>
      </c>
      <c r="L9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3" s="7">
        <f>-IF(AND(Main[[#This Row],[مقدار (کیلوگرم)]]&lt;0,Main[[#This Row],[تاريخ میلادی]]&gt;44276),Main[[#This Row],[مقدار (کیلوگرم)]],0)</f>
        <v>1999</v>
      </c>
      <c r="N943" s="6">
        <f ca="1">Main[[#This Row],[بدهکار (کیلوگرم)]]-Main[[#This Row],[بدهی تسویه نشده (کیلوگرم)]]</f>
        <v>1999</v>
      </c>
      <c r="O943" s="6">
        <f ca="1">Main[[#This Row],[تفکیک]]</f>
        <v>0</v>
      </c>
      <c r="P943" s="6">
        <f ca="1">IF(Main[[#This Row],[تاخیر از سررسید]]&gt;0,Main[[#This Row],[بدهی تسویه نشده (کیلوگرم)]],0)</f>
        <v>0</v>
      </c>
      <c r="Q943" s="6">
        <f ca="1">IF(Main[[#This Row],[بدهی تسویه نشده (کیلوگرم)]]&gt;0,'گزارش فردی'!$B$7-Main[[#This Row],[تاريخ میلادی]],0)</f>
        <v>0</v>
      </c>
      <c r="R943" s="6">
        <f ca="1">IF(Main[[#This Row],[بدهی تسویه نشده (کیلوگرم)]]&gt;0,'گزارش فردی'!$B$7-Main[[#This Row],[تاريخ میلادی]]-'گزارش فردی'!$B$8,0)</f>
        <v>0</v>
      </c>
      <c r="S943" s="6">
        <f ca="1">Main[[#This Row],[روز از ارسال سفارش]]*Main[[#This Row],[بدهی تسویه نشده (کیلوگرم)]]</f>
        <v>0</v>
      </c>
      <c r="T943" s="6">
        <f ca="1">Main[[#This Row],[بدهی سررسید شده (کیلوگرم)]]*Main[[#This Row],[روز از ارسال سفارش]]</f>
        <v>0</v>
      </c>
      <c r="U943" s="6">
        <f>-SUBTOTAL(9,INDEX(Main[مقدار (کیلوگرم)],1):Main[[#This Row],[مقدار (کیلوگرم)]])</f>
        <v>34073</v>
      </c>
      <c r="V9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3" s="6">
        <f>Main[[#This Row],[تعداد کل روزهای بدهکار (روز)]]*Main[[#This Row],[مانده در خط کل (کیلوگرم)]]</f>
        <v>34073</v>
      </c>
      <c r="X943" s="6">
        <f ca="1">-SUBTOTAL(9,INDEX(Main[مقدار تسویه شده (کیلوگرم)],1):Main[[#This Row],[مقدار تسویه شده (کیلوگرم)]])</f>
        <v>34073</v>
      </c>
      <c r="Y943" s="6">
        <f ca="1">IF(Main[[#This Row],[مانده در خط تسویه شده (کیلوگرم)]]&lt;&gt;0,Main[[#This Row],[تعداد کل روزهای بدهکار (روز)]],0)</f>
        <v>1</v>
      </c>
      <c r="Z943" s="6">
        <f ca="1">Main[[#This Row],[تعداد روزهای بدهکار تسویه شده (روز)]]*Main[[#This Row],[مانده در خط تسویه شده (کیلوگرم)]]</f>
        <v>34073</v>
      </c>
      <c r="AA943" s="6">
        <f ca="1">SUBTOTAL(9,INDEX(Main[بدهی تسویه نشده (کیلوگرم)],1):Main[[#This Row],[بدهی تسویه نشده (کیلوگرم)]])</f>
        <v>0</v>
      </c>
      <c r="AB943" s="6">
        <f ca="1">IF(Main[[#This Row],[مانده در خط تسویه نشده (کیلوگرم)]]&lt;&gt;0,Main[[#This Row],[تعداد کل روزهای بدهکار (روز)]],0)</f>
        <v>0</v>
      </c>
      <c r="AC943" s="6">
        <f ca="1">Main[[#This Row],[تعداد روزهای بدهکار  تسویه نشده (روز)]]*Main[[#This Row],[مانده در خط تسویه نشده (کیلوگرم)]]</f>
        <v>0</v>
      </c>
      <c r="AD943" s="6">
        <f ca="1">SUBTOTAL(9,INDEX(Main[بدهی سررسید شده (کیلوگرم)],1):Main[[#This Row],[بدهی سررسید شده (کیلوگرم)]])</f>
        <v>0</v>
      </c>
      <c r="AE943" s="6">
        <f ca="1">IF(Main[[#This Row],[مانده در خط سررسید شده (کیلوگرم)]]&lt;&gt;0,Main[[#This Row],[تعداد کل روزهای بدهکار (روز)]],0)</f>
        <v>0</v>
      </c>
      <c r="AF943" s="6">
        <f ca="1">Main[[#This Row],[تعداد روزهای بدهکار سررسید شده (روز)]]*Main[[#This Row],[مانده در خط سررسید شده (کیلوگرم)]]</f>
        <v>0</v>
      </c>
    </row>
    <row r="944" spans="1:32" hidden="1" x14ac:dyDescent="0.35">
      <c r="A944" s="5">
        <f>ROW()-ROW(INDEX(Main[ردیف],1))+1</f>
        <v>942</v>
      </c>
      <c r="B944" s="31">
        <f>SUBTOTAL(2,INDEX(Main[ردیف],1):Main[[#This Row],[ردیف]])</f>
        <v>89</v>
      </c>
      <c r="C944" s="32" t="s">
        <v>604</v>
      </c>
      <c r="D944" s="32" t="str">
        <f>_xlfn.CONCAT("14",Main[[#This Row],[تاريخ]])</f>
        <v>1400/04/08</v>
      </c>
      <c r="E944" s="33">
        <v>44376</v>
      </c>
      <c r="F944" s="32">
        <v>30191</v>
      </c>
      <c r="G944" s="5" t="str">
        <f>INDEX(customer[عنوان],MATCH(Main[[#This Row],[کد ردیابی]],customer[کد],0))</f>
        <v>ایران گرما</v>
      </c>
      <c r="H944">
        <v>848</v>
      </c>
      <c r="I944" s="6">
        <f ca="1">-Main[[#This Row],[بدهی تسویه شده (کیلوگرم)]]+Main[[#This Row],[بستانکار (کیلوگرم)]]</f>
        <v>848</v>
      </c>
      <c r="J944" s="6">
        <f>IF(Main[[#This Row],[مقدار (کیلوگرم)]]&gt;0,Main[[#This Row],[مقدار (کیلوگرم)]],0)</f>
        <v>848</v>
      </c>
      <c r="K944" s="6">
        <f>-IF(Main[[#This Row],[مقدار (کیلوگرم)]]&lt;0,Main[[#This Row],[مقدار (کیلوگرم)]],0)</f>
        <v>0</v>
      </c>
      <c r="L9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4" s="7">
        <f>-IF(AND(Main[[#This Row],[مقدار (کیلوگرم)]]&lt;0,Main[[#This Row],[تاريخ میلادی]]&gt;44276),Main[[#This Row],[مقدار (کیلوگرم)]],0)</f>
        <v>0</v>
      </c>
      <c r="N944" s="6">
        <f ca="1">Main[[#This Row],[بدهکار (کیلوگرم)]]-Main[[#This Row],[بدهی تسویه نشده (کیلوگرم)]]</f>
        <v>0</v>
      </c>
      <c r="O944" s="6">
        <f ca="1">Main[[#This Row],[تفکیک]]</f>
        <v>0</v>
      </c>
      <c r="P944" s="6">
        <f ca="1">IF(Main[[#This Row],[تاخیر از سررسید]]&gt;0,Main[[#This Row],[بدهی تسویه نشده (کیلوگرم)]],0)</f>
        <v>0</v>
      </c>
      <c r="Q944" s="6">
        <f ca="1">IF(Main[[#This Row],[بدهی تسویه نشده (کیلوگرم)]]&gt;0,'گزارش فردی'!$B$7-Main[[#This Row],[تاريخ میلادی]],0)</f>
        <v>0</v>
      </c>
      <c r="R944" s="6">
        <f ca="1">IF(Main[[#This Row],[بدهی تسویه نشده (کیلوگرم)]]&gt;0,'گزارش فردی'!$B$7-Main[[#This Row],[تاريخ میلادی]]-'گزارش فردی'!$B$8,0)</f>
        <v>0</v>
      </c>
      <c r="S944" s="6">
        <f ca="1">Main[[#This Row],[روز از ارسال سفارش]]*Main[[#This Row],[بدهی تسویه نشده (کیلوگرم)]]</f>
        <v>0</v>
      </c>
      <c r="T944" s="6">
        <f ca="1">Main[[#This Row],[بدهی سررسید شده (کیلوگرم)]]*Main[[#This Row],[روز از ارسال سفارش]]</f>
        <v>0</v>
      </c>
      <c r="U944" s="6">
        <f>-SUBTOTAL(9,INDEX(Main[مقدار (کیلوگرم)],1):Main[[#This Row],[مقدار (کیلوگرم)]])</f>
        <v>34073</v>
      </c>
      <c r="V9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4" s="6">
        <f>Main[[#This Row],[تعداد کل روزهای بدهکار (روز)]]*Main[[#This Row],[مانده در خط کل (کیلوگرم)]]</f>
        <v>34073</v>
      </c>
      <c r="X944" s="6">
        <f ca="1">-SUBTOTAL(9,INDEX(Main[مقدار تسویه شده (کیلوگرم)],1):Main[[#This Row],[مقدار تسویه شده (کیلوگرم)]])</f>
        <v>34073</v>
      </c>
      <c r="Y944" s="6">
        <f ca="1">IF(Main[[#This Row],[مانده در خط تسویه شده (کیلوگرم)]]&lt;&gt;0,Main[[#This Row],[تعداد کل روزهای بدهکار (روز)]],0)</f>
        <v>1</v>
      </c>
      <c r="Z944" s="6">
        <f ca="1">Main[[#This Row],[تعداد روزهای بدهکار تسویه شده (روز)]]*Main[[#This Row],[مانده در خط تسویه شده (کیلوگرم)]]</f>
        <v>34073</v>
      </c>
      <c r="AA944" s="6">
        <f ca="1">SUBTOTAL(9,INDEX(Main[بدهی تسویه نشده (کیلوگرم)],1):Main[[#This Row],[بدهی تسویه نشده (کیلوگرم)]])</f>
        <v>0</v>
      </c>
      <c r="AB944" s="6">
        <f ca="1">IF(Main[[#This Row],[مانده در خط تسویه نشده (کیلوگرم)]]&lt;&gt;0,Main[[#This Row],[تعداد کل روزهای بدهکار (روز)]],0)</f>
        <v>0</v>
      </c>
      <c r="AC944" s="6">
        <f ca="1">Main[[#This Row],[تعداد روزهای بدهکار  تسویه نشده (روز)]]*Main[[#This Row],[مانده در خط تسویه نشده (کیلوگرم)]]</f>
        <v>0</v>
      </c>
      <c r="AD944" s="6">
        <f ca="1">SUBTOTAL(9,INDEX(Main[بدهی سررسید شده (کیلوگرم)],1):Main[[#This Row],[بدهی سررسید شده (کیلوگرم)]])</f>
        <v>0</v>
      </c>
      <c r="AE944" s="6">
        <f ca="1">IF(Main[[#This Row],[مانده در خط سررسید شده (کیلوگرم)]]&lt;&gt;0,Main[[#This Row],[تعداد کل روزهای بدهکار (روز)]],0)</f>
        <v>0</v>
      </c>
      <c r="AF944" s="6">
        <f ca="1">Main[[#This Row],[تعداد روزهای بدهکار سررسید شده (روز)]]*Main[[#This Row],[مانده در خط سررسید شده (کیلوگرم)]]</f>
        <v>0</v>
      </c>
    </row>
    <row r="945" spans="1:32" hidden="1" x14ac:dyDescent="0.35">
      <c r="A945" s="5">
        <f>ROW()-ROW(INDEX(Main[ردیف],1))+1</f>
        <v>943</v>
      </c>
      <c r="B945" s="31">
        <f>SUBTOTAL(2,INDEX(Main[ردیف],1):Main[[#This Row],[ردیف]])</f>
        <v>89</v>
      </c>
      <c r="C945" s="32" t="s">
        <v>604</v>
      </c>
      <c r="D945" s="32" t="str">
        <f>_xlfn.CONCAT("14",Main[[#This Row],[تاريخ]])</f>
        <v>1400/04/08</v>
      </c>
      <c r="E945" s="33">
        <v>44376</v>
      </c>
      <c r="F945" s="32">
        <v>10070</v>
      </c>
      <c r="G945" s="5" t="str">
        <f>INDEX(customer[عنوان],MATCH(Main[[#This Row],[کد ردیابی]],customer[کد],0))</f>
        <v xml:space="preserve">حمیدرضا شفیعی </v>
      </c>
      <c r="H945">
        <v>-114</v>
      </c>
      <c r="I945" s="6">
        <f ca="1">-Main[[#This Row],[بدهی تسویه شده (کیلوگرم)]]+Main[[#This Row],[بستانکار (کیلوگرم)]]</f>
        <v>-114</v>
      </c>
      <c r="J945" s="6">
        <f>IF(Main[[#This Row],[مقدار (کیلوگرم)]]&gt;0,Main[[#This Row],[مقدار (کیلوگرم)]],0)</f>
        <v>0</v>
      </c>
      <c r="K945" s="6">
        <f>-IF(Main[[#This Row],[مقدار (کیلوگرم)]]&lt;0,Main[[#This Row],[مقدار (کیلوگرم)]],0)</f>
        <v>114</v>
      </c>
      <c r="L9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5" s="7">
        <f>-IF(AND(Main[[#This Row],[مقدار (کیلوگرم)]]&lt;0,Main[[#This Row],[تاريخ میلادی]]&gt;44276),Main[[#This Row],[مقدار (کیلوگرم)]],0)</f>
        <v>114</v>
      </c>
      <c r="N945" s="6">
        <f ca="1">Main[[#This Row],[بدهکار (کیلوگرم)]]-Main[[#This Row],[بدهی تسویه نشده (کیلوگرم)]]</f>
        <v>114</v>
      </c>
      <c r="O945" s="6">
        <f ca="1">Main[[#This Row],[تفکیک]]</f>
        <v>0</v>
      </c>
      <c r="P945" s="6">
        <f ca="1">IF(Main[[#This Row],[تاخیر از سررسید]]&gt;0,Main[[#This Row],[بدهی تسویه نشده (کیلوگرم)]],0)</f>
        <v>0</v>
      </c>
      <c r="Q945" s="6">
        <f ca="1">IF(Main[[#This Row],[بدهی تسویه نشده (کیلوگرم)]]&gt;0,'گزارش فردی'!$B$7-Main[[#This Row],[تاريخ میلادی]],0)</f>
        <v>0</v>
      </c>
      <c r="R945" s="6">
        <f ca="1">IF(Main[[#This Row],[بدهی تسویه نشده (کیلوگرم)]]&gt;0,'گزارش فردی'!$B$7-Main[[#This Row],[تاريخ میلادی]]-'گزارش فردی'!$B$8,0)</f>
        <v>0</v>
      </c>
      <c r="S945" s="6">
        <f ca="1">Main[[#This Row],[روز از ارسال سفارش]]*Main[[#This Row],[بدهی تسویه نشده (کیلوگرم)]]</f>
        <v>0</v>
      </c>
      <c r="T945" s="6">
        <f ca="1">Main[[#This Row],[بدهی سررسید شده (کیلوگرم)]]*Main[[#This Row],[روز از ارسال سفارش]]</f>
        <v>0</v>
      </c>
      <c r="U945" s="6">
        <f>-SUBTOTAL(9,INDEX(Main[مقدار (کیلوگرم)],1):Main[[#This Row],[مقدار (کیلوگرم)]])</f>
        <v>34073</v>
      </c>
      <c r="V9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5" s="6">
        <f>Main[[#This Row],[تعداد کل روزهای بدهکار (روز)]]*Main[[#This Row],[مانده در خط کل (کیلوگرم)]]</f>
        <v>34073</v>
      </c>
      <c r="X945" s="6">
        <f ca="1">-SUBTOTAL(9,INDEX(Main[مقدار تسویه شده (کیلوگرم)],1):Main[[#This Row],[مقدار تسویه شده (کیلوگرم)]])</f>
        <v>34073</v>
      </c>
      <c r="Y945" s="6">
        <f ca="1">IF(Main[[#This Row],[مانده در خط تسویه شده (کیلوگرم)]]&lt;&gt;0,Main[[#This Row],[تعداد کل روزهای بدهکار (روز)]],0)</f>
        <v>1</v>
      </c>
      <c r="Z945" s="6">
        <f ca="1">Main[[#This Row],[تعداد روزهای بدهکار تسویه شده (روز)]]*Main[[#This Row],[مانده در خط تسویه شده (کیلوگرم)]]</f>
        <v>34073</v>
      </c>
      <c r="AA945" s="6">
        <f ca="1">SUBTOTAL(9,INDEX(Main[بدهی تسویه نشده (کیلوگرم)],1):Main[[#This Row],[بدهی تسویه نشده (کیلوگرم)]])</f>
        <v>0</v>
      </c>
      <c r="AB945" s="6">
        <f ca="1">IF(Main[[#This Row],[مانده در خط تسویه نشده (کیلوگرم)]]&lt;&gt;0,Main[[#This Row],[تعداد کل روزهای بدهکار (روز)]],0)</f>
        <v>0</v>
      </c>
      <c r="AC945" s="6">
        <f ca="1">Main[[#This Row],[تعداد روزهای بدهکار  تسویه نشده (روز)]]*Main[[#This Row],[مانده در خط تسویه نشده (کیلوگرم)]]</f>
        <v>0</v>
      </c>
      <c r="AD945" s="6">
        <f ca="1">SUBTOTAL(9,INDEX(Main[بدهی سررسید شده (کیلوگرم)],1):Main[[#This Row],[بدهی سررسید شده (کیلوگرم)]])</f>
        <v>0</v>
      </c>
      <c r="AE945" s="6">
        <f ca="1">IF(Main[[#This Row],[مانده در خط سررسید شده (کیلوگرم)]]&lt;&gt;0,Main[[#This Row],[تعداد کل روزهای بدهکار (روز)]],0)</f>
        <v>0</v>
      </c>
      <c r="AF945" s="6">
        <f ca="1">Main[[#This Row],[تعداد روزهای بدهکار سررسید شده (روز)]]*Main[[#This Row],[مانده در خط سررسید شده (کیلوگرم)]]</f>
        <v>0</v>
      </c>
    </row>
    <row r="946" spans="1:32" hidden="1" x14ac:dyDescent="0.35">
      <c r="A946" s="5">
        <f>ROW()-ROW(INDEX(Main[ردیف],1))+1</f>
        <v>944</v>
      </c>
      <c r="B946" s="31">
        <f>SUBTOTAL(2,INDEX(Main[ردیف],1):Main[[#This Row],[ردیف]])</f>
        <v>89</v>
      </c>
      <c r="C946" s="32" t="s">
        <v>605</v>
      </c>
      <c r="D946" s="32" t="str">
        <f>_xlfn.CONCAT("14",Main[[#This Row],[تاريخ]])</f>
        <v>1400/04/09</v>
      </c>
      <c r="E946" s="33">
        <v>44377</v>
      </c>
      <c r="F946" s="32">
        <v>30004</v>
      </c>
      <c r="G946" s="5" t="str">
        <f>INDEX(customer[عنوان],MATCH(Main[[#This Row],[کد ردیابی]],customer[کد],0))</f>
        <v>تولیدی صنعتی صفاشیر پارس</v>
      </c>
      <c r="H946">
        <v>2972</v>
      </c>
      <c r="I946" s="6">
        <f ca="1">-Main[[#This Row],[بدهی تسویه شده (کیلوگرم)]]+Main[[#This Row],[بستانکار (کیلوگرم)]]</f>
        <v>2972</v>
      </c>
      <c r="J946" s="6">
        <f>IF(Main[[#This Row],[مقدار (کیلوگرم)]]&gt;0,Main[[#This Row],[مقدار (کیلوگرم)]],0)</f>
        <v>2972</v>
      </c>
      <c r="K946" s="6">
        <f>-IF(Main[[#This Row],[مقدار (کیلوگرم)]]&lt;0,Main[[#This Row],[مقدار (کیلوگرم)]],0)</f>
        <v>0</v>
      </c>
      <c r="L9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6" s="7">
        <f>-IF(AND(Main[[#This Row],[مقدار (کیلوگرم)]]&lt;0,Main[[#This Row],[تاريخ میلادی]]&gt;44276),Main[[#This Row],[مقدار (کیلوگرم)]],0)</f>
        <v>0</v>
      </c>
      <c r="N946" s="6">
        <f ca="1">Main[[#This Row],[بدهکار (کیلوگرم)]]-Main[[#This Row],[بدهی تسویه نشده (کیلوگرم)]]</f>
        <v>0</v>
      </c>
      <c r="O946" s="6">
        <f ca="1">Main[[#This Row],[تفکیک]]</f>
        <v>0</v>
      </c>
      <c r="P946" s="6">
        <f ca="1">IF(Main[[#This Row],[تاخیر از سررسید]]&gt;0,Main[[#This Row],[بدهی تسویه نشده (کیلوگرم)]],0)</f>
        <v>0</v>
      </c>
      <c r="Q946" s="6">
        <f ca="1">IF(Main[[#This Row],[بدهی تسویه نشده (کیلوگرم)]]&gt;0,'گزارش فردی'!$B$7-Main[[#This Row],[تاريخ میلادی]],0)</f>
        <v>0</v>
      </c>
      <c r="R946" s="6">
        <f ca="1">IF(Main[[#This Row],[بدهی تسویه نشده (کیلوگرم)]]&gt;0,'گزارش فردی'!$B$7-Main[[#This Row],[تاريخ میلادی]]-'گزارش فردی'!$B$8,0)</f>
        <v>0</v>
      </c>
      <c r="S946" s="6">
        <f ca="1">Main[[#This Row],[روز از ارسال سفارش]]*Main[[#This Row],[بدهی تسویه نشده (کیلوگرم)]]</f>
        <v>0</v>
      </c>
      <c r="T946" s="6">
        <f ca="1">Main[[#This Row],[بدهی سررسید شده (کیلوگرم)]]*Main[[#This Row],[روز از ارسال سفارش]]</f>
        <v>0</v>
      </c>
      <c r="U946" s="6">
        <f>-SUBTOTAL(9,INDEX(Main[مقدار (کیلوگرم)],1):Main[[#This Row],[مقدار (کیلوگرم)]])</f>
        <v>34073</v>
      </c>
      <c r="V9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6" s="6">
        <f>Main[[#This Row],[تعداد کل روزهای بدهکار (روز)]]*Main[[#This Row],[مانده در خط کل (کیلوگرم)]]</f>
        <v>0</v>
      </c>
      <c r="X946" s="6">
        <f ca="1">-SUBTOTAL(9,INDEX(Main[مقدار تسویه شده (کیلوگرم)],1):Main[[#This Row],[مقدار تسویه شده (کیلوگرم)]])</f>
        <v>34073</v>
      </c>
      <c r="Y946" s="6">
        <f ca="1">IF(Main[[#This Row],[مانده در خط تسویه شده (کیلوگرم)]]&lt;&gt;0,Main[[#This Row],[تعداد کل روزهای بدهکار (روز)]],0)</f>
        <v>0</v>
      </c>
      <c r="Z946" s="6">
        <f ca="1">Main[[#This Row],[تعداد روزهای بدهکار تسویه شده (روز)]]*Main[[#This Row],[مانده در خط تسویه شده (کیلوگرم)]]</f>
        <v>0</v>
      </c>
      <c r="AA946" s="6">
        <f ca="1">SUBTOTAL(9,INDEX(Main[بدهی تسویه نشده (کیلوگرم)],1):Main[[#This Row],[بدهی تسویه نشده (کیلوگرم)]])</f>
        <v>0</v>
      </c>
      <c r="AB946" s="6">
        <f ca="1">IF(Main[[#This Row],[مانده در خط تسویه نشده (کیلوگرم)]]&lt;&gt;0,Main[[#This Row],[تعداد کل روزهای بدهکار (روز)]],0)</f>
        <v>0</v>
      </c>
      <c r="AC946" s="6">
        <f ca="1">Main[[#This Row],[تعداد روزهای بدهکار  تسویه نشده (روز)]]*Main[[#This Row],[مانده در خط تسویه نشده (کیلوگرم)]]</f>
        <v>0</v>
      </c>
      <c r="AD946" s="6">
        <f ca="1">SUBTOTAL(9,INDEX(Main[بدهی سررسید شده (کیلوگرم)],1):Main[[#This Row],[بدهی سررسید شده (کیلوگرم)]])</f>
        <v>0</v>
      </c>
      <c r="AE946" s="6">
        <f ca="1">IF(Main[[#This Row],[مانده در خط سررسید شده (کیلوگرم)]]&lt;&gt;0,Main[[#This Row],[تعداد کل روزهای بدهکار (روز)]],0)</f>
        <v>0</v>
      </c>
      <c r="AF946" s="6">
        <f ca="1">Main[[#This Row],[تعداد روزهای بدهکار سررسید شده (روز)]]*Main[[#This Row],[مانده در خط سررسید شده (کیلوگرم)]]</f>
        <v>0</v>
      </c>
    </row>
    <row r="947" spans="1:32" hidden="1" x14ac:dyDescent="0.35">
      <c r="A947" s="5">
        <f>ROW()-ROW(INDEX(Main[ردیف],1))+1</f>
        <v>945</v>
      </c>
      <c r="B947" s="31">
        <f>SUBTOTAL(2,INDEX(Main[ردیف],1):Main[[#This Row],[ردیف]])</f>
        <v>89</v>
      </c>
      <c r="C947" s="32" t="s">
        <v>605</v>
      </c>
      <c r="D947" s="32" t="str">
        <f>_xlfn.CONCAT("14",Main[[#This Row],[تاريخ]])</f>
        <v>1400/04/09</v>
      </c>
      <c r="E947" s="33">
        <v>44377</v>
      </c>
      <c r="F947" s="32">
        <v>30009</v>
      </c>
      <c r="G947" s="5" t="str">
        <f>INDEX(customer[عنوان],MATCH(Main[[#This Row],[کد ردیابی]],customer[کد],0))</f>
        <v>شرکت ایمن تک پیشرو</v>
      </c>
      <c r="H947">
        <v>-2453</v>
      </c>
      <c r="I947" s="6">
        <f ca="1">-Main[[#This Row],[بدهی تسویه شده (کیلوگرم)]]+Main[[#This Row],[بستانکار (کیلوگرم)]]</f>
        <v>-2453</v>
      </c>
      <c r="J947" s="6">
        <f>IF(Main[[#This Row],[مقدار (کیلوگرم)]]&gt;0,Main[[#This Row],[مقدار (کیلوگرم)]],0)</f>
        <v>0</v>
      </c>
      <c r="K947" s="6">
        <f>-IF(Main[[#This Row],[مقدار (کیلوگرم)]]&lt;0,Main[[#This Row],[مقدار (کیلوگرم)]],0)</f>
        <v>2453</v>
      </c>
      <c r="L9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7" s="7">
        <f>-IF(AND(Main[[#This Row],[مقدار (کیلوگرم)]]&lt;0,Main[[#This Row],[تاريخ میلادی]]&gt;44276),Main[[#This Row],[مقدار (کیلوگرم)]],0)</f>
        <v>2453</v>
      </c>
      <c r="N947" s="6">
        <f ca="1">Main[[#This Row],[بدهکار (کیلوگرم)]]-Main[[#This Row],[بدهی تسویه نشده (کیلوگرم)]]</f>
        <v>2453</v>
      </c>
      <c r="O947" s="6">
        <f ca="1">Main[[#This Row],[تفکیک]]</f>
        <v>0</v>
      </c>
      <c r="P947" s="6">
        <f ca="1">IF(Main[[#This Row],[تاخیر از سررسید]]&gt;0,Main[[#This Row],[بدهی تسویه نشده (کیلوگرم)]],0)</f>
        <v>0</v>
      </c>
      <c r="Q947" s="6">
        <f ca="1">IF(Main[[#This Row],[بدهی تسویه نشده (کیلوگرم)]]&gt;0,'گزارش فردی'!$B$7-Main[[#This Row],[تاريخ میلادی]],0)</f>
        <v>0</v>
      </c>
      <c r="R947" s="6">
        <f ca="1">IF(Main[[#This Row],[بدهی تسویه نشده (کیلوگرم)]]&gt;0,'گزارش فردی'!$B$7-Main[[#This Row],[تاريخ میلادی]]-'گزارش فردی'!$B$8,0)</f>
        <v>0</v>
      </c>
      <c r="S947" s="6">
        <f ca="1">Main[[#This Row],[روز از ارسال سفارش]]*Main[[#This Row],[بدهی تسویه نشده (کیلوگرم)]]</f>
        <v>0</v>
      </c>
      <c r="T947" s="6">
        <f ca="1">Main[[#This Row],[بدهی سررسید شده (کیلوگرم)]]*Main[[#This Row],[روز از ارسال سفارش]]</f>
        <v>0</v>
      </c>
      <c r="U947" s="6">
        <f>-SUBTOTAL(9,INDEX(Main[مقدار (کیلوگرم)],1):Main[[#This Row],[مقدار (کیلوگرم)]])</f>
        <v>34073</v>
      </c>
      <c r="V9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7" s="6">
        <f>Main[[#This Row],[تعداد کل روزهای بدهکار (روز)]]*Main[[#This Row],[مانده در خط کل (کیلوگرم)]]</f>
        <v>0</v>
      </c>
      <c r="X947" s="6">
        <f ca="1">-SUBTOTAL(9,INDEX(Main[مقدار تسویه شده (کیلوگرم)],1):Main[[#This Row],[مقدار تسویه شده (کیلوگرم)]])</f>
        <v>34073</v>
      </c>
      <c r="Y947" s="6">
        <f ca="1">IF(Main[[#This Row],[مانده در خط تسویه شده (کیلوگرم)]]&lt;&gt;0,Main[[#This Row],[تعداد کل روزهای بدهکار (روز)]],0)</f>
        <v>0</v>
      </c>
      <c r="Z947" s="6">
        <f ca="1">Main[[#This Row],[تعداد روزهای بدهکار تسویه شده (روز)]]*Main[[#This Row],[مانده در خط تسویه شده (کیلوگرم)]]</f>
        <v>0</v>
      </c>
      <c r="AA947" s="6">
        <f ca="1">SUBTOTAL(9,INDEX(Main[بدهی تسویه نشده (کیلوگرم)],1):Main[[#This Row],[بدهی تسویه نشده (کیلوگرم)]])</f>
        <v>0</v>
      </c>
      <c r="AB947" s="6">
        <f ca="1">IF(Main[[#This Row],[مانده در خط تسویه نشده (کیلوگرم)]]&lt;&gt;0,Main[[#This Row],[تعداد کل روزهای بدهکار (روز)]],0)</f>
        <v>0</v>
      </c>
      <c r="AC947" s="6">
        <f ca="1">Main[[#This Row],[تعداد روزهای بدهکار  تسویه نشده (روز)]]*Main[[#This Row],[مانده در خط تسویه نشده (کیلوگرم)]]</f>
        <v>0</v>
      </c>
      <c r="AD947" s="6">
        <f ca="1">SUBTOTAL(9,INDEX(Main[بدهی سررسید شده (کیلوگرم)],1):Main[[#This Row],[بدهی سررسید شده (کیلوگرم)]])</f>
        <v>0</v>
      </c>
      <c r="AE947" s="6">
        <f ca="1">IF(Main[[#This Row],[مانده در خط سررسید شده (کیلوگرم)]]&lt;&gt;0,Main[[#This Row],[تعداد کل روزهای بدهکار (روز)]],0)</f>
        <v>0</v>
      </c>
      <c r="AF947" s="6">
        <f ca="1">Main[[#This Row],[تعداد روزهای بدهکار سررسید شده (روز)]]*Main[[#This Row],[مانده در خط سررسید شده (کیلوگرم)]]</f>
        <v>0</v>
      </c>
    </row>
    <row r="948" spans="1:32" hidden="1" x14ac:dyDescent="0.35">
      <c r="A948" s="5">
        <f>ROW()-ROW(INDEX(Main[ردیف],1))+1</f>
        <v>946</v>
      </c>
      <c r="B948" s="31">
        <f>SUBTOTAL(2,INDEX(Main[ردیف],1):Main[[#This Row],[ردیف]])</f>
        <v>89</v>
      </c>
      <c r="C948" s="32" t="s">
        <v>605</v>
      </c>
      <c r="D948" s="32" t="str">
        <f>_xlfn.CONCAT("14",Main[[#This Row],[تاريخ]])</f>
        <v>1400/04/09</v>
      </c>
      <c r="E948" s="33">
        <v>44377</v>
      </c>
      <c r="F948" s="32">
        <v>30081</v>
      </c>
      <c r="G948" s="5" t="str">
        <f>INDEX(customer[عنوان],MATCH(Main[[#This Row],[کد ردیابی]],customer[کد],0))</f>
        <v xml:space="preserve">شیرآلات بهداشتی راسان </v>
      </c>
      <c r="H948">
        <v>4578</v>
      </c>
      <c r="I948" s="6">
        <f ca="1">-Main[[#This Row],[بدهی تسویه شده (کیلوگرم)]]+Main[[#This Row],[بستانکار (کیلوگرم)]]</f>
        <v>4578</v>
      </c>
      <c r="J948" s="6">
        <f>IF(Main[[#This Row],[مقدار (کیلوگرم)]]&gt;0,Main[[#This Row],[مقدار (کیلوگرم)]],0)</f>
        <v>4578</v>
      </c>
      <c r="K948" s="6">
        <f>-IF(Main[[#This Row],[مقدار (کیلوگرم)]]&lt;0,Main[[#This Row],[مقدار (کیلوگرم)]],0)</f>
        <v>0</v>
      </c>
      <c r="L9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8" s="7">
        <f>-IF(AND(Main[[#This Row],[مقدار (کیلوگرم)]]&lt;0,Main[[#This Row],[تاريخ میلادی]]&gt;44276),Main[[#This Row],[مقدار (کیلوگرم)]],0)</f>
        <v>0</v>
      </c>
      <c r="N948" s="6">
        <f ca="1">Main[[#This Row],[بدهکار (کیلوگرم)]]-Main[[#This Row],[بدهی تسویه نشده (کیلوگرم)]]</f>
        <v>0</v>
      </c>
      <c r="O948" s="6">
        <f ca="1">Main[[#This Row],[تفکیک]]</f>
        <v>0</v>
      </c>
      <c r="P948" s="6">
        <f ca="1">IF(Main[[#This Row],[تاخیر از سررسید]]&gt;0,Main[[#This Row],[بدهی تسویه نشده (کیلوگرم)]],0)</f>
        <v>0</v>
      </c>
      <c r="Q948" s="6">
        <f ca="1">IF(Main[[#This Row],[بدهی تسویه نشده (کیلوگرم)]]&gt;0,'گزارش فردی'!$B$7-Main[[#This Row],[تاريخ میلادی]],0)</f>
        <v>0</v>
      </c>
      <c r="R948" s="6">
        <f ca="1">IF(Main[[#This Row],[بدهی تسویه نشده (کیلوگرم)]]&gt;0,'گزارش فردی'!$B$7-Main[[#This Row],[تاريخ میلادی]]-'گزارش فردی'!$B$8,0)</f>
        <v>0</v>
      </c>
      <c r="S948" s="6">
        <f ca="1">Main[[#This Row],[روز از ارسال سفارش]]*Main[[#This Row],[بدهی تسویه نشده (کیلوگرم)]]</f>
        <v>0</v>
      </c>
      <c r="T948" s="6">
        <f ca="1">Main[[#This Row],[بدهی سررسید شده (کیلوگرم)]]*Main[[#This Row],[روز از ارسال سفارش]]</f>
        <v>0</v>
      </c>
      <c r="U948" s="6">
        <f>-SUBTOTAL(9,INDEX(Main[مقدار (کیلوگرم)],1):Main[[#This Row],[مقدار (کیلوگرم)]])</f>
        <v>34073</v>
      </c>
      <c r="V9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8" s="6">
        <f>Main[[#This Row],[تعداد کل روزهای بدهکار (روز)]]*Main[[#This Row],[مانده در خط کل (کیلوگرم)]]</f>
        <v>0</v>
      </c>
      <c r="X948" s="6">
        <f ca="1">-SUBTOTAL(9,INDEX(Main[مقدار تسویه شده (کیلوگرم)],1):Main[[#This Row],[مقدار تسویه شده (کیلوگرم)]])</f>
        <v>34073</v>
      </c>
      <c r="Y948" s="6">
        <f ca="1">IF(Main[[#This Row],[مانده در خط تسویه شده (کیلوگرم)]]&lt;&gt;0,Main[[#This Row],[تعداد کل روزهای بدهکار (روز)]],0)</f>
        <v>0</v>
      </c>
      <c r="Z948" s="6">
        <f ca="1">Main[[#This Row],[تعداد روزهای بدهکار تسویه شده (روز)]]*Main[[#This Row],[مانده در خط تسویه شده (کیلوگرم)]]</f>
        <v>0</v>
      </c>
      <c r="AA948" s="6">
        <f ca="1">SUBTOTAL(9,INDEX(Main[بدهی تسویه نشده (کیلوگرم)],1):Main[[#This Row],[بدهی تسویه نشده (کیلوگرم)]])</f>
        <v>0</v>
      </c>
      <c r="AB948" s="6">
        <f ca="1">IF(Main[[#This Row],[مانده در خط تسویه نشده (کیلوگرم)]]&lt;&gt;0,Main[[#This Row],[تعداد کل روزهای بدهکار (روز)]],0)</f>
        <v>0</v>
      </c>
      <c r="AC948" s="6">
        <f ca="1">Main[[#This Row],[تعداد روزهای بدهکار  تسویه نشده (روز)]]*Main[[#This Row],[مانده در خط تسویه نشده (کیلوگرم)]]</f>
        <v>0</v>
      </c>
      <c r="AD948" s="6">
        <f ca="1">SUBTOTAL(9,INDEX(Main[بدهی سررسید شده (کیلوگرم)],1):Main[[#This Row],[بدهی سررسید شده (کیلوگرم)]])</f>
        <v>0</v>
      </c>
      <c r="AE948" s="6">
        <f ca="1">IF(Main[[#This Row],[مانده در خط سررسید شده (کیلوگرم)]]&lt;&gt;0,Main[[#This Row],[تعداد کل روزهای بدهکار (روز)]],0)</f>
        <v>0</v>
      </c>
      <c r="AF948" s="6">
        <f ca="1">Main[[#This Row],[تعداد روزهای بدهکار سررسید شده (روز)]]*Main[[#This Row],[مانده در خط سررسید شده (کیلوگرم)]]</f>
        <v>0</v>
      </c>
    </row>
    <row r="949" spans="1:32" hidden="1" x14ac:dyDescent="0.35">
      <c r="A949" s="5">
        <f>ROW()-ROW(INDEX(Main[ردیف],1))+1</f>
        <v>947</v>
      </c>
      <c r="B949" s="31">
        <f>SUBTOTAL(2,INDEX(Main[ردیف],1):Main[[#This Row],[ردیف]])</f>
        <v>89</v>
      </c>
      <c r="C949" s="32" t="s">
        <v>605</v>
      </c>
      <c r="D949" s="32" t="str">
        <f>_xlfn.CONCAT("14",Main[[#This Row],[تاريخ]])</f>
        <v>1400/04/09</v>
      </c>
      <c r="E949" s="33">
        <v>44377</v>
      </c>
      <c r="F949" s="32">
        <v>30004</v>
      </c>
      <c r="G949" s="5" t="str">
        <f>INDEX(customer[عنوان],MATCH(Main[[#This Row],[کد ردیابی]],customer[کد],0))</f>
        <v>تولیدی صنعتی صفاشیر پارس</v>
      </c>
      <c r="H949">
        <v>-2146</v>
      </c>
      <c r="I949" s="6">
        <f ca="1">-Main[[#This Row],[بدهی تسویه شده (کیلوگرم)]]+Main[[#This Row],[بستانکار (کیلوگرم)]]</f>
        <v>-2146</v>
      </c>
      <c r="J949" s="6">
        <f>IF(Main[[#This Row],[مقدار (کیلوگرم)]]&gt;0,Main[[#This Row],[مقدار (کیلوگرم)]],0)</f>
        <v>0</v>
      </c>
      <c r="K949" s="6">
        <f>-IF(Main[[#This Row],[مقدار (کیلوگرم)]]&lt;0,Main[[#This Row],[مقدار (کیلوگرم)]],0)</f>
        <v>2146</v>
      </c>
      <c r="L9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9" s="7">
        <f>-IF(AND(Main[[#This Row],[مقدار (کیلوگرم)]]&lt;0,Main[[#This Row],[تاريخ میلادی]]&gt;44276),Main[[#This Row],[مقدار (کیلوگرم)]],0)</f>
        <v>2146</v>
      </c>
      <c r="N949" s="6">
        <f ca="1">Main[[#This Row],[بدهکار (کیلوگرم)]]-Main[[#This Row],[بدهی تسویه نشده (کیلوگرم)]]</f>
        <v>2146</v>
      </c>
      <c r="O949" s="6">
        <f ca="1">Main[[#This Row],[تفکیک]]</f>
        <v>0</v>
      </c>
      <c r="P949" s="6">
        <f ca="1">IF(Main[[#This Row],[تاخیر از سررسید]]&gt;0,Main[[#This Row],[بدهی تسویه نشده (کیلوگرم)]],0)</f>
        <v>0</v>
      </c>
      <c r="Q949" s="6">
        <f ca="1">IF(Main[[#This Row],[بدهی تسویه نشده (کیلوگرم)]]&gt;0,'گزارش فردی'!$B$7-Main[[#This Row],[تاريخ میلادی]],0)</f>
        <v>0</v>
      </c>
      <c r="R949" s="6">
        <f ca="1">IF(Main[[#This Row],[بدهی تسویه نشده (کیلوگرم)]]&gt;0,'گزارش فردی'!$B$7-Main[[#This Row],[تاريخ میلادی]]-'گزارش فردی'!$B$8,0)</f>
        <v>0</v>
      </c>
      <c r="S949" s="6">
        <f ca="1">Main[[#This Row],[روز از ارسال سفارش]]*Main[[#This Row],[بدهی تسویه نشده (کیلوگرم)]]</f>
        <v>0</v>
      </c>
      <c r="T949" s="6">
        <f ca="1">Main[[#This Row],[بدهی سررسید شده (کیلوگرم)]]*Main[[#This Row],[روز از ارسال سفارش]]</f>
        <v>0</v>
      </c>
      <c r="U949" s="6">
        <f>-SUBTOTAL(9,INDEX(Main[مقدار (کیلوگرم)],1):Main[[#This Row],[مقدار (کیلوگرم)]])</f>
        <v>34073</v>
      </c>
      <c r="V9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9" s="6">
        <f>Main[[#This Row],[تعداد کل روزهای بدهکار (روز)]]*Main[[#This Row],[مانده در خط کل (کیلوگرم)]]</f>
        <v>0</v>
      </c>
      <c r="X949" s="6">
        <f ca="1">-SUBTOTAL(9,INDEX(Main[مقدار تسویه شده (کیلوگرم)],1):Main[[#This Row],[مقدار تسویه شده (کیلوگرم)]])</f>
        <v>34073</v>
      </c>
      <c r="Y949" s="6">
        <f ca="1">IF(Main[[#This Row],[مانده در خط تسویه شده (کیلوگرم)]]&lt;&gt;0,Main[[#This Row],[تعداد کل روزهای بدهکار (روز)]],0)</f>
        <v>0</v>
      </c>
      <c r="Z949" s="6">
        <f ca="1">Main[[#This Row],[تعداد روزهای بدهکار تسویه شده (روز)]]*Main[[#This Row],[مانده در خط تسویه شده (کیلوگرم)]]</f>
        <v>0</v>
      </c>
      <c r="AA949" s="6">
        <f ca="1">SUBTOTAL(9,INDEX(Main[بدهی تسویه نشده (کیلوگرم)],1):Main[[#This Row],[بدهی تسویه نشده (کیلوگرم)]])</f>
        <v>0</v>
      </c>
      <c r="AB949" s="6">
        <f ca="1">IF(Main[[#This Row],[مانده در خط تسویه نشده (کیلوگرم)]]&lt;&gt;0,Main[[#This Row],[تعداد کل روزهای بدهکار (روز)]],0)</f>
        <v>0</v>
      </c>
      <c r="AC949" s="6">
        <f ca="1">Main[[#This Row],[تعداد روزهای بدهکار  تسویه نشده (روز)]]*Main[[#This Row],[مانده در خط تسویه نشده (کیلوگرم)]]</f>
        <v>0</v>
      </c>
      <c r="AD949" s="6">
        <f ca="1">SUBTOTAL(9,INDEX(Main[بدهی سررسید شده (کیلوگرم)],1):Main[[#This Row],[بدهی سررسید شده (کیلوگرم)]])</f>
        <v>0</v>
      </c>
      <c r="AE949" s="6">
        <f ca="1">IF(Main[[#This Row],[مانده در خط سررسید شده (کیلوگرم)]]&lt;&gt;0,Main[[#This Row],[تعداد کل روزهای بدهکار (روز)]],0)</f>
        <v>0</v>
      </c>
      <c r="AF949" s="6">
        <f ca="1">Main[[#This Row],[تعداد روزهای بدهکار سررسید شده (روز)]]*Main[[#This Row],[مانده در خط سررسید شده (کیلوگرم)]]</f>
        <v>0</v>
      </c>
    </row>
    <row r="950" spans="1:32" hidden="1" x14ac:dyDescent="0.35">
      <c r="A950" s="5">
        <f>ROW()-ROW(INDEX(Main[ردیف],1))+1</f>
        <v>948</v>
      </c>
      <c r="B950" s="31">
        <f>SUBTOTAL(2,INDEX(Main[ردیف],1):Main[[#This Row],[ردیف]])</f>
        <v>89</v>
      </c>
      <c r="C950" s="32" t="s">
        <v>605</v>
      </c>
      <c r="D950" s="32" t="str">
        <f>_xlfn.CONCAT("14",Main[[#This Row],[تاريخ]])</f>
        <v>1400/04/09</v>
      </c>
      <c r="E950" s="33">
        <v>44377</v>
      </c>
      <c r="F950" s="32">
        <v>10048</v>
      </c>
      <c r="G950" s="5" t="str">
        <f>INDEX(customer[عنوان],MATCH(Main[[#This Row],[کد ردیابی]],customer[کد],0))</f>
        <v xml:space="preserve">حسام کریمان  </v>
      </c>
      <c r="H950">
        <v>592</v>
      </c>
      <c r="I950" s="6">
        <f ca="1">-Main[[#This Row],[بدهی تسویه شده (کیلوگرم)]]+Main[[#This Row],[بستانکار (کیلوگرم)]]</f>
        <v>592</v>
      </c>
      <c r="J950" s="6">
        <f>IF(Main[[#This Row],[مقدار (کیلوگرم)]]&gt;0,Main[[#This Row],[مقدار (کیلوگرم)]],0)</f>
        <v>592</v>
      </c>
      <c r="K950" s="6">
        <f>-IF(Main[[#This Row],[مقدار (کیلوگرم)]]&lt;0,Main[[#This Row],[مقدار (کیلوگرم)]],0)</f>
        <v>0</v>
      </c>
      <c r="L9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0" s="7">
        <f>-IF(AND(Main[[#This Row],[مقدار (کیلوگرم)]]&lt;0,Main[[#This Row],[تاريخ میلادی]]&gt;44276),Main[[#This Row],[مقدار (کیلوگرم)]],0)</f>
        <v>0</v>
      </c>
      <c r="N950" s="6">
        <f ca="1">Main[[#This Row],[بدهکار (کیلوگرم)]]-Main[[#This Row],[بدهی تسویه نشده (کیلوگرم)]]</f>
        <v>0</v>
      </c>
      <c r="O950" s="6">
        <f ca="1">Main[[#This Row],[تفکیک]]</f>
        <v>0</v>
      </c>
      <c r="P950" s="6">
        <f ca="1">IF(Main[[#This Row],[تاخیر از سررسید]]&gt;0,Main[[#This Row],[بدهی تسویه نشده (کیلوگرم)]],0)</f>
        <v>0</v>
      </c>
      <c r="Q950" s="6">
        <f ca="1">IF(Main[[#This Row],[بدهی تسویه نشده (کیلوگرم)]]&gt;0,'گزارش فردی'!$B$7-Main[[#This Row],[تاريخ میلادی]],0)</f>
        <v>0</v>
      </c>
      <c r="R950" s="6">
        <f ca="1">IF(Main[[#This Row],[بدهی تسویه نشده (کیلوگرم)]]&gt;0,'گزارش فردی'!$B$7-Main[[#This Row],[تاريخ میلادی]]-'گزارش فردی'!$B$8,0)</f>
        <v>0</v>
      </c>
      <c r="S950" s="6">
        <f ca="1">Main[[#This Row],[روز از ارسال سفارش]]*Main[[#This Row],[بدهی تسویه نشده (کیلوگرم)]]</f>
        <v>0</v>
      </c>
      <c r="T950" s="6">
        <f ca="1">Main[[#This Row],[بدهی سررسید شده (کیلوگرم)]]*Main[[#This Row],[روز از ارسال سفارش]]</f>
        <v>0</v>
      </c>
      <c r="U950" s="6">
        <f>-SUBTOTAL(9,INDEX(Main[مقدار (کیلوگرم)],1):Main[[#This Row],[مقدار (کیلوگرم)]])</f>
        <v>34073</v>
      </c>
      <c r="V9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0" s="6">
        <f>Main[[#This Row],[تعداد کل روزهای بدهکار (روز)]]*Main[[#This Row],[مانده در خط کل (کیلوگرم)]]</f>
        <v>0</v>
      </c>
      <c r="X950" s="6">
        <f ca="1">-SUBTOTAL(9,INDEX(Main[مقدار تسویه شده (کیلوگرم)],1):Main[[#This Row],[مقدار تسویه شده (کیلوگرم)]])</f>
        <v>34073</v>
      </c>
      <c r="Y950" s="6">
        <f ca="1">IF(Main[[#This Row],[مانده در خط تسویه شده (کیلوگرم)]]&lt;&gt;0,Main[[#This Row],[تعداد کل روزهای بدهکار (روز)]],0)</f>
        <v>0</v>
      </c>
      <c r="Z950" s="6">
        <f ca="1">Main[[#This Row],[تعداد روزهای بدهکار تسویه شده (روز)]]*Main[[#This Row],[مانده در خط تسویه شده (کیلوگرم)]]</f>
        <v>0</v>
      </c>
      <c r="AA950" s="6">
        <f ca="1">SUBTOTAL(9,INDEX(Main[بدهی تسویه نشده (کیلوگرم)],1):Main[[#This Row],[بدهی تسویه نشده (کیلوگرم)]])</f>
        <v>0</v>
      </c>
      <c r="AB950" s="6">
        <f ca="1">IF(Main[[#This Row],[مانده در خط تسویه نشده (کیلوگرم)]]&lt;&gt;0,Main[[#This Row],[تعداد کل روزهای بدهکار (روز)]],0)</f>
        <v>0</v>
      </c>
      <c r="AC950" s="6">
        <f ca="1">Main[[#This Row],[تعداد روزهای بدهکار  تسویه نشده (روز)]]*Main[[#This Row],[مانده در خط تسویه نشده (کیلوگرم)]]</f>
        <v>0</v>
      </c>
      <c r="AD950" s="6">
        <f ca="1">SUBTOTAL(9,INDEX(Main[بدهی سررسید شده (کیلوگرم)],1):Main[[#This Row],[بدهی سررسید شده (کیلوگرم)]])</f>
        <v>0</v>
      </c>
      <c r="AE950" s="6">
        <f ca="1">IF(Main[[#This Row],[مانده در خط سررسید شده (کیلوگرم)]]&lt;&gt;0,Main[[#This Row],[تعداد کل روزهای بدهکار (روز)]],0)</f>
        <v>0</v>
      </c>
      <c r="AF950" s="6">
        <f ca="1">Main[[#This Row],[تعداد روزهای بدهکار سررسید شده (روز)]]*Main[[#This Row],[مانده در خط سررسید شده (کیلوگرم)]]</f>
        <v>0</v>
      </c>
    </row>
    <row r="951" spans="1:32" hidden="1" x14ac:dyDescent="0.35">
      <c r="A951" s="5">
        <f>ROW()-ROW(INDEX(Main[ردیف],1))+1</f>
        <v>949</v>
      </c>
      <c r="B951" s="31">
        <f>SUBTOTAL(2,INDEX(Main[ردیف],1):Main[[#This Row],[ردیف]])</f>
        <v>89</v>
      </c>
      <c r="C951" s="32" t="s">
        <v>605</v>
      </c>
      <c r="D951" s="32" t="str">
        <f>_xlfn.CONCAT("14",Main[[#This Row],[تاريخ]])</f>
        <v>1400/04/09</v>
      </c>
      <c r="E951" s="33">
        <v>44377</v>
      </c>
      <c r="F951" s="32">
        <v>30066</v>
      </c>
      <c r="G951" s="5" t="str">
        <f>INDEX(customer[عنوان],MATCH(Main[[#This Row],[کد ردیابی]],customer[کد],0))</f>
        <v xml:space="preserve">شیر آلات بهداشتی قهرمان </v>
      </c>
      <c r="H951">
        <v>-2621</v>
      </c>
      <c r="I951" s="6">
        <f ca="1">-Main[[#This Row],[بدهی تسویه شده (کیلوگرم)]]+Main[[#This Row],[بستانکار (کیلوگرم)]]</f>
        <v>-2621</v>
      </c>
      <c r="J951" s="6">
        <f>IF(Main[[#This Row],[مقدار (کیلوگرم)]]&gt;0,Main[[#This Row],[مقدار (کیلوگرم)]],0)</f>
        <v>0</v>
      </c>
      <c r="K951" s="6">
        <f>-IF(Main[[#This Row],[مقدار (کیلوگرم)]]&lt;0,Main[[#This Row],[مقدار (کیلوگرم)]],0)</f>
        <v>2621</v>
      </c>
      <c r="L9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1" s="7">
        <f>-IF(AND(Main[[#This Row],[مقدار (کیلوگرم)]]&lt;0,Main[[#This Row],[تاريخ میلادی]]&gt;44276),Main[[#This Row],[مقدار (کیلوگرم)]],0)</f>
        <v>2621</v>
      </c>
      <c r="N951" s="6">
        <f ca="1">Main[[#This Row],[بدهکار (کیلوگرم)]]-Main[[#This Row],[بدهی تسویه نشده (کیلوگرم)]]</f>
        <v>2621</v>
      </c>
      <c r="O951" s="6">
        <f ca="1">Main[[#This Row],[تفکیک]]</f>
        <v>0</v>
      </c>
      <c r="P951" s="6">
        <f ca="1">IF(Main[[#This Row],[تاخیر از سررسید]]&gt;0,Main[[#This Row],[بدهی تسویه نشده (کیلوگرم)]],0)</f>
        <v>0</v>
      </c>
      <c r="Q951" s="6">
        <f ca="1">IF(Main[[#This Row],[بدهی تسویه نشده (کیلوگرم)]]&gt;0,'گزارش فردی'!$B$7-Main[[#This Row],[تاريخ میلادی]],0)</f>
        <v>0</v>
      </c>
      <c r="R951" s="6">
        <f ca="1">IF(Main[[#This Row],[بدهی تسویه نشده (کیلوگرم)]]&gt;0,'گزارش فردی'!$B$7-Main[[#This Row],[تاريخ میلادی]]-'گزارش فردی'!$B$8,0)</f>
        <v>0</v>
      </c>
      <c r="S951" s="6">
        <f ca="1">Main[[#This Row],[روز از ارسال سفارش]]*Main[[#This Row],[بدهی تسویه نشده (کیلوگرم)]]</f>
        <v>0</v>
      </c>
      <c r="T951" s="6">
        <f ca="1">Main[[#This Row],[بدهی سررسید شده (کیلوگرم)]]*Main[[#This Row],[روز از ارسال سفارش]]</f>
        <v>0</v>
      </c>
      <c r="U951" s="6">
        <f>-SUBTOTAL(9,INDEX(Main[مقدار (کیلوگرم)],1):Main[[#This Row],[مقدار (کیلوگرم)]])</f>
        <v>34073</v>
      </c>
      <c r="V9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1" s="6">
        <f>Main[[#This Row],[تعداد کل روزهای بدهکار (روز)]]*Main[[#This Row],[مانده در خط کل (کیلوگرم)]]</f>
        <v>0</v>
      </c>
      <c r="X951" s="6">
        <f ca="1">-SUBTOTAL(9,INDEX(Main[مقدار تسویه شده (کیلوگرم)],1):Main[[#This Row],[مقدار تسویه شده (کیلوگرم)]])</f>
        <v>34073</v>
      </c>
      <c r="Y951" s="6">
        <f ca="1">IF(Main[[#This Row],[مانده در خط تسویه شده (کیلوگرم)]]&lt;&gt;0,Main[[#This Row],[تعداد کل روزهای بدهکار (روز)]],0)</f>
        <v>0</v>
      </c>
      <c r="Z951" s="6">
        <f ca="1">Main[[#This Row],[تعداد روزهای بدهکار تسویه شده (روز)]]*Main[[#This Row],[مانده در خط تسویه شده (کیلوگرم)]]</f>
        <v>0</v>
      </c>
      <c r="AA951" s="6">
        <f ca="1">SUBTOTAL(9,INDEX(Main[بدهی تسویه نشده (کیلوگرم)],1):Main[[#This Row],[بدهی تسویه نشده (کیلوگرم)]])</f>
        <v>0</v>
      </c>
      <c r="AB951" s="6">
        <f ca="1">IF(Main[[#This Row],[مانده در خط تسویه نشده (کیلوگرم)]]&lt;&gt;0,Main[[#This Row],[تعداد کل روزهای بدهکار (روز)]],0)</f>
        <v>0</v>
      </c>
      <c r="AC951" s="6">
        <f ca="1">Main[[#This Row],[تعداد روزهای بدهکار  تسویه نشده (روز)]]*Main[[#This Row],[مانده در خط تسویه نشده (کیلوگرم)]]</f>
        <v>0</v>
      </c>
      <c r="AD951" s="6">
        <f ca="1">SUBTOTAL(9,INDEX(Main[بدهی سررسید شده (کیلوگرم)],1):Main[[#This Row],[بدهی سررسید شده (کیلوگرم)]])</f>
        <v>0</v>
      </c>
      <c r="AE951" s="6">
        <f ca="1">IF(Main[[#This Row],[مانده در خط سررسید شده (کیلوگرم)]]&lt;&gt;0,Main[[#This Row],[تعداد کل روزهای بدهکار (روز)]],0)</f>
        <v>0</v>
      </c>
      <c r="AF951" s="6">
        <f ca="1">Main[[#This Row],[تعداد روزهای بدهکار سررسید شده (روز)]]*Main[[#This Row],[مانده در خط سررسید شده (کیلوگرم)]]</f>
        <v>0</v>
      </c>
    </row>
    <row r="952" spans="1:32" hidden="1" x14ac:dyDescent="0.35">
      <c r="A952" s="5">
        <f>ROW()-ROW(INDEX(Main[ردیف],1))+1</f>
        <v>950</v>
      </c>
      <c r="B952" s="31">
        <f>SUBTOTAL(2,INDEX(Main[ردیف],1):Main[[#This Row],[ردیف]])</f>
        <v>89</v>
      </c>
      <c r="C952" s="32" t="s">
        <v>605</v>
      </c>
      <c r="D952" s="32" t="str">
        <f>_xlfn.CONCAT("14",Main[[#This Row],[تاريخ]])</f>
        <v>1400/04/09</v>
      </c>
      <c r="E952" s="33">
        <v>44377</v>
      </c>
      <c r="F952" s="32">
        <v>30004</v>
      </c>
      <c r="G952" s="5" t="str">
        <f>INDEX(customer[عنوان],MATCH(Main[[#This Row],[کد ردیابی]],customer[کد],0))</f>
        <v>تولیدی صنعتی صفاشیر پارس</v>
      </c>
      <c r="H952">
        <v>2044</v>
      </c>
      <c r="I952" s="6">
        <f ca="1">-Main[[#This Row],[بدهی تسویه شده (کیلوگرم)]]+Main[[#This Row],[بستانکار (کیلوگرم)]]</f>
        <v>2044</v>
      </c>
      <c r="J952" s="6">
        <f>IF(Main[[#This Row],[مقدار (کیلوگرم)]]&gt;0,Main[[#This Row],[مقدار (کیلوگرم)]],0)</f>
        <v>2044</v>
      </c>
      <c r="K952" s="6">
        <f>-IF(Main[[#This Row],[مقدار (کیلوگرم)]]&lt;0,Main[[#This Row],[مقدار (کیلوگرم)]],0)</f>
        <v>0</v>
      </c>
      <c r="L9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2" s="7">
        <f>-IF(AND(Main[[#This Row],[مقدار (کیلوگرم)]]&lt;0,Main[[#This Row],[تاريخ میلادی]]&gt;44276),Main[[#This Row],[مقدار (کیلوگرم)]],0)</f>
        <v>0</v>
      </c>
      <c r="N952" s="6">
        <f ca="1">Main[[#This Row],[بدهکار (کیلوگرم)]]-Main[[#This Row],[بدهی تسویه نشده (کیلوگرم)]]</f>
        <v>0</v>
      </c>
      <c r="O952" s="6">
        <f ca="1">Main[[#This Row],[تفکیک]]</f>
        <v>0</v>
      </c>
      <c r="P952" s="6">
        <f ca="1">IF(Main[[#This Row],[تاخیر از سررسید]]&gt;0,Main[[#This Row],[بدهی تسویه نشده (کیلوگرم)]],0)</f>
        <v>0</v>
      </c>
      <c r="Q952" s="6">
        <f ca="1">IF(Main[[#This Row],[بدهی تسویه نشده (کیلوگرم)]]&gt;0,'گزارش فردی'!$B$7-Main[[#This Row],[تاريخ میلادی]],0)</f>
        <v>0</v>
      </c>
      <c r="R952" s="6">
        <f ca="1">IF(Main[[#This Row],[بدهی تسویه نشده (کیلوگرم)]]&gt;0,'گزارش فردی'!$B$7-Main[[#This Row],[تاريخ میلادی]]-'گزارش فردی'!$B$8,0)</f>
        <v>0</v>
      </c>
      <c r="S952" s="6">
        <f ca="1">Main[[#This Row],[روز از ارسال سفارش]]*Main[[#This Row],[بدهی تسویه نشده (کیلوگرم)]]</f>
        <v>0</v>
      </c>
      <c r="T952" s="6">
        <f ca="1">Main[[#This Row],[بدهی سررسید شده (کیلوگرم)]]*Main[[#This Row],[روز از ارسال سفارش]]</f>
        <v>0</v>
      </c>
      <c r="U952" s="6">
        <f>-SUBTOTAL(9,INDEX(Main[مقدار (کیلوگرم)],1):Main[[#This Row],[مقدار (کیلوگرم)]])</f>
        <v>34073</v>
      </c>
      <c r="V9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2" s="6">
        <f>Main[[#This Row],[تعداد کل روزهای بدهکار (روز)]]*Main[[#This Row],[مانده در خط کل (کیلوگرم)]]</f>
        <v>0</v>
      </c>
      <c r="X952" s="6">
        <f ca="1">-SUBTOTAL(9,INDEX(Main[مقدار تسویه شده (کیلوگرم)],1):Main[[#This Row],[مقدار تسویه شده (کیلوگرم)]])</f>
        <v>34073</v>
      </c>
      <c r="Y952" s="6">
        <f ca="1">IF(Main[[#This Row],[مانده در خط تسویه شده (کیلوگرم)]]&lt;&gt;0,Main[[#This Row],[تعداد کل روزهای بدهکار (روز)]],0)</f>
        <v>0</v>
      </c>
      <c r="Z952" s="6">
        <f ca="1">Main[[#This Row],[تعداد روزهای بدهکار تسویه شده (روز)]]*Main[[#This Row],[مانده در خط تسویه شده (کیلوگرم)]]</f>
        <v>0</v>
      </c>
      <c r="AA952" s="6">
        <f ca="1">SUBTOTAL(9,INDEX(Main[بدهی تسویه نشده (کیلوگرم)],1):Main[[#This Row],[بدهی تسویه نشده (کیلوگرم)]])</f>
        <v>0</v>
      </c>
      <c r="AB952" s="6">
        <f ca="1">IF(Main[[#This Row],[مانده در خط تسویه نشده (کیلوگرم)]]&lt;&gt;0,Main[[#This Row],[تعداد کل روزهای بدهکار (روز)]],0)</f>
        <v>0</v>
      </c>
      <c r="AC952" s="6">
        <f ca="1">Main[[#This Row],[تعداد روزهای بدهکار  تسویه نشده (روز)]]*Main[[#This Row],[مانده در خط تسویه نشده (کیلوگرم)]]</f>
        <v>0</v>
      </c>
      <c r="AD952" s="6">
        <f ca="1">SUBTOTAL(9,INDEX(Main[بدهی سررسید شده (کیلوگرم)],1):Main[[#This Row],[بدهی سررسید شده (کیلوگرم)]])</f>
        <v>0</v>
      </c>
      <c r="AE952" s="6">
        <f ca="1">IF(Main[[#This Row],[مانده در خط سررسید شده (کیلوگرم)]]&lt;&gt;0,Main[[#This Row],[تعداد کل روزهای بدهکار (روز)]],0)</f>
        <v>0</v>
      </c>
      <c r="AF952" s="6">
        <f ca="1">Main[[#This Row],[تعداد روزهای بدهکار سررسید شده (روز)]]*Main[[#This Row],[مانده در خط سررسید شده (کیلوگرم)]]</f>
        <v>0</v>
      </c>
    </row>
    <row r="953" spans="1:32" hidden="1" x14ac:dyDescent="0.35">
      <c r="A953" s="5">
        <f>ROW()-ROW(INDEX(Main[ردیف],1))+1</f>
        <v>951</v>
      </c>
      <c r="B953" s="31">
        <f>SUBTOTAL(2,INDEX(Main[ردیف],1):Main[[#This Row],[ردیف]])</f>
        <v>89</v>
      </c>
      <c r="C953" s="32" t="s">
        <v>605</v>
      </c>
      <c r="D953" s="32" t="str">
        <f>_xlfn.CONCAT("14",Main[[#This Row],[تاريخ]])</f>
        <v>1400/04/09</v>
      </c>
      <c r="E953" s="33">
        <v>44377</v>
      </c>
      <c r="F953" s="32">
        <v>10020</v>
      </c>
      <c r="G953" s="5" t="str">
        <f>INDEX(customer[عنوان],MATCH(Main[[#This Row],[کد ردیابی]],customer[کد],0))</f>
        <v>فرزاد اسماعیل زاده</v>
      </c>
      <c r="H953">
        <v>-1010</v>
      </c>
      <c r="I953" s="6">
        <f ca="1">-Main[[#This Row],[بدهی تسویه شده (کیلوگرم)]]+Main[[#This Row],[بستانکار (کیلوگرم)]]</f>
        <v>-1010</v>
      </c>
      <c r="J953" s="6">
        <f>IF(Main[[#This Row],[مقدار (کیلوگرم)]]&gt;0,Main[[#This Row],[مقدار (کیلوگرم)]],0)</f>
        <v>0</v>
      </c>
      <c r="K953" s="6">
        <f>-IF(Main[[#This Row],[مقدار (کیلوگرم)]]&lt;0,Main[[#This Row],[مقدار (کیلوگرم)]],0)</f>
        <v>1010</v>
      </c>
      <c r="L9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3" s="7">
        <f>-IF(AND(Main[[#This Row],[مقدار (کیلوگرم)]]&lt;0,Main[[#This Row],[تاريخ میلادی]]&gt;44276),Main[[#This Row],[مقدار (کیلوگرم)]],0)</f>
        <v>1010</v>
      </c>
      <c r="N953" s="6">
        <f ca="1">Main[[#This Row],[بدهکار (کیلوگرم)]]-Main[[#This Row],[بدهی تسویه نشده (کیلوگرم)]]</f>
        <v>1010</v>
      </c>
      <c r="O953" s="6">
        <f ca="1">Main[[#This Row],[تفکیک]]</f>
        <v>0</v>
      </c>
      <c r="P953" s="6">
        <f ca="1">IF(Main[[#This Row],[تاخیر از سررسید]]&gt;0,Main[[#This Row],[بدهی تسویه نشده (کیلوگرم)]],0)</f>
        <v>0</v>
      </c>
      <c r="Q953" s="6">
        <f ca="1">IF(Main[[#This Row],[بدهی تسویه نشده (کیلوگرم)]]&gt;0,'گزارش فردی'!$B$7-Main[[#This Row],[تاريخ میلادی]],0)</f>
        <v>0</v>
      </c>
      <c r="R953" s="6">
        <f ca="1">IF(Main[[#This Row],[بدهی تسویه نشده (کیلوگرم)]]&gt;0,'گزارش فردی'!$B$7-Main[[#This Row],[تاريخ میلادی]]-'گزارش فردی'!$B$8,0)</f>
        <v>0</v>
      </c>
      <c r="S953" s="6">
        <f ca="1">Main[[#This Row],[روز از ارسال سفارش]]*Main[[#This Row],[بدهی تسویه نشده (کیلوگرم)]]</f>
        <v>0</v>
      </c>
      <c r="T953" s="6">
        <f ca="1">Main[[#This Row],[بدهی سررسید شده (کیلوگرم)]]*Main[[#This Row],[روز از ارسال سفارش]]</f>
        <v>0</v>
      </c>
      <c r="U953" s="6">
        <f>-SUBTOTAL(9,INDEX(Main[مقدار (کیلوگرم)],1):Main[[#This Row],[مقدار (کیلوگرم)]])</f>
        <v>34073</v>
      </c>
      <c r="V9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3" s="6">
        <f>Main[[#This Row],[تعداد کل روزهای بدهکار (روز)]]*Main[[#This Row],[مانده در خط کل (کیلوگرم)]]</f>
        <v>0</v>
      </c>
      <c r="X953" s="6">
        <f ca="1">-SUBTOTAL(9,INDEX(Main[مقدار تسویه شده (کیلوگرم)],1):Main[[#This Row],[مقدار تسویه شده (کیلوگرم)]])</f>
        <v>34073</v>
      </c>
      <c r="Y953" s="6">
        <f ca="1">IF(Main[[#This Row],[مانده در خط تسویه شده (کیلوگرم)]]&lt;&gt;0,Main[[#This Row],[تعداد کل روزهای بدهکار (روز)]],0)</f>
        <v>0</v>
      </c>
      <c r="Z953" s="6">
        <f ca="1">Main[[#This Row],[تعداد روزهای بدهکار تسویه شده (روز)]]*Main[[#This Row],[مانده در خط تسویه شده (کیلوگرم)]]</f>
        <v>0</v>
      </c>
      <c r="AA953" s="6">
        <f ca="1">SUBTOTAL(9,INDEX(Main[بدهی تسویه نشده (کیلوگرم)],1):Main[[#This Row],[بدهی تسویه نشده (کیلوگرم)]])</f>
        <v>0</v>
      </c>
      <c r="AB953" s="6">
        <f ca="1">IF(Main[[#This Row],[مانده در خط تسویه نشده (کیلوگرم)]]&lt;&gt;0,Main[[#This Row],[تعداد کل روزهای بدهکار (روز)]],0)</f>
        <v>0</v>
      </c>
      <c r="AC953" s="6">
        <f ca="1">Main[[#This Row],[تعداد روزهای بدهکار  تسویه نشده (روز)]]*Main[[#This Row],[مانده در خط تسویه نشده (کیلوگرم)]]</f>
        <v>0</v>
      </c>
      <c r="AD953" s="6">
        <f ca="1">SUBTOTAL(9,INDEX(Main[بدهی سررسید شده (کیلوگرم)],1):Main[[#This Row],[بدهی سررسید شده (کیلوگرم)]])</f>
        <v>0</v>
      </c>
      <c r="AE953" s="6">
        <f ca="1">IF(Main[[#This Row],[مانده در خط سررسید شده (کیلوگرم)]]&lt;&gt;0,Main[[#This Row],[تعداد کل روزهای بدهکار (روز)]],0)</f>
        <v>0</v>
      </c>
      <c r="AF953" s="6">
        <f ca="1">Main[[#This Row],[تعداد روزهای بدهکار سررسید شده (روز)]]*Main[[#This Row],[مانده در خط سررسید شده (کیلوگرم)]]</f>
        <v>0</v>
      </c>
    </row>
    <row r="954" spans="1:32" x14ac:dyDescent="0.35">
      <c r="A954" s="5">
        <f>ROW()-ROW(INDEX(Main[ردیف],1))+1</f>
        <v>952</v>
      </c>
      <c r="B954" s="31">
        <f>SUBTOTAL(2,INDEX(Main[ردیف],1):Main[[#This Row],[ردیف]])</f>
        <v>90</v>
      </c>
      <c r="C954" s="32" t="s">
        <v>605</v>
      </c>
      <c r="D954" s="32" t="str">
        <f>_xlfn.CONCAT("14",Main[[#This Row],[تاريخ]])</f>
        <v>1400/04/09</v>
      </c>
      <c r="E954" s="33">
        <v>44377</v>
      </c>
      <c r="F954" s="32">
        <v>10003</v>
      </c>
      <c r="G954" s="5" t="str">
        <f>INDEX(customer[عنوان],MATCH(Main[[#This Row],[کد ردیابی]],customer[کد],0))</f>
        <v>اصغر نورعلی</v>
      </c>
      <c r="H954">
        <v>973</v>
      </c>
      <c r="I954" s="6">
        <f ca="1">-Main[[#This Row],[بدهی تسویه شده (کیلوگرم)]]+Main[[#This Row],[بستانکار (کیلوگرم)]]</f>
        <v>973</v>
      </c>
      <c r="J954" s="6">
        <f>IF(Main[[#This Row],[مقدار (کیلوگرم)]]&gt;0,Main[[#This Row],[مقدار (کیلوگرم)]],0)</f>
        <v>973</v>
      </c>
      <c r="K954" s="6">
        <f>-IF(Main[[#This Row],[مقدار (کیلوگرم)]]&lt;0,Main[[#This Row],[مقدار (کیلوگرم)]],0)</f>
        <v>0</v>
      </c>
      <c r="L9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4" s="7">
        <f>-IF(AND(Main[[#This Row],[مقدار (کیلوگرم)]]&lt;0,Main[[#This Row],[تاريخ میلادی]]&gt;44276),Main[[#This Row],[مقدار (کیلوگرم)]],0)</f>
        <v>0</v>
      </c>
      <c r="N954" s="6">
        <f ca="1">Main[[#This Row],[بدهکار (کیلوگرم)]]-Main[[#This Row],[بدهی تسویه نشده (کیلوگرم)]]</f>
        <v>0</v>
      </c>
      <c r="O954" s="6">
        <f ca="1">Main[[#This Row],[تفکیک]]</f>
        <v>0</v>
      </c>
      <c r="P954" s="6">
        <f ca="1">IF(Main[[#This Row],[تاخیر از سررسید]]&gt;0,Main[[#This Row],[بدهی تسویه نشده (کیلوگرم)]],0)</f>
        <v>0</v>
      </c>
      <c r="Q954" s="6">
        <f ca="1">IF(Main[[#This Row],[بدهی تسویه نشده (کیلوگرم)]]&gt;0,'گزارش فردی'!$B$7-Main[[#This Row],[تاريخ میلادی]],0)</f>
        <v>0</v>
      </c>
      <c r="R954" s="6">
        <f ca="1">IF(Main[[#This Row],[بدهی تسویه نشده (کیلوگرم)]]&gt;0,'گزارش فردی'!$B$7-Main[[#This Row],[تاريخ میلادی]]-'گزارش فردی'!$B$8,0)</f>
        <v>0</v>
      </c>
      <c r="S954" s="6">
        <f ca="1">Main[[#This Row],[روز از ارسال سفارش]]*Main[[#This Row],[بدهی تسویه نشده (کیلوگرم)]]</f>
        <v>0</v>
      </c>
      <c r="T954" s="6">
        <f ca="1">Main[[#This Row],[بدهی سررسید شده (کیلوگرم)]]*Main[[#This Row],[روز از ارسال سفارش]]</f>
        <v>0</v>
      </c>
      <c r="U954" s="6">
        <f>-SUBTOTAL(9,INDEX(Main[مقدار (کیلوگرم)],1):Main[[#This Row],[مقدار (کیلوگرم)]])</f>
        <v>33100</v>
      </c>
      <c r="V9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4" s="6">
        <f>Main[[#This Row],[تعداد کل روزهای بدهکار (روز)]]*Main[[#This Row],[مانده در خط کل (کیلوگرم)]]</f>
        <v>0</v>
      </c>
      <c r="X954" s="6">
        <f ca="1">-SUBTOTAL(9,INDEX(Main[مقدار تسویه شده (کیلوگرم)],1):Main[[#This Row],[مقدار تسویه شده (کیلوگرم)]])</f>
        <v>33100</v>
      </c>
      <c r="Y954" s="6">
        <f ca="1">IF(Main[[#This Row],[مانده در خط تسویه شده (کیلوگرم)]]&lt;&gt;0,Main[[#This Row],[تعداد کل روزهای بدهکار (روز)]],0)</f>
        <v>0</v>
      </c>
      <c r="Z954" s="6">
        <f ca="1">Main[[#This Row],[تعداد روزهای بدهکار تسویه شده (روز)]]*Main[[#This Row],[مانده در خط تسویه شده (کیلوگرم)]]</f>
        <v>0</v>
      </c>
      <c r="AA954" s="6">
        <f ca="1">SUBTOTAL(9,INDEX(Main[بدهی تسویه نشده (کیلوگرم)],1):Main[[#This Row],[بدهی تسویه نشده (کیلوگرم)]])</f>
        <v>0</v>
      </c>
      <c r="AB954" s="6">
        <f ca="1">IF(Main[[#This Row],[مانده در خط تسویه نشده (کیلوگرم)]]&lt;&gt;0,Main[[#This Row],[تعداد کل روزهای بدهکار (روز)]],0)</f>
        <v>0</v>
      </c>
      <c r="AC954" s="6">
        <f ca="1">Main[[#This Row],[تعداد روزهای بدهکار  تسویه نشده (روز)]]*Main[[#This Row],[مانده در خط تسویه نشده (کیلوگرم)]]</f>
        <v>0</v>
      </c>
      <c r="AD954" s="6">
        <f ca="1">SUBTOTAL(9,INDEX(Main[بدهی سررسید شده (کیلوگرم)],1):Main[[#This Row],[بدهی سررسید شده (کیلوگرم)]])</f>
        <v>0</v>
      </c>
      <c r="AE954" s="6">
        <f ca="1">IF(Main[[#This Row],[مانده در خط سررسید شده (کیلوگرم)]]&lt;&gt;0,Main[[#This Row],[تعداد کل روزهای بدهکار (روز)]],0)</f>
        <v>0</v>
      </c>
      <c r="AF954" s="6">
        <f ca="1">Main[[#This Row],[تعداد روزهای بدهکار سررسید شده (روز)]]*Main[[#This Row],[مانده در خط سررسید شده (کیلوگرم)]]</f>
        <v>0</v>
      </c>
    </row>
    <row r="955" spans="1:32" hidden="1" x14ac:dyDescent="0.35">
      <c r="A955" s="5">
        <f>ROW()-ROW(INDEX(Main[ردیف],1))+1</f>
        <v>953</v>
      </c>
      <c r="B955" s="31">
        <f>SUBTOTAL(2,INDEX(Main[ردیف],1):Main[[#This Row],[ردیف]])</f>
        <v>90</v>
      </c>
      <c r="C955" s="32" t="s">
        <v>605</v>
      </c>
      <c r="D955" s="32" t="str">
        <f>_xlfn.CONCAT("14",Main[[#This Row],[تاريخ]])</f>
        <v>1400/04/09</v>
      </c>
      <c r="E955" s="33">
        <v>44377</v>
      </c>
      <c r="F955" s="32">
        <v>30009</v>
      </c>
      <c r="G955" s="5" t="str">
        <f>INDEX(customer[عنوان],MATCH(Main[[#This Row],[کد ردیابی]],customer[کد],0))</f>
        <v>شرکت ایمن تک پیشرو</v>
      </c>
      <c r="H955">
        <v>-2104</v>
      </c>
      <c r="I955" s="6">
        <f ca="1">-Main[[#This Row],[بدهی تسویه شده (کیلوگرم)]]+Main[[#This Row],[بستانکار (کیلوگرم)]]</f>
        <v>-2104</v>
      </c>
      <c r="J955" s="6">
        <f>IF(Main[[#This Row],[مقدار (کیلوگرم)]]&gt;0,Main[[#This Row],[مقدار (کیلوگرم)]],0)</f>
        <v>0</v>
      </c>
      <c r="K955" s="6">
        <f>-IF(Main[[#This Row],[مقدار (کیلوگرم)]]&lt;0,Main[[#This Row],[مقدار (کیلوگرم)]],0)</f>
        <v>2104</v>
      </c>
      <c r="L9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5" s="7">
        <f>-IF(AND(Main[[#This Row],[مقدار (کیلوگرم)]]&lt;0,Main[[#This Row],[تاريخ میلادی]]&gt;44276),Main[[#This Row],[مقدار (کیلوگرم)]],0)</f>
        <v>2104</v>
      </c>
      <c r="N955" s="6">
        <f ca="1">Main[[#This Row],[بدهکار (کیلوگرم)]]-Main[[#This Row],[بدهی تسویه نشده (کیلوگرم)]]</f>
        <v>2104</v>
      </c>
      <c r="O955" s="6">
        <f ca="1">Main[[#This Row],[تفکیک]]</f>
        <v>0</v>
      </c>
      <c r="P955" s="6">
        <f ca="1">IF(Main[[#This Row],[تاخیر از سررسید]]&gt;0,Main[[#This Row],[بدهی تسویه نشده (کیلوگرم)]],0)</f>
        <v>0</v>
      </c>
      <c r="Q955" s="6">
        <f ca="1">IF(Main[[#This Row],[بدهی تسویه نشده (کیلوگرم)]]&gt;0,'گزارش فردی'!$B$7-Main[[#This Row],[تاريخ میلادی]],0)</f>
        <v>0</v>
      </c>
      <c r="R955" s="6">
        <f ca="1">IF(Main[[#This Row],[بدهی تسویه نشده (کیلوگرم)]]&gt;0,'گزارش فردی'!$B$7-Main[[#This Row],[تاريخ میلادی]]-'گزارش فردی'!$B$8,0)</f>
        <v>0</v>
      </c>
      <c r="S955" s="6">
        <f ca="1">Main[[#This Row],[روز از ارسال سفارش]]*Main[[#This Row],[بدهی تسویه نشده (کیلوگرم)]]</f>
        <v>0</v>
      </c>
      <c r="T955" s="6">
        <f ca="1">Main[[#This Row],[بدهی سررسید شده (کیلوگرم)]]*Main[[#This Row],[روز از ارسال سفارش]]</f>
        <v>0</v>
      </c>
      <c r="U955" s="6">
        <f>-SUBTOTAL(9,INDEX(Main[مقدار (کیلوگرم)],1):Main[[#This Row],[مقدار (کیلوگرم)]])</f>
        <v>33100</v>
      </c>
      <c r="V9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5" s="6">
        <f>Main[[#This Row],[تعداد کل روزهای بدهکار (روز)]]*Main[[#This Row],[مانده در خط کل (کیلوگرم)]]</f>
        <v>0</v>
      </c>
      <c r="X955" s="6">
        <f ca="1">-SUBTOTAL(9,INDEX(Main[مقدار تسویه شده (کیلوگرم)],1):Main[[#This Row],[مقدار تسویه شده (کیلوگرم)]])</f>
        <v>33100</v>
      </c>
      <c r="Y955" s="6">
        <f ca="1">IF(Main[[#This Row],[مانده در خط تسویه شده (کیلوگرم)]]&lt;&gt;0,Main[[#This Row],[تعداد کل روزهای بدهکار (روز)]],0)</f>
        <v>0</v>
      </c>
      <c r="Z955" s="6">
        <f ca="1">Main[[#This Row],[تعداد روزهای بدهکار تسویه شده (روز)]]*Main[[#This Row],[مانده در خط تسویه شده (کیلوگرم)]]</f>
        <v>0</v>
      </c>
      <c r="AA955" s="6">
        <f ca="1">SUBTOTAL(9,INDEX(Main[بدهی تسویه نشده (کیلوگرم)],1):Main[[#This Row],[بدهی تسویه نشده (کیلوگرم)]])</f>
        <v>0</v>
      </c>
      <c r="AB955" s="6">
        <f ca="1">IF(Main[[#This Row],[مانده در خط تسویه نشده (کیلوگرم)]]&lt;&gt;0,Main[[#This Row],[تعداد کل روزهای بدهکار (روز)]],0)</f>
        <v>0</v>
      </c>
      <c r="AC955" s="6">
        <f ca="1">Main[[#This Row],[تعداد روزهای بدهکار  تسویه نشده (روز)]]*Main[[#This Row],[مانده در خط تسویه نشده (کیلوگرم)]]</f>
        <v>0</v>
      </c>
      <c r="AD955" s="6">
        <f ca="1">SUBTOTAL(9,INDEX(Main[بدهی سررسید شده (کیلوگرم)],1):Main[[#This Row],[بدهی سررسید شده (کیلوگرم)]])</f>
        <v>0</v>
      </c>
      <c r="AE955" s="6">
        <f ca="1">IF(Main[[#This Row],[مانده در خط سررسید شده (کیلوگرم)]]&lt;&gt;0,Main[[#This Row],[تعداد کل روزهای بدهکار (روز)]],0)</f>
        <v>0</v>
      </c>
      <c r="AF955" s="6">
        <f ca="1">Main[[#This Row],[تعداد روزهای بدهکار سررسید شده (روز)]]*Main[[#This Row],[مانده در خط سررسید شده (کیلوگرم)]]</f>
        <v>0</v>
      </c>
    </row>
    <row r="956" spans="1:32" hidden="1" x14ac:dyDescent="0.35">
      <c r="A956" s="5">
        <f>ROW()-ROW(INDEX(Main[ردیف],1))+1</f>
        <v>954</v>
      </c>
      <c r="B956" s="31">
        <f>SUBTOTAL(2,INDEX(Main[ردیف],1):Main[[#This Row],[ردیف]])</f>
        <v>90</v>
      </c>
      <c r="C956" s="32" t="s">
        <v>605</v>
      </c>
      <c r="D956" s="32" t="str">
        <f>_xlfn.CONCAT("14",Main[[#This Row],[تاريخ]])</f>
        <v>1400/04/09</v>
      </c>
      <c r="E956" s="33">
        <v>44377</v>
      </c>
      <c r="F956" s="32">
        <v>10070</v>
      </c>
      <c r="G956" s="5" t="str">
        <f>INDEX(customer[عنوان],MATCH(Main[[#This Row],[کد ردیابی]],customer[کد],0))</f>
        <v xml:space="preserve">حمیدرضا شفیعی </v>
      </c>
      <c r="H956">
        <v>1429</v>
      </c>
      <c r="I956" s="6">
        <f ca="1">-Main[[#This Row],[بدهی تسویه شده (کیلوگرم)]]+Main[[#This Row],[بستانکار (کیلوگرم)]]</f>
        <v>1429</v>
      </c>
      <c r="J956" s="6">
        <f>IF(Main[[#This Row],[مقدار (کیلوگرم)]]&gt;0,Main[[#This Row],[مقدار (کیلوگرم)]],0)</f>
        <v>1429</v>
      </c>
      <c r="K956" s="6">
        <f>-IF(Main[[#This Row],[مقدار (کیلوگرم)]]&lt;0,Main[[#This Row],[مقدار (کیلوگرم)]],0)</f>
        <v>0</v>
      </c>
      <c r="L9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6" s="7">
        <f>-IF(AND(Main[[#This Row],[مقدار (کیلوگرم)]]&lt;0,Main[[#This Row],[تاريخ میلادی]]&gt;44276),Main[[#This Row],[مقدار (کیلوگرم)]],0)</f>
        <v>0</v>
      </c>
      <c r="N956" s="6">
        <f ca="1">Main[[#This Row],[بدهکار (کیلوگرم)]]-Main[[#This Row],[بدهی تسویه نشده (کیلوگرم)]]</f>
        <v>0</v>
      </c>
      <c r="O956" s="6">
        <f ca="1">Main[[#This Row],[تفکیک]]</f>
        <v>0</v>
      </c>
      <c r="P956" s="6">
        <f ca="1">IF(Main[[#This Row],[تاخیر از سررسید]]&gt;0,Main[[#This Row],[بدهی تسویه نشده (کیلوگرم)]],0)</f>
        <v>0</v>
      </c>
      <c r="Q956" s="6">
        <f ca="1">IF(Main[[#This Row],[بدهی تسویه نشده (کیلوگرم)]]&gt;0,'گزارش فردی'!$B$7-Main[[#This Row],[تاريخ میلادی]],0)</f>
        <v>0</v>
      </c>
      <c r="R956" s="6">
        <f ca="1">IF(Main[[#This Row],[بدهی تسویه نشده (کیلوگرم)]]&gt;0,'گزارش فردی'!$B$7-Main[[#This Row],[تاريخ میلادی]]-'گزارش فردی'!$B$8,0)</f>
        <v>0</v>
      </c>
      <c r="S956" s="6">
        <f ca="1">Main[[#This Row],[روز از ارسال سفارش]]*Main[[#This Row],[بدهی تسویه نشده (کیلوگرم)]]</f>
        <v>0</v>
      </c>
      <c r="T956" s="6">
        <f ca="1">Main[[#This Row],[بدهی سررسید شده (کیلوگرم)]]*Main[[#This Row],[روز از ارسال سفارش]]</f>
        <v>0</v>
      </c>
      <c r="U956" s="6">
        <f>-SUBTOTAL(9,INDEX(Main[مقدار (کیلوگرم)],1):Main[[#This Row],[مقدار (کیلوگرم)]])</f>
        <v>33100</v>
      </c>
      <c r="V9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6" s="6">
        <f>Main[[#This Row],[تعداد کل روزهای بدهکار (روز)]]*Main[[#This Row],[مانده در خط کل (کیلوگرم)]]</f>
        <v>0</v>
      </c>
      <c r="X956" s="6">
        <f ca="1">-SUBTOTAL(9,INDEX(Main[مقدار تسویه شده (کیلوگرم)],1):Main[[#This Row],[مقدار تسویه شده (کیلوگرم)]])</f>
        <v>33100</v>
      </c>
      <c r="Y956" s="6">
        <f ca="1">IF(Main[[#This Row],[مانده در خط تسویه شده (کیلوگرم)]]&lt;&gt;0,Main[[#This Row],[تعداد کل روزهای بدهکار (روز)]],0)</f>
        <v>0</v>
      </c>
      <c r="Z956" s="6">
        <f ca="1">Main[[#This Row],[تعداد روزهای بدهکار تسویه شده (روز)]]*Main[[#This Row],[مانده در خط تسویه شده (کیلوگرم)]]</f>
        <v>0</v>
      </c>
      <c r="AA956" s="6">
        <f ca="1">SUBTOTAL(9,INDEX(Main[بدهی تسویه نشده (کیلوگرم)],1):Main[[#This Row],[بدهی تسویه نشده (کیلوگرم)]])</f>
        <v>0</v>
      </c>
      <c r="AB956" s="6">
        <f ca="1">IF(Main[[#This Row],[مانده در خط تسویه نشده (کیلوگرم)]]&lt;&gt;0,Main[[#This Row],[تعداد کل روزهای بدهکار (روز)]],0)</f>
        <v>0</v>
      </c>
      <c r="AC956" s="6">
        <f ca="1">Main[[#This Row],[تعداد روزهای بدهکار  تسویه نشده (روز)]]*Main[[#This Row],[مانده در خط تسویه نشده (کیلوگرم)]]</f>
        <v>0</v>
      </c>
      <c r="AD956" s="6">
        <f ca="1">SUBTOTAL(9,INDEX(Main[بدهی سررسید شده (کیلوگرم)],1):Main[[#This Row],[بدهی سررسید شده (کیلوگرم)]])</f>
        <v>0</v>
      </c>
      <c r="AE956" s="6">
        <f ca="1">IF(Main[[#This Row],[مانده در خط سررسید شده (کیلوگرم)]]&lt;&gt;0,Main[[#This Row],[تعداد کل روزهای بدهکار (روز)]],0)</f>
        <v>0</v>
      </c>
      <c r="AF956" s="6">
        <f ca="1">Main[[#This Row],[تعداد روزهای بدهکار سررسید شده (روز)]]*Main[[#This Row],[مانده در خط سررسید شده (کیلوگرم)]]</f>
        <v>0</v>
      </c>
    </row>
    <row r="957" spans="1:32" hidden="1" x14ac:dyDescent="0.35">
      <c r="A957" s="5">
        <f>ROW()-ROW(INDEX(Main[ردیف],1))+1</f>
        <v>955</v>
      </c>
      <c r="B957" s="31">
        <f>SUBTOTAL(2,INDEX(Main[ردیف],1):Main[[#This Row],[ردیف]])</f>
        <v>90</v>
      </c>
      <c r="C957" s="32" t="s">
        <v>605</v>
      </c>
      <c r="D957" s="32" t="str">
        <f>_xlfn.CONCAT("14",Main[[#This Row],[تاريخ]])</f>
        <v>1400/04/09</v>
      </c>
      <c r="E957" s="33">
        <v>44377</v>
      </c>
      <c r="F957" s="32">
        <v>10048</v>
      </c>
      <c r="G957" s="5" t="str">
        <f>INDEX(customer[عنوان],MATCH(Main[[#This Row],[کد ردیابی]],customer[کد],0))</f>
        <v xml:space="preserve">حسام کریمان  </v>
      </c>
      <c r="H957">
        <v>-1350</v>
      </c>
      <c r="I957" s="6">
        <f ca="1">-Main[[#This Row],[بدهی تسویه شده (کیلوگرم)]]+Main[[#This Row],[بستانکار (کیلوگرم)]]</f>
        <v>-1350</v>
      </c>
      <c r="J957" s="6">
        <f>IF(Main[[#This Row],[مقدار (کیلوگرم)]]&gt;0,Main[[#This Row],[مقدار (کیلوگرم)]],0)</f>
        <v>0</v>
      </c>
      <c r="K957" s="6">
        <f>-IF(Main[[#This Row],[مقدار (کیلوگرم)]]&lt;0,Main[[#This Row],[مقدار (کیلوگرم)]],0)</f>
        <v>1350</v>
      </c>
      <c r="L9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7" s="7">
        <f>-IF(AND(Main[[#This Row],[مقدار (کیلوگرم)]]&lt;0,Main[[#This Row],[تاريخ میلادی]]&gt;44276),Main[[#This Row],[مقدار (کیلوگرم)]],0)</f>
        <v>1350</v>
      </c>
      <c r="N957" s="6">
        <f ca="1">Main[[#This Row],[بدهکار (کیلوگرم)]]-Main[[#This Row],[بدهی تسویه نشده (کیلوگرم)]]</f>
        <v>1350</v>
      </c>
      <c r="O957" s="6">
        <f ca="1">Main[[#This Row],[تفکیک]]</f>
        <v>0</v>
      </c>
      <c r="P957" s="6">
        <f ca="1">IF(Main[[#This Row],[تاخیر از سررسید]]&gt;0,Main[[#This Row],[بدهی تسویه نشده (کیلوگرم)]],0)</f>
        <v>0</v>
      </c>
      <c r="Q957" s="6">
        <f ca="1">IF(Main[[#This Row],[بدهی تسویه نشده (کیلوگرم)]]&gt;0,'گزارش فردی'!$B$7-Main[[#This Row],[تاريخ میلادی]],0)</f>
        <v>0</v>
      </c>
      <c r="R957" s="6">
        <f ca="1">IF(Main[[#This Row],[بدهی تسویه نشده (کیلوگرم)]]&gt;0,'گزارش فردی'!$B$7-Main[[#This Row],[تاريخ میلادی]]-'گزارش فردی'!$B$8,0)</f>
        <v>0</v>
      </c>
      <c r="S957" s="6">
        <f ca="1">Main[[#This Row],[روز از ارسال سفارش]]*Main[[#This Row],[بدهی تسویه نشده (کیلوگرم)]]</f>
        <v>0</v>
      </c>
      <c r="T957" s="6">
        <f ca="1">Main[[#This Row],[بدهی سررسید شده (کیلوگرم)]]*Main[[#This Row],[روز از ارسال سفارش]]</f>
        <v>0</v>
      </c>
      <c r="U957" s="6">
        <f>-SUBTOTAL(9,INDEX(Main[مقدار (کیلوگرم)],1):Main[[#This Row],[مقدار (کیلوگرم)]])</f>
        <v>33100</v>
      </c>
      <c r="V9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7" s="6">
        <f>Main[[#This Row],[تعداد کل روزهای بدهکار (روز)]]*Main[[#This Row],[مانده در خط کل (کیلوگرم)]]</f>
        <v>0</v>
      </c>
      <c r="X957" s="6">
        <f ca="1">-SUBTOTAL(9,INDEX(Main[مقدار تسویه شده (کیلوگرم)],1):Main[[#This Row],[مقدار تسویه شده (کیلوگرم)]])</f>
        <v>33100</v>
      </c>
      <c r="Y957" s="6">
        <f ca="1">IF(Main[[#This Row],[مانده در خط تسویه شده (کیلوگرم)]]&lt;&gt;0,Main[[#This Row],[تعداد کل روزهای بدهکار (روز)]],0)</f>
        <v>0</v>
      </c>
      <c r="Z957" s="6">
        <f ca="1">Main[[#This Row],[تعداد روزهای بدهکار تسویه شده (روز)]]*Main[[#This Row],[مانده در خط تسویه شده (کیلوگرم)]]</f>
        <v>0</v>
      </c>
      <c r="AA957" s="6">
        <f ca="1">SUBTOTAL(9,INDEX(Main[بدهی تسویه نشده (کیلوگرم)],1):Main[[#This Row],[بدهی تسویه نشده (کیلوگرم)]])</f>
        <v>0</v>
      </c>
      <c r="AB957" s="6">
        <f ca="1">IF(Main[[#This Row],[مانده در خط تسویه نشده (کیلوگرم)]]&lt;&gt;0,Main[[#This Row],[تعداد کل روزهای بدهکار (روز)]],0)</f>
        <v>0</v>
      </c>
      <c r="AC957" s="6">
        <f ca="1">Main[[#This Row],[تعداد روزهای بدهکار  تسویه نشده (روز)]]*Main[[#This Row],[مانده در خط تسویه نشده (کیلوگرم)]]</f>
        <v>0</v>
      </c>
      <c r="AD957" s="6">
        <f ca="1">SUBTOTAL(9,INDEX(Main[بدهی سررسید شده (کیلوگرم)],1):Main[[#This Row],[بدهی سررسید شده (کیلوگرم)]])</f>
        <v>0</v>
      </c>
      <c r="AE957" s="6">
        <f ca="1">IF(Main[[#This Row],[مانده در خط سررسید شده (کیلوگرم)]]&lt;&gt;0,Main[[#This Row],[تعداد کل روزهای بدهکار (روز)]],0)</f>
        <v>0</v>
      </c>
      <c r="AF957" s="6">
        <f ca="1">Main[[#This Row],[تعداد روزهای بدهکار سررسید شده (روز)]]*Main[[#This Row],[مانده در خط سررسید شده (کیلوگرم)]]</f>
        <v>0</v>
      </c>
    </row>
    <row r="958" spans="1:32" hidden="1" x14ac:dyDescent="0.35">
      <c r="A958" s="5">
        <f>ROW()-ROW(INDEX(Main[ردیف],1))+1</f>
        <v>956</v>
      </c>
      <c r="B958" s="31">
        <f>SUBTOTAL(2,INDEX(Main[ردیف],1):Main[[#This Row],[ردیف]])</f>
        <v>90</v>
      </c>
      <c r="C958" s="32" t="s">
        <v>605</v>
      </c>
      <c r="D958" s="32" t="str">
        <f>_xlfn.CONCAT("14",Main[[#This Row],[تاريخ]])</f>
        <v>1400/04/09</v>
      </c>
      <c r="E958" s="33">
        <v>44377</v>
      </c>
      <c r="F958" s="32">
        <v>30055</v>
      </c>
      <c r="G958" s="5" t="str">
        <f>INDEX(customer[عنوان],MATCH(Main[[#This Row],[کد ردیابی]],customer[کد],0))</f>
        <v xml:space="preserve">تکنو کار </v>
      </c>
      <c r="H958">
        <v>1010</v>
      </c>
      <c r="I958" s="6">
        <f ca="1">-Main[[#This Row],[بدهی تسویه شده (کیلوگرم)]]+Main[[#This Row],[بستانکار (کیلوگرم)]]</f>
        <v>1010</v>
      </c>
      <c r="J958" s="6">
        <f>IF(Main[[#This Row],[مقدار (کیلوگرم)]]&gt;0,Main[[#This Row],[مقدار (کیلوگرم)]],0)</f>
        <v>1010</v>
      </c>
      <c r="K958" s="6">
        <f>-IF(Main[[#This Row],[مقدار (کیلوگرم)]]&lt;0,Main[[#This Row],[مقدار (کیلوگرم)]],0)</f>
        <v>0</v>
      </c>
      <c r="L9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8" s="7">
        <f>-IF(AND(Main[[#This Row],[مقدار (کیلوگرم)]]&lt;0,Main[[#This Row],[تاريخ میلادی]]&gt;44276),Main[[#This Row],[مقدار (کیلوگرم)]],0)</f>
        <v>0</v>
      </c>
      <c r="N958" s="6">
        <f ca="1">Main[[#This Row],[بدهکار (کیلوگرم)]]-Main[[#This Row],[بدهی تسویه نشده (کیلوگرم)]]</f>
        <v>0</v>
      </c>
      <c r="O958" s="6">
        <f ca="1">Main[[#This Row],[تفکیک]]</f>
        <v>0</v>
      </c>
      <c r="P958" s="6">
        <f ca="1">IF(Main[[#This Row],[تاخیر از سررسید]]&gt;0,Main[[#This Row],[بدهی تسویه نشده (کیلوگرم)]],0)</f>
        <v>0</v>
      </c>
      <c r="Q958" s="6">
        <f ca="1">IF(Main[[#This Row],[بدهی تسویه نشده (کیلوگرم)]]&gt;0,'گزارش فردی'!$B$7-Main[[#This Row],[تاريخ میلادی]],0)</f>
        <v>0</v>
      </c>
      <c r="R958" s="6">
        <f ca="1">IF(Main[[#This Row],[بدهی تسویه نشده (کیلوگرم)]]&gt;0,'گزارش فردی'!$B$7-Main[[#This Row],[تاريخ میلادی]]-'گزارش فردی'!$B$8,0)</f>
        <v>0</v>
      </c>
      <c r="S958" s="6">
        <f ca="1">Main[[#This Row],[روز از ارسال سفارش]]*Main[[#This Row],[بدهی تسویه نشده (کیلوگرم)]]</f>
        <v>0</v>
      </c>
      <c r="T958" s="6">
        <f ca="1">Main[[#This Row],[بدهی سررسید شده (کیلوگرم)]]*Main[[#This Row],[روز از ارسال سفارش]]</f>
        <v>0</v>
      </c>
      <c r="U958" s="6">
        <f>-SUBTOTAL(9,INDEX(Main[مقدار (کیلوگرم)],1):Main[[#This Row],[مقدار (کیلوگرم)]])</f>
        <v>33100</v>
      </c>
      <c r="V9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8" s="6">
        <f>Main[[#This Row],[تعداد کل روزهای بدهکار (روز)]]*Main[[#This Row],[مانده در خط کل (کیلوگرم)]]</f>
        <v>0</v>
      </c>
      <c r="X958" s="6">
        <f ca="1">-SUBTOTAL(9,INDEX(Main[مقدار تسویه شده (کیلوگرم)],1):Main[[#This Row],[مقدار تسویه شده (کیلوگرم)]])</f>
        <v>33100</v>
      </c>
      <c r="Y958" s="6">
        <f ca="1">IF(Main[[#This Row],[مانده در خط تسویه شده (کیلوگرم)]]&lt;&gt;0,Main[[#This Row],[تعداد کل روزهای بدهکار (روز)]],0)</f>
        <v>0</v>
      </c>
      <c r="Z958" s="6">
        <f ca="1">Main[[#This Row],[تعداد روزهای بدهکار تسویه شده (روز)]]*Main[[#This Row],[مانده در خط تسویه شده (کیلوگرم)]]</f>
        <v>0</v>
      </c>
      <c r="AA958" s="6">
        <f ca="1">SUBTOTAL(9,INDEX(Main[بدهی تسویه نشده (کیلوگرم)],1):Main[[#This Row],[بدهی تسویه نشده (کیلوگرم)]])</f>
        <v>0</v>
      </c>
      <c r="AB958" s="6">
        <f ca="1">IF(Main[[#This Row],[مانده در خط تسویه نشده (کیلوگرم)]]&lt;&gt;0,Main[[#This Row],[تعداد کل روزهای بدهکار (روز)]],0)</f>
        <v>0</v>
      </c>
      <c r="AC958" s="6">
        <f ca="1">Main[[#This Row],[تعداد روزهای بدهکار  تسویه نشده (روز)]]*Main[[#This Row],[مانده در خط تسویه نشده (کیلوگرم)]]</f>
        <v>0</v>
      </c>
      <c r="AD958" s="6">
        <f ca="1">SUBTOTAL(9,INDEX(Main[بدهی سررسید شده (کیلوگرم)],1):Main[[#This Row],[بدهی سررسید شده (کیلوگرم)]])</f>
        <v>0</v>
      </c>
      <c r="AE958" s="6">
        <f ca="1">IF(Main[[#This Row],[مانده در خط سررسید شده (کیلوگرم)]]&lt;&gt;0,Main[[#This Row],[تعداد کل روزهای بدهکار (روز)]],0)</f>
        <v>0</v>
      </c>
      <c r="AF958" s="6">
        <f ca="1">Main[[#This Row],[تعداد روزهای بدهکار سررسید شده (روز)]]*Main[[#This Row],[مانده در خط سررسید شده (کیلوگرم)]]</f>
        <v>0</v>
      </c>
    </row>
    <row r="959" spans="1:32" x14ac:dyDescent="0.35">
      <c r="A959" s="5">
        <f>ROW()-ROW(INDEX(Main[ردیف],1))+1</f>
        <v>957</v>
      </c>
      <c r="B959" s="31">
        <f>SUBTOTAL(2,INDEX(Main[ردیف],1):Main[[#This Row],[ردیف]])</f>
        <v>91</v>
      </c>
      <c r="C959" s="32" t="s">
        <v>605</v>
      </c>
      <c r="D959" s="32" t="str">
        <f>_xlfn.CONCAT("14",Main[[#This Row],[تاريخ]])</f>
        <v>1400/04/09</v>
      </c>
      <c r="E959" s="33">
        <v>44377</v>
      </c>
      <c r="F959" s="32">
        <v>10003</v>
      </c>
      <c r="G959" s="5" t="str">
        <f>INDEX(customer[عنوان],MATCH(Main[[#This Row],[کد ردیابی]],customer[کد],0))</f>
        <v>اصغر نورعلی</v>
      </c>
      <c r="H959">
        <v>-2096</v>
      </c>
      <c r="I959" s="6">
        <f ca="1">-Main[[#This Row],[بدهی تسویه شده (کیلوگرم)]]+Main[[#This Row],[بستانکار (کیلوگرم)]]</f>
        <v>-2096</v>
      </c>
      <c r="J959" s="6">
        <f>IF(Main[[#This Row],[مقدار (کیلوگرم)]]&gt;0,Main[[#This Row],[مقدار (کیلوگرم)]],0)</f>
        <v>0</v>
      </c>
      <c r="K959" s="6">
        <f>-IF(Main[[#This Row],[مقدار (کیلوگرم)]]&lt;0,Main[[#This Row],[مقدار (کیلوگرم)]],0)</f>
        <v>2096</v>
      </c>
      <c r="L9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9" s="7">
        <f>-IF(AND(Main[[#This Row],[مقدار (کیلوگرم)]]&lt;0,Main[[#This Row],[تاريخ میلادی]]&gt;44276),Main[[#This Row],[مقدار (کیلوگرم)]],0)</f>
        <v>2096</v>
      </c>
      <c r="N959" s="6">
        <f ca="1">Main[[#This Row],[بدهکار (کیلوگرم)]]-Main[[#This Row],[بدهی تسویه نشده (کیلوگرم)]]</f>
        <v>2096</v>
      </c>
      <c r="O959" s="6">
        <f ca="1">Main[[#This Row],[تفکیک]]</f>
        <v>0</v>
      </c>
      <c r="P959" s="6">
        <f ca="1">IF(Main[[#This Row],[تاخیر از سررسید]]&gt;0,Main[[#This Row],[بدهی تسویه نشده (کیلوگرم)]],0)</f>
        <v>0</v>
      </c>
      <c r="Q959" s="6">
        <f ca="1">IF(Main[[#This Row],[بدهی تسویه نشده (کیلوگرم)]]&gt;0,'گزارش فردی'!$B$7-Main[[#This Row],[تاريخ میلادی]],0)</f>
        <v>0</v>
      </c>
      <c r="R959" s="6">
        <f ca="1">IF(Main[[#This Row],[بدهی تسویه نشده (کیلوگرم)]]&gt;0,'گزارش فردی'!$B$7-Main[[#This Row],[تاريخ میلادی]]-'گزارش فردی'!$B$8,0)</f>
        <v>0</v>
      </c>
      <c r="S959" s="6">
        <f ca="1">Main[[#This Row],[روز از ارسال سفارش]]*Main[[#This Row],[بدهی تسویه نشده (کیلوگرم)]]</f>
        <v>0</v>
      </c>
      <c r="T959" s="6">
        <f ca="1">Main[[#This Row],[بدهی سررسید شده (کیلوگرم)]]*Main[[#This Row],[روز از ارسال سفارش]]</f>
        <v>0</v>
      </c>
      <c r="U959" s="6">
        <f>-SUBTOTAL(9,INDEX(Main[مقدار (کیلوگرم)],1):Main[[#This Row],[مقدار (کیلوگرم)]])</f>
        <v>35196</v>
      </c>
      <c r="V9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59" s="6">
        <f>Main[[#This Row],[تعداد کل روزهای بدهکار (روز)]]*Main[[#This Row],[مانده در خط کل (کیلوگرم)]]</f>
        <v>35196</v>
      </c>
      <c r="X959" s="6">
        <f ca="1">-SUBTOTAL(9,INDEX(Main[مقدار تسویه شده (کیلوگرم)],1):Main[[#This Row],[مقدار تسویه شده (کیلوگرم)]])</f>
        <v>35196</v>
      </c>
      <c r="Y959" s="6">
        <f ca="1">IF(Main[[#This Row],[مانده در خط تسویه شده (کیلوگرم)]]&lt;&gt;0,Main[[#This Row],[تعداد کل روزهای بدهکار (روز)]],0)</f>
        <v>1</v>
      </c>
      <c r="Z959" s="6">
        <f ca="1">Main[[#This Row],[تعداد روزهای بدهکار تسویه شده (روز)]]*Main[[#This Row],[مانده در خط تسویه شده (کیلوگرم)]]</f>
        <v>35196</v>
      </c>
      <c r="AA959" s="6">
        <f ca="1">SUBTOTAL(9,INDEX(Main[بدهی تسویه نشده (کیلوگرم)],1):Main[[#This Row],[بدهی تسویه نشده (کیلوگرم)]])</f>
        <v>0</v>
      </c>
      <c r="AB959" s="6">
        <f ca="1">IF(Main[[#This Row],[مانده در خط تسویه نشده (کیلوگرم)]]&lt;&gt;0,Main[[#This Row],[تعداد کل روزهای بدهکار (روز)]],0)</f>
        <v>0</v>
      </c>
      <c r="AC959" s="6">
        <f ca="1">Main[[#This Row],[تعداد روزهای بدهکار  تسویه نشده (روز)]]*Main[[#This Row],[مانده در خط تسویه نشده (کیلوگرم)]]</f>
        <v>0</v>
      </c>
      <c r="AD959" s="6">
        <f ca="1">SUBTOTAL(9,INDEX(Main[بدهی سررسید شده (کیلوگرم)],1):Main[[#This Row],[بدهی سررسید شده (کیلوگرم)]])</f>
        <v>0</v>
      </c>
      <c r="AE959" s="6">
        <f ca="1">IF(Main[[#This Row],[مانده در خط سررسید شده (کیلوگرم)]]&lt;&gt;0,Main[[#This Row],[تعداد کل روزهای بدهکار (روز)]],0)</f>
        <v>0</v>
      </c>
      <c r="AF959" s="6">
        <f ca="1">Main[[#This Row],[تعداد روزهای بدهکار سررسید شده (روز)]]*Main[[#This Row],[مانده در خط سررسید شده (کیلوگرم)]]</f>
        <v>0</v>
      </c>
    </row>
    <row r="960" spans="1:32" hidden="1" x14ac:dyDescent="0.35">
      <c r="A960" s="5">
        <f>ROW()-ROW(INDEX(Main[ردیف],1))+1</f>
        <v>958</v>
      </c>
      <c r="B960" s="31">
        <f>SUBTOTAL(2,INDEX(Main[ردیف],1):Main[[#This Row],[ردیف]])</f>
        <v>91</v>
      </c>
      <c r="C960" s="32" t="s">
        <v>605</v>
      </c>
      <c r="D960" s="32" t="str">
        <f>_xlfn.CONCAT("14",Main[[#This Row],[تاريخ]])</f>
        <v>1400/04/09</v>
      </c>
      <c r="E960" s="33">
        <v>44377</v>
      </c>
      <c r="F960" s="32">
        <v>10027</v>
      </c>
      <c r="G960" s="5" t="str">
        <f>INDEX(customer[عنوان],MATCH(Main[[#This Row],[کد ردیابی]],customer[کد],0))</f>
        <v xml:space="preserve">مصطفی نورعلی </v>
      </c>
      <c r="H960">
        <v>2915</v>
      </c>
      <c r="I960" s="6">
        <f ca="1">-Main[[#This Row],[بدهی تسویه شده (کیلوگرم)]]+Main[[#This Row],[بستانکار (کیلوگرم)]]</f>
        <v>2915</v>
      </c>
      <c r="J960" s="6">
        <f>IF(Main[[#This Row],[مقدار (کیلوگرم)]]&gt;0,Main[[#This Row],[مقدار (کیلوگرم)]],0)</f>
        <v>2915</v>
      </c>
      <c r="K960" s="6">
        <f>-IF(Main[[#This Row],[مقدار (کیلوگرم)]]&lt;0,Main[[#This Row],[مقدار (کیلوگرم)]],0)</f>
        <v>0</v>
      </c>
      <c r="L9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0" s="7">
        <f>-IF(AND(Main[[#This Row],[مقدار (کیلوگرم)]]&lt;0,Main[[#This Row],[تاريخ میلادی]]&gt;44276),Main[[#This Row],[مقدار (کیلوگرم)]],0)</f>
        <v>0</v>
      </c>
      <c r="N960" s="6">
        <f ca="1">Main[[#This Row],[بدهکار (کیلوگرم)]]-Main[[#This Row],[بدهی تسویه نشده (کیلوگرم)]]</f>
        <v>0</v>
      </c>
      <c r="O960" s="6">
        <f ca="1">Main[[#This Row],[تفکیک]]</f>
        <v>0</v>
      </c>
      <c r="P960" s="6">
        <f ca="1">IF(Main[[#This Row],[تاخیر از سررسید]]&gt;0,Main[[#This Row],[بدهی تسویه نشده (کیلوگرم)]],0)</f>
        <v>0</v>
      </c>
      <c r="Q960" s="6">
        <f ca="1">IF(Main[[#This Row],[بدهی تسویه نشده (کیلوگرم)]]&gt;0,'گزارش فردی'!$B$7-Main[[#This Row],[تاريخ میلادی]],0)</f>
        <v>0</v>
      </c>
      <c r="R960" s="6">
        <f ca="1">IF(Main[[#This Row],[بدهی تسویه نشده (کیلوگرم)]]&gt;0,'گزارش فردی'!$B$7-Main[[#This Row],[تاريخ میلادی]]-'گزارش فردی'!$B$8,0)</f>
        <v>0</v>
      </c>
      <c r="S960" s="6">
        <f ca="1">Main[[#This Row],[روز از ارسال سفارش]]*Main[[#This Row],[بدهی تسویه نشده (کیلوگرم)]]</f>
        <v>0</v>
      </c>
      <c r="T960" s="6">
        <f ca="1">Main[[#This Row],[بدهی سررسید شده (کیلوگرم)]]*Main[[#This Row],[روز از ارسال سفارش]]</f>
        <v>0</v>
      </c>
      <c r="U960" s="6">
        <f>-SUBTOTAL(9,INDEX(Main[مقدار (کیلوگرم)],1):Main[[#This Row],[مقدار (کیلوگرم)]])</f>
        <v>35196</v>
      </c>
      <c r="V9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0" s="6">
        <f>Main[[#This Row],[تعداد کل روزهای بدهکار (روز)]]*Main[[#This Row],[مانده در خط کل (کیلوگرم)]]</f>
        <v>35196</v>
      </c>
      <c r="X960" s="6">
        <f ca="1">-SUBTOTAL(9,INDEX(Main[مقدار تسویه شده (کیلوگرم)],1):Main[[#This Row],[مقدار تسویه شده (کیلوگرم)]])</f>
        <v>35196</v>
      </c>
      <c r="Y960" s="6">
        <f ca="1">IF(Main[[#This Row],[مانده در خط تسویه شده (کیلوگرم)]]&lt;&gt;0,Main[[#This Row],[تعداد کل روزهای بدهکار (روز)]],0)</f>
        <v>1</v>
      </c>
      <c r="Z960" s="6">
        <f ca="1">Main[[#This Row],[تعداد روزهای بدهکار تسویه شده (روز)]]*Main[[#This Row],[مانده در خط تسویه شده (کیلوگرم)]]</f>
        <v>35196</v>
      </c>
      <c r="AA960" s="6">
        <f ca="1">SUBTOTAL(9,INDEX(Main[بدهی تسویه نشده (کیلوگرم)],1):Main[[#This Row],[بدهی تسویه نشده (کیلوگرم)]])</f>
        <v>0</v>
      </c>
      <c r="AB960" s="6">
        <f ca="1">IF(Main[[#This Row],[مانده در خط تسویه نشده (کیلوگرم)]]&lt;&gt;0,Main[[#This Row],[تعداد کل روزهای بدهکار (روز)]],0)</f>
        <v>0</v>
      </c>
      <c r="AC960" s="6">
        <f ca="1">Main[[#This Row],[تعداد روزهای بدهکار  تسویه نشده (روز)]]*Main[[#This Row],[مانده در خط تسویه نشده (کیلوگرم)]]</f>
        <v>0</v>
      </c>
      <c r="AD960" s="6">
        <f ca="1">SUBTOTAL(9,INDEX(Main[بدهی سررسید شده (کیلوگرم)],1):Main[[#This Row],[بدهی سررسید شده (کیلوگرم)]])</f>
        <v>0</v>
      </c>
      <c r="AE960" s="6">
        <f ca="1">IF(Main[[#This Row],[مانده در خط سررسید شده (کیلوگرم)]]&lt;&gt;0,Main[[#This Row],[تعداد کل روزهای بدهکار (روز)]],0)</f>
        <v>0</v>
      </c>
      <c r="AF960" s="6">
        <f ca="1">Main[[#This Row],[تعداد روزهای بدهکار سررسید شده (روز)]]*Main[[#This Row],[مانده در خط سررسید شده (کیلوگرم)]]</f>
        <v>0</v>
      </c>
    </row>
    <row r="961" spans="1:32" hidden="1" x14ac:dyDescent="0.35">
      <c r="A961" s="5">
        <f>ROW()-ROW(INDEX(Main[ردیف],1))+1</f>
        <v>959</v>
      </c>
      <c r="B961" s="31">
        <f>SUBTOTAL(2,INDEX(Main[ردیف],1):Main[[#This Row],[ردیف]])</f>
        <v>91</v>
      </c>
      <c r="C961" s="32" t="s">
        <v>605</v>
      </c>
      <c r="D961" s="32" t="str">
        <f>_xlfn.CONCAT("14",Main[[#This Row],[تاريخ]])</f>
        <v>1400/04/09</v>
      </c>
      <c r="E961" s="33">
        <v>44377</v>
      </c>
      <c r="F961" s="32">
        <v>10131</v>
      </c>
      <c r="G961" s="5" t="str">
        <f>INDEX(customer[عنوان],MATCH(Main[[#This Row],[کد ردیابی]],customer[کد],0))</f>
        <v>بهرام چرخیان</v>
      </c>
      <c r="H961">
        <v>-173</v>
      </c>
      <c r="I961" s="6">
        <f ca="1">-Main[[#This Row],[بدهی تسویه شده (کیلوگرم)]]+Main[[#This Row],[بستانکار (کیلوگرم)]]</f>
        <v>-173</v>
      </c>
      <c r="J961" s="6">
        <f>IF(Main[[#This Row],[مقدار (کیلوگرم)]]&gt;0,Main[[#This Row],[مقدار (کیلوگرم)]],0)</f>
        <v>0</v>
      </c>
      <c r="K961" s="6">
        <f>-IF(Main[[#This Row],[مقدار (کیلوگرم)]]&lt;0,Main[[#This Row],[مقدار (کیلوگرم)]],0)</f>
        <v>173</v>
      </c>
      <c r="L9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1" s="7">
        <f>-IF(AND(Main[[#This Row],[مقدار (کیلوگرم)]]&lt;0,Main[[#This Row],[تاريخ میلادی]]&gt;44276),Main[[#This Row],[مقدار (کیلوگرم)]],0)</f>
        <v>173</v>
      </c>
      <c r="N961" s="6">
        <f ca="1">Main[[#This Row],[بدهکار (کیلوگرم)]]-Main[[#This Row],[بدهی تسویه نشده (کیلوگرم)]]</f>
        <v>173</v>
      </c>
      <c r="O961" s="6">
        <f ca="1">Main[[#This Row],[تفکیک]]</f>
        <v>0</v>
      </c>
      <c r="P961" s="6">
        <f ca="1">IF(Main[[#This Row],[تاخیر از سررسید]]&gt;0,Main[[#This Row],[بدهی تسویه نشده (کیلوگرم)]],0)</f>
        <v>0</v>
      </c>
      <c r="Q961" s="6">
        <f ca="1">IF(Main[[#This Row],[بدهی تسویه نشده (کیلوگرم)]]&gt;0,'گزارش فردی'!$B$7-Main[[#This Row],[تاريخ میلادی]],0)</f>
        <v>0</v>
      </c>
      <c r="R961" s="6">
        <f ca="1">IF(Main[[#This Row],[بدهی تسویه نشده (کیلوگرم)]]&gt;0,'گزارش فردی'!$B$7-Main[[#This Row],[تاريخ میلادی]]-'گزارش فردی'!$B$8,0)</f>
        <v>0</v>
      </c>
      <c r="S961" s="6">
        <f ca="1">Main[[#This Row],[روز از ارسال سفارش]]*Main[[#This Row],[بدهی تسویه نشده (کیلوگرم)]]</f>
        <v>0</v>
      </c>
      <c r="T961" s="6">
        <f ca="1">Main[[#This Row],[بدهی سررسید شده (کیلوگرم)]]*Main[[#This Row],[روز از ارسال سفارش]]</f>
        <v>0</v>
      </c>
      <c r="U961" s="6">
        <f>-SUBTOTAL(9,INDEX(Main[مقدار (کیلوگرم)],1):Main[[#This Row],[مقدار (کیلوگرم)]])</f>
        <v>35196</v>
      </c>
      <c r="V9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1" s="6">
        <f>Main[[#This Row],[تعداد کل روزهای بدهکار (روز)]]*Main[[#This Row],[مانده در خط کل (کیلوگرم)]]</f>
        <v>35196</v>
      </c>
      <c r="X961" s="6">
        <f ca="1">-SUBTOTAL(9,INDEX(Main[مقدار تسویه شده (کیلوگرم)],1):Main[[#This Row],[مقدار تسویه شده (کیلوگرم)]])</f>
        <v>35196</v>
      </c>
      <c r="Y961" s="6">
        <f ca="1">IF(Main[[#This Row],[مانده در خط تسویه شده (کیلوگرم)]]&lt;&gt;0,Main[[#This Row],[تعداد کل روزهای بدهکار (روز)]],0)</f>
        <v>1</v>
      </c>
      <c r="Z961" s="6">
        <f ca="1">Main[[#This Row],[تعداد روزهای بدهکار تسویه شده (روز)]]*Main[[#This Row],[مانده در خط تسویه شده (کیلوگرم)]]</f>
        <v>35196</v>
      </c>
      <c r="AA961" s="6">
        <f ca="1">SUBTOTAL(9,INDEX(Main[بدهی تسویه نشده (کیلوگرم)],1):Main[[#This Row],[بدهی تسویه نشده (کیلوگرم)]])</f>
        <v>0</v>
      </c>
      <c r="AB961" s="6">
        <f ca="1">IF(Main[[#This Row],[مانده در خط تسویه نشده (کیلوگرم)]]&lt;&gt;0,Main[[#This Row],[تعداد کل روزهای بدهکار (روز)]],0)</f>
        <v>0</v>
      </c>
      <c r="AC961" s="6">
        <f ca="1">Main[[#This Row],[تعداد روزهای بدهکار  تسویه نشده (روز)]]*Main[[#This Row],[مانده در خط تسویه نشده (کیلوگرم)]]</f>
        <v>0</v>
      </c>
      <c r="AD961" s="6">
        <f ca="1">SUBTOTAL(9,INDEX(Main[بدهی سررسید شده (کیلوگرم)],1):Main[[#This Row],[بدهی سررسید شده (کیلوگرم)]])</f>
        <v>0</v>
      </c>
      <c r="AE961" s="6">
        <f ca="1">IF(Main[[#This Row],[مانده در خط سررسید شده (کیلوگرم)]]&lt;&gt;0,Main[[#This Row],[تعداد کل روزهای بدهکار (روز)]],0)</f>
        <v>0</v>
      </c>
      <c r="AF961" s="6">
        <f ca="1">Main[[#This Row],[تعداد روزهای بدهکار سررسید شده (روز)]]*Main[[#This Row],[مانده در خط سررسید شده (کیلوگرم)]]</f>
        <v>0</v>
      </c>
    </row>
    <row r="962" spans="1:32" hidden="1" x14ac:dyDescent="0.35">
      <c r="A962" s="5">
        <f>ROW()-ROW(INDEX(Main[ردیف],1))+1</f>
        <v>960</v>
      </c>
      <c r="B962" s="31">
        <f>SUBTOTAL(2,INDEX(Main[ردیف],1):Main[[#This Row],[ردیف]])</f>
        <v>91</v>
      </c>
      <c r="C962" s="32" t="s">
        <v>605</v>
      </c>
      <c r="D962" s="32" t="str">
        <f>_xlfn.CONCAT("14",Main[[#This Row],[تاريخ]])</f>
        <v>1400/04/09</v>
      </c>
      <c r="E962" s="33">
        <v>44377</v>
      </c>
      <c r="F962" s="32">
        <v>30191</v>
      </c>
      <c r="G962" s="5" t="str">
        <f>INDEX(customer[عنوان],MATCH(Main[[#This Row],[کد ردیابی]],customer[کد],0))</f>
        <v>ایران گرما</v>
      </c>
      <c r="H962">
        <v>60</v>
      </c>
      <c r="I962" s="6">
        <f ca="1">-Main[[#This Row],[بدهی تسویه شده (کیلوگرم)]]+Main[[#This Row],[بستانکار (کیلوگرم)]]</f>
        <v>60</v>
      </c>
      <c r="J962" s="6">
        <f>IF(Main[[#This Row],[مقدار (کیلوگرم)]]&gt;0,Main[[#This Row],[مقدار (کیلوگرم)]],0)</f>
        <v>60</v>
      </c>
      <c r="K962" s="6">
        <f>-IF(Main[[#This Row],[مقدار (کیلوگرم)]]&lt;0,Main[[#This Row],[مقدار (کیلوگرم)]],0)</f>
        <v>0</v>
      </c>
      <c r="L9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2" s="7">
        <f>-IF(AND(Main[[#This Row],[مقدار (کیلوگرم)]]&lt;0,Main[[#This Row],[تاريخ میلادی]]&gt;44276),Main[[#This Row],[مقدار (کیلوگرم)]],0)</f>
        <v>0</v>
      </c>
      <c r="N962" s="6">
        <f ca="1">Main[[#This Row],[بدهکار (کیلوگرم)]]-Main[[#This Row],[بدهی تسویه نشده (کیلوگرم)]]</f>
        <v>0</v>
      </c>
      <c r="O962" s="6">
        <f ca="1">Main[[#This Row],[تفکیک]]</f>
        <v>0</v>
      </c>
      <c r="P962" s="6">
        <f ca="1">IF(Main[[#This Row],[تاخیر از سررسید]]&gt;0,Main[[#This Row],[بدهی تسویه نشده (کیلوگرم)]],0)</f>
        <v>0</v>
      </c>
      <c r="Q962" s="6">
        <f ca="1">IF(Main[[#This Row],[بدهی تسویه نشده (کیلوگرم)]]&gt;0,'گزارش فردی'!$B$7-Main[[#This Row],[تاريخ میلادی]],0)</f>
        <v>0</v>
      </c>
      <c r="R962" s="6">
        <f ca="1">IF(Main[[#This Row],[بدهی تسویه نشده (کیلوگرم)]]&gt;0,'گزارش فردی'!$B$7-Main[[#This Row],[تاريخ میلادی]]-'گزارش فردی'!$B$8,0)</f>
        <v>0</v>
      </c>
      <c r="S962" s="6">
        <f ca="1">Main[[#This Row],[روز از ارسال سفارش]]*Main[[#This Row],[بدهی تسویه نشده (کیلوگرم)]]</f>
        <v>0</v>
      </c>
      <c r="T962" s="6">
        <f ca="1">Main[[#This Row],[بدهی سررسید شده (کیلوگرم)]]*Main[[#This Row],[روز از ارسال سفارش]]</f>
        <v>0</v>
      </c>
      <c r="U962" s="6">
        <f>-SUBTOTAL(9,INDEX(Main[مقدار (کیلوگرم)],1):Main[[#This Row],[مقدار (کیلوگرم)]])</f>
        <v>35196</v>
      </c>
      <c r="V9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2" s="6">
        <f>Main[[#This Row],[تعداد کل روزهای بدهکار (روز)]]*Main[[#This Row],[مانده در خط کل (کیلوگرم)]]</f>
        <v>35196</v>
      </c>
      <c r="X962" s="6">
        <f ca="1">-SUBTOTAL(9,INDEX(Main[مقدار تسویه شده (کیلوگرم)],1):Main[[#This Row],[مقدار تسویه شده (کیلوگرم)]])</f>
        <v>35196</v>
      </c>
      <c r="Y962" s="6">
        <f ca="1">IF(Main[[#This Row],[مانده در خط تسویه شده (کیلوگرم)]]&lt;&gt;0,Main[[#This Row],[تعداد کل روزهای بدهکار (روز)]],0)</f>
        <v>1</v>
      </c>
      <c r="Z962" s="6">
        <f ca="1">Main[[#This Row],[تعداد روزهای بدهکار تسویه شده (روز)]]*Main[[#This Row],[مانده در خط تسویه شده (کیلوگرم)]]</f>
        <v>35196</v>
      </c>
      <c r="AA962" s="6">
        <f ca="1">SUBTOTAL(9,INDEX(Main[بدهی تسویه نشده (کیلوگرم)],1):Main[[#This Row],[بدهی تسویه نشده (کیلوگرم)]])</f>
        <v>0</v>
      </c>
      <c r="AB962" s="6">
        <f ca="1">IF(Main[[#This Row],[مانده در خط تسویه نشده (کیلوگرم)]]&lt;&gt;0,Main[[#This Row],[تعداد کل روزهای بدهکار (روز)]],0)</f>
        <v>0</v>
      </c>
      <c r="AC962" s="6">
        <f ca="1">Main[[#This Row],[تعداد روزهای بدهکار  تسویه نشده (روز)]]*Main[[#This Row],[مانده در خط تسویه نشده (کیلوگرم)]]</f>
        <v>0</v>
      </c>
      <c r="AD962" s="6">
        <f ca="1">SUBTOTAL(9,INDEX(Main[بدهی سررسید شده (کیلوگرم)],1):Main[[#This Row],[بدهی سررسید شده (کیلوگرم)]])</f>
        <v>0</v>
      </c>
      <c r="AE962" s="6">
        <f ca="1">IF(Main[[#This Row],[مانده در خط سررسید شده (کیلوگرم)]]&lt;&gt;0,Main[[#This Row],[تعداد کل روزهای بدهکار (روز)]],0)</f>
        <v>0</v>
      </c>
      <c r="AF962" s="6">
        <f ca="1">Main[[#This Row],[تعداد روزهای بدهکار سررسید شده (روز)]]*Main[[#This Row],[مانده در خط سررسید شده (کیلوگرم)]]</f>
        <v>0</v>
      </c>
    </row>
    <row r="963" spans="1:32" hidden="1" x14ac:dyDescent="0.35">
      <c r="A963" s="5">
        <f>ROW()-ROW(INDEX(Main[ردیف],1))+1</f>
        <v>961</v>
      </c>
      <c r="B963" s="31">
        <f>SUBTOTAL(2,INDEX(Main[ردیف],1):Main[[#This Row],[ردیف]])</f>
        <v>91</v>
      </c>
      <c r="C963" s="32" t="s">
        <v>605</v>
      </c>
      <c r="D963" s="32" t="str">
        <f>_xlfn.CONCAT("14",Main[[#This Row],[تاريخ]])</f>
        <v>1400/04/09</v>
      </c>
      <c r="E963" s="33">
        <v>44377</v>
      </c>
      <c r="F963" s="32">
        <v>30003</v>
      </c>
      <c r="G963" s="5" t="str">
        <f>INDEX(customer[عنوان],MATCH(Main[[#This Row],[کد ردیابی]],customer[کد],0))</f>
        <v xml:space="preserve">شهاب گاز سوز </v>
      </c>
      <c r="H963">
        <v>-982</v>
      </c>
      <c r="I963" s="6">
        <f ca="1">-Main[[#This Row],[بدهی تسویه شده (کیلوگرم)]]+Main[[#This Row],[بستانکار (کیلوگرم)]]</f>
        <v>-982</v>
      </c>
      <c r="J963" s="6">
        <f>IF(Main[[#This Row],[مقدار (کیلوگرم)]]&gt;0,Main[[#This Row],[مقدار (کیلوگرم)]],0)</f>
        <v>0</v>
      </c>
      <c r="K963" s="6">
        <f>-IF(Main[[#This Row],[مقدار (کیلوگرم)]]&lt;0,Main[[#This Row],[مقدار (کیلوگرم)]],0)</f>
        <v>982</v>
      </c>
      <c r="L9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3" s="7">
        <f>-IF(AND(Main[[#This Row],[مقدار (کیلوگرم)]]&lt;0,Main[[#This Row],[تاريخ میلادی]]&gt;44276),Main[[#This Row],[مقدار (کیلوگرم)]],0)</f>
        <v>982</v>
      </c>
      <c r="N963" s="6">
        <f ca="1">Main[[#This Row],[بدهکار (کیلوگرم)]]-Main[[#This Row],[بدهی تسویه نشده (کیلوگرم)]]</f>
        <v>982</v>
      </c>
      <c r="O963" s="6">
        <f ca="1">Main[[#This Row],[تفکیک]]</f>
        <v>0</v>
      </c>
      <c r="P963" s="6">
        <f ca="1">IF(Main[[#This Row],[تاخیر از سررسید]]&gt;0,Main[[#This Row],[بدهی تسویه نشده (کیلوگرم)]],0)</f>
        <v>0</v>
      </c>
      <c r="Q963" s="6">
        <f ca="1">IF(Main[[#This Row],[بدهی تسویه نشده (کیلوگرم)]]&gt;0,'گزارش فردی'!$B$7-Main[[#This Row],[تاريخ میلادی]],0)</f>
        <v>0</v>
      </c>
      <c r="R963" s="6">
        <f ca="1">IF(Main[[#This Row],[بدهی تسویه نشده (کیلوگرم)]]&gt;0,'گزارش فردی'!$B$7-Main[[#This Row],[تاريخ میلادی]]-'گزارش فردی'!$B$8,0)</f>
        <v>0</v>
      </c>
      <c r="S963" s="6">
        <f ca="1">Main[[#This Row],[روز از ارسال سفارش]]*Main[[#This Row],[بدهی تسویه نشده (کیلوگرم)]]</f>
        <v>0</v>
      </c>
      <c r="T963" s="6">
        <f ca="1">Main[[#This Row],[بدهی سررسید شده (کیلوگرم)]]*Main[[#This Row],[روز از ارسال سفارش]]</f>
        <v>0</v>
      </c>
      <c r="U963" s="6">
        <f>-SUBTOTAL(9,INDEX(Main[مقدار (کیلوگرم)],1):Main[[#This Row],[مقدار (کیلوگرم)]])</f>
        <v>35196</v>
      </c>
      <c r="V9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3" s="6">
        <f>Main[[#This Row],[تعداد کل روزهای بدهکار (روز)]]*Main[[#This Row],[مانده در خط کل (کیلوگرم)]]</f>
        <v>35196</v>
      </c>
      <c r="X963" s="6">
        <f ca="1">-SUBTOTAL(9,INDEX(Main[مقدار تسویه شده (کیلوگرم)],1):Main[[#This Row],[مقدار تسویه شده (کیلوگرم)]])</f>
        <v>35196</v>
      </c>
      <c r="Y963" s="6">
        <f ca="1">IF(Main[[#This Row],[مانده در خط تسویه شده (کیلوگرم)]]&lt;&gt;0,Main[[#This Row],[تعداد کل روزهای بدهکار (روز)]],0)</f>
        <v>1</v>
      </c>
      <c r="Z963" s="6">
        <f ca="1">Main[[#This Row],[تعداد روزهای بدهکار تسویه شده (روز)]]*Main[[#This Row],[مانده در خط تسویه شده (کیلوگرم)]]</f>
        <v>35196</v>
      </c>
      <c r="AA963" s="6">
        <f ca="1">SUBTOTAL(9,INDEX(Main[بدهی تسویه نشده (کیلوگرم)],1):Main[[#This Row],[بدهی تسویه نشده (کیلوگرم)]])</f>
        <v>0</v>
      </c>
      <c r="AB963" s="6">
        <f ca="1">IF(Main[[#This Row],[مانده در خط تسویه نشده (کیلوگرم)]]&lt;&gt;0,Main[[#This Row],[تعداد کل روزهای بدهکار (روز)]],0)</f>
        <v>0</v>
      </c>
      <c r="AC963" s="6">
        <f ca="1">Main[[#This Row],[تعداد روزهای بدهکار  تسویه نشده (روز)]]*Main[[#This Row],[مانده در خط تسویه نشده (کیلوگرم)]]</f>
        <v>0</v>
      </c>
      <c r="AD963" s="6">
        <f ca="1">SUBTOTAL(9,INDEX(Main[بدهی سررسید شده (کیلوگرم)],1):Main[[#This Row],[بدهی سررسید شده (کیلوگرم)]])</f>
        <v>0</v>
      </c>
      <c r="AE963" s="6">
        <f ca="1">IF(Main[[#This Row],[مانده در خط سررسید شده (کیلوگرم)]]&lt;&gt;0,Main[[#This Row],[تعداد کل روزهای بدهکار (روز)]],0)</f>
        <v>0</v>
      </c>
      <c r="AF963" s="6">
        <f ca="1">Main[[#This Row],[تعداد روزهای بدهکار سررسید شده (روز)]]*Main[[#This Row],[مانده در خط سررسید شده (کیلوگرم)]]</f>
        <v>0</v>
      </c>
    </row>
    <row r="964" spans="1:32" hidden="1" x14ac:dyDescent="0.35">
      <c r="A964" s="5">
        <f>ROW()-ROW(INDEX(Main[ردیف],1))+1</f>
        <v>962</v>
      </c>
      <c r="B964" s="31">
        <f>SUBTOTAL(2,INDEX(Main[ردیف],1):Main[[#This Row],[ردیف]])</f>
        <v>91</v>
      </c>
      <c r="C964" s="32" t="s">
        <v>605</v>
      </c>
      <c r="D964" s="32" t="str">
        <f>_xlfn.CONCAT("14",Main[[#This Row],[تاريخ]])</f>
        <v>1400/04/09</v>
      </c>
      <c r="E964" s="33">
        <v>44377</v>
      </c>
      <c r="F964" s="32">
        <v>10027</v>
      </c>
      <c r="G964" s="5" t="str">
        <f>INDEX(customer[عنوان],MATCH(Main[[#This Row],[کد ردیابی]],customer[کد],0))</f>
        <v xml:space="preserve">مصطفی نورعلی </v>
      </c>
      <c r="H964">
        <v>2779</v>
      </c>
      <c r="I964" s="6">
        <f ca="1">-Main[[#This Row],[بدهی تسویه شده (کیلوگرم)]]+Main[[#This Row],[بستانکار (کیلوگرم)]]</f>
        <v>2779</v>
      </c>
      <c r="J964" s="6">
        <f>IF(Main[[#This Row],[مقدار (کیلوگرم)]]&gt;0,Main[[#This Row],[مقدار (کیلوگرم)]],0)</f>
        <v>2779</v>
      </c>
      <c r="K964" s="6">
        <f>-IF(Main[[#This Row],[مقدار (کیلوگرم)]]&lt;0,Main[[#This Row],[مقدار (کیلوگرم)]],0)</f>
        <v>0</v>
      </c>
      <c r="L9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4" s="7">
        <f>-IF(AND(Main[[#This Row],[مقدار (کیلوگرم)]]&lt;0,Main[[#This Row],[تاريخ میلادی]]&gt;44276),Main[[#This Row],[مقدار (کیلوگرم)]],0)</f>
        <v>0</v>
      </c>
      <c r="N964" s="6">
        <f ca="1">Main[[#This Row],[بدهکار (کیلوگرم)]]-Main[[#This Row],[بدهی تسویه نشده (کیلوگرم)]]</f>
        <v>0</v>
      </c>
      <c r="O964" s="6">
        <f ca="1">Main[[#This Row],[تفکیک]]</f>
        <v>0</v>
      </c>
      <c r="P964" s="6">
        <f ca="1">IF(Main[[#This Row],[تاخیر از سررسید]]&gt;0,Main[[#This Row],[بدهی تسویه نشده (کیلوگرم)]],0)</f>
        <v>0</v>
      </c>
      <c r="Q964" s="6">
        <f ca="1">IF(Main[[#This Row],[بدهی تسویه نشده (کیلوگرم)]]&gt;0,'گزارش فردی'!$B$7-Main[[#This Row],[تاريخ میلادی]],0)</f>
        <v>0</v>
      </c>
      <c r="R964" s="6">
        <f ca="1">IF(Main[[#This Row],[بدهی تسویه نشده (کیلوگرم)]]&gt;0,'گزارش فردی'!$B$7-Main[[#This Row],[تاريخ میلادی]]-'گزارش فردی'!$B$8,0)</f>
        <v>0</v>
      </c>
      <c r="S964" s="6">
        <f ca="1">Main[[#This Row],[روز از ارسال سفارش]]*Main[[#This Row],[بدهی تسویه نشده (کیلوگرم)]]</f>
        <v>0</v>
      </c>
      <c r="T964" s="6">
        <f ca="1">Main[[#This Row],[بدهی سررسید شده (کیلوگرم)]]*Main[[#This Row],[روز از ارسال سفارش]]</f>
        <v>0</v>
      </c>
      <c r="U964" s="6">
        <f>-SUBTOTAL(9,INDEX(Main[مقدار (کیلوگرم)],1):Main[[#This Row],[مقدار (کیلوگرم)]])</f>
        <v>35196</v>
      </c>
      <c r="V9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4" s="6">
        <f>Main[[#This Row],[تعداد کل روزهای بدهکار (روز)]]*Main[[#This Row],[مانده در خط کل (کیلوگرم)]]</f>
        <v>35196</v>
      </c>
      <c r="X964" s="6">
        <f ca="1">-SUBTOTAL(9,INDEX(Main[مقدار تسویه شده (کیلوگرم)],1):Main[[#This Row],[مقدار تسویه شده (کیلوگرم)]])</f>
        <v>35196</v>
      </c>
      <c r="Y964" s="6">
        <f ca="1">IF(Main[[#This Row],[مانده در خط تسویه شده (کیلوگرم)]]&lt;&gt;0,Main[[#This Row],[تعداد کل روزهای بدهکار (روز)]],0)</f>
        <v>1</v>
      </c>
      <c r="Z964" s="6">
        <f ca="1">Main[[#This Row],[تعداد روزهای بدهکار تسویه شده (روز)]]*Main[[#This Row],[مانده در خط تسویه شده (کیلوگرم)]]</f>
        <v>35196</v>
      </c>
      <c r="AA964" s="6">
        <f ca="1">SUBTOTAL(9,INDEX(Main[بدهی تسویه نشده (کیلوگرم)],1):Main[[#This Row],[بدهی تسویه نشده (کیلوگرم)]])</f>
        <v>0</v>
      </c>
      <c r="AB964" s="6">
        <f ca="1">IF(Main[[#This Row],[مانده در خط تسویه نشده (کیلوگرم)]]&lt;&gt;0,Main[[#This Row],[تعداد کل روزهای بدهکار (روز)]],0)</f>
        <v>0</v>
      </c>
      <c r="AC964" s="6">
        <f ca="1">Main[[#This Row],[تعداد روزهای بدهکار  تسویه نشده (روز)]]*Main[[#This Row],[مانده در خط تسویه نشده (کیلوگرم)]]</f>
        <v>0</v>
      </c>
      <c r="AD964" s="6">
        <f ca="1">SUBTOTAL(9,INDEX(Main[بدهی سررسید شده (کیلوگرم)],1):Main[[#This Row],[بدهی سررسید شده (کیلوگرم)]])</f>
        <v>0</v>
      </c>
      <c r="AE964" s="6">
        <f ca="1">IF(Main[[#This Row],[مانده در خط سررسید شده (کیلوگرم)]]&lt;&gt;0,Main[[#This Row],[تعداد کل روزهای بدهکار (روز)]],0)</f>
        <v>0</v>
      </c>
      <c r="AF964" s="6">
        <f ca="1">Main[[#This Row],[تعداد روزهای بدهکار سررسید شده (روز)]]*Main[[#This Row],[مانده در خط سررسید شده (کیلوگرم)]]</f>
        <v>0</v>
      </c>
    </row>
    <row r="965" spans="1:32" hidden="1" x14ac:dyDescent="0.35">
      <c r="A965" s="5">
        <f>ROW()-ROW(INDEX(Main[ردیف],1))+1</f>
        <v>963</v>
      </c>
      <c r="B965" s="31">
        <f>SUBTOTAL(2,INDEX(Main[ردیف],1):Main[[#This Row],[ردیف]])</f>
        <v>91</v>
      </c>
      <c r="C965" s="32" t="s">
        <v>605</v>
      </c>
      <c r="D965" s="32" t="str">
        <f>_xlfn.CONCAT("14",Main[[#This Row],[تاريخ]])</f>
        <v>1400/04/09</v>
      </c>
      <c r="E965" s="33">
        <v>44377</v>
      </c>
      <c r="F965" s="32">
        <v>30001</v>
      </c>
      <c r="G965" s="5" t="str">
        <f>INDEX(customer[عنوان],MATCH(Main[[#This Row],[کد ردیابی]],customer[کد],0))</f>
        <v xml:space="preserve">شرکت صنایع گاز ایران </v>
      </c>
      <c r="H965">
        <v>-217</v>
      </c>
      <c r="I965" s="6">
        <f ca="1">-Main[[#This Row],[بدهی تسویه شده (کیلوگرم)]]+Main[[#This Row],[بستانکار (کیلوگرم)]]</f>
        <v>-217</v>
      </c>
      <c r="J965" s="6">
        <f>IF(Main[[#This Row],[مقدار (کیلوگرم)]]&gt;0,Main[[#This Row],[مقدار (کیلوگرم)]],0)</f>
        <v>0</v>
      </c>
      <c r="K965" s="6">
        <f>-IF(Main[[#This Row],[مقدار (کیلوگرم)]]&lt;0,Main[[#This Row],[مقدار (کیلوگرم)]],0)</f>
        <v>217</v>
      </c>
      <c r="L9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5" s="7">
        <f>-IF(AND(Main[[#This Row],[مقدار (کیلوگرم)]]&lt;0,Main[[#This Row],[تاريخ میلادی]]&gt;44276),Main[[#This Row],[مقدار (کیلوگرم)]],0)</f>
        <v>217</v>
      </c>
      <c r="N965" s="6">
        <f ca="1">Main[[#This Row],[بدهکار (کیلوگرم)]]-Main[[#This Row],[بدهی تسویه نشده (کیلوگرم)]]</f>
        <v>217</v>
      </c>
      <c r="O965" s="6">
        <f ca="1">Main[[#This Row],[تفکیک]]</f>
        <v>0</v>
      </c>
      <c r="P965" s="6">
        <f ca="1">IF(Main[[#This Row],[تاخیر از سررسید]]&gt;0,Main[[#This Row],[بدهی تسویه نشده (کیلوگرم)]],0)</f>
        <v>0</v>
      </c>
      <c r="Q965" s="6">
        <f ca="1">IF(Main[[#This Row],[بدهی تسویه نشده (کیلوگرم)]]&gt;0,'گزارش فردی'!$B$7-Main[[#This Row],[تاريخ میلادی]],0)</f>
        <v>0</v>
      </c>
      <c r="R965" s="6">
        <f ca="1">IF(Main[[#This Row],[بدهی تسویه نشده (کیلوگرم)]]&gt;0,'گزارش فردی'!$B$7-Main[[#This Row],[تاريخ میلادی]]-'گزارش فردی'!$B$8,0)</f>
        <v>0</v>
      </c>
      <c r="S965" s="6">
        <f ca="1">Main[[#This Row],[روز از ارسال سفارش]]*Main[[#This Row],[بدهی تسویه نشده (کیلوگرم)]]</f>
        <v>0</v>
      </c>
      <c r="T965" s="6">
        <f ca="1">Main[[#This Row],[بدهی سررسید شده (کیلوگرم)]]*Main[[#This Row],[روز از ارسال سفارش]]</f>
        <v>0</v>
      </c>
      <c r="U965" s="6">
        <f>-SUBTOTAL(9,INDEX(Main[مقدار (کیلوگرم)],1):Main[[#This Row],[مقدار (کیلوگرم)]])</f>
        <v>35196</v>
      </c>
      <c r="V9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5" s="6">
        <f>Main[[#This Row],[تعداد کل روزهای بدهکار (روز)]]*Main[[#This Row],[مانده در خط کل (کیلوگرم)]]</f>
        <v>35196</v>
      </c>
      <c r="X965" s="6">
        <f ca="1">-SUBTOTAL(9,INDEX(Main[مقدار تسویه شده (کیلوگرم)],1):Main[[#This Row],[مقدار تسویه شده (کیلوگرم)]])</f>
        <v>35196</v>
      </c>
      <c r="Y965" s="6">
        <f ca="1">IF(Main[[#This Row],[مانده در خط تسویه شده (کیلوگرم)]]&lt;&gt;0,Main[[#This Row],[تعداد کل روزهای بدهکار (روز)]],0)</f>
        <v>1</v>
      </c>
      <c r="Z965" s="6">
        <f ca="1">Main[[#This Row],[تعداد روزهای بدهکار تسویه شده (روز)]]*Main[[#This Row],[مانده در خط تسویه شده (کیلوگرم)]]</f>
        <v>35196</v>
      </c>
      <c r="AA965" s="6">
        <f ca="1">SUBTOTAL(9,INDEX(Main[بدهی تسویه نشده (کیلوگرم)],1):Main[[#This Row],[بدهی تسویه نشده (کیلوگرم)]])</f>
        <v>0</v>
      </c>
      <c r="AB965" s="6">
        <f ca="1">IF(Main[[#This Row],[مانده در خط تسویه نشده (کیلوگرم)]]&lt;&gt;0,Main[[#This Row],[تعداد کل روزهای بدهکار (روز)]],0)</f>
        <v>0</v>
      </c>
      <c r="AC965" s="6">
        <f ca="1">Main[[#This Row],[تعداد روزهای بدهکار  تسویه نشده (روز)]]*Main[[#This Row],[مانده در خط تسویه نشده (کیلوگرم)]]</f>
        <v>0</v>
      </c>
      <c r="AD965" s="6">
        <f ca="1">SUBTOTAL(9,INDEX(Main[بدهی سررسید شده (کیلوگرم)],1):Main[[#This Row],[بدهی سررسید شده (کیلوگرم)]])</f>
        <v>0</v>
      </c>
      <c r="AE965" s="6">
        <f ca="1">IF(Main[[#This Row],[مانده در خط سررسید شده (کیلوگرم)]]&lt;&gt;0,Main[[#This Row],[تعداد کل روزهای بدهکار (روز)]],0)</f>
        <v>0</v>
      </c>
      <c r="AF965" s="6">
        <f ca="1">Main[[#This Row],[تعداد روزهای بدهکار سررسید شده (روز)]]*Main[[#This Row],[مانده در خط سررسید شده (کیلوگرم)]]</f>
        <v>0</v>
      </c>
    </row>
    <row r="966" spans="1:32" hidden="1" x14ac:dyDescent="0.35">
      <c r="A966" s="5">
        <f>ROW()-ROW(INDEX(Main[ردیف],1))+1</f>
        <v>964</v>
      </c>
      <c r="B966" s="31">
        <f>SUBTOTAL(2,INDEX(Main[ردیف],1):Main[[#This Row],[ردیف]])</f>
        <v>91</v>
      </c>
      <c r="C966" s="32" t="s">
        <v>605</v>
      </c>
      <c r="D966" s="32" t="str">
        <f>_xlfn.CONCAT("14",Main[[#This Row],[تاريخ]])</f>
        <v>1400/04/09</v>
      </c>
      <c r="E966" s="33">
        <v>44377</v>
      </c>
      <c r="F966" s="32">
        <v>30003</v>
      </c>
      <c r="G966" s="5" t="str">
        <f>INDEX(customer[عنوان],MATCH(Main[[#This Row],[کد ردیابی]],customer[کد],0))</f>
        <v xml:space="preserve">شهاب گاز سوز </v>
      </c>
      <c r="H966">
        <v>1063</v>
      </c>
      <c r="I966" s="6">
        <f ca="1">-Main[[#This Row],[بدهی تسویه شده (کیلوگرم)]]+Main[[#This Row],[بستانکار (کیلوگرم)]]</f>
        <v>1063</v>
      </c>
      <c r="J966" s="6">
        <f>IF(Main[[#This Row],[مقدار (کیلوگرم)]]&gt;0,Main[[#This Row],[مقدار (کیلوگرم)]],0)</f>
        <v>1063</v>
      </c>
      <c r="K966" s="6">
        <f>-IF(Main[[#This Row],[مقدار (کیلوگرم)]]&lt;0,Main[[#This Row],[مقدار (کیلوگرم)]],0)</f>
        <v>0</v>
      </c>
      <c r="L9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6" s="7">
        <f>-IF(AND(Main[[#This Row],[مقدار (کیلوگرم)]]&lt;0,Main[[#This Row],[تاريخ میلادی]]&gt;44276),Main[[#This Row],[مقدار (کیلوگرم)]],0)</f>
        <v>0</v>
      </c>
      <c r="N966" s="6">
        <f ca="1">Main[[#This Row],[بدهکار (کیلوگرم)]]-Main[[#This Row],[بدهی تسویه نشده (کیلوگرم)]]</f>
        <v>0</v>
      </c>
      <c r="O966" s="6">
        <f ca="1">Main[[#This Row],[تفکیک]]</f>
        <v>0</v>
      </c>
      <c r="P966" s="6">
        <f ca="1">IF(Main[[#This Row],[تاخیر از سررسید]]&gt;0,Main[[#This Row],[بدهی تسویه نشده (کیلوگرم)]],0)</f>
        <v>0</v>
      </c>
      <c r="Q966" s="6">
        <f ca="1">IF(Main[[#This Row],[بدهی تسویه نشده (کیلوگرم)]]&gt;0,'گزارش فردی'!$B$7-Main[[#This Row],[تاريخ میلادی]],0)</f>
        <v>0</v>
      </c>
      <c r="R966" s="6">
        <f ca="1">IF(Main[[#This Row],[بدهی تسویه نشده (کیلوگرم)]]&gt;0,'گزارش فردی'!$B$7-Main[[#This Row],[تاريخ میلادی]]-'گزارش فردی'!$B$8,0)</f>
        <v>0</v>
      </c>
      <c r="S966" s="6">
        <f ca="1">Main[[#This Row],[روز از ارسال سفارش]]*Main[[#This Row],[بدهی تسویه نشده (کیلوگرم)]]</f>
        <v>0</v>
      </c>
      <c r="T966" s="6">
        <f ca="1">Main[[#This Row],[بدهی سررسید شده (کیلوگرم)]]*Main[[#This Row],[روز از ارسال سفارش]]</f>
        <v>0</v>
      </c>
      <c r="U966" s="6">
        <f>-SUBTOTAL(9,INDEX(Main[مقدار (کیلوگرم)],1):Main[[#This Row],[مقدار (کیلوگرم)]])</f>
        <v>35196</v>
      </c>
      <c r="V9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6" s="6">
        <f>Main[[#This Row],[تعداد کل روزهای بدهکار (روز)]]*Main[[#This Row],[مانده در خط کل (کیلوگرم)]]</f>
        <v>35196</v>
      </c>
      <c r="X966" s="6">
        <f ca="1">-SUBTOTAL(9,INDEX(Main[مقدار تسویه شده (کیلوگرم)],1):Main[[#This Row],[مقدار تسویه شده (کیلوگرم)]])</f>
        <v>35196</v>
      </c>
      <c r="Y966" s="6">
        <f ca="1">IF(Main[[#This Row],[مانده در خط تسویه شده (کیلوگرم)]]&lt;&gt;0,Main[[#This Row],[تعداد کل روزهای بدهکار (روز)]],0)</f>
        <v>1</v>
      </c>
      <c r="Z966" s="6">
        <f ca="1">Main[[#This Row],[تعداد روزهای بدهکار تسویه شده (روز)]]*Main[[#This Row],[مانده در خط تسویه شده (کیلوگرم)]]</f>
        <v>35196</v>
      </c>
      <c r="AA966" s="6">
        <f ca="1">SUBTOTAL(9,INDEX(Main[بدهی تسویه نشده (کیلوگرم)],1):Main[[#This Row],[بدهی تسویه نشده (کیلوگرم)]])</f>
        <v>0</v>
      </c>
      <c r="AB966" s="6">
        <f ca="1">IF(Main[[#This Row],[مانده در خط تسویه نشده (کیلوگرم)]]&lt;&gt;0,Main[[#This Row],[تعداد کل روزهای بدهکار (روز)]],0)</f>
        <v>0</v>
      </c>
      <c r="AC966" s="6">
        <f ca="1">Main[[#This Row],[تعداد روزهای بدهکار  تسویه نشده (روز)]]*Main[[#This Row],[مانده در خط تسویه نشده (کیلوگرم)]]</f>
        <v>0</v>
      </c>
      <c r="AD966" s="6">
        <f ca="1">SUBTOTAL(9,INDEX(Main[بدهی سررسید شده (کیلوگرم)],1):Main[[#This Row],[بدهی سررسید شده (کیلوگرم)]])</f>
        <v>0</v>
      </c>
      <c r="AE966" s="6">
        <f ca="1">IF(Main[[#This Row],[مانده در خط سررسید شده (کیلوگرم)]]&lt;&gt;0,Main[[#This Row],[تعداد کل روزهای بدهکار (روز)]],0)</f>
        <v>0</v>
      </c>
      <c r="AF966" s="6">
        <f ca="1">Main[[#This Row],[تعداد روزهای بدهکار سررسید شده (روز)]]*Main[[#This Row],[مانده در خط سررسید شده (کیلوگرم)]]</f>
        <v>0</v>
      </c>
    </row>
    <row r="967" spans="1:32" hidden="1" x14ac:dyDescent="0.35">
      <c r="A967" s="5">
        <f>ROW()-ROW(INDEX(Main[ردیف],1))+1</f>
        <v>965</v>
      </c>
      <c r="B967" s="31">
        <f>SUBTOTAL(2,INDEX(Main[ردیف],1):Main[[#This Row],[ردیف]])</f>
        <v>91</v>
      </c>
      <c r="C967" s="32" t="s">
        <v>605</v>
      </c>
      <c r="D967" s="32" t="str">
        <f>_xlfn.CONCAT("14",Main[[#This Row],[تاريخ]])</f>
        <v>1400/04/09</v>
      </c>
      <c r="E967" s="33">
        <v>44377</v>
      </c>
      <c r="F967" s="32">
        <v>30009</v>
      </c>
      <c r="G967" s="5" t="str">
        <f>INDEX(customer[عنوان],MATCH(Main[[#This Row],[کد ردیابی]],customer[کد],0))</f>
        <v>شرکت ایمن تک پیشرو</v>
      </c>
      <c r="H967">
        <v>1962</v>
      </c>
      <c r="I967" s="6">
        <f ca="1">-Main[[#This Row],[بدهی تسویه شده (کیلوگرم)]]+Main[[#This Row],[بستانکار (کیلوگرم)]]</f>
        <v>1962</v>
      </c>
      <c r="J967" s="6">
        <f>IF(Main[[#This Row],[مقدار (کیلوگرم)]]&gt;0,Main[[#This Row],[مقدار (کیلوگرم)]],0)</f>
        <v>1962</v>
      </c>
      <c r="K967" s="6">
        <f>-IF(Main[[#This Row],[مقدار (کیلوگرم)]]&lt;0,Main[[#This Row],[مقدار (کیلوگرم)]],0)</f>
        <v>0</v>
      </c>
      <c r="L9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7" s="7">
        <f>-IF(AND(Main[[#This Row],[مقدار (کیلوگرم)]]&lt;0,Main[[#This Row],[تاريخ میلادی]]&gt;44276),Main[[#This Row],[مقدار (کیلوگرم)]],0)</f>
        <v>0</v>
      </c>
      <c r="N967" s="6">
        <f ca="1">Main[[#This Row],[بدهکار (کیلوگرم)]]-Main[[#This Row],[بدهی تسویه نشده (کیلوگرم)]]</f>
        <v>0</v>
      </c>
      <c r="O967" s="6">
        <f ca="1">Main[[#This Row],[تفکیک]]</f>
        <v>0</v>
      </c>
      <c r="P967" s="6">
        <f ca="1">IF(Main[[#This Row],[تاخیر از سررسید]]&gt;0,Main[[#This Row],[بدهی تسویه نشده (کیلوگرم)]],0)</f>
        <v>0</v>
      </c>
      <c r="Q967" s="6">
        <f ca="1">IF(Main[[#This Row],[بدهی تسویه نشده (کیلوگرم)]]&gt;0,'گزارش فردی'!$B$7-Main[[#This Row],[تاريخ میلادی]],0)</f>
        <v>0</v>
      </c>
      <c r="R967" s="6">
        <f ca="1">IF(Main[[#This Row],[بدهی تسویه نشده (کیلوگرم)]]&gt;0,'گزارش فردی'!$B$7-Main[[#This Row],[تاريخ میلادی]]-'گزارش فردی'!$B$8,0)</f>
        <v>0</v>
      </c>
      <c r="S967" s="6">
        <f ca="1">Main[[#This Row],[روز از ارسال سفارش]]*Main[[#This Row],[بدهی تسویه نشده (کیلوگرم)]]</f>
        <v>0</v>
      </c>
      <c r="T967" s="6">
        <f ca="1">Main[[#This Row],[بدهی سررسید شده (کیلوگرم)]]*Main[[#This Row],[روز از ارسال سفارش]]</f>
        <v>0</v>
      </c>
      <c r="U967" s="6">
        <f>-SUBTOTAL(9,INDEX(Main[مقدار (کیلوگرم)],1):Main[[#This Row],[مقدار (کیلوگرم)]])</f>
        <v>35196</v>
      </c>
      <c r="V9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7" s="6">
        <f>Main[[#This Row],[تعداد کل روزهای بدهکار (روز)]]*Main[[#This Row],[مانده در خط کل (کیلوگرم)]]</f>
        <v>35196</v>
      </c>
      <c r="X967" s="6">
        <f ca="1">-SUBTOTAL(9,INDEX(Main[مقدار تسویه شده (کیلوگرم)],1):Main[[#This Row],[مقدار تسویه شده (کیلوگرم)]])</f>
        <v>35196</v>
      </c>
      <c r="Y967" s="6">
        <f ca="1">IF(Main[[#This Row],[مانده در خط تسویه شده (کیلوگرم)]]&lt;&gt;0,Main[[#This Row],[تعداد کل روزهای بدهکار (روز)]],0)</f>
        <v>1</v>
      </c>
      <c r="Z967" s="6">
        <f ca="1">Main[[#This Row],[تعداد روزهای بدهکار تسویه شده (روز)]]*Main[[#This Row],[مانده در خط تسویه شده (کیلوگرم)]]</f>
        <v>35196</v>
      </c>
      <c r="AA967" s="6">
        <f ca="1">SUBTOTAL(9,INDEX(Main[بدهی تسویه نشده (کیلوگرم)],1):Main[[#This Row],[بدهی تسویه نشده (کیلوگرم)]])</f>
        <v>0</v>
      </c>
      <c r="AB967" s="6">
        <f ca="1">IF(Main[[#This Row],[مانده در خط تسویه نشده (کیلوگرم)]]&lt;&gt;0,Main[[#This Row],[تعداد کل روزهای بدهکار (روز)]],0)</f>
        <v>0</v>
      </c>
      <c r="AC967" s="6">
        <f ca="1">Main[[#This Row],[تعداد روزهای بدهکار  تسویه نشده (روز)]]*Main[[#This Row],[مانده در خط تسویه نشده (کیلوگرم)]]</f>
        <v>0</v>
      </c>
      <c r="AD967" s="6">
        <f ca="1">SUBTOTAL(9,INDEX(Main[بدهی سررسید شده (کیلوگرم)],1):Main[[#This Row],[بدهی سررسید شده (کیلوگرم)]])</f>
        <v>0</v>
      </c>
      <c r="AE967" s="6">
        <f ca="1">IF(Main[[#This Row],[مانده در خط سررسید شده (کیلوگرم)]]&lt;&gt;0,Main[[#This Row],[تعداد کل روزهای بدهکار (روز)]],0)</f>
        <v>0</v>
      </c>
      <c r="AF967" s="6">
        <f ca="1">Main[[#This Row],[تعداد روزهای بدهکار سررسید شده (روز)]]*Main[[#This Row],[مانده در خط سررسید شده (کیلوگرم)]]</f>
        <v>0</v>
      </c>
    </row>
    <row r="968" spans="1:32" hidden="1" x14ac:dyDescent="0.35">
      <c r="A968" s="5">
        <f>ROW()-ROW(INDEX(Main[ردیف],1))+1</f>
        <v>966</v>
      </c>
      <c r="B968" s="31">
        <f>SUBTOTAL(2,INDEX(Main[ردیف],1):Main[[#This Row],[ردیف]])</f>
        <v>91</v>
      </c>
      <c r="C968" s="32" t="s">
        <v>605</v>
      </c>
      <c r="D968" s="32" t="str">
        <f>_xlfn.CONCAT("14",Main[[#This Row],[تاريخ]])</f>
        <v>1400/04/09</v>
      </c>
      <c r="E968" s="33">
        <v>44377</v>
      </c>
      <c r="F968" s="32">
        <v>10020</v>
      </c>
      <c r="G968" s="5" t="str">
        <f>INDEX(customer[عنوان],MATCH(Main[[#This Row],[کد ردیابی]],customer[کد],0))</f>
        <v>فرزاد اسماعیل زاده</v>
      </c>
      <c r="H968">
        <v>1174</v>
      </c>
      <c r="I968" s="6">
        <f ca="1">-Main[[#This Row],[بدهی تسویه شده (کیلوگرم)]]+Main[[#This Row],[بستانکار (کیلوگرم)]]</f>
        <v>1174</v>
      </c>
      <c r="J968" s="6">
        <f>IF(Main[[#This Row],[مقدار (کیلوگرم)]]&gt;0,Main[[#This Row],[مقدار (کیلوگرم)]],0)</f>
        <v>1174</v>
      </c>
      <c r="K968" s="6">
        <f>-IF(Main[[#This Row],[مقدار (کیلوگرم)]]&lt;0,Main[[#This Row],[مقدار (کیلوگرم)]],0)</f>
        <v>0</v>
      </c>
      <c r="L9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8" s="7">
        <f>-IF(AND(Main[[#This Row],[مقدار (کیلوگرم)]]&lt;0,Main[[#This Row],[تاريخ میلادی]]&gt;44276),Main[[#This Row],[مقدار (کیلوگرم)]],0)</f>
        <v>0</v>
      </c>
      <c r="N968" s="6">
        <f ca="1">Main[[#This Row],[بدهکار (کیلوگرم)]]-Main[[#This Row],[بدهی تسویه نشده (کیلوگرم)]]</f>
        <v>0</v>
      </c>
      <c r="O968" s="6">
        <f ca="1">Main[[#This Row],[تفکیک]]</f>
        <v>0</v>
      </c>
      <c r="P968" s="6">
        <f ca="1">IF(Main[[#This Row],[تاخیر از سررسید]]&gt;0,Main[[#This Row],[بدهی تسویه نشده (کیلوگرم)]],0)</f>
        <v>0</v>
      </c>
      <c r="Q968" s="6">
        <f ca="1">IF(Main[[#This Row],[بدهی تسویه نشده (کیلوگرم)]]&gt;0,'گزارش فردی'!$B$7-Main[[#This Row],[تاريخ میلادی]],0)</f>
        <v>0</v>
      </c>
      <c r="R968" s="6">
        <f ca="1">IF(Main[[#This Row],[بدهی تسویه نشده (کیلوگرم)]]&gt;0,'گزارش فردی'!$B$7-Main[[#This Row],[تاريخ میلادی]]-'گزارش فردی'!$B$8,0)</f>
        <v>0</v>
      </c>
      <c r="S968" s="6">
        <f ca="1">Main[[#This Row],[روز از ارسال سفارش]]*Main[[#This Row],[بدهی تسویه نشده (کیلوگرم)]]</f>
        <v>0</v>
      </c>
      <c r="T968" s="6">
        <f ca="1">Main[[#This Row],[بدهی سررسید شده (کیلوگرم)]]*Main[[#This Row],[روز از ارسال سفارش]]</f>
        <v>0</v>
      </c>
      <c r="U968" s="6">
        <f>-SUBTOTAL(9,INDEX(Main[مقدار (کیلوگرم)],1):Main[[#This Row],[مقدار (کیلوگرم)]])</f>
        <v>35196</v>
      </c>
      <c r="V9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8" s="6">
        <f>Main[[#This Row],[تعداد کل روزهای بدهکار (روز)]]*Main[[#This Row],[مانده در خط کل (کیلوگرم)]]</f>
        <v>35196</v>
      </c>
      <c r="X968" s="6">
        <f ca="1">-SUBTOTAL(9,INDEX(Main[مقدار تسویه شده (کیلوگرم)],1):Main[[#This Row],[مقدار تسویه شده (کیلوگرم)]])</f>
        <v>35196</v>
      </c>
      <c r="Y968" s="6">
        <f ca="1">IF(Main[[#This Row],[مانده در خط تسویه شده (کیلوگرم)]]&lt;&gt;0,Main[[#This Row],[تعداد کل روزهای بدهکار (روز)]],0)</f>
        <v>1</v>
      </c>
      <c r="Z968" s="6">
        <f ca="1">Main[[#This Row],[تعداد روزهای بدهکار تسویه شده (روز)]]*Main[[#This Row],[مانده در خط تسویه شده (کیلوگرم)]]</f>
        <v>35196</v>
      </c>
      <c r="AA968" s="6">
        <f ca="1">SUBTOTAL(9,INDEX(Main[بدهی تسویه نشده (کیلوگرم)],1):Main[[#This Row],[بدهی تسویه نشده (کیلوگرم)]])</f>
        <v>0</v>
      </c>
      <c r="AB968" s="6">
        <f ca="1">IF(Main[[#This Row],[مانده در خط تسویه نشده (کیلوگرم)]]&lt;&gt;0,Main[[#This Row],[تعداد کل روزهای بدهکار (روز)]],0)</f>
        <v>0</v>
      </c>
      <c r="AC968" s="6">
        <f ca="1">Main[[#This Row],[تعداد روزهای بدهکار  تسویه نشده (روز)]]*Main[[#This Row],[مانده در خط تسویه نشده (کیلوگرم)]]</f>
        <v>0</v>
      </c>
      <c r="AD968" s="6">
        <f ca="1">SUBTOTAL(9,INDEX(Main[بدهی سررسید شده (کیلوگرم)],1):Main[[#This Row],[بدهی سررسید شده (کیلوگرم)]])</f>
        <v>0</v>
      </c>
      <c r="AE968" s="6">
        <f ca="1">IF(Main[[#This Row],[مانده در خط سررسید شده (کیلوگرم)]]&lt;&gt;0,Main[[#This Row],[تعداد کل روزهای بدهکار (روز)]],0)</f>
        <v>0</v>
      </c>
      <c r="AF968" s="6">
        <f ca="1">Main[[#This Row],[تعداد روزهای بدهکار سررسید شده (روز)]]*Main[[#This Row],[مانده در خط سررسید شده (کیلوگرم)]]</f>
        <v>0</v>
      </c>
    </row>
    <row r="969" spans="1:32" hidden="1" x14ac:dyDescent="0.35">
      <c r="A969" s="5">
        <f>ROW()-ROW(INDEX(Main[ردیف],1))+1</f>
        <v>967</v>
      </c>
      <c r="B969" s="31">
        <f>SUBTOTAL(2,INDEX(Main[ردیف],1):Main[[#This Row],[ردیف]])</f>
        <v>91</v>
      </c>
      <c r="C969" s="32" t="s">
        <v>605</v>
      </c>
      <c r="D969" s="32" t="str">
        <f>_xlfn.CONCAT("14",Main[[#This Row],[تاريخ]])</f>
        <v>1400/04/09</v>
      </c>
      <c r="E969" s="33">
        <v>44377</v>
      </c>
      <c r="F969" s="32">
        <v>30001</v>
      </c>
      <c r="G969" s="5" t="str">
        <f>INDEX(customer[عنوان],MATCH(Main[[#This Row],[کد ردیابی]],customer[کد],0))</f>
        <v xml:space="preserve">شرکت صنایع گاز ایران </v>
      </c>
      <c r="H969">
        <v>302</v>
      </c>
      <c r="I969" s="6">
        <f ca="1">-Main[[#This Row],[بدهی تسویه شده (کیلوگرم)]]+Main[[#This Row],[بستانکار (کیلوگرم)]]</f>
        <v>302</v>
      </c>
      <c r="J969" s="6">
        <f>IF(Main[[#This Row],[مقدار (کیلوگرم)]]&gt;0,Main[[#This Row],[مقدار (کیلوگرم)]],0)</f>
        <v>302</v>
      </c>
      <c r="K969" s="6">
        <f>-IF(Main[[#This Row],[مقدار (کیلوگرم)]]&lt;0,Main[[#This Row],[مقدار (کیلوگرم)]],0)</f>
        <v>0</v>
      </c>
      <c r="L9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9" s="7">
        <f>-IF(AND(Main[[#This Row],[مقدار (کیلوگرم)]]&lt;0,Main[[#This Row],[تاريخ میلادی]]&gt;44276),Main[[#This Row],[مقدار (کیلوگرم)]],0)</f>
        <v>0</v>
      </c>
      <c r="N969" s="6">
        <f ca="1">Main[[#This Row],[بدهکار (کیلوگرم)]]-Main[[#This Row],[بدهی تسویه نشده (کیلوگرم)]]</f>
        <v>0</v>
      </c>
      <c r="O969" s="6">
        <f ca="1">Main[[#This Row],[تفکیک]]</f>
        <v>0</v>
      </c>
      <c r="P969" s="6">
        <f ca="1">IF(Main[[#This Row],[تاخیر از سررسید]]&gt;0,Main[[#This Row],[بدهی تسویه نشده (کیلوگرم)]],0)</f>
        <v>0</v>
      </c>
      <c r="Q969" s="6">
        <f ca="1">IF(Main[[#This Row],[بدهی تسویه نشده (کیلوگرم)]]&gt;0,'گزارش فردی'!$B$7-Main[[#This Row],[تاريخ میلادی]],0)</f>
        <v>0</v>
      </c>
      <c r="R969" s="6">
        <f ca="1">IF(Main[[#This Row],[بدهی تسویه نشده (کیلوگرم)]]&gt;0,'گزارش فردی'!$B$7-Main[[#This Row],[تاريخ میلادی]]-'گزارش فردی'!$B$8,0)</f>
        <v>0</v>
      </c>
      <c r="S969" s="6">
        <f ca="1">Main[[#This Row],[روز از ارسال سفارش]]*Main[[#This Row],[بدهی تسویه نشده (کیلوگرم)]]</f>
        <v>0</v>
      </c>
      <c r="T969" s="6">
        <f ca="1">Main[[#This Row],[بدهی سررسید شده (کیلوگرم)]]*Main[[#This Row],[روز از ارسال سفارش]]</f>
        <v>0</v>
      </c>
      <c r="U969" s="6">
        <f>-SUBTOTAL(9,INDEX(Main[مقدار (کیلوگرم)],1):Main[[#This Row],[مقدار (کیلوگرم)]])</f>
        <v>35196</v>
      </c>
      <c r="V9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9" s="6">
        <f>Main[[#This Row],[تعداد کل روزهای بدهکار (روز)]]*Main[[#This Row],[مانده در خط کل (کیلوگرم)]]</f>
        <v>35196</v>
      </c>
      <c r="X969" s="6">
        <f ca="1">-SUBTOTAL(9,INDEX(Main[مقدار تسویه شده (کیلوگرم)],1):Main[[#This Row],[مقدار تسویه شده (کیلوگرم)]])</f>
        <v>35196</v>
      </c>
      <c r="Y969" s="6">
        <f ca="1">IF(Main[[#This Row],[مانده در خط تسویه شده (کیلوگرم)]]&lt;&gt;0,Main[[#This Row],[تعداد کل روزهای بدهکار (روز)]],0)</f>
        <v>1</v>
      </c>
      <c r="Z969" s="6">
        <f ca="1">Main[[#This Row],[تعداد روزهای بدهکار تسویه شده (روز)]]*Main[[#This Row],[مانده در خط تسویه شده (کیلوگرم)]]</f>
        <v>35196</v>
      </c>
      <c r="AA969" s="6">
        <f ca="1">SUBTOTAL(9,INDEX(Main[بدهی تسویه نشده (کیلوگرم)],1):Main[[#This Row],[بدهی تسویه نشده (کیلوگرم)]])</f>
        <v>0</v>
      </c>
      <c r="AB969" s="6">
        <f ca="1">IF(Main[[#This Row],[مانده در خط تسویه نشده (کیلوگرم)]]&lt;&gt;0,Main[[#This Row],[تعداد کل روزهای بدهکار (روز)]],0)</f>
        <v>0</v>
      </c>
      <c r="AC969" s="6">
        <f ca="1">Main[[#This Row],[تعداد روزهای بدهکار  تسویه نشده (روز)]]*Main[[#This Row],[مانده در خط تسویه نشده (کیلوگرم)]]</f>
        <v>0</v>
      </c>
      <c r="AD969" s="6">
        <f ca="1">SUBTOTAL(9,INDEX(Main[بدهی سررسید شده (کیلوگرم)],1):Main[[#This Row],[بدهی سررسید شده (کیلوگرم)]])</f>
        <v>0</v>
      </c>
      <c r="AE969" s="6">
        <f ca="1">IF(Main[[#This Row],[مانده در خط سررسید شده (کیلوگرم)]]&lt;&gt;0,Main[[#This Row],[تعداد کل روزهای بدهکار (روز)]],0)</f>
        <v>0</v>
      </c>
      <c r="AF969" s="6">
        <f ca="1">Main[[#This Row],[تعداد روزهای بدهکار سررسید شده (روز)]]*Main[[#This Row],[مانده در خط سررسید شده (کیلوگرم)]]</f>
        <v>0</v>
      </c>
    </row>
    <row r="970" spans="1:32" hidden="1" x14ac:dyDescent="0.35">
      <c r="A970" s="5">
        <f>ROW()-ROW(INDEX(Main[ردیف],1))+1</f>
        <v>968</v>
      </c>
      <c r="B970" s="31">
        <f>SUBTOTAL(2,INDEX(Main[ردیف],1):Main[[#This Row],[ردیف]])</f>
        <v>91</v>
      </c>
      <c r="C970" s="32" t="s">
        <v>605</v>
      </c>
      <c r="D970" s="32" t="str">
        <f>_xlfn.CONCAT("14",Main[[#This Row],[تاريخ]])</f>
        <v>1400/04/09</v>
      </c>
      <c r="E970" s="33">
        <v>44377</v>
      </c>
      <c r="F970" s="32">
        <v>30191</v>
      </c>
      <c r="G970" s="5" t="str">
        <f>INDEX(customer[عنوان],MATCH(Main[[#This Row],[کد ردیابی]],customer[کد],0))</f>
        <v>ایران گرما</v>
      </c>
      <c r="H970">
        <v>106</v>
      </c>
      <c r="I970" s="6">
        <f ca="1">-Main[[#This Row],[بدهی تسویه شده (کیلوگرم)]]+Main[[#This Row],[بستانکار (کیلوگرم)]]</f>
        <v>106</v>
      </c>
      <c r="J970" s="6">
        <f>IF(Main[[#This Row],[مقدار (کیلوگرم)]]&gt;0,Main[[#This Row],[مقدار (کیلوگرم)]],0)</f>
        <v>106</v>
      </c>
      <c r="K970" s="6">
        <f>-IF(Main[[#This Row],[مقدار (کیلوگرم)]]&lt;0,Main[[#This Row],[مقدار (کیلوگرم)]],0)</f>
        <v>0</v>
      </c>
      <c r="L9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0" s="7">
        <f>-IF(AND(Main[[#This Row],[مقدار (کیلوگرم)]]&lt;0,Main[[#This Row],[تاريخ میلادی]]&gt;44276),Main[[#This Row],[مقدار (کیلوگرم)]],0)</f>
        <v>0</v>
      </c>
      <c r="N970" s="6">
        <f ca="1">Main[[#This Row],[بدهکار (کیلوگرم)]]-Main[[#This Row],[بدهی تسویه نشده (کیلوگرم)]]</f>
        <v>0</v>
      </c>
      <c r="O970" s="6">
        <f ca="1">Main[[#This Row],[تفکیک]]</f>
        <v>0</v>
      </c>
      <c r="P970" s="6">
        <f ca="1">IF(Main[[#This Row],[تاخیر از سررسید]]&gt;0,Main[[#This Row],[بدهی تسویه نشده (کیلوگرم)]],0)</f>
        <v>0</v>
      </c>
      <c r="Q970" s="6">
        <f ca="1">IF(Main[[#This Row],[بدهی تسویه نشده (کیلوگرم)]]&gt;0,'گزارش فردی'!$B$7-Main[[#This Row],[تاريخ میلادی]],0)</f>
        <v>0</v>
      </c>
      <c r="R970" s="6">
        <f ca="1">IF(Main[[#This Row],[بدهی تسویه نشده (کیلوگرم)]]&gt;0,'گزارش فردی'!$B$7-Main[[#This Row],[تاريخ میلادی]]-'گزارش فردی'!$B$8,0)</f>
        <v>0</v>
      </c>
      <c r="S970" s="6">
        <f ca="1">Main[[#This Row],[روز از ارسال سفارش]]*Main[[#This Row],[بدهی تسویه نشده (کیلوگرم)]]</f>
        <v>0</v>
      </c>
      <c r="T970" s="6">
        <f ca="1">Main[[#This Row],[بدهی سررسید شده (کیلوگرم)]]*Main[[#This Row],[روز از ارسال سفارش]]</f>
        <v>0</v>
      </c>
      <c r="U970" s="6">
        <f>-SUBTOTAL(9,INDEX(Main[مقدار (کیلوگرم)],1):Main[[#This Row],[مقدار (کیلوگرم)]])</f>
        <v>35196</v>
      </c>
      <c r="V9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70" s="6">
        <f>Main[[#This Row],[تعداد کل روزهای بدهکار (روز)]]*Main[[#This Row],[مانده در خط کل (کیلوگرم)]]</f>
        <v>35196</v>
      </c>
      <c r="X970" s="6">
        <f ca="1">-SUBTOTAL(9,INDEX(Main[مقدار تسویه شده (کیلوگرم)],1):Main[[#This Row],[مقدار تسویه شده (کیلوگرم)]])</f>
        <v>35196</v>
      </c>
      <c r="Y970" s="6">
        <f ca="1">IF(Main[[#This Row],[مانده در خط تسویه شده (کیلوگرم)]]&lt;&gt;0,Main[[#This Row],[تعداد کل روزهای بدهکار (روز)]],0)</f>
        <v>1</v>
      </c>
      <c r="Z970" s="6">
        <f ca="1">Main[[#This Row],[تعداد روزهای بدهکار تسویه شده (روز)]]*Main[[#This Row],[مانده در خط تسویه شده (کیلوگرم)]]</f>
        <v>35196</v>
      </c>
      <c r="AA970" s="6">
        <f ca="1">SUBTOTAL(9,INDEX(Main[بدهی تسویه نشده (کیلوگرم)],1):Main[[#This Row],[بدهی تسویه نشده (کیلوگرم)]])</f>
        <v>0</v>
      </c>
      <c r="AB970" s="6">
        <f ca="1">IF(Main[[#This Row],[مانده در خط تسویه نشده (کیلوگرم)]]&lt;&gt;0,Main[[#This Row],[تعداد کل روزهای بدهکار (روز)]],0)</f>
        <v>0</v>
      </c>
      <c r="AC970" s="6">
        <f ca="1">Main[[#This Row],[تعداد روزهای بدهکار  تسویه نشده (روز)]]*Main[[#This Row],[مانده در خط تسویه نشده (کیلوگرم)]]</f>
        <v>0</v>
      </c>
      <c r="AD970" s="6">
        <f ca="1">SUBTOTAL(9,INDEX(Main[بدهی سررسید شده (کیلوگرم)],1):Main[[#This Row],[بدهی سررسید شده (کیلوگرم)]])</f>
        <v>0</v>
      </c>
      <c r="AE970" s="6">
        <f ca="1">IF(Main[[#This Row],[مانده در خط سررسید شده (کیلوگرم)]]&lt;&gt;0,Main[[#This Row],[تعداد کل روزهای بدهکار (روز)]],0)</f>
        <v>0</v>
      </c>
      <c r="AF970" s="6">
        <f ca="1">Main[[#This Row],[تعداد روزهای بدهکار سررسید شده (روز)]]*Main[[#This Row],[مانده در خط سررسید شده (کیلوگرم)]]</f>
        <v>0</v>
      </c>
    </row>
    <row r="971" spans="1:32" hidden="1" x14ac:dyDescent="0.35">
      <c r="A971" s="5">
        <f>ROW()-ROW(INDEX(Main[ردیف],1))+1</f>
        <v>969</v>
      </c>
      <c r="B971" s="31">
        <f>SUBTOTAL(2,INDEX(Main[ردیف],1):Main[[#This Row],[ردیف]])</f>
        <v>91</v>
      </c>
      <c r="C971" s="32" t="s">
        <v>607</v>
      </c>
      <c r="D971" s="32" t="str">
        <f>_xlfn.CONCAT("14",Main[[#This Row],[تاريخ]])</f>
        <v>1400/04/10</v>
      </c>
      <c r="E971" s="33">
        <v>44378</v>
      </c>
      <c r="F971" s="32">
        <v>10027</v>
      </c>
      <c r="G971" s="5" t="str">
        <f>INDEX(customer[عنوان],MATCH(Main[[#This Row],[کد ردیابی]],customer[کد],0))</f>
        <v xml:space="preserve">مصطفی نورعلی </v>
      </c>
      <c r="H971">
        <v>-20000</v>
      </c>
      <c r="I971" s="6">
        <f ca="1">-Main[[#This Row],[بدهی تسویه شده (کیلوگرم)]]+Main[[#This Row],[بستانکار (کیلوگرم)]]</f>
        <v>-20000</v>
      </c>
      <c r="J971" s="6">
        <f>IF(Main[[#This Row],[مقدار (کیلوگرم)]]&gt;0,Main[[#This Row],[مقدار (کیلوگرم)]],0)</f>
        <v>0</v>
      </c>
      <c r="K971" s="6">
        <f>-IF(Main[[#This Row],[مقدار (کیلوگرم)]]&lt;0,Main[[#This Row],[مقدار (کیلوگرم)]],0)</f>
        <v>20000</v>
      </c>
      <c r="L9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1" s="7">
        <f>-IF(AND(Main[[#This Row],[مقدار (کیلوگرم)]]&lt;0,Main[[#This Row],[تاريخ میلادی]]&gt;44276),Main[[#This Row],[مقدار (کیلوگرم)]],0)</f>
        <v>20000</v>
      </c>
      <c r="N971" s="6">
        <f ca="1">Main[[#This Row],[بدهکار (کیلوگرم)]]-Main[[#This Row],[بدهی تسویه نشده (کیلوگرم)]]</f>
        <v>20000</v>
      </c>
      <c r="O971" s="6">
        <f ca="1">Main[[#This Row],[تفکیک]]</f>
        <v>0</v>
      </c>
      <c r="P971" s="6">
        <f ca="1">IF(Main[[#This Row],[تاخیر از سررسید]]&gt;0,Main[[#This Row],[بدهی تسویه نشده (کیلوگرم)]],0)</f>
        <v>0</v>
      </c>
      <c r="Q971" s="6">
        <f ca="1">IF(Main[[#This Row],[بدهی تسویه نشده (کیلوگرم)]]&gt;0,'گزارش فردی'!$B$7-Main[[#This Row],[تاريخ میلادی]],0)</f>
        <v>0</v>
      </c>
      <c r="R971" s="6">
        <f ca="1">IF(Main[[#This Row],[بدهی تسویه نشده (کیلوگرم)]]&gt;0,'گزارش فردی'!$B$7-Main[[#This Row],[تاريخ میلادی]]-'گزارش فردی'!$B$8,0)</f>
        <v>0</v>
      </c>
      <c r="S971" s="6">
        <f ca="1">Main[[#This Row],[روز از ارسال سفارش]]*Main[[#This Row],[بدهی تسویه نشده (کیلوگرم)]]</f>
        <v>0</v>
      </c>
      <c r="T971" s="6">
        <f ca="1">Main[[#This Row],[بدهی سررسید شده (کیلوگرم)]]*Main[[#This Row],[روز از ارسال سفارش]]</f>
        <v>0</v>
      </c>
      <c r="U971" s="6">
        <f>-SUBTOTAL(9,INDEX(Main[مقدار (کیلوگرم)],1):Main[[#This Row],[مقدار (کیلوگرم)]])</f>
        <v>35196</v>
      </c>
      <c r="V9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1" s="6">
        <f>Main[[#This Row],[تعداد کل روزهای بدهکار (روز)]]*Main[[#This Row],[مانده در خط کل (کیلوگرم)]]</f>
        <v>0</v>
      </c>
      <c r="X971" s="6">
        <f ca="1">-SUBTOTAL(9,INDEX(Main[مقدار تسویه شده (کیلوگرم)],1):Main[[#This Row],[مقدار تسویه شده (کیلوگرم)]])</f>
        <v>35196</v>
      </c>
      <c r="Y971" s="6">
        <f ca="1">IF(Main[[#This Row],[مانده در خط تسویه شده (کیلوگرم)]]&lt;&gt;0,Main[[#This Row],[تعداد کل روزهای بدهکار (روز)]],0)</f>
        <v>0</v>
      </c>
      <c r="Z971" s="6">
        <f ca="1">Main[[#This Row],[تعداد روزهای بدهکار تسویه شده (روز)]]*Main[[#This Row],[مانده در خط تسویه شده (کیلوگرم)]]</f>
        <v>0</v>
      </c>
      <c r="AA971" s="6">
        <f ca="1">SUBTOTAL(9,INDEX(Main[بدهی تسویه نشده (کیلوگرم)],1):Main[[#This Row],[بدهی تسویه نشده (کیلوگرم)]])</f>
        <v>0</v>
      </c>
      <c r="AB971" s="6">
        <f ca="1">IF(Main[[#This Row],[مانده در خط تسویه نشده (کیلوگرم)]]&lt;&gt;0,Main[[#This Row],[تعداد کل روزهای بدهکار (روز)]],0)</f>
        <v>0</v>
      </c>
      <c r="AC971" s="6">
        <f ca="1">Main[[#This Row],[تعداد روزهای بدهکار  تسویه نشده (روز)]]*Main[[#This Row],[مانده در خط تسویه نشده (کیلوگرم)]]</f>
        <v>0</v>
      </c>
      <c r="AD971" s="6">
        <f ca="1">SUBTOTAL(9,INDEX(Main[بدهی سررسید شده (کیلوگرم)],1):Main[[#This Row],[بدهی سررسید شده (کیلوگرم)]])</f>
        <v>0</v>
      </c>
      <c r="AE971" s="6">
        <f ca="1">IF(Main[[#This Row],[مانده در خط سررسید شده (کیلوگرم)]]&lt;&gt;0,Main[[#This Row],[تعداد کل روزهای بدهکار (روز)]],0)</f>
        <v>0</v>
      </c>
      <c r="AF971" s="6">
        <f ca="1">Main[[#This Row],[تعداد روزهای بدهکار سررسید شده (روز)]]*Main[[#This Row],[مانده در خط سررسید شده (کیلوگرم)]]</f>
        <v>0</v>
      </c>
    </row>
    <row r="972" spans="1:32" x14ac:dyDescent="0.35">
      <c r="A972" s="5">
        <f>ROW()-ROW(INDEX(Main[ردیف],1))+1</f>
        <v>970</v>
      </c>
      <c r="B972" s="31">
        <f>SUBTOTAL(2,INDEX(Main[ردیف],1):Main[[#This Row],[ردیف]])</f>
        <v>92</v>
      </c>
      <c r="C972" s="32" t="s">
        <v>607</v>
      </c>
      <c r="D972" s="32" t="str">
        <f>_xlfn.CONCAT("14",Main[[#This Row],[تاريخ]])</f>
        <v>1400/04/10</v>
      </c>
      <c r="E972" s="33">
        <v>44378</v>
      </c>
      <c r="F972" s="32">
        <v>10003</v>
      </c>
      <c r="G972" s="5" t="str">
        <f>INDEX(customer[عنوان],MATCH(Main[[#This Row],[کد ردیابی]],customer[کد],0))</f>
        <v>اصغر نورعلی</v>
      </c>
      <c r="H972">
        <v>20000</v>
      </c>
      <c r="I972" s="6">
        <f ca="1">-Main[[#This Row],[بدهی تسویه شده (کیلوگرم)]]+Main[[#This Row],[بستانکار (کیلوگرم)]]</f>
        <v>20000</v>
      </c>
      <c r="J972" s="6">
        <f>IF(Main[[#This Row],[مقدار (کیلوگرم)]]&gt;0,Main[[#This Row],[مقدار (کیلوگرم)]],0)</f>
        <v>20000</v>
      </c>
      <c r="K972" s="6">
        <f>-IF(Main[[#This Row],[مقدار (کیلوگرم)]]&lt;0,Main[[#This Row],[مقدار (کیلوگرم)]],0)</f>
        <v>0</v>
      </c>
      <c r="L9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2" s="7">
        <f>-IF(AND(Main[[#This Row],[مقدار (کیلوگرم)]]&lt;0,Main[[#This Row],[تاريخ میلادی]]&gt;44276),Main[[#This Row],[مقدار (کیلوگرم)]],0)</f>
        <v>0</v>
      </c>
      <c r="N972" s="6">
        <f ca="1">Main[[#This Row],[بدهکار (کیلوگرم)]]-Main[[#This Row],[بدهی تسویه نشده (کیلوگرم)]]</f>
        <v>0</v>
      </c>
      <c r="O972" s="6">
        <f ca="1">Main[[#This Row],[تفکیک]]</f>
        <v>0</v>
      </c>
      <c r="P972" s="6">
        <f ca="1">IF(Main[[#This Row],[تاخیر از سررسید]]&gt;0,Main[[#This Row],[بدهی تسویه نشده (کیلوگرم)]],0)</f>
        <v>0</v>
      </c>
      <c r="Q972" s="6">
        <f ca="1">IF(Main[[#This Row],[بدهی تسویه نشده (کیلوگرم)]]&gt;0,'گزارش فردی'!$B$7-Main[[#This Row],[تاريخ میلادی]],0)</f>
        <v>0</v>
      </c>
      <c r="R972" s="6">
        <f ca="1">IF(Main[[#This Row],[بدهی تسویه نشده (کیلوگرم)]]&gt;0,'گزارش فردی'!$B$7-Main[[#This Row],[تاريخ میلادی]]-'گزارش فردی'!$B$8,0)</f>
        <v>0</v>
      </c>
      <c r="S972" s="6">
        <f ca="1">Main[[#This Row],[روز از ارسال سفارش]]*Main[[#This Row],[بدهی تسویه نشده (کیلوگرم)]]</f>
        <v>0</v>
      </c>
      <c r="T972" s="6">
        <f ca="1">Main[[#This Row],[بدهی سررسید شده (کیلوگرم)]]*Main[[#This Row],[روز از ارسال سفارش]]</f>
        <v>0</v>
      </c>
      <c r="U972" s="6">
        <f>-SUBTOTAL(9,INDEX(Main[مقدار (کیلوگرم)],1):Main[[#This Row],[مقدار (کیلوگرم)]])</f>
        <v>15196</v>
      </c>
      <c r="V9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2" s="6">
        <f>Main[[#This Row],[تعداد کل روزهای بدهکار (روز)]]*Main[[#This Row],[مانده در خط کل (کیلوگرم)]]</f>
        <v>0</v>
      </c>
      <c r="X972" s="6">
        <f ca="1">-SUBTOTAL(9,INDEX(Main[مقدار تسویه شده (کیلوگرم)],1):Main[[#This Row],[مقدار تسویه شده (کیلوگرم)]])</f>
        <v>15196</v>
      </c>
      <c r="Y972" s="6">
        <f ca="1">IF(Main[[#This Row],[مانده در خط تسویه شده (کیلوگرم)]]&lt;&gt;0,Main[[#This Row],[تعداد کل روزهای بدهکار (روز)]],0)</f>
        <v>0</v>
      </c>
      <c r="Z972" s="6">
        <f ca="1">Main[[#This Row],[تعداد روزهای بدهکار تسویه شده (روز)]]*Main[[#This Row],[مانده در خط تسویه شده (کیلوگرم)]]</f>
        <v>0</v>
      </c>
      <c r="AA972" s="6">
        <f ca="1">SUBTOTAL(9,INDEX(Main[بدهی تسویه نشده (کیلوگرم)],1):Main[[#This Row],[بدهی تسویه نشده (کیلوگرم)]])</f>
        <v>0</v>
      </c>
      <c r="AB972" s="6">
        <f ca="1">IF(Main[[#This Row],[مانده در خط تسویه نشده (کیلوگرم)]]&lt;&gt;0,Main[[#This Row],[تعداد کل روزهای بدهکار (روز)]],0)</f>
        <v>0</v>
      </c>
      <c r="AC972" s="6">
        <f ca="1">Main[[#This Row],[تعداد روزهای بدهکار  تسویه نشده (روز)]]*Main[[#This Row],[مانده در خط تسویه نشده (کیلوگرم)]]</f>
        <v>0</v>
      </c>
      <c r="AD972" s="6">
        <f ca="1">SUBTOTAL(9,INDEX(Main[بدهی سررسید شده (کیلوگرم)],1):Main[[#This Row],[بدهی سررسید شده (کیلوگرم)]])</f>
        <v>0</v>
      </c>
      <c r="AE972" s="6">
        <f ca="1">IF(Main[[#This Row],[مانده در خط سررسید شده (کیلوگرم)]]&lt;&gt;0,Main[[#This Row],[تعداد کل روزهای بدهکار (روز)]],0)</f>
        <v>0</v>
      </c>
      <c r="AF972" s="6">
        <f ca="1">Main[[#This Row],[تعداد روزهای بدهکار سررسید شده (روز)]]*Main[[#This Row],[مانده در خط سررسید شده (کیلوگرم)]]</f>
        <v>0</v>
      </c>
    </row>
    <row r="973" spans="1:32" x14ac:dyDescent="0.35">
      <c r="A973" s="5">
        <f>ROW()-ROW(INDEX(Main[ردیف],1))+1</f>
        <v>971</v>
      </c>
      <c r="B973" s="31">
        <f>SUBTOTAL(2,INDEX(Main[ردیف],1):Main[[#This Row],[ردیف]])</f>
        <v>93</v>
      </c>
      <c r="C973" s="32" t="s">
        <v>607</v>
      </c>
      <c r="D973" s="32" t="str">
        <f>_xlfn.CONCAT("14",Main[[#This Row],[تاريخ]])</f>
        <v>1400/04/10</v>
      </c>
      <c r="E973" s="33">
        <v>44378</v>
      </c>
      <c r="F973" s="32">
        <v>10003</v>
      </c>
      <c r="G973" s="5" t="str">
        <f>INDEX(customer[عنوان],MATCH(Main[[#This Row],[کد ردیابی]],customer[کد],0))</f>
        <v>اصغر نورعلی</v>
      </c>
      <c r="H973">
        <v>-2029</v>
      </c>
      <c r="I973" s="6">
        <f ca="1">-Main[[#This Row],[بدهی تسویه شده (کیلوگرم)]]+Main[[#This Row],[بستانکار (کیلوگرم)]]</f>
        <v>-2029</v>
      </c>
      <c r="J973" s="6">
        <f>IF(Main[[#This Row],[مقدار (کیلوگرم)]]&gt;0,Main[[#This Row],[مقدار (کیلوگرم)]],0)</f>
        <v>0</v>
      </c>
      <c r="K973" s="6">
        <f>-IF(Main[[#This Row],[مقدار (کیلوگرم)]]&lt;0,Main[[#This Row],[مقدار (کیلوگرم)]],0)</f>
        <v>2029</v>
      </c>
      <c r="L9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3" s="7">
        <f>-IF(AND(Main[[#This Row],[مقدار (کیلوگرم)]]&lt;0,Main[[#This Row],[تاريخ میلادی]]&gt;44276),Main[[#This Row],[مقدار (کیلوگرم)]],0)</f>
        <v>2029</v>
      </c>
      <c r="N973" s="6">
        <f ca="1">Main[[#This Row],[بدهکار (کیلوگرم)]]-Main[[#This Row],[بدهی تسویه نشده (کیلوگرم)]]</f>
        <v>2029</v>
      </c>
      <c r="O973" s="6">
        <f ca="1">Main[[#This Row],[تفکیک]]</f>
        <v>0</v>
      </c>
      <c r="P973" s="6">
        <f ca="1">IF(Main[[#This Row],[تاخیر از سررسید]]&gt;0,Main[[#This Row],[بدهی تسویه نشده (کیلوگرم)]],0)</f>
        <v>0</v>
      </c>
      <c r="Q973" s="6">
        <f ca="1">IF(Main[[#This Row],[بدهی تسویه نشده (کیلوگرم)]]&gt;0,'گزارش فردی'!$B$7-Main[[#This Row],[تاريخ میلادی]],0)</f>
        <v>0</v>
      </c>
      <c r="R973" s="6">
        <f ca="1">IF(Main[[#This Row],[بدهی تسویه نشده (کیلوگرم)]]&gt;0,'گزارش فردی'!$B$7-Main[[#This Row],[تاريخ میلادی]]-'گزارش فردی'!$B$8,0)</f>
        <v>0</v>
      </c>
      <c r="S973" s="6">
        <f ca="1">Main[[#This Row],[روز از ارسال سفارش]]*Main[[#This Row],[بدهی تسویه نشده (کیلوگرم)]]</f>
        <v>0</v>
      </c>
      <c r="T973" s="6">
        <f ca="1">Main[[#This Row],[بدهی سررسید شده (کیلوگرم)]]*Main[[#This Row],[روز از ارسال سفارش]]</f>
        <v>0</v>
      </c>
      <c r="U973" s="6">
        <f>-SUBTOTAL(9,INDEX(Main[مقدار (کیلوگرم)],1):Main[[#This Row],[مقدار (کیلوگرم)]])</f>
        <v>17225</v>
      </c>
      <c r="V97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73" s="6">
        <f>Main[[#This Row],[تعداد کل روزهای بدهکار (روز)]]*Main[[#This Row],[مانده در خط کل (کیلوگرم)]]</f>
        <v>34450</v>
      </c>
      <c r="X973" s="6">
        <f ca="1">-SUBTOTAL(9,INDEX(Main[مقدار تسویه شده (کیلوگرم)],1):Main[[#This Row],[مقدار تسویه شده (کیلوگرم)]])</f>
        <v>17225</v>
      </c>
      <c r="Y973" s="6">
        <f ca="1">IF(Main[[#This Row],[مانده در خط تسویه شده (کیلوگرم)]]&lt;&gt;0,Main[[#This Row],[تعداد کل روزهای بدهکار (روز)]],0)</f>
        <v>2</v>
      </c>
      <c r="Z973" s="6">
        <f ca="1">Main[[#This Row],[تعداد روزهای بدهکار تسویه شده (روز)]]*Main[[#This Row],[مانده در خط تسویه شده (کیلوگرم)]]</f>
        <v>34450</v>
      </c>
      <c r="AA973" s="6">
        <f ca="1">SUBTOTAL(9,INDEX(Main[بدهی تسویه نشده (کیلوگرم)],1):Main[[#This Row],[بدهی تسویه نشده (کیلوگرم)]])</f>
        <v>0</v>
      </c>
      <c r="AB973" s="6">
        <f ca="1">IF(Main[[#This Row],[مانده در خط تسویه نشده (کیلوگرم)]]&lt;&gt;0,Main[[#This Row],[تعداد کل روزهای بدهکار (روز)]],0)</f>
        <v>0</v>
      </c>
      <c r="AC973" s="6">
        <f ca="1">Main[[#This Row],[تعداد روزهای بدهکار  تسویه نشده (روز)]]*Main[[#This Row],[مانده در خط تسویه نشده (کیلوگرم)]]</f>
        <v>0</v>
      </c>
      <c r="AD973" s="6">
        <f ca="1">SUBTOTAL(9,INDEX(Main[بدهی سررسید شده (کیلوگرم)],1):Main[[#This Row],[بدهی سررسید شده (کیلوگرم)]])</f>
        <v>0</v>
      </c>
      <c r="AE973" s="6">
        <f ca="1">IF(Main[[#This Row],[مانده در خط سررسید شده (کیلوگرم)]]&lt;&gt;0,Main[[#This Row],[تعداد کل روزهای بدهکار (روز)]],0)</f>
        <v>0</v>
      </c>
      <c r="AF973" s="6">
        <f ca="1">Main[[#This Row],[تعداد روزهای بدهکار سررسید شده (روز)]]*Main[[#This Row],[مانده در خط سررسید شده (کیلوگرم)]]</f>
        <v>0</v>
      </c>
    </row>
    <row r="974" spans="1:32" hidden="1" x14ac:dyDescent="0.35">
      <c r="A974" s="5">
        <f>ROW()-ROW(INDEX(Main[ردیف],1))+1</f>
        <v>972</v>
      </c>
      <c r="B974" s="31">
        <f>SUBTOTAL(2,INDEX(Main[ردیف],1):Main[[#This Row],[ردیف]])</f>
        <v>93</v>
      </c>
      <c r="C974" s="32" t="s">
        <v>607</v>
      </c>
      <c r="D974" s="32" t="str">
        <f>_xlfn.CONCAT("14",Main[[#This Row],[تاريخ]])</f>
        <v>1400/04/10</v>
      </c>
      <c r="E974" s="33">
        <v>44378</v>
      </c>
      <c r="F974" s="32">
        <v>10048</v>
      </c>
      <c r="G974" s="5" t="str">
        <f>INDEX(customer[عنوان],MATCH(Main[[#This Row],[کد ردیابی]],customer[کد],0))</f>
        <v xml:space="preserve">حسام کریمان  </v>
      </c>
      <c r="H974">
        <v>532</v>
      </c>
      <c r="I974" s="6">
        <f ca="1">-Main[[#This Row],[بدهی تسویه شده (کیلوگرم)]]+Main[[#This Row],[بستانکار (کیلوگرم)]]</f>
        <v>532</v>
      </c>
      <c r="J974" s="6">
        <f>IF(Main[[#This Row],[مقدار (کیلوگرم)]]&gt;0,Main[[#This Row],[مقدار (کیلوگرم)]],0)</f>
        <v>532</v>
      </c>
      <c r="K974" s="6">
        <f>-IF(Main[[#This Row],[مقدار (کیلوگرم)]]&lt;0,Main[[#This Row],[مقدار (کیلوگرم)]],0)</f>
        <v>0</v>
      </c>
      <c r="L9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4" s="7">
        <f>-IF(AND(Main[[#This Row],[مقدار (کیلوگرم)]]&lt;0,Main[[#This Row],[تاريخ میلادی]]&gt;44276),Main[[#This Row],[مقدار (کیلوگرم)]],0)</f>
        <v>0</v>
      </c>
      <c r="N974" s="6">
        <f ca="1">Main[[#This Row],[بدهکار (کیلوگرم)]]-Main[[#This Row],[بدهی تسویه نشده (کیلوگرم)]]</f>
        <v>0</v>
      </c>
      <c r="O974" s="6">
        <f ca="1">Main[[#This Row],[تفکیک]]</f>
        <v>0</v>
      </c>
      <c r="P974" s="6">
        <f ca="1">IF(Main[[#This Row],[تاخیر از سررسید]]&gt;0,Main[[#This Row],[بدهی تسویه نشده (کیلوگرم)]],0)</f>
        <v>0</v>
      </c>
      <c r="Q974" s="6">
        <f ca="1">IF(Main[[#This Row],[بدهی تسویه نشده (کیلوگرم)]]&gt;0,'گزارش فردی'!$B$7-Main[[#This Row],[تاريخ میلادی]],0)</f>
        <v>0</v>
      </c>
      <c r="R974" s="6">
        <f ca="1">IF(Main[[#This Row],[بدهی تسویه نشده (کیلوگرم)]]&gt;0,'گزارش فردی'!$B$7-Main[[#This Row],[تاريخ میلادی]]-'گزارش فردی'!$B$8,0)</f>
        <v>0</v>
      </c>
      <c r="S974" s="6">
        <f ca="1">Main[[#This Row],[روز از ارسال سفارش]]*Main[[#This Row],[بدهی تسویه نشده (کیلوگرم)]]</f>
        <v>0</v>
      </c>
      <c r="T974" s="6">
        <f ca="1">Main[[#This Row],[بدهی سررسید شده (کیلوگرم)]]*Main[[#This Row],[روز از ارسال سفارش]]</f>
        <v>0</v>
      </c>
      <c r="U974" s="6">
        <f>-SUBTOTAL(9,INDEX(Main[مقدار (کیلوگرم)],1):Main[[#This Row],[مقدار (کیلوگرم)]])</f>
        <v>17225</v>
      </c>
      <c r="V97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74" s="6">
        <f>Main[[#This Row],[تعداد کل روزهای بدهکار (روز)]]*Main[[#This Row],[مانده در خط کل (کیلوگرم)]]</f>
        <v>34450</v>
      </c>
      <c r="X974" s="6">
        <f ca="1">-SUBTOTAL(9,INDEX(Main[مقدار تسویه شده (کیلوگرم)],1):Main[[#This Row],[مقدار تسویه شده (کیلوگرم)]])</f>
        <v>17225</v>
      </c>
      <c r="Y974" s="6">
        <f ca="1">IF(Main[[#This Row],[مانده در خط تسویه شده (کیلوگرم)]]&lt;&gt;0,Main[[#This Row],[تعداد کل روزهای بدهکار (روز)]],0)</f>
        <v>2</v>
      </c>
      <c r="Z974" s="6">
        <f ca="1">Main[[#This Row],[تعداد روزهای بدهکار تسویه شده (روز)]]*Main[[#This Row],[مانده در خط تسویه شده (کیلوگرم)]]</f>
        <v>34450</v>
      </c>
      <c r="AA974" s="6">
        <f ca="1">SUBTOTAL(9,INDEX(Main[بدهی تسویه نشده (کیلوگرم)],1):Main[[#This Row],[بدهی تسویه نشده (کیلوگرم)]])</f>
        <v>0</v>
      </c>
      <c r="AB974" s="6">
        <f ca="1">IF(Main[[#This Row],[مانده در خط تسویه نشده (کیلوگرم)]]&lt;&gt;0,Main[[#This Row],[تعداد کل روزهای بدهکار (روز)]],0)</f>
        <v>0</v>
      </c>
      <c r="AC974" s="6">
        <f ca="1">Main[[#This Row],[تعداد روزهای بدهکار  تسویه نشده (روز)]]*Main[[#This Row],[مانده در خط تسویه نشده (کیلوگرم)]]</f>
        <v>0</v>
      </c>
      <c r="AD974" s="6">
        <f ca="1">SUBTOTAL(9,INDEX(Main[بدهی سررسید شده (کیلوگرم)],1):Main[[#This Row],[بدهی سررسید شده (کیلوگرم)]])</f>
        <v>0</v>
      </c>
      <c r="AE974" s="6">
        <f ca="1">IF(Main[[#This Row],[مانده در خط سررسید شده (کیلوگرم)]]&lt;&gt;0,Main[[#This Row],[تعداد کل روزهای بدهکار (روز)]],0)</f>
        <v>0</v>
      </c>
      <c r="AF974" s="6">
        <f ca="1">Main[[#This Row],[تعداد روزهای بدهکار سررسید شده (روز)]]*Main[[#This Row],[مانده در خط سررسید شده (کیلوگرم)]]</f>
        <v>0</v>
      </c>
    </row>
    <row r="975" spans="1:32" hidden="1" x14ac:dyDescent="0.35">
      <c r="A975" s="5">
        <f>ROW()-ROW(INDEX(Main[ردیف],1))+1</f>
        <v>973</v>
      </c>
      <c r="B975" s="31">
        <f>SUBTOTAL(2,INDEX(Main[ردیف],1):Main[[#This Row],[ردیف]])</f>
        <v>93</v>
      </c>
      <c r="C975" s="32" t="s">
        <v>607</v>
      </c>
      <c r="D975" s="32" t="str">
        <f>_xlfn.CONCAT("14",Main[[#This Row],[تاريخ]])</f>
        <v>1400/04/10</v>
      </c>
      <c r="E975" s="33">
        <v>44378</v>
      </c>
      <c r="F975" s="32">
        <v>30064</v>
      </c>
      <c r="G975" s="5" t="str">
        <f>INDEX(customer[عنوان],MATCH(Main[[#This Row],[کد ردیابی]],customer[کد],0))</f>
        <v>پایپکس</v>
      </c>
      <c r="H975">
        <v>438</v>
      </c>
      <c r="I975" s="6">
        <f ca="1">-Main[[#This Row],[بدهی تسویه شده (کیلوگرم)]]+Main[[#This Row],[بستانکار (کیلوگرم)]]</f>
        <v>438</v>
      </c>
      <c r="J975" s="6">
        <f>IF(Main[[#This Row],[مقدار (کیلوگرم)]]&gt;0,Main[[#This Row],[مقدار (کیلوگرم)]],0)</f>
        <v>438</v>
      </c>
      <c r="K975" s="6">
        <f>-IF(Main[[#This Row],[مقدار (کیلوگرم)]]&lt;0,Main[[#This Row],[مقدار (کیلوگرم)]],0)</f>
        <v>0</v>
      </c>
      <c r="L9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5" s="7">
        <f>-IF(AND(Main[[#This Row],[مقدار (کیلوگرم)]]&lt;0,Main[[#This Row],[تاريخ میلادی]]&gt;44276),Main[[#This Row],[مقدار (کیلوگرم)]],0)</f>
        <v>0</v>
      </c>
      <c r="N975" s="6">
        <f ca="1">Main[[#This Row],[بدهکار (کیلوگرم)]]-Main[[#This Row],[بدهی تسویه نشده (کیلوگرم)]]</f>
        <v>0</v>
      </c>
      <c r="O975" s="6">
        <f ca="1">Main[[#This Row],[تفکیک]]</f>
        <v>0</v>
      </c>
      <c r="P975" s="6">
        <f ca="1">IF(Main[[#This Row],[تاخیر از سررسید]]&gt;0,Main[[#This Row],[بدهی تسویه نشده (کیلوگرم)]],0)</f>
        <v>0</v>
      </c>
      <c r="Q975" s="6">
        <f ca="1">IF(Main[[#This Row],[بدهی تسویه نشده (کیلوگرم)]]&gt;0,'گزارش فردی'!$B$7-Main[[#This Row],[تاريخ میلادی]],0)</f>
        <v>0</v>
      </c>
      <c r="R975" s="6">
        <f ca="1">IF(Main[[#This Row],[بدهی تسویه نشده (کیلوگرم)]]&gt;0,'گزارش فردی'!$B$7-Main[[#This Row],[تاريخ میلادی]]-'گزارش فردی'!$B$8,0)</f>
        <v>0</v>
      </c>
      <c r="S975" s="6">
        <f ca="1">Main[[#This Row],[روز از ارسال سفارش]]*Main[[#This Row],[بدهی تسویه نشده (کیلوگرم)]]</f>
        <v>0</v>
      </c>
      <c r="T975" s="6">
        <f ca="1">Main[[#This Row],[بدهی سررسید شده (کیلوگرم)]]*Main[[#This Row],[روز از ارسال سفارش]]</f>
        <v>0</v>
      </c>
      <c r="U975" s="6">
        <f>-SUBTOTAL(9,INDEX(Main[مقدار (کیلوگرم)],1):Main[[#This Row],[مقدار (کیلوگرم)]])</f>
        <v>17225</v>
      </c>
      <c r="V9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75" s="6">
        <f>Main[[#This Row],[تعداد کل روزهای بدهکار (روز)]]*Main[[#This Row],[مانده در خط کل (کیلوگرم)]]</f>
        <v>34450</v>
      </c>
      <c r="X975" s="6">
        <f ca="1">-SUBTOTAL(9,INDEX(Main[مقدار تسویه شده (کیلوگرم)],1):Main[[#This Row],[مقدار تسویه شده (کیلوگرم)]])</f>
        <v>17225</v>
      </c>
      <c r="Y975" s="6">
        <f ca="1">IF(Main[[#This Row],[مانده در خط تسویه شده (کیلوگرم)]]&lt;&gt;0,Main[[#This Row],[تعداد کل روزهای بدهکار (روز)]],0)</f>
        <v>2</v>
      </c>
      <c r="Z975" s="6">
        <f ca="1">Main[[#This Row],[تعداد روزهای بدهکار تسویه شده (روز)]]*Main[[#This Row],[مانده در خط تسویه شده (کیلوگرم)]]</f>
        <v>34450</v>
      </c>
      <c r="AA975" s="6">
        <f ca="1">SUBTOTAL(9,INDEX(Main[بدهی تسویه نشده (کیلوگرم)],1):Main[[#This Row],[بدهی تسویه نشده (کیلوگرم)]])</f>
        <v>0</v>
      </c>
      <c r="AB975" s="6">
        <f ca="1">IF(Main[[#This Row],[مانده در خط تسویه نشده (کیلوگرم)]]&lt;&gt;0,Main[[#This Row],[تعداد کل روزهای بدهکار (روز)]],0)</f>
        <v>0</v>
      </c>
      <c r="AC975" s="6">
        <f ca="1">Main[[#This Row],[تعداد روزهای بدهکار  تسویه نشده (روز)]]*Main[[#This Row],[مانده در خط تسویه نشده (کیلوگرم)]]</f>
        <v>0</v>
      </c>
      <c r="AD975" s="6">
        <f ca="1">SUBTOTAL(9,INDEX(Main[بدهی سررسید شده (کیلوگرم)],1):Main[[#This Row],[بدهی سررسید شده (کیلوگرم)]])</f>
        <v>0</v>
      </c>
      <c r="AE975" s="6">
        <f ca="1">IF(Main[[#This Row],[مانده در خط سررسید شده (کیلوگرم)]]&lt;&gt;0,Main[[#This Row],[تعداد کل روزهای بدهکار (روز)]],0)</f>
        <v>0</v>
      </c>
      <c r="AF975" s="6">
        <f ca="1">Main[[#This Row],[تعداد روزهای بدهکار سررسید شده (روز)]]*Main[[#This Row],[مانده در خط سررسید شده (کیلوگرم)]]</f>
        <v>0</v>
      </c>
    </row>
    <row r="976" spans="1:32" hidden="1" x14ac:dyDescent="0.35">
      <c r="A976" s="5">
        <f>ROW()-ROW(INDEX(Main[ردیف],1))+1</f>
        <v>974</v>
      </c>
      <c r="B976" s="31">
        <f>SUBTOTAL(2,INDEX(Main[ردیف],1):Main[[#This Row],[ردیف]])</f>
        <v>93</v>
      </c>
      <c r="C976" s="32" t="s">
        <v>608</v>
      </c>
      <c r="D976" s="32" t="str">
        <f>_xlfn.CONCAT("14",Main[[#This Row],[تاريخ]])</f>
        <v>1400/04/12</v>
      </c>
      <c r="E976" s="33">
        <v>44380</v>
      </c>
      <c r="F976" s="32">
        <v>30004</v>
      </c>
      <c r="G976" s="5" t="str">
        <f>INDEX(customer[عنوان],MATCH(Main[[#This Row],[کد ردیابی]],customer[کد],0))</f>
        <v>تولیدی صنعتی صفاشیر پارس</v>
      </c>
      <c r="H976">
        <v>-4110</v>
      </c>
      <c r="I976" s="6">
        <f ca="1">-Main[[#This Row],[بدهی تسویه شده (کیلوگرم)]]+Main[[#This Row],[بستانکار (کیلوگرم)]]</f>
        <v>-4110</v>
      </c>
      <c r="J976" s="6">
        <f>IF(Main[[#This Row],[مقدار (کیلوگرم)]]&gt;0,Main[[#This Row],[مقدار (کیلوگرم)]],0)</f>
        <v>0</v>
      </c>
      <c r="K976" s="6">
        <f>-IF(Main[[#This Row],[مقدار (کیلوگرم)]]&lt;0,Main[[#This Row],[مقدار (کیلوگرم)]],0)</f>
        <v>4110</v>
      </c>
      <c r="L9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6" s="7">
        <f>-IF(AND(Main[[#This Row],[مقدار (کیلوگرم)]]&lt;0,Main[[#This Row],[تاريخ میلادی]]&gt;44276),Main[[#This Row],[مقدار (کیلوگرم)]],0)</f>
        <v>4110</v>
      </c>
      <c r="N976" s="6">
        <f ca="1">Main[[#This Row],[بدهکار (کیلوگرم)]]-Main[[#This Row],[بدهی تسویه نشده (کیلوگرم)]]</f>
        <v>4110</v>
      </c>
      <c r="O976" s="6">
        <f ca="1">Main[[#This Row],[تفکیک]]</f>
        <v>0</v>
      </c>
      <c r="P976" s="6">
        <f ca="1">IF(Main[[#This Row],[تاخیر از سررسید]]&gt;0,Main[[#This Row],[بدهی تسویه نشده (کیلوگرم)]],0)</f>
        <v>0</v>
      </c>
      <c r="Q976" s="6">
        <f ca="1">IF(Main[[#This Row],[بدهی تسویه نشده (کیلوگرم)]]&gt;0,'گزارش فردی'!$B$7-Main[[#This Row],[تاريخ میلادی]],0)</f>
        <v>0</v>
      </c>
      <c r="R976" s="6">
        <f ca="1">IF(Main[[#This Row],[بدهی تسویه نشده (کیلوگرم)]]&gt;0,'گزارش فردی'!$B$7-Main[[#This Row],[تاريخ میلادی]]-'گزارش فردی'!$B$8,0)</f>
        <v>0</v>
      </c>
      <c r="S976" s="6">
        <f ca="1">Main[[#This Row],[روز از ارسال سفارش]]*Main[[#This Row],[بدهی تسویه نشده (کیلوگرم)]]</f>
        <v>0</v>
      </c>
      <c r="T976" s="6">
        <f ca="1">Main[[#This Row],[بدهی سررسید شده (کیلوگرم)]]*Main[[#This Row],[روز از ارسال سفارش]]</f>
        <v>0</v>
      </c>
      <c r="U976" s="6">
        <f>-SUBTOTAL(9,INDEX(Main[مقدار (کیلوگرم)],1):Main[[#This Row],[مقدار (کیلوگرم)]])</f>
        <v>17225</v>
      </c>
      <c r="V9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6" s="6">
        <f>Main[[#This Row],[تعداد کل روزهای بدهکار (روز)]]*Main[[#This Row],[مانده در خط کل (کیلوگرم)]]</f>
        <v>0</v>
      </c>
      <c r="X976" s="6">
        <f ca="1">-SUBTOTAL(9,INDEX(Main[مقدار تسویه شده (کیلوگرم)],1):Main[[#This Row],[مقدار تسویه شده (کیلوگرم)]])</f>
        <v>17225</v>
      </c>
      <c r="Y976" s="6">
        <f ca="1">IF(Main[[#This Row],[مانده در خط تسویه شده (کیلوگرم)]]&lt;&gt;0,Main[[#This Row],[تعداد کل روزهای بدهکار (روز)]],0)</f>
        <v>0</v>
      </c>
      <c r="Z976" s="6">
        <f ca="1">Main[[#This Row],[تعداد روزهای بدهکار تسویه شده (روز)]]*Main[[#This Row],[مانده در خط تسویه شده (کیلوگرم)]]</f>
        <v>0</v>
      </c>
      <c r="AA976" s="6">
        <f ca="1">SUBTOTAL(9,INDEX(Main[بدهی تسویه نشده (کیلوگرم)],1):Main[[#This Row],[بدهی تسویه نشده (کیلوگرم)]])</f>
        <v>0</v>
      </c>
      <c r="AB976" s="6">
        <f ca="1">IF(Main[[#This Row],[مانده در خط تسویه نشده (کیلوگرم)]]&lt;&gt;0,Main[[#This Row],[تعداد کل روزهای بدهکار (روز)]],0)</f>
        <v>0</v>
      </c>
      <c r="AC976" s="6">
        <f ca="1">Main[[#This Row],[تعداد روزهای بدهکار  تسویه نشده (روز)]]*Main[[#This Row],[مانده در خط تسویه نشده (کیلوگرم)]]</f>
        <v>0</v>
      </c>
      <c r="AD976" s="6">
        <f ca="1">SUBTOTAL(9,INDEX(Main[بدهی سررسید شده (کیلوگرم)],1):Main[[#This Row],[بدهی سررسید شده (کیلوگرم)]])</f>
        <v>0</v>
      </c>
      <c r="AE976" s="6">
        <f ca="1">IF(Main[[#This Row],[مانده در خط سررسید شده (کیلوگرم)]]&lt;&gt;0,Main[[#This Row],[تعداد کل روزهای بدهکار (روز)]],0)</f>
        <v>0</v>
      </c>
      <c r="AF976" s="6">
        <f ca="1">Main[[#This Row],[تعداد روزهای بدهکار سررسید شده (روز)]]*Main[[#This Row],[مانده در خط سررسید شده (کیلوگرم)]]</f>
        <v>0</v>
      </c>
    </row>
    <row r="977" spans="1:32" hidden="1" x14ac:dyDescent="0.35">
      <c r="A977" s="5">
        <f>ROW()-ROW(INDEX(Main[ردیف],1))+1</f>
        <v>975</v>
      </c>
      <c r="B977" s="31">
        <f>SUBTOTAL(2,INDEX(Main[ردیف],1):Main[[#This Row],[ردیف]])</f>
        <v>93</v>
      </c>
      <c r="C977" s="32" t="s">
        <v>608</v>
      </c>
      <c r="D977" s="32" t="str">
        <f>_xlfn.CONCAT("14",Main[[#This Row],[تاريخ]])</f>
        <v>1400/04/12</v>
      </c>
      <c r="E977" s="33">
        <v>44380</v>
      </c>
      <c r="F977" s="32">
        <v>30004</v>
      </c>
      <c r="G977" s="5" t="str">
        <f>INDEX(customer[عنوان],MATCH(Main[[#This Row],[کد ردیابی]],customer[کد],0))</f>
        <v>تولیدی صنعتی صفاشیر پارس</v>
      </c>
      <c r="H977">
        <v>3242</v>
      </c>
      <c r="I977" s="6">
        <f ca="1">-Main[[#This Row],[بدهی تسویه شده (کیلوگرم)]]+Main[[#This Row],[بستانکار (کیلوگرم)]]</f>
        <v>3242</v>
      </c>
      <c r="J977" s="6">
        <f>IF(Main[[#This Row],[مقدار (کیلوگرم)]]&gt;0,Main[[#This Row],[مقدار (کیلوگرم)]],0)</f>
        <v>3242</v>
      </c>
      <c r="K977" s="6">
        <f>-IF(Main[[#This Row],[مقدار (کیلوگرم)]]&lt;0,Main[[#This Row],[مقدار (کیلوگرم)]],0)</f>
        <v>0</v>
      </c>
      <c r="L9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7" s="7">
        <f>-IF(AND(Main[[#This Row],[مقدار (کیلوگرم)]]&lt;0,Main[[#This Row],[تاريخ میلادی]]&gt;44276),Main[[#This Row],[مقدار (کیلوگرم)]],0)</f>
        <v>0</v>
      </c>
      <c r="N977" s="6">
        <f ca="1">Main[[#This Row],[بدهکار (کیلوگرم)]]-Main[[#This Row],[بدهی تسویه نشده (کیلوگرم)]]</f>
        <v>0</v>
      </c>
      <c r="O977" s="6">
        <f ca="1">Main[[#This Row],[تفکیک]]</f>
        <v>0</v>
      </c>
      <c r="P977" s="6">
        <f ca="1">IF(Main[[#This Row],[تاخیر از سررسید]]&gt;0,Main[[#This Row],[بدهی تسویه نشده (کیلوگرم)]],0)</f>
        <v>0</v>
      </c>
      <c r="Q977" s="6">
        <f ca="1">IF(Main[[#This Row],[بدهی تسویه نشده (کیلوگرم)]]&gt;0,'گزارش فردی'!$B$7-Main[[#This Row],[تاريخ میلادی]],0)</f>
        <v>0</v>
      </c>
      <c r="R977" s="6">
        <f ca="1">IF(Main[[#This Row],[بدهی تسویه نشده (کیلوگرم)]]&gt;0,'گزارش فردی'!$B$7-Main[[#This Row],[تاريخ میلادی]]-'گزارش فردی'!$B$8,0)</f>
        <v>0</v>
      </c>
      <c r="S977" s="6">
        <f ca="1">Main[[#This Row],[روز از ارسال سفارش]]*Main[[#This Row],[بدهی تسویه نشده (کیلوگرم)]]</f>
        <v>0</v>
      </c>
      <c r="T977" s="6">
        <f ca="1">Main[[#This Row],[بدهی سررسید شده (کیلوگرم)]]*Main[[#This Row],[روز از ارسال سفارش]]</f>
        <v>0</v>
      </c>
      <c r="U977" s="6">
        <f>-SUBTOTAL(9,INDEX(Main[مقدار (کیلوگرم)],1):Main[[#This Row],[مقدار (کیلوگرم)]])</f>
        <v>17225</v>
      </c>
      <c r="V9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7" s="6">
        <f>Main[[#This Row],[تعداد کل روزهای بدهکار (روز)]]*Main[[#This Row],[مانده در خط کل (کیلوگرم)]]</f>
        <v>0</v>
      </c>
      <c r="X977" s="6">
        <f ca="1">-SUBTOTAL(9,INDEX(Main[مقدار تسویه شده (کیلوگرم)],1):Main[[#This Row],[مقدار تسویه شده (کیلوگرم)]])</f>
        <v>17225</v>
      </c>
      <c r="Y977" s="6">
        <f ca="1">IF(Main[[#This Row],[مانده در خط تسویه شده (کیلوگرم)]]&lt;&gt;0,Main[[#This Row],[تعداد کل روزهای بدهکار (روز)]],0)</f>
        <v>0</v>
      </c>
      <c r="Z977" s="6">
        <f ca="1">Main[[#This Row],[تعداد روزهای بدهکار تسویه شده (روز)]]*Main[[#This Row],[مانده در خط تسویه شده (کیلوگرم)]]</f>
        <v>0</v>
      </c>
      <c r="AA977" s="6">
        <f ca="1">SUBTOTAL(9,INDEX(Main[بدهی تسویه نشده (کیلوگرم)],1):Main[[#This Row],[بدهی تسویه نشده (کیلوگرم)]])</f>
        <v>0</v>
      </c>
      <c r="AB977" s="6">
        <f ca="1">IF(Main[[#This Row],[مانده در خط تسویه نشده (کیلوگرم)]]&lt;&gt;0,Main[[#This Row],[تعداد کل روزهای بدهکار (روز)]],0)</f>
        <v>0</v>
      </c>
      <c r="AC977" s="6">
        <f ca="1">Main[[#This Row],[تعداد روزهای بدهکار  تسویه نشده (روز)]]*Main[[#This Row],[مانده در خط تسویه نشده (کیلوگرم)]]</f>
        <v>0</v>
      </c>
      <c r="AD977" s="6">
        <f ca="1">SUBTOTAL(9,INDEX(Main[بدهی سررسید شده (کیلوگرم)],1):Main[[#This Row],[بدهی سررسید شده (کیلوگرم)]])</f>
        <v>0</v>
      </c>
      <c r="AE977" s="6">
        <f ca="1">IF(Main[[#This Row],[مانده در خط سررسید شده (کیلوگرم)]]&lt;&gt;0,Main[[#This Row],[تعداد کل روزهای بدهکار (روز)]],0)</f>
        <v>0</v>
      </c>
      <c r="AF977" s="6">
        <f ca="1">Main[[#This Row],[تعداد روزهای بدهکار سررسید شده (روز)]]*Main[[#This Row],[مانده در خط سررسید شده (کیلوگرم)]]</f>
        <v>0</v>
      </c>
    </row>
    <row r="978" spans="1:32" hidden="1" x14ac:dyDescent="0.35">
      <c r="A978" s="5">
        <f>ROW()-ROW(INDEX(Main[ردیف],1))+1</f>
        <v>976</v>
      </c>
      <c r="B978" s="31">
        <f>SUBTOTAL(2,INDEX(Main[ردیف],1):Main[[#This Row],[ردیف]])</f>
        <v>93</v>
      </c>
      <c r="C978" s="32" t="s">
        <v>608</v>
      </c>
      <c r="D978" s="32" t="str">
        <f>_xlfn.CONCAT("14",Main[[#This Row],[تاريخ]])</f>
        <v>1400/04/12</v>
      </c>
      <c r="E978" s="33">
        <v>44380</v>
      </c>
      <c r="F978" s="32">
        <v>30009</v>
      </c>
      <c r="G978" s="5" t="str">
        <f>INDEX(customer[عنوان],MATCH(Main[[#This Row],[کد ردیابی]],customer[کد],0))</f>
        <v>شرکت ایمن تک پیشرو</v>
      </c>
      <c r="H978">
        <v>-1931</v>
      </c>
      <c r="I978" s="6">
        <f ca="1">-Main[[#This Row],[بدهی تسویه شده (کیلوگرم)]]+Main[[#This Row],[بستانکار (کیلوگرم)]]</f>
        <v>-1931</v>
      </c>
      <c r="J978" s="6">
        <f>IF(Main[[#This Row],[مقدار (کیلوگرم)]]&gt;0,Main[[#This Row],[مقدار (کیلوگرم)]],0)</f>
        <v>0</v>
      </c>
      <c r="K978" s="6">
        <f>-IF(Main[[#This Row],[مقدار (کیلوگرم)]]&lt;0,Main[[#This Row],[مقدار (کیلوگرم)]],0)</f>
        <v>1931</v>
      </c>
      <c r="L9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8" s="7">
        <f>-IF(AND(Main[[#This Row],[مقدار (کیلوگرم)]]&lt;0,Main[[#This Row],[تاريخ میلادی]]&gt;44276),Main[[#This Row],[مقدار (کیلوگرم)]],0)</f>
        <v>1931</v>
      </c>
      <c r="N978" s="6">
        <f ca="1">Main[[#This Row],[بدهکار (کیلوگرم)]]-Main[[#This Row],[بدهی تسویه نشده (کیلوگرم)]]</f>
        <v>1931</v>
      </c>
      <c r="O978" s="6">
        <f ca="1">Main[[#This Row],[تفکیک]]</f>
        <v>0</v>
      </c>
      <c r="P978" s="6">
        <f ca="1">IF(Main[[#This Row],[تاخیر از سررسید]]&gt;0,Main[[#This Row],[بدهی تسویه نشده (کیلوگرم)]],0)</f>
        <v>0</v>
      </c>
      <c r="Q978" s="6">
        <f ca="1">IF(Main[[#This Row],[بدهی تسویه نشده (کیلوگرم)]]&gt;0,'گزارش فردی'!$B$7-Main[[#This Row],[تاريخ میلادی]],0)</f>
        <v>0</v>
      </c>
      <c r="R978" s="6">
        <f ca="1">IF(Main[[#This Row],[بدهی تسویه نشده (کیلوگرم)]]&gt;0,'گزارش فردی'!$B$7-Main[[#This Row],[تاريخ میلادی]]-'گزارش فردی'!$B$8,0)</f>
        <v>0</v>
      </c>
      <c r="S978" s="6">
        <f ca="1">Main[[#This Row],[روز از ارسال سفارش]]*Main[[#This Row],[بدهی تسویه نشده (کیلوگرم)]]</f>
        <v>0</v>
      </c>
      <c r="T978" s="6">
        <f ca="1">Main[[#This Row],[بدهی سررسید شده (کیلوگرم)]]*Main[[#This Row],[روز از ارسال سفارش]]</f>
        <v>0</v>
      </c>
      <c r="U978" s="6">
        <f>-SUBTOTAL(9,INDEX(Main[مقدار (کیلوگرم)],1):Main[[#This Row],[مقدار (کیلوگرم)]])</f>
        <v>17225</v>
      </c>
      <c r="V9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8" s="6">
        <f>Main[[#This Row],[تعداد کل روزهای بدهکار (روز)]]*Main[[#This Row],[مانده در خط کل (کیلوگرم)]]</f>
        <v>0</v>
      </c>
      <c r="X978" s="6">
        <f ca="1">-SUBTOTAL(9,INDEX(Main[مقدار تسویه شده (کیلوگرم)],1):Main[[#This Row],[مقدار تسویه شده (کیلوگرم)]])</f>
        <v>17225</v>
      </c>
      <c r="Y978" s="6">
        <f ca="1">IF(Main[[#This Row],[مانده در خط تسویه شده (کیلوگرم)]]&lt;&gt;0,Main[[#This Row],[تعداد کل روزهای بدهکار (روز)]],0)</f>
        <v>0</v>
      </c>
      <c r="Z978" s="6">
        <f ca="1">Main[[#This Row],[تعداد روزهای بدهکار تسویه شده (روز)]]*Main[[#This Row],[مانده در خط تسویه شده (کیلوگرم)]]</f>
        <v>0</v>
      </c>
      <c r="AA978" s="6">
        <f ca="1">SUBTOTAL(9,INDEX(Main[بدهی تسویه نشده (کیلوگرم)],1):Main[[#This Row],[بدهی تسویه نشده (کیلوگرم)]])</f>
        <v>0</v>
      </c>
      <c r="AB978" s="6">
        <f ca="1">IF(Main[[#This Row],[مانده در خط تسویه نشده (کیلوگرم)]]&lt;&gt;0,Main[[#This Row],[تعداد کل روزهای بدهکار (روز)]],0)</f>
        <v>0</v>
      </c>
      <c r="AC978" s="6">
        <f ca="1">Main[[#This Row],[تعداد روزهای بدهکار  تسویه نشده (روز)]]*Main[[#This Row],[مانده در خط تسویه نشده (کیلوگرم)]]</f>
        <v>0</v>
      </c>
      <c r="AD978" s="6">
        <f ca="1">SUBTOTAL(9,INDEX(Main[بدهی سررسید شده (کیلوگرم)],1):Main[[#This Row],[بدهی سررسید شده (کیلوگرم)]])</f>
        <v>0</v>
      </c>
      <c r="AE978" s="6">
        <f ca="1">IF(Main[[#This Row],[مانده در خط سررسید شده (کیلوگرم)]]&lt;&gt;0,Main[[#This Row],[تعداد کل روزهای بدهکار (روز)]],0)</f>
        <v>0</v>
      </c>
      <c r="AF978" s="6">
        <f ca="1">Main[[#This Row],[تعداد روزهای بدهکار سررسید شده (روز)]]*Main[[#This Row],[مانده در خط سررسید شده (کیلوگرم)]]</f>
        <v>0</v>
      </c>
    </row>
    <row r="979" spans="1:32" hidden="1" x14ac:dyDescent="0.35">
      <c r="A979" s="5">
        <f>ROW()-ROW(INDEX(Main[ردیف],1))+1</f>
        <v>977</v>
      </c>
      <c r="B979" s="31">
        <f>SUBTOTAL(2,INDEX(Main[ردیف],1):Main[[#This Row],[ردیف]])</f>
        <v>93</v>
      </c>
      <c r="C979" s="32" t="s">
        <v>608</v>
      </c>
      <c r="D979" s="32" t="str">
        <f>_xlfn.CONCAT("14",Main[[#This Row],[تاريخ]])</f>
        <v>1400/04/12</v>
      </c>
      <c r="E979" s="33">
        <v>44380</v>
      </c>
      <c r="F979" s="32">
        <v>30127</v>
      </c>
      <c r="G979" s="5" t="str">
        <f>INDEX(customer[عنوان],MATCH(Main[[#This Row],[کد ردیابی]],customer[کد],0))</f>
        <v>شیر گاز آذران</v>
      </c>
      <c r="H979">
        <v>65000</v>
      </c>
      <c r="I979" s="6">
        <f ca="1">-Main[[#This Row],[بدهی تسویه شده (کیلوگرم)]]+Main[[#This Row],[بستانکار (کیلوگرم)]]</f>
        <v>65000</v>
      </c>
      <c r="J979" s="6">
        <f>IF(Main[[#This Row],[مقدار (کیلوگرم)]]&gt;0,Main[[#This Row],[مقدار (کیلوگرم)]],0)</f>
        <v>65000</v>
      </c>
      <c r="K979" s="6">
        <f>-IF(Main[[#This Row],[مقدار (کیلوگرم)]]&lt;0,Main[[#This Row],[مقدار (کیلوگرم)]],0)</f>
        <v>0</v>
      </c>
      <c r="L9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9" s="7">
        <f>-IF(AND(Main[[#This Row],[مقدار (کیلوگرم)]]&lt;0,Main[[#This Row],[تاريخ میلادی]]&gt;44276),Main[[#This Row],[مقدار (کیلوگرم)]],0)</f>
        <v>0</v>
      </c>
      <c r="N979" s="6">
        <f ca="1">Main[[#This Row],[بدهکار (کیلوگرم)]]-Main[[#This Row],[بدهی تسویه نشده (کیلوگرم)]]</f>
        <v>0</v>
      </c>
      <c r="O979" s="6">
        <f ca="1">Main[[#This Row],[تفکیک]]</f>
        <v>0</v>
      </c>
      <c r="P979" s="6">
        <f ca="1">IF(Main[[#This Row],[تاخیر از سررسید]]&gt;0,Main[[#This Row],[بدهی تسویه نشده (کیلوگرم)]],0)</f>
        <v>0</v>
      </c>
      <c r="Q979" s="6">
        <f ca="1">IF(Main[[#This Row],[بدهی تسویه نشده (کیلوگرم)]]&gt;0,'گزارش فردی'!$B$7-Main[[#This Row],[تاريخ میلادی]],0)</f>
        <v>0</v>
      </c>
      <c r="R979" s="6">
        <f ca="1">IF(Main[[#This Row],[بدهی تسویه نشده (کیلوگرم)]]&gt;0,'گزارش فردی'!$B$7-Main[[#This Row],[تاريخ میلادی]]-'گزارش فردی'!$B$8,0)</f>
        <v>0</v>
      </c>
      <c r="S979" s="6">
        <f ca="1">Main[[#This Row],[روز از ارسال سفارش]]*Main[[#This Row],[بدهی تسویه نشده (کیلوگرم)]]</f>
        <v>0</v>
      </c>
      <c r="T979" s="6">
        <f ca="1">Main[[#This Row],[بدهی سررسید شده (کیلوگرم)]]*Main[[#This Row],[روز از ارسال سفارش]]</f>
        <v>0</v>
      </c>
      <c r="U979" s="6">
        <f>-SUBTOTAL(9,INDEX(Main[مقدار (کیلوگرم)],1):Main[[#This Row],[مقدار (کیلوگرم)]])</f>
        <v>17225</v>
      </c>
      <c r="V9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9" s="6">
        <f>Main[[#This Row],[تعداد کل روزهای بدهکار (روز)]]*Main[[#This Row],[مانده در خط کل (کیلوگرم)]]</f>
        <v>0</v>
      </c>
      <c r="X979" s="6">
        <f ca="1">-SUBTOTAL(9,INDEX(Main[مقدار تسویه شده (کیلوگرم)],1):Main[[#This Row],[مقدار تسویه شده (کیلوگرم)]])</f>
        <v>17225</v>
      </c>
      <c r="Y979" s="6">
        <f ca="1">IF(Main[[#This Row],[مانده در خط تسویه شده (کیلوگرم)]]&lt;&gt;0,Main[[#This Row],[تعداد کل روزهای بدهکار (روز)]],0)</f>
        <v>0</v>
      </c>
      <c r="Z979" s="6">
        <f ca="1">Main[[#This Row],[تعداد روزهای بدهکار تسویه شده (روز)]]*Main[[#This Row],[مانده در خط تسویه شده (کیلوگرم)]]</f>
        <v>0</v>
      </c>
      <c r="AA979" s="6">
        <f ca="1">SUBTOTAL(9,INDEX(Main[بدهی تسویه نشده (کیلوگرم)],1):Main[[#This Row],[بدهی تسویه نشده (کیلوگرم)]])</f>
        <v>0</v>
      </c>
      <c r="AB979" s="6">
        <f ca="1">IF(Main[[#This Row],[مانده در خط تسویه نشده (کیلوگرم)]]&lt;&gt;0,Main[[#This Row],[تعداد کل روزهای بدهکار (روز)]],0)</f>
        <v>0</v>
      </c>
      <c r="AC979" s="6">
        <f ca="1">Main[[#This Row],[تعداد روزهای بدهکار  تسویه نشده (روز)]]*Main[[#This Row],[مانده در خط تسویه نشده (کیلوگرم)]]</f>
        <v>0</v>
      </c>
      <c r="AD979" s="6">
        <f ca="1">SUBTOTAL(9,INDEX(Main[بدهی سررسید شده (کیلوگرم)],1):Main[[#This Row],[بدهی سررسید شده (کیلوگرم)]])</f>
        <v>0</v>
      </c>
      <c r="AE979" s="6">
        <f ca="1">IF(Main[[#This Row],[مانده در خط سررسید شده (کیلوگرم)]]&lt;&gt;0,Main[[#This Row],[تعداد کل روزهای بدهکار (روز)]],0)</f>
        <v>0</v>
      </c>
      <c r="AF979" s="6">
        <f ca="1">Main[[#This Row],[تعداد روزهای بدهکار سررسید شده (روز)]]*Main[[#This Row],[مانده در خط سررسید شده (کیلوگرم)]]</f>
        <v>0</v>
      </c>
    </row>
    <row r="980" spans="1:32" hidden="1" x14ac:dyDescent="0.35">
      <c r="A980" s="5">
        <f>ROW()-ROW(INDEX(Main[ردیف],1))+1</f>
        <v>978</v>
      </c>
      <c r="B980" s="31">
        <f>SUBTOTAL(2,INDEX(Main[ردیف],1):Main[[#This Row],[ردیف]])</f>
        <v>93</v>
      </c>
      <c r="C980" s="32" t="s">
        <v>608</v>
      </c>
      <c r="D980" s="32" t="str">
        <f>_xlfn.CONCAT("14",Main[[#This Row],[تاريخ]])</f>
        <v>1400/04/12</v>
      </c>
      <c r="E980" s="33">
        <v>44380</v>
      </c>
      <c r="F980" s="32">
        <v>30191</v>
      </c>
      <c r="G980" s="5" t="str">
        <f>INDEX(customer[عنوان],MATCH(Main[[#This Row],[کد ردیابی]],customer[کد],0))</f>
        <v>ایران گرما</v>
      </c>
      <c r="H980">
        <v>-1008</v>
      </c>
      <c r="I980" s="6">
        <f ca="1">-Main[[#This Row],[بدهی تسویه شده (کیلوگرم)]]+Main[[#This Row],[بستانکار (کیلوگرم)]]</f>
        <v>-1008</v>
      </c>
      <c r="J980" s="6">
        <f>IF(Main[[#This Row],[مقدار (کیلوگرم)]]&gt;0,Main[[#This Row],[مقدار (کیلوگرم)]],0)</f>
        <v>0</v>
      </c>
      <c r="K980" s="6">
        <f>-IF(Main[[#This Row],[مقدار (کیلوگرم)]]&lt;0,Main[[#This Row],[مقدار (کیلوگرم)]],0)</f>
        <v>1008</v>
      </c>
      <c r="L9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0" s="7">
        <f>-IF(AND(Main[[#This Row],[مقدار (کیلوگرم)]]&lt;0,Main[[#This Row],[تاريخ میلادی]]&gt;44276),Main[[#This Row],[مقدار (کیلوگرم)]],0)</f>
        <v>1008</v>
      </c>
      <c r="N980" s="6">
        <f ca="1">Main[[#This Row],[بدهکار (کیلوگرم)]]-Main[[#This Row],[بدهی تسویه نشده (کیلوگرم)]]</f>
        <v>1008</v>
      </c>
      <c r="O980" s="6">
        <f ca="1">Main[[#This Row],[تفکیک]]</f>
        <v>0</v>
      </c>
      <c r="P980" s="6">
        <f ca="1">IF(Main[[#This Row],[تاخیر از سررسید]]&gt;0,Main[[#This Row],[بدهی تسویه نشده (کیلوگرم)]],0)</f>
        <v>0</v>
      </c>
      <c r="Q980" s="6">
        <f ca="1">IF(Main[[#This Row],[بدهی تسویه نشده (کیلوگرم)]]&gt;0,'گزارش فردی'!$B$7-Main[[#This Row],[تاريخ میلادی]],0)</f>
        <v>0</v>
      </c>
      <c r="R980" s="6">
        <f ca="1">IF(Main[[#This Row],[بدهی تسویه نشده (کیلوگرم)]]&gt;0,'گزارش فردی'!$B$7-Main[[#This Row],[تاريخ میلادی]]-'گزارش فردی'!$B$8,0)</f>
        <v>0</v>
      </c>
      <c r="S980" s="6">
        <f ca="1">Main[[#This Row],[روز از ارسال سفارش]]*Main[[#This Row],[بدهی تسویه نشده (کیلوگرم)]]</f>
        <v>0</v>
      </c>
      <c r="T980" s="6">
        <f ca="1">Main[[#This Row],[بدهی سررسید شده (کیلوگرم)]]*Main[[#This Row],[روز از ارسال سفارش]]</f>
        <v>0</v>
      </c>
      <c r="U980" s="6">
        <f>-SUBTOTAL(9,INDEX(Main[مقدار (کیلوگرم)],1):Main[[#This Row],[مقدار (کیلوگرم)]])</f>
        <v>17225</v>
      </c>
      <c r="V9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0" s="6">
        <f>Main[[#This Row],[تعداد کل روزهای بدهکار (روز)]]*Main[[#This Row],[مانده در خط کل (کیلوگرم)]]</f>
        <v>0</v>
      </c>
      <c r="X980" s="6">
        <f ca="1">-SUBTOTAL(9,INDEX(Main[مقدار تسویه شده (کیلوگرم)],1):Main[[#This Row],[مقدار تسویه شده (کیلوگرم)]])</f>
        <v>17225</v>
      </c>
      <c r="Y980" s="6">
        <f ca="1">IF(Main[[#This Row],[مانده در خط تسویه شده (کیلوگرم)]]&lt;&gt;0,Main[[#This Row],[تعداد کل روزهای بدهکار (روز)]],0)</f>
        <v>0</v>
      </c>
      <c r="Z980" s="6">
        <f ca="1">Main[[#This Row],[تعداد روزهای بدهکار تسویه شده (روز)]]*Main[[#This Row],[مانده در خط تسویه شده (کیلوگرم)]]</f>
        <v>0</v>
      </c>
      <c r="AA980" s="6">
        <f ca="1">SUBTOTAL(9,INDEX(Main[بدهی تسویه نشده (کیلوگرم)],1):Main[[#This Row],[بدهی تسویه نشده (کیلوگرم)]])</f>
        <v>0</v>
      </c>
      <c r="AB980" s="6">
        <f ca="1">IF(Main[[#This Row],[مانده در خط تسویه نشده (کیلوگرم)]]&lt;&gt;0,Main[[#This Row],[تعداد کل روزهای بدهکار (روز)]],0)</f>
        <v>0</v>
      </c>
      <c r="AC980" s="6">
        <f ca="1">Main[[#This Row],[تعداد روزهای بدهکار  تسویه نشده (روز)]]*Main[[#This Row],[مانده در خط تسویه نشده (کیلوگرم)]]</f>
        <v>0</v>
      </c>
      <c r="AD980" s="6">
        <f ca="1">SUBTOTAL(9,INDEX(Main[بدهی سررسید شده (کیلوگرم)],1):Main[[#This Row],[بدهی سررسید شده (کیلوگرم)]])</f>
        <v>0</v>
      </c>
      <c r="AE980" s="6">
        <f ca="1">IF(Main[[#This Row],[مانده در خط سررسید شده (کیلوگرم)]]&lt;&gt;0,Main[[#This Row],[تعداد کل روزهای بدهکار (روز)]],0)</f>
        <v>0</v>
      </c>
      <c r="AF980" s="6">
        <f ca="1">Main[[#This Row],[تعداد روزهای بدهکار سررسید شده (روز)]]*Main[[#This Row],[مانده در خط سررسید شده (کیلوگرم)]]</f>
        <v>0</v>
      </c>
    </row>
    <row r="981" spans="1:32" hidden="1" x14ac:dyDescent="0.35">
      <c r="A981" s="5">
        <f>ROW()-ROW(INDEX(Main[ردیف],1))+1</f>
        <v>979</v>
      </c>
      <c r="B981" s="31">
        <f>SUBTOTAL(2,INDEX(Main[ردیف],1):Main[[#This Row],[ردیف]])</f>
        <v>93</v>
      </c>
      <c r="C981" s="32" t="s">
        <v>608</v>
      </c>
      <c r="D981" s="32" t="str">
        <f>_xlfn.CONCAT("14",Main[[#This Row],[تاريخ]])</f>
        <v>1400/04/12</v>
      </c>
      <c r="E981" s="33">
        <v>44380</v>
      </c>
      <c r="F981" s="32">
        <v>10026</v>
      </c>
      <c r="G981" s="5" t="str">
        <f>INDEX(customer[عنوان],MATCH(Main[[#This Row],[کد ردیابی]],customer[کد],0))</f>
        <v xml:space="preserve">محسن فیاض بخش </v>
      </c>
      <c r="H981">
        <v>1298</v>
      </c>
      <c r="I981" s="6">
        <f ca="1">-Main[[#This Row],[بدهی تسویه شده (کیلوگرم)]]+Main[[#This Row],[بستانکار (کیلوگرم)]]</f>
        <v>1298</v>
      </c>
      <c r="J981" s="6">
        <f>IF(Main[[#This Row],[مقدار (کیلوگرم)]]&gt;0,Main[[#This Row],[مقدار (کیلوگرم)]],0)</f>
        <v>1298</v>
      </c>
      <c r="K981" s="6">
        <f>-IF(Main[[#This Row],[مقدار (کیلوگرم)]]&lt;0,Main[[#This Row],[مقدار (کیلوگرم)]],0)</f>
        <v>0</v>
      </c>
      <c r="L9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1" s="7">
        <f>-IF(AND(Main[[#This Row],[مقدار (کیلوگرم)]]&lt;0,Main[[#This Row],[تاريخ میلادی]]&gt;44276),Main[[#This Row],[مقدار (کیلوگرم)]],0)</f>
        <v>0</v>
      </c>
      <c r="N981" s="6">
        <f ca="1">Main[[#This Row],[بدهکار (کیلوگرم)]]-Main[[#This Row],[بدهی تسویه نشده (کیلوگرم)]]</f>
        <v>0</v>
      </c>
      <c r="O981" s="6">
        <f ca="1">Main[[#This Row],[تفکیک]]</f>
        <v>0</v>
      </c>
      <c r="P981" s="6">
        <f ca="1">IF(Main[[#This Row],[تاخیر از سررسید]]&gt;0,Main[[#This Row],[بدهی تسویه نشده (کیلوگرم)]],0)</f>
        <v>0</v>
      </c>
      <c r="Q981" s="6">
        <f ca="1">IF(Main[[#This Row],[بدهی تسویه نشده (کیلوگرم)]]&gt;0,'گزارش فردی'!$B$7-Main[[#This Row],[تاريخ میلادی]],0)</f>
        <v>0</v>
      </c>
      <c r="R981" s="6">
        <f ca="1">IF(Main[[#This Row],[بدهی تسویه نشده (کیلوگرم)]]&gt;0,'گزارش فردی'!$B$7-Main[[#This Row],[تاريخ میلادی]]-'گزارش فردی'!$B$8,0)</f>
        <v>0</v>
      </c>
      <c r="S981" s="6">
        <f ca="1">Main[[#This Row],[روز از ارسال سفارش]]*Main[[#This Row],[بدهی تسویه نشده (کیلوگرم)]]</f>
        <v>0</v>
      </c>
      <c r="T981" s="6">
        <f ca="1">Main[[#This Row],[بدهی سررسید شده (کیلوگرم)]]*Main[[#This Row],[روز از ارسال سفارش]]</f>
        <v>0</v>
      </c>
      <c r="U981" s="6">
        <f>-SUBTOTAL(9,INDEX(Main[مقدار (کیلوگرم)],1):Main[[#This Row],[مقدار (کیلوگرم)]])</f>
        <v>17225</v>
      </c>
      <c r="V9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1" s="6">
        <f>Main[[#This Row],[تعداد کل روزهای بدهکار (روز)]]*Main[[#This Row],[مانده در خط کل (کیلوگرم)]]</f>
        <v>0</v>
      </c>
      <c r="X981" s="6">
        <f ca="1">-SUBTOTAL(9,INDEX(Main[مقدار تسویه شده (کیلوگرم)],1):Main[[#This Row],[مقدار تسویه شده (کیلوگرم)]])</f>
        <v>17225</v>
      </c>
      <c r="Y981" s="6">
        <f ca="1">IF(Main[[#This Row],[مانده در خط تسویه شده (کیلوگرم)]]&lt;&gt;0,Main[[#This Row],[تعداد کل روزهای بدهکار (روز)]],0)</f>
        <v>0</v>
      </c>
      <c r="Z981" s="6">
        <f ca="1">Main[[#This Row],[تعداد روزهای بدهکار تسویه شده (روز)]]*Main[[#This Row],[مانده در خط تسویه شده (کیلوگرم)]]</f>
        <v>0</v>
      </c>
      <c r="AA981" s="6">
        <f ca="1">SUBTOTAL(9,INDEX(Main[بدهی تسویه نشده (کیلوگرم)],1):Main[[#This Row],[بدهی تسویه نشده (کیلوگرم)]])</f>
        <v>0</v>
      </c>
      <c r="AB981" s="6">
        <f ca="1">IF(Main[[#This Row],[مانده در خط تسویه نشده (کیلوگرم)]]&lt;&gt;0,Main[[#This Row],[تعداد کل روزهای بدهکار (روز)]],0)</f>
        <v>0</v>
      </c>
      <c r="AC981" s="6">
        <f ca="1">Main[[#This Row],[تعداد روزهای بدهکار  تسویه نشده (روز)]]*Main[[#This Row],[مانده در خط تسویه نشده (کیلوگرم)]]</f>
        <v>0</v>
      </c>
      <c r="AD981" s="6">
        <f ca="1">SUBTOTAL(9,INDEX(Main[بدهی سررسید شده (کیلوگرم)],1):Main[[#This Row],[بدهی سررسید شده (کیلوگرم)]])</f>
        <v>0</v>
      </c>
      <c r="AE981" s="6">
        <f ca="1">IF(Main[[#This Row],[مانده در خط سررسید شده (کیلوگرم)]]&lt;&gt;0,Main[[#This Row],[تعداد کل روزهای بدهکار (روز)]],0)</f>
        <v>0</v>
      </c>
      <c r="AF981" s="6">
        <f ca="1">Main[[#This Row],[تعداد روزهای بدهکار سررسید شده (روز)]]*Main[[#This Row],[مانده در خط سررسید شده (کیلوگرم)]]</f>
        <v>0</v>
      </c>
    </row>
    <row r="982" spans="1:32" hidden="1" x14ac:dyDescent="0.35">
      <c r="A982" s="5">
        <f>ROW()-ROW(INDEX(Main[ردیف],1))+1</f>
        <v>980</v>
      </c>
      <c r="B982" s="31">
        <f>SUBTOTAL(2,INDEX(Main[ردیف],1):Main[[#This Row],[ردیف]])</f>
        <v>93</v>
      </c>
      <c r="C982" s="32" t="s">
        <v>608</v>
      </c>
      <c r="D982" s="32" t="str">
        <f>_xlfn.CONCAT("14",Main[[#This Row],[تاريخ]])</f>
        <v>1400/04/12</v>
      </c>
      <c r="E982" s="33">
        <v>44380</v>
      </c>
      <c r="F982" s="32">
        <v>10104</v>
      </c>
      <c r="G982" s="5" t="str">
        <f>INDEX(customer[عنوان],MATCH(Main[[#This Row],[کد ردیابی]],customer[کد],0))</f>
        <v>بهزادی فر اصغر</v>
      </c>
      <c r="H982">
        <v>-830</v>
      </c>
      <c r="I982" s="6">
        <f ca="1">-Main[[#This Row],[بدهی تسویه شده (کیلوگرم)]]+Main[[#This Row],[بستانکار (کیلوگرم)]]</f>
        <v>-830</v>
      </c>
      <c r="J982" s="6">
        <f>IF(Main[[#This Row],[مقدار (کیلوگرم)]]&gt;0,Main[[#This Row],[مقدار (کیلوگرم)]],0)</f>
        <v>0</v>
      </c>
      <c r="K982" s="6">
        <f>-IF(Main[[#This Row],[مقدار (کیلوگرم)]]&lt;0,Main[[#This Row],[مقدار (کیلوگرم)]],0)</f>
        <v>830</v>
      </c>
      <c r="L9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2" s="7">
        <f>-IF(AND(Main[[#This Row],[مقدار (کیلوگرم)]]&lt;0,Main[[#This Row],[تاريخ میلادی]]&gt;44276),Main[[#This Row],[مقدار (کیلوگرم)]],0)</f>
        <v>830</v>
      </c>
      <c r="N982" s="6">
        <f ca="1">Main[[#This Row],[بدهکار (کیلوگرم)]]-Main[[#This Row],[بدهی تسویه نشده (کیلوگرم)]]</f>
        <v>830</v>
      </c>
      <c r="O982" s="6">
        <f ca="1">Main[[#This Row],[تفکیک]]</f>
        <v>0</v>
      </c>
      <c r="P982" s="6">
        <f ca="1">IF(Main[[#This Row],[تاخیر از سررسید]]&gt;0,Main[[#This Row],[بدهی تسویه نشده (کیلوگرم)]],0)</f>
        <v>0</v>
      </c>
      <c r="Q982" s="6">
        <f ca="1">IF(Main[[#This Row],[بدهی تسویه نشده (کیلوگرم)]]&gt;0,'گزارش فردی'!$B$7-Main[[#This Row],[تاريخ میلادی]],0)</f>
        <v>0</v>
      </c>
      <c r="R982" s="6">
        <f ca="1">IF(Main[[#This Row],[بدهی تسویه نشده (کیلوگرم)]]&gt;0,'گزارش فردی'!$B$7-Main[[#This Row],[تاريخ میلادی]]-'گزارش فردی'!$B$8,0)</f>
        <v>0</v>
      </c>
      <c r="S982" s="6">
        <f ca="1">Main[[#This Row],[روز از ارسال سفارش]]*Main[[#This Row],[بدهی تسویه نشده (کیلوگرم)]]</f>
        <v>0</v>
      </c>
      <c r="T982" s="6">
        <f ca="1">Main[[#This Row],[بدهی سررسید شده (کیلوگرم)]]*Main[[#This Row],[روز از ارسال سفارش]]</f>
        <v>0</v>
      </c>
      <c r="U982" s="6">
        <f>-SUBTOTAL(9,INDEX(Main[مقدار (کیلوگرم)],1):Main[[#This Row],[مقدار (کیلوگرم)]])</f>
        <v>17225</v>
      </c>
      <c r="V9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2" s="6">
        <f>Main[[#This Row],[تعداد کل روزهای بدهکار (روز)]]*Main[[#This Row],[مانده در خط کل (کیلوگرم)]]</f>
        <v>0</v>
      </c>
      <c r="X982" s="6">
        <f ca="1">-SUBTOTAL(9,INDEX(Main[مقدار تسویه شده (کیلوگرم)],1):Main[[#This Row],[مقدار تسویه شده (کیلوگرم)]])</f>
        <v>17225</v>
      </c>
      <c r="Y982" s="6">
        <f ca="1">IF(Main[[#This Row],[مانده در خط تسویه شده (کیلوگرم)]]&lt;&gt;0,Main[[#This Row],[تعداد کل روزهای بدهکار (روز)]],0)</f>
        <v>0</v>
      </c>
      <c r="Z982" s="6">
        <f ca="1">Main[[#This Row],[تعداد روزهای بدهکار تسویه شده (روز)]]*Main[[#This Row],[مانده در خط تسویه شده (کیلوگرم)]]</f>
        <v>0</v>
      </c>
      <c r="AA982" s="6">
        <f ca="1">SUBTOTAL(9,INDEX(Main[بدهی تسویه نشده (کیلوگرم)],1):Main[[#This Row],[بدهی تسویه نشده (کیلوگرم)]])</f>
        <v>0</v>
      </c>
      <c r="AB982" s="6">
        <f ca="1">IF(Main[[#This Row],[مانده در خط تسویه نشده (کیلوگرم)]]&lt;&gt;0,Main[[#This Row],[تعداد کل روزهای بدهکار (روز)]],0)</f>
        <v>0</v>
      </c>
      <c r="AC982" s="6">
        <f ca="1">Main[[#This Row],[تعداد روزهای بدهکار  تسویه نشده (روز)]]*Main[[#This Row],[مانده در خط تسویه نشده (کیلوگرم)]]</f>
        <v>0</v>
      </c>
      <c r="AD982" s="6">
        <f ca="1">SUBTOTAL(9,INDEX(Main[بدهی سررسید شده (کیلوگرم)],1):Main[[#This Row],[بدهی سررسید شده (کیلوگرم)]])</f>
        <v>0</v>
      </c>
      <c r="AE982" s="6">
        <f ca="1">IF(Main[[#This Row],[مانده در خط سررسید شده (کیلوگرم)]]&lt;&gt;0,Main[[#This Row],[تعداد کل روزهای بدهکار (روز)]],0)</f>
        <v>0</v>
      </c>
      <c r="AF982" s="6">
        <f ca="1">Main[[#This Row],[تعداد روزهای بدهکار سررسید شده (روز)]]*Main[[#This Row],[مانده در خط سررسید شده (کیلوگرم)]]</f>
        <v>0</v>
      </c>
    </row>
    <row r="983" spans="1:32" hidden="1" x14ac:dyDescent="0.35">
      <c r="A983" s="5">
        <f>ROW()-ROW(INDEX(Main[ردیف],1))+1</f>
        <v>981</v>
      </c>
      <c r="B983" s="31">
        <f>SUBTOTAL(2,INDEX(Main[ردیف],1):Main[[#This Row],[ردیف]])</f>
        <v>93</v>
      </c>
      <c r="C983" s="32" t="s">
        <v>608</v>
      </c>
      <c r="D983" s="32" t="str">
        <f>_xlfn.CONCAT("14",Main[[#This Row],[تاريخ]])</f>
        <v>1400/04/12</v>
      </c>
      <c r="E983" s="33">
        <v>44380</v>
      </c>
      <c r="F983" s="32">
        <v>10020</v>
      </c>
      <c r="G983" s="5" t="str">
        <f>INDEX(customer[عنوان],MATCH(Main[[#This Row],[کد ردیابی]],customer[کد],0))</f>
        <v>فرزاد اسماعیل زاده</v>
      </c>
      <c r="H983">
        <v>-419</v>
      </c>
      <c r="I983" s="6">
        <f ca="1">-Main[[#This Row],[بدهی تسویه شده (کیلوگرم)]]+Main[[#This Row],[بستانکار (کیلوگرم)]]</f>
        <v>-419</v>
      </c>
      <c r="J983" s="6">
        <f>IF(Main[[#This Row],[مقدار (کیلوگرم)]]&gt;0,Main[[#This Row],[مقدار (کیلوگرم)]],0)</f>
        <v>0</v>
      </c>
      <c r="K983" s="6">
        <f>-IF(Main[[#This Row],[مقدار (کیلوگرم)]]&lt;0,Main[[#This Row],[مقدار (کیلوگرم)]],0)</f>
        <v>419</v>
      </c>
      <c r="L9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3" s="7">
        <f>-IF(AND(Main[[#This Row],[مقدار (کیلوگرم)]]&lt;0,Main[[#This Row],[تاريخ میلادی]]&gt;44276),Main[[#This Row],[مقدار (کیلوگرم)]],0)</f>
        <v>419</v>
      </c>
      <c r="N983" s="6">
        <f ca="1">Main[[#This Row],[بدهکار (کیلوگرم)]]-Main[[#This Row],[بدهی تسویه نشده (کیلوگرم)]]</f>
        <v>419</v>
      </c>
      <c r="O983" s="6">
        <f ca="1">Main[[#This Row],[تفکیک]]</f>
        <v>0</v>
      </c>
      <c r="P983" s="6">
        <f ca="1">IF(Main[[#This Row],[تاخیر از سررسید]]&gt;0,Main[[#This Row],[بدهی تسویه نشده (کیلوگرم)]],0)</f>
        <v>0</v>
      </c>
      <c r="Q983" s="6">
        <f ca="1">IF(Main[[#This Row],[بدهی تسویه نشده (کیلوگرم)]]&gt;0,'گزارش فردی'!$B$7-Main[[#This Row],[تاريخ میلادی]],0)</f>
        <v>0</v>
      </c>
      <c r="R983" s="6">
        <f ca="1">IF(Main[[#This Row],[بدهی تسویه نشده (کیلوگرم)]]&gt;0,'گزارش فردی'!$B$7-Main[[#This Row],[تاريخ میلادی]]-'گزارش فردی'!$B$8,0)</f>
        <v>0</v>
      </c>
      <c r="S983" s="6">
        <f ca="1">Main[[#This Row],[روز از ارسال سفارش]]*Main[[#This Row],[بدهی تسویه نشده (کیلوگرم)]]</f>
        <v>0</v>
      </c>
      <c r="T983" s="6">
        <f ca="1">Main[[#This Row],[بدهی سررسید شده (کیلوگرم)]]*Main[[#This Row],[روز از ارسال سفارش]]</f>
        <v>0</v>
      </c>
      <c r="U983" s="6">
        <f>-SUBTOTAL(9,INDEX(Main[مقدار (کیلوگرم)],1):Main[[#This Row],[مقدار (کیلوگرم)]])</f>
        <v>17225</v>
      </c>
      <c r="V9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3" s="6">
        <f>Main[[#This Row],[تعداد کل روزهای بدهکار (روز)]]*Main[[#This Row],[مانده در خط کل (کیلوگرم)]]</f>
        <v>0</v>
      </c>
      <c r="X983" s="6">
        <f ca="1">-SUBTOTAL(9,INDEX(Main[مقدار تسویه شده (کیلوگرم)],1):Main[[#This Row],[مقدار تسویه شده (کیلوگرم)]])</f>
        <v>17225</v>
      </c>
      <c r="Y983" s="6">
        <f ca="1">IF(Main[[#This Row],[مانده در خط تسویه شده (کیلوگرم)]]&lt;&gt;0,Main[[#This Row],[تعداد کل روزهای بدهکار (روز)]],0)</f>
        <v>0</v>
      </c>
      <c r="Z983" s="6">
        <f ca="1">Main[[#This Row],[تعداد روزهای بدهکار تسویه شده (روز)]]*Main[[#This Row],[مانده در خط تسویه شده (کیلوگرم)]]</f>
        <v>0</v>
      </c>
      <c r="AA983" s="6">
        <f ca="1">SUBTOTAL(9,INDEX(Main[بدهی تسویه نشده (کیلوگرم)],1):Main[[#This Row],[بدهی تسویه نشده (کیلوگرم)]])</f>
        <v>0</v>
      </c>
      <c r="AB983" s="6">
        <f ca="1">IF(Main[[#This Row],[مانده در خط تسویه نشده (کیلوگرم)]]&lt;&gt;0,Main[[#This Row],[تعداد کل روزهای بدهکار (روز)]],0)</f>
        <v>0</v>
      </c>
      <c r="AC983" s="6">
        <f ca="1">Main[[#This Row],[تعداد روزهای بدهکار  تسویه نشده (روز)]]*Main[[#This Row],[مانده در خط تسویه نشده (کیلوگرم)]]</f>
        <v>0</v>
      </c>
      <c r="AD983" s="6">
        <f ca="1">SUBTOTAL(9,INDEX(Main[بدهی سررسید شده (کیلوگرم)],1):Main[[#This Row],[بدهی سررسید شده (کیلوگرم)]])</f>
        <v>0</v>
      </c>
      <c r="AE983" s="6">
        <f ca="1">IF(Main[[#This Row],[مانده در خط سررسید شده (کیلوگرم)]]&lt;&gt;0,Main[[#This Row],[تعداد کل روزهای بدهکار (روز)]],0)</f>
        <v>0</v>
      </c>
      <c r="AF983" s="6">
        <f ca="1">Main[[#This Row],[تعداد روزهای بدهکار سررسید شده (روز)]]*Main[[#This Row],[مانده در خط سررسید شده (کیلوگرم)]]</f>
        <v>0</v>
      </c>
    </row>
    <row r="984" spans="1:32" x14ac:dyDescent="0.35">
      <c r="A984" s="5">
        <f>ROW()-ROW(INDEX(Main[ردیف],1))+1</f>
        <v>982</v>
      </c>
      <c r="B984" s="31">
        <f>SUBTOTAL(2,INDEX(Main[ردیف],1):Main[[#This Row],[ردیف]])</f>
        <v>94</v>
      </c>
      <c r="C984" s="32" t="s">
        <v>608</v>
      </c>
      <c r="D984" s="32" t="str">
        <f>_xlfn.CONCAT("14",Main[[#This Row],[تاريخ]])</f>
        <v>1400/04/12</v>
      </c>
      <c r="E984" s="33">
        <v>44380</v>
      </c>
      <c r="F984" s="32">
        <v>10003</v>
      </c>
      <c r="G984" s="5" t="str">
        <f>INDEX(customer[عنوان],MATCH(Main[[#This Row],[کد ردیابی]],customer[کد],0))</f>
        <v>اصغر نورعلی</v>
      </c>
      <c r="H984">
        <v>-4037</v>
      </c>
      <c r="I984" s="6">
        <f ca="1">-Main[[#This Row],[بدهی تسویه شده (کیلوگرم)]]+Main[[#This Row],[بستانکار (کیلوگرم)]]</f>
        <v>-4037</v>
      </c>
      <c r="J984" s="6">
        <f>IF(Main[[#This Row],[مقدار (کیلوگرم)]]&gt;0,Main[[#This Row],[مقدار (کیلوگرم)]],0)</f>
        <v>0</v>
      </c>
      <c r="K984" s="6">
        <f>-IF(Main[[#This Row],[مقدار (کیلوگرم)]]&lt;0,Main[[#This Row],[مقدار (کیلوگرم)]],0)</f>
        <v>4037</v>
      </c>
      <c r="L9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4" s="7">
        <f>-IF(AND(Main[[#This Row],[مقدار (کیلوگرم)]]&lt;0,Main[[#This Row],[تاريخ میلادی]]&gt;44276),Main[[#This Row],[مقدار (کیلوگرم)]],0)</f>
        <v>4037</v>
      </c>
      <c r="N984" s="6">
        <f ca="1">Main[[#This Row],[بدهکار (کیلوگرم)]]-Main[[#This Row],[بدهی تسویه نشده (کیلوگرم)]]</f>
        <v>4037</v>
      </c>
      <c r="O984" s="6">
        <f ca="1">Main[[#This Row],[تفکیک]]</f>
        <v>0</v>
      </c>
      <c r="P984" s="6">
        <f ca="1">IF(Main[[#This Row],[تاخیر از سررسید]]&gt;0,Main[[#This Row],[بدهی تسویه نشده (کیلوگرم)]],0)</f>
        <v>0</v>
      </c>
      <c r="Q984" s="6">
        <f ca="1">IF(Main[[#This Row],[بدهی تسویه نشده (کیلوگرم)]]&gt;0,'گزارش فردی'!$B$7-Main[[#This Row],[تاريخ میلادی]],0)</f>
        <v>0</v>
      </c>
      <c r="R984" s="6">
        <f ca="1">IF(Main[[#This Row],[بدهی تسویه نشده (کیلوگرم)]]&gt;0,'گزارش فردی'!$B$7-Main[[#This Row],[تاريخ میلادی]]-'گزارش فردی'!$B$8,0)</f>
        <v>0</v>
      </c>
      <c r="S984" s="6">
        <f ca="1">Main[[#This Row],[روز از ارسال سفارش]]*Main[[#This Row],[بدهی تسویه نشده (کیلوگرم)]]</f>
        <v>0</v>
      </c>
      <c r="T984" s="6">
        <f ca="1">Main[[#This Row],[بدهی سررسید شده (کیلوگرم)]]*Main[[#This Row],[روز از ارسال سفارش]]</f>
        <v>0</v>
      </c>
      <c r="U984" s="6">
        <f>-SUBTOTAL(9,INDEX(Main[مقدار (کیلوگرم)],1):Main[[#This Row],[مقدار (کیلوگرم)]])</f>
        <v>21262</v>
      </c>
      <c r="V9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84" s="6">
        <f>Main[[#This Row],[تعداد کل روزهای بدهکار (روز)]]*Main[[#This Row],[مانده در خط کل (کیلوگرم)]]</f>
        <v>21262</v>
      </c>
      <c r="X984" s="6">
        <f ca="1">-SUBTOTAL(9,INDEX(Main[مقدار تسویه شده (کیلوگرم)],1):Main[[#This Row],[مقدار تسویه شده (کیلوگرم)]])</f>
        <v>21262</v>
      </c>
      <c r="Y984" s="6">
        <f ca="1">IF(Main[[#This Row],[مانده در خط تسویه شده (کیلوگرم)]]&lt;&gt;0,Main[[#This Row],[تعداد کل روزهای بدهکار (روز)]],0)</f>
        <v>1</v>
      </c>
      <c r="Z984" s="6">
        <f ca="1">Main[[#This Row],[تعداد روزهای بدهکار تسویه شده (روز)]]*Main[[#This Row],[مانده در خط تسویه شده (کیلوگرم)]]</f>
        <v>21262</v>
      </c>
      <c r="AA984" s="6">
        <f ca="1">SUBTOTAL(9,INDEX(Main[بدهی تسویه نشده (کیلوگرم)],1):Main[[#This Row],[بدهی تسویه نشده (کیلوگرم)]])</f>
        <v>0</v>
      </c>
      <c r="AB984" s="6">
        <f ca="1">IF(Main[[#This Row],[مانده در خط تسویه نشده (کیلوگرم)]]&lt;&gt;0,Main[[#This Row],[تعداد کل روزهای بدهکار (روز)]],0)</f>
        <v>0</v>
      </c>
      <c r="AC984" s="6">
        <f ca="1">Main[[#This Row],[تعداد روزهای بدهکار  تسویه نشده (روز)]]*Main[[#This Row],[مانده در خط تسویه نشده (کیلوگرم)]]</f>
        <v>0</v>
      </c>
      <c r="AD984" s="6">
        <f ca="1">SUBTOTAL(9,INDEX(Main[بدهی سررسید شده (کیلوگرم)],1):Main[[#This Row],[بدهی سررسید شده (کیلوگرم)]])</f>
        <v>0</v>
      </c>
      <c r="AE984" s="6">
        <f ca="1">IF(Main[[#This Row],[مانده در خط سررسید شده (کیلوگرم)]]&lt;&gt;0,Main[[#This Row],[تعداد کل روزهای بدهکار (روز)]],0)</f>
        <v>0</v>
      </c>
      <c r="AF984" s="6">
        <f ca="1">Main[[#This Row],[تعداد روزهای بدهکار سررسید شده (روز)]]*Main[[#This Row],[مانده در خط سررسید شده (کیلوگرم)]]</f>
        <v>0</v>
      </c>
    </row>
    <row r="985" spans="1:32" hidden="1" x14ac:dyDescent="0.35">
      <c r="A985" s="5">
        <f>ROW()-ROW(INDEX(Main[ردیف],1))+1</f>
        <v>983</v>
      </c>
      <c r="B985" s="31">
        <f>SUBTOTAL(2,INDEX(Main[ردیف],1):Main[[#This Row],[ردیف]])</f>
        <v>94</v>
      </c>
      <c r="C985" s="32" t="s">
        <v>608</v>
      </c>
      <c r="D985" s="32" t="str">
        <f>_xlfn.CONCAT("14",Main[[#This Row],[تاريخ]])</f>
        <v>1400/04/12</v>
      </c>
      <c r="E985" s="33">
        <v>44380</v>
      </c>
      <c r="F985" s="32">
        <v>10055</v>
      </c>
      <c r="G985" s="5" t="str">
        <f>INDEX(customer[عنوان],MATCH(Main[[#This Row],[کد ردیابی]],customer[کد],0))</f>
        <v xml:space="preserve">مریم فیض آبادی  </v>
      </c>
      <c r="H985">
        <v>-4967</v>
      </c>
      <c r="I985" s="6">
        <f ca="1">-Main[[#This Row],[بدهی تسویه شده (کیلوگرم)]]+Main[[#This Row],[بستانکار (کیلوگرم)]]</f>
        <v>-4967</v>
      </c>
      <c r="J985" s="6">
        <f>IF(Main[[#This Row],[مقدار (کیلوگرم)]]&gt;0,Main[[#This Row],[مقدار (کیلوگرم)]],0)</f>
        <v>0</v>
      </c>
      <c r="K985" s="6">
        <f>-IF(Main[[#This Row],[مقدار (کیلوگرم)]]&lt;0,Main[[#This Row],[مقدار (کیلوگرم)]],0)</f>
        <v>4967</v>
      </c>
      <c r="L9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5" s="7">
        <f>-IF(AND(Main[[#This Row],[مقدار (کیلوگرم)]]&lt;0,Main[[#This Row],[تاريخ میلادی]]&gt;44276),Main[[#This Row],[مقدار (کیلوگرم)]],0)</f>
        <v>4967</v>
      </c>
      <c r="N985" s="6">
        <f ca="1">Main[[#This Row],[بدهکار (کیلوگرم)]]-Main[[#This Row],[بدهی تسویه نشده (کیلوگرم)]]</f>
        <v>4967</v>
      </c>
      <c r="O985" s="6">
        <f ca="1">Main[[#This Row],[تفکیک]]</f>
        <v>0</v>
      </c>
      <c r="P985" s="6">
        <f ca="1">IF(Main[[#This Row],[تاخیر از سررسید]]&gt;0,Main[[#This Row],[بدهی تسویه نشده (کیلوگرم)]],0)</f>
        <v>0</v>
      </c>
      <c r="Q985" s="6">
        <f ca="1">IF(Main[[#This Row],[بدهی تسویه نشده (کیلوگرم)]]&gt;0,'گزارش فردی'!$B$7-Main[[#This Row],[تاريخ میلادی]],0)</f>
        <v>0</v>
      </c>
      <c r="R985" s="6">
        <f ca="1">IF(Main[[#This Row],[بدهی تسویه نشده (کیلوگرم)]]&gt;0,'گزارش فردی'!$B$7-Main[[#This Row],[تاريخ میلادی]]-'گزارش فردی'!$B$8,0)</f>
        <v>0</v>
      </c>
      <c r="S985" s="6">
        <f ca="1">Main[[#This Row],[روز از ارسال سفارش]]*Main[[#This Row],[بدهی تسویه نشده (کیلوگرم)]]</f>
        <v>0</v>
      </c>
      <c r="T985" s="6">
        <f ca="1">Main[[#This Row],[بدهی سررسید شده (کیلوگرم)]]*Main[[#This Row],[روز از ارسال سفارش]]</f>
        <v>0</v>
      </c>
      <c r="U985" s="6">
        <f>-SUBTOTAL(9,INDEX(Main[مقدار (کیلوگرم)],1):Main[[#This Row],[مقدار (کیلوگرم)]])</f>
        <v>21262</v>
      </c>
      <c r="V9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85" s="6">
        <f>Main[[#This Row],[تعداد کل روزهای بدهکار (روز)]]*Main[[#This Row],[مانده در خط کل (کیلوگرم)]]</f>
        <v>21262</v>
      </c>
      <c r="X985" s="6">
        <f ca="1">-SUBTOTAL(9,INDEX(Main[مقدار تسویه شده (کیلوگرم)],1):Main[[#This Row],[مقدار تسویه شده (کیلوگرم)]])</f>
        <v>21262</v>
      </c>
      <c r="Y985" s="6">
        <f ca="1">IF(Main[[#This Row],[مانده در خط تسویه شده (کیلوگرم)]]&lt;&gt;0,Main[[#This Row],[تعداد کل روزهای بدهکار (روز)]],0)</f>
        <v>1</v>
      </c>
      <c r="Z985" s="6">
        <f ca="1">Main[[#This Row],[تعداد روزهای بدهکار تسویه شده (روز)]]*Main[[#This Row],[مانده در خط تسویه شده (کیلوگرم)]]</f>
        <v>21262</v>
      </c>
      <c r="AA985" s="6">
        <f ca="1">SUBTOTAL(9,INDEX(Main[بدهی تسویه نشده (کیلوگرم)],1):Main[[#This Row],[بدهی تسویه نشده (کیلوگرم)]])</f>
        <v>0</v>
      </c>
      <c r="AB985" s="6">
        <f ca="1">IF(Main[[#This Row],[مانده در خط تسویه نشده (کیلوگرم)]]&lt;&gt;0,Main[[#This Row],[تعداد کل روزهای بدهکار (روز)]],0)</f>
        <v>0</v>
      </c>
      <c r="AC985" s="6">
        <f ca="1">Main[[#This Row],[تعداد روزهای بدهکار  تسویه نشده (روز)]]*Main[[#This Row],[مانده در خط تسویه نشده (کیلوگرم)]]</f>
        <v>0</v>
      </c>
      <c r="AD985" s="6">
        <f ca="1">SUBTOTAL(9,INDEX(Main[بدهی سررسید شده (کیلوگرم)],1):Main[[#This Row],[بدهی سررسید شده (کیلوگرم)]])</f>
        <v>0</v>
      </c>
      <c r="AE985" s="6">
        <f ca="1">IF(Main[[#This Row],[مانده در خط سررسید شده (کیلوگرم)]]&lt;&gt;0,Main[[#This Row],[تعداد کل روزهای بدهکار (روز)]],0)</f>
        <v>0</v>
      </c>
      <c r="AF985" s="6">
        <f ca="1">Main[[#This Row],[تعداد روزهای بدهکار سررسید شده (روز)]]*Main[[#This Row],[مانده در خط سررسید شده (کیلوگرم)]]</f>
        <v>0</v>
      </c>
    </row>
    <row r="986" spans="1:32" hidden="1" x14ac:dyDescent="0.35">
      <c r="A986" s="5">
        <f>ROW()-ROW(INDEX(Main[ردیف],1))+1</f>
        <v>984</v>
      </c>
      <c r="B986" s="31">
        <f>SUBTOTAL(2,INDEX(Main[ردیف],1):Main[[#This Row],[ردیف]])</f>
        <v>94</v>
      </c>
      <c r="C986" s="32" t="s">
        <v>608</v>
      </c>
      <c r="D986" s="32" t="str">
        <f>_xlfn.CONCAT("14",Main[[#This Row],[تاريخ]])</f>
        <v>1400/04/12</v>
      </c>
      <c r="E986" s="33">
        <v>44380</v>
      </c>
      <c r="F986" s="32">
        <v>10026</v>
      </c>
      <c r="G986" s="5" t="str">
        <f>INDEX(customer[عنوان],MATCH(Main[[#This Row],[کد ردیابی]],customer[کد],0))</f>
        <v xml:space="preserve">محسن فیاض بخش </v>
      </c>
      <c r="H986">
        <v>-466</v>
      </c>
      <c r="I986" s="6">
        <f ca="1">-Main[[#This Row],[بدهی تسویه شده (کیلوگرم)]]+Main[[#This Row],[بستانکار (کیلوگرم)]]</f>
        <v>-466</v>
      </c>
      <c r="J986" s="6">
        <f>IF(Main[[#This Row],[مقدار (کیلوگرم)]]&gt;0,Main[[#This Row],[مقدار (کیلوگرم)]],0)</f>
        <v>0</v>
      </c>
      <c r="K986" s="6">
        <f>-IF(Main[[#This Row],[مقدار (کیلوگرم)]]&lt;0,Main[[#This Row],[مقدار (کیلوگرم)]],0)</f>
        <v>466</v>
      </c>
      <c r="L9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6" s="7">
        <f>-IF(AND(Main[[#This Row],[مقدار (کیلوگرم)]]&lt;0,Main[[#This Row],[تاريخ میلادی]]&gt;44276),Main[[#This Row],[مقدار (کیلوگرم)]],0)</f>
        <v>466</v>
      </c>
      <c r="N986" s="6">
        <f ca="1">Main[[#This Row],[بدهکار (کیلوگرم)]]-Main[[#This Row],[بدهی تسویه نشده (کیلوگرم)]]</f>
        <v>466</v>
      </c>
      <c r="O986" s="6">
        <f ca="1">Main[[#This Row],[تفکیک]]</f>
        <v>0</v>
      </c>
      <c r="P986" s="6">
        <f ca="1">IF(Main[[#This Row],[تاخیر از سررسید]]&gt;0,Main[[#This Row],[بدهی تسویه نشده (کیلوگرم)]],0)</f>
        <v>0</v>
      </c>
      <c r="Q986" s="6">
        <f ca="1">IF(Main[[#This Row],[بدهی تسویه نشده (کیلوگرم)]]&gt;0,'گزارش فردی'!$B$7-Main[[#This Row],[تاريخ میلادی]],0)</f>
        <v>0</v>
      </c>
      <c r="R986" s="6">
        <f ca="1">IF(Main[[#This Row],[بدهی تسویه نشده (کیلوگرم)]]&gt;0,'گزارش فردی'!$B$7-Main[[#This Row],[تاريخ میلادی]]-'گزارش فردی'!$B$8,0)</f>
        <v>0</v>
      </c>
      <c r="S986" s="6">
        <f ca="1">Main[[#This Row],[روز از ارسال سفارش]]*Main[[#This Row],[بدهی تسویه نشده (کیلوگرم)]]</f>
        <v>0</v>
      </c>
      <c r="T986" s="6">
        <f ca="1">Main[[#This Row],[بدهی سررسید شده (کیلوگرم)]]*Main[[#This Row],[روز از ارسال سفارش]]</f>
        <v>0</v>
      </c>
      <c r="U986" s="6">
        <f>-SUBTOTAL(9,INDEX(Main[مقدار (کیلوگرم)],1):Main[[#This Row],[مقدار (کیلوگرم)]])</f>
        <v>21262</v>
      </c>
      <c r="V9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86" s="6">
        <f>Main[[#This Row],[تعداد کل روزهای بدهکار (روز)]]*Main[[#This Row],[مانده در خط کل (کیلوگرم)]]</f>
        <v>21262</v>
      </c>
      <c r="X986" s="6">
        <f ca="1">-SUBTOTAL(9,INDEX(Main[مقدار تسویه شده (کیلوگرم)],1):Main[[#This Row],[مقدار تسویه شده (کیلوگرم)]])</f>
        <v>21262</v>
      </c>
      <c r="Y986" s="6">
        <f ca="1">IF(Main[[#This Row],[مانده در خط تسویه شده (کیلوگرم)]]&lt;&gt;0,Main[[#This Row],[تعداد کل روزهای بدهکار (روز)]],0)</f>
        <v>1</v>
      </c>
      <c r="Z986" s="6">
        <f ca="1">Main[[#This Row],[تعداد روزهای بدهکار تسویه شده (روز)]]*Main[[#This Row],[مانده در خط تسویه شده (کیلوگرم)]]</f>
        <v>21262</v>
      </c>
      <c r="AA986" s="6">
        <f ca="1">SUBTOTAL(9,INDEX(Main[بدهی تسویه نشده (کیلوگرم)],1):Main[[#This Row],[بدهی تسویه نشده (کیلوگرم)]])</f>
        <v>0</v>
      </c>
      <c r="AB986" s="6">
        <f ca="1">IF(Main[[#This Row],[مانده در خط تسویه نشده (کیلوگرم)]]&lt;&gt;0,Main[[#This Row],[تعداد کل روزهای بدهکار (روز)]],0)</f>
        <v>0</v>
      </c>
      <c r="AC986" s="6">
        <f ca="1">Main[[#This Row],[تعداد روزهای بدهکار  تسویه نشده (روز)]]*Main[[#This Row],[مانده در خط تسویه نشده (کیلوگرم)]]</f>
        <v>0</v>
      </c>
      <c r="AD986" s="6">
        <f ca="1">SUBTOTAL(9,INDEX(Main[بدهی سررسید شده (کیلوگرم)],1):Main[[#This Row],[بدهی سررسید شده (کیلوگرم)]])</f>
        <v>0</v>
      </c>
      <c r="AE986" s="6">
        <f ca="1">IF(Main[[#This Row],[مانده در خط سررسید شده (کیلوگرم)]]&lt;&gt;0,Main[[#This Row],[تعداد کل روزهای بدهکار (روز)]],0)</f>
        <v>0</v>
      </c>
      <c r="AF986" s="6">
        <f ca="1">Main[[#This Row],[تعداد روزهای بدهکار سررسید شده (روز)]]*Main[[#This Row],[مانده در خط سررسید شده (کیلوگرم)]]</f>
        <v>0</v>
      </c>
    </row>
    <row r="987" spans="1:32" hidden="1" x14ac:dyDescent="0.35">
      <c r="A987" s="5">
        <f>ROW()-ROW(INDEX(Main[ردیف],1))+1</f>
        <v>985</v>
      </c>
      <c r="B987" s="31">
        <f>SUBTOTAL(2,INDEX(Main[ردیف],1):Main[[#This Row],[ردیف]])</f>
        <v>94</v>
      </c>
      <c r="C987" s="32" t="s">
        <v>609</v>
      </c>
      <c r="D987" s="32" t="str">
        <f>_xlfn.CONCAT("14",Main[[#This Row],[تاريخ]])</f>
        <v>1400/04/13</v>
      </c>
      <c r="E987" s="33">
        <v>44381</v>
      </c>
      <c r="F987" s="32">
        <v>30146</v>
      </c>
      <c r="G987" s="5" t="str">
        <f>INDEX(customer[عنوان],MATCH(Main[[#This Row],[کد ردیابی]],customer[کد],0))</f>
        <v>شرکت آذرپاد</v>
      </c>
      <c r="H987">
        <v>1080</v>
      </c>
      <c r="I987" s="6">
        <f ca="1">-Main[[#This Row],[بدهی تسویه شده (کیلوگرم)]]+Main[[#This Row],[بستانکار (کیلوگرم)]]</f>
        <v>1080</v>
      </c>
      <c r="J987" s="6">
        <f>IF(Main[[#This Row],[مقدار (کیلوگرم)]]&gt;0,Main[[#This Row],[مقدار (کیلوگرم)]],0)</f>
        <v>1080</v>
      </c>
      <c r="K987" s="6">
        <f>-IF(Main[[#This Row],[مقدار (کیلوگرم)]]&lt;0,Main[[#This Row],[مقدار (کیلوگرم)]],0)</f>
        <v>0</v>
      </c>
      <c r="L9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7" s="7">
        <f>-IF(AND(Main[[#This Row],[مقدار (کیلوگرم)]]&lt;0,Main[[#This Row],[تاريخ میلادی]]&gt;44276),Main[[#This Row],[مقدار (کیلوگرم)]],0)</f>
        <v>0</v>
      </c>
      <c r="N987" s="6">
        <f ca="1">Main[[#This Row],[بدهکار (کیلوگرم)]]-Main[[#This Row],[بدهی تسویه نشده (کیلوگرم)]]</f>
        <v>0</v>
      </c>
      <c r="O987" s="6">
        <f ca="1">Main[[#This Row],[تفکیک]]</f>
        <v>0</v>
      </c>
      <c r="P987" s="6">
        <f ca="1">IF(Main[[#This Row],[تاخیر از سررسید]]&gt;0,Main[[#This Row],[بدهی تسویه نشده (کیلوگرم)]],0)</f>
        <v>0</v>
      </c>
      <c r="Q987" s="6">
        <f ca="1">IF(Main[[#This Row],[بدهی تسویه نشده (کیلوگرم)]]&gt;0,'گزارش فردی'!$B$7-Main[[#This Row],[تاريخ میلادی]],0)</f>
        <v>0</v>
      </c>
      <c r="R987" s="6">
        <f ca="1">IF(Main[[#This Row],[بدهی تسویه نشده (کیلوگرم)]]&gt;0,'گزارش فردی'!$B$7-Main[[#This Row],[تاريخ میلادی]]-'گزارش فردی'!$B$8,0)</f>
        <v>0</v>
      </c>
      <c r="S987" s="6">
        <f ca="1">Main[[#This Row],[روز از ارسال سفارش]]*Main[[#This Row],[بدهی تسویه نشده (کیلوگرم)]]</f>
        <v>0</v>
      </c>
      <c r="T987" s="6">
        <f ca="1">Main[[#This Row],[بدهی سررسید شده (کیلوگرم)]]*Main[[#This Row],[روز از ارسال سفارش]]</f>
        <v>0</v>
      </c>
      <c r="U987" s="6">
        <f>-SUBTOTAL(9,INDEX(Main[مقدار (کیلوگرم)],1):Main[[#This Row],[مقدار (کیلوگرم)]])</f>
        <v>21262</v>
      </c>
      <c r="V9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7" s="6">
        <f>Main[[#This Row],[تعداد کل روزهای بدهکار (روز)]]*Main[[#This Row],[مانده در خط کل (کیلوگرم)]]</f>
        <v>0</v>
      </c>
      <c r="X987" s="6">
        <f ca="1">-SUBTOTAL(9,INDEX(Main[مقدار تسویه شده (کیلوگرم)],1):Main[[#This Row],[مقدار تسویه شده (کیلوگرم)]])</f>
        <v>21262</v>
      </c>
      <c r="Y987" s="6">
        <f ca="1">IF(Main[[#This Row],[مانده در خط تسویه شده (کیلوگرم)]]&lt;&gt;0,Main[[#This Row],[تعداد کل روزهای بدهکار (روز)]],0)</f>
        <v>0</v>
      </c>
      <c r="Z987" s="6">
        <f ca="1">Main[[#This Row],[تعداد روزهای بدهکار تسویه شده (روز)]]*Main[[#This Row],[مانده در خط تسویه شده (کیلوگرم)]]</f>
        <v>0</v>
      </c>
      <c r="AA987" s="6">
        <f ca="1">SUBTOTAL(9,INDEX(Main[بدهی تسویه نشده (کیلوگرم)],1):Main[[#This Row],[بدهی تسویه نشده (کیلوگرم)]])</f>
        <v>0</v>
      </c>
      <c r="AB987" s="6">
        <f ca="1">IF(Main[[#This Row],[مانده در خط تسویه نشده (کیلوگرم)]]&lt;&gt;0,Main[[#This Row],[تعداد کل روزهای بدهکار (روز)]],0)</f>
        <v>0</v>
      </c>
      <c r="AC987" s="6">
        <f ca="1">Main[[#This Row],[تعداد روزهای بدهکار  تسویه نشده (روز)]]*Main[[#This Row],[مانده در خط تسویه نشده (کیلوگرم)]]</f>
        <v>0</v>
      </c>
      <c r="AD987" s="6">
        <f ca="1">SUBTOTAL(9,INDEX(Main[بدهی سررسید شده (کیلوگرم)],1):Main[[#This Row],[بدهی سررسید شده (کیلوگرم)]])</f>
        <v>0</v>
      </c>
      <c r="AE987" s="6">
        <f ca="1">IF(Main[[#This Row],[مانده در خط سررسید شده (کیلوگرم)]]&lt;&gt;0,Main[[#This Row],[تعداد کل روزهای بدهکار (روز)]],0)</f>
        <v>0</v>
      </c>
      <c r="AF987" s="6">
        <f ca="1">Main[[#This Row],[تعداد روزهای بدهکار سررسید شده (روز)]]*Main[[#This Row],[مانده در خط سررسید شده (کیلوگرم)]]</f>
        <v>0</v>
      </c>
    </row>
    <row r="988" spans="1:32" hidden="1" x14ac:dyDescent="0.35">
      <c r="A988" s="5">
        <f>ROW()-ROW(INDEX(Main[ردیف],1))+1</f>
        <v>986</v>
      </c>
      <c r="B988" s="31">
        <f>SUBTOTAL(2,INDEX(Main[ردیف],1):Main[[#This Row],[ردیف]])</f>
        <v>94</v>
      </c>
      <c r="C988" s="32" t="s">
        <v>609</v>
      </c>
      <c r="D988" s="32" t="str">
        <f>_xlfn.CONCAT("14",Main[[#This Row],[تاريخ]])</f>
        <v>1400/04/13</v>
      </c>
      <c r="E988" s="33">
        <v>44381</v>
      </c>
      <c r="F988" s="32">
        <v>30009</v>
      </c>
      <c r="G988" s="5" t="str">
        <f>INDEX(customer[عنوان],MATCH(Main[[#This Row],[کد ردیابی]],customer[کد],0))</f>
        <v>شرکت ایمن تک پیشرو</v>
      </c>
      <c r="H988">
        <v>-1996</v>
      </c>
      <c r="I988" s="6">
        <f ca="1">-Main[[#This Row],[بدهی تسویه شده (کیلوگرم)]]+Main[[#This Row],[بستانکار (کیلوگرم)]]</f>
        <v>-1996</v>
      </c>
      <c r="J988" s="6">
        <f>IF(Main[[#This Row],[مقدار (کیلوگرم)]]&gt;0,Main[[#This Row],[مقدار (کیلوگرم)]],0)</f>
        <v>0</v>
      </c>
      <c r="K988" s="6">
        <f>-IF(Main[[#This Row],[مقدار (کیلوگرم)]]&lt;0,Main[[#This Row],[مقدار (کیلوگرم)]],0)</f>
        <v>1996</v>
      </c>
      <c r="L9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8" s="7">
        <f>-IF(AND(Main[[#This Row],[مقدار (کیلوگرم)]]&lt;0,Main[[#This Row],[تاريخ میلادی]]&gt;44276),Main[[#This Row],[مقدار (کیلوگرم)]],0)</f>
        <v>1996</v>
      </c>
      <c r="N988" s="6">
        <f ca="1">Main[[#This Row],[بدهکار (کیلوگرم)]]-Main[[#This Row],[بدهی تسویه نشده (کیلوگرم)]]</f>
        <v>1996</v>
      </c>
      <c r="O988" s="6">
        <f ca="1">Main[[#This Row],[تفکیک]]</f>
        <v>0</v>
      </c>
      <c r="P988" s="6">
        <f ca="1">IF(Main[[#This Row],[تاخیر از سررسید]]&gt;0,Main[[#This Row],[بدهی تسویه نشده (کیلوگرم)]],0)</f>
        <v>0</v>
      </c>
      <c r="Q988" s="6">
        <f ca="1">IF(Main[[#This Row],[بدهی تسویه نشده (کیلوگرم)]]&gt;0,'گزارش فردی'!$B$7-Main[[#This Row],[تاريخ میلادی]],0)</f>
        <v>0</v>
      </c>
      <c r="R988" s="6">
        <f ca="1">IF(Main[[#This Row],[بدهی تسویه نشده (کیلوگرم)]]&gt;0,'گزارش فردی'!$B$7-Main[[#This Row],[تاريخ میلادی]]-'گزارش فردی'!$B$8,0)</f>
        <v>0</v>
      </c>
      <c r="S988" s="6">
        <f ca="1">Main[[#This Row],[روز از ارسال سفارش]]*Main[[#This Row],[بدهی تسویه نشده (کیلوگرم)]]</f>
        <v>0</v>
      </c>
      <c r="T988" s="6">
        <f ca="1">Main[[#This Row],[بدهی سررسید شده (کیلوگرم)]]*Main[[#This Row],[روز از ارسال سفارش]]</f>
        <v>0</v>
      </c>
      <c r="U988" s="6">
        <f>-SUBTOTAL(9,INDEX(Main[مقدار (کیلوگرم)],1):Main[[#This Row],[مقدار (کیلوگرم)]])</f>
        <v>21262</v>
      </c>
      <c r="V9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8" s="6">
        <f>Main[[#This Row],[تعداد کل روزهای بدهکار (روز)]]*Main[[#This Row],[مانده در خط کل (کیلوگرم)]]</f>
        <v>0</v>
      </c>
      <c r="X988" s="6">
        <f ca="1">-SUBTOTAL(9,INDEX(Main[مقدار تسویه شده (کیلوگرم)],1):Main[[#This Row],[مقدار تسویه شده (کیلوگرم)]])</f>
        <v>21262</v>
      </c>
      <c r="Y988" s="6">
        <f ca="1">IF(Main[[#This Row],[مانده در خط تسویه شده (کیلوگرم)]]&lt;&gt;0,Main[[#This Row],[تعداد کل روزهای بدهکار (روز)]],0)</f>
        <v>0</v>
      </c>
      <c r="Z988" s="6">
        <f ca="1">Main[[#This Row],[تعداد روزهای بدهکار تسویه شده (روز)]]*Main[[#This Row],[مانده در خط تسویه شده (کیلوگرم)]]</f>
        <v>0</v>
      </c>
      <c r="AA988" s="6">
        <f ca="1">SUBTOTAL(9,INDEX(Main[بدهی تسویه نشده (کیلوگرم)],1):Main[[#This Row],[بدهی تسویه نشده (کیلوگرم)]])</f>
        <v>0</v>
      </c>
      <c r="AB988" s="6">
        <f ca="1">IF(Main[[#This Row],[مانده در خط تسویه نشده (کیلوگرم)]]&lt;&gt;0,Main[[#This Row],[تعداد کل روزهای بدهکار (روز)]],0)</f>
        <v>0</v>
      </c>
      <c r="AC988" s="6">
        <f ca="1">Main[[#This Row],[تعداد روزهای بدهکار  تسویه نشده (روز)]]*Main[[#This Row],[مانده در خط تسویه نشده (کیلوگرم)]]</f>
        <v>0</v>
      </c>
      <c r="AD988" s="6">
        <f ca="1">SUBTOTAL(9,INDEX(Main[بدهی سررسید شده (کیلوگرم)],1):Main[[#This Row],[بدهی سررسید شده (کیلوگرم)]])</f>
        <v>0</v>
      </c>
      <c r="AE988" s="6">
        <f ca="1">IF(Main[[#This Row],[مانده در خط سررسید شده (کیلوگرم)]]&lt;&gt;0,Main[[#This Row],[تعداد کل روزهای بدهکار (روز)]],0)</f>
        <v>0</v>
      </c>
      <c r="AF988" s="6">
        <f ca="1">Main[[#This Row],[تعداد روزهای بدهکار سررسید شده (روز)]]*Main[[#This Row],[مانده در خط سررسید شده (کیلوگرم)]]</f>
        <v>0</v>
      </c>
    </row>
    <row r="989" spans="1:32" hidden="1" x14ac:dyDescent="0.35">
      <c r="A989" s="5">
        <f>ROW()-ROW(INDEX(Main[ردیف],1))+1</f>
        <v>987</v>
      </c>
      <c r="B989" s="31">
        <f>SUBTOTAL(2,INDEX(Main[ردیف],1):Main[[#This Row],[ردیف]])</f>
        <v>94</v>
      </c>
      <c r="C989" s="32" t="s">
        <v>609</v>
      </c>
      <c r="D989" s="32" t="str">
        <f>_xlfn.CONCAT("14",Main[[#This Row],[تاريخ]])</f>
        <v>1400/04/13</v>
      </c>
      <c r="E989" s="33">
        <v>44381</v>
      </c>
      <c r="F989" s="32">
        <v>30146</v>
      </c>
      <c r="G989" s="5" t="str">
        <f>INDEX(customer[عنوان],MATCH(Main[[#This Row],[کد ردیابی]],customer[کد],0))</f>
        <v>شرکت آذرپاد</v>
      </c>
      <c r="H989">
        <v>1670</v>
      </c>
      <c r="I989" s="6">
        <f ca="1">-Main[[#This Row],[بدهی تسویه شده (کیلوگرم)]]+Main[[#This Row],[بستانکار (کیلوگرم)]]</f>
        <v>1670</v>
      </c>
      <c r="J989" s="6">
        <f>IF(Main[[#This Row],[مقدار (کیلوگرم)]]&gt;0,Main[[#This Row],[مقدار (کیلوگرم)]],0)</f>
        <v>1670</v>
      </c>
      <c r="K989" s="6">
        <f>-IF(Main[[#This Row],[مقدار (کیلوگرم)]]&lt;0,Main[[#This Row],[مقدار (کیلوگرم)]],0)</f>
        <v>0</v>
      </c>
      <c r="L9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9" s="7">
        <f>-IF(AND(Main[[#This Row],[مقدار (کیلوگرم)]]&lt;0,Main[[#This Row],[تاريخ میلادی]]&gt;44276),Main[[#This Row],[مقدار (کیلوگرم)]],0)</f>
        <v>0</v>
      </c>
      <c r="N989" s="6">
        <f ca="1">Main[[#This Row],[بدهکار (کیلوگرم)]]-Main[[#This Row],[بدهی تسویه نشده (کیلوگرم)]]</f>
        <v>0</v>
      </c>
      <c r="O989" s="6">
        <f ca="1">Main[[#This Row],[تفکیک]]</f>
        <v>0</v>
      </c>
      <c r="P989" s="6">
        <f ca="1">IF(Main[[#This Row],[تاخیر از سررسید]]&gt;0,Main[[#This Row],[بدهی تسویه نشده (کیلوگرم)]],0)</f>
        <v>0</v>
      </c>
      <c r="Q989" s="6">
        <f ca="1">IF(Main[[#This Row],[بدهی تسویه نشده (کیلوگرم)]]&gt;0,'گزارش فردی'!$B$7-Main[[#This Row],[تاريخ میلادی]],0)</f>
        <v>0</v>
      </c>
      <c r="R989" s="6">
        <f ca="1">IF(Main[[#This Row],[بدهی تسویه نشده (کیلوگرم)]]&gt;0,'گزارش فردی'!$B$7-Main[[#This Row],[تاريخ میلادی]]-'گزارش فردی'!$B$8,0)</f>
        <v>0</v>
      </c>
      <c r="S989" s="6">
        <f ca="1">Main[[#This Row],[روز از ارسال سفارش]]*Main[[#This Row],[بدهی تسویه نشده (کیلوگرم)]]</f>
        <v>0</v>
      </c>
      <c r="T989" s="6">
        <f ca="1">Main[[#This Row],[بدهی سررسید شده (کیلوگرم)]]*Main[[#This Row],[روز از ارسال سفارش]]</f>
        <v>0</v>
      </c>
      <c r="U989" s="6">
        <f>-SUBTOTAL(9,INDEX(Main[مقدار (کیلوگرم)],1):Main[[#This Row],[مقدار (کیلوگرم)]])</f>
        <v>21262</v>
      </c>
      <c r="V9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9" s="6">
        <f>Main[[#This Row],[تعداد کل روزهای بدهکار (روز)]]*Main[[#This Row],[مانده در خط کل (کیلوگرم)]]</f>
        <v>0</v>
      </c>
      <c r="X989" s="6">
        <f ca="1">-SUBTOTAL(9,INDEX(Main[مقدار تسویه شده (کیلوگرم)],1):Main[[#This Row],[مقدار تسویه شده (کیلوگرم)]])</f>
        <v>21262</v>
      </c>
      <c r="Y989" s="6">
        <f ca="1">IF(Main[[#This Row],[مانده در خط تسویه شده (کیلوگرم)]]&lt;&gt;0,Main[[#This Row],[تعداد کل روزهای بدهکار (روز)]],0)</f>
        <v>0</v>
      </c>
      <c r="Z989" s="6">
        <f ca="1">Main[[#This Row],[تعداد روزهای بدهکار تسویه شده (روز)]]*Main[[#This Row],[مانده در خط تسویه شده (کیلوگرم)]]</f>
        <v>0</v>
      </c>
      <c r="AA989" s="6">
        <f ca="1">SUBTOTAL(9,INDEX(Main[بدهی تسویه نشده (کیلوگرم)],1):Main[[#This Row],[بدهی تسویه نشده (کیلوگرم)]])</f>
        <v>0</v>
      </c>
      <c r="AB989" s="6">
        <f ca="1">IF(Main[[#This Row],[مانده در خط تسویه نشده (کیلوگرم)]]&lt;&gt;0,Main[[#This Row],[تعداد کل روزهای بدهکار (روز)]],0)</f>
        <v>0</v>
      </c>
      <c r="AC989" s="6">
        <f ca="1">Main[[#This Row],[تعداد روزهای بدهکار  تسویه نشده (روز)]]*Main[[#This Row],[مانده در خط تسویه نشده (کیلوگرم)]]</f>
        <v>0</v>
      </c>
      <c r="AD989" s="6">
        <f ca="1">SUBTOTAL(9,INDEX(Main[بدهی سررسید شده (کیلوگرم)],1):Main[[#This Row],[بدهی سررسید شده (کیلوگرم)]])</f>
        <v>0</v>
      </c>
      <c r="AE989" s="6">
        <f ca="1">IF(Main[[#This Row],[مانده در خط سررسید شده (کیلوگرم)]]&lt;&gt;0,Main[[#This Row],[تعداد کل روزهای بدهکار (روز)]],0)</f>
        <v>0</v>
      </c>
      <c r="AF989" s="6">
        <f ca="1">Main[[#This Row],[تعداد روزهای بدهکار سررسید شده (روز)]]*Main[[#This Row],[مانده در خط سررسید شده (کیلوگرم)]]</f>
        <v>0</v>
      </c>
    </row>
    <row r="990" spans="1:32" hidden="1" x14ac:dyDescent="0.35">
      <c r="A990" s="5">
        <f>ROW()-ROW(INDEX(Main[ردیف],1))+1</f>
        <v>988</v>
      </c>
      <c r="B990" s="31">
        <f>SUBTOTAL(2,INDEX(Main[ردیف],1):Main[[#This Row],[ردیف]])</f>
        <v>94</v>
      </c>
      <c r="C990" s="32" t="s">
        <v>609</v>
      </c>
      <c r="D990" s="32" t="str">
        <f>_xlfn.CONCAT("14",Main[[#This Row],[تاريخ]])</f>
        <v>1400/04/13</v>
      </c>
      <c r="E990" s="33">
        <v>44381</v>
      </c>
      <c r="F990" s="32">
        <v>30146</v>
      </c>
      <c r="G990" s="5" t="str">
        <f>INDEX(customer[عنوان],MATCH(Main[[#This Row],[کد ردیابی]],customer[کد],0))</f>
        <v>شرکت آذرپاد</v>
      </c>
      <c r="H990">
        <v>-3091</v>
      </c>
      <c r="I990" s="6">
        <f ca="1">-Main[[#This Row],[بدهی تسویه شده (کیلوگرم)]]+Main[[#This Row],[بستانکار (کیلوگرم)]]</f>
        <v>-3091</v>
      </c>
      <c r="J990" s="6">
        <f>IF(Main[[#This Row],[مقدار (کیلوگرم)]]&gt;0,Main[[#This Row],[مقدار (کیلوگرم)]],0)</f>
        <v>0</v>
      </c>
      <c r="K990" s="6">
        <f>-IF(Main[[#This Row],[مقدار (کیلوگرم)]]&lt;0,Main[[#This Row],[مقدار (کیلوگرم)]],0)</f>
        <v>3091</v>
      </c>
      <c r="L9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0" s="7">
        <f>-IF(AND(Main[[#This Row],[مقدار (کیلوگرم)]]&lt;0,Main[[#This Row],[تاريخ میلادی]]&gt;44276),Main[[#This Row],[مقدار (کیلوگرم)]],0)</f>
        <v>3091</v>
      </c>
      <c r="N990" s="6">
        <f ca="1">Main[[#This Row],[بدهکار (کیلوگرم)]]-Main[[#This Row],[بدهی تسویه نشده (کیلوگرم)]]</f>
        <v>3091</v>
      </c>
      <c r="O990" s="6">
        <f ca="1">Main[[#This Row],[تفکیک]]</f>
        <v>0</v>
      </c>
      <c r="P990" s="6">
        <f ca="1">IF(Main[[#This Row],[تاخیر از سررسید]]&gt;0,Main[[#This Row],[بدهی تسویه نشده (کیلوگرم)]],0)</f>
        <v>0</v>
      </c>
      <c r="Q990" s="6">
        <f ca="1">IF(Main[[#This Row],[بدهی تسویه نشده (کیلوگرم)]]&gt;0,'گزارش فردی'!$B$7-Main[[#This Row],[تاريخ میلادی]],0)</f>
        <v>0</v>
      </c>
      <c r="R990" s="6">
        <f ca="1">IF(Main[[#This Row],[بدهی تسویه نشده (کیلوگرم)]]&gt;0,'گزارش فردی'!$B$7-Main[[#This Row],[تاريخ میلادی]]-'گزارش فردی'!$B$8,0)</f>
        <v>0</v>
      </c>
      <c r="S990" s="6">
        <f ca="1">Main[[#This Row],[روز از ارسال سفارش]]*Main[[#This Row],[بدهی تسویه نشده (کیلوگرم)]]</f>
        <v>0</v>
      </c>
      <c r="T990" s="6">
        <f ca="1">Main[[#This Row],[بدهی سررسید شده (کیلوگرم)]]*Main[[#This Row],[روز از ارسال سفارش]]</f>
        <v>0</v>
      </c>
      <c r="U990" s="6">
        <f>-SUBTOTAL(9,INDEX(Main[مقدار (کیلوگرم)],1):Main[[#This Row],[مقدار (کیلوگرم)]])</f>
        <v>21262</v>
      </c>
      <c r="V9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0" s="6">
        <f>Main[[#This Row],[تعداد کل روزهای بدهکار (روز)]]*Main[[#This Row],[مانده در خط کل (کیلوگرم)]]</f>
        <v>0</v>
      </c>
      <c r="X990" s="6">
        <f ca="1">-SUBTOTAL(9,INDEX(Main[مقدار تسویه شده (کیلوگرم)],1):Main[[#This Row],[مقدار تسویه شده (کیلوگرم)]])</f>
        <v>21262</v>
      </c>
      <c r="Y990" s="6">
        <f ca="1">IF(Main[[#This Row],[مانده در خط تسویه شده (کیلوگرم)]]&lt;&gt;0,Main[[#This Row],[تعداد کل روزهای بدهکار (روز)]],0)</f>
        <v>0</v>
      </c>
      <c r="Z990" s="6">
        <f ca="1">Main[[#This Row],[تعداد روزهای بدهکار تسویه شده (روز)]]*Main[[#This Row],[مانده در خط تسویه شده (کیلوگرم)]]</f>
        <v>0</v>
      </c>
      <c r="AA990" s="6">
        <f ca="1">SUBTOTAL(9,INDEX(Main[بدهی تسویه نشده (کیلوگرم)],1):Main[[#This Row],[بدهی تسویه نشده (کیلوگرم)]])</f>
        <v>0</v>
      </c>
      <c r="AB990" s="6">
        <f ca="1">IF(Main[[#This Row],[مانده در خط تسویه نشده (کیلوگرم)]]&lt;&gt;0,Main[[#This Row],[تعداد کل روزهای بدهکار (روز)]],0)</f>
        <v>0</v>
      </c>
      <c r="AC990" s="6">
        <f ca="1">Main[[#This Row],[تعداد روزهای بدهکار  تسویه نشده (روز)]]*Main[[#This Row],[مانده در خط تسویه نشده (کیلوگرم)]]</f>
        <v>0</v>
      </c>
      <c r="AD990" s="6">
        <f ca="1">SUBTOTAL(9,INDEX(Main[بدهی سررسید شده (کیلوگرم)],1):Main[[#This Row],[بدهی سررسید شده (کیلوگرم)]])</f>
        <v>0</v>
      </c>
      <c r="AE990" s="6">
        <f ca="1">IF(Main[[#This Row],[مانده در خط سررسید شده (کیلوگرم)]]&lt;&gt;0,Main[[#This Row],[تعداد کل روزهای بدهکار (روز)]],0)</f>
        <v>0</v>
      </c>
      <c r="AF990" s="6">
        <f ca="1">Main[[#This Row],[تعداد روزهای بدهکار سررسید شده (روز)]]*Main[[#This Row],[مانده در خط سررسید شده (کیلوگرم)]]</f>
        <v>0</v>
      </c>
    </row>
    <row r="991" spans="1:32" hidden="1" x14ac:dyDescent="0.35">
      <c r="A991" s="5">
        <f>ROW()-ROW(INDEX(Main[ردیف],1))+1</f>
        <v>989</v>
      </c>
      <c r="B991" s="31">
        <f>SUBTOTAL(2,INDEX(Main[ردیف],1):Main[[#This Row],[ردیف]])</f>
        <v>94</v>
      </c>
      <c r="C991" s="32" t="s">
        <v>609</v>
      </c>
      <c r="D991" s="32" t="str">
        <f>_xlfn.CONCAT("14",Main[[#This Row],[تاريخ]])</f>
        <v>1400/04/13</v>
      </c>
      <c r="E991" s="33">
        <v>44381</v>
      </c>
      <c r="F991" s="32">
        <v>30006</v>
      </c>
      <c r="G991" s="5" t="str">
        <f>INDEX(customer[عنوان],MATCH(Main[[#This Row],[کد ردیابی]],customer[کد],0))</f>
        <v xml:space="preserve">توان جم </v>
      </c>
      <c r="H991">
        <v>1527</v>
      </c>
      <c r="I991" s="6">
        <f ca="1">-Main[[#This Row],[بدهی تسویه شده (کیلوگرم)]]+Main[[#This Row],[بستانکار (کیلوگرم)]]</f>
        <v>1527</v>
      </c>
      <c r="J991" s="6">
        <f>IF(Main[[#This Row],[مقدار (کیلوگرم)]]&gt;0,Main[[#This Row],[مقدار (کیلوگرم)]],0)</f>
        <v>1527</v>
      </c>
      <c r="K991" s="6">
        <f>-IF(Main[[#This Row],[مقدار (کیلوگرم)]]&lt;0,Main[[#This Row],[مقدار (کیلوگرم)]],0)</f>
        <v>0</v>
      </c>
      <c r="L9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1" s="7">
        <f>-IF(AND(Main[[#This Row],[مقدار (کیلوگرم)]]&lt;0,Main[[#This Row],[تاريخ میلادی]]&gt;44276),Main[[#This Row],[مقدار (کیلوگرم)]],0)</f>
        <v>0</v>
      </c>
      <c r="N991" s="6">
        <f ca="1">Main[[#This Row],[بدهکار (کیلوگرم)]]-Main[[#This Row],[بدهی تسویه نشده (کیلوگرم)]]</f>
        <v>0</v>
      </c>
      <c r="O991" s="6">
        <f ca="1">Main[[#This Row],[تفکیک]]</f>
        <v>0</v>
      </c>
      <c r="P991" s="6">
        <f ca="1">IF(Main[[#This Row],[تاخیر از سررسید]]&gt;0,Main[[#This Row],[بدهی تسویه نشده (کیلوگرم)]],0)</f>
        <v>0</v>
      </c>
      <c r="Q991" s="6">
        <f ca="1">IF(Main[[#This Row],[بدهی تسویه نشده (کیلوگرم)]]&gt;0,'گزارش فردی'!$B$7-Main[[#This Row],[تاريخ میلادی]],0)</f>
        <v>0</v>
      </c>
      <c r="R991" s="6">
        <f ca="1">IF(Main[[#This Row],[بدهی تسویه نشده (کیلوگرم)]]&gt;0,'گزارش فردی'!$B$7-Main[[#This Row],[تاريخ میلادی]]-'گزارش فردی'!$B$8,0)</f>
        <v>0</v>
      </c>
      <c r="S991" s="6">
        <f ca="1">Main[[#This Row],[روز از ارسال سفارش]]*Main[[#This Row],[بدهی تسویه نشده (کیلوگرم)]]</f>
        <v>0</v>
      </c>
      <c r="T991" s="6">
        <f ca="1">Main[[#This Row],[بدهی سررسید شده (کیلوگرم)]]*Main[[#This Row],[روز از ارسال سفارش]]</f>
        <v>0</v>
      </c>
      <c r="U991" s="6">
        <f>-SUBTOTAL(9,INDEX(Main[مقدار (کیلوگرم)],1):Main[[#This Row],[مقدار (کیلوگرم)]])</f>
        <v>21262</v>
      </c>
      <c r="V9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1" s="6">
        <f>Main[[#This Row],[تعداد کل روزهای بدهکار (روز)]]*Main[[#This Row],[مانده در خط کل (کیلوگرم)]]</f>
        <v>0</v>
      </c>
      <c r="X991" s="6">
        <f ca="1">-SUBTOTAL(9,INDEX(Main[مقدار تسویه شده (کیلوگرم)],1):Main[[#This Row],[مقدار تسویه شده (کیلوگرم)]])</f>
        <v>21262</v>
      </c>
      <c r="Y991" s="6">
        <f ca="1">IF(Main[[#This Row],[مانده در خط تسویه شده (کیلوگرم)]]&lt;&gt;0,Main[[#This Row],[تعداد کل روزهای بدهکار (روز)]],0)</f>
        <v>0</v>
      </c>
      <c r="Z991" s="6">
        <f ca="1">Main[[#This Row],[تعداد روزهای بدهکار تسویه شده (روز)]]*Main[[#This Row],[مانده در خط تسویه شده (کیلوگرم)]]</f>
        <v>0</v>
      </c>
      <c r="AA991" s="6">
        <f ca="1">SUBTOTAL(9,INDEX(Main[بدهی تسویه نشده (کیلوگرم)],1):Main[[#This Row],[بدهی تسویه نشده (کیلوگرم)]])</f>
        <v>0</v>
      </c>
      <c r="AB991" s="6">
        <f ca="1">IF(Main[[#This Row],[مانده در خط تسویه نشده (کیلوگرم)]]&lt;&gt;0,Main[[#This Row],[تعداد کل روزهای بدهکار (روز)]],0)</f>
        <v>0</v>
      </c>
      <c r="AC991" s="6">
        <f ca="1">Main[[#This Row],[تعداد روزهای بدهکار  تسویه نشده (روز)]]*Main[[#This Row],[مانده در خط تسویه نشده (کیلوگرم)]]</f>
        <v>0</v>
      </c>
      <c r="AD991" s="6">
        <f ca="1">SUBTOTAL(9,INDEX(Main[بدهی سررسید شده (کیلوگرم)],1):Main[[#This Row],[بدهی سررسید شده (کیلوگرم)]])</f>
        <v>0</v>
      </c>
      <c r="AE991" s="6">
        <f ca="1">IF(Main[[#This Row],[مانده در خط سررسید شده (کیلوگرم)]]&lt;&gt;0,Main[[#This Row],[تعداد کل روزهای بدهکار (روز)]],0)</f>
        <v>0</v>
      </c>
      <c r="AF991" s="6">
        <f ca="1">Main[[#This Row],[تعداد روزهای بدهکار سررسید شده (روز)]]*Main[[#This Row],[مانده در خط سررسید شده (کیلوگرم)]]</f>
        <v>0</v>
      </c>
    </row>
    <row r="992" spans="1:32" hidden="1" x14ac:dyDescent="0.35">
      <c r="A992" s="5">
        <f>ROW()-ROW(INDEX(Main[ردیف],1))+1</f>
        <v>990</v>
      </c>
      <c r="B992" s="31">
        <f>SUBTOTAL(2,INDEX(Main[ردیف],1):Main[[#This Row],[ردیف]])</f>
        <v>94</v>
      </c>
      <c r="C992" s="32" t="s">
        <v>609</v>
      </c>
      <c r="D992" s="32" t="str">
        <f>_xlfn.CONCAT("14",Main[[#This Row],[تاريخ]])</f>
        <v>1400/04/13</v>
      </c>
      <c r="E992" s="33">
        <v>44381</v>
      </c>
      <c r="F992" s="32">
        <v>30191</v>
      </c>
      <c r="G992" s="5" t="str">
        <f>INDEX(customer[عنوان],MATCH(Main[[#This Row],[کد ردیابی]],customer[کد],0))</f>
        <v>ایران گرما</v>
      </c>
      <c r="H992">
        <v>-1500</v>
      </c>
      <c r="I992" s="6">
        <f ca="1">-Main[[#This Row],[بدهی تسویه شده (کیلوگرم)]]+Main[[#This Row],[بستانکار (کیلوگرم)]]</f>
        <v>-1500</v>
      </c>
      <c r="J992" s="6">
        <f>IF(Main[[#This Row],[مقدار (کیلوگرم)]]&gt;0,Main[[#This Row],[مقدار (کیلوگرم)]],0)</f>
        <v>0</v>
      </c>
      <c r="K992" s="6">
        <f>-IF(Main[[#This Row],[مقدار (کیلوگرم)]]&lt;0,Main[[#This Row],[مقدار (کیلوگرم)]],0)</f>
        <v>1500</v>
      </c>
      <c r="L9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2" s="7">
        <f>-IF(AND(Main[[#This Row],[مقدار (کیلوگرم)]]&lt;0,Main[[#This Row],[تاريخ میلادی]]&gt;44276),Main[[#This Row],[مقدار (کیلوگرم)]],0)</f>
        <v>1500</v>
      </c>
      <c r="N992" s="6">
        <f ca="1">Main[[#This Row],[بدهکار (کیلوگرم)]]-Main[[#This Row],[بدهی تسویه نشده (کیلوگرم)]]</f>
        <v>1500</v>
      </c>
      <c r="O992" s="6">
        <f ca="1">Main[[#This Row],[تفکیک]]</f>
        <v>0</v>
      </c>
      <c r="P992" s="6">
        <f ca="1">IF(Main[[#This Row],[تاخیر از سررسید]]&gt;0,Main[[#This Row],[بدهی تسویه نشده (کیلوگرم)]],0)</f>
        <v>0</v>
      </c>
      <c r="Q992" s="6">
        <f ca="1">IF(Main[[#This Row],[بدهی تسویه نشده (کیلوگرم)]]&gt;0,'گزارش فردی'!$B$7-Main[[#This Row],[تاريخ میلادی]],0)</f>
        <v>0</v>
      </c>
      <c r="R992" s="6">
        <f ca="1">IF(Main[[#This Row],[بدهی تسویه نشده (کیلوگرم)]]&gt;0,'گزارش فردی'!$B$7-Main[[#This Row],[تاريخ میلادی]]-'گزارش فردی'!$B$8,0)</f>
        <v>0</v>
      </c>
      <c r="S992" s="6">
        <f ca="1">Main[[#This Row],[روز از ارسال سفارش]]*Main[[#This Row],[بدهی تسویه نشده (کیلوگرم)]]</f>
        <v>0</v>
      </c>
      <c r="T992" s="6">
        <f ca="1">Main[[#This Row],[بدهی سررسید شده (کیلوگرم)]]*Main[[#This Row],[روز از ارسال سفارش]]</f>
        <v>0</v>
      </c>
      <c r="U992" s="6">
        <f>-SUBTOTAL(9,INDEX(Main[مقدار (کیلوگرم)],1):Main[[#This Row],[مقدار (کیلوگرم)]])</f>
        <v>21262</v>
      </c>
      <c r="V9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2" s="6">
        <f>Main[[#This Row],[تعداد کل روزهای بدهکار (روز)]]*Main[[#This Row],[مانده در خط کل (کیلوگرم)]]</f>
        <v>0</v>
      </c>
      <c r="X992" s="6">
        <f ca="1">-SUBTOTAL(9,INDEX(Main[مقدار تسویه شده (کیلوگرم)],1):Main[[#This Row],[مقدار تسویه شده (کیلوگرم)]])</f>
        <v>21262</v>
      </c>
      <c r="Y992" s="6">
        <f ca="1">IF(Main[[#This Row],[مانده در خط تسویه شده (کیلوگرم)]]&lt;&gt;0,Main[[#This Row],[تعداد کل روزهای بدهکار (روز)]],0)</f>
        <v>0</v>
      </c>
      <c r="Z992" s="6">
        <f ca="1">Main[[#This Row],[تعداد روزهای بدهکار تسویه شده (روز)]]*Main[[#This Row],[مانده در خط تسویه شده (کیلوگرم)]]</f>
        <v>0</v>
      </c>
      <c r="AA992" s="6">
        <f ca="1">SUBTOTAL(9,INDEX(Main[بدهی تسویه نشده (کیلوگرم)],1):Main[[#This Row],[بدهی تسویه نشده (کیلوگرم)]])</f>
        <v>0</v>
      </c>
      <c r="AB992" s="6">
        <f ca="1">IF(Main[[#This Row],[مانده در خط تسویه نشده (کیلوگرم)]]&lt;&gt;0,Main[[#This Row],[تعداد کل روزهای بدهکار (روز)]],0)</f>
        <v>0</v>
      </c>
      <c r="AC992" s="6">
        <f ca="1">Main[[#This Row],[تعداد روزهای بدهکار  تسویه نشده (روز)]]*Main[[#This Row],[مانده در خط تسویه نشده (کیلوگرم)]]</f>
        <v>0</v>
      </c>
      <c r="AD992" s="6">
        <f ca="1">SUBTOTAL(9,INDEX(Main[بدهی سررسید شده (کیلوگرم)],1):Main[[#This Row],[بدهی سررسید شده (کیلوگرم)]])</f>
        <v>0</v>
      </c>
      <c r="AE992" s="6">
        <f ca="1">IF(Main[[#This Row],[مانده در خط سررسید شده (کیلوگرم)]]&lt;&gt;0,Main[[#This Row],[تعداد کل روزهای بدهکار (روز)]],0)</f>
        <v>0</v>
      </c>
      <c r="AF992" s="6">
        <f ca="1">Main[[#This Row],[تعداد روزهای بدهکار سررسید شده (روز)]]*Main[[#This Row],[مانده در خط سررسید شده (کیلوگرم)]]</f>
        <v>0</v>
      </c>
    </row>
    <row r="993" spans="1:32" hidden="1" x14ac:dyDescent="0.35">
      <c r="A993" s="5">
        <f>ROW()-ROW(INDEX(Main[ردیف],1))+1</f>
        <v>991</v>
      </c>
      <c r="B993" s="31">
        <f>SUBTOTAL(2,INDEX(Main[ردیف],1):Main[[#This Row],[ردیف]])</f>
        <v>94</v>
      </c>
      <c r="C993" s="32" t="s">
        <v>609</v>
      </c>
      <c r="D993" s="32" t="str">
        <f>_xlfn.CONCAT("14",Main[[#This Row],[تاريخ]])</f>
        <v>1400/04/13</v>
      </c>
      <c r="E993" s="33">
        <v>44381</v>
      </c>
      <c r="F993" s="32">
        <v>30006</v>
      </c>
      <c r="G993" s="5" t="str">
        <f>INDEX(customer[عنوان],MATCH(Main[[#This Row],[کد ردیابی]],customer[کد],0))</f>
        <v xml:space="preserve">توان جم </v>
      </c>
      <c r="H993">
        <v>942</v>
      </c>
      <c r="I993" s="6">
        <f ca="1">-Main[[#This Row],[بدهی تسویه شده (کیلوگرم)]]+Main[[#This Row],[بستانکار (کیلوگرم)]]</f>
        <v>942</v>
      </c>
      <c r="J993" s="6">
        <f>IF(Main[[#This Row],[مقدار (کیلوگرم)]]&gt;0,Main[[#This Row],[مقدار (کیلوگرم)]],0)</f>
        <v>942</v>
      </c>
      <c r="K993" s="6">
        <f>-IF(Main[[#This Row],[مقدار (کیلوگرم)]]&lt;0,Main[[#This Row],[مقدار (کیلوگرم)]],0)</f>
        <v>0</v>
      </c>
      <c r="L9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3" s="7">
        <f>-IF(AND(Main[[#This Row],[مقدار (کیلوگرم)]]&lt;0,Main[[#This Row],[تاريخ میلادی]]&gt;44276),Main[[#This Row],[مقدار (کیلوگرم)]],0)</f>
        <v>0</v>
      </c>
      <c r="N993" s="6">
        <f ca="1">Main[[#This Row],[بدهکار (کیلوگرم)]]-Main[[#This Row],[بدهی تسویه نشده (کیلوگرم)]]</f>
        <v>0</v>
      </c>
      <c r="O993" s="6">
        <f ca="1">Main[[#This Row],[تفکیک]]</f>
        <v>0</v>
      </c>
      <c r="P993" s="6">
        <f ca="1">IF(Main[[#This Row],[تاخیر از سررسید]]&gt;0,Main[[#This Row],[بدهی تسویه نشده (کیلوگرم)]],0)</f>
        <v>0</v>
      </c>
      <c r="Q993" s="6">
        <f ca="1">IF(Main[[#This Row],[بدهی تسویه نشده (کیلوگرم)]]&gt;0,'گزارش فردی'!$B$7-Main[[#This Row],[تاريخ میلادی]],0)</f>
        <v>0</v>
      </c>
      <c r="R993" s="6">
        <f ca="1">IF(Main[[#This Row],[بدهی تسویه نشده (کیلوگرم)]]&gt;0,'گزارش فردی'!$B$7-Main[[#This Row],[تاريخ میلادی]]-'گزارش فردی'!$B$8,0)</f>
        <v>0</v>
      </c>
      <c r="S993" s="6">
        <f ca="1">Main[[#This Row],[روز از ارسال سفارش]]*Main[[#This Row],[بدهی تسویه نشده (کیلوگرم)]]</f>
        <v>0</v>
      </c>
      <c r="T993" s="6">
        <f ca="1">Main[[#This Row],[بدهی سررسید شده (کیلوگرم)]]*Main[[#This Row],[روز از ارسال سفارش]]</f>
        <v>0</v>
      </c>
      <c r="U993" s="6">
        <f>-SUBTOTAL(9,INDEX(Main[مقدار (کیلوگرم)],1):Main[[#This Row],[مقدار (کیلوگرم)]])</f>
        <v>21262</v>
      </c>
      <c r="V9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3" s="6">
        <f>Main[[#This Row],[تعداد کل روزهای بدهکار (روز)]]*Main[[#This Row],[مانده در خط کل (کیلوگرم)]]</f>
        <v>0</v>
      </c>
      <c r="X993" s="6">
        <f ca="1">-SUBTOTAL(9,INDEX(Main[مقدار تسویه شده (کیلوگرم)],1):Main[[#This Row],[مقدار تسویه شده (کیلوگرم)]])</f>
        <v>21262</v>
      </c>
      <c r="Y993" s="6">
        <f ca="1">IF(Main[[#This Row],[مانده در خط تسویه شده (کیلوگرم)]]&lt;&gt;0,Main[[#This Row],[تعداد کل روزهای بدهکار (روز)]],0)</f>
        <v>0</v>
      </c>
      <c r="Z993" s="6">
        <f ca="1">Main[[#This Row],[تعداد روزهای بدهکار تسویه شده (روز)]]*Main[[#This Row],[مانده در خط تسویه شده (کیلوگرم)]]</f>
        <v>0</v>
      </c>
      <c r="AA993" s="6">
        <f ca="1">SUBTOTAL(9,INDEX(Main[بدهی تسویه نشده (کیلوگرم)],1):Main[[#This Row],[بدهی تسویه نشده (کیلوگرم)]])</f>
        <v>0</v>
      </c>
      <c r="AB993" s="6">
        <f ca="1">IF(Main[[#This Row],[مانده در خط تسویه نشده (کیلوگرم)]]&lt;&gt;0,Main[[#This Row],[تعداد کل روزهای بدهکار (روز)]],0)</f>
        <v>0</v>
      </c>
      <c r="AC993" s="6">
        <f ca="1">Main[[#This Row],[تعداد روزهای بدهکار  تسویه نشده (روز)]]*Main[[#This Row],[مانده در خط تسویه نشده (کیلوگرم)]]</f>
        <v>0</v>
      </c>
      <c r="AD993" s="6">
        <f ca="1">SUBTOTAL(9,INDEX(Main[بدهی سررسید شده (کیلوگرم)],1):Main[[#This Row],[بدهی سررسید شده (کیلوگرم)]])</f>
        <v>0</v>
      </c>
      <c r="AE993" s="6">
        <f ca="1">IF(Main[[#This Row],[مانده در خط سررسید شده (کیلوگرم)]]&lt;&gt;0,Main[[#This Row],[تعداد کل روزهای بدهکار (روز)]],0)</f>
        <v>0</v>
      </c>
      <c r="AF993" s="6">
        <f ca="1">Main[[#This Row],[تعداد روزهای بدهکار سررسید شده (روز)]]*Main[[#This Row],[مانده در خط سررسید شده (کیلوگرم)]]</f>
        <v>0</v>
      </c>
    </row>
    <row r="994" spans="1:32" x14ac:dyDescent="0.35">
      <c r="A994" s="5">
        <f>ROW()-ROW(INDEX(Main[ردیف],1))+1</f>
        <v>992</v>
      </c>
      <c r="B994" s="31">
        <f>SUBTOTAL(2,INDEX(Main[ردیف],1):Main[[#This Row],[ردیف]])</f>
        <v>95</v>
      </c>
      <c r="C994" s="32" t="s">
        <v>609</v>
      </c>
      <c r="D994" s="32" t="str">
        <f>_xlfn.CONCAT("14",Main[[#This Row],[تاريخ]])</f>
        <v>1400/04/13</v>
      </c>
      <c r="E994" s="33">
        <v>44381</v>
      </c>
      <c r="F994" s="32">
        <v>10003</v>
      </c>
      <c r="G994" s="5" t="str">
        <f>INDEX(customer[عنوان],MATCH(Main[[#This Row],[کد ردیابی]],customer[کد],0))</f>
        <v>اصغر نورعلی</v>
      </c>
      <c r="H994">
        <v>-2028</v>
      </c>
      <c r="I994" s="6">
        <f ca="1">-Main[[#This Row],[بدهی تسویه شده (کیلوگرم)]]+Main[[#This Row],[بستانکار (کیلوگرم)]]</f>
        <v>-2028</v>
      </c>
      <c r="J994" s="6">
        <f>IF(Main[[#This Row],[مقدار (کیلوگرم)]]&gt;0,Main[[#This Row],[مقدار (کیلوگرم)]],0)</f>
        <v>0</v>
      </c>
      <c r="K994" s="6">
        <f>-IF(Main[[#This Row],[مقدار (کیلوگرم)]]&lt;0,Main[[#This Row],[مقدار (کیلوگرم)]],0)</f>
        <v>2028</v>
      </c>
      <c r="L9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4" s="7">
        <f>-IF(AND(Main[[#This Row],[مقدار (کیلوگرم)]]&lt;0,Main[[#This Row],[تاريخ میلادی]]&gt;44276),Main[[#This Row],[مقدار (کیلوگرم)]],0)</f>
        <v>2028</v>
      </c>
      <c r="N994" s="6">
        <f ca="1">Main[[#This Row],[بدهکار (کیلوگرم)]]-Main[[#This Row],[بدهی تسویه نشده (کیلوگرم)]]</f>
        <v>2028</v>
      </c>
      <c r="O994" s="6">
        <f ca="1">Main[[#This Row],[تفکیک]]</f>
        <v>0</v>
      </c>
      <c r="P994" s="6">
        <f ca="1">IF(Main[[#This Row],[تاخیر از سررسید]]&gt;0,Main[[#This Row],[بدهی تسویه نشده (کیلوگرم)]],0)</f>
        <v>0</v>
      </c>
      <c r="Q994" s="6">
        <f ca="1">IF(Main[[#This Row],[بدهی تسویه نشده (کیلوگرم)]]&gt;0,'گزارش فردی'!$B$7-Main[[#This Row],[تاريخ میلادی]],0)</f>
        <v>0</v>
      </c>
      <c r="R994" s="6">
        <f ca="1">IF(Main[[#This Row],[بدهی تسویه نشده (کیلوگرم)]]&gt;0,'گزارش فردی'!$B$7-Main[[#This Row],[تاريخ میلادی]]-'گزارش فردی'!$B$8,0)</f>
        <v>0</v>
      </c>
      <c r="S994" s="6">
        <f ca="1">Main[[#This Row],[روز از ارسال سفارش]]*Main[[#This Row],[بدهی تسویه نشده (کیلوگرم)]]</f>
        <v>0</v>
      </c>
      <c r="T994" s="6">
        <f ca="1">Main[[#This Row],[بدهی سررسید شده (کیلوگرم)]]*Main[[#This Row],[روز از ارسال سفارش]]</f>
        <v>0</v>
      </c>
      <c r="U994" s="6">
        <f>-SUBTOTAL(9,INDEX(Main[مقدار (کیلوگرم)],1):Main[[#This Row],[مقدار (کیلوگرم)]])</f>
        <v>23290</v>
      </c>
      <c r="V9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4" s="6">
        <f>Main[[#This Row],[تعداد کل روزهای بدهکار (روز)]]*Main[[#This Row],[مانده در خط کل (کیلوگرم)]]</f>
        <v>23290</v>
      </c>
      <c r="X994" s="6">
        <f ca="1">-SUBTOTAL(9,INDEX(Main[مقدار تسویه شده (کیلوگرم)],1):Main[[#This Row],[مقدار تسویه شده (کیلوگرم)]])</f>
        <v>23290</v>
      </c>
      <c r="Y994" s="6">
        <f ca="1">IF(Main[[#This Row],[مانده در خط تسویه شده (کیلوگرم)]]&lt;&gt;0,Main[[#This Row],[تعداد کل روزهای بدهکار (روز)]],0)</f>
        <v>1</v>
      </c>
      <c r="Z994" s="6">
        <f ca="1">Main[[#This Row],[تعداد روزهای بدهکار تسویه شده (روز)]]*Main[[#This Row],[مانده در خط تسویه شده (کیلوگرم)]]</f>
        <v>23290</v>
      </c>
      <c r="AA994" s="6">
        <f ca="1">SUBTOTAL(9,INDEX(Main[بدهی تسویه نشده (کیلوگرم)],1):Main[[#This Row],[بدهی تسویه نشده (کیلوگرم)]])</f>
        <v>0</v>
      </c>
      <c r="AB994" s="6">
        <f ca="1">IF(Main[[#This Row],[مانده در خط تسویه نشده (کیلوگرم)]]&lt;&gt;0,Main[[#This Row],[تعداد کل روزهای بدهکار (روز)]],0)</f>
        <v>0</v>
      </c>
      <c r="AC994" s="6">
        <f ca="1">Main[[#This Row],[تعداد روزهای بدهکار  تسویه نشده (روز)]]*Main[[#This Row],[مانده در خط تسویه نشده (کیلوگرم)]]</f>
        <v>0</v>
      </c>
      <c r="AD994" s="6">
        <f ca="1">SUBTOTAL(9,INDEX(Main[بدهی سررسید شده (کیلوگرم)],1):Main[[#This Row],[بدهی سررسید شده (کیلوگرم)]])</f>
        <v>0</v>
      </c>
      <c r="AE994" s="6">
        <f ca="1">IF(Main[[#This Row],[مانده در خط سررسید شده (کیلوگرم)]]&lt;&gt;0,Main[[#This Row],[تعداد کل روزهای بدهکار (روز)]],0)</f>
        <v>0</v>
      </c>
      <c r="AF994" s="6">
        <f ca="1">Main[[#This Row],[تعداد روزهای بدهکار سررسید شده (روز)]]*Main[[#This Row],[مانده در خط سررسید شده (کیلوگرم)]]</f>
        <v>0</v>
      </c>
    </row>
    <row r="995" spans="1:32" hidden="1" x14ac:dyDescent="0.35">
      <c r="A995" s="5">
        <f>ROW()-ROW(INDEX(Main[ردیف],1))+1</f>
        <v>993</v>
      </c>
      <c r="B995" s="31">
        <f>SUBTOTAL(2,INDEX(Main[ردیف],1):Main[[#This Row],[ردیف]])</f>
        <v>95</v>
      </c>
      <c r="C995" s="32" t="s">
        <v>609</v>
      </c>
      <c r="D995" s="32" t="str">
        <f>_xlfn.CONCAT("14",Main[[#This Row],[تاريخ]])</f>
        <v>1400/04/13</v>
      </c>
      <c r="E995" s="33">
        <v>44381</v>
      </c>
      <c r="F995" s="32">
        <v>10126</v>
      </c>
      <c r="G995" s="5" t="str">
        <f>INDEX(customer[عنوان],MATCH(Main[[#This Row],[کد ردیابی]],customer[کد],0))</f>
        <v xml:space="preserve">کریم اسمعیلی </v>
      </c>
      <c r="H995">
        <v>376</v>
      </c>
      <c r="I995" s="6">
        <f ca="1">-Main[[#This Row],[بدهی تسویه شده (کیلوگرم)]]+Main[[#This Row],[بستانکار (کیلوگرم)]]</f>
        <v>376</v>
      </c>
      <c r="J995" s="6">
        <f>IF(Main[[#This Row],[مقدار (کیلوگرم)]]&gt;0,Main[[#This Row],[مقدار (کیلوگرم)]],0)</f>
        <v>376</v>
      </c>
      <c r="K995" s="6">
        <f>-IF(Main[[#This Row],[مقدار (کیلوگرم)]]&lt;0,Main[[#This Row],[مقدار (کیلوگرم)]],0)</f>
        <v>0</v>
      </c>
      <c r="L9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5" s="7">
        <f>-IF(AND(Main[[#This Row],[مقدار (کیلوگرم)]]&lt;0,Main[[#This Row],[تاريخ میلادی]]&gt;44276),Main[[#This Row],[مقدار (کیلوگرم)]],0)</f>
        <v>0</v>
      </c>
      <c r="N995" s="6">
        <f ca="1">Main[[#This Row],[بدهکار (کیلوگرم)]]-Main[[#This Row],[بدهی تسویه نشده (کیلوگرم)]]</f>
        <v>0</v>
      </c>
      <c r="O995" s="6">
        <f ca="1">Main[[#This Row],[تفکیک]]</f>
        <v>0</v>
      </c>
      <c r="P995" s="6">
        <f ca="1">IF(Main[[#This Row],[تاخیر از سررسید]]&gt;0,Main[[#This Row],[بدهی تسویه نشده (کیلوگرم)]],0)</f>
        <v>0</v>
      </c>
      <c r="Q995" s="6">
        <f ca="1">IF(Main[[#This Row],[بدهی تسویه نشده (کیلوگرم)]]&gt;0,'گزارش فردی'!$B$7-Main[[#This Row],[تاريخ میلادی]],0)</f>
        <v>0</v>
      </c>
      <c r="R995" s="6">
        <f ca="1">IF(Main[[#This Row],[بدهی تسویه نشده (کیلوگرم)]]&gt;0,'گزارش فردی'!$B$7-Main[[#This Row],[تاريخ میلادی]]-'گزارش فردی'!$B$8,0)</f>
        <v>0</v>
      </c>
      <c r="S995" s="6">
        <f ca="1">Main[[#This Row],[روز از ارسال سفارش]]*Main[[#This Row],[بدهی تسویه نشده (کیلوگرم)]]</f>
        <v>0</v>
      </c>
      <c r="T995" s="6">
        <f ca="1">Main[[#This Row],[بدهی سررسید شده (کیلوگرم)]]*Main[[#This Row],[روز از ارسال سفارش]]</f>
        <v>0</v>
      </c>
      <c r="U995" s="6">
        <f>-SUBTOTAL(9,INDEX(Main[مقدار (کیلوگرم)],1):Main[[#This Row],[مقدار (کیلوگرم)]])</f>
        <v>23290</v>
      </c>
      <c r="V9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5" s="6">
        <f>Main[[#This Row],[تعداد کل روزهای بدهکار (روز)]]*Main[[#This Row],[مانده در خط کل (کیلوگرم)]]</f>
        <v>23290</v>
      </c>
      <c r="X995" s="6">
        <f ca="1">-SUBTOTAL(9,INDEX(Main[مقدار تسویه شده (کیلوگرم)],1):Main[[#This Row],[مقدار تسویه شده (کیلوگرم)]])</f>
        <v>23290</v>
      </c>
      <c r="Y995" s="6">
        <f ca="1">IF(Main[[#This Row],[مانده در خط تسویه شده (کیلوگرم)]]&lt;&gt;0,Main[[#This Row],[تعداد کل روزهای بدهکار (روز)]],0)</f>
        <v>1</v>
      </c>
      <c r="Z995" s="6">
        <f ca="1">Main[[#This Row],[تعداد روزهای بدهکار تسویه شده (روز)]]*Main[[#This Row],[مانده در خط تسویه شده (کیلوگرم)]]</f>
        <v>23290</v>
      </c>
      <c r="AA995" s="6">
        <f ca="1">SUBTOTAL(9,INDEX(Main[بدهی تسویه نشده (کیلوگرم)],1):Main[[#This Row],[بدهی تسویه نشده (کیلوگرم)]])</f>
        <v>0</v>
      </c>
      <c r="AB995" s="6">
        <f ca="1">IF(Main[[#This Row],[مانده در خط تسویه نشده (کیلوگرم)]]&lt;&gt;0,Main[[#This Row],[تعداد کل روزهای بدهکار (روز)]],0)</f>
        <v>0</v>
      </c>
      <c r="AC995" s="6">
        <f ca="1">Main[[#This Row],[تعداد روزهای بدهکار  تسویه نشده (روز)]]*Main[[#This Row],[مانده در خط تسویه نشده (کیلوگرم)]]</f>
        <v>0</v>
      </c>
      <c r="AD995" s="6">
        <f ca="1">SUBTOTAL(9,INDEX(Main[بدهی سررسید شده (کیلوگرم)],1):Main[[#This Row],[بدهی سررسید شده (کیلوگرم)]])</f>
        <v>0</v>
      </c>
      <c r="AE995" s="6">
        <f ca="1">IF(Main[[#This Row],[مانده در خط سررسید شده (کیلوگرم)]]&lt;&gt;0,Main[[#This Row],[تعداد کل روزهای بدهکار (روز)]],0)</f>
        <v>0</v>
      </c>
      <c r="AF995" s="6">
        <f ca="1">Main[[#This Row],[تعداد روزهای بدهکار سررسید شده (روز)]]*Main[[#This Row],[مانده در خط سررسید شده (کیلوگرم)]]</f>
        <v>0</v>
      </c>
    </row>
    <row r="996" spans="1:32" hidden="1" x14ac:dyDescent="0.35">
      <c r="A996" s="5">
        <f>ROW()-ROW(INDEX(Main[ردیف],1))+1</f>
        <v>994</v>
      </c>
      <c r="B996" s="31">
        <f>SUBTOTAL(2,INDEX(Main[ردیف],1):Main[[#This Row],[ردیف]])</f>
        <v>95</v>
      </c>
      <c r="C996" s="32" t="s">
        <v>609</v>
      </c>
      <c r="D996" s="32" t="str">
        <f>_xlfn.CONCAT("14",Main[[#This Row],[تاريخ]])</f>
        <v>1400/04/13</v>
      </c>
      <c r="E996" s="33">
        <v>44381</v>
      </c>
      <c r="F996" s="32">
        <v>10070</v>
      </c>
      <c r="G996" s="5" t="str">
        <f>INDEX(customer[عنوان],MATCH(Main[[#This Row],[کد ردیابی]],customer[کد],0))</f>
        <v xml:space="preserve">حمیدرضا شفیعی </v>
      </c>
      <c r="H996">
        <v>-226</v>
      </c>
      <c r="I996" s="6">
        <f ca="1">-Main[[#This Row],[بدهی تسویه شده (کیلوگرم)]]+Main[[#This Row],[بستانکار (کیلوگرم)]]</f>
        <v>-226</v>
      </c>
      <c r="J996" s="6">
        <f>IF(Main[[#This Row],[مقدار (کیلوگرم)]]&gt;0,Main[[#This Row],[مقدار (کیلوگرم)]],0)</f>
        <v>0</v>
      </c>
      <c r="K996" s="6">
        <f>-IF(Main[[#This Row],[مقدار (کیلوگرم)]]&lt;0,Main[[#This Row],[مقدار (کیلوگرم)]],0)</f>
        <v>226</v>
      </c>
      <c r="L9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6" s="7">
        <f>-IF(AND(Main[[#This Row],[مقدار (کیلوگرم)]]&lt;0,Main[[#This Row],[تاريخ میلادی]]&gt;44276),Main[[#This Row],[مقدار (کیلوگرم)]],0)</f>
        <v>226</v>
      </c>
      <c r="N996" s="6">
        <f ca="1">Main[[#This Row],[بدهکار (کیلوگرم)]]-Main[[#This Row],[بدهی تسویه نشده (کیلوگرم)]]</f>
        <v>226</v>
      </c>
      <c r="O996" s="6">
        <f ca="1">Main[[#This Row],[تفکیک]]</f>
        <v>0</v>
      </c>
      <c r="P996" s="6">
        <f ca="1">IF(Main[[#This Row],[تاخیر از سررسید]]&gt;0,Main[[#This Row],[بدهی تسویه نشده (کیلوگرم)]],0)</f>
        <v>0</v>
      </c>
      <c r="Q996" s="6">
        <f ca="1">IF(Main[[#This Row],[بدهی تسویه نشده (کیلوگرم)]]&gt;0,'گزارش فردی'!$B$7-Main[[#This Row],[تاريخ میلادی]],0)</f>
        <v>0</v>
      </c>
      <c r="R996" s="6">
        <f ca="1">IF(Main[[#This Row],[بدهی تسویه نشده (کیلوگرم)]]&gt;0,'گزارش فردی'!$B$7-Main[[#This Row],[تاريخ میلادی]]-'گزارش فردی'!$B$8,0)</f>
        <v>0</v>
      </c>
      <c r="S996" s="6">
        <f ca="1">Main[[#This Row],[روز از ارسال سفارش]]*Main[[#This Row],[بدهی تسویه نشده (کیلوگرم)]]</f>
        <v>0</v>
      </c>
      <c r="T996" s="6">
        <f ca="1">Main[[#This Row],[بدهی سررسید شده (کیلوگرم)]]*Main[[#This Row],[روز از ارسال سفارش]]</f>
        <v>0</v>
      </c>
      <c r="U996" s="6">
        <f>-SUBTOTAL(9,INDEX(Main[مقدار (کیلوگرم)],1):Main[[#This Row],[مقدار (کیلوگرم)]])</f>
        <v>23290</v>
      </c>
      <c r="V9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6" s="6">
        <f>Main[[#This Row],[تعداد کل روزهای بدهکار (روز)]]*Main[[#This Row],[مانده در خط کل (کیلوگرم)]]</f>
        <v>23290</v>
      </c>
      <c r="X996" s="6">
        <f ca="1">-SUBTOTAL(9,INDEX(Main[مقدار تسویه شده (کیلوگرم)],1):Main[[#This Row],[مقدار تسویه شده (کیلوگرم)]])</f>
        <v>23290</v>
      </c>
      <c r="Y996" s="6">
        <f ca="1">IF(Main[[#This Row],[مانده در خط تسویه شده (کیلوگرم)]]&lt;&gt;0,Main[[#This Row],[تعداد کل روزهای بدهکار (روز)]],0)</f>
        <v>1</v>
      </c>
      <c r="Z996" s="6">
        <f ca="1">Main[[#This Row],[تعداد روزهای بدهکار تسویه شده (روز)]]*Main[[#This Row],[مانده در خط تسویه شده (کیلوگرم)]]</f>
        <v>23290</v>
      </c>
      <c r="AA996" s="6">
        <f ca="1">SUBTOTAL(9,INDEX(Main[بدهی تسویه نشده (کیلوگرم)],1):Main[[#This Row],[بدهی تسویه نشده (کیلوگرم)]])</f>
        <v>0</v>
      </c>
      <c r="AB996" s="6">
        <f ca="1">IF(Main[[#This Row],[مانده در خط تسویه نشده (کیلوگرم)]]&lt;&gt;0,Main[[#This Row],[تعداد کل روزهای بدهکار (روز)]],0)</f>
        <v>0</v>
      </c>
      <c r="AC996" s="6">
        <f ca="1">Main[[#This Row],[تعداد روزهای بدهکار  تسویه نشده (روز)]]*Main[[#This Row],[مانده در خط تسویه نشده (کیلوگرم)]]</f>
        <v>0</v>
      </c>
      <c r="AD996" s="6">
        <f ca="1">SUBTOTAL(9,INDEX(Main[بدهی سررسید شده (کیلوگرم)],1):Main[[#This Row],[بدهی سررسید شده (کیلوگرم)]])</f>
        <v>0</v>
      </c>
      <c r="AE996" s="6">
        <f ca="1">IF(Main[[#This Row],[مانده در خط سررسید شده (کیلوگرم)]]&lt;&gt;0,Main[[#This Row],[تعداد کل روزهای بدهکار (روز)]],0)</f>
        <v>0</v>
      </c>
      <c r="AF996" s="6">
        <f ca="1">Main[[#This Row],[تعداد روزهای بدهکار سررسید شده (روز)]]*Main[[#This Row],[مانده در خط سررسید شده (کیلوگرم)]]</f>
        <v>0</v>
      </c>
    </row>
    <row r="997" spans="1:32" hidden="1" x14ac:dyDescent="0.35">
      <c r="A997" s="5">
        <f>ROW()-ROW(INDEX(Main[ردیف],1))+1</f>
        <v>995</v>
      </c>
      <c r="B997" s="31">
        <f>SUBTOTAL(2,INDEX(Main[ردیف],1):Main[[#This Row],[ردیف]])</f>
        <v>95</v>
      </c>
      <c r="C997" s="32" t="s">
        <v>609</v>
      </c>
      <c r="D997" s="32" t="str">
        <f>_xlfn.CONCAT("14",Main[[#This Row],[تاريخ]])</f>
        <v>1400/04/13</v>
      </c>
      <c r="E997" s="33">
        <v>44381</v>
      </c>
      <c r="F997" s="32">
        <v>30006</v>
      </c>
      <c r="G997" s="5" t="str">
        <f>INDEX(customer[عنوان],MATCH(Main[[#This Row],[کد ردیابی]],customer[کد],0))</f>
        <v xml:space="preserve">توان جم </v>
      </c>
      <c r="H997">
        <v>-4927</v>
      </c>
      <c r="I997" s="6">
        <f ca="1">-Main[[#This Row],[بدهی تسویه شده (کیلوگرم)]]+Main[[#This Row],[بستانکار (کیلوگرم)]]</f>
        <v>-4927</v>
      </c>
      <c r="J997" s="6">
        <f>IF(Main[[#This Row],[مقدار (کیلوگرم)]]&gt;0,Main[[#This Row],[مقدار (کیلوگرم)]],0)</f>
        <v>0</v>
      </c>
      <c r="K997" s="6">
        <f>-IF(Main[[#This Row],[مقدار (کیلوگرم)]]&lt;0,Main[[#This Row],[مقدار (کیلوگرم)]],0)</f>
        <v>4927</v>
      </c>
      <c r="L9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7" s="7">
        <f>-IF(AND(Main[[#This Row],[مقدار (کیلوگرم)]]&lt;0,Main[[#This Row],[تاريخ میلادی]]&gt;44276),Main[[#This Row],[مقدار (کیلوگرم)]],0)</f>
        <v>4927</v>
      </c>
      <c r="N997" s="6">
        <f ca="1">Main[[#This Row],[بدهکار (کیلوگرم)]]-Main[[#This Row],[بدهی تسویه نشده (کیلوگرم)]]</f>
        <v>4927</v>
      </c>
      <c r="O997" s="6">
        <f ca="1">Main[[#This Row],[تفکیک]]</f>
        <v>0</v>
      </c>
      <c r="P997" s="6">
        <f ca="1">IF(Main[[#This Row],[تاخیر از سررسید]]&gt;0,Main[[#This Row],[بدهی تسویه نشده (کیلوگرم)]],0)</f>
        <v>0</v>
      </c>
      <c r="Q997" s="6">
        <f ca="1">IF(Main[[#This Row],[بدهی تسویه نشده (کیلوگرم)]]&gt;0,'گزارش فردی'!$B$7-Main[[#This Row],[تاريخ میلادی]],0)</f>
        <v>0</v>
      </c>
      <c r="R997" s="6">
        <f ca="1">IF(Main[[#This Row],[بدهی تسویه نشده (کیلوگرم)]]&gt;0,'گزارش فردی'!$B$7-Main[[#This Row],[تاريخ میلادی]]-'گزارش فردی'!$B$8,0)</f>
        <v>0</v>
      </c>
      <c r="S997" s="6">
        <f ca="1">Main[[#This Row],[روز از ارسال سفارش]]*Main[[#This Row],[بدهی تسویه نشده (کیلوگرم)]]</f>
        <v>0</v>
      </c>
      <c r="T997" s="6">
        <f ca="1">Main[[#This Row],[بدهی سررسید شده (کیلوگرم)]]*Main[[#This Row],[روز از ارسال سفارش]]</f>
        <v>0</v>
      </c>
      <c r="U997" s="6">
        <f>-SUBTOTAL(9,INDEX(Main[مقدار (کیلوگرم)],1):Main[[#This Row],[مقدار (کیلوگرم)]])</f>
        <v>23290</v>
      </c>
      <c r="V9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7" s="6">
        <f>Main[[#This Row],[تعداد کل روزهای بدهکار (روز)]]*Main[[#This Row],[مانده در خط کل (کیلوگرم)]]</f>
        <v>23290</v>
      </c>
      <c r="X997" s="6">
        <f ca="1">-SUBTOTAL(9,INDEX(Main[مقدار تسویه شده (کیلوگرم)],1):Main[[#This Row],[مقدار تسویه شده (کیلوگرم)]])</f>
        <v>23290</v>
      </c>
      <c r="Y997" s="6">
        <f ca="1">IF(Main[[#This Row],[مانده در خط تسویه شده (کیلوگرم)]]&lt;&gt;0,Main[[#This Row],[تعداد کل روزهای بدهکار (روز)]],0)</f>
        <v>1</v>
      </c>
      <c r="Z997" s="6">
        <f ca="1">Main[[#This Row],[تعداد روزهای بدهکار تسویه شده (روز)]]*Main[[#This Row],[مانده در خط تسویه شده (کیلوگرم)]]</f>
        <v>23290</v>
      </c>
      <c r="AA997" s="6">
        <f ca="1">SUBTOTAL(9,INDEX(Main[بدهی تسویه نشده (کیلوگرم)],1):Main[[#This Row],[بدهی تسویه نشده (کیلوگرم)]])</f>
        <v>0</v>
      </c>
      <c r="AB997" s="6">
        <f ca="1">IF(Main[[#This Row],[مانده در خط تسویه نشده (کیلوگرم)]]&lt;&gt;0,Main[[#This Row],[تعداد کل روزهای بدهکار (روز)]],0)</f>
        <v>0</v>
      </c>
      <c r="AC997" s="6">
        <f ca="1">Main[[#This Row],[تعداد روزهای بدهکار  تسویه نشده (روز)]]*Main[[#This Row],[مانده در خط تسویه نشده (کیلوگرم)]]</f>
        <v>0</v>
      </c>
      <c r="AD997" s="6">
        <f ca="1">SUBTOTAL(9,INDEX(Main[بدهی سررسید شده (کیلوگرم)],1):Main[[#This Row],[بدهی سررسید شده (کیلوگرم)]])</f>
        <v>0</v>
      </c>
      <c r="AE997" s="6">
        <f ca="1">IF(Main[[#This Row],[مانده در خط سررسید شده (کیلوگرم)]]&lt;&gt;0,Main[[#This Row],[تعداد کل روزهای بدهکار (روز)]],0)</f>
        <v>0</v>
      </c>
      <c r="AF997" s="6">
        <f ca="1">Main[[#This Row],[تعداد روزهای بدهکار سررسید شده (روز)]]*Main[[#This Row],[مانده در خط سررسید شده (کیلوگرم)]]</f>
        <v>0</v>
      </c>
    </row>
    <row r="998" spans="1:32" hidden="1" x14ac:dyDescent="0.35">
      <c r="A998" s="5">
        <f>ROW()-ROW(INDEX(Main[ردیف],1))+1</f>
        <v>996</v>
      </c>
      <c r="B998" s="31">
        <f>SUBTOTAL(2,INDEX(Main[ردیف],1):Main[[#This Row],[ردیف]])</f>
        <v>95</v>
      </c>
      <c r="C998" s="32" t="s">
        <v>610</v>
      </c>
      <c r="D998" s="32" t="str">
        <f>_xlfn.CONCAT("14",Main[[#This Row],[تاريخ]])</f>
        <v>1400/04/14</v>
      </c>
      <c r="E998" s="33">
        <v>44382</v>
      </c>
      <c r="F998" s="32">
        <v>30022</v>
      </c>
      <c r="G998" s="5" t="str">
        <f>INDEX(customer[عنوان],MATCH(Main[[#This Row],[کد ردیابی]],customer[کد],0))</f>
        <v xml:space="preserve">کلار پویا </v>
      </c>
      <c r="H998">
        <v>4842</v>
      </c>
      <c r="I998" s="6">
        <f ca="1">-Main[[#This Row],[بدهی تسویه شده (کیلوگرم)]]+Main[[#This Row],[بستانکار (کیلوگرم)]]</f>
        <v>4842</v>
      </c>
      <c r="J998" s="6">
        <f>IF(Main[[#This Row],[مقدار (کیلوگرم)]]&gt;0,Main[[#This Row],[مقدار (کیلوگرم)]],0)</f>
        <v>4842</v>
      </c>
      <c r="K998" s="6">
        <f>-IF(Main[[#This Row],[مقدار (کیلوگرم)]]&lt;0,Main[[#This Row],[مقدار (کیلوگرم)]],0)</f>
        <v>0</v>
      </c>
      <c r="L9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8" s="7">
        <f>-IF(AND(Main[[#This Row],[مقدار (کیلوگرم)]]&lt;0,Main[[#This Row],[تاريخ میلادی]]&gt;44276),Main[[#This Row],[مقدار (کیلوگرم)]],0)</f>
        <v>0</v>
      </c>
      <c r="N998" s="6">
        <f ca="1">Main[[#This Row],[بدهکار (کیلوگرم)]]-Main[[#This Row],[بدهی تسویه نشده (کیلوگرم)]]</f>
        <v>0</v>
      </c>
      <c r="O998" s="6">
        <f ca="1">Main[[#This Row],[تفکیک]]</f>
        <v>0</v>
      </c>
      <c r="P998" s="6">
        <f ca="1">IF(Main[[#This Row],[تاخیر از سررسید]]&gt;0,Main[[#This Row],[بدهی تسویه نشده (کیلوگرم)]],0)</f>
        <v>0</v>
      </c>
      <c r="Q998" s="6">
        <f ca="1">IF(Main[[#This Row],[بدهی تسویه نشده (کیلوگرم)]]&gt;0,'گزارش فردی'!$B$7-Main[[#This Row],[تاريخ میلادی]],0)</f>
        <v>0</v>
      </c>
      <c r="R998" s="6">
        <f ca="1">IF(Main[[#This Row],[بدهی تسویه نشده (کیلوگرم)]]&gt;0,'گزارش فردی'!$B$7-Main[[#This Row],[تاريخ میلادی]]-'گزارش فردی'!$B$8,0)</f>
        <v>0</v>
      </c>
      <c r="S998" s="6">
        <f ca="1">Main[[#This Row],[روز از ارسال سفارش]]*Main[[#This Row],[بدهی تسویه نشده (کیلوگرم)]]</f>
        <v>0</v>
      </c>
      <c r="T998" s="6">
        <f ca="1">Main[[#This Row],[بدهی سررسید شده (کیلوگرم)]]*Main[[#This Row],[روز از ارسال سفارش]]</f>
        <v>0</v>
      </c>
      <c r="U998" s="6">
        <f>-SUBTOTAL(9,INDEX(Main[مقدار (کیلوگرم)],1):Main[[#This Row],[مقدار (کیلوگرم)]])</f>
        <v>23290</v>
      </c>
      <c r="V9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8" s="6">
        <f>Main[[#This Row],[تعداد کل روزهای بدهکار (روز)]]*Main[[#This Row],[مانده در خط کل (کیلوگرم)]]</f>
        <v>0</v>
      </c>
      <c r="X998" s="6">
        <f ca="1">-SUBTOTAL(9,INDEX(Main[مقدار تسویه شده (کیلوگرم)],1):Main[[#This Row],[مقدار تسویه شده (کیلوگرم)]])</f>
        <v>23290</v>
      </c>
      <c r="Y998" s="6">
        <f ca="1">IF(Main[[#This Row],[مانده در خط تسویه شده (کیلوگرم)]]&lt;&gt;0,Main[[#This Row],[تعداد کل روزهای بدهکار (روز)]],0)</f>
        <v>0</v>
      </c>
      <c r="Z998" s="6">
        <f ca="1">Main[[#This Row],[تعداد روزهای بدهکار تسویه شده (روز)]]*Main[[#This Row],[مانده در خط تسویه شده (کیلوگرم)]]</f>
        <v>0</v>
      </c>
      <c r="AA998" s="6">
        <f ca="1">SUBTOTAL(9,INDEX(Main[بدهی تسویه نشده (کیلوگرم)],1):Main[[#This Row],[بدهی تسویه نشده (کیلوگرم)]])</f>
        <v>0</v>
      </c>
      <c r="AB998" s="6">
        <f ca="1">IF(Main[[#This Row],[مانده در خط تسویه نشده (کیلوگرم)]]&lt;&gt;0,Main[[#This Row],[تعداد کل روزهای بدهکار (روز)]],0)</f>
        <v>0</v>
      </c>
      <c r="AC998" s="6">
        <f ca="1">Main[[#This Row],[تعداد روزهای بدهکار  تسویه نشده (روز)]]*Main[[#This Row],[مانده در خط تسویه نشده (کیلوگرم)]]</f>
        <v>0</v>
      </c>
      <c r="AD998" s="6">
        <f ca="1">SUBTOTAL(9,INDEX(Main[بدهی سررسید شده (کیلوگرم)],1):Main[[#This Row],[بدهی سررسید شده (کیلوگرم)]])</f>
        <v>0</v>
      </c>
      <c r="AE998" s="6">
        <f ca="1">IF(Main[[#This Row],[مانده در خط سررسید شده (کیلوگرم)]]&lt;&gt;0,Main[[#This Row],[تعداد کل روزهای بدهکار (روز)]],0)</f>
        <v>0</v>
      </c>
      <c r="AF998" s="6">
        <f ca="1">Main[[#This Row],[تعداد روزهای بدهکار سررسید شده (روز)]]*Main[[#This Row],[مانده در خط سررسید شده (کیلوگرم)]]</f>
        <v>0</v>
      </c>
    </row>
    <row r="999" spans="1:32" hidden="1" x14ac:dyDescent="0.35">
      <c r="A999" s="5">
        <f>ROW()-ROW(INDEX(Main[ردیف],1))+1</f>
        <v>997</v>
      </c>
      <c r="B999" s="31">
        <f>SUBTOTAL(2,INDEX(Main[ردیف],1):Main[[#This Row],[ردیف]])</f>
        <v>95</v>
      </c>
      <c r="C999" s="32" t="s">
        <v>610</v>
      </c>
      <c r="D999" s="32" t="str">
        <f>_xlfn.CONCAT("14",Main[[#This Row],[تاريخ]])</f>
        <v>1400/04/14</v>
      </c>
      <c r="E999" s="33">
        <v>44382</v>
      </c>
      <c r="F999" s="32">
        <v>30004</v>
      </c>
      <c r="G999" s="5" t="str">
        <f>INDEX(customer[عنوان],MATCH(Main[[#This Row],[کد ردیابی]],customer[کد],0))</f>
        <v>تولیدی صنعتی صفاشیر پارس</v>
      </c>
      <c r="H999">
        <v>-4826</v>
      </c>
      <c r="I999" s="6">
        <f ca="1">-Main[[#This Row],[بدهی تسویه شده (کیلوگرم)]]+Main[[#This Row],[بستانکار (کیلوگرم)]]</f>
        <v>-4826</v>
      </c>
      <c r="J999" s="6">
        <f>IF(Main[[#This Row],[مقدار (کیلوگرم)]]&gt;0,Main[[#This Row],[مقدار (کیلوگرم)]],0)</f>
        <v>0</v>
      </c>
      <c r="K999" s="6">
        <f>-IF(Main[[#This Row],[مقدار (کیلوگرم)]]&lt;0,Main[[#This Row],[مقدار (کیلوگرم)]],0)</f>
        <v>4826</v>
      </c>
      <c r="L9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9" s="7">
        <f>-IF(AND(Main[[#This Row],[مقدار (کیلوگرم)]]&lt;0,Main[[#This Row],[تاريخ میلادی]]&gt;44276),Main[[#This Row],[مقدار (کیلوگرم)]],0)</f>
        <v>4826</v>
      </c>
      <c r="N999" s="6">
        <f ca="1">Main[[#This Row],[بدهکار (کیلوگرم)]]-Main[[#This Row],[بدهی تسویه نشده (کیلوگرم)]]</f>
        <v>4826</v>
      </c>
      <c r="O999" s="6">
        <f ca="1">Main[[#This Row],[تفکیک]]</f>
        <v>0</v>
      </c>
      <c r="P999" s="6">
        <f ca="1">IF(Main[[#This Row],[تاخیر از سررسید]]&gt;0,Main[[#This Row],[بدهی تسویه نشده (کیلوگرم)]],0)</f>
        <v>0</v>
      </c>
      <c r="Q999" s="6">
        <f ca="1">IF(Main[[#This Row],[بدهی تسویه نشده (کیلوگرم)]]&gt;0,'گزارش فردی'!$B$7-Main[[#This Row],[تاريخ میلادی]],0)</f>
        <v>0</v>
      </c>
      <c r="R999" s="6">
        <f ca="1">IF(Main[[#This Row],[بدهی تسویه نشده (کیلوگرم)]]&gt;0,'گزارش فردی'!$B$7-Main[[#This Row],[تاريخ میلادی]]-'گزارش فردی'!$B$8,0)</f>
        <v>0</v>
      </c>
      <c r="S999" s="6">
        <f ca="1">Main[[#This Row],[روز از ارسال سفارش]]*Main[[#This Row],[بدهی تسویه نشده (کیلوگرم)]]</f>
        <v>0</v>
      </c>
      <c r="T999" s="6">
        <f ca="1">Main[[#This Row],[بدهی سررسید شده (کیلوگرم)]]*Main[[#This Row],[روز از ارسال سفارش]]</f>
        <v>0</v>
      </c>
      <c r="U999" s="6">
        <f>-SUBTOTAL(9,INDEX(Main[مقدار (کیلوگرم)],1):Main[[#This Row],[مقدار (کیلوگرم)]])</f>
        <v>23290</v>
      </c>
      <c r="V9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9" s="6">
        <f>Main[[#This Row],[تعداد کل روزهای بدهکار (روز)]]*Main[[#This Row],[مانده در خط کل (کیلوگرم)]]</f>
        <v>0</v>
      </c>
      <c r="X999" s="6">
        <f ca="1">-SUBTOTAL(9,INDEX(Main[مقدار تسویه شده (کیلوگرم)],1):Main[[#This Row],[مقدار تسویه شده (کیلوگرم)]])</f>
        <v>23290</v>
      </c>
      <c r="Y999" s="6">
        <f ca="1">IF(Main[[#This Row],[مانده در خط تسویه شده (کیلوگرم)]]&lt;&gt;0,Main[[#This Row],[تعداد کل روزهای بدهکار (روز)]],0)</f>
        <v>0</v>
      </c>
      <c r="Z999" s="6">
        <f ca="1">Main[[#This Row],[تعداد روزهای بدهکار تسویه شده (روز)]]*Main[[#This Row],[مانده در خط تسویه شده (کیلوگرم)]]</f>
        <v>0</v>
      </c>
      <c r="AA999" s="6">
        <f ca="1">SUBTOTAL(9,INDEX(Main[بدهی تسویه نشده (کیلوگرم)],1):Main[[#This Row],[بدهی تسویه نشده (کیلوگرم)]])</f>
        <v>0</v>
      </c>
      <c r="AB999" s="6">
        <f ca="1">IF(Main[[#This Row],[مانده در خط تسویه نشده (کیلوگرم)]]&lt;&gt;0,Main[[#This Row],[تعداد کل روزهای بدهکار (روز)]],0)</f>
        <v>0</v>
      </c>
      <c r="AC999" s="6">
        <f ca="1">Main[[#This Row],[تعداد روزهای بدهکار  تسویه نشده (روز)]]*Main[[#This Row],[مانده در خط تسویه نشده (کیلوگرم)]]</f>
        <v>0</v>
      </c>
      <c r="AD999" s="6">
        <f ca="1">SUBTOTAL(9,INDEX(Main[بدهی سررسید شده (کیلوگرم)],1):Main[[#This Row],[بدهی سررسید شده (کیلوگرم)]])</f>
        <v>0</v>
      </c>
      <c r="AE999" s="6">
        <f ca="1">IF(Main[[#This Row],[مانده در خط سررسید شده (کیلوگرم)]]&lt;&gt;0,Main[[#This Row],[تعداد کل روزهای بدهکار (روز)]],0)</f>
        <v>0</v>
      </c>
      <c r="AF999" s="6">
        <f ca="1">Main[[#This Row],[تعداد روزهای بدهکار سررسید شده (روز)]]*Main[[#This Row],[مانده در خط سررسید شده (کیلوگرم)]]</f>
        <v>0</v>
      </c>
    </row>
    <row r="1000" spans="1:32" hidden="1" x14ac:dyDescent="0.35">
      <c r="A1000" s="5">
        <f>ROW()-ROW(INDEX(Main[ردیف],1))+1</f>
        <v>998</v>
      </c>
      <c r="B1000" s="31">
        <f>SUBTOTAL(2,INDEX(Main[ردیف],1):Main[[#This Row],[ردیف]])</f>
        <v>95</v>
      </c>
      <c r="C1000" s="32" t="s">
        <v>610</v>
      </c>
      <c r="D1000" s="32" t="str">
        <f>_xlfn.CONCAT("14",Main[[#This Row],[تاريخ]])</f>
        <v>1400/04/14</v>
      </c>
      <c r="E1000" s="33">
        <v>44382</v>
      </c>
      <c r="F1000" s="32">
        <v>10027</v>
      </c>
      <c r="G1000" s="5" t="str">
        <f>INDEX(customer[عنوان],MATCH(Main[[#This Row],[کد ردیابی]],customer[کد],0))</f>
        <v xml:space="preserve">مصطفی نورعلی </v>
      </c>
      <c r="H1000">
        <v>2960</v>
      </c>
      <c r="I1000" s="6">
        <f ca="1">-Main[[#This Row],[بدهی تسویه شده (کیلوگرم)]]+Main[[#This Row],[بستانکار (کیلوگرم)]]</f>
        <v>2960</v>
      </c>
      <c r="J1000" s="6">
        <f>IF(Main[[#This Row],[مقدار (کیلوگرم)]]&gt;0,Main[[#This Row],[مقدار (کیلوگرم)]],0)</f>
        <v>2960</v>
      </c>
      <c r="K1000" s="6">
        <f>-IF(Main[[#This Row],[مقدار (کیلوگرم)]]&lt;0,Main[[#This Row],[مقدار (کیلوگرم)]],0)</f>
        <v>0</v>
      </c>
      <c r="L10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0" s="7">
        <f>-IF(AND(Main[[#This Row],[مقدار (کیلوگرم)]]&lt;0,Main[[#This Row],[تاريخ میلادی]]&gt;44276),Main[[#This Row],[مقدار (کیلوگرم)]],0)</f>
        <v>0</v>
      </c>
      <c r="N1000" s="6">
        <f ca="1">Main[[#This Row],[بدهکار (کیلوگرم)]]-Main[[#This Row],[بدهی تسویه نشده (کیلوگرم)]]</f>
        <v>0</v>
      </c>
      <c r="O1000" s="6">
        <f ca="1">Main[[#This Row],[تفکیک]]</f>
        <v>0</v>
      </c>
      <c r="P1000" s="6">
        <f ca="1">IF(Main[[#This Row],[تاخیر از سررسید]]&gt;0,Main[[#This Row],[بدهی تسویه نشده (کیلوگرم)]],0)</f>
        <v>0</v>
      </c>
      <c r="Q1000" s="6">
        <f ca="1">IF(Main[[#This Row],[بدهی تسویه نشده (کیلوگرم)]]&gt;0,'گزارش فردی'!$B$7-Main[[#This Row],[تاريخ میلادی]],0)</f>
        <v>0</v>
      </c>
      <c r="R1000" s="6">
        <f ca="1">IF(Main[[#This Row],[بدهی تسویه نشده (کیلوگرم)]]&gt;0,'گزارش فردی'!$B$7-Main[[#This Row],[تاريخ میلادی]]-'گزارش فردی'!$B$8,0)</f>
        <v>0</v>
      </c>
      <c r="S1000" s="6">
        <f ca="1">Main[[#This Row],[روز از ارسال سفارش]]*Main[[#This Row],[بدهی تسویه نشده (کیلوگرم)]]</f>
        <v>0</v>
      </c>
      <c r="T1000" s="6">
        <f ca="1">Main[[#This Row],[بدهی سررسید شده (کیلوگرم)]]*Main[[#This Row],[روز از ارسال سفارش]]</f>
        <v>0</v>
      </c>
      <c r="U1000" s="6">
        <f>-SUBTOTAL(9,INDEX(Main[مقدار (کیلوگرم)],1):Main[[#This Row],[مقدار (کیلوگرم)]])</f>
        <v>23290</v>
      </c>
      <c r="V10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0" s="6">
        <f>Main[[#This Row],[تعداد کل روزهای بدهکار (روز)]]*Main[[#This Row],[مانده در خط کل (کیلوگرم)]]</f>
        <v>0</v>
      </c>
      <c r="X1000" s="6">
        <f ca="1">-SUBTOTAL(9,INDEX(Main[مقدار تسویه شده (کیلوگرم)],1):Main[[#This Row],[مقدار تسویه شده (کیلوگرم)]])</f>
        <v>23290</v>
      </c>
      <c r="Y1000" s="6">
        <f ca="1">IF(Main[[#This Row],[مانده در خط تسویه شده (کیلوگرم)]]&lt;&gt;0,Main[[#This Row],[تعداد کل روزهای بدهکار (روز)]],0)</f>
        <v>0</v>
      </c>
      <c r="Z1000" s="6">
        <f ca="1">Main[[#This Row],[تعداد روزهای بدهکار تسویه شده (روز)]]*Main[[#This Row],[مانده در خط تسویه شده (کیلوگرم)]]</f>
        <v>0</v>
      </c>
      <c r="AA1000" s="6">
        <f ca="1">SUBTOTAL(9,INDEX(Main[بدهی تسویه نشده (کیلوگرم)],1):Main[[#This Row],[بدهی تسویه نشده (کیلوگرم)]])</f>
        <v>0</v>
      </c>
      <c r="AB1000" s="6">
        <f ca="1">IF(Main[[#This Row],[مانده در خط تسویه نشده (کیلوگرم)]]&lt;&gt;0,Main[[#This Row],[تعداد کل روزهای بدهکار (روز)]],0)</f>
        <v>0</v>
      </c>
      <c r="AC1000" s="6">
        <f ca="1">Main[[#This Row],[تعداد روزهای بدهکار  تسویه نشده (روز)]]*Main[[#This Row],[مانده در خط تسویه نشده (کیلوگرم)]]</f>
        <v>0</v>
      </c>
      <c r="AD1000" s="6">
        <f ca="1">SUBTOTAL(9,INDEX(Main[بدهی سررسید شده (کیلوگرم)],1):Main[[#This Row],[بدهی سررسید شده (کیلوگرم)]])</f>
        <v>0</v>
      </c>
      <c r="AE1000" s="6">
        <f ca="1">IF(Main[[#This Row],[مانده در خط سررسید شده (کیلوگرم)]]&lt;&gt;0,Main[[#This Row],[تعداد کل روزهای بدهکار (روز)]],0)</f>
        <v>0</v>
      </c>
      <c r="AF1000" s="6">
        <f ca="1">Main[[#This Row],[تعداد روزهای بدهکار سررسید شده (روز)]]*Main[[#This Row],[مانده در خط سررسید شده (کیلوگرم)]]</f>
        <v>0</v>
      </c>
    </row>
    <row r="1001" spans="1:32" hidden="1" x14ac:dyDescent="0.35">
      <c r="A1001" s="5">
        <f>ROW()-ROW(INDEX(Main[ردیف],1))+1</f>
        <v>999</v>
      </c>
      <c r="B1001" s="31">
        <f>SUBTOTAL(2,INDEX(Main[ردیف],1):Main[[#This Row],[ردیف]])</f>
        <v>95</v>
      </c>
      <c r="C1001" s="32" t="s">
        <v>610</v>
      </c>
      <c r="D1001" s="32" t="str">
        <f>_xlfn.CONCAT("14",Main[[#This Row],[تاريخ]])</f>
        <v>1400/04/14</v>
      </c>
      <c r="E1001" s="33">
        <v>44382</v>
      </c>
      <c r="F1001" s="32">
        <v>10070</v>
      </c>
      <c r="G1001" s="5" t="str">
        <f>INDEX(customer[عنوان],MATCH(Main[[#This Row],[کد ردیابی]],customer[کد],0))</f>
        <v xml:space="preserve">حمیدرضا شفیعی </v>
      </c>
      <c r="H1001">
        <v>-100</v>
      </c>
      <c r="I1001" s="6">
        <f ca="1">-Main[[#This Row],[بدهی تسویه شده (کیلوگرم)]]+Main[[#This Row],[بستانکار (کیلوگرم)]]</f>
        <v>-100</v>
      </c>
      <c r="J1001" s="6">
        <f>IF(Main[[#This Row],[مقدار (کیلوگرم)]]&gt;0,Main[[#This Row],[مقدار (کیلوگرم)]],0)</f>
        <v>0</v>
      </c>
      <c r="K1001" s="6">
        <f>-IF(Main[[#This Row],[مقدار (کیلوگرم)]]&lt;0,Main[[#This Row],[مقدار (کیلوگرم)]],0)</f>
        <v>100</v>
      </c>
      <c r="L10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1" s="7">
        <f>-IF(AND(Main[[#This Row],[مقدار (کیلوگرم)]]&lt;0,Main[[#This Row],[تاريخ میلادی]]&gt;44276),Main[[#This Row],[مقدار (کیلوگرم)]],0)</f>
        <v>100</v>
      </c>
      <c r="N1001" s="6">
        <f ca="1">Main[[#This Row],[بدهکار (کیلوگرم)]]-Main[[#This Row],[بدهی تسویه نشده (کیلوگرم)]]</f>
        <v>100</v>
      </c>
      <c r="O1001" s="6">
        <f ca="1">Main[[#This Row],[تفکیک]]</f>
        <v>0</v>
      </c>
      <c r="P1001" s="6">
        <f ca="1">IF(Main[[#This Row],[تاخیر از سررسید]]&gt;0,Main[[#This Row],[بدهی تسویه نشده (کیلوگرم)]],0)</f>
        <v>0</v>
      </c>
      <c r="Q1001" s="6">
        <f ca="1">IF(Main[[#This Row],[بدهی تسویه نشده (کیلوگرم)]]&gt;0,'گزارش فردی'!$B$7-Main[[#This Row],[تاريخ میلادی]],0)</f>
        <v>0</v>
      </c>
      <c r="R1001" s="6">
        <f ca="1">IF(Main[[#This Row],[بدهی تسویه نشده (کیلوگرم)]]&gt;0,'گزارش فردی'!$B$7-Main[[#This Row],[تاريخ میلادی]]-'گزارش فردی'!$B$8,0)</f>
        <v>0</v>
      </c>
      <c r="S1001" s="6">
        <f ca="1">Main[[#This Row],[روز از ارسال سفارش]]*Main[[#This Row],[بدهی تسویه نشده (کیلوگرم)]]</f>
        <v>0</v>
      </c>
      <c r="T1001" s="6">
        <f ca="1">Main[[#This Row],[بدهی سررسید شده (کیلوگرم)]]*Main[[#This Row],[روز از ارسال سفارش]]</f>
        <v>0</v>
      </c>
      <c r="U1001" s="6">
        <f>-SUBTOTAL(9,INDEX(Main[مقدار (کیلوگرم)],1):Main[[#This Row],[مقدار (کیلوگرم)]])</f>
        <v>23290</v>
      </c>
      <c r="V10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1" s="6">
        <f>Main[[#This Row],[تعداد کل روزهای بدهکار (روز)]]*Main[[#This Row],[مانده در خط کل (کیلوگرم)]]</f>
        <v>0</v>
      </c>
      <c r="X1001" s="6">
        <f ca="1">-SUBTOTAL(9,INDEX(Main[مقدار تسویه شده (کیلوگرم)],1):Main[[#This Row],[مقدار تسویه شده (کیلوگرم)]])</f>
        <v>23290</v>
      </c>
      <c r="Y1001" s="6">
        <f ca="1">IF(Main[[#This Row],[مانده در خط تسویه شده (کیلوگرم)]]&lt;&gt;0,Main[[#This Row],[تعداد کل روزهای بدهکار (روز)]],0)</f>
        <v>0</v>
      </c>
      <c r="Z1001" s="6">
        <f ca="1">Main[[#This Row],[تعداد روزهای بدهکار تسویه شده (روز)]]*Main[[#This Row],[مانده در خط تسویه شده (کیلوگرم)]]</f>
        <v>0</v>
      </c>
      <c r="AA1001" s="6">
        <f ca="1">SUBTOTAL(9,INDEX(Main[بدهی تسویه نشده (کیلوگرم)],1):Main[[#This Row],[بدهی تسویه نشده (کیلوگرم)]])</f>
        <v>0</v>
      </c>
      <c r="AB1001" s="6">
        <f ca="1">IF(Main[[#This Row],[مانده در خط تسویه نشده (کیلوگرم)]]&lt;&gt;0,Main[[#This Row],[تعداد کل روزهای بدهکار (روز)]],0)</f>
        <v>0</v>
      </c>
      <c r="AC1001" s="6">
        <f ca="1">Main[[#This Row],[تعداد روزهای بدهکار  تسویه نشده (روز)]]*Main[[#This Row],[مانده در خط تسویه نشده (کیلوگرم)]]</f>
        <v>0</v>
      </c>
      <c r="AD1001" s="6">
        <f ca="1">SUBTOTAL(9,INDEX(Main[بدهی سررسید شده (کیلوگرم)],1):Main[[#This Row],[بدهی سررسید شده (کیلوگرم)]])</f>
        <v>0</v>
      </c>
      <c r="AE1001" s="6">
        <f ca="1">IF(Main[[#This Row],[مانده در خط سررسید شده (کیلوگرم)]]&lt;&gt;0,Main[[#This Row],[تعداد کل روزهای بدهکار (روز)]],0)</f>
        <v>0</v>
      </c>
      <c r="AF1001" s="6">
        <f ca="1">Main[[#This Row],[تعداد روزهای بدهکار سررسید شده (روز)]]*Main[[#This Row],[مانده در خط سررسید شده (کیلوگرم)]]</f>
        <v>0</v>
      </c>
    </row>
    <row r="1002" spans="1:32" hidden="1" x14ac:dyDescent="0.35">
      <c r="A1002" s="5">
        <f>ROW()-ROW(INDEX(Main[ردیف],1))+1</f>
        <v>1000</v>
      </c>
      <c r="B1002" s="31">
        <f>SUBTOTAL(2,INDEX(Main[ردیف],1):Main[[#This Row],[ردیف]])</f>
        <v>95</v>
      </c>
      <c r="C1002" s="32" t="s">
        <v>610</v>
      </c>
      <c r="D1002" s="32" t="str">
        <f>_xlfn.CONCAT("14",Main[[#This Row],[تاريخ]])</f>
        <v>1400/04/14</v>
      </c>
      <c r="E1002" s="33">
        <v>44382</v>
      </c>
      <c r="F1002" s="32">
        <v>30191</v>
      </c>
      <c r="G1002" s="5" t="str">
        <f>INDEX(customer[عنوان],MATCH(Main[[#This Row],[کد ردیابی]],customer[کد],0))</f>
        <v>ایران گرما</v>
      </c>
      <c r="H1002">
        <v>1672</v>
      </c>
      <c r="I1002" s="6">
        <f ca="1">-Main[[#This Row],[بدهی تسویه شده (کیلوگرم)]]+Main[[#This Row],[بستانکار (کیلوگرم)]]</f>
        <v>1672</v>
      </c>
      <c r="J1002" s="6">
        <f>IF(Main[[#This Row],[مقدار (کیلوگرم)]]&gt;0,Main[[#This Row],[مقدار (کیلوگرم)]],0)</f>
        <v>1672</v>
      </c>
      <c r="K1002" s="6">
        <f>-IF(Main[[#This Row],[مقدار (کیلوگرم)]]&lt;0,Main[[#This Row],[مقدار (کیلوگرم)]],0)</f>
        <v>0</v>
      </c>
      <c r="L10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2" s="7">
        <f>-IF(AND(Main[[#This Row],[مقدار (کیلوگرم)]]&lt;0,Main[[#This Row],[تاريخ میلادی]]&gt;44276),Main[[#This Row],[مقدار (کیلوگرم)]],0)</f>
        <v>0</v>
      </c>
      <c r="N1002" s="6">
        <f ca="1">Main[[#This Row],[بدهکار (کیلوگرم)]]-Main[[#This Row],[بدهی تسویه نشده (کیلوگرم)]]</f>
        <v>0</v>
      </c>
      <c r="O1002" s="6">
        <f ca="1">Main[[#This Row],[تفکیک]]</f>
        <v>0</v>
      </c>
      <c r="P1002" s="6">
        <f ca="1">IF(Main[[#This Row],[تاخیر از سررسید]]&gt;0,Main[[#This Row],[بدهی تسویه نشده (کیلوگرم)]],0)</f>
        <v>0</v>
      </c>
      <c r="Q1002" s="6">
        <f ca="1">IF(Main[[#This Row],[بدهی تسویه نشده (کیلوگرم)]]&gt;0,'گزارش فردی'!$B$7-Main[[#This Row],[تاريخ میلادی]],0)</f>
        <v>0</v>
      </c>
      <c r="R1002" s="6">
        <f ca="1">IF(Main[[#This Row],[بدهی تسویه نشده (کیلوگرم)]]&gt;0,'گزارش فردی'!$B$7-Main[[#This Row],[تاريخ میلادی]]-'گزارش فردی'!$B$8,0)</f>
        <v>0</v>
      </c>
      <c r="S1002" s="6">
        <f ca="1">Main[[#This Row],[روز از ارسال سفارش]]*Main[[#This Row],[بدهی تسویه نشده (کیلوگرم)]]</f>
        <v>0</v>
      </c>
      <c r="T1002" s="6">
        <f ca="1">Main[[#This Row],[بدهی سررسید شده (کیلوگرم)]]*Main[[#This Row],[روز از ارسال سفارش]]</f>
        <v>0</v>
      </c>
      <c r="U1002" s="6">
        <f>-SUBTOTAL(9,INDEX(Main[مقدار (کیلوگرم)],1):Main[[#This Row],[مقدار (کیلوگرم)]])</f>
        <v>23290</v>
      </c>
      <c r="V10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2" s="6">
        <f>Main[[#This Row],[تعداد کل روزهای بدهکار (روز)]]*Main[[#This Row],[مانده در خط کل (کیلوگرم)]]</f>
        <v>0</v>
      </c>
      <c r="X1002" s="6">
        <f ca="1">-SUBTOTAL(9,INDEX(Main[مقدار تسویه شده (کیلوگرم)],1):Main[[#This Row],[مقدار تسویه شده (کیلوگرم)]])</f>
        <v>23290</v>
      </c>
      <c r="Y1002" s="6">
        <f ca="1">IF(Main[[#This Row],[مانده در خط تسویه شده (کیلوگرم)]]&lt;&gt;0,Main[[#This Row],[تعداد کل روزهای بدهکار (روز)]],0)</f>
        <v>0</v>
      </c>
      <c r="Z1002" s="6">
        <f ca="1">Main[[#This Row],[تعداد روزهای بدهکار تسویه شده (روز)]]*Main[[#This Row],[مانده در خط تسویه شده (کیلوگرم)]]</f>
        <v>0</v>
      </c>
      <c r="AA1002" s="6">
        <f ca="1">SUBTOTAL(9,INDEX(Main[بدهی تسویه نشده (کیلوگرم)],1):Main[[#This Row],[بدهی تسویه نشده (کیلوگرم)]])</f>
        <v>0</v>
      </c>
      <c r="AB1002" s="6">
        <f ca="1">IF(Main[[#This Row],[مانده در خط تسویه نشده (کیلوگرم)]]&lt;&gt;0,Main[[#This Row],[تعداد کل روزهای بدهکار (روز)]],0)</f>
        <v>0</v>
      </c>
      <c r="AC1002" s="6">
        <f ca="1">Main[[#This Row],[تعداد روزهای بدهکار  تسویه نشده (روز)]]*Main[[#This Row],[مانده در خط تسویه نشده (کیلوگرم)]]</f>
        <v>0</v>
      </c>
      <c r="AD1002" s="6">
        <f ca="1">SUBTOTAL(9,INDEX(Main[بدهی سررسید شده (کیلوگرم)],1):Main[[#This Row],[بدهی سررسید شده (کیلوگرم)]])</f>
        <v>0</v>
      </c>
      <c r="AE1002" s="6">
        <f ca="1">IF(Main[[#This Row],[مانده در خط سررسید شده (کیلوگرم)]]&lt;&gt;0,Main[[#This Row],[تعداد کل روزهای بدهکار (روز)]],0)</f>
        <v>0</v>
      </c>
      <c r="AF1002" s="6">
        <f ca="1">Main[[#This Row],[تعداد روزهای بدهکار سررسید شده (روز)]]*Main[[#This Row],[مانده در خط سررسید شده (کیلوگرم)]]</f>
        <v>0</v>
      </c>
    </row>
    <row r="1003" spans="1:32" x14ac:dyDescent="0.35">
      <c r="A1003" s="5">
        <f>ROW()-ROW(INDEX(Main[ردیف],1))+1</f>
        <v>1001</v>
      </c>
      <c r="B1003" s="31">
        <f>SUBTOTAL(2,INDEX(Main[ردیف],1):Main[[#This Row],[ردیف]])</f>
        <v>96</v>
      </c>
      <c r="C1003" s="32" t="s">
        <v>610</v>
      </c>
      <c r="D1003" s="32" t="str">
        <f>_xlfn.CONCAT("14",Main[[#This Row],[تاريخ]])</f>
        <v>1400/04/14</v>
      </c>
      <c r="E1003" s="33">
        <v>44382</v>
      </c>
      <c r="F1003" s="32">
        <v>10003</v>
      </c>
      <c r="G1003" s="5" t="str">
        <f>INDEX(customer[عنوان],MATCH(Main[[#This Row],[کد ردیابی]],customer[کد],0))</f>
        <v>اصغر نورعلی</v>
      </c>
      <c r="H1003">
        <v>-2028</v>
      </c>
      <c r="I1003" s="6">
        <f ca="1">-Main[[#This Row],[بدهی تسویه شده (کیلوگرم)]]+Main[[#This Row],[بستانکار (کیلوگرم)]]</f>
        <v>-2028</v>
      </c>
      <c r="J1003" s="6">
        <f>IF(Main[[#This Row],[مقدار (کیلوگرم)]]&gt;0,Main[[#This Row],[مقدار (کیلوگرم)]],0)</f>
        <v>0</v>
      </c>
      <c r="K1003" s="6">
        <f>-IF(Main[[#This Row],[مقدار (کیلوگرم)]]&lt;0,Main[[#This Row],[مقدار (کیلوگرم)]],0)</f>
        <v>2028</v>
      </c>
      <c r="L10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3" s="7">
        <f>-IF(AND(Main[[#This Row],[مقدار (کیلوگرم)]]&lt;0,Main[[#This Row],[تاريخ میلادی]]&gt;44276),Main[[#This Row],[مقدار (کیلوگرم)]],0)</f>
        <v>2028</v>
      </c>
      <c r="N1003" s="6">
        <f ca="1">Main[[#This Row],[بدهکار (کیلوگرم)]]-Main[[#This Row],[بدهی تسویه نشده (کیلوگرم)]]</f>
        <v>2028</v>
      </c>
      <c r="O1003" s="6">
        <f ca="1">Main[[#This Row],[تفکیک]]</f>
        <v>0</v>
      </c>
      <c r="P1003" s="6">
        <f ca="1">IF(Main[[#This Row],[تاخیر از سررسید]]&gt;0,Main[[#This Row],[بدهی تسویه نشده (کیلوگرم)]],0)</f>
        <v>0</v>
      </c>
      <c r="Q1003" s="6">
        <f ca="1">IF(Main[[#This Row],[بدهی تسویه نشده (کیلوگرم)]]&gt;0,'گزارش فردی'!$B$7-Main[[#This Row],[تاريخ میلادی]],0)</f>
        <v>0</v>
      </c>
      <c r="R1003" s="6">
        <f ca="1">IF(Main[[#This Row],[بدهی تسویه نشده (کیلوگرم)]]&gt;0,'گزارش فردی'!$B$7-Main[[#This Row],[تاريخ میلادی]]-'گزارش فردی'!$B$8,0)</f>
        <v>0</v>
      </c>
      <c r="S1003" s="6">
        <f ca="1">Main[[#This Row],[روز از ارسال سفارش]]*Main[[#This Row],[بدهی تسویه نشده (کیلوگرم)]]</f>
        <v>0</v>
      </c>
      <c r="T1003" s="6">
        <f ca="1">Main[[#This Row],[بدهی سررسید شده (کیلوگرم)]]*Main[[#This Row],[روز از ارسال سفارش]]</f>
        <v>0</v>
      </c>
      <c r="U1003" s="6">
        <f>-SUBTOTAL(9,INDEX(Main[مقدار (کیلوگرم)],1):Main[[#This Row],[مقدار (کیلوگرم)]])</f>
        <v>25318</v>
      </c>
      <c r="V10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3" s="6">
        <f>Main[[#This Row],[تعداد کل روزهای بدهکار (روز)]]*Main[[#This Row],[مانده در خط کل (کیلوگرم)]]</f>
        <v>25318</v>
      </c>
      <c r="X1003" s="6">
        <f ca="1">-SUBTOTAL(9,INDEX(Main[مقدار تسویه شده (کیلوگرم)],1):Main[[#This Row],[مقدار تسویه شده (کیلوگرم)]])</f>
        <v>25318</v>
      </c>
      <c r="Y1003" s="6">
        <f ca="1">IF(Main[[#This Row],[مانده در خط تسویه شده (کیلوگرم)]]&lt;&gt;0,Main[[#This Row],[تعداد کل روزهای بدهکار (روز)]],0)</f>
        <v>1</v>
      </c>
      <c r="Z1003" s="6">
        <f ca="1">Main[[#This Row],[تعداد روزهای بدهکار تسویه شده (روز)]]*Main[[#This Row],[مانده در خط تسویه شده (کیلوگرم)]]</f>
        <v>25318</v>
      </c>
      <c r="AA1003" s="6">
        <f ca="1">SUBTOTAL(9,INDEX(Main[بدهی تسویه نشده (کیلوگرم)],1):Main[[#This Row],[بدهی تسویه نشده (کیلوگرم)]])</f>
        <v>0</v>
      </c>
      <c r="AB1003" s="6">
        <f ca="1">IF(Main[[#This Row],[مانده در خط تسویه نشده (کیلوگرم)]]&lt;&gt;0,Main[[#This Row],[تعداد کل روزهای بدهکار (روز)]],0)</f>
        <v>0</v>
      </c>
      <c r="AC1003" s="6">
        <f ca="1">Main[[#This Row],[تعداد روزهای بدهکار  تسویه نشده (روز)]]*Main[[#This Row],[مانده در خط تسویه نشده (کیلوگرم)]]</f>
        <v>0</v>
      </c>
      <c r="AD1003" s="6">
        <f ca="1">SUBTOTAL(9,INDEX(Main[بدهی سررسید شده (کیلوگرم)],1):Main[[#This Row],[بدهی سررسید شده (کیلوگرم)]])</f>
        <v>0</v>
      </c>
      <c r="AE1003" s="6">
        <f ca="1">IF(Main[[#This Row],[مانده در خط سررسید شده (کیلوگرم)]]&lt;&gt;0,Main[[#This Row],[تعداد کل روزهای بدهکار (روز)]],0)</f>
        <v>0</v>
      </c>
      <c r="AF1003" s="6">
        <f ca="1">Main[[#This Row],[تعداد روزهای بدهکار سررسید شده (روز)]]*Main[[#This Row],[مانده در خط سررسید شده (کیلوگرم)]]</f>
        <v>0</v>
      </c>
    </row>
    <row r="1004" spans="1:32" hidden="1" x14ac:dyDescent="0.35">
      <c r="A1004" s="5">
        <f>ROW()-ROW(INDEX(Main[ردیف],1))+1</f>
        <v>1002</v>
      </c>
      <c r="B1004" s="31">
        <f>SUBTOTAL(2,INDEX(Main[ردیف],1):Main[[#This Row],[ردیف]])</f>
        <v>96</v>
      </c>
      <c r="C1004" s="32" t="s">
        <v>610</v>
      </c>
      <c r="D1004" s="32" t="str">
        <f>_xlfn.CONCAT("14",Main[[#This Row],[تاريخ]])</f>
        <v>1400/04/14</v>
      </c>
      <c r="E1004" s="33">
        <v>44382</v>
      </c>
      <c r="F1004" s="32">
        <v>30009</v>
      </c>
      <c r="G1004" s="5" t="str">
        <f>INDEX(customer[عنوان],MATCH(Main[[#This Row],[کد ردیابی]],customer[کد],0))</f>
        <v>شرکت ایمن تک پیشرو</v>
      </c>
      <c r="H1004">
        <v>1883</v>
      </c>
      <c r="I1004" s="6">
        <f ca="1">-Main[[#This Row],[بدهی تسویه شده (کیلوگرم)]]+Main[[#This Row],[بستانکار (کیلوگرم)]]</f>
        <v>1883</v>
      </c>
      <c r="J1004" s="6">
        <f>IF(Main[[#This Row],[مقدار (کیلوگرم)]]&gt;0,Main[[#This Row],[مقدار (کیلوگرم)]],0)</f>
        <v>1883</v>
      </c>
      <c r="K1004" s="6">
        <f>-IF(Main[[#This Row],[مقدار (کیلوگرم)]]&lt;0,Main[[#This Row],[مقدار (کیلوگرم)]],0)</f>
        <v>0</v>
      </c>
      <c r="L10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4" s="7">
        <f>-IF(AND(Main[[#This Row],[مقدار (کیلوگرم)]]&lt;0,Main[[#This Row],[تاريخ میلادی]]&gt;44276),Main[[#This Row],[مقدار (کیلوگرم)]],0)</f>
        <v>0</v>
      </c>
      <c r="N1004" s="6">
        <f ca="1">Main[[#This Row],[بدهکار (کیلوگرم)]]-Main[[#This Row],[بدهی تسویه نشده (کیلوگرم)]]</f>
        <v>0</v>
      </c>
      <c r="O1004" s="6">
        <f ca="1">Main[[#This Row],[تفکیک]]</f>
        <v>0</v>
      </c>
      <c r="P1004" s="6">
        <f ca="1">IF(Main[[#This Row],[تاخیر از سررسید]]&gt;0,Main[[#This Row],[بدهی تسویه نشده (کیلوگرم)]],0)</f>
        <v>0</v>
      </c>
      <c r="Q1004" s="6">
        <f ca="1">IF(Main[[#This Row],[بدهی تسویه نشده (کیلوگرم)]]&gt;0,'گزارش فردی'!$B$7-Main[[#This Row],[تاريخ میلادی]],0)</f>
        <v>0</v>
      </c>
      <c r="R1004" s="6">
        <f ca="1">IF(Main[[#This Row],[بدهی تسویه نشده (کیلوگرم)]]&gt;0,'گزارش فردی'!$B$7-Main[[#This Row],[تاريخ میلادی]]-'گزارش فردی'!$B$8,0)</f>
        <v>0</v>
      </c>
      <c r="S1004" s="6">
        <f ca="1">Main[[#This Row],[روز از ارسال سفارش]]*Main[[#This Row],[بدهی تسویه نشده (کیلوگرم)]]</f>
        <v>0</v>
      </c>
      <c r="T1004" s="6">
        <f ca="1">Main[[#This Row],[بدهی سررسید شده (کیلوگرم)]]*Main[[#This Row],[روز از ارسال سفارش]]</f>
        <v>0</v>
      </c>
      <c r="U1004" s="6">
        <f>-SUBTOTAL(9,INDEX(Main[مقدار (کیلوگرم)],1):Main[[#This Row],[مقدار (کیلوگرم)]])</f>
        <v>25318</v>
      </c>
      <c r="V10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4" s="6">
        <f>Main[[#This Row],[تعداد کل روزهای بدهکار (روز)]]*Main[[#This Row],[مانده در خط کل (کیلوگرم)]]</f>
        <v>25318</v>
      </c>
      <c r="X1004" s="6">
        <f ca="1">-SUBTOTAL(9,INDEX(Main[مقدار تسویه شده (کیلوگرم)],1):Main[[#This Row],[مقدار تسویه شده (کیلوگرم)]])</f>
        <v>25318</v>
      </c>
      <c r="Y1004" s="6">
        <f ca="1">IF(Main[[#This Row],[مانده در خط تسویه شده (کیلوگرم)]]&lt;&gt;0,Main[[#This Row],[تعداد کل روزهای بدهکار (روز)]],0)</f>
        <v>1</v>
      </c>
      <c r="Z1004" s="6">
        <f ca="1">Main[[#This Row],[تعداد روزهای بدهکار تسویه شده (روز)]]*Main[[#This Row],[مانده در خط تسویه شده (کیلوگرم)]]</f>
        <v>25318</v>
      </c>
      <c r="AA1004" s="6">
        <f ca="1">SUBTOTAL(9,INDEX(Main[بدهی تسویه نشده (کیلوگرم)],1):Main[[#This Row],[بدهی تسویه نشده (کیلوگرم)]])</f>
        <v>0</v>
      </c>
      <c r="AB1004" s="6">
        <f ca="1">IF(Main[[#This Row],[مانده در خط تسویه نشده (کیلوگرم)]]&lt;&gt;0,Main[[#This Row],[تعداد کل روزهای بدهکار (روز)]],0)</f>
        <v>0</v>
      </c>
      <c r="AC1004" s="6">
        <f ca="1">Main[[#This Row],[تعداد روزهای بدهکار  تسویه نشده (روز)]]*Main[[#This Row],[مانده در خط تسویه نشده (کیلوگرم)]]</f>
        <v>0</v>
      </c>
      <c r="AD1004" s="6">
        <f ca="1">SUBTOTAL(9,INDEX(Main[بدهی سررسید شده (کیلوگرم)],1):Main[[#This Row],[بدهی سررسید شده (کیلوگرم)]])</f>
        <v>0</v>
      </c>
      <c r="AE1004" s="6">
        <f ca="1">IF(Main[[#This Row],[مانده در خط سررسید شده (کیلوگرم)]]&lt;&gt;0,Main[[#This Row],[تعداد کل روزهای بدهکار (روز)]],0)</f>
        <v>0</v>
      </c>
      <c r="AF1004" s="6">
        <f ca="1">Main[[#This Row],[تعداد روزهای بدهکار سررسید شده (روز)]]*Main[[#This Row],[مانده در خط سررسید شده (کیلوگرم)]]</f>
        <v>0</v>
      </c>
    </row>
    <row r="1005" spans="1:32" hidden="1" x14ac:dyDescent="0.35">
      <c r="A1005" s="5">
        <f>ROW()-ROW(INDEX(Main[ردیف],1))+1</f>
        <v>1003</v>
      </c>
      <c r="B1005" s="31">
        <f>SUBTOTAL(2,INDEX(Main[ردیف],1):Main[[#This Row],[ردیف]])</f>
        <v>96</v>
      </c>
      <c r="C1005" s="32" t="s">
        <v>610</v>
      </c>
      <c r="D1005" s="32" t="str">
        <f>_xlfn.CONCAT("14",Main[[#This Row],[تاريخ]])</f>
        <v>1400/04/14</v>
      </c>
      <c r="E1005" s="33">
        <v>44382</v>
      </c>
      <c r="F1005" s="32">
        <v>30004</v>
      </c>
      <c r="G1005" s="5" t="str">
        <f>INDEX(customer[عنوان],MATCH(Main[[#This Row],[کد ردیابی]],customer[کد],0))</f>
        <v>تولیدی صنعتی صفاشیر پارس</v>
      </c>
      <c r="H1005">
        <v>2001</v>
      </c>
      <c r="I1005" s="6">
        <f ca="1">-Main[[#This Row],[بدهی تسویه شده (کیلوگرم)]]+Main[[#This Row],[بستانکار (کیلوگرم)]]</f>
        <v>2001</v>
      </c>
      <c r="J1005" s="6">
        <f>IF(Main[[#This Row],[مقدار (کیلوگرم)]]&gt;0,Main[[#This Row],[مقدار (کیلوگرم)]],0)</f>
        <v>2001</v>
      </c>
      <c r="K1005" s="6">
        <f>-IF(Main[[#This Row],[مقدار (کیلوگرم)]]&lt;0,Main[[#This Row],[مقدار (کیلوگرم)]],0)</f>
        <v>0</v>
      </c>
      <c r="L10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5" s="7">
        <f>-IF(AND(Main[[#This Row],[مقدار (کیلوگرم)]]&lt;0,Main[[#This Row],[تاريخ میلادی]]&gt;44276),Main[[#This Row],[مقدار (کیلوگرم)]],0)</f>
        <v>0</v>
      </c>
      <c r="N1005" s="6">
        <f ca="1">Main[[#This Row],[بدهکار (کیلوگرم)]]-Main[[#This Row],[بدهی تسویه نشده (کیلوگرم)]]</f>
        <v>0</v>
      </c>
      <c r="O1005" s="6">
        <f ca="1">Main[[#This Row],[تفکیک]]</f>
        <v>0</v>
      </c>
      <c r="P1005" s="6">
        <f ca="1">IF(Main[[#This Row],[تاخیر از سررسید]]&gt;0,Main[[#This Row],[بدهی تسویه نشده (کیلوگرم)]],0)</f>
        <v>0</v>
      </c>
      <c r="Q1005" s="6">
        <f ca="1">IF(Main[[#This Row],[بدهی تسویه نشده (کیلوگرم)]]&gt;0,'گزارش فردی'!$B$7-Main[[#This Row],[تاريخ میلادی]],0)</f>
        <v>0</v>
      </c>
      <c r="R1005" s="6">
        <f ca="1">IF(Main[[#This Row],[بدهی تسویه نشده (کیلوگرم)]]&gt;0,'گزارش فردی'!$B$7-Main[[#This Row],[تاريخ میلادی]]-'گزارش فردی'!$B$8,0)</f>
        <v>0</v>
      </c>
      <c r="S1005" s="6">
        <f ca="1">Main[[#This Row],[روز از ارسال سفارش]]*Main[[#This Row],[بدهی تسویه نشده (کیلوگرم)]]</f>
        <v>0</v>
      </c>
      <c r="T1005" s="6">
        <f ca="1">Main[[#This Row],[بدهی سررسید شده (کیلوگرم)]]*Main[[#This Row],[روز از ارسال سفارش]]</f>
        <v>0</v>
      </c>
      <c r="U1005" s="6">
        <f>-SUBTOTAL(9,INDEX(Main[مقدار (کیلوگرم)],1):Main[[#This Row],[مقدار (کیلوگرم)]])</f>
        <v>25318</v>
      </c>
      <c r="V10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5" s="6">
        <f>Main[[#This Row],[تعداد کل روزهای بدهکار (روز)]]*Main[[#This Row],[مانده در خط کل (کیلوگرم)]]</f>
        <v>25318</v>
      </c>
      <c r="X1005" s="6">
        <f ca="1">-SUBTOTAL(9,INDEX(Main[مقدار تسویه شده (کیلوگرم)],1):Main[[#This Row],[مقدار تسویه شده (کیلوگرم)]])</f>
        <v>25318</v>
      </c>
      <c r="Y1005" s="6">
        <f ca="1">IF(Main[[#This Row],[مانده در خط تسویه شده (کیلوگرم)]]&lt;&gt;0,Main[[#This Row],[تعداد کل روزهای بدهکار (روز)]],0)</f>
        <v>1</v>
      </c>
      <c r="Z1005" s="6">
        <f ca="1">Main[[#This Row],[تعداد روزهای بدهکار تسویه شده (روز)]]*Main[[#This Row],[مانده در خط تسویه شده (کیلوگرم)]]</f>
        <v>25318</v>
      </c>
      <c r="AA1005" s="6">
        <f ca="1">SUBTOTAL(9,INDEX(Main[بدهی تسویه نشده (کیلوگرم)],1):Main[[#This Row],[بدهی تسویه نشده (کیلوگرم)]])</f>
        <v>0</v>
      </c>
      <c r="AB1005" s="6">
        <f ca="1">IF(Main[[#This Row],[مانده در خط تسویه نشده (کیلوگرم)]]&lt;&gt;0,Main[[#This Row],[تعداد کل روزهای بدهکار (روز)]],0)</f>
        <v>0</v>
      </c>
      <c r="AC1005" s="6">
        <f ca="1">Main[[#This Row],[تعداد روزهای بدهکار  تسویه نشده (روز)]]*Main[[#This Row],[مانده در خط تسویه نشده (کیلوگرم)]]</f>
        <v>0</v>
      </c>
      <c r="AD1005" s="6">
        <f ca="1">SUBTOTAL(9,INDEX(Main[بدهی سررسید شده (کیلوگرم)],1):Main[[#This Row],[بدهی سررسید شده (کیلوگرم)]])</f>
        <v>0</v>
      </c>
      <c r="AE1005" s="6">
        <f ca="1">IF(Main[[#This Row],[مانده در خط سررسید شده (کیلوگرم)]]&lt;&gt;0,Main[[#This Row],[تعداد کل روزهای بدهکار (روز)]],0)</f>
        <v>0</v>
      </c>
      <c r="AF1005" s="6">
        <f ca="1">Main[[#This Row],[تعداد روزهای بدهکار سررسید شده (روز)]]*Main[[#This Row],[مانده در خط سررسید شده (کیلوگرم)]]</f>
        <v>0</v>
      </c>
    </row>
    <row r="1006" spans="1:32" hidden="1" x14ac:dyDescent="0.35">
      <c r="A1006" s="5">
        <f>ROW()-ROW(INDEX(Main[ردیف],1))+1</f>
        <v>1004</v>
      </c>
      <c r="B1006" s="31">
        <f>SUBTOTAL(2,INDEX(Main[ردیف],1):Main[[#This Row],[ردیف]])</f>
        <v>96</v>
      </c>
      <c r="C1006" s="32" t="s">
        <v>610</v>
      </c>
      <c r="D1006" s="32" t="str">
        <f>_xlfn.CONCAT("14",Main[[#This Row],[تاريخ]])</f>
        <v>1400/04/14</v>
      </c>
      <c r="E1006" s="33">
        <v>44382</v>
      </c>
      <c r="F1006" s="32">
        <v>30004</v>
      </c>
      <c r="G1006" s="5" t="str">
        <f>INDEX(customer[عنوان],MATCH(Main[[#This Row],[کد ردیابی]],customer[کد],0))</f>
        <v>تولیدی صنعتی صفاشیر پارس</v>
      </c>
      <c r="H1006">
        <v>694</v>
      </c>
      <c r="I1006" s="6">
        <f ca="1">-Main[[#This Row],[بدهی تسویه شده (کیلوگرم)]]+Main[[#This Row],[بستانکار (کیلوگرم)]]</f>
        <v>694</v>
      </c>
      <c r="J1006" s="6">
        <f>IF(Main[[#This Row],[مقدار (کیلوگرم)]]&gt;0,Main[[#This Row],[مقدار (کیلوگرم)]],0)</f>
        <v>694</v>
      </c>
      <c r="K1006" s="6">
        <f>-IF(Main[[#This Row],[مقدار (کیلوگرم)]]&lt;0,Main[[#This Row],[مقدار (کیلوگرم)]],0)</f>
        <v>0</v>
      </c>
      <c r="L10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6" s="7">
        <f>-IF(AND(Main[[#This Row],[مقدار (کیلوگرم)]]&lt;0,Main[[#This Row],[تاريخ میلادی]]&gt;44276),Main[[#This Row],[مقدار (کیلوگرم)]],0)</f>
        <v>0</v>
      </c>
      <c r="N1006" s="6">
        <f ca="1">Main[[#This Row],[بدهکار (کیلوگرم)]]-Main[[#This Row],[بدهی تسویه نشده (کیلوگرم)]]</f>
        <v>0</v>
      </c>
      <c r="O1006" s="6">
        <f ca="1">Main[[#This Row],[تفکیک]]</f>
        <v>0</v>
      </c>
      <c r="P1006" s="6">
        <f ca="1">IF(Main[[#This Row],[تاخیر از سررسید]]&gt;0,Main[[#This Row],[بدهی تسویه نشده (کیلوگرم)]],0)</f>
        <v>0</v>
      </c>
      <c r="Q1006" s="6">
        <f ca="1">IF(Main[[#This Row],[بدهی تسویه نشده (کیلوگرم)]]&gt;0,'گزارش فردی'!$B$7-Main[[#This Row],[تاريخ میلادی]],0)</f>
        <v>0</v>
      </c>
      <c r="R1006" s="6">
        <f ca="1">IF(Main[[#This Row],[بدهی تسویه نشده (کیلوگرم)]]&gt;0,'گزارش فردی'!$B$7-Main[[#This Row],[تاريخ میلادی]]-'گزارش فردی'!$B$8,0)</f>
        <v>0</v>
      </c>
      <c r="S1006" s="6">
        <f ca="1">Main[[#This Row],[روز از ارسال سفارش]]*Main[[#This Row],[بدهی تسویه نشده (کیلوگرم)]]</f>
        <v>0</v>
      </c>
      <c r="T1006" s="6">
        <f ca="1">Main[[#This Row],[بدهی سررسید شده (کیلوگرم)]]*Main[[#This Row],[روز از ارسال سفارش]]</f>
        <v>0</v>
      </c>
      <c r="U1006" s="6">
        <f>-SUBTOTAL(9,INDEX(Main[مقدار (کیلوگرم)],1):Main[[#This Row],[مقدار (کیلوگرم)]])</f>
        <v>25318</v>
      </c>
      <c r="V10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6" s="6">
        <f>Main[[#This Row],[تعداد کل روزهای بدهکار (روز)]]*Main[[#This Row],[مانده در خط کل (کیلوگرم)]]</f>
        <v>25318</v>
      </c>
      <c r="X1006" s="6">
        <f ca="1">-SUBTOTAL(9,INDEX(Main[مقدار تسویه شده (کیلوگرم)],1):Main[[#This Row],[مقدار تسویه شده (کیلوگرم)]])</f>
        <v>25318</v>
      </c>
      <c r="Y1006" s="6">
        <f ca="1">IF(Main[[#This Row],[مانده در خط تسویه شده (کیلوگرم)]]&lt;&gt;0,Main[[#This Row],[تعداد کل روزهای بدهکار (روز)]],0)</f>
        <v>1</v>
      </c>
      <c r="Z1006" s="6">
        <f ca="1">Main[[#This Row],[تعداد روزهای بدهکار تسویه شده (روز)]]*Main[[#This Row],[مانده در خط تسویه شده (کیلوگرم)]]</f>
        <v>25318</v>
      </c>
      <c r="AA1006" s="6">
        <f ca="1">SUBTOTAL(9,INDEX(Main[بدهی تسویه نشده (کیلوگرم)],1):Main[[#This Row],[بدهی تسویه نشده (کیلوگرم)]])</f>
        <v>0</v>
      </c>
      <c r="AB1006" s="6">
        <f ca="1">IF(Main[[#This Row],[مانده در خط تسویه نشده (کیلوگرم)]]&lt;&gt;0,Main[[#This Row],[تعداد کل روزهای بدهکار (روز)]],0)</f>
        <v>0</v>
      </c>
      <c r="AC1006" s="6">
        <f ca="1">Main[[#This Row],[تعداد روزهای بدهکار  تسویه نشده (روز)]]*Main[[#This Row],[مانده در خط تسویه نشده (کیلوگرم)]]</f>
        <v>0</v>
      </c>
      <c r="AD1006" s="6">
        <f ca="1">SUBTOTAL(9,INDEX(Main[بدهی سررسید شده (کیلوگرم)],1):Main[[#This Row],[بدهی سررسید شده (کیلوگرم)]])</f>
        <v>0</v>
      </c>
      <c r="AE1006" s="6">
        <f ca="1">IF(Main[[#This Row],[مانده در خط سررسید شده (کیلوگرم)]]&lt;&gt;0,Main[[#This Row],[تعداد کل روزهای بدهکار (روز)]],0)</f>
        <v>0</v>
      </c>
      <c r="AF1006" s="6">
        <f ca="1">Main[[#This Row],[تعداد روزهای بدهکار سررسید شده (روز)]]*Main[[#This Row],[مانده در خط سررسید شده (کیلوگرم)]]</f>
        <v>0</v>
      </c>
    </row>
    <row r="1007" spans="1:32" hidden="1" x14ac:dyDescent="0.35">
      <c r="A1007" s="5">
        <f>ROW()-ROW(INDEX(Main[ردیف],1))+1</f>
        <v>1005</v>
      </c>
      <c r="B1007" s="31">
        <f>SUBTOTAL(2,INDEX(Main[ردیف],1):Main[[#This Row],[ردیف]])</f>
        <v>96</v>
      </c>
      <c r="C1007" s="32" t="s">
        <v>611</v>
      </c>
      <c r="D1007" s="32" t="str">
        <f>_xlfn.CONCAT("14",Main[[#This Row],[تاريخ]])</f>
        <v>1400/04/15</v>
      </c>
      <c r="E1007" s="33">
        <v>44383</v>
      </c>
      <c r="F1007" s="32">
        <v>30014</v>
      </c>
      <c r="G1007" s="5" t="str">
        <f>INDEX(customer[عنوان],MATCH(Main[[#This Row],[کد ردیابی]],customer[کد],0))</f>
        <v>کلون</v>
      </c>
      <c r="H1007">
        <v>-1014</v>
      </c>
      <c r="I1007" s="6">
        <f ca="1">-Main[[#This Row],[بدهی تسویه شده (کیلوگرم)]]+Main[[#This Row],[بستانکار (کیلوگرم)]]</f>
        <v>-1014</v>
      </c>
      <c r="J1007" s="6">
        <f>IF(Main[[#This Row],[مقدار (کیلوگرم)]]&gt;0,Main[[#This Row],[مقدار (کیلوگرم)]],0)</f>
        <v>0</v>
      </c>
      <c r="K1007" s="6">
        <f>-IF(Main[[#This Row],[مقدار (کیلوگرم)]]&lt;0,Main[[#This Row],[مقدار (کیلوگرم)]],0)</f>
        <v>1014</v>
      </c>
      <c r="L10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7" s="7">
        <f>-IF(AND(Main[[#This Row],[مقدار (کیلوگرم)]]&lt;0,Main[[#This Row],[تاريخ میلادی]]&gt;44276),Main[[#This Row],[مقدار (کیلوگرم)]],0)</f>
        <v>1014</v>
      </c>
      <c r="N1007" s="6">
        <f ca="1">Main[[#This Row],[بدهکار (کیلوگرم)]]-Main[[#This Row],[بدهی تسویه نشده (کیلوگرم)]]</f>
        <v>1014</v>
      </c>
      <c r="O1007" s="6">
        <f ca="1">Main[[#This Row],[تفکیک]]</f>
        <v>0</v>
      </c>
      <c r="P1007" s="6">
        <f ca="1">IF(Main[[#This Row],[تاخیر از سررسید]]&gt;0,Main[[#This Row],[بدهی تسویه نشده (کیلوگرم)]],0)</f>
        <v>0</v>
      </c>
      <c r="Q1007" s="6">
        <f ca="1">IF(Main[[#This Row],[بدهی تسویه نشده (کیلوگرم)]]&gt;0,'گزارش فردی'!$B$7-Main[[#This Row],[تاريخ میلادی]],0)</f>
        <v>0</v>
      </c>
      <c r="R1007" s="6">
        <f ca="1">IF(Main[[#This Row],[بدهی تسویه نشده (کیلوگرم)]]&gt;0,'گزارش فردی'!$B$7-Main[[#This Row],[تاريخ میلادی]]-'گزارش فردی'!$B$8,0)</f>
        <v>0</v>
      </c>
      <c r="S1007" s="6">
        <f ca="1">Main[[#This Row],[روز از ارسال سفارش]]*Main[[#This Row],[بدهی تسویه نشده (کیلوگرم)]]</f>
        <v>0</v>
      </c>
      <c r="T1007" s="6">
        <f ca="1">Main[[#This Row],[بدهی سررسید شده (کیلوگرم)]]*Main[[#This Row],[روز از ارسال سفارش]]</f>
        <v>0</v>
      </c>
      <c r="U1007" s="6">
        <f>-SUBTOTAL(9,INDEX(Main[مقدار (کیلوگرم)],1):Main[[#This Row],[مقدار (کیلوگرم)]])</f>
        <v>25318</v>
      </c>
      <c r="V10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7" s="6">
        <f>Main[[#This Row],[تعداد کل روزهای بدهکار (روز)]]*Main[[#This Row],[مانده در خط کل (کیلوگرم)]]</f>
        <v>0</v>
      </c>
      <c r="X1007" s="6">
        <f ca="1">-SUBTOTAL(9,INDEX(Main[مقدار تسویه شده (کیلوگرم)],1):Main[[#This Row],[مقدار تسویه شده (کیلوگرم)]])</f>
        <v>25318</v>
      </c>
      <c r="Y1007" s="6">
        <f ca="1">IF(Main[[#This Row],[مانده در خط تسویه شده (کیلوگرم)]]&lt;&gt;0,Main[[#This Row],[تعداد کل روزهای بدهکار (روز)]],0)</f>
        <v>0</v>
      </c>
      <c r="Z1007" s="6">
        <f ca="1">Main[[#This Row],[تعداد روزهای بدهکار تسویه شده (روز)]]*Main[[#This Row],[مانده در خط تسویه شده (کیلوگرم)]]</f>
        <v>0</v>
      </c>
      <c r="AA1007" s="6">
        <f ca="1">SUBTOTAL(9,INDEX(Main[بدهی تسویه نشده (کیلوگرم)],1):Main[[#This Row],[بدهی تسویه نشده (کیلوگرم)]])</f>
        <v>0</v>
      </c>
      <c r="AB1007" s="6">
        <f ca="1">IF(Main[[#This Row],[مانده در خط تسویه نشده (کیلوگرم)]]&lt;&gt;0,Main[[#This Row],[تعداد کل روزهای بدهکار (روز)]],0)</f>
        <v>0</v>
      </c>
      <c r="AC1007" s="6">
        <f ca="1">Main[[#This Row],[تعداد روزهای بدهکار  تسویه نشده (روز)]]*Main[[#This Row],[مانده در خط تسویه نشده (کیلوگرم)]]</f>
        <v>0</v>
      </c>
      <c r="AD1007" s="6">
        <f ca="1">SUBTOTAL(9,INDEX(Main[بدهی سررسید شده (کیلوگرم)],1):Main[[#This Row],[بدهی سررسید شده (کیلوگرم)]])</f>
        <v>0</v>
      </c>
      <c r="AE1007" s="6">
        <f ca="1">IF(Main[[#This Row],[مانده در خط سررسید شده (کیلوگرم)]]&lt;&gt;0,Main[[#This Row],[تعداد کل روزهای بدهکار (روز)]],0)</f>
        <v>0</v>
      </c>
      <c r="AF1007" s="6">
        <f ca="1">Main[[#This Row],[تعداد روزهای بدهکار سررسید شده (روز)]]*Main[[#This Row],[مانده در خط سررسید شده (کیلوگرم)]]</f>
        <v>0</v>
      </c>
    </row>
    <row r="1008" spans="1:32" hidden="1" x14ac:dyDescent="0.35">
      <c r="A1008" s="5">
        <f>ROW()-ROW(INDEX(Main[ردیف],1))+1</f>
        <v>1006</v>
      </c>
      <c r="B1008" s="31">
        <f>SUBTOTAL(2,INDEX(Main[ردیف],1):Main[[#This Row],[ردیف]])</f>
        <v>96</v>
      </c>
      <c r="C1008" s="32" t="s">
        <v>611</v>
      </c>
      <c r="D1008" s="32" t="str">
        <f>_xlfn.CONCAT("14",Main[[#This Row],[تاريخ]])</f>
        <v>1400/04/15</v>
      </c>
      <c r="E1008" s="33">
        <v>44383</v>
      </c>
      <c r="F1008" s="32">
        <v>50016</v>
      </c>
      <c r="G1008" s="5" t="str">
        <f>INDEX(customer[عنوان],MATCH(Main[[#This Row],[کد ردیابی]],customer[کد],0))</f>
        <v xml:space="preserve">مهدی یوسفی  </v>
      </c>
      <c r="H1008">
        <v>20000</v>
      </c>
      <c r="I1008" s="6">
        <f ca="1">-Main[[#This Row],[بدهی تسویه شده (کیلوگرم)]]+Main[[#This Row],[بستانکار (کیلوگرم)]]</f>
        <v>20000</v>
      </c>
      <c r="J1008" s="6">
        <f>IF(Main[[#This Row],[مقدار (کیلوگرم)]]&gt;0,Main[[#This Row],[مقدار (کیلوگرم)]],0)</f>
        <v>20000</v>
      </c>
      <c r="K1008" s="6">
        <f>-IF(Main[[#This Row],[مقدار (کیلوگرم)]]&lt;0,Main[[#This Row],[مقدار (کیلوگرم)]],0)</f>
        <v>0</v>
      </c>
      <c r="L10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8" s="7">
        <f>-IF(AND(Main[[#This Row],[مقدار (کیلوگرم)]]&lt;0,Main[[#This Row],[تاريخ میلادی]]&gt;44276),Main[[#This Row],[مقدار (کیلوگرم)]],0)</f>
        <v>0</v>
      </c>
      <c r="N1008" s="6">
        <f ca="1">Main[[#This Row],[بدهکار (کیلوگرم)]]-Main[[#This Row],[بدهی تسویه نشده (کیلوگرم)]]</f>
        <v>0</v>
      </c>
      <c r="O1008" s="6">
        <f ca="1">Main[[#This Row],[تفکیک]]</f>
        <v>0</v>
      </c>
      <c r="P1008" s="6">
        <f ca="1">IF(Main[[#This Row],[تاخیر از سررسید]]&gt;0,Main[[#This Row],[بدهی تسویه نشده (کیلوگرم)]],0)</f>
        <v>0</v>
      </c>
      <c r="Q1008" s="6">
        <f ca="1">IF(Main[[#This Row],[بدهی تسویه نشده (کیلوگرم)]]&gt;0,'گزارش فردی'!$B$7-Main[[#This Row],[تاريخ میلادی]],0)</f>
        <v>0</v>
      </c>
      <c r="R1008" s="6">
        <f ca="1">IF(Main[[#This Row],[بدهی تسویه نشده (کیلوگرم)]]&gt;0,'گزارش فردی'!$B$7-Main[[#This Row],[تاريخ میلادی]]-'گزارش فردی'!$B$8,0)</f>
        <v>0</v>
      </c>
      <c r="S1008" s="6">
        <f ca="1">Main[[#This Row],[روز از ارسال سفارش]]*Main[[#This Row],[بدهی تسویه نشده (کیلوگرم)]]</f>
        <v>0</v>
      </c>
      <c r="T1008" s="6">
        <f ca="1">Main[[#This Row],[بدهی سررسید شده (کیلوگرم)]]*Main[[#This Row],[روز از ارسال سفارش]]</f>
        <v>0</v>
      </c>
      <c r="U1008" s="6">
        <f>-SUBTOTAL(9,INDEX(Main[مقدار (کیلوگرم)],1):Main[[#This Row],[مقدار (کیلوگرم)]])</f>
        <v>25318</v>
      </c>
      <c r="V10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8" s="6">
        <f>Main[[#This Row],[تعداد کل روزهای بدهکار (روز)]]*Main[[#This Row],[مانده در خط کل (کیلوگرم)]]</f>
        <v>0</v>
      </c>
      <c r="X1008" s="6">
        <f ca="1">-SUBTOTAL(9,INDEX(Main[مقدار تسویه شده (کیلوگرم)],1):Main[[#This Row],[مقدار تسویه شده (کیلوگرم)]])</f>
        <v>25318</v>
      </c>
      <c r="Y1008" s="6">
        <f ca="1">IF(Main[[#This Row],[مانده در خط تسویه شده (کیلوگرم)]]&lt;&gt;0,Main[[#This Row],[تعداد کل روزهای بدهکار (روز)]],0)</f>
        <v>0</v>
      </c>
      <c r="Z1008" s="6">
        <f ca="1">Main[[#This Row],[تعداد روزهای بدهکار تسویه شده (روز)]]*Main[[#This Row],[مانده در خط تسویه شده (کیلوگرم)]]</f>
        <v>0</v>
      </c>
      <c r="AA1008" s="6">
        <f ca="1">SUBTOTAL(9,INDEX(Main[بدهی تسویه نشده (کیلوگرم)],1):Main[[#This Row],[بدهی تسویه نشده (کیلوگرم)]])</f>
        <v>0</v>
      </c>
      <c r="AB1008" s="6">
        <f ca="1">IF(Main[[#This Row],[مانده در خط تسویه نشده (کیلوگرم)]]&lt;&gt;0,Main[[#This Row],[تعداد کل روزهای بدهکار (روز)]],0)</f>
        <v>0</v>
      </c>
      <c r="AC1008" s="6">
        <f ca="1">Main[[#This Row],[تعداد روزهای بدهکار  تسویه نشده (روز)]]*Main[[#This Row],[مانده در خط تسویه نشده (کیلوگرم)]]</f>
        <v>0</v>
      </c>
      <c r="AD1008" s="6">
        <f ca="1">SUBTOTAL(9,INDEX(Main[بدهی سررسید شده (کیلوگرم)],1):Main[[#This Row],[بدهی سررسید شده (کیلوگرم)]])</f>
        <v>0</v>
      </c>
      <c r="AE1008" s="6">
        <f ca="1">IF(Main[[#This Row],[مانده در خط سررسید شده (کیلوگرم)]]&lt;&gt;0,Main[[#This Row],[تعداد کل روزهای بدهکار (روز)]],0)</f>
        <v>0</v>
      </c>
      <c r="AF1008" s="6">
        <f ca="1">Main[[#This Row],[تعداد روزهای بدهکار سررسید شده (روز)]]*Main[[#This Row],[مانده در خط سررسید شده (کیلوگرم)]]</f>
        <v>0</v>
      </c>
    </row>
    <row r="1009" spans="1:32" hidden="1" x14ac:dyDescent="0.35">
      <c r="A1009" s="5">
        <f>ROW()-ROW(INDEX(Main[ردیف],1))+1</f>
        <v>1007</v>
      </c>
      <c r="B1009" s="31">
        <f>SUBTOTAL(2,INDEX(Main[ردیف],1):Main[[#This Row],[ردیف]])</f>
        <v>96</v>
      </c>
      <c r="C1009" s="32" t="s">
        <v>611</v>
      </c>
      <c r="D1009" s="32" t="str">
        <f>_xlfn.CONCAT("14",Main[[#This Row],[تاريخ]])</f>
        <v>1400/04/15</v>
      </c>
      <c r="E1009" s="33">
        <v>44383</v>
      </c>
      <c r="F1009" s="32">
        <v>30191</v>
      </c>
      <c r="G1009" s="5" t="str">
        <f>INDEX(customer[عنوان],MATCH(Main[[#This Row],[کد ردیابی]],customer[کد],0))</f>
        <v>ایران گرما</v>
      </c>
      <c r="H1009">
        <v>-1521</v>
      </c>
      <c r="I1009" s="6">
        <f ca="1">-Main[[#This Row],[بدهی تسویه شده (کیلوگرم)]]+Main[[#This Row],[بستانکار (کیلوگرم)]]</f>
        <v>-1521</v>
      </c>
      <c r="J1009" s="6">
        <f>IF(Main[[#This Row],[مقدار (کیلوگرم)]]&gt;0,Main[[#This Row],[مقدار (کیلوگرم)]],0)</f>
        <v>0</v>
      </c>
      <c r="K1009" s="6">
        <f>-IF(Main[[#This Row],[مقدار (کیلوگرم)]]&lt;0,Main[[#This Row],[مقدار (کیلوگرم)]],0)</f>
        <v>1521</v>
      </c>
      <c r="L10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9" s="7">
        <f>-IF(AND(Main[[#This Row],[مقدار (کیلوگرم)]]&lt;0,Main[[#This Row],[تاريخ میلادی]]&gt;44276),Main[[#This Row],[مقدار (کیلوگرم)]],0)</f>
        <v>1521</v>
      </c>
      <c r="N1009" s="6">
        <f ca="1">Main[[#This Row],[بدهکار (کیلوگرم)]]-Main[[#This Row],[بدهی تسویه نشده (کیلوگرم)]]</f>
        <v>1521</v>
      </c>
      <c r="O1009" s="6">
        <f ca="1">Main[[#This Row],[تفکیک]]</f>
        <v>0</v>
      </c>
      <c r="P1009" s="6">
        <f ca="1">IF(Main[[#This Row],[تاخیر از سررسید]]&gt;0,Main[[#This Row],[بدهی تسویه نشده (کیلوگرم)]],0)</f>
        <v>0</v>
      </c>
      <c r="Q1009" s="6">
        <f ca="1">IF(Main[[#This Row],[بدهی تسویه نشده (کیلوگرم)]]&gt;0,'گزارش فردی'!$B$7-Main[[#This Row],[تاريخ میلادی]],0)</f>
        <v>0</v>
      </c>
      <c r="R1009" s="6">
        <f ca="1">IF(Main[[#This Row],[بدهی تسویه نشده (کیلوگرم)]]&gt;0,'گزارش فردی'!$B$7-Main[[#This Row],[تاريخ میلادی]]-'گزارش فردی'!$B$8,0)</f>
        <v>0</v>
      </c>
      <c r="S1009" s="6">
        <f ca="1">Main[[#This Row],[روز از ارسال سفارش]]*Main[[#This Row],[بدهی تسویه نشده (کیلوگرم)]]</f>
        <v>0</v>
      </c>
      <c r="T1009" s="6">
        <f ca="1">Main[[#This Row],[بدهی سررسید شده (کیلوگرم)]]*Main[[#This Row],[روز از ارسال سفارش]]</f>
        <v>0</v>
      </c>
      <c r="U1009" s="6">
        <f>-SUBTOTAL(9,INDEX(Main[مقدار (کیلوگرم)],1):Main[[#This Row],[مقدار (کیلوگرم)]])</f>
        <v>25318</v>
      </c>
      <c r="V10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9" s="6">
        <f>Main[[#This Row],[تعداد کل روزهای بدهکار (روز)]]*Main[[#This Row],[مانده در خط کل (کیلوگرم)]]</f>
        <v>0</v>
      </c>
      <c r="X1009" s="6">
        <f ca="1">-SUBTOTAL(9,INDEX(Main[مقدار تسویه شده (کیلوگرم)],1):Main[[#This Row],[مقدار تسویه شده (کیلوگرم)]])</f>
        <v>25318</v>
      </c>
      <c r="Y1009" s="6">
        <f ca="1">IF(Main[[#This Row],[مانده در خط تسویه شده (کیلوگرم)]]&lt;&gt;0,Main[[#This Row],[تعداد کل روزهای بدهکار (روز)]],0)</f>
        <v>0</v>
      </c>
      <c r="Z1009" s="6">
        <f ca="1">Main[[#This Row],[تعداد روزهای بدهکار تسویه شده (روز)]]*Main[[#This Row],[مانده در خط تسویه شده (کیلوگرم)]]</f>
        <v>0</v>
      </c>
      <c r="AA1009" s="6">
        <f ca="1">SUBTOTAL(9,INDEX(Main[بدهی تسویه نشده (کیلوگرم)],1):Main[[#This Row],[بدهی تسویه نشده (کیلوگرم)]])</f>
        <v>0</v>
      </c>
      <c r="AB1009" s="6">
        <f ca="1">IF(Main[[#This Row],[مانده در خط تسویه نشده (کیلوگرم)]]&lt;&gt;0,Main[[#This Row],[تعداد کل روزهای بدهکار (روز)]],0)</f>
        <v>0</v>
      </c>
      <c r="AC1009" s="6">
        <f ca="1">Main[[#This Row],[تعداد روزهای بدهکار  تسویه نشده (روز)]]*Main[[#This Row],[مانده در خط تسویه نشده (کیلوگرم)]]</f>
        <v>0</v>
      </c>
      <c r="AD1009" s="6">
        <f ca="1">SUBTOTAL(9,INDEX(Main[بدهی سررسید شده (کیلوگرم)],1):Main[[#This Row],[بدهی سررسید شده (کیلوگرم)]])</f>
        <v>0</v>
      </c>
      <c r="AE1009" s="6">
        <f ca="1">IF(Main[[#This Row],[مانده در خط سررسید شده (کیلوگرم)]]&lt;&gt;0,Main[[#This Row],[تعداد کل روزهای بدهکار (روز)]],0)</f>
        <v>0</v>
      </c>
      <c r="AF1009" s="6">
        <f ca="1">Main[[#This Row],[تعداد روزهای بدهکار سررسید شده (روز)]]*Main[[#This Row],[مانده در خط سررسید شده (کیلوگرم)]]</f>
        <v>0</v>
      </c>
    </row>
    <row r="1010" spans="1:32" hidden="1" x14ac:dyDescent="0.35">
      <c r="A1010" s="5">
        <f>ROW()-ROW(INDEX(Main[ردیف],1))+1</f>
        <v>1008</v>
      </c>
      <c r="B1010" s="31">
        <f>SUBTOTAL(2,INDEX(Main[ردیف],1):Main[[#This Row],[ردیف]])</f>
        <v>96</v>
      </c>
      <c r="C1010" s="32" t="s">
        <v>611</v>
      </c>
      <c r="D1010" s="32" t="str">
        <f>_xlfn.CONCAT("14",Main[[#This Row],[تاريخ]])</f>
        <v>1400/04/15</v>
      </c>
      <c r="E1010" s="33">
        <v>44383</v>
      </c>
      <c r="F1010" s="32">
        <v>10057</v>
      </c>
      <c r="G1010" s="5" t="str">
        <f>INDEX(customer[عنوان],MATCH(Main[[#This Row],[کد ردیابی]],customer[کد],0))</f>
        <v xml:space="preserve">عبدالله یادگار </v>
      </c>
      <c r="H1010">
        <v>1000</v>
      </c>
      <c r="I1010" s="6">
        <f ca="1">-Main[[#This Row],[بدهی تسویه شده (کیلوگرم)]]+Main[[#This Row],[بستانکار (کیلوگرم)]]</f>
        <v>1000</v>
      </c>
      <c r="J1010" s="6">
        <f>IF(Main[[#This Row],[مقدار (کیلوگرم)]]&gt;0,Main[[#This Row],[مقدار (کیلوگرم)]],0)</f>
        <v>1000</v>
      </c>
      <c r="K1010" s="6">
        <f>-IF(Main[[#This Row],[مقدار (کیلوگرم)]]&lt;0,Main[[#This Row],[مقدار (کیلوگرم)]],0)</f>
        <v>0</v>
      </c>
      <c r="L10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0" s="7">
        <f>-IF(AND(Main[[#This Row],[مقدار (کیلوگرم)]]&lt;0,Main[[#This Row],[تاريخ میلادی]]&gt;44276),Main[[#This Row],[مقدار (کیلوگرم)]],0)</f>
        <v>0</v>
      </c>
      <c r="N1010" s="6">
        <f ca="1">Main[[#This Row],[بدهکار (کیلوگرم)]]-Main[[#This Row],[بدهی تسویه نشده (کیلوگرم)]]</f>
        <v>0</v>
      </c>
      <c r="O1010" s="6">
        <f ca="1">Main[[#This Row],[تفکیک]]</f>
        <v>0</v>
      </c>
      <c r="P1010" s="6">
        <f ca="1">IF(Main[[#This Row],[تاخیر از سررسید]]&gt;0,Main[[#This Row],[بدهی تسویه نشده (کیلوگرم)]],0)</f>
        <v>0</v>
      </c>
      <c r="Q1010" s="6">
        <f ca="1">IF(Main[[#This Row],[بدهی تسویه نشده (کیلوگرم)]]&gt;0,'گزارش فردی'!$B$7-Main[[#This Row],[تاريخ میلادی]],0)</f>
        <v>0</v>
      </c>
      <c r="R1010" s="6">
        <f ca="1">IF(Main[[#This Row],[بدهی تسویه نشده (کیلوگرم)]]&gt;0,'گزارش فردی'!$B$7-Main[[#This Row],[تاريخ میلادی]]-'گزارش فردی'!$B$8,0)</f>
        <v>0</v>
      </c>
      <c r="S1010" s="6">
        <f ca="1">Main[[#This Row],[روز از ارسال سفارش]]*Main[[#This Row],[بدهی تسویه نشده (کیلوگرم)]]</f>
        <v>0</v>
      </c>
      <c r="T1010" s="6">
        <f ca="1">Main[[#This Row],[بدهی سررسید شده (کیلوگرم)]]*Main[[#This Row],[روز از ارسال سفارش]]</f>
        <v>0</v>
      </c>
      <c r="U1010" s="6">
        <f>-SUBTOTAL(9,INDEX(Main[مقدار (کیلوگرم)],1):Main[[#This Row],[مقدار (کیلوگرم)]])</f>
        <v>25318</v>
      </c>
      <c r="V10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0" s="6">
        <f>Main[[#This Row],[تعداد کل روزهای بدهکار (روز)]]*Main[[#This Row],[مانده در خط کل (کیلوگرم)]]</f>
        <v>0</v>
      </c>
      <c r="X1010" s="6">
        <f ca="1">-SUBTOTAL(9,INDEX(Main[مقدار تسویه شده (کیلوگرم)],1):Main[[#This Row],[مقدار تسویه شده (کیلوگرم)]])</f>
        <v>25318</v>
      </c>
      <c r="Y1010" s="6">
        <f ca="1">IF(Main[[#This Row],[مانده در خط تسویه شده (کیلوگرم)]]&lt;&gt;0,Main[[#This Row],[تعداد کل روزهای بدهکار (روز)]],0)</f>
        <v>0</v>
      </c>
      <c r="Z1010" s="6">
        <f ca="1">Main[[#This Row],[تعداد روزهای بدهکار تسویه شده (روز)]]*Main[[#This Row],[مانده در خط تسویه شده (کیلوگرم)]]</f>
        <v>0</v>
      </c>
      <c r="AA1010" s="6">
        <f ca="1">SUBTOTAL(9,INDEX(Main[بدهی تسویه نشده (کیلوگرم)],1):Main[[#This Row],[بدهی تسویه نشده (کیلوگرم)]])</f>
        <v>0</v>
      </c>
      <c r="AB1010" s="6">
        <f ca="1">IF(Main[[#This Row],[مانده در خط تسویه نشده (کیلوگرم)]]&lt;&gt;0,Main[[#This Row],[تعداد کل روزهای بدهکار (روز)]],0)</f>
        <v>0</v>
      </c>
      <c r="AC1010" s="6">
        <f ca="1">Main[[#This Row],[تعداد روزهای بدهکار  تسویه نشده (روز)]]*Main[[#This Row],[مانده در خط تسویه نشده (کیلوگرم)]]</f>
        <v>0</v>
      </c>
      <c r="AD1010" s="6">
        <f ca="1">SUBTOTAL(9,INDEX(Main[بدهی سررسید شده (کیلوگرم)],1):Main[[#This Row],[بدهی سررسید شده (کیلوگرم)]])</f>
        <v>0</v>
      </c>
      <c r="AE1010" s="6">
        <f ca="1">IF(Main[[#This Row],[مانده در خط سررسید شده (کیلوگرم)]]&lt;&gt;0,Main[[#This Row],[تعداد کل روزهای بدهکار (روز)]],0)</f>
        <v>0</v>
      </c>
      <c r="AF1010" s="6">
        <f ca="1">Main[[#This Row],[تعداد روزهای بدهکار سررسید شده (روز)]]*Main[[#This Row],[مانده در خط سررسید شده (کیلوگرم)]]</f>
        <v>0</v>
      </c>
    </row>
    <row r="1011" spans="1:32" hidden="1" x14ac:dyDescent="0.35">
      <c r="A1011" s="5">
        <f>ROW()-ROW(INDEX(Main[ردیف],1))+1</f>
        <v>1009</v>
      </c>
      <c r="B1011" s="31">
        <f>SUBTOTAL(2,INDEX(Main[ردیف],1):Main[[#This Row],[ردیف]])</f>
        <v>96</v>
      </c>
      <c r="C1011" s="32" t="s">
        <v>611</v>
      </c>
      <c r="D1011" s="32" t="str">
        <f>_xlfn.CONCAT("14",Main[[#This Row],[تاريخ]])</f>
        <v>1400/04/15</v>
      </c>
      <c r="E1011" s="33">
        <v>44383</v>
      </c>
      <c r="F1011" s="32">
        <v>30009</v>
      </c>
      <c r="G1011" s="5" t="str">
        <f>INDEX(customer[عنوان],MATCH(Main[[#This Row],[کد ردیابی]],customer[کد],0))</f>
        <v>شرکت ایمن تک پیشرو</v>
      </c>
      <c r="H1011">
        <v>-2015</v>
      </c>
      <c r="I1011" s="6">
        <f ca="1">-Main[[#This Row],[بدهی تسویه شده (کیلوگرم)]]+Main[[#This Row],[بستانکار (کیلوگرم)]]</f>
        <v>-2015</v>
      </c>
      <c r="J1011" s="6">
        <f>IF(Main[[#This Row],[مقدار (کیلوگرم)]]&gt;0,Main[[#This Row],[مقدار (کیلوگرم)]],0)</f>
        <v>0</v>
      </c>
      <c r="K1011" s="6">
        <f>-IF(Main[[#This Row],[مقدار (کیلوگرم)]]&lt;0,Main[[#This Row],[مقدار (کیلوگرم)]],0)</f>
        <v>2015</v>
      </c>
      <c r="L10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1" s="7">
        <f>-IF(AND(Main[[#This Row],[مقدار (کیلوگرم)]]&lt;0,Main[[#This Row],[تاريخ میلادی]]&gt;44276),Main[[#This Row],[مقدار (کیلوگرم)]],0)</f>
        <v>2015</v>
      </c>
      <c r="N1011" s="6">
        <f ca="1">Main[[#This Row],[بدهکار (کیلوگرم)]]-Main[[#This Row],[بدهی تسویه نشده (کیلوگرم)]]</f>
        <v>2015</v>
      </c>
      <c r="O1011" s="6">
        <f ca="1">Main[[#This Row],[تفکیک]]</f>
        <v>0</v>
      </c>
      <c r="P1011" s="6">
        <f ca="1">IF(Main[[#This Row],[تاخیر از سررسید]]&gt;0,Main[[#This Row],[بدهی تسویه نشده (کیلوگرم)]],0)</f>
        <v>0</v>
      </c>
      <c r="Q1011" s="6">
        <f ca="1">IF(Main[[#This Row],[بدهی تسویه نشده (کیلوگرم)]]&gt;0,'گزارش فردی'!$B$7-Main[[#This Row],[تاريخ میلادی]],0)</f>
        <v>0</v>
      </c>
      <c r="R1011" s="6">
        <f ca="1">IF(Main[[#This Row],[بدهی تسویه نشده (کیلوگرم)]]&gt;0,'گزارش فردی'!$B$7-Main[[#This Row],[تاريخ میلادی]]-'گزارش فردی'!$B$8,0)</f>
        <v>0</v>
      </c>
      <c r="S1011" s="6">
        <f ca="1">Main[[#This Row],[روز از ارسال سفارش]]*Main[[#This Row],[بدهی تسویه نشده (کیلوگرم)]]</f>
        <v>0</v>
      </c>
      <c r="T1011" s="6">
        <f ca="1">Main[[#This Row],[بدهی سررسید شده (کیلوگرم)]]*Main[[#This Row],[روز از ارسال سفارش]]</f>
        <v>0</v>
      </c>
      <c r="U1011" s="6">
        <f>-SUBTOTAL(9,INDEX(Main[مقدار (کیلوگرم)],1):Main[[#This Row],[مقدار (کیلوگرم)]])</f>
        <v>25318</v>
      </c>
      <c r="V10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1" s="6">
        <f>Main[[#This Row],[تعداد کل روزهای بدهکار (روز)]]*Main[[#This Row],[مانده در خط کل (کیلوگرم)]]</f>
        <v>0</v>
      </c>
      <c r="X1011" s="6">
        <f ca="1">-SUBTOTAL(9,INDEX(Main[مقدار تسویه شده (کیلوگرم)],1):Main[[#This Row],[مقدار تسویه شده (کیلوگرم)]])</f>
        <v>25318</v>
      </c>
      <c r="Y1011" s="6">
        <f ca="1">IF(Main[[#This Row],[مانده در خط تسویه شده (کیلوگرم)]]&lt;&gt;0,Main[[#This Row],[تعداد کل روزهای بدهکار (روز)]],0)</f>
        <v>0</v>
      </c>
      <c r="Z1011" s="6">
        <f ca="1">Main[[#This Row],[تعداد روزهای بدهکار تسویه شده (روز)]]*Main[[#This Row],[مانده در خط تسویه شده (کیلوگرم)]]</f>
        <v>0</v>
      </c>
      <c r="AA1011" s="6">
        <f ca="1">SUBTOTAL(9,INDEX(Main[بدهی تسویه نشده (کیلوگرم)],1):Main[[#This Row],[بدهی تسویه نشده (کیلوگرم)]])</f>
        <v>0</v>
      </c>
      <c r="AB1011" s="6">
        <f ca="1">IF(Main[[#This Row],[مانده در خط تسویه نشده (کیلوگرم)]]&lt;&gt;0,Main[[#This Row],[تعداد کل روزهای بدهکار (روز)]],0)</f>
        <v>0</v>
      </c>
      <c r="AC1011" s="6">
        <f ca="1">Main[[#This Row],[تعداد روزهای بدهکار  تسویه نشده (روز)]]*Main[[#This Row],[مانده در خط تسویه نشده (کیلوگرم)]]</f>
        <v>0</v>
      </c>
      <c r="AD1011" s="6">
        <f ca="1">SUBTOTAL(9,INDEX(Main[بدهی سررسید شده (کیلوگرم)],1):Main[[#This Row],[بدهی سررسید شده (کیلوگرم)]])</f>
        <v>0</v>
      </c>
      <c r="AE1011" s="6">
        <f ca="1">IF(Main[[#This Row],[مانده در خط سررسید شده (کیلوگرم)]]&lt;&gt;0,Main[[#This Row],[تعداد کل روزهای بدهکار (روز)]],0)</f>
        <v>0</v>
      </c>
      <c r="AF1011" s="6">
        <f ca="1">Main[[#This Row],[تعداد روزهای بدهکار سررسید شده (روز)]]*Main[[#This Row],[مانده در خط سررسید شده (کیلوگرم)]]</f>
        <v>0</v>
      </c>
    </row>
    <row r="1012" spans="1:32" hidden="1" x14ac:dyDescent="0.35">
      <c r="A1012" s="5">
        <f>ROW()-ROW(INDEX(Main[ردیف],1))+1</f>
        <v>1010</v>
      </c>
      <c r="B1012" s="31">
        <f>SUBTOTAL(2,INDEX(Main[ردیف],1):Main[[#This Row],[ردیف]])</f>
        <v>96</v>
      </c>
      <c r="C1012" s="32" t="s">
        <v>611</v>
      </c>
      <c r="D1012" s="32" t="str">
        <f>_xlfn.CONCAT("14",Main[[#This Row],[تاريخ]])</f>
        <v>1400/04/15</v>
      </c>
      <c r="E1012" s="33">
        <v>44383</v>
      </c>
      <c r="F1012" s="32">
        <v>30077</v>
      </c>
      <c r="G1012" s="5" t="str">
        <f>INDEX(customer[عنوان],MATCH(Main[[#This Row],[کد ردیابی]],customer[کد],0))</f>
        <v>تولیدی و صنعتی تهرانچیان</v>
      </c>
      <c r="H1012">
        <v>500</v>
      </c>
      <c r="I1012" s="6">
        <f ca="1">-Main[[#This Row],[بدهی تسویه شده (کیلوگرم)]]+Main[[#This Row],[بستانکار (کیلوگرم)]]</f>
        <v>500</v>
      </c>
      <c r="J1012" s="6">
        <f>IF(Main[[#This Row],[مقدار (کیلوگرم)]]&gt;0,Main[[#This Row],[مقدار (کیلوگرم)]],0)</f>
        <v>500</v>
      </c>
      <c r="K1012" s="6">
        <f>-IF(Main[[#This Row],[مقدار (کیلوگرم)]]&lt;0,Main[[#This Row],[مقدار (کیلوگرم)]],0)</f>
        <v>0</v>
      </c>
      <c r="L10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2" s="7">
        <f>-IF(AND(Main[[#This Row],[مقدار (کیلوگرم)]]&lt;0,Main[[#This Row],[تاريخ میلادی]]&gt;44276),Main[[#This Row],[مقدار (کیلوگرم)]],0)</f>
        <v>0</v>
      </c>
      <c r="N1012" s="6">
        <f ca="1">Main[[#This Row],[بدهکار (کیلوگرم)]]-Main[[#This Row],[بدهی تسویه نشده (کیلوگرم)]]</f>
        <v>0</v>
      </c>
      <c r="O1012" s="6">
        <f ca="1">Main[[#This Row],[تفکیک]]</f>
        <v>0</v>
      </c>
      <c r="P1012" s="6">
        <f ca="1">IF(Main[[#This Row],[تاخیر از سررسید]]&gt;0,Main[[#This Row],[بدهی تسویه نشده (کیلوگرم)]],0)</f>
        <v>0</v>
      </c>
      <c r="Q1012" s="6">
        <f ca="1">IF(Main[[#This Row],[بدهی تسویه نشده (کیلوگرم)]]&gt;0,'گزارش فردی'!$B$7-Main[[#This Row],[تاريخ میلادی]],0)</f>
        <v>0</v>
      </c>
      <c r="R1012" s="6">
        <f ca="1">IF(Main[[#This Row],[بدهی تسویه نشده (کیلوگرم)]]&gt;0,'گزارش فردی'!$B$7-Main[[#This Row],[تاريخ میلادی]]-'گزارش فردی'!$B$8,0)</f>
        <v>0</v>
      </c>
      <c r="S1012" s="6">
        <f ca="1">Main[[#This Row],[روز از ارسال سفارش]]*Main[[#This Row],[بدهی تسویه نشده (کیلوگرم)]]</f>
        <v>0</v>
      </c>
      <c r="T1012" s="6">
        <f ca="1">Main[[#This Row],[بدهی سررسید شده (کیلوگرم)]]*Main[[#This Row],[روز از ارسال سفارش]]</f>
        <v>0</v>
      </c>
      <c r="U1012" s="6">
        <f>-SUBTOTAL(9,INDEX(Main[مقدار (کیلوگرم)],1):Main[[#This Row],[مقدار (کیلوگرم)]])</f>
        <v>25318</v>
      </c>
      <c r="V10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2" s="6">
        <f>Main[[#This Row],[تعداد کل روزهای بدهکار (روز)]]*Main[[#This Row],[مانده در خط کل (کیلوگرم)]]</f>
        <v>0</v>
      </c>
      <c r="X1012" s="6">
        <f ca="1">-SUBTOTAL(9,INDEX(Main[مقدار تسویه شده (کیلوگرم)],1):Main[[#This Row],[مقدار تسویه شده (کیلوگرم)]])</f>
        <v>25318</v>
      </c>
      <c r="Y1012" s="6">
        <f ca="1">IF(Main[[#This Row],[مانده در خط تسویه شده (کیلوگرم)]]&lt;&gt;0,Main[[#This Row],[تعداد کل روزهای بدهکار (روز)]],0)</f>
        <v>0</v>
      </c>
      <c r="Z1012" s="6">
        <f ca="1">Main[[#This Row],[تعداد روزهای بدهکار تسویه شده (روز)]]*Main[[#This Row],[مانده در خط تسویه شده (کیلوگرم)]]</f>
        <v>0</v>
      </c>
      <c r="AA1012" s="6">
        <f ca="1">SUBTOTAL(9,INDEX(Main[بدهی تسویه نشده (کیلوگرم)],1):Main[[#This Row],[بدهی تسویه نشده (کیلوگرم)]])</f>
        <v>0</v>
      </c>
      <c r="AB1012" s="6">
        <f ca="1">IF(Main[[#This Row],[مانده در خط تسویه نشده (کیلوگرم)]]&lt;&gt;0,Main[[#This Row],[تعداد کل روزهای بدهکار (روز)]],0)</f>
        <v>0</v>
      </c>
      <c r="AC1012" s="6">
        <f ca="1">Main[[#This Row],[تعداد روزهای بدهکار  تسویه نشده (روز)]]*Main[[#This Row],[مانده در خط تسویه نشده (کیلوگرم)]]</f>
        <v>0</v>
      </c>
      <c r="AD1012" s="6">
        <f ca="1">SUBTOTAL(9,INDEX(Main[بدهی سررسید شده (کیلوگرم)],1):Main[[#This Row],[بدهی سررسید شده (کیلوگرم)]])</f>
        <v>0</v>
      </c>
      <c r="AE1012" s="6">
        <f ca="1">IF(Main[[#This Row],[مانده در خط سررسید شده (کیلوگرم)]]&lt;&gt;0,Main[[#This Row],[تعداد کل روزهای بدهکار (روز)]],0)</f>
        <v>0</v>
      </c>
      <c r="AF1012" s="6">
        <f ca="1">Main[[#This Row],[تعداد روزهای بدهکار سررسید شده (روز)]]*Main[[#This Row],[مانده در خط سررسید شده (کیلوگرم)]]</f>
        <v>0</v>
      </c>
    </row>
    <row r="1013" spans="1:32" x14ac:dyDescent="0.35">
      <c r="A1013" s="5">
        <f>ROW()-ROW(INDEX(Main[ردیف],1))+1</f>
        <v>1011</v>
      </c>
      <c r="B1013" s="31">
        <f>SUBTOTAL(2,INDEX(Main[ردیف],1):Main[[#This Row],[ردیف]])</f>
        <v>97</v>
      </c>
      <c r="C1013" s="32" t="s">
        <v>611</v>
      </c>
      <c r="D1013" s="32" t="str">
        <f>_xlfn.CONCAT("14",Main[[#This Row],[تاريخ]])</f>
        <v>1400/04/15</v>
      </c>
      <c r="E1013" s="33">
        <v>44383</v>
      </c>
      <c r="F1013" s="32">
        <v>10003</v>
      </c>
      <c r="G1013" s="5" t="str">
        <f>INDEX(customer[عنوان],MATCH(Main[[#This Row],[کد ردیابی]],customer[کد],0))</f>
        <v>اصغر نورعلی</v>
      </c>
      <c r="H1013">
        <v>-1868</v>
      </c>
      <c r="I1013" s="6">
        <f ca="1">-Main[[#This Row],[بدهی تسویه شده (کیلوگرم)]]+Main[[#This Row],[بستانکار (کیلوگرم)]]</f>
        <v>-1868</v>
      </c>
      <c r="J1013" s="6">
        <f>IF(Main[[#This Row],[مقدار (کیلوگرم)]]&gt;0,Main[[#This Row],[مقدار (کیلوگرم)]],0)</f>
        <v>0</v>
      </c>
      <c r="K1013" s="6">
        <f>-IF(Main[[#This Row],[مقدار (کیلوگرم)]]&lt;0,Main[[#This Row],[مقدار (کیلوگرم)]],0)</f>
        <v>1868</v>
      </c>
      <c r="L10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3" s="7">
        <f>-IF(AND(Main[[#This Row],[مقدار (کیلوگرم)]]&lt;0,Main[[#This Row],[تاريخ میلادی]]&gt;44276),Main[[#This Row],[مقدار (کیلوگرم)]],0)</f>
        <v>1868</v>
      </c>
      <c r="N1013" s="6">
        <f ca="1">Main[[#This Row],[بدهکار (کیلوگرم)]]-Main[[#This Row],[بدهی تسویه نشده (کیلوگرم)]]</f>
        <v>1868</v>
      </c>
      <c r="O1013" s="6">
        <f ca="1">Main[[#This Row],[تفکیک]]</f>
        <v>0</v>
      </c>
      <c r="P1013" s="6">
        <f ca="1">IF(Main[[#This Row],[تاخیر از سررسید]]&gt;0,Main[[#This Row],[بدهی تسویه نشده (کیلوگرم)]],0)</f>
        <v>0</v>
      </c>
      <c r="Q1013" s="6">
        <f ca="1">IF(Main[[#This Row],[بدهی تسویه نشده (کیلوگرم)]]&gt;0,'گزارش فردی'!$B$7-Main[[#This Row],[تاريخ میلادی]],0)</f>
        <v>0</v>
      </c>
      <c r="R1013" s="6">
        <f ca="1">IF(Main[[#This Row],[بدهی تسویه نشده (کیلوگرم)]]&gt;0,'گزارش فردی'!$B$7-Main[[#This Row],[تاريخ میلادی]]-'گزارش فردی'!$B$8,0)</f>
        <v>0</v>
      </c>
      <c r="S1013" s="6">
        <f ca="1">Main[[#This Row],[روز از ارسال سفارش]]*Main[[#This Row],[بدهی تسویه نشده (کیلوگرم)]]</f>
        <v>0</v>
      </c>
      <c r="T1013" s="6">
        <f ca="1">Main[[#This Row],[بدهی سررسید شده (کیلوگرم)]]*Main[[#This Row],[روز از ارسال سفارش]]</f>
        <v>0</v>
      </c>
      <c r="U1013" s="6">
        <f>-SUBTOTAL(9,INDEX(Main[مقدار (کیلوگرم)],1):Main[[#This Row],[مقدار (کیلوگرم)]])</f>
        <v>27186</v>
      </c>
      <c r="V10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3" s="6">
        <f>Main[[#This Row],[تعداد کل روزهای بدهکار (روز)]]*Main[[#This Row],[مانده در خط کل (کیلوگرم)]]</f>
        <v>0</v>
      </c>
      <c r="X1013" s="6">
        <f ca="1">-SUBTOTAL(9,INDEX(Main[مقدار تسویه شده (کیلوگرم)],1):Main[[#This Row],[مقدار تسویه شده (کیلوگرم)]])</f>
        <v>27186</v>
      </c>
      <c r="Y1013" s="6">
        <f ca="1">IF(Main[[#This Row],[مانده در خط تسویه شده (کیلوگرم)]]&lt;&gt;0,Main[[#This Row],[تعداد کل روزهای بدهکار (روز)]],0)</f>
        <v>0</v>
      </c>
      <c r="Z1013" s="6">
        <f ca="1">Main[[#This Row],[تعداد روزهای بدهکار تسویه شده (روز)]]*Main[[#This Row],[مانده در خط تسویه شده (کیلوگرم)]]</f>
        <v>0</v>
      </c>
      <c r="AA1013" s="6">
        <f ca="1">SUBTOTAL(9,INDEX(Main[بدهی تسویه نشده (کیلوگرم)],1):Main[[#This Row],[بدهی تسویه نشده (کیلوگرم)]])</f>
        <v>0</v>
      </c>
      <c r="AB1013" s="6">
        <f ca="1">IF(Main[[#This Row],[مانده در خط تسویه نشده (کیلوگرم)]]&lt;&gt;0,Main[[#This Row],[تعداد کل روزهای بدهکار (روز)]],0)</f>
        <v>0</v>
      </c>
      <c r="AC1013" s="6">
        <f ca="1">Main[[#This Row],[تعداد روزهای بدهکار  تسویه نشده (روز)]]*Main[[#This Row],[مانده در خط تسویه نشده (کیلوگرم)]]</f>
        <v>0</v>
      </c>
      <c r="AD1013" s="6">
        <f ca="1">SUBTOTAL(9,INDEX(Main[بدهی سررسید شده (کیلوگرم)],1):Main[[#This Row],[بدهی سررسید شده (کیلوگرم)]])</f>
        <v>0</v>
      </c>
      <c r="AE1013" s="6">
        <f ca="1">IF(Main[[#This Row],[مانده در خط سررسید شده (کیلوگرم)]]&lt;&gt;0,Main[[#This Row],[تعداد کل روزهای بدهکار (روز)]],0)</f>
        <v>0</v>
      </c>
      <c r="AF1013" s="6">
        <f ca="1">Main[[#This Row],[تعداد روزهای بدهکار سررسید شده (روز)]]*Main[[#This Row],[مانده در خط سررسید شده (کیلوگرم)]]</f>
        <v>0</v>
      </c>
    </row>
    <row r="1014" spans="1:32" hidden="1" x14ac:dyDescent="0.35">
      <c r="A1014" s="5">
        <f>ROW()-ROW(INDEX(Main[ردیف],1))+1</f>
        <v>1012</v>
      </c>
      <c r="B1014" s="31">
        <f>SUBTOTAL(2,INDEX(Main[ردیف],1):Main[[#This Row],[ردیف]])</f>
        <v>97</v>
      </c>
      <c r="C1014" s="32" t="s">
        <v>611</v>
      </c>
      <c r="D1014" s="32" t="str">
        <f>_xlfn.CONCAT("14",Main[[#This Row],[تاريخ]])</f>
        <v>1400/04/15</v>
      </c>
      <c r="E1014" s="33">
        <v>44383</v>
      </c>
      <c r="F1014" s="32">
        <v>30099</v>
      </c>
      <c r="G1014" s="5" t="str">
        <f>INDEX(customer[عنوان],MATCH(Main[[#This Row],[کد ردیابی]],customer[کد],0))</f>
        <v>ایران شرق نیشابور</v>
      </c>
      <c r="H1014">
        <v>3456</v>
      </c>
      <c r="I1014" s="6">
        <f ca="1">-Main[[#This Row],[بدهی تسویه شده (کیلوگرم)]]+Main[[#This Row],[بستانکار (کیلوگرم)]]</f>
        <v>3456</v>
      </c>
      <c r="J1014" s="6">
        <f>IF(Main[[#This Row],[مقدار (کیلوگرم)]]&gt;0,Main[[#This Row],[مقدار (کیلوگرم)]],0)</f>
        <v>3456</v>
      </c>
      <c r="K1014" s="6">
        <f>-IF(Main[[#This Row],[مقدار (کیلوگرم)]]&lt;0,Main[[#This Row],[مقدار (کیلوگرم)]],0)</f>
        <v>0</v>
      </c>
      <c r="L10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4" s="7">
        <f>-IF(AND(Main[[#This Row],[مقدار (کیلوگرم)]]&lt;0,Main[[#This Row],[تاريخ میلادی]]&gt;44276),Main[[#This Row],[مقدار (کیلوگرم)]],0)</f>
        <v>0</v>
      </c>
      <c r="N1014" s="6">
        <f ca="1">Main[[#This Row],[بدهکار (کیلوگرم)]]-Main[[#This Row],[بدهی تسویه نشده (کیلوگرم)]]</f>
        <v>0</v>
      </c>
      <c r="O1014" s="6">
        <f ca="1">Main[[#This Row],[تفکیک]]</f>
        <v>0</v>
      </c>
      <c r="P1014" s="6">
        <f ca="1">IF(Main[[#This Row],[تاخیر از سررسید]]&gt;0,Main[[#This Row],[بدهی تسویه نشده (کیلوگرم)]],0)</f>
        <v>0</v>
      </c>
      <c r="Q1014" s="6">
        <f ca="1">IF(Main[[#This Row],[بدهی تسویه نشده (کیلوگرم)]]&gt;0,'گزارش فردی'!$B$7-Main[[#This Row],[تاريخ میلادی]],0)</f>
        <v>0</v>
      </c>
      <c r="R1014" s="6">
        <f ca="1">IF(Main[[#This Row],[بدهی تسویه نشده (کیلوگرم)]]&gt;0,'گزارش فردی'!$B$7-Main[[#This Row],[تاريخ میلادی]]-'گزارش فردی'!$B$8,0)</f>
        <v>0</v>
      </c>
      <c r="S1014" s="6">
        <f ca="1">Main[[#This Row],[روز از ارسال سفارش]]*Main[[#This Row],[بدهی تسویه نشده (کیلوگرم)]]</f>
        <v>0</v>
      </c>
      <c r="T1014" s="6">
        <f ca="1">Main[[#This Row],[بدهی سررسید شده (کیلوگرم)]]*Main[[#This Row],[روز از ارسال سفارش]]</f>
        <v>0</v>
      </c>
      <c r="U1014" s="6">
        <f>-SUBTOTAL(9,INDEX(Main[مقدار (کیلوگرم)],1):Main[[#This Row],[مقدار (کیلوگرم)]])</f>
        <v>27186</v>
      </c>
      <c r="V10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4" s="6">
        <f>Main[[#This Row],[تعداد کل روزهای بدهکار (روز)]]*Main[[#This Row],[مانده در خط کل (کیلوگرم)]]</f>
        <v>0</v>
      </c>
      <c r="X1014" s="6">
        <f ca="1">-SUBTOTAL(9,INDEX(Main[مقدار تسویه شده (کیلوگرم)],1):Main[[#This Row],[مقدار تسویه شده (کیلوگرم)]])</f>
        <v>27186</v>
      </c>
      <c r="Y1014" s="6">
        <f ca="1">IF(Main[[#This Row],[مانده در خط تسویه شده (کیلوگرم)]]&lt;&gt;0,Main[[#This Row],[تعداد کل روزهای بدهکار (روز)]],0)</f>
        <v>0</v>
      </c>
      <c r="Z1014" s="6">
        <f ca="1">Main[[#This Row],[تعداد روزهای بدهکار تسویه شده (روز)]]*Main[[#This Row],[مانده در خط تسویه شده (کیلوگرم)]]</f>
        <v>0</v>
      </c>
      <c r="AA1014" s="6">
        <f ca="1">SUBTOTAL(9,INDEX(Main[بدهی تسویه نشده (کیلوگرم)],1):Main[[#This Row],[بدهی تسویه نشده (کیلوگرم)]])</f>
        <v>0</v>
      </c>
      <c r="AB1014" s="6">
        <f ca="1">IF(Main[[#This Row],[مانده در خط تسویه نشده (کیلوگرم)]]&lt;&gt;0,Main[[#This Row],[تعداد کل روزهای بدهکار (روز)]],0)</f>
        <v>0</v>
      </c>
      <c r="AC1014" s="6">
        <f ca="1">Main[[#This Row],[تعداد روزهای بدهکار  تسویه نشده (روز)]]*Main[[#This Row],[مانده در خط تسویه نشده (کیلوگرم)]]</f>
        <v>0</v>
      </c>
      <c r="AD1014" s="6">
        <f ca="1">SUBTOTAL(9,INDEX(Main[بدهی سررسید شده (کیلوگرم)],1):Main[[#This Row],[بدهی سررسید شده (کیلوگرم)]])</f>
        <v>0</v>
      </c>
      <c r="AE1014" s="6">
        <f ca="1">IF(Main[[#This Row],[مانده در خط سررسید شده (کیلوگرم)]]&lt;&gt;0,Main[[#This Row],[تعداد کل روزهای بدهکار (روز)]],0)</f>
        <v>0</v>
      </c>
      <c r="AF1014" s="6">
        <f ca="1">Main[[#This Row],[تعداد روزهای بدهکار سررسید شده (روز)]]*Main[[#This Row],[مانده در خط سررسید شده (کیلوگرم)]]</f>
        <v>0</v>
      </c>
    </row>
    <row r="1015" spans="1:32" hidden="1" x14ac:dyDescent="0.35">
      <c r="A1015" s="5">
        <f>ROW()-ROW(INDEX(Main[ردیف],1))+1</f>
        <v>1013</v>
      </c>
      <c r="B1015" s="31">
        <f>SUBTOTAL(2,INDEX(Main[ردیف],1):Main[[#This Row],[ردیف]])</f>
        <v>97</v>
      </c>
      <c r="C1015" s="32" t="s">
        <v>611</v>
      </c>
      <c r="D1015" s="32" t="str">
        <f>_xlfn.CONCAT("14",Main[[#This Row],[تاريخ]])</f>
        <v>1400/04/15</v>
      </c>
      <c r="E1015" s="33">
        <v>44383</v>
      </c>
      <c r="F1015" s="32">
        <v>10055</v>
      </c>
      <c r="G1015" s="5" t="str">
        <f>INDEX(customer[عنوان],MATCH(Main[[#This Row],[کد ردیابی]],customer[کد],0))</f>
        <v xml:space="preserve">مریم فیض آبادی  </v>
      </c>
      <c r="H1015">
        <v>-4277</v>
      </c>
      <c r="I1015" s="6">
        <f ca="1">-Main[[#This Row],[بدهی تسویه شده (کیلوگرم)]]+Main[[#This Row],[بستانکار (کیلوگرم)]]</f>
        <v>-4277</v>
      </c>
      <c r="J1015" s="6">
        <f>IF(Main[[#This Row],[مقدار (کیلوگرم)]]&gt;0,Main[[#This Row],[مقدار (کیلوگرم)]],0)</f>
        <v>0</v>
      </c>
      <c r="K1015" s="6">
        <f>-IF(Main[[#This Row],[مقدار (کیلوگرم)]]&lt;0,Main[[#This Row],[مقدار (کیلوگرم)]],0)</f>
        <v>4277</v>
      </c>
      <c r="L10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5" s="7">
        <f>-IF(AND(Main[[#This Row],[مقدار (کیلوگرم)]]&lt;0,Main[[#This Row],[تاريخ میلادی]]&gt;44276),Main[[#This Row],[مقدار (کیلوگرم)]],0)</f>
        <v>4277</v>
      </c>
      <c r="N1015" s="6">
        <f ca="1">Main[[#This Row],[بدهکار (کیلوگرم)]]-Main[[#This Row],[بدهی تسویه نشده (کیلوگرم)]]</f>
        <v>4277</v>
      </c>
      <c r="O1015" s="6">
        <f ca="1">Main[[#This Row],[تفکیک]]</f>
        <v>0</v>
      </c>
      <c r="P1015" s="6">
        <f ca="1">IF(Main[[#This Row],[تاخیر از سررسید]]&gt;0,Main[[#This Row],[بدهی تسویه نشده (کیلوگرم)]],0)</f>
        <v>0</v>
      </c>
      <c r="Q1015" s="6">
        <f ca="1">IF(Main[[#This Row],[بدهی تسویه نشده (کیلوگرم)]]&gt;0,'گزارش فردی'!$B$7-Main[[#This Row],[تاريخ میلادی]],0)</f>
        <v>0</v>
      </c>
      <c r="R1015" s="6">
        <f ca="1">IF(Main[[#This Row],[بدهی تسویه نشده (کیلوگرم)]]&gt;0,'گزارش فردی'!$B$7-Main[[#This Row],[تاريخ میلادی]]-'گزارش فردی'!$B$8,0)</f>
        <v>0</v>
      </c>
      <c r="S1015" s="6">
        <f ca="1">Main[[#This Row],[روز از ارسال سفارش]]*Main[[#This Row],[بدهی تسویه نشده (کیلوگرم)]]</f>
        <v>0</v>
      </c>
      <c r="T1015" s="6">
        <f ca="1">Main[[#This Row],[بدهی سررسید شده (کیلوگرم)]]*Main[[#This Row],[روز از ارسال سفارش]]</f>
        <v>0</v>
      </c>
      <c r="U1015" s="6">
        <f>-SUBTOTAL(9,INDEX(Main[مقدار (کیلوگرم)],1):Main[[#This Row],[مقدار (کیلوگرم)]])</f>
        <v>27186</v>
      </c>
      <c r="V10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5" s="6">
        <f>Main[[#This Row],[تعداد کل روزهای بدهکار (روز)]]*Main[[#This Row],[مانده در خط کل (کیلوگرم)]]</f>
        <v>0</v>
      </c>
      <c r="X1015" s="6">
        <f ca="1">-SUBTOTAL(9,INDEX(Main[مقدار تسویه شده (کیلوگرم)],1):Main[[#This Row],[مقدار تسویه شده (کیلوگرم)]])</f>
        <v>27186</v>
      </c>
      <c r="Y1015" s="6">
        <f ca="1">IF(Main[[#This Row],[مانده در خط تسویه شده (کیلوگرم)]]&lt;&gt;0,Main[[#This Row],[تعداد کل روزهای بدهکار (روز)]],0)</f>
        <v>0</v>
      </c>
      <c r="Z1015" s="6">
        <f ca="1">Main[[#This Row],[تعداد روزهای بدهکار تسویه شده (روز)]]*Main[[#This Row],[مانده در خط تسویه شده (کیلوگرم)]]</f>
        <v>0</v>
      </c>
      <c r="AA1015" s="6">
        <f ca="1">SUBTOTAL(9,INDEX(Main[بدهی تسویه نشده (کیلوگرم)],1):Main[[#This Row],[بدهی تسویه نشده (کیلوگرم)]])</f>
        <v>0</v>
      </c>
      <c r="AB1015" s="6">
        <f ca="1">IF(Main[[#This Row],[مانده در خط تسویه نشده (کیلوگرم)]]&lt;&gt;0,Main[[#This Row],[تعداد کل روزهای بدهکار (روز)]],0)</f>
        <v>0</v>
      </c>
      <c r="AC1015" s="6">
        <f ca="1">Main[[#This Row],[تعداد روزهای بدهکار  تسویه نشده (روز)]]*Main[[#This Row],[مانده در خط تسویه نشده (کیلوگرم)]]</f>
        <v>0</v>
      </c>
      <c r="AD1015" s="6">
        <f ca="1">SUBTOTAL(9,INDEX(Main[بدهی سررسید شده (کیلوگرم)],1):Main[[#This Row],[بدهی سررسید شده (کیلوگرم)]])</f>
        <v>0</v>
      </c>
      <c r="AE1015" s="6">
        <f ca="1">IF(Main[[#This Row],[مانده در خط سررسید شده (کیلوگرم)]]&lt;&gt;0,Main[[#This Row],[تعداد کل روزهای بدهکار (روز)]],0)</f>
        <v>0</v>
      </c>
      <c r="AF1015" s="6">
        <f ca="1">Main[[#This Row],[تعداد روزهای بدهکار سررسید شده (روز)]]*Main[[#This Row],[مانده در خط سررسید شده (کیلوگرم)]]</f>
        <v>0</v>
      </c>
    </row>
    <row r="1016" spans="1:32" hidden="1" x14ac:dyDescent="0.35">
      <c r="A1016" s="5">
        <f>ROW()-ROW(INDEX(Main[ردیف],1))+1</f>
        <v>1014</v>
      </c>
      <c r="B1016" s="31">
        <f>SUBTOTAL(2,INDEX(Main[ردیف],1):Main[[#This Row],[ردیف]])</f>
        <v>97</v>
      </c>
      <c r="C1016" s="32" t="s">
        <v>611</v>
      </c>
      <c r="D1016" s="32" t="str">
        <f>_xlfn.CONCAT("14",Main[[#This Row],[تاريخ]])</f>
        <v>1400/04/15</v>
      </c>
      <c r="E1016" s="33">
        <v>44383</v>
      </c>
      <c r="F1016" s="32">
        <v>30099</v>
      </c>
      <c r="G1016" s="5" t="str">
        <f>INDEX(customer[عنوان],MATCH(Main[[#This Row],[کد ردیابی]],customer[کد],0))</f>
        <v>ایران شرق نیشابور</v>
      </c>
      <c r="H1016">
        <v>1548</v>
      </c>
      <c r="I1016" s="6">
        <f ca="1">-Main[[#This Row],[بدهی تسویه شده (کیلوگرم)]]+Main[[#This Row],[بستانکار (کیلوگرم)]]</f>
        <v>1548</v>
      </c>
      <c r="J1016" s="6">
        <f>IF(Main[[#This Row],[مقدار (کیلوگرم)]]&gt;0,Main[[#This Row],[مقدار (کیلوگرم)]],0)</f>
        <v>1548</v>
      </c>
      <c r="K1016" s="6">
        <f>-IF(Main[[#This Row],[مقدار (کیلوگرم)]]&lt;0,Main[[#This Row],[مقدار (کیلوگرم)]],0)</f>
        <v>0</v>
      </c>
      <c r="L10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6" s="7">
        <f>-IF(AND(Main[[#This Row],[مقدار (کیلوگرم)]]&lt;0,Main[[#This Row],[تاريخ میلادی]]&gt;44276),Main[[#This Row],[مقدار (کیلوگرم)]],0)</f>
        <v>0</v>
      </c>
      <c r="N1016" s="6">
        <f ca="1">Main[[#This Row],[بدهکار (کیلوگرم)]]-Main[[#This Row],[بدهی تسویه نشده (کیلوگرم)]]</f>
        <v>0</v>
      </c>
      <c r="O1016" s="6">
        <f ca="1">Main[[#This Row],[تفکیک]]</f>
        <v>0</v>
      </c>
      <c r="P1016" s="6">
        <f ca="1">IF(Main[[#This Row],[تاخیر از سررسید]]&gt;0,Main[[#This Row],[بدهی تسویه نشده (کیلوگرم)]],0)</f>
        <v>0</v>
      </c>
      <c r="Q1016" s="6">
        <f ca="1">IF(Main[[#This Row],[بدهی تسویه نشده (کیلوگرم)]]&gt;0,'گزارش فردی'!$B$7-Main[[#This Row],[تاريخ میلادی]],0)</f>
        <v>0</v>
      </c>
      <c r="R1016" s="6">
        <f ca="1">IF(Main[[#This Row],[بدهی تسویه نشده (کیلوگرم)]]&gt;0,'گزارش فردی'!$B$7-Main[[#This Row],[تاريخ میلادی]]-'گزارش فردی'!$B$8,0)</f>
        <v>0</v>
      </c>
      <c r="S1016" s="6">
        <f ca="1">Main[[#This Row],[روز از ارسال سفارش]]*Main[[#This Row],[بدهی تسویه نشده (کیلوگرم)]]</f>
        <v>0</v>
      </c>
      <c r="T1016" s="6">
        <f ca="1">Main[[#This Row],[بدهی سررسید شده (کیلوگرم)]]*Main[[#This Row],[روز از ارسال سفارش]]</f>
        <v>0</v>
      </c>
      <c r="U1016" s="6">
        <f>-SUBTOTAL(9,INDEX(Main[مقدار (کیلوگرم)],1):Main[[#This Row],[مقدار (کیلوگرم)]])</f>
        <v>27186</v>
      </c>
      <c r="V10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6" s="6">
        <f>Main[[#This Row],[تعداد کل روزهای بدهکار (روز)]]*Main[[#This Row],[مانده در خط کل (کیلوگرم)]]</f>
        <v>0</v>
      </c>
      <c r="X1016" s="6">
        <f ca="1">-SUBTOTAL(9,INDEX(Main[مقدار تسویه شده (کیلوگرم)],1):Main[[#This Row],[مقدار تسویه شده (کیلوگرم)]])</f>
        <v>27186</v>
      </c>
      <c r="Y1016" s="6">
        <f ca="1">IF(Main[[#This Row],[مانده در خط تسویه شده (کیلوگرم)]]&lt;&gt;0,Main[[#This Row],[تعداد کل روزهای بدهکار (روز)]],0)</f>
        <v>0</v>
      </c>
      <c r="Z1016" s="6">
        <f ca="1">Main[[#This Row],[تعداد روزهای بدهکار تسویه شده (روز)]]*Main[[#This Row],[مانده در خط تسویه شده (کیلوگرم)]]</f>
        <v>0</v>
      </c>
      <c r="AA1016" s="6">
        <f ca="1">SUBTOTAL(9,INDEX(Main[بدهی تسویه نشده (کیلوگرم)],1):Main[[#This Row],[بدهی تسویه نشده (کیلوگرم)]])</f>
        <v>0</v>
      </c>
      <c r="AB1016" s="6">
        <f ca="1">IF(Main[[#This Row],[مانده در خط تسویه نشده (کیلوگرم)]]&lt;&gt;0,Main[[#This Row],[تعداد کل روزهای بدهکار (روز)]],0)</f>
        <v>0</v>
      </c>
      <c r="AC1016" s="6">
        <f ca="1">Main[[#This Row],[تعداد روزهای بدهکار  تسویه نشده (روز)]]*Main[[#This Row],[مانده در خط تسویه نشده (کیلوگرم)]]</f>
        <v>0</v>
      </c>
      <c r="AD1016" s="6">
        <f ca="1">SUBTOTAL(9,INDEX(Main[بدهی سررسید شده (کیلوگرم)],1):Main[[#This Row],[بدهی سررسید شده (کیلوگرم)]])</f>
        <v>0</v>
      </c>
      <c r="AE1016" s="6">
        <f ca="1">IF(Main[[#This Row],[مانده در خط سررسید شده (کیلوگرم)]]&lt;&gt;0,Main[[#This Row],[تعداد کل روزهای بدهکار (روز)]],0)</f>
        <v>0</v>
      </c>
      <c r="AF1016" s="6">
        <f ca="1">Main[[#This Row],[تعداد روزهای بدهکار سررسید شده (روز)]]*Main[[#This Row],[مانده در خط سررسید شده (کیلوگرم)]]</f>
        <v>0</v>
      </c>
    </row>
    <row r="1017" spans="1:32" x14ac:dyDescent="0.35">
      <c r="A1017" s="5">
        <f>ROW()-ROW(INDEX(Main[ردیف],1))+1</f>
        <v>1015</v>
      </c>
      <c r="B1017" s="31">
        <f>SUBTOTAL(2,INDEX(Main[ردیف],1):Main[[#This Row],[ردیف]])</f>
        <v>98</v>
      </c>
      <c r="C1017" s="32" t="s">
        <v>611</v>
      </c>
      <c r="D1017" s="32" t="str">
        <f>_xlfn.CONCAT("14",Main[[#This Row],[تاريخ]])</f>
        <v>1400/04/15</v>
      </c>
      <c r="E1017" s="33">
        <v>44383</v>
      </c>
      <c r="F1017" s="32">
        <v>10003</v>
      </c>
      <c r="G1017" s="5" t="str">
        <f>INDEX(customer[عنوان],MATCH(Main[[#This Row],[کد ردیابی]],customer[کد],0))</f>
        <v>اصغر نورعلی</v>
      </c>
      <c r="H1017">
        <v>10000</v>
      </c>
      <c r="I1017" s="6">
        <f ca="1">-Main[[#This Row],[بدهی تسویه شده (کیلوگرم)]]+Main[[#This Row],[بستانکار (کیلوگرم)]]</f>
        <v>10000</v>
      </c>
      <c r="J1017" s="6">
        <f>IF(Main[[#This Row],[مقدار (کیلوگرم)]]&gt;0,Main[[#This Row],[مقدار (کیلوگرم)]],0)</f>
        <v>10000</v>
      </c>
      <c r="K1017" s="6">
        <f>-IF(Main[[#This Row],[مقدار (کیلوگرم)]]&lt;0,Main[[#This Row],[مقدار (کیلوگرم)]],0)</f>
        <v>0</v>
      </c>
      <c r="L10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7" s="7">
        <f>-IF(AND(Main[[#This Row],[مقدار (کیلوگرم)]]&lt;0,Main[[#This Row],[تاريخ میلادی]]&gt;44276),Main[[#This Row],[مقدار (کیلوگرم)]],0)</f>
        <v>0</v>
      </c>
      <c r="N1017" s="6">
        <f ca="1">Main[[#This Row],[بدهکار (کیلوگرم)]]-Main[[#This Row],[بدهی تسویه نشده (کیلوگرم)]]</f>
        <v>0</v>
      </c>
      <c r="O1017" s="6">
        <f ca="1">Main[[#This Row],[تفکیک]]</f>
        <v>0</v>
      </c>
      <c r="P1017" s="6">
        <f ca="1">IF(Main[[#This Row],[تاخیر از سررسید]]&gt;0,Main[[#This Row],[بدهی تسویه نشده (کیلوگرم)]],0)</f>
        <v>0</v>
      </c>
      <c r="Q1017" s="6">
        <f ca="1">IF(Main[[#This Row],[بدهی تسویه نشده (کیلوگرم)]]&gt;0,'گزارش فردی'!$B$7-Main[[#This Row],[تاريخ میلادی]],0)</f>
        <v>0</v>
      </c>
      <c r="R1017" s="6">
        <f ca="1">IF(Main[[#This Row],[بدهی تسویه نشده (کیلوگرم)]]&gt;0,'گزارش فردی'!$B$7-Main[[#This Row],[تاريخ میلادی]]-'گزارش فردی'!$B$8,0)</f>
        <v>0</v>
      </c>
      <c r="S1017" s="6">
        <f ca="1">Main[[#This Row],[روز از ارسال سفارش]]*Main[[#This Row],[بدهی تسویه نشده (کیلوگرم)]]</f>
        <v>0</v>
      </c>
      <c r="T1017" s="6">
        <f ca="1">Main[[#This Row],[بدهی سررسید شده (کیلوگرم)]]*Main[[#This Row],[روز از ارسال سفارش]]</f>
        <v>0</v>
      </c>
      <c r="U1017" s="6">
        <f>-SUBTOTAL(9,INDEX(Main[مقدار (کیلوگرم)],1):Main[[#This Row],[مقدار (کیلوگرم)]])</f>
        <v>17186</v>
      </c>
      <c r="V101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017" s="6">
        <f>Main[[#This Row],[تعداد کل روزهای بدهکار (روز)]]*Main[[#This Row],[مانده در خط کل (کیلوگرم)]]</f>
        <v>68744</v>
      </c>
      <c r="X1017" s="6">
        <f ca="1">-SUBTOTAL(9,INDEX(Main[مقدار تسویه شده (کیلوگرم)],1):Main[[#This Row],[مقدار تسویه شده (کیلوگرم)]])</f>
        <v>17186</v>
      </c>
      <c r="Y1017" s="6">
        <f ca="1">IF(Main[[#This Row],[مانده در خط تسویه شده (کیلوگرم)]]&lt;&gt;0,Main[[#This Row],[تعداد کل روزهای بدهکار (روز)]],0)</f>
        <v>4</v>
      </c>
      <c r="Z1017" s="6">
        <f ca="1">Main[[#This Row],[تعداد روزهای بدهکار تسویه شده (روز)]]*Main[[#This Row],[مانده در خط تسویه شده (کیلوگرم)]]</f>
        <v>68744</v>
      </c>
      <c r="AA1017" s="6">
        <f ca="1">SUBTOTAL(9,INDEX(Main[بدهی تسویه نشده (کیلوگرم)],1):Main[[#This Row],[بدهی تسویه نشده (کیلوگرم)]])</f>
        <v>0</v>
      </c>
      <c r="AB1017" s="6">
        <f ca="1">IF(Main[[#This Row],[مانده در خط تسویه نشده (کیلوگرم)]]&lt;&gt;0,Main[[#This Row],[تعداد کل روزهای بدهکار (روز)]],0)</f>
        <v>0</v>
      </c>
      <c r="AC1017" s="6">
        <f ca="1">Main[[#This Row],[تعداد روزهای بدهکار  تسویه نشده (روز)]]*Main[[#This Row],[مانده در خط تسویه نشده (کیلوگرم)]]</f>
        <v>0</v>
      </c>
      <c r="AD1017" s="6">
        <f ca="1">SUBTOTAL(9,INDEX(Main[بدهی سررسید شده (کیلوگرم)],1):Main[[#This Row],[بدهی سررسید شده (کیلوگرم)]])</f>
        <v>0</v>
      </c>
      <c r="AE1017" s="6">
        <f ca="1">IF(Main[[#This Row],[مانده در خط سررسید شده (کیلوگرم)]]&lt;&gt;0,Main[[#This Row],[تعداد کل روزهای بدهکار (روز)]],0)</f>
        <v>0</v>
      </c>
      <c r="AF1017" s="6">
        <f ca="1">Main[[#This Row],[تعداد روزهای بدهکار سررسید شده (روز)]]*Main[[#This Row],[مانده در خط سررسید شده (کیلوگرم)]]</f>
        <v>0</v>
      </c>
    </row>
    <row r="1018" spans="1:32" hidden="1" x14ac:dyDescent="0.35">
      <c r="A1018" s="5">
        <f>ROW()-ROW(INDEX(Main[ردیف],1))+1</f>
        <v>1016</v>
      </c>
      <c r="B1018" s="31">
        <f>SUBTOTAL(2,INDEX(Main[ردیف],1):Main[[#This Row],[ردیف]])</f>
        <v>98</v>
      </c>
      <c r="C1018" s="32" t="s">
        <v>612</v>
      </c>
      <c r="D1018" s="32" t="str">
        <f>_xlfn.CONCAT("14",Main[[#This Row],[تاريخ]])</f>
        <v>1400/04/16</v>
      </c>
      <c r="E1018" s="33">
        <v>44384</v>
      </c>
      <c r="F1018" s="32">
        <v>30066</v>
      </c>
      <c r="G1018" s="5" t="str">
        <f>INDEX(customer[عنوان],MATCH(Main[[#This Row],[کد ردیابی]],customer[کد],0))</f>
        <v xml:space="preserve">شیر آلات بهداشتی قهرمان </v>
      </c>
      <c r="H1018">
        <v>-2794</v>
      </c>
      <c r="I1018" s="6">
        <f ca="1">-Main[[#This Row],[بدهی تسویه شده (کیلوگرم)]]+Main[[#This Row],[بستانکار (کیلوگرم)]]</f>
        <v>-2794</v>
      </c>
      <c r="J1018" s="6">
        <f>IF(Main[[#This Row],[مقدار (کیلوگرم)]]&gt;0,Main[[#This Row],[مقدار (کیلوگرم)]],0)</f>
        <v>0</v>
      </c>
      <c r="K1018" s="6">
        <f>-IF(Main[[#This Row],[مقدار (کیلوگرم)]]&lt;0,Main[[#This Row],[مقدار (کیلوگرم)]],0)</f>
        <v>2794</v>
      </c>
      <c r="L10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8" s="7">
        <f>-IF(AND(Main[[#This Row],[مقدار (کیلوگرم)]]&lt;0,Main[[#This Row],[تاريخ میلادی]]&gt;44276),Main[[#This Row],[مقدار (کیلوگرم)]],0)</f>
        <v>2794</v>
      </c>
      <c r="N1018" s="6">
        <f ca="1">Main[[#This Row],[بدهکار (کیلوگرم)]]-Main[[#This Row],[بدهی تسویه نشده (کیلوگرم)]]</f>
        <v>2794</v>
      </c>
      <c r="O1018" s="6">
        <f ca="1">Main[[#This Row],[تفکیک]]</f>
        <v>0</v>
      </c>
      <c r="P1018" s="6">
        <f ca="1">IF(Main[[#This Row],[تاخیر از سررسید]]&gt;0,Main[[#This Row],[بدهی تسویه نشده (کیلوگرم)]],0)</f>
        <v>0</v>
      </c>
      <c r="Q1018" s="6">
        <f ca="1">IF(Main[[#This Row],[بدهی تسویه نشده (کیلوگرم)]]&gt;0,'گزارش فردی'!$B$7-Main[[#This Row],[تاريخ میلادی]],0)</f>
        <v>0</v>
      </c>
      <c r="R1018" s="6">
        <f ca="1">IF(Main[[#This Row],[بدهی تسویه نشده (کیلوگرم)]]&gt;0,'گزارش فردی'!$B$7-Main[[#This Row],[تاريخ میلادی]]-'گزارش فردی'!$B$8,0)</f>
        <v>0</v>
      </c>
      <c r="S1018" s="6">
        <f ca="1">Main[[#This Row],[روز از ارسال سفارش]]*Main[[#This Row],[بدهی تسویه نشده (کیلوگرم)]]</f>
        <v>0</v>
      </c>
      <c r="T1018" s="6">
        <f ca="1">Main[[#This Row],[بدهی سررسید شده (کیلوگرم)]]*Main[[#This Row],[روز از ارسال سفارش]]</f>
        <v>0</v>
      </c>
      <c r="U1018" s="6">
        <f>-SUBTOTAL(9,INDEX(Main[مقدار (کیلوگرم)],1):Main[[#This Row],[مقدار (کیلوگرم)]])</f>
        <v>17186</v>
      </c>
      <c r="V101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18" s="6">
        <f>Main[[#This Row],[تعداد کل روزهای بدهکار (روز)]]*Main[[#This Row],[مانده در خط کل (کیلوگرم)]]</f>
        <v>51558</v>
      </c>
      <c r="X1018" s="6">
        <f ca="1">-SUBTOTAL(9,INDEX(Main[مقدار تسویه شده (کیلوگرم)],1):Main[[#This Row],[مقدار تسویه شده (کیلوگرم)]])</f>
        <v>17186</v>
      </c>
      <c r="Y1018" s="6">
        <f ca="1">IF(Main[[#This Row],[مانده در خط تسویه شده (کیلوگرم)]]&lt;&gt;0,Main[[#This Row],[تعداد کل روزهای بدهکار (روز)]],0)</f>
        <v>3</v>
      </c>
      <c r="Z1018" s="6">
        <f ca="1">Main[[#This Row],[تعداد روزهای بدهکار تسویه شده (روز)]]*Main[[#This Row],[مانده در خط تسویه شده (کیلوگرم)]]</f>
        <v>51558</v>
      </c>
      <c r="AA1018" s="6">
        <f ca="1">SUBTOTAL(9,INDEX(Main[بدهی تسویه نشده (کیلوگرم)],1):Main[[#This Row],[بدهی تسویه نشده (کیلوگرم)]])</f>
        <v>0</v>
      </c>
      <c r="AB1018" s="6">
        <f ca="1">IF(Main[[#This Row],[مانده در خط تسویه نشده (کیلوگرم)]]&lt;&gt;0,Main[[#This Row],[تعداد کل روزهای بدهکار (روز)]],0)</f>
        <v>0</v>
      </c>
      <c r="AC1018" s="6">
        <f ca="1">Main[[#This Row],[تعداد روزهای بدهکار  تسویه نشده (روز)]]*Main[[#This Row],[مانده در خط تسویه نشده (کیلوگرم)]]</f>
        <v>0</v>
      </c>
      <c r="AD1018" s="6">
        <f ca="1">SUBTOTAL(9,INDEX(Main[بدهی سررسید شده (کیلوگرم)],1):Main[[#This Row],[بدهی سررسید شده (کیلوگرم)]])</f>
        <v>0</v>
      </c>
      <c r="AE1018" s="6">
        <f ca="1">IF(Main[[#This Row],[مانده در خط سررسید شده (کیلوگرم)]]&lt;&gt;0,Main[[#This Row],[تعداد کل روزهای بدهکار (روز)]],0)</f>
        <v>0</v>
      </c>
      <c r="AF1018" s="6">
        <f ca="1">Main[[#This Row],[تعداد روزهای بدهکار سررسید شده (روز)]]*Main[[#This Row],[مانده در خط سررسید شده (کیلوگرم)]]</f>
        <v>0</v>
      </c>
    </row>
    <row r="1019" spans="1:32" hidden="1" x14ac:dyDescent="0.35">
      <c r="A1019" s="5">
        <f>ROW()-ROW(INDEX(Main[ردیف],1))+1</f>
        <v>1017</v>
      </c>
      <c r="B1019" s="31">
        <f>SUBTOTAL(2,INDEX(Main[ردیف],1):Main[[#This Row],[ردیف]])</f>
        <v>98</v>
      </c>
      <c r="C1019" s="32" t="s">
        <v>612</v>
      </c>
      <c r="D1019" s="32" t="str">
        <f>_xlfn.CONCAT("14",Main[[#This Row],[تاريخ]])</f>
        <v>1400/04/16</v>
      </c>
      <c r="E1019" s="33">
        <v>44384</v>
      </c>
      <c r="F1019" s="32">
        <v>30009</v>
      </c>
      <c r="G1019" s="5" t="str">
        <f>INDEX(customer[عنوان],MATCH(Main[[#This Row],[کد ردیابی]],customer[کد],0))</f>
        <v>شرکت ایمن تک پیشرو</v>
      </c>
      <c r="H1019">
        <v>1380</v>
      </c>
      <c r="I1019" s="6">
        <f ca="1">-Main[[#This Row],[بدهی تسویه شده (کیلوگرم)]]+Main[[#This Row],[بستانکار (کیلوگرم)]]</f>
        <v>1380</v>
      </c>
      <c r="J1019" s="6">
        <f>IF(Main[[#This Row],[مقدار (کیلوگرم)]]&gt;0,Main[[#This Row],[مقدار (کیلوگرم)]],0)</f>
        <v>1380</v>
      </c>
      <c r="K1019" s="6">
        <f>-IF(Main[[#This Row],[مقدار (کیلوگرم)]]&lt;0,Main[[#This Row],[مقدار (کیلوگرم)]],0)</f>
        <v>0</v>
      </c>
      <c r="L10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9" s="7">
        <f>-IF(AND(Main[[#This Row],[مقدار (کیلوگرم)]]&lt;0,Main[[#This Row],[تاريخ میلادی]]&gt;44276),Main[[#This Row],[مقدار (کیلوگرم)]],0)</f>
        <v>0</v>
      </c>
      <c r="N1019" s="6">
        <f ca="1">Main[[#This Row],[بدهکار (کیلوگرم)]]-Main[[#This Row],[بدهی تسویه نشده (کیلوگرم)]]</f>
        <v>0</v>
      </c>
      <c r="O1019" s="6">
        <f ca="1">Main[[#This Row],[تفکیک]]</f>
        <v>0</v>
      </c>
      <c r="P1019" s="6">
        <f ca="1">IF(Main[[#This Row],[تاخیر از سررسید]]&gt;0,Main[[#This Row],[بدهی تسویه نشده (کیلوگرم)]],0)</f>
        <v>0</v>
      </c>
      <c r="Q1019" s="6">
        <f ca="1">IF(Main[[#This Row],[بدهی تسویه نشده (کیلوگرم)]]&gt;0,'گزارش فردی'!$B$7-Main[[#This Row],[تاريخ میلادی]],0)</f>
        <v>0</v>
      </c>
      <c r="R1019" s="6">
        <f ca="1">IF(Main[[#This Row],[بدهی تسویه نشده (کیلوگرم)]]&gt;0,'گزارش فردی'!$B$7-Main[[#This Row],[تاريخ میلادی]]-'گزارش فردی'!$B$8,0)</f>
        <v>0</v>
      </c>
      <c r="S1019" s="6">
        <f ca="1">Main[[#This Row],[روز از ارسال سفارش]]*Main[[#This Row],[بدهی تسویه نشده (کیلوگرم)]]</f>
        <v>0</v>
      </c>
      <c r="T1019" s="6">
        <f ca="1">Main[[#This Row],[بدهی سررسید شده (کیلوگرم)]]*Main[[#This Row],[روز از ارسال سفارش]]</f>
        <v>0</v>
      </c>
      <c r="U1019" s="6">
        <f>-SUBTOTAL(9,INDEX(Main[مقدار (کیلوگرم)],1):Main[[#This Row],[مقدار (کیلوگرم)]])</f>
        <v>17186</v>
      </c>
      <c r="V101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19" s="6">
        <f>Main[[#This Row],[تعداد کل روزهای بدهکار (روز)]]*Main[[#This Row],[مانده در خط کل (کیلوگرم)]]</f>
        <v>51558</v>
      </c>
      <c r="X1019" s="6">
        <f ca="1">-SUBTOTAL(9,INDEX(Main[مقدار تسویه شده (کیلوگرم)],1):Main[[#This Row],[مقدار تسویه شده (کیلوگرم)]])</f>
        <v>17186</v>
      </c>
      <c r="Y1019" s="6">
        <f ca="1">IF(Main[[#This Row],[مانده در خط تسویه شده (کیلوگرم)]]&lt;&gt;0,Main[[#This Row],[تعداد کل روزهای بدهکار (روز)]],0)</f>
        <v>3</v>
      </c>
      <c r="Z1019" s="6">
        <f ca="1">Main[[#This Row],[تعداد روزهای بدهکار تسویه شده (روز)]]*Main[[#This Row],[مانده در خط تسویه شده (کیلوگرم)]]</f>
        <v>51558</v>
      </c>
      <c r="AA1019" s="6">
        <f ca="1">SUBTOTAL(9,INDEX(Main[بدهی تسویه نشده (کیلوگرم)],1):Main[[#This Row],[بدهی تسویه نشده (کیلوگرم)]])</f>
        <v>0</v>
      </c>
      <c r="AB1019" s="6">
        <f ca="1">IF(Main[[#This Row],[مانده در خط تسویه نشده (کیلوگرم)]]&lt;&gt;0,Main[[#This Row],[تعداد کل روزهای بدهکار (روز)]],0)</f>
        <v>0</v>
      </c>
      <c r="AC1019" s="6">
        <f ca="1">Main[[#This Row],[تعداد روزهای بدهکار  تسویه نشده (روز)]]*Main[[#This Row],[مانده در خط تسویه نشده (کیلوگرم)]]</f>
        <v>0</v>
      </c>
      <c r="AD1019" s="6">
        <f ca="1">SUBTOTAL(9,INDEX(Main[بدهی سررسید شده (کیلوگرم)],1):Main[[#This Row],[بدهی سررسید شده (کیلوگرم)]])</f>
        <v>0</v>
      </c>
      <c r="AE1019" s="6">
        <f ca="1">IF(Main[[#This Row],[مانده در خط سررسید شده (کیلوگرم)]]&lt;&gt;0,Main[[#This Row],[تعداد کل روزهای بدهکار (روز)]],0)</f>
        <v>0</v>
      </c>
      <c r="AF1019" s="6">
        <f ca="1">Main[[#This Row],[تعداد روزهای بدهکار سررسید شده (روز)]]*Main[[#This Row],[مانده در خط سررسید شده (کیلوگرم)]]</f>
        <v>0</v>
      </c>
    </row>
    <row r="1020" spans="1:32" hidden="1" x14ac:dyDescent="0.35">
      <c r="A1020" s="5">
        <f>ROW()-ROW(INDEX(Main[ردیف],1))+1</f>
        <v>1018</v>
      </c>
      <c r="B1020" s="31">
        <f>SUBTOTAL(2,INDEX(Main[ردیف],1):Main[[#This Row],[ردیف]])</f>
        <v>98</v>
      </c>
      <c r="C1020" s="32" t="s">
        <v>612</v>
      </c>
      <c r="D1020" s="32" t="str">
        <f>_xlfn.CONCAT("14",Main[[#This Row],[تاريخ]])</f>
        <v>1400/04/16</v>
      </c>
      <c r="E1020" s="33">
        <v>44384</v>
      </c>
      <c r="F1020" s="32">
        <v>10127</v>
      </c>
      <c r="G1020" s="5" t="str">
        <f>INDEX(customer[عنوان],MATCH(Main[[#This Row],[کد ردیابی]],customer[کد],0))</f>
        <v xml:space="preserve">عماد هاشمی </v>
      </c>
      <c r="H1020">
        <v>-122</v>
      </c>
      <c r="I1020" s="6">
        <f ca="1">-Main[[#This Row],[بدهی تسویه شده (کیلوگرم)]]+Main[[#This Row],[بستانکار (کیلوگرم)]]</f>
        <v>-122</v>
      </c>
      <c r="J1020" s="6">
        <f>IF(Main[[#This Row],[مقدار (کیلوگرم)]]&gt;0,Main[[#This Row],[مقدار (کیلوگرم)]],0)</f>
        <v>0</v>
      </c>
      <c r="K1020" s="6">
        <f>-IF(Main[[#This Row],[مقدار (کیلوگرم)]]&lt;0,Main[[#This Row],[مقدار (کیلوگرم)]],0)</f>
        <v>122</v>
      </c>
      <c r="L10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0" s="7">
        <f>-IF(AND(Main[[#This Row],[مقدار (کیلوگرم)]]&lt;0,Main[[#This Row],[تاريخ میلادی]]&gt;44276),Main[[#This Row],[مقدار (کیلوگرم)]],0)</f>
        <v>122</v>
      </c>
      <c r="N1020" s="6">
        <f ca="1">Main[[#This Row],[بدهکار (کیلوگرم)]]-Main[[#This Row],[بدهی تسویه نشده (کیلوگرم)]]</f>
        <v>122</v>
      </c>
      <c r="O1020" s="6">
        <f ca="1">Main[[#This Row],[تفکیک]]</f>
        <v>0</v>
      </c>
      <c r="P1020" s="6">
        <f ca="1">IF(Main[[#This Row],[تاخیر از سررسید]]&gt;0,Main[[#This Row],[بدهی تسویه نشده (کیلوگرم)]],0)</f>
        <v>0</v>
      </c>
      <c r="Q1020" s="6">
        <f ca="1">IF(Main[[#This Row],[بدهی تسویه نشده (کیلوگرم)]]&gt;0,'گزارش فردی'!$B$7-Main[[#This Row],[تاريخ میلادی]],0)</f>
        <v>0</v>
      </c>
      <c r="R1020" s="6">
        <f ca="1">IF(Main[[#This Row],[بدهی تسویه نشده (کیلوگرم)]]&gt;0,'گزارش فردی'!$B$7-Main[[#This Row],[تاريخ میلادی]]-'گزارش فردی'!$B$8,0)</f>
        <v>0</v>
      </c>
      <c r="S1020" s="6">
        <f ca="1">Main[[#This Row],[روز از ارسال سفارش]]*Main[[#This Row],[بدهی تسویه نشده (کیلوگرم)]]</f>
        <v>0</v>
      </c>
      <c r="T1020" s="6">
        <f ca="1">Main[[#This Row],[بدهی سررسید شده (کیلوگرم)]]*Main[[#This Row],[روز از ارسال سفارش]]</f>
        <v>0</v>
      </c>
      <c r="U1020" s="6">
        <f>-SUBTOTAL(9,INDEX(Main[مقدار (کیلوگرم)],1):Main[[#This Row],[مقدار (کیلوگرم)]])</f>
        <v>17186</v>
      </c>
      <c r="V102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0" s="6">
        <f>Main[[#This Row],[تعداد کل روزهای بدهکار (روز)]]*Main[[#This Row],[مانده در خط کل (کیلوگرم)]]</f>
        <v>51558</v>
      </c>
      <c r="X1020" s="6">
        <f ca="1">-SUBTOTAL(9,INDEX(Main[مقدار تسویه شده (کیلوگرم)],1):Main[[#This Row],[مقدار تسویه شده (کیلوگرم)]])</f>
        <v>17186</v>
      </c>
      <c r="Y1020" s="6">
        <f ca="1">IF(Main[[#This Row],[مانده در خط تسویه شده (کیلوگرم)]]&lt;&gt;0,Main[[#This Row],[تعداد کل روزهای بدهکار (روز)]],0)</f>
        <v>3</v>
      </c>
      <c r="Z1020" s="6">
        <f ca="1">Main[[#This Row],[تعداد روزهای بدهکار تسویه شده (روز)]]*Main[[#This Row],[مانده در خط تسویه شده (کیلوگرم)]]</f>
        <v>51558</v>
      </c>
      <c r="AA1020" s="6">
        <f ca="1">SUBTOTAL(9,INDEX(Main[بدهی تسویه نشده (کیلوگرم)],1):Main[[#This Row],[بدهی تسویه نشده (کیلوگرم)]])</f>
        <v>0</v>
      </c>
      <c r="AB1020" s="6">
        <f ca="1">IF(Main[[#This Row],[مانده در خط تسویه نشده (کیلوگرم)]]&lt;&gt;0,Main[[#This Row],[تعداد کل روزهای بدهکار (روز)]],0)</f>
        <v>0</v>
      </c>
      <c r="AC1020" s="6">
        <f ca="1">Main[[#This Row],[تعداد روزهای بدهکار  تسویه نشده (روز)]]*Main[[#This Row],[مانده در خط تسویه نشده (کیلوگرم)]]</f>
        <v>0</v>
      </c>
      <c r="AD1020" s="6">
        <f ca="1">SUBTOTAL(9,INDEX(Main[بدهی سررسید شده (کیلوگرم)],1):Main[[#This Row],[بدهی سررسید شده (کیلوگرم)]])</f>
        <v>0</v>
      </c>
      <c r="AE1020" s="6">
        <f ca="1">IF(Main[[#This Row],[مانده در خط سررسید شده (کیلوگرم)]]&lt;&gt;0,Main[[#This Row],[تعداد کل روزهای بدهکار (روز)]],0)</f>
        <v>0</v>
      </c>
      <c r="AF1020" s="6">
        <f ca="1">Main[[#This Row],[تعداد روزهای بدهکار سررسید شده (روز)]]*Main[[#This Row],[مانده در خط سررسید شده (کیلوگرم)]]</f>
        <v>0</v>
      </c>
    </row>
    <row r="1021" spans="1:32" hidden="1" x14ac:dyDescent="0.35">
      <c r="A1021" s="5">
        <f>ROW()-ROW(INDEX(Main[ردیف],1))+1</f>
        <v>1019</v>
      </c>
      <c r="B1021" s="31">
        <f>SUBTOTAL(2,INDEX(Main[ردیف],1):Main[[#This Row],[ردیف]])</f>
        <v>98</v>
      </c>
      <c r="C1021" s="32" t="s">
        <v>612</v>
      </c>
      <c r="D1021" s="32" t="str">
        <f>_xlfn.CONCAT("14",Main[[#This Row],[تاريخ]])</f>
        <v>1400/04/16</v>
      </c>
      <c r="E1021" s="33">
        <v>44384</v>
      </c>
      <c r="F1021" s="32">
        <v>30190</v>
      </c>
      <c r="G1021" s="5" t="str">
        <f>INDEX(customer[عنوان],MATCH(Main[[#This Row],[کد ردیابی]],customer[کد],0))</f>
        <v>ایران طلق</v>
      </c>
      <c r="H1021">
        <v>122</v>
      </c>
      <c r="I1021" s="6">
        <f ca="1">-Main[[#This Row],[بدهی تسویه شده (کیلوگرم)]]+Main[[#This Row],[بستانکار (کیلوگرم)]]</f>
        <v>122</v>
      </c>
      <c r="J1021" s="6">
        <f>IF(Main[[#This Row],[مقدار (کیلوگرم)]]&gt;0,Main[[#This Row],[مقدار (کیلوگرم)]],0)</f>
        <v>122</v>
      </c>
      <c r="K1021" s="6">
        <f>-IF(Main[[#This Row],[مقدار (کیلوگرم)]]&lt;0,Main[[#This Row],[مقدار (کیلوگرم)]],0)</f>
        <v>0</v>
      </c>
      <c r="L10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1" s="7">
        <f>-IF(AND(Main[[#This Row],[مقدار (کیلوگرم)]]&lt;0,Main[[#This Row],[تاريخ میلادی]]&gt;44276),Main[[#This Row],[مقدار (کیلوگرم)]],0)</f>
        <v>0</v>
      </c>
      <c r="N1021" s="6">
        <f ca="1">Main[[#This Row],[بدهکار (کیلوگرم)]]-Main[[#This Row],[بدهی تسویه نشده (کیلوگرم)]]</f>
        <v>0</v>
      </c>
      <c r="O1021" s="6">
        <f ca="1">Main[[#This Row],[تفکیک]]</f>
        <v>0</v>
      </c>
      <c r="P1021" s="6">
        <f ca="1">IF(Main[[#This Row],[تاخیر از سررسید]]&gt;0,Main[[#This Row],[بدهی تسویه نشده (کیلوگرم)]],0)</f>
        <v>0</v>
      </c>
      <c r="Q1021" s="6">
        <f ca="1">IF(Main[[#This Row],[بدهی تسویه نشده (کیلوگرم)]]&gt;0,'گزارش فردی'!$B$7-Main[[#This Row],[تاريخ میلادی]],0)</f>
        <v>0</v>
      </c>
      <c r="R1021" s="6">
        <f ca="1">IF(Main[[#This Row],[بدهی تسویه نشده (کیلوگرم)]]&gt;0,'گزارش فردی'!$B$7-Main[[#This Row],[تاريخ میلادی]]-'گزارش فردی'!$B$8,0)</f>
        <v>0</v>
      </c>
      <c r="S1021" s="6">
        <f ca="1">Main[[#This Row],[روز از ارسال سفارش]]*Main[[#This Row],[بدهی تسویه نشده (کیلوگرم)]]</f>
        <v>0</v>
      </c>
      <c r="T1021" s="6">
        <f ca="1">Main[[#This Row],[بدهی سررسید شده (کیلوگرم)]]*Main[[#This Row],[روز از ارسال سفارش]]</f>
        <v>0</v>
      </c>
      <c r="U1021" s="6">
        <f>-SUBTOTAL(9,INDEX(Main[مقدار (کیلوگرم)],1):Main[[#This Row],[مقدار (کیلوگرم)]])</f>
        <v>17186</v>
      </c>
      <c r="V102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1" s="6">
        <f>Main[[#This Row],[تعداد کل روزهای بدهکار (روز)]]*Main[[#This Row],[مانده در خط کل (کیلوگرم)]]</f>
        <v>51558</v>
      </c>
      <c r="X1021" s="6">
        <f ca="1">-SUBTOTAL(9,INDEX(Main[مقدار تسویه شده (کیلوگرم)],1):Main[[#This Row],[مقدار تسویه شده (کیلوگرم)]])</f>
        <v>17186</v>
      </c>
      <c r="Y1021" s="6">
        <f ca="1">IF(Main[[#This Row],[مانده در خط تسویه شده (کیلوگرم)]]&lt;&gt;0,Main[[#This Row],[تعداد کل روزهای بدهکار (روز)]],0)</f>
        <v>3</v>
      </c>
      <c r="Z1021" s="6">
        <f ca="1">Main[[#This Row],[تعداد روزهای بدهکار تسویه شده (روز)]]*Main[[#This Row],[مانده در خط تسویه شده (کیلوگرم)]]</f>
        <v>51558</v>
      </c>
      <c r="AA1021" s="6">
        <f ca="1">SUBTOTAL(9,INDEX(Main[بدهی تسویه نشده (کیلوگرم)],1):Main[[#This Row],[بدهی تسویه نشده (کیلوگرم)]])</f>
        <v>0</v>
      </c>
      <c r="AB1021" s="6">
        <f ca="1">IF(Main[[#This Row],[مانده در خط تسویه نشده (کیلوگرم)]]&lt;&gt;0,Main[[#This Row],[تعداد کل روزهای بدهکار (روز)]],0)</f>
        <v>0</v>
      </c>
      <c r="AC1021" s="6">
        <f ca="1">Main[[#This Row],[تعداد روزهای بدهکار  تسویه نشده (روز)]]*Main[[#This Row],[مانده در خط تسویه نشده (کیلوگرم)]]</f>
        <v>0</v>
      </c>
      <c r="AD1021" s="6">
        <f ca="1">SUBTOTAL(9,INDEX(Main[بدهی سررسید شده (کیلوگرم)],1):Main[[#This Row],[بدهی سررسید شده (کیلوگرم)]])</f>
        <v>0</v>
      </c>
      <c r="AE1021" s="6">
        <f ca="1">IF(Main[[#This Row],[مانده در خط سررسید شده (کیلوگرم)]]&lt;&gt;0,Main[[#This Row],[تعداد کل روزهای بدهکار (روز)]],0)</f>
        <v>0</v>
      </c>
      <c r="AF1021" s="6">
        <f ca="1">Main[[#This Row],[تعداد روزهای بدهکار سررسید شده (روز)]]*Main[[#This Row],[مانده در خط سررسید شده (کیلوگرم)]]</f>
        <v>0</v>
      </c>
    </row>
    <row r="1022" spans="1:32" hidden="1" x14ac:dyDescent="0.35">
      <c r="A1022" s="5">
        <f>ROW()-ROW(INDEX(Main[ردیف],1))+1</f>
        <v>1020</v>
      </c>
      <c r="B1022" s="31">
        <f>SUBTOTAL(2,INDEX(Main[ردیف],1):Main[[#This Row],[ردیف]])</f>
        <v>98</v>
      </c>
      <c r="C1022" s="32" t="s">
        <v>612</v>
      </c>
      <c r="D1022" s="32" t="str">
        <f>_xlfn.CONCAT("14",Main[[#This Row],[تاريخ]])</f>
        <v>1400/04/16</v>
      </c>
      <c r="E1022" s="33">
        <v>44384</v>
      </c>
      <c r="F1022" s="32">
        <v>10009</v>
      </c>
      <c r="G1022" s="5" t="str">
        <f>INDEX(customer[عنوان],MATCH(Main[[#This Row],[کد ردیابی]],customer[کد],0))</f>
        <v>محمد نمازی</v>
      </c>
      <c r="H1022">
        <v>-2094</v>
      </c>
      <c r="I1022" s="6">
        <f ca="1">-Main[[#This Row],[بدهی تسویه شده (کیلوگرم)]]+Main[[#This Row],[بستانکار (کیلوگرم)]]</f>
        <v>-2094</v>
      </c>
      <c r="J1022" s="6">
        <f>IF(Main[[#This Row],[مقدار (کیلوگرم)]]&gt;0,Main[[#This Row],[مقدار (کیلوگرم)]],0)</f>
        <v>0</v>
      </c>
      <c r="K1022" s="6">
        <f>-IF(Main[[#This Row],[مقدار (کیلوگرم)]]&lt;0,Main[[#This Row],[مقدار (کیلوگرم)]],0)</f>
        <v>2094</v>
      </c>
      <c r="L10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2" s="7">
        <f>-IF(AND(Main[[#This Row],[مقدار (کیلوگرم)]]&lt;0,Main[[#This Row],[تاريخ میلادی]]&gt;44276),Main[[#This Row],[مقدار (کیلوگرم)]],0)</f>
        <v>2094</v>
      </c>
      <c r="N1022" s="6">
        <f ca="1">Main[[#This Row],[بدهکار (کیلوگرم)]]-Main[[#This Row],[بدهی تسویه نشده (کیلوگرم)]]</f>
        <v>2094</v>
      </c>
      <c r="O1022" s="6">
        <f ca="1">Main[[#This Row],[تفکیک]]</f>
        <v>0</v>
      </c>
      <c r="P1022" s="6">
        <f ca="1">IF(Main[[#This Row],[تاخیر از سررسید]]&gt;0,Main[[#This Row],[بدهی تسویه نشده (کیلوگرم)]],0)</f>
        <v>0</v>
      </c>
      <c r="Q1022" s="6">
        <f ca="1">IF(Main[[#This Row],[بدهی تسویه نشده (کیلوگرم)]]&gt;0,'گزارش فردی'!$B$7-Main[[#This Row],[تاريخ میلادی]],0)</f>
        <v>0</v>
      </c>
      <c r="R1022" s="6">
        <f ca="1">IF(Main[[#This Row],[بدهی تسویه نشده (کیلوگرم)]]&gt;0,'گزارش فردی'!$B$7-Main[[#This Row],[تاريخ میلادی]]-'گزارش فردی'!$B$8,0)</f>
        <v>0</v>
      </c>
      <c r="S1022" s="6">
        <f ca="1">Main[[#This Row],[روز از ارسال سفارش]]*Main[[#This Row],[بدهی تسویه نشده (کیلوگرم)]]</f>
        <v>0</v>
      </c>
      <c r="T1022" s="6">
        <f ca="1">Main[[#This Row],[بدهی سررسید شده (کیلوگرم)]]*Main[[#This Row],[روز از ارسال سفارش]]</f>
        <v>0</v>
      </c>
      <c r="U1022" s="6">
        <f>-SUBTOTAL(9,INDEX(Main[مقدار (کیلوگرم)],1):Main[[#This Row],[مقدار (کیلوگرم)]])</f>
        <v>17186</v>
      </c>
      <c r="V102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2" s="6">
        <f>Main[[#This Row],[تعداد کل روزهای بدهکار (روز)]]*Main[[#This Row],[مانده در خط کل (کیلوگرم)]]</f>
        <v>51558</v>
      </c>
      <c r="X1022" s="6">
        <f ca="1">-SUBTOTAL(9,INDEX(Main[مقدار تسویه شده (کیلوگرم)],1):Main[[#This Row],[مقدار تسویه شده (کیلوگرم)]])</f>
        <v>17186</v>
      </c>
      <c r="Y1022" s="6">
        <f ca="1">IF(Main[[#This Row],[مانده در خط تسویه شده (کیلوگرم)]]&lt;&gt;0,Main[[#This Row],[تعداد کل روزهای بدهکار (روز)]],0)</f>
        <v>3</v>
      </c>
      <c r="Z1022" s="6">
        <f ca="1">Main[[#This Row],[تعداد روزهای بدهکار تسویه شده (روز)]]*Main[[#This Row],[مانده در خط تسویه شده (کیلوگرم)]]</f>
        <v>51558</v>
      </c>
      <c r="AA1022" s="6">
        <f ca="1">SUBTOTAL(9,INDEX(Main[بدهی تسویه نشده (کیلوگرم)],1):Main[[#This Row],[بدهی تسویه نشده (کیلوگرم)]])</f>
        <v>0</v>
      </c>
      <c r="AB1022" s="6">
        <f ca="1">IF(Main[[#This Row],[مانده در خط تسویه نشده (کیلوگرم)]]&lt;&gt;0,Main[[#This Row],[تعداد کل روزهای بدهکار (روز)]],0)</f>
        <v>0</v>
      </c>
      <c r="AC1022" s="6">
        <f ca="1">Main[[#This Row],[تعداد روزهای بدهکار  تسویه نشده (روز)]]*Main[[#This Row],[مانده در خط تسویه نشده (کیلوگرم)]]</f>
        <v>0</v>
      </c>
      <c r="AD1022" s="6">
        <f ca="1">SUBTOTAL(9,INDEX(Main[بدهی سررسید شده (کیلوگرم)],1):Main[[#This Row],[بدهی سررسید شده (کیلوگرم)]])</f>
        <v>0</v>
      </c>
      <c r="AE1022" s="6">
        <f ca="1">IF(Main[[#This Row],[مانده در خط سررسید شده (کیلوگرم)]]&lt;&gt;0,Main[[#This Row],[تعداد کل روزهای بدهکار (روز)]],0)</f>
        <v>0</v>
      </c>
      <c r="AF1022" s="6">
        <f ca="1">Main[[#This Row],[تعداد روزهای بدهکار سررسید شده (روز)]]*Main[[#This Row],[مانده در خط سررسید شده (کیلوگرم)]]</f>
        <v>0</v>
      </c>
    </row>
    <row r="1023" spans="1:32" hidden="1" x14ac:dyDescent="0.35">
      <c r="A1023" s="5">
        <f>ROW()-ROW(INDEX(Main[ردیف],1))+1</f>
        <v>1021</v>
      </c>
      <c r="B1023" s="31">
        <f>SUBTOTAL(2,INDEX(Main[ردیف],1):Main[[#This Row],[ردیف]])</f>
        <v>98</v>
      </c>
      <c r="C1023" s="32" t="s">
        <v>612</v>
      </c>
      <c r="D1023" s="32" t="str">
        <f>_xlfn.CONCAT("14",Main[[#This Row],[تاريخ]])</f>
        <v>1400/04/16</v>
      </c>
      <c r="E1023" s="33">
        <v>44384</v>
      </c>
      <c r="F1023" s="32">
        <v>30187</v>
      </c>
      <c r="G1023" s="5" t="str">
        <f>INDEX(customer[عنوان],MATCH(Main[[#This Row],[کد ردیابی]],customer[کد],0))</f>
        <v>شرکت جام جم</v>
      </c>
      <c r="H1023">
        <v>416</v>
      </c>
      <c r="I1023" s="6">
        <f ca="1">-Main[[#This Row],[بدهی تسویه شده (کیلوگرم)]]+Main[[#This Row],[بستانکار (کیلوگرم)]]</f>
        <v>416</v>
      </c>
      <c r="J1023" s="6">
        <f>IF(Main[[#This Row],[مقدار (کیلوگرم)]]&gt;0,Main[[#This Row],[مقدار (کیلوگرم)]],0)</f>
        <v>416</v>
      </c>
      <c r="K1023" s="6">
        <f>-IF(Main[[#This Row],[مقدار (کیلوگرم)]]&lt;0,Main[[#This Row],[مقدار (کیلوگرم)]],0)</f>
        <v>0</v>
      </c>
      <c r="L10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3" s="7">
        <f>-IF(AND(Main[[#This Row],[مقدار (کیلوگرم)]]&lt;0,Main[[#This Row],[تاريخ میلادی]]&gt;44276),Main[[#This Row],[مقدار (کیلوگرم)]],0)</f>
        <v>0</v>
      </c>
      <c r="N1023" s="6">
        <f ca="1">Main[[#This Row],[بدهکار (کیلوگرم)]]-Main[[#This Row],[بدهی تسویه نشده (کیلوگرم)]]</f>
        <v>0</v>
      </c>
      <c r="O1023" s="6">
        <f ca="1">Main[[#This Row],[تفکیک]]</f>
        <v>0</v>
      </c>
      <c r="P1023" s="6">
        <f ca="1">IF(Main[[#This Row],[تاخیر از سررسید]]&gt;0,Main[[#This Row],[بدهی تسویه نشده (کیلوگرم)]],0)</f>
        <v>0</v>
      </c>
      <c r="Q1023" s="6">
        <f ca="1">IF(Main[[#This Row],[بدهی تسویه نشده (کیلوگرم)]]&gt;0,'گزارش فردی'!$B$7-Main[[#This Row],[تاريخ میلادی]],0)</f>
        <v>0</v>
      </c>
      <c r="R1023" s="6">
        <f ca="1">IF(Main[[#This Row],[بدهی تسویه نشده (کیلوگرم)]]&gt;0,'گزارش فردی'!$B$7-Main[[#This Row],[تاريخ میلادی]]-'گزارش فردی'!$B$8,0)</f>
        <v>0</v>
      </c>
      <c r="S1023" s="6">
        <f ca="1">Main[[#This Row],[روز از ارسال سفارش]]*Main[[#This Row],[بدهی تسویه نشده (کیلوگرم)]]</f>
        <v>0</v>
      </c>
      <c r="T1023" s="6">
        <f ca="1">Main[[#This Row],[بدهی سررسید شده (کیلوگرم)]]*Main[[#This Row],[روز از ارسال سفارش]]</f>
        <v>0</v>
      </c>
      <c r="U1023" s="6">
        <f>-SUBTOTAL(9,INDEX(Main[مقدار (کیلوگرم)],1):Main[[#This Row],[مقدار (کیلوگرم)]])</f>
        <v>17186</v>
      </c>
      <c r="V102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3" s="6">
        <f>Main[[#This Row],[تعداد کل روزهای بدهکار (روز)]]*Main[[#This Row],[مانده در خط کل (کیلوگرم)]]</f>
        <v>51558</v>
      </c>
      <c r="X1023" s="6">
        <f ca="1">-SUBTOTAL(9,INDEX(Main[مقدار تسویه شده (کیلوگرم)],1):Main[[#This Row],[مقدار تسویه شده (کیلوگرم)]])</f>
        <v>17186</v>
      </c>
      <c r="Y1023" s="6">
        <f ca="1">IF(Main[[#This Row],[مانده در خط تسویه شده (کیلوگرم)]]&lt;&gt;0,Main[[#This Row],[تعداد کل روزهای بدهکار (روز)]],0)</f>
        <v>3</v>
      </c>
      <c r="Z1023" s="6">
        <f ca="1">Main[[#This Row],[تعداد روزهای بدهکار تسویه شده (روز)]]*Main[[#This Row],[مانده در خط تسویه شده (کیلوگرم)]]</f>
        <v>51558</v>
      </c>
      <c r="AA1023" s="6">
        <f ca="1">SUBTOTAL(9,INDEX(Main[بدهی تسویه نشده (کیلوگرم)],1):Main[[#This Row],[بدهی تسویه نشده (کیلوگرم)]])</f>
        <v>0</v>
      </c>
      <c r="AB1023" s="6">
        <f ca="1">IF(Main[[#This Row],[مانده در خط تسویه نشده (کیلوگرم)]]&lt;&gt;0,Main[[#This Row],[تعداد کل روزهای بدهکار (روز)]],0)</f>
        <v>0</v>
      </c>
      <c r="AC1023" s="6">
        <f ca="1">Main[[#This Row],[تعداد روزهای بدهکار  تسویه نشده (روز)]]*Main[[#This Row],[مانده در خط تسویه نشده (کیلوگرم)]]</f>
        <v>0</v>
      </c>
      <c r="AD1023" s="6">
        <f ca="1">SUBTOTAL(9,INDEX(Main[بدهی سررسید شده (کیلوگرم)],1):Main[[#This Row],[بدهی سررسید شده (کیلوگرم)]])</f>
        <v>0</v>
      </c>
      <c r="AE1023" s="6">
        <f ca="1">IF(Main[[#This Row],[مانده در خط سررسید شده (کیلوگرم)]]&lt;&gt;0,Main[[#This Row],[تعداد کل روزهای بدهکار (روز)]],0)</f>
        <v>0</v>
      </c>
      <c r="AF1023" s="6">
        <f ca="1">Main[[#This Row],[تعداد روزهای بدهکار سررسید شده (روز)]]*Main[[#This Row],[مانده در خط سررسید شده (کیلوگرم)]]</f>
        <v>0</v>
      </c>
    </row>
    <row r="1024" spans="1:32" hidden="1" x14ac:dyDescent="0.35">
      <c r="A1024" s="5">
        <f>ROW()-ROW(INDEX(Main[ردیف],1))+1</f>
        <v>1022</v>
      </c>
      <c r="B1024" s="31">
        <f>SUBTOTAL(2,INDEX(Main[ردیف],1):Main[[#This Row],[ردیف]])</f>
        <v>98</v>
      </c>
      <c r="C1024" s="32" t="s">
        <v>612</v>
      </c>
      <c r="D1024" s="32" t="str">
        <f>_xlfn.CONCAT("14",Main[[#This Row],[تاريخ]])</f>
        <v>1400/04/16</v>
      </c>
      <c r="E1024" s="33">
        <v>44384</v>
      </c>
      <c r="F1024" s="32">
        <v>30004</v>
      </c>
      <c r="G1024" s="5" t="str">
        <f>INDEX(customer[عنوان],MATCH(Main[[#This Row],[کد ردیابی]],customer[کد],0))</f>
        <v>تولیدی صنعتی صفاشیر پارس</v>
      </c>
      <c r="H1024">
        <v>-4808</v>
      </c>
      <c r="I1024" s="6">
        <f ca="1">-Main[[#This Row],[بدهی تسویه شده (کیلوگرم)]]+Main[[#This Row],[بستانکار (کیلوگرم)]]</f>
        <v>-4808</v>
      </c>
      <c r="J1024" s="6">
        <f>IF(Main[[#This Row],[مقدار (کیلوگرم)]]&gt;0,Main[[#This Row],[مقدار (کیلوگرم)]],0)</f>
        <v>0</v>
      </c>
      <c r="K1024" s="6">
        <f>-IF(Main[[#This Row],[مقدار (کیلوگرم)]]&lt;0,Main[[#This Row],[مقدار (کیلوگرم)]],0)</f>
        <v>4808</v>
      </c>
      <c r="L10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4" s="7">
        <f>-IF(AND(Main[[#This Row],[مقدار (کیلوگرم)]]&lt;0,Main[[#This Row],[تاريخ میلادی]]&gt;44276),Main[[#This Row],[مقدار (کیلوگرم)]],0)</f>
        <v>4808</v>
      </c>
      <c r="N1024" s="6">
        <f ca="1">Main[[#This Row],[بدهکار (کیلوگرم)]]-Main[[#This Row],[بدهی تسویه نشده (کیلوگرم)]]</f>
        <v>4808</v>
      </c>
      <c r="O1024" s="6">
        <f ca="1">Main[[#This Row],[تفکیک]]</f>
        <v>0</v>
      </c>
      <c r="P1024" s="6">
        <f ca="1">IF(Main[[#This Row],[تاخیر از سررسید]]&gt;0,Main[[#This Row],[بدهی تسویه نشده (کیلوگرم)]],0)</f>
        <v>0</v>
      </c>
      <c r="Q1024" s="6">
        <f ca="1">IF(Main[[#This Row],[بدهی تسویه نشده (کیلوگرم)]]&gt;0,'گزارش فردی'!$B$7-Main[[#This Row],[تاريخ میلادی]],0)</f>
        <v>0</v>
      </c>
      <c r="R1024" s="6">
        <f ca="1">IF(Main[[#This Row],[بدهی تسویه نشده (کیلوگرم)]]&gt;0,'گزارش فردی'!$B$7-Main[[#This Row],[تاريخ میلادی]]-'گزارش فردی'!$B$8,0)</f>
        <v>0</v>
      </c>
      <c r="S1024" s="6">
        <f ca="1">Main[[#This Row],[روز از ارسال سفارش]]*Main[[#This Row],[بدهی تسویه نشده (کیلوگرم)]]</f>
        <v>0</v>
      </c>
      <c r="T1024" s="6">
        <f ca="1">Main[[#This Row],[بدهی سررسید شده (کیلوگرم)]]*Main[[#This Row],[روز از ارسال سفارش]]</f>
        <v>0</v>
      </c>
      <c r="U1024" s="6">
        <f>-SUBTOTAL(9,INDEX(Main[مقدار (کیلوگرم)],1):Main[[#This Row],[مقدار (کیلوگرم)]])</f>
        <v>17186</v>
      </c>
      <c r="V102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4" s="6">
        <f>Main[[#This Row],[تعداد کل روزهای بدهکار (روز)]]*Main[[#This Row],[مانده در خط کل (کیلوگرم)]]</f>
        <v>51558</v>
      </c>
      <c r="X1024" s="6">
        <f ca="1">-SUBTOTAL(9,INDEX(Main[مقدار تسویه شده (کیلوگرم)],1):Main[[#This Row],[مقدار تسویه شده (کیلوگرم)]])</f>
        <v>17186</v>
      </c>
      <c r="Y1024" s="6">
        <f ca="1">IF(Main[[#This Row],[مانده در خط تسویه شده (کیلوگرم)]]&lt;&gt;0,Main[[#This Row],[تعداد کل روزهای بدهکار (روز)]],0)</f>
        <v>3</v>
      </c>
      <c r="Z1024" s="6">
        <f ca="1">Main[[#This Row],[تعداد روزهای بدهکار تسویه شده (روز)]]*Main[[#This Row],[مانده در خط تسویه شده (کیلوگرم)]]</f>
        <v>51558</v>
      </c>
      <c r="AA1024" s="6">
        <f ca="1">SUBTOTAL(9,INDEX(Main[بدهی تسویه نشده (کیلوگرم)],1):Main[[#This Row],[بدهی تسویه نشده (کیلوگرم)]])</f>
        <v>0</v>
      </c>
      <c r="AB1024" s="6">
        <f ca="1">IF(Main[[#This Row],[مانده در خط تسویه نشده (کیلوگرم)]]&lt;&gt;0,Main[[#This Row],[تعداد کل روزهای بدهکار (روز)]],0)</f>
        <v>0</v>
      </c>
      <c r="AC1024" s="6">
        <f ca="1">Main[[#This Row],[تعداد روزهای بدهکار  تسویه نشده (روز)]]*Main[[#This Row],[مانده در خط تسویه نشده (کیلوگرم)]]</f>
        <v>0</v>
      </c>
      <c r="AD1024" s="6">
        <f ca="1">SUBTOTAL(9,INDEX(Main[بدهی سررسید شده (کیلوگرم)],1):Main[[#This Row],[بدهی سررسید شده (کیلوگرم)]])</f>
        <v>0</v>
      </c>
      <c r="AE1024" s="6">
        <f ca="1">IF(Main[[#This Row],[مانده در خط سررسید شده (کیلوگرم)]]&lt;&gt;0,Main[[#This Row],[تعداد کل روزهای بدهکار (روز)]],0)</f>
        <v>0</v>
      </c>
      <c r="AF1024" s="6">
        <f ca="1">Main[[#This Row],[تعداد روزهای بدهکار سررسید شده (روز)]]*Main[[#This Row],[مانده در خط سررسید شده (کیلوگرم)]]</f>
        <v>0</v>
      </c>
    </row>
    <row r="1025" spans="1:32" hidden="1" x14ac:dyDescent="0.35">
      <c r="A1025" s="5">
        <f>ROW()-ROW(INDEX(Main[ردیف],1))+1</f>
        <v>1023</v>
      </c>
      <c r="B1025" s="31">
        <f>SUBTOTAL(2,INDEX(Main[ردیف],1):Main[[#This Row],[ردیف]])</f>
        <v>98</v>
      </c>
      <c r="C1025" s="32" t="s">
        <v>612</v>
      </c>
      <c r="D1025" s="32" t="str">
        <f>_xlfn.CONCAT("14",Main[[#This Row],[تاريخ]])</f>
        <v>1400/04/16</v>
      </c>
      <c r="E1025" s="33">
        <v>44384</v>
      </c>
      <c r="F1025" s="32">
        <v>30186</v>
      </c>
      <c r="G1025" s="5" t="str">
        <f>INDEX(customer[عنوان],MATCH(Main[[#This Row],[کد ردیابی]],customer[کد],0))</f>
        <v>سارا گاز</v>
      </c>
      <c r="H1025">
        <v>1913</v>
      </c>
      <c r="I1025" s="6">
        <f ca="1">-Main[[#This Row],[بدهی تسویه شده (کیلوگرم)]]+Main[[#This Row],[بستانکار (کیلوگرم)]]</f>
        <v>1913</v>
      </c>
      <c r="J1025" s="6">
        <f>IF(Main[[#This Row],[مقدار (کیلوگرم)]]&gt;0,Main[[#This Row],[مقدار (کیلوگرم)]],0)</f>
        <v>1913</v>
      </c>
      <c r="K1025" s="6">
        <f>-IF(Main[[#This Row],[مقدار (کیلوگرم)]]&lt;0,Main[[#This Row],[مقدار (کیلوگرم)]],0)</f>
        <v>0</v>
      </c>
      <c r="L10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5" s="7">
        <f>-IF(AND(Main[[#This Row],[مقدار (کیلوگرم)]]&lt;0,Main[[#This Row],[تاريخ میلادی]]&gt;44276),Main[[#This Row],[مقدار (کیلوگرم)]],0)</f>
        <v>0</v>
      </c>
      <c r="N1025" s="6">
        <f ca="1">Main[[#This Row],[بدهکار (کیلوگرم)]]-Main[[#This Row],[بدهی تسویه نشده (کیلوگرم)]]</f>
        <v>0</v>
      </c>
      <c r="O1025" s="6">
        <f ca="1">Main[[#This Row],[تفکیک]]</f>
        <v>0</v>
      </c>
      <c r="P1025" s="6">
        <f ca="1">IF(Main[[#This Row],[تاخیر از سررسید]]&gt;0,Main[[#This Row],[بدهی تسویه نشده (کیلوگرم)]],0)</f>
        <v>0</v>
      </c>
      <c r="Q1025" s="6">
        <f ca="1">IF(Main[[#This Row],[بدهی تسویه نشده (کیلوگرم)]]&gt;0,'گزارش فردی'!$B$7-Main[[#This Row],[تاريخ میلادی]],0)</f>
        <v>0</v>
      </c>
      <c r="R1025" s="6">
        <f ca="1">IF(Main[[#This Row],[بدهی تسویه نشده (کیلوگرم)]]&gt;0,'گزارش فردی'!$B$7-Main[[#This Row],[تاريخ میلادی]]-'گزارش فردی'!$B$8,0)</f>
        <v>0</v>
      </c>
      <c r="S1025" s="6">
        <f ca="1">Main[[#This Row],[روز از ارسال سفارش]]*Main[[#This Row],[بدهی تسویه نشده (کیلوگرم)]]</f>
        <v>0</v>
      </c>
      <c r="T1025" s="6">
        <f ca="1">Main[[#This Row],[بدهی سررسید شده (کیلوگرم)]]*Main[[#This Row],[روز از ارسال سفارش]]</f>
        <v>0</v>
      </c>
      <c r="U1025" s="6">
        <f>-SUBTOTAL(9,INDEX(Main[مقدار (کیلوگرم)],1):Main[[#This Row],[مقدار (کیلوگرم)]])</f>
        <v>17186</v>
      </c>
      <c r="V102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5" s="6">
        <f>Main[[#This Row],[تعداد کل روزهای بدهکار (روز)]]*Main[[#This Row],[مانده در خط کل (کیلوگرم)]]</f>
        <v>51558</v>
      </c>
      <c r="X1025" s="6">
        <f ca="1">-SUBTOTAL(9,INDEX(Main[مقدار تسویه شده (کیلوگرم)],1):Main[[#This Row],[مقدار تسویه شده (کیلوگرم)]])</f>
        <v>17186</v>
      </c>
      <c r="Y1025" s="6">
        <f ca="1">IF(Main[[#This Row],[مانده در خط تسویه شده (کیلوگرم)]]&lt;&gt;0,Main[[#This Row],[تعداد کل روزهای بدهکار (روز)]],0)</f>
        <v>3</v>
      </c>
      <c r="Z1025" s="6">
        <f ca="1">Main[[#This Row],[تعداد روزهای بدهکار تسویه شده (روز)]]*Main[[#This Row],[مانده در خط تسویه شده (کیلوگرم)]]</f>
        <v>51558</v>
      </c>
      <c r="AA1025" s="6">
        <f ca="1">SUBTOTAL(9,INDEX(Main[بدهی تسویه نشده (کیلوگرم)],1):Main[[#This Row],[بدهی تسویه نشده (کیلوگرم)]])</f>
        <v>0</v>
      </c>
      <c r="AB1025" s="6">
        <f ca="1">IF(Main[[#This Row],[مانده در خط تسویه نشده (کیلوگرم)]]&lt;&gt;0,Main[[#This Row],[تعداد کل روزهای بدهکار (روز)]],0)</f>
        <v>0</v>
      </c>
      <c r="AC1025" s="6">
        <f ca="1">Main[[#This Row],[تعداد روزهای بدهکار  تسویه نشده (روز)]]*Main[[#This Row],[مانده در خط تسویه نشده (کیلوگرم)]]</f>
        <v>0</v>
      </c>
      <c r="AD1025" s="6">
        <f ca="1">SUBTOTAL(9,INDEX(Main[بدهی سررسید شده (کیلوگرم)],1):Main[[#This Row],[بدهی سررسید شده (کیلوگرم)]])</f>
        <v>0</v>
      </c>
      <c r="AE1025" s="6">
        <f ca="1">IF(Main[[#This Row],[مانده در خط سررسید شده (کیلوگرم)]]&lt;&gt;0,Main[[#This Row],[تعداد کل روزهای بدهکار (روز)]],0)</f>
        <v>0</v>
      </c>
      <c r="AF1025" s="6">
        <f ca="1">Main[[#This Row],[تعداد روزهای بدهکار سررسید شده (روز)]]*Main[[#This Row],[مانده در خط سررسید شده (کیلوگرم)]]</f>
        <v>0</v>
      </c>
    </row>
    <row r="1026" spans="1:32" hidden="1" x14ac:dyDescent="0.35">
      <c r="A1026" s="5">
        <f>ROW()-ROW(INDEX(Main[ردیف],1))+1</f>
        <v>1024</v>
      </c>
      <c r="B1026" s="31">
        <f>SUBTOTAL(2,INDEX(Main[ردیف],1):Main[[#This Row],[ردیف]])</f>
        <v>98</v>
      </c>
      <c r="C1026" s="32" t="s">
        <v>612</v>
      </c>
      <c r="D1026" s="32" t="str">
        <f>_xlfn.CONCAT("14",Main[[#This Row],[تاريخ]])</f>
        <v>1400/04/16</v>
      </c>
      <c r="E1026" s="33">
        <v>44384</v>
      </c>
      <c r="F1026" s="32">
        <v>30187</v>
      </c>
      <c r="G1026" s="5" t="str">
        <f>INDEX(customer[عنوان],MATCH(Main[[#This Row],[کد ردیابی]],customer[کد],0))</f>
        <v>شرکت جام جم</v>
      </c>
      <c r="H1026">
        <v>263</v>
      </c>
      <c r="I1026" s="6">
        <f ca="1">-Main[[#This Row],[بدهی تسویه شده (کیلوگرم)]]+Main[[#This Row],[بستانکار (کیلوگرم)]]</f>
        <v>263</v>
      </c>
      <c r="J1026" s="6">
        <f>IF(Main[[#This Row],[مقدار (کیلوگرم)]]&gt;0,Main[[#This Row],[مقدار (کیلوگرم)]],0)</f>
        <v>263</v>
      </c>
      <c r="K1026" s="6">
        <f>-IF(Main[[#This Row],[مقدار (کیلوگرم)]]&lt;0,Main[[#This Row],[مقدار (کیلوگرم)]],0)</f>
        <v>0</v>
      </c>
      <c r="L10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6" s="7">
        <f>-IF(AND(Main[[#This Row],[مقدار (کیلوگرم)]]&lt;0,Main[[#This Row],[تاريخ میلادی]]&gt;44276),Main[[#This Row],[مقدار (کیلوگرم)]],0)</f>
        <v>0</v>
      </c>
      <c r="N1026" s="6">
        <f ca="1">Main[[#This Row],[بدهکار (کیلوگرم)]]-Main[[#This Row],[بدهی تسویه نشده (کیلوگرم)]]</f>
        <v>0</v>
      </c>
      <c r="O1026" s="6">
        <f ca="1">Main[[#This Row],[تفکیک]]</f>
        <v>0</v>
      </c>
      <c r="P1026" s="6">
        <f ca="1">IF(Main[[#This Row],[تاخیر از سررسید]]&gt;0,Main[[#This Row],[بدهی تسویه نشده (کیلوگرم)]],0)</f>
        <v>0</v>
      </c>
      <c r="Q1026" s="6">
        <f ca="1">IF(Main[[#This Row],[بدهی تسویه نشده (کیلوگرم)]]&gt;0,'گزارش فردی'!$B$7-Main[[#This Row],[تاريخ میلادی]],0)</f>
        <v>0</v>
      </c>
      <c r="R1026" s="6">
        <f ca="1">IF(Main[[#This Row],[بدهی تسویه نشده (کیلوگرم)]]&gt;0,'گزارش فردی'!$B$7-Main[[#This Row],[تاريخ میلادی]]-'گزارش فردی'!$B$8,0)</f>
        <v>0</v>
      </c>
      <c r="S1026" s="6">
        <f ca="1">Main[[#This Row],[روز از ارسال سفارش]]*Main[[#This Row],[بدهی تسویه نشده (کیلوگرم)]]</f>
        <v>0</v>
      </c>
      <c r="T1026" s="6">
        <f ca="1">Main[[#This Row],[بدهی سررسید شده (کیلوگرم)]]*Main[[#This Row],[روز از ارسال سفارش]]</f>
        <v>0</v>
      </c>
      <c r="U1026" s="6">
        <f>-SUBTOTAL(9,INDEX(Main[مقدار (کیلوگرم)],1):Main[[#This Row],[مقدار (کیلوگرم)]])</f>
        <v>17186</v>
      </c>
      <c r="V102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6" s="6">
        <f>Main[[#This Row],[تعداد کل روزهای بدهکار (روز)]]*Main[[#This Row],[مانده در خط کل (کیلوگرم)]]</f>
        <v>51558</v>
      </c>
      <c r="X1026" s="6">
        <f ca="1">-SUBTOTAL(9,INDEX(Main[مقدار تسویه شده (کیلوگرم)],1):Main[[#This Row],[مقدار تسویه شده (کیلوگرم)]])</f>
        <v>17186</v>
      </c>
      <c r="Y1026" s="6">
        <f ca="1">IF(Main[[#This Row],[مانده در خط تسویه شده (کیلوگرم)]]&lt;&gt;0,Main[[#This Row],[تعداد کل روزهای بدهکار (روز)]],0)</f>
        <v>3</v>
      </c>
      <c r="Z1026" s="6">
        <f ca="1">Main[[#This Row],[تعداد روزهای بدهکار تسویه شده (روز)]]*Main[[#This Row],[مانده در خط تسویه شده (کیلوگرم)]]</f>
        <v>51558</v>
      </c>
      <c r="AA1026" s="6">
        <f ca="1">SUBTOTAL(9,INDEX(Main[بدهی تسویه نشده (کیلوگرم)],1):Main[[#This Row],[بدهی تسویه نشده (کیلوگرم)]])</f>
        <v>0</v>
      </c>
      <c r="AB1026" s="6">
        <f ca="1">IF(Main[[#This Row],[مانده در خط تسویه نشده (کیلوگرم)]]&lt;&gt;0,Main[[#This Row],[تعداد کل روزهای بدهکار (روز)]],0)</f>
        <v>0</v>
      </c>
      <c r="AC1026" s="6">
        <f ca="1">Main[[#This Row],[تعداد روزهای بدهکار  تسویه نشده (روز)]]*Main[[#This Row],[مانده در خط تسویه نشده (کیلوگرم)]]</f>
        <v>0</v>
      </c>
      <c r="AD1026" s="6">
        <f ca="1">SUBTOTAL(9,INDEX(Main[بدهی سررسید شده (کیلوگرم)],1):Main[[#This Row],[بدهی سررسید شده (کیلوگرم)]])</f>
        <v>0</v>
      </c>
      <c r="AE1026" s="6">
        <f ca="1">IF(Main[[#This Row],[مانده در خط سررسید شده (کیلوگرم)]]&lt;&gt;0,Main[[#This Row],[تعداد کل روزهای بدهکار (روز)]],0)</f>
        <v>0</v>
      </c>
      <c r="AF1026" s="6">
        <f ca="1">Main[[#This Row],[تعداد روزهای بدهکار سررسید شده (روز)]]*Main[[#This Row],[مانده در خط سررسید شده (کیلوگرم)]]</f>
        <v>0</v>
      </c>
    </row>
    <row r="1027" spans="1:32" hidden="1" x14ac:dyDescent="0.35">
      <c r="A1027" s="5">
        <f>ROW()-ROW(INDEX(Main[ردیف],1))+1</f>
        <v>1025</v>
      </c>
      <c r="B1027" s="31">
        <f>SUBTOTAL(2,INDEX(Main[ردیف],1):Main[[#This Row],[ردیف]])</f>
        <v>98</v>
      </c>
      <c r="C1027" s="32" t="s">
        <v>613</v>
      </c>
      <c r="D1027" s="32" t="str">
        <f>_xlfn.CONCAT("14",Main[[#This Row],[تاريخ]])</f>
        <v>1400/04/17</v>
      </c>
      <c r="E1027" s="33">
        <v>44385</v>
      </c>
      <c r="F1027" s="32">
        <v>30022</v>
      </c>
      <c r="G1027" s="5" t="str">
        <f>INDEX(customer[عنوان],MATCH(Main[[#This Row],[کد ردیابی]],customer[کد],0))</f>
        <v xml:space="preserve">کلار پویا </v>
      </c>
      <c r="H1027">
        <v>-5382</v>
      </c>
      <c r="I1027" s="6">
        <f ca="1">-Main[[#This Row],[بدهی تسویه شده (کیلوگرم)]]+Main[[#This Row],[بستانکار (کیلوگرم)]]</f>
        <v>-5382</v>
      </c>
      <c r="J1027" s="6">
        <f>IF(Main[[#This Row],[مقدار (کیلوگرم)]]&gt;0,Main[[#This Row],[مقدار (کیلوگرم)]],0)</f>
        <v>0</v>
      </c>
      <c r="K1027" s="6">
        <f>-IF(Main[[#This Row],[مقدار (کیلوگرم)]]&lt;0,Main[[#This Row],[مقدار (کیلوگرم)]],0)</f>
        <v>5382</v>
      </c>
      <c r="L10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7" s="7">
        <f>-IF(AND(Main[[#This Row],[مقدار (کیلوگرم)]]&lt;0,Main[[#This Row],[تاريخ میلادی]]&gt;44276),Main[[#This Row],[مقدار (کیلوگرم)]],0)</f>
        <v>5382</v>
      </c>
      <c r="N1027" s="6">
        <f ca="1">Main[[#This Row],[بدهکار (کیلوگرم)]]-Main[[#This Row],[بدهی تسویه نشده (کیلوگرم)]]</f>
        <v>5382</v>
      </c>
      <c r="O1027" s="6">
        <f ca="1">Main[[#This Row],[تفکیک]]</f>
        <v>0</v>
      </c>
      <c r="P1027" s="6">
        <f ca="1">IF(Main[[#This Row],[تاخیر از سررسید]]&gt;0,Main[[#This Row],[بدهی تسویه نشده (کیلوگرم)]],0)</f>
        <v>0</v>
      </c>
      <c r="Q1027" s="6">
        <f ca="1">IF(Main[[#This Row],[بدهی تسویه نشده (کیلوگرم)]]&gt;0,'گزارش فردی'!$B$7-Main[[#This Row],[تاريخ میلادی]],0)</f>
        <v>0</v>
      </c>
      <c r="R1027" s="6">
        <f ca="1">IF(Main[[#This Row],[بدهی تسویه نشده (کیلوگرم)]]&gt;0,'گزارش فردی'!$B$7-Main[[#This Row],[تاريخ میلادی]]-'گزارش فردی'!$B$8,0)</f>
        <v>0</v>
      </c>
      <c r="S1027" s="6">
        <f ca="1">Main[[#This Row],[روز از ارسال سفارش]]*Main[[#This Row],[بدهی تسویه نشده (کیلوگرم)]]</f>
        <v>0</v>
      </c>
      <c r="T1027" s="6">
        <f ca="1">Main[[#This Row],[بدهی سررسید شده (کیلوگرم)]]*Main[[#This Row],[روز از ارسال سفارش]]</f>
        <v>0</v>
      </c>
      <c r="U1027" s="6">
        <f>-SUBTOTAL(9,INDEX(Main[مقدار (کیلوگرم)],1):Main[[#This Row],[مقدار (کیلوگرم)]])</f>
        <v>17186</v>
      </c>
      <c r="V10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27" s="6">
        <f>Main[[#This Row],[تعداد کل روزهای بدهکار (روز)]]*Main[[#This Row],[مانده در خط کل (کیلوگرم)]]</f>
        <v>34372</v>
      </c>
      <c r="X1027" s="6">
        <f ca="1">-SUBTOTAL(9,INDEX(Main[مقدار تسویه شده (کیلوگرم)],1):Main[[#This Row],[مقدار تسویه شده (کیلوگرم)]])</f>
        <v>17186</v>
      </c>
      <c r="Y1027" s="6">
        <f ca="1">IF(Main[[#This Row],[مانده در خط تسویه شده (کیلوگرم)]]&lt;&gt;0,Main[[#This Row],[تعداد کل روزهای بدهکار (روز)]],0)</f>
        <v>2</v>
      </c>
      <c r="Z1027" s="6">
        <f ca="1">Main[[#This Row],[تعداد روزهای بدهکار تسویه شده (روز)]]*Main[[#This Row],[مانده در خط تسویه شده (کیلوگرم)]]</f>
        <v>34372</v>
      </c>
      <c r="AA1027" s="6">
        <f ca="1">SUBTOTAL(9,INDEX(Main[بدهی تسویه نشده (کیلوگرم)],1):Main[[#This Row],[بدهی تسویه نشده (کیلوگرم)]])</f>
        <v>0</v>
      </c>
      <c r="AB1027" s="6">
        <f ca="1">IF(Main[[#This Row],[مانده در خط تسویه نشده (کیلوگرم)]]&lt;&gt;0,Main[[#This Row],[تعداد کل روزهای بدهکار (روز)]],0)</f>
        <v>0</v>
      </c>
      <c r="AC1027" s="6">
        <f ca="1">Main[[#This Row],[تعداد روزهای بدهکار  تسویه نشده (روز)]]*Main[[#This Row],[مانده در خط تسویه نشده (کیلوگرم)]]</f>
        <v>0</v>
      </c>
      <c r="AD1027" s="6">
        <f ca="1">SUBTOTAL(9,INDEX(Main[بدهی سررسید شده (کیلوگرم)],1):Main[[#This Row],[بدهی سررسید شده (کیلوگرم)]])</f>
        <v>0</v>
      </c>
      <c r="AE1027" s="6">
        <f ca="1">IF(Main[[#This Row],[مانده در خط سررسید شده (کیلوگرم)]]&lt;&gt;0,Main[[#This Row],[تعداد کل روزهای بدهکار (روز)]],0)</f>
        <v>0</v>
      </c>
      <c r="AF1027" s="6">
        <f ca="1">Main[[#This Row],[تعداد روزهای بدهکار سررسید شده (روز)]]*Main[[#This Row],[مانده در خط سررسید شده (کیلوگرم)]]</f>
        <v>0</v>
      </c>
    </row>
    <row r="1028" spans="1:32" hidden="1" x14ac:dyDescent="0.35">
      <c r="A1028" s="5">
        <f>ROW()-ROW(INDEX(Main[ردیف],1))+1</f>
        <v>1026</v>
      </c>
      <c r="B1028" s="31">
        <f>SUBTOTAL(2,INDEX(Main[ردیف],1):Main[[#This Row],[ردیف]])</f>
        <v>98</v>
      </c>
      <c r="C1028" s="32" t="s">
        <v>613</v>
      </c>
      <c r="D1028" s="32" t="str">
        <f>_xlfn.CONCAT("14",Main[[#This Row],[تاريخ]])</f>
        <v>1400/04/17</v>
      </c>
      <c r="E1028" s="33">
        <v>44385</v>
      </c>
      <c r="F1028" s="32">
        <v>30003</v>
      </c>
      <c r="G1028" s="5" t="str">
        <f>INDEX(customer[عنوان],MATCH(Main[[#This Row],[کد ردیابی]],customer[کد],0))</f>
        <v xml:space="preserve">شهاب گاز سوز </v>
      </c>
      <c r="H1028">
        <v>1020</v>
      </c>
      <c r="I1028" s="6">
        <f ca="1">-Main[[#This Row],[بدهی تسویه شده (کیلوگرم)]]+Main[[#This Row],[بستانکار (کیلوگرم)]]</f>
        <v>1020</v>
      </c>
      <c r="J1028" s="6">
        <f>IF(Main[[#This Row],[مقدار (کیلوگرم)]]&gt;0,Main[[#This Row],[مقدار (کیلوگرم)]],0)</f>
        <v>1020</v>
      </c>
      <c r="K1028" s="6">
        <f>-IF(Main[[#This Row],[مقدار (کیلوگرم)]]&lt;0,Main[[#This Row],[مقدار (کیلوگرم)]],0)</f>
        <v>0</v>
      </c>
      <c r="L10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8" s="7">
        <f>-IF(AND(Main[[#This Row],[مقدار (کیلوگرم)]]&lt;0,Main[[#This Row],[تاريخ میلادی]]&gt;44276),Main[[#This Row],[مقدار (کیلوگرم)]],0)</f>
        <v>0</v>
      </c>
      <c r="N1028" s="6">
        <f ca="1">Main[[#This Row],[بدهکار (کیلوگرم)]]-Main[[#This Row],[بدهی تسویه نشده (کیلوگرم)]]</f>
        <v>0</v>
      </c>
      <c r="O1028" s="6">
        <f ca="1">Main[[#This Row],[تفکیک]]</f>
        <v>0</v>
      </c>
      <c r="P1028" s="6">
        <f ca="1">IF(Main[[#This Row],[تاخیر از سررسید]]&gt;0,Main[[#This Row],[بدهی تسویه نشده (کیلوگرم)]],0)</f>
        <v>0</v>
      </c>
      <c r="Q1028" s="6">
        <f ca="1">IF(Main[[#This Row],[بدهی تسویه نشده (کیلوگرم)]]&gt;0,'گزارش فردی'!$B$7-Main[[#This Row],[تاريخ میلادی]],0)</f>
        <v>0</v>
      </c>
      <c r="R1028" s="6">
        <f ca="1">IF(Main[[#This Row],[بدهی تسویه نشده (کیلوگرم)]]&gt;0,'گزارش فردی'!$B$7-Main[[#This Row],[تاريخ میلادی]]-'گزارش فردی'!$B$8,0)</f>
        <v>0</v>
      </c>
      <c r="S1028" s="6">
        <f ca="1">Main[[#This Row],[روز از ارسال سفارش]]*Main[[#This Row],[بدهی تسویه نشده (کیلوگرم)]]</f>
        <v>0</v>
      </c>
      <c r="T1028" s="6">
        <f ca="1">Main[[#This Row],[بدهی سررسید شده (کیلوگرم)]]*Main[[#This Row],[روز از ارسال سفارش]]</f>
        <v>0</v>
      </c>
      <c r="U1028" s="6">
        <f>-SUBTOTAL(9,INDEX(Main[مقدار (کیلوگرم)],1):Main[[#This Row],[مقدار (کیلوگرم)]])</f>
        <v>17186</v>
      </c>
      <c r="V10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28" s="6">
        <f>Main[[#This Row],[تعداد کل روزهای بدهکار (روز)]]*Main[[#This Row],[مانده در خط کل (کیلوگرم)]]</f>
        <v>34372</v>
      </c>
      <c r="X1028" s="6">
        <f ca="1">-SUBTOTAL(9,INDEX(Main[مقدار تسویه شده (کیلوگرم)],1):Main[[#This Row],[مقدار تسویه شده (کیلوگرم)]])</f>
        <v>17186</v>
      </c>
      <c r="Y1028" s="6">
        <f ca="1">IF(Main[[#This Row],[مانده در خط تسویه شده (کیلوگرم)]]&lt;&gt;0,Main[[#This Row],[تعداد کل روزهای بدهکار (روز)]],0)</f>
        <v>2</v>
      </c>
      <c r="Z1028" s="6">
        <f ca="1">Main[[#This Row],[تعداد روزهای بدهکار تسویه شده (روز)]]*Main[[#This Row],[مانده در خط تسویه شده (کیلوگرم)]]</f>
        <v>34372</v>
      </c>
      <c r="AA1028" s="6">
        <f ca="1">SUBTOTAL(9,INDEX(Main[بدهی تسویه نشده (کیلوگرم)],1):Main[[#This Row],[بدهی تسویه نشده (کیلوگرم)]])</f>
        <v>0</v>
      </c>
      <c r="AB1028" s="6">
        <f ca="1">IF(Main[[#This Row],[مانده در خط تسویه نشده (کیلوگرم)]]&lt;&gt;0,Main[[#This Row],[تعداد کل روزهای بدهکار (روز)]],0)</f>
        <v>0</v>
      </c>
      <c r="AC1028" s="6">
        <f ca="1">Main[[#This Row],[تعداد روزهای بدهکار  تسویه نشده (روز)]]*Main[[#This Row],[مانده در خط تسویه نشده (کیلوگرم)]]</f>
        <v>0</v>
      </c>
      <c r="AD1028" s="6">
        <f ca="1">SUBTOTAL(9,INDEX(Main[بدهی سررسید شده (کیلوگرم)],1):Main[[#This Row],[بدهی سررسید شده (کیلوگرم)]])</f>
        <v>0</v>
      </c>
      <c r="AE1028" s="6">
        <f ca="1">IF(Main[[#This Row],[مانده در خط سررسید شده (کیلوگرم)]]&lt;&gt;0,Main[[#This Row],[تعداد کل روزهای بدهکار (روز)]],0)</f>
        <v>0</v>
      </c>
      <c r="AF1028" s="6">
        <f ca="1">Main[[#This Row],[تعداد روزهای بدهکار سررسید شده (روز)]]*Main[[#This Row],[مانده در خط سررسید شده (کیلوگرم)]]</f>
        <v>0</v>
      </c>
    </row>
    <row r="1029" spans="1:32" hidden="1" x14ac:dyDescent="0.35">
      <c r="A1029" s="5">
        <f>ROW()-ROW(INDEX(Main[ردیف],1))+1</f>
        <v>1027</v>
      </c>
      <c r="B1029" s="31">
        <f>SUBTOTAL(2,INDEX(Main[ردیف],1):Main[[#This Row],[ردیف]])</f>
        <v>98</v>
      </c>
      <c r="C1029" s="32" t="s">
        <v>613</v>
      </c>
      <c r="D1029" s="32" t="str">
        <f>_xlfn.CONCAT("14",Main[[#This Row],[تاريخ]])</f>
        <v>1400/04/17</v>
      </c>
      <c r="E1029" s="33">
        <v>44385</v>
      </c>
      <c r="F1029" s="32">
        <v>30003</v>
      </c>
      <c r="G1029" s="5" t="str">
        <f>INDEX(customer[عنوان],MATCH(Main[[#This Row],[کد ردیابی]],customer[کد],0))</f>
        <v xml:space="preserve">شهاب گاز سوز </v>
      </c>
      <c r="H1029">
        <v>-988</v>
      </c>
      <c r="I1029" s="6">
        <f ca="1">-Main[[#This Row],[بدهی تسویه شده (کیلوگرم)]]+Main[[#This Row],[بستانکار (کیلوگرم)]]</f>
        <v>-988</v>
      </c>
      <c r="J1029" s="6">
        <f>IF(Main[[#This Row],[مقدار (کیلوگرم)]]&gt;0,Main[[#This Row],[مقدار (کیلوگرم)]],0)</f>
        <v>0</v>
      </c>
      <c r="K1029" s="6">
        <f>-IF(Main[[#This Row],[مقدار (کیلوگرم)]]&lt;0,Main[[#This Row],[مقدار (کیلوگرم)]],0)</f>
        <v>988</v>
      </c>
      <c r="L10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9" s="7">
        <f>-IF(AND(Main[[#This Row],[مقدار (کیلوگرم)]]&lt;0,Main[[#This Row],[تاريخ میلادی]]&gt;44276),Main[[#This Row],[مقدار (کیلوگرم)]],0)</f>
        <v>988</v>
      </c>
      <c r="N1029" s="6">
        <f ca="1">Main[[#This Row],[بدهکار (کیلوگرم)]]-Main[[#This Row],[بدهی تسویه نشده (کیلوگرم)]]</f>
        <v>988</v>
      </c>
      <c r="O1029" s="6">
        <f ca="1">Main[[#This Row],[تفکیک]]</f>
        <v>0</v>
      </c>
      <c r="P1029" s="6">
        <f ca="1">IF(Main[[#This Row],[تاخیر از سررسید]]&gt;0,Main[[#This Row],[بدهی تسویه نشده (کیلوگرم)]],0)</f>
        <v>0</v>
      </c>
      <c r="Q1029" s="6">
        <f ca="1">IF(Main[[#This Row],[بدهی تسویه نشده (کیلوگرم)]]&gt;0,'گزارش فردی'!$B$7-Main[[#This Row],[تاريخ میلادی]],0)</f>
        <v>0</v>
      </c>
      <c r="R1029" s="6">
        <f ca="1">IF(Main[[#This Row],[بدهی تسویه نشده (کیلوگرم)]]&gt;0,'گزارش فردی'!$B$7-Main[[#This Row],[تاريخ میلادی]]-'گزارش فردی'!$B$8,0)</f>
        <v>0</v>
      </c>
      <c r="S1029" s="6">
        <f ca="1">Main[[#This Row],[روز از ارسال سفارش]]*Main[[#This Row],[بدهی تسویه نشده (کیلوگرم)]]</f>
        <v>0</v>
      </c>
      <c r="T1029" s="6">
        <f ca="1">Main[[#This Row],[بدهی سررسید شده (کیلوگرم)]]*Main[[#This Row],[روز از ارسال سفارش]]</f>
        <v>0</v>
      </c>
      <c r="U1029" s="6">
        <f>-SUBTOTAL(9,INDEX(Main[مقدار (کیلوگرم)],1):Main[[#This Row],[مقدار (کیلوگرم)]])</f>
        <v>17186</v>
      </c>
      <c r="V10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29" s="6">
        <f>Main[[#This Row],[تعداد کل روزهای بدهکار (روز)]]*Main[[#This Row],[مانده در خط کل (کیلوگرم)]]</f>
        <v>34372</v>
      </c>
      <c r="X1029" s="6">
        <f ca="1">-SUBTOTAL(9,INDEX(Main[مقدار تسویه شده (کیلوگرم)],1):Main[[#This Row],[مقدار تسویه شده (کیلوگرم)]])</f>
        <v>17186</v>
      </c>
      <c r="Y1029" s="6">
        <f ca="1">IF(Main[[#This Row],[مانده در خط تسویه شده (کیلوگرم)]]&lt;&gt;0,Main[[#This Row],[تعداد کل روزهای بدهکار (روز)]],0)</f>
        <v>2</v>
      </c>
      <c r="Z1029" s="6">
        <f ca="1">Main[[#This Row],[تعداد روزهای بدهکار تسویه شده (روز)]]*Main[[#This Row],[مانده در خط تسویه شده (کیلوگرم)]]</f>
        <v>34372</v>
      </c>
      <c r="AA1029" s="6">
        <f ca="1">SUBTOTAL(9,INDEX(Main[بدهی تسویه نشده (کیلوگرم)],1):Main[[#This Row],[بدهی تسویه نشده (کیلوگرم)]])</f>
        <v>0</v>
      </c>
      <c r="AB1029" s="6">
        <f ca="1">IF(Main[[#This Row],[مانده در خط تسویه نشده (کیلوگرم)]]&lt;&gt;0,Main[[#This Row],[تعداد کل روزهای بدهکار (روز)]],0)</f>
        <v>0</v>
      </c>
      <c r="AC1029" s="6">
        <f ca="1">Main[[#This Row],[تعداد روزهای بدهکار  تسویه نشده (روز)]]*Main[[#This Row],[مانده در خط تسویه نشده (کیلوگرم)]]</f>
        <v>0</v>
      </c>
      <c r="AD1029" s="6">
        <f ca="1">SUBTOTAL(9,INDEX(Main[بدهی سررسید شده (کیلوگرم)],1):Main[[#This Row],[بدهی سررسید شده (کیلوگرم)]])</f>
        <v>0</v>
      </c>
      <c r="AE1029" s="6">
        <f ca="1">IF(Main[[#This Row],[مانده در خط سررسید شده (کیلوگرم)]]&lt;&gt;0,Main[[#This Row],[تعداد کل روزهای بدهکار (روز)]],0)</f>
        <v>0</v>
      </c>
      <c r="AF1029" s="6">
        <f ca="1">Main[[#This Row],[تعداد روزهای بدهکار سررسید شده (روز)]]*Main[[#This Row],[مانده در خط سررسید شده (کیلوگرم)]]</f>
        <v>0</v>
      </c>
    </row>
    <row r="1030" spans="1:32" hidden="1" x14ac:dyDescent="0.35">
      <c r="A1030" s="5">
        <f>ROW()-ROW(INDEX(Main[ردیف],1))+1</f>
        <v>1028</v>
      </c>
      <c r="B1030" s="31">
        <f>SUBTOTAL(2,INDEX(Main[ردیف],1):Main[[#This Row],[ردیف]])</f>
        <v>98</v>
      </c>
      <c r="C1030" s="32" t="s">
        <v>613</v>
      </c>
      <c r="D1030" s="32" t="str">
        <f>_xlfn.CONCAT("14",Main[[#This Row],[تاريخ]])</f>
        <v>1400/04/17</v>
      </c>
      <c r="E1030" s="33">
        <v>44385</v>
      </c>
      <c r="F1030" s="32">
        <v>30004</v>
      </c>
      <c r="G1030" s="5" t="str">
        <f>INDEX(customer[عنوان],MATCH(Main[[#This Row],[کد ردیابی]],customer[کد],0))</f>
        <v>تولیدی صنعتی صفاشیر پارس</v>
      </c>
      <c r="H1030">
        <v>1716</v>
      </c>
      <c r="I1030" s="6">
        <f ca="1">-Main[[#This Row],[بدهی تسویه شده (کیلوگرم)]]+Main[[#This Row],[بستانکار (کیلوگرم)]]</f>
        <v>1716</v>
      </c>
      <c r="J1030" s="6">
        <f>IF(Main[[#This Row],[مقدار (کیلوگرم)]]&gt;0,Main[[#This Row],[مقدار (کیلوگرم)]],0)</f>
        <v>1716</v>
      </c>
      <c r="K1030" s="6">
        <f>-IF(Main[[#This Row],[مقدار (کیلوگرم)]]&lt;0,Main[[#This Row],[مقدار (کیلوگرم)]],0)</f>
        <v>0</v>
      </c>
      <c r="L10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0" s="7">
        <f>-IF(AND(Main[[#This Row],[مقدار (کیلوگرم)]]&lt;0,Main[[#This Row],[تاريخ میلادی]]&gt;44276),Main[[#This Row],[مقدار (کیلوگرم)]],0)</f>
        <v>0</v>
      </c>
      <c r="N1030" s="6">
        <f ca="1">Main[[#This Row],[بدهکار (کیلوگرم)]]-Main[[#This Row],[بدهی تسویه نشده (کیلوگرم)]]</f>
        <v>0</v>
      </c>
      <c r="O1030" s="6">
        <f ca="1">Main[[#This Row],[تفکیک]]</f>
        <v>0</v>
      </c>
      <c r="P1030" s="6">
        <f ca="1">IF(Main[[#This Row],[تاخیر از سررسید]]&gt;0,Main[[#This Row],[بدهی تسویه نشده (کیلوگرم)]],0)</f>
        <v>0</v>
      </c>
      <c r="Q1030" s="6">
        <f ca="1">IF(Main[[#This Row],[بدهی تسویه نشده (کیلوگرم)]]&gt;0,'گزارش فردی'!$B$7-Main[[#This Row],[تاريخ میلادی]],0)</f>
        <v>0</v>
      </c>
      <c r="R1030" s="6">
        <f ca="1">IF(Main[[#This Row],[بدهی تسویه نشده (کیلوگرم)]]&gt;0,'گزارش فردی'!$B$7-Main[[#This Row],[تاريخ میلادی]]-'گزارش فردی'!$B$8,0)</f>
        <v>0</v>
      </c>
      <c r="S1030" s="6">
        <f ca="1">Main[[#This Row],[روز از ارسال سفارش]]*Main[[#This Row],[بدهی تسویه نشده (کیلوگرم)]]</f>
        <v>0</v>
      </c>
      <c r="T1030" s="6">
        <f ca="1">Main[[#This Row],[بدهی سررسید شده (کیلوگرم)]]*Main[[#This Row],[روز از ارسال سفارش]]</f>
        <v>0</v>
      </c>
      <c r="U1030" s="6">
        <f>-SUBTOTAL(9,INDEX(Main[مقدار (کیلوگرم)],1):Main[[#This Row],[مقدار (کیلوگرم)]])</f>
        <v>17186</v>
      </c>
      <c r="V10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30" s="6">
        <f>Main[[#This Row],[تعداد کل روزهای بدهکار (روز)]]*Main[[#This Row],[مانده در خط کل (کیلوگرم)]]</f>
        <v>34372</v>
      </c>
      <c r="X1030" s="6">
        <f ca="1">-SUBTOTAL(9,INDEX(Main[مقدار تسویه شده (کیلوگرم)],1):Main[[#This Row],[مقدار تسویه شده (کیلوگرم)]])</f>
        <v>17186</v>
      </c>
      <c r="Y1030" s="6">
        <f ca="1">IF(Main[[#This Row],[مانده در خط تسویه شده (کیلوگرم)]]&lt;&gt;0,Main[[#This Row],[تعداد کل روزهای بدهکار (روز)]],0)</f>
        <v>2</v>
      </c>
      <c r="Z1030" s="6">
        <f ca="1">Main[[#This Row],[تعداد روزهای بدهکار تسویه شده (روز)]]*Main[[#This Row],[مانده در خط تسویه شده (کیلوگرم)]]</f>
        <v>34372</v>
      </c>
      <c r="AA1030" s="6">
        <f ca="1">SUBTOTAL(9,INDEX(Main[بدهی تسویه نشده (کیلوگرم)],1):Main[[#This Row],[بدهی تسویه نشده (کیلوگرم)]])</f>
        <v>0</v>
      </c>
      <c r="AB1030" s="6">
        <f ca="1">IF(Main[[#This Row],[مانده در خط تسویه نشده (کیلوگرم)]]&lt;&gt;0,Main[[#This Row],[تعداد کل روزهای بدهکار (روز)]],0)</f>
        <v>0</v>
      </c>
      <c r="AC1030" s="6">
        <f ca="1">Main[[#This Row],[تعداد روزهای بدهکار  تسویه نشده (روز)]]*Main[[#This Row],[مانده در خط تسویه نشده (کیلوگرم)]]</f>
        <v>0</v>
      </c>
      <c r="AD1030" s="6">
        <f ca="1">SUBTOTAL(9,INDEX(Main[بدهی سررسید شده (کیلوگرم)],1):Main[[#This Row],[بدهی سررسید شده (کیلوگرم)]])</f>
        <v>0</v>
      </c>
      <c r="AE1030" s="6">
        <f ca="1">IF(Main[[#This Row],[مانده در خط سررسید شده (کیلوگرم)]]&lt;&gt;0,Main[[#This Row],[تعداد کل روزهای بدهکار (روز)]],0)</f>
        <v>0</v>
      </c>
      <c r="AF1030" s="6">
        <f ca="1">Main[[#This Row],[تعداد روزهای بدهکار سررسید شده (روز)]]*Main[[#This Row],[مانده در خط سررسید شده (کیلوگرم)]]</f>
        <v>0</v>
      </c>
    </row>
    <row r="1031" spans="1:32" hidden="1" x14ac:dyDescent="0.35">
      <c r="A1031" s="5">
        <f>ROW()-ROW(INDEX(Main[ردیف],1))+1</f>
        <v>1029</v>
      </c>
      <c r="B1031" s="31">
        <f>SUBTOTAL(2,INDEX(Main[ردیف],1):Main[[#This Row],[ردیف]])</f>
        <v>98</v>
      </c>
      <c r="C1031" s="32" t="s">
        <v>613</v>
      </c>
      <c r="D1031" s="32" t="str">
        <f>_xlfn.CONCAT("14",Main[[#This Row],[تاريخ]])</f>
        <v>1400/04/17</v>
      </c>
      <c r="E1031" s="33">
        <v>44385</v>
      </c>
      <c r="F1031" s="32">
        <v>10026</v>
      </c>
      <c r="G1031" s="5" t="str">
        <f>INDEX(customer[عنوان],MATCH(Main[[#This Row],[کد ردیابی]],customer[کد],0))</f>
        <v xml:space="preserve">محسن فیاض بخش </v>
      </c>
      <c r="H1031">
        <v>3018</v>
      </c>
      <c r="I1031" s="6">
        <f ca="1">-Main[[#This Row],[بدهی تسویه شده (کیلوگرم)]]+Main[[#This Row],[بستانکار (کیلوگرم)]]</f>
        <v>3018</v>
      </c>
      <c r="J1031" s="6">
        <f>IF(Main[[#This Row],[مقدار (کیلوگرم)]]&gt;0,Main[[#This Row],[مقدار (کیلوگرم)]],0)</f>
        <v>3018</v>
      </c>
      <c r="K1031" s="6">
        <f>-IF(Main[[#This Row],[مقدار (کیلوگرم)]]&lt;0,Main[[#This Row],[مقدار (کیلوگرم)]],0)</f>
        <v>0</v>
      </c>
      <c r="L10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1" s="7">
        <f>-IF(AND(Main[[#This Row],[مقدار (کیلوگرم)]]&lt;0,Main[[#This Row],[تاريخ میلادی]]&gt;44276),Main[[#This Row],[مقدار (کیلوگرم)]],0)</f>
        <v>0</v>
      </c>
      <c r="N1031" s="6">
        <f ca="1">Main[[#This Row],[بدهکار (کیلوگرم)]]-Main[[#This Row],[بدهی تسویه نشده (کیلوگرم)]]</f>
        <v>0</v>
      </c>
      <c r="O1031" s="6">
        <f ca="1">Main[[#This Row],[تفکیک]]</f>
        <v>0</v>
      </c>
      <c r="P1031" s="6">
        <f ca="1">IF(Main[[#This Row],[تاخیر از سررسید]]&gt;0,Main[[#This Row],[بدهی تسویه نشده (کیلوگرم)]],0)</f>
        <v>0</v>
      </c>
      <c r="Q1031" s="6">
        <f ca="1">IF(Main[[#This Row],[بدهی تسویه نشده (کیلوگرم)]]&gt;0,'گزارش فردی'!$B$7-Main[[#This Row],[تاريخ میلادی]],0)</f>
        <v>0</v>
      </c>
      <c r="R1031" s="6">
        <f ca="1">IF(Main[[#This Row],[بدهی تسویه نشده (کیلوگرم)]]&gt;0,'گزارش فردی'!$B$7-Main[[#This Row],[تاريخ میلادی]]-'گزارش فردی'!$B$8,0)</f>
        <v>0</v>
      </c>
      <c r="S1031" s="6">
        <f ca="1">Main[[#This Row],[روز از ارسال سفارش]]*Main[[#This Row],[بدهی تسویه نشده (کیلوگرم)]]</f>
        <v>0</v>
      </c>
      <c r="T1031" s="6">
        <f ca="1">Main[[#This Row],[بدهی سررسید شده (کیلوگرم)]]*Main[[#This Row],[روز از ارسال سفارش]]</f>
        <v>0</v>
      </c>
      <c r="U1031" s="6">
        <f>-SUBTOTAL(9,INDEX(Main[مقدار (کیلوگرم)],1):Main[[#This Row],[مقدار (کیلوگرم)]])</f>
        <v>17186</v>
      </c>
      <c r="V103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31" s="6">
        <f>Main[[#This Row],[تعداد کل روزهای بدهکار (روز)]]*Main[[#This Row],[مانده در خط کل (کیلوگرم)]]</f>
        <v>34372</v>
      </c>
      <c r="X1031" s="6">
        <f ca="1">-SUBTOTAL(9,INDEX(Main[مقدار تسویه شده (کیلوگرم)],1):Main[[#This Row],[مقدار تسویه شده (کیلوگرم)]])</f>
        <v>17186</v>
      </c>
      <c r="Y1031" s="6">
        <f ca="1">IF(Main[[#This Row],[مانده در خط تسویه شده (کیلوگرم)]]&lt;&gt;0,Main[[#This Row],[تعداد کل روزهای بدهکار (روز)]],0)</f>
        <v>2</v>
      </c>
      <c r="Z1031" s="6">
        <f ca="1">Main[[#This Row],[تعداد روزهای بدهکار تسویه شده (روز)]]*Main[[#This Row],[مانده در خط تسویه شده (کیلوگرم)]]</f>
        <v>34372</v>
      </c>
      <c r="AA1031" s="6">
        <f ca="1">SUBTOTAL(9,INDEX(Main[بدهی تسویه نشده (کیلوگرم)],1):Main[[#This Row],[بدهی تسویه نشده (کیلوگرم)]])</f>
        <v>0</v>
      </c>
      <c r="AB1031" s="6">
        <f ca="1">IF(Main[[#This Row],[مانده در خط تسویه نشده (کیلوگرم)]]&lt;&gt;0,Main[[#This Row],[تعداد کل روزهای بدهکار (روز)]],0)</f>
        <v>0</v>
      </c>
      <c r="AC1031" s="6">
        <f ca="1">Main[[#This Row],[تعداد روزهای بدهکار  تسویه نشده (روز)]]*Main[[#This Row],[مانده در خط تسویه نشده (کیلوگرم)]]</f>
        <v>0</v>
      </c>
      <c r="AD1031" s="6">
        <f ca="1">SUBTOTAL(9,INDEX(Main[بدهی سررسید شده (کیلوگرم)],1):Main[[#This Row],[بدهی سررسید شده (کیلوگرم)]])</f>
        <v>0</v>
      </c>
      <c r="AE1031" s="6">
        <f ca="1">IF(Main[[#This Row],[مانده در خط سررسید شده (کیلوگرم)]]&lt;&gt;0,Main[[#This Row],[تعداد کل روزهای بدهکار (روز)]],0)</f>
        <v>0</v>
      </c>
      <c r="AF1031" s="6">
        <f ca="1">Main[[#This Row],[تعداد روزهای بدهکار سررسید شده (روز)]]*Main[[#This Row],[مانده در خط سررسید شده (کیلوگرم)]]</f>
        <v>0</v>
      </c>
    </row>
    <row r="1032" spans="1:32" hidden="1" x14ac:dyDescent="0.35">
      <c r="A1032" s="5">
        <f>ROW()-ROW(INDEX(Main[ردیف],1))+1</f>
        <v>1030</v>
      </c>
      <c r="B1032" s="31">
        <f>SUBTOTAL(2,INDEX(Main[ردیف],1):Main[[#This Row],[ردیف]])</f>
        <v>98</v>
      </c>
      <c r="C1032" s="32" t="s">
        <v>614</v>
      </c>
      <c r="D1032" s="32" t="str">
        <f>_xlfn.CONCAT("14",Main[[#This Row],[تاريخ]])</f>
        <v>1400/04/19</v>
      </c>
      <c r="E1032" s="33">
        <v>44387</v>
      </c>
      <c r="F1032" s="32">
        <v>30191</v>
      </c>
      <c r="G1032" s="5" t="str">
        <f>INDEX(customer[عنوان],MATCH(Main[[#This Row],[کد ردیابی]],customer[کد],0))</f>
        <v>ایران گرما</v>
      </c>
      <c r="H1032">
        <v>-980</v>
      </c>
      <c r="I1032" s="6">
        <f ca="1">-Main[[#This Row],[بدهی تسویه شده (کیلوگرم)]]+Main[[#This Row],[بستانکار (کیلوگرم)]]</f>
        <v>-980</v>
      </c>
      <c r="J1032" s="6">
        <f>IF(Main[[#This Row],[مقدار (کیلوگرم)]]&gt;0,Main[[#This Row],[مقدار (کیلوگرم)]],0)</f>
        <v>0</v>
      </c>
      <c r="K1032" s="6">
        <f>-IF(Main[[#This Row],[مقدار (کیلوگرم)]]&lt;0,Main[[#This Row],[مقدار (کیلوگرم)]],0)</f>
        <v>980</v>
      </c>
      <c r="L10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2" s="7">
        <f>-IF(AND(Main[[#This Row],[مقدار (کیلوگرم)]]&lt;0,Main[[#This Row],[تاريخ میلادی]]&gt;44276),Main[[#This Row],[مقدار (کیلوگرم)]],0)</f>
        <v>980</v>
      </c>
      <c r="N1032" s="6">
        <f ca="1">Main[[#This Row],[بدهکار (کیلوگرم)]]-Main[[#This Row],[بدهی تسویه نشده (کیلوگرم)]]</f>
        <v>980</v>
      </c>
      <c r="O1032" s="6">
        <f ca="1">Main[[#This Row],[تفکیک]]</f>
        <v>0</v>
      </c>
      <c r="P1032" s="6">
        <f ca="1">IF(Main[[#This Row],[تاخیر از سررسید]]&gt;0,Main[[#This Row],[بدهی تسویه نشده (کیلوگرم)]],0)</f>
        <v>0</v>
      </c>
      <c r="Q1032" s="6">
        <f ca="1">IF(Main[[#This Row],[بدهی تسویه نشده (کیلوگرم)]]&gt;0,'گزارش فردی'!$B$7-Main[[#This Row],[تاريخ میلادی]],0)</f>
        <v>0</v>
      </c>
      <c r="R1032" s="6">
        <f ca="1">IF(Main[[#This Row],[بدهی تسویه نشده (کیلوگرم)]]&gt;0,'گزارش فردی'!$B$7-Main[[#This Row],[تاريخ میلادی]]-'گزارش فردی'!$B$8,0)</f>
        <v>0</v>
      </c>
      <c r="S1032" s="6">
        <f ca="1">Main[[#This Row],[روز از ارسال سفارش]]*Main[[#This Row],[بدهی تسویه نشده (کیلوگرم)]]</f>
        <v>0</v>
      </c>
      <c r="T1032" s="6">
        <f ca="1">Main[[#This Row],[بدهی سررسید شده (کیلوگرم)]]*Main[[#This Row],[روز از ارسال سفارش]]</f>
        <v>0</v>
      </c>
      <c r="U1032" s="6">
        <f>-SUBTOTAL(9,INDEX(Main[مقدار (کیلوگرم)],1):Main[[#This Row],[مقدار (کیلوگرم)]])</f>
        <v>17186</v>
      </c>
      <c r="V10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2" s="6">
        <f>Main[[#This Row],[تعداد کل روزهای بدهکار (روز)]]*Main[[#This Row],[مانده در خط کل (کیلوگرم)]]</f>
        <v>0</v>
      </c>
      <c r="X1032" s="6">
        <f ca="1">-SUBTOTAL(9,INDEX(Main[مقدار تسویه شده (کیلوگرم)],1):Main[[#This Row],[مقدار تسویه شده (کیلوگرم)]])</f>
        <v>17186</v>
      </c>
      <c r="Y1032" s="6">
        <f ca="1">IF(Main[[#This Row],[مانده در خط تسویه شده (کیلوگرم)]]&lt;&gt;0,Main[[#This Row],[تعداد کل روزهای بدهکار (روز)]],0)</f>
        <v>0</v>
      </c>
      <c r="Z1032" s="6">
        <f ca="1">Main[[#This Row],[تعداد روزهای بدهکار تسویه شده (روز)]]*Main[[#This Row],[مانده در خط تسویه شده (کیلوگرم)]]</f>
        <v>0</v>
      </c>
      <c r="AA1032" s="6">
        <f ca="1">SUBTOTAL(9,INDEX(Main[بدهی تسویه نشده (کیلوگرم)],1):Main[[#This Row],[بدهی تسویه نشده (کیلوگرم)]])</f>
        <v>0</v>
      </c>
      <c r="AB1032" s="6">
        <f ca="1">IF(Main[[#This Row],[مانده در خط تسویه نشده (کیلوگرم)]]&lt;&gt;0,Main[[#This Row],[تعداد کل روزهای بدهکار (روز)]],0)</f>
        <v>0</v>
      </c>
      <c r="AC1032" s="6">
        <f ca="1">Main[[#This Row],[تعداد روزهای بدهکار  تسویه نشده (روز)]]*Main[[#This Row],[مانده در خط تسویه نشده (کیلوگرم)]]</f>
        <v>0</v>
      </c>
      <c r="AD1032" s="6">
        <f ca="1">SUBTOTAL(9,INDEX(Main[بدهی سررسید شده (کیلوگرم)],1):Main[[#This Row],[بدهی سررسید شده (کیلوگرم)]])</f>
        <v>0</v>
      </c>
      <c r="AE1032" s="6">
        <f ca="1">IF(Main[[#This Row],[مانده در خط سررسید شده (کیلوگرم)]]&lt;&gt;0,Main[[#This Row],[تعداد کل روزهای بدهکار (روز)]],0)</f>
        <v>0</v>
      </c>
      <c r="AF1032" s="6">
        <f ca="1">Main[[#This Row],[تعداد روزهای بدهکار سررسید شده (روز)]]*Main[[#This Row],[مانده در خط سررسید شده (کیلوگرم)]]</f>
        <v>0</v>
      </c>
    </row>
    <row r="1033" spans="1:32" hidden="1" x14ac:dyDescent="0.35">
      <c r="A1033" s="5">
        <f>ROW()-ROW(INDEX(Main[ردیف],1))+1</f>
        <v>1031</v>
      </c>
      <c r="B1033" s="31">
        <f>SUBTOTAL(2,INDEX(Main[ردیف],1):Main[[#This Row],[ردیف]])</f>
        <v>98</v>
      </c>
      <c r="C1033" s="32" t="s">
        <v>614</v>
      </c>
      <c r="D1033" s="32" t="str">
        <f>_xlfn.CONCAT("14",Main[[#This Row],[تاريخ]])</f>
        <v>1400/04/19</v>
      </c>
      <c r="E1033" s="33">
        <v>44387</v>
      </c>
      <c r="F1033" s="32">
        <v>10057</v>
      </c>
      <c r="G1033" s="5" t="str">
        <f>INDEX(customer[عنوان],MATCH(Main[[#This Row],[کد ردیابی]],customer[کد],0))</f>
        <v xml:space="preserve">عبدالله یادگار </v>
      </c>
      <c r="H1033">
        <v>558</v>
      </c>
      <c r="I1033" s="6">
        <f ca="1">-Main[[#This Row],[بدهی تسویه شده (کیلوگرم)]]+Main[[#This Row],[بستانکار (کیلوگرم)]]</f>
        <v>558</v>
      </c>
      <c r="J1033" s="6">
        <f>IF(Main[[#This Row],[مقدار (کیلوگرم)]]&gt;0,Main[[#This Row],[مقدار (کیلوگرم)]],0)</f>
        <v>558</v>
      </c>
      <c r="K1033" s="6">
        <f>-IF(Main[[#This Row],[مقدار (کیلوگرم)]]&lt;0,Main[[#This Row],[مقدار (کیلوگرم)]],0)</f>
        <v>0</v>
      </c>
      <c r="L10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3" s="7">
        <f>-IF(AND(Main[[#This Row],[مقدار (کیلوگرم)]]&lt;0,Main[[#This Row],[تاريخ میلادی]]&gt;44276),Main[[#This Row],[مقدار (کیلوگرم)]],0)</f>
        <v>0</v>
      </c>
      <c r="N1033" s="6">
        <f ca="1">Main[[#This Row],[بدهکار (کیلوگرم)]]-Main[[#This Row],[بدهی تسویه نشده (کیلوگرم)]]</f>
        <v>0</v>
      </c>
      <c r="O1033" s="6">
        <f ca="1">Main[[#This Row],[تفکیک]]</f>
        <v>0</v>
      </c>
      <c r="P1033" s="6">
        <f ca="1">IF(Main[[#This Row],[تاخیر از سررسید]]&gt;0,Main[[#This Row],[بدهی تسویه نشده (کیلوگرم)]],0)</f>
        <v>0</v>
      </c>
      <c r="Q1033" s="6">
        <f ca="1">IF(Main[[#This Row],[بدهی تسویه نشده (کیلوگرم)]]&gt;0,'گزارش فردی'!$B$7-Main[[#This Row],[تاريخ میلادی]],0)</f>
        <v>0</v>
      </c>
      <c r="R1033" s="6">
        <f ca="1">IF(Main[[#This Row],[بدهی تسویه نشده (کیلوگرم)]]&gt;0,'گزارش فردی'!$B$7-Main[[#This Row],[تاريخ میلادی]]-'گزارش فردی'!$B$8,0)</f>
        <v>0</v>
      </c>
      <c r="S1033" s="6">
        <f ca="1">Main[[#This Row],[روز از ارسال سفارش]]*Main[[#This Row],[بدهی تسویه نشده (کیلوگرم)]]</f>
        <v>0</v>
      </c>
      <c r="T1033" s="6">
        <f ca="1">Main[[#This Row],[بدهی سررسید شده (کیلوگرم)]]*Main[[#This Row],[روز از ارسال سفارش]]</f>
        <v>0</v>
      </c>
      <c r="U1033" s="6">
        <f>-SUBTOTAL(9,INDEX(Main[مقدار (کیلوگرم)],1):Main[[#This Row],[مقدار (کیلوگرم)]])</f>
        <v>17186</v>
      </c>
      <c r="V10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3" s="6">
        <f>Main[[#This Row],[تعداد کل روزهای بدهکار (روز)]]*Main[[#This Row],[مانده در خط کل (کیلوگرم)]]</f>
        <v>0</v>
      </c>
      <c r="X1033" s="6">
        <f ca="1">-SUBTOTAL(9,INDEX(Main[مقدار تسویه شده (کیلوگرم)],1):Main[[#This Row],[مقدار تسویه شده (کیلوگرم)]])</f>
        <v>17186</v>
      </c>
      <c r="Y1033" s="6">
        <f ca="1">IF(Main[[#This Row],[مانده در خط تسویه شده (کیلوگرم)]]&lt;&gt;0,Main[[#This Row],[تعداد کل روزهای بدهکار (روز)]],0)</f>
        <v>0</v>
      </c>
      <c r="Z1033" s="6">
        <f ca="1">Main[[#This Row],[تعداد روزهای بدهکار تسویه شده (روز)]]*Main[[#This Row],[مانده در خط تسویه شده (کیلوگرم)]]</f>
        <v>0</v>
      </c>
      <c r="AA1033" s="6">
        <f ca="1">SUBTOTAL(9,INDEX(Main[بدهی تسویه نشده (کیلوگرم)],1):Main[[#This Row],[بدهی تسویه نشده (کیلوگرم)]])</f>
        <v>0</v>
      </c>
      <c r="AB1033" s="6">
        <f ca="1">IF(Main[[#This Row],[مانده در خط تسویه نشده (کیلوگرم)]]&lt;&gt;0,Main[[#This Row],[تعداد کل روزهای بدهکار (روز)]],0)</f>
        <v>0</v>
      </c>
      <c r="AC1033" s="6">
        <f ca="1">Main[[#This Row],[تعداد روزهای بدهکار  تسویه نشده (روز)]]*Main[[#This Row],[مانده در خط تسویه نشده (کیلوگرم)]]</f>
        <v>0</v>
      </c>
      <c r="AD1033" s="6">
        <f ca="1">SUBTOTAL(9,INDEX(Main[بدهی سررسید شده (کیلوگرم)],1):Main[[#This Row],[بدهی سررسید شده (کیلوگرم)]])</f>
        <v>0</v>
      </c>
      <c r="AE1033" s="6">
        <f ca="1">IF(Main[[#This Row],[مانده در خط سررسید شده (کیلوگرم)]]&lt;&gt;0,Main[[#This Row],[تعداد کل روزهای بدهکار (روز)]],0)</f>
        <v>0</v>
      </c>
      <c r="AF1033" s="6">
        <f ca="1">Main[[#This Row],[تعداد روزهای بدهکار سررسید شده (روز)]]*Main[[#This Row],[مانده در خط سررسید شده (کیلوگرم)]]</f>
        <v>0</v>
      </c>
    </row>
    <row r="1034" spans="1:32" hidden="1" x14ac:dyDescent="0.35">
      <c r="A1034" s="5">
        <f>ROW()-ROW(INDEX(Main[ردیف],1))+1</f>
        <v>1032</v>
      </c>
      <c r="B1034" s="31">
        <f>SUBTOTAL(2,INDEX(Main[ردیف],1):Main[[#This Row],[ردیف]])</f>
        <v>98</v>
      </c>
      <c r="C1034" s="32" t="s">
        <v>614</v>
      </c>
      <c r="D1034" s="32" t="str">
        <f>_xlfn.CONCAT("14",Main[[#This Row],[تاريخ]])</f>
        <v>1400/04/19</v>
      </c>
      <c r="E1034" s="33">
        <v>44387</v>
      </c>
      <c r="F1034" s="32">
        <v>30124</v>
      </c>
      <c r="G1034" s="5" t="str">
        <f>INDEX(customer[عنوان],MATCH(Main[[#This Row],[کد ردیابی]],customer[کد],0))</f>
        <v>شرکت لنگرمرواریدسبز</v>
      </c>
      <c r="H1034">
        <v>-185</v>
      </c>
      <c r="I1034" s="6">
        <f ca="1">-Main[[#This Row],[بدهی تسویه شده (کیلوگرم)]]+Main[[#This Row],[بستانکار (کیلوگرم)]]</f>
        <v>-185</v>
      </c>
      <c r="J1034" s="6">
        <f>IF(Main[[#This Row],[مقدار (کیلوگرم)]]&gt;0,Main[[#This Row],[مقدار (کیلوگرم)]],0)</f>
        <v>0</v>
      </c>
      <c r="K1034" s="6">
        <f>-IF(Main[[#This Row],[مقدار (کیلوگرم)]]&lt;0,Main[[#This Row],[مقدار (کیلوگرم)]],0)</f>
        <v>185</v>
      </c>
      <c r="L10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4" s="7">
        <f>-IF(AND(Main[[#This Row],[مقدار (کیلوگرم)]]&lt;0,Main[[#This Row],[تاريخ میلادی]]&gt;44276),Main[[#This Row],[مقدار (کیلوگرم)]],0)</f>
        <v>185</v>
      </c>
      <c r="N1034" s="6">
        <f ca="1">Main[[#This Row],[بدهکار (کیلوگرم)]]-Main[[#This Row],[بدهی تسویه نشده (کیلوگرم)]]</f>
        <v>185</v>
      </c>
      <c r="O1034" s="6">
        <f ca="1">Main[[#This Row],[تفکیک]]</f>
        <v>0</v>
      </c>
      <c r="P1034" s="6">
        <f ca="1">IF(Main[[#This Row],[تاخیر از سررسید]]&gt;0,Main[[#This Row],[بدهی تسویه نشده (کیلوگرم)]],0)</f>
        <v>0</v>
      </c>
      <c r="Q1034" s="6">
        <f ca="1">IF(Main[[#This Row],[بدهی تسویه نشده (کیلوگرم)]]&gt;0,'گزارش فردی'!$B$7-Main[[#This Row],[تاريخ میلادی]],0)</f>
        <v>0</v>
      </c>
      <c r="R1034" s="6">
        <f ca="1">IF(Main[[#This Row],[بدهی تسویه نشده (کیلوگرم)]]&gt;0,'گزارش فردی'!$B$7-Main[[#This Row],[تاريخ میلادی]]-'گزارش فردی'!$B$8,0)</f>
        <v>0</v>
      </c>
      <c r="S1034" s="6">
        <f ca="1">Main[[#This Row],[روز از ارسال سفارش]]*Main[[#This Row],[بدهی تسویه نشده (کیلوگرم)]]</f>
        <v>0</v>
      </c>
      <c r="T1034" s="6">
        <f ca="1">Main[[#This Row],[بدهی سررسید شده (کیلوگرم)]]*Main[[#This Row],[روز از ارسال سفارش]]</f>
        <v>0</v>
      </c>
      <c r="U1034" s="6">
        <f>-SUBTOTAL(9,INDEX(Main[مقدار (کیلوگرم)],1):Main[[#This Row],[مقدار (کیلوگرم)]])</f>
        <v>17186</v>
      </c>
      <c r="V10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4" s="6">
        <f>Main[[#This Row],[تعداد کل روزهای بدهکار (روز)]]*Main[[#This Row],[مانده در خط کل (کیلوگرم)]]</f>
        <v>0</v>
      </c>
      <c r="X1034" s="6">
        <f ca="1">-SUBTOTAL(9,INDEX(Main[مقدار تسویه شده (کیلوگرم)],1):Main[[#This Row],[مقدار تسویه شده (کیلوگرم)]])</f>
        <v>17186</v>
      </c>
      <c r="Y1034" s="6">
        <f ca="1">IF(Main[[#This Row],[مانده در خط تسویه شده (کیلوگرم)]]&lt;&gt;0,Main[[#This Row],[تعداد کل روزهای بدهکار (روز)]],0)</f>
        <v>0</v>
      </c>
      <c r="Z1034" s="6">
        <f ca="1">Main[[#This Row],[تعداد روزهای بدهکار تسویه شده (روز)]]*Main[[#This Row],[مانده در خط تسویه شده (کیلوگرم)]]</f>
        <v>0</v>
      </c>
      <c r="AA1034" s="6">
        <f ca="1">SUBTOTAL(9,INDEX(Main[بدهی تسویه نشده (کیلوگرم)],1):Main[[#This Row],[بدهی تسویه نشده (کیلوگرم)]])</f>
        <v>0</v>
      </c>
      <c r="AB1034" s="6">
        <f ca="1">IF(Main[[#This Row],[مانده در خط تسویه نشده (کیلوگرم)]]&lt;&gt;0,Main[[#This Row],[تعداد کل روزهای بدهکار (روز)]],0)</f>
        <v>0</v>
      </c>
      <c r="AC1034" s="6">
        <f ca="1">Main[[#This Row],[تعداد روزهای بدهکار  تسویه نشده (روز)]]*Main[[#This Row],[مانده در خط تسویه نشده (کیلوگرم)]]</f>
        <v>0</v>
      </c>
      <c r="AD1034" s="6">
        <f ca="1">SUBTOTAL(9,INDEX(Main[بدهی سررسید شده (کیلوگرم)],1):Main[[#This Row],[بدهی سررسید شده (کیلوگرم)]])</f>
        <v>0</v>
      </c>
      <c r="AE1034" s="6">
        <f ca="1">IF(Main[[#This Row],[مانده در خط سررسید شده (کیلوگرم)]]&lt;&gt;0,Main[[#This Row],[تعداد کل روزهای بدهکار (روز)]],0)</f>
        <v>0</v>
      </c>
      <c r="AF1034" s="6">
        <f ca="1">Main[[#This Row],[تعداد روزهای بدهکار سررسید شده (روز)]]*Main[[#This Row],[مانده در خط سررسید شده (کیلوگرم)]]</f>
        <v>0</v>
      </c>
    </row>
    <row r="1035" spans="1:32" hidden="1" x14ac:dyDescent="0.35">
      <c r="A1035" s="5">
        <f>ROW()-ROW(INDEX(Main[ردیف],1))+1</f>
        <v>1033</v>
      </c>
      <c r="B1035" s="31">
        <f>SUBTOTAL(2,INDEX(Main[ردیف],1):Main[[#This Row],[ردیف]])</f>
        <v>98</v>
      </c>
      <c r="C1035" s="32" t="s">
        <v>614</v>
      </c>
      <c r="D1035" s="32" t="str">
        <f>_xlfn.CONCAT("14",Main[[#This Row],[تاريخ]])</f>
        <v>1400/04/19</v>
      </c>
      <c r="E1035" s="33">
        <v>44387</v>
      </c>
      <c r="F1035" s="32">
        <v>10057</v>
      </c>
      <c r="G1035" s="5" t="str">
        <f>INDEX(customer[عنوان],MATCH(Main[[#This Row],[کد ردیابی]],customer[کد],0))</f>
        <v xml:space="preserve">عبدالله یادگار </v>
      </c>
      <c r="H1035">
        <v>86</v>
      </c>
      <c r="I1035" s="6">
        <f ca="1">-Main[[#This Row],[بدهی تسویه شده (کیلوگرم)]]+Main[[#This Row],[بستانکار (کیلوگرم)]]</f>
        <v>86</v>
      </c>
      <c r="J1035" s="6">
        <f>IF(Main[[#This Row],[مقدار (کیلوگرم)]]&gt;0,Main[[#This Row],[مقدار (کیلوگرم)]],0)</f>
        <v>86</v>
      </c>
      <c r="K1035" s="6">
        <f>-IF(Main[[#This Row],[مقدار (کیلوگرم)]]&lt;0,Main[[#This Row],[مقدار (کیلوگرم)]],0)</f>
        <v>0</v>
      </c>
      <c r="L10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5" s="7">
        <f>-IF(AND(Main[[#This Row],[مقدار (کیلوگرم)]]&lt;0,Main[[#This Row],[تاريخ میلادی]]&gt;44276),Main[[#This Row],[مقدار (کیلوگرم)]],0)</f>
        <v>0</v>
      </c>
      <c r="N1035" s="6">
        <f ca="1">Main[[#This Row],[بدهکار (کیلوگرم)]]-Main[[#This Row],[بدهی تسویه نشده (کیلوگرم)]]</f>
        <v>0</v>
      </c>
      <c r="O1035" s="6">
        <f ca="1">Main[[#This Row],[تفکیک]]</f>
        <v>0</v>
      </c>
      <c r="P1035" s="6">
        <f ca="1">IF(Main[[#This Row],[تاخیر از سررسید]]&gt;0,Main[[#This Row],[بدهی تسویه نشده (کیلوگرم)]],0)</f>
        <v>0</v>
      </c>
      <c r="Q1035" s="6">
        <f ca="1">IF(Main[[#This Row],[بدهی تسویه نشده (کیلوگرم)]]&gt;0,'گزارش فردی'!$B$7-Main[[#This Row],[تاريخ میلادی]],0)</f>
        <v>0</v>
      </c>
      <c r="R1035" s="6">
        <f ca="1">IF(Main[[#This Row],[بدهی تسویه نشده (کیلوگرم)]]&gt;0,'گزارش فردی'!$B$7-Main[[#This Row],[تاريخ میلادی]]-'گزارش فردی'!$B$8,0)</f>
        <v>0</v>
      </c>
      <c r="S1035" s="6">
        <f ca="1">Main[[#This Row],[روز از ارسال سفارش]]*Main[[#This Row],[بدهی تسویه نشده (کیلوگرم)]]</f>
        <v>0</v>
      </c>
      <c r="T1035" s="6">
        <f ca="1">Main[[#This Row],[بدهی سررسید شده (کیلوگرم)]]*Main[[#This Row],[روز از ارسال سفارش]]</f>
        <v>0</v>
      </c>
      <c r="U1035" s="6">
        <f>-SUBTOTAL(9,INDEX(Main[مقدار (کیلوگرم)],1):Main[[#This Row],[مقدار (کیلوگرم)]])</f>
        <v>17186</v>
      </c>
      <c r="V10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5" s="6">
        <f>Main[[#This Row],[تعداد کل روزهای بدهکار (روز)]]*Main[[#This Row],[مانده در خط کل (کیلوگرم)]]</f>
        <v>0</v>
      </c>
      <c r="X1035" s="6">
        <f ca="1">-SUBTOTAL(9,INDEX(Main[مقدار تسویه شده (کیلوگرم)],1):Main[[#This Row],[مقدار تسویه شده (کیلوگرم)]])</f>
        <v>17186</v>
      </c>
      <c r="Y1035" s="6">
        <f ca="1">IF(Main[[#This Row],[مانده در خط تسویه شده (کیلوگرم)]]&lt;&gt;0,Main[[#This Row],[تعداد کل روزهای بدهکار (روز)]],0)</f>
        <v>0</v>
      </c>
      <c r="Z1035" s="6">
        <f ca="1">Main[[#This Row],[تعداد روزهای بدهکار تسویه شده (روز)]]*Main[[#This Row],[مانده در خط تسویه شده (کیلوگرم)]]</f>
        <v>0</v>
      </c>
      <c r="AA1035" s="6">
        <f ca="1">SUBTOTAL(9,INDEX(Main[بدهی تسویه نشده (کیلوگرم)],1):Main[[#This Row],[بدهی تسویه نشده (کیلوگرم)]])</f>
        <v>0</v>
      </c>
      <c r="AB1035" s="6">
        <f ca="1">IF(Main[[#This Row],[مانده در خط تسویه نشده (کیلوگرم)]]&lt;&gt;0,Main[[#This Row],[تعداد کل روزهای بدهکار (روز)]],0)</f>
        <v>0</v>
      </c>
      <c r="AC1035" s="6">
        <f ca="1">Main[[#This Row],[تعداد روزهای بدهکار  تسویه نشده (روز)]]*Main[[#This Row],[مانده در خط تسویه نشده (کیلوگرم)]]</f>
        <v>0</v>
      </c>
      <c r="AD1035" s="6">
        <f ca="1">SUBTOTAL(9,INDEX(Main[بدهی سررسید شده (کیلوگرم)],1):Main[[#This Row],[بدهی سررسید شده (کیلوگرم)]])</f>
        <v>0</v>
      </c>
      <c r="AE1035" s="6">
        <f ca="1">IF(Main[[#This Row],[مانده در خط سررسید شده (کیلوگرم)]]&lt;&gt;0,Main[[#This Row],[تعداد کل روزهای بدهکار (روز)]],0)</f>
        <v>0</v>
      </c>
      <c r="AF1035" s="6">
        <f ca="1">Main[[#This Row],[تعداد روزهای بدهکار سررسید شده (روز)]]*Main[[#This Row],[مانده در خط سررسید شده (کیلوگرم)]]</f>
        <v>0</v>
      </c>
    </row>
    <row r="1036" spans="1:32" hidden="1" x14ac:dyDescent="0.35">
      <c r="A1036" s="5">
        <f>ROW()-ROW(INDEX(Main[ردیف],1))+1</f>
        <v>1034</v>
      </c>
      <c r="B1036" s="31">
        <f>SUBTOTAL(2,INDEX(Main[ردیف],1):Main[[#This Row],[ردیف]])</f>
        <v>98</v>
      </c>
      <c r="C1036" s="32" t="s">
        <v>614</v>
      </c>
      <c r="D1036" s="32" t="str">
        <f>_xlfn.CONCAT("14",Main[[#This Row],[تاريخ]])</f>
        <v>1400/04/19</v>
      </c>
      <c r="E1036" s="33">
        <v>44387</v>
      </c>
      <c r="F1036" s="32">
        <v>30124</v>
      </c>
      <c r="G1036" s="5" t="str">
        <f>INDEX(customer[عنوان],MATCH(Main[[#This Row],[کد ردیابی]],customer[کد],0))</f>
        <v>شرکت لنگرمرواریدسبز</v>
      </c>
      <c r="H1036">
        <v>-2019</v>
      </c>
      <c r="I1036" s="6">
        <f ca="1">-Main[[#This Row],[بدهی تسویه شده (کیلوگرم)]]+Main[[#This Row],[بستانکار (کیلوگرم)]]</f>
        <v>-2019</v>
      </c>
      <c r="J1036" s="6">
        <f>IF(Main[[#This Row],[مقدار (کیلوگرم)]]&gt;0,Main[[#This Row],[مقدار (کیلوگرم)]],0)</f>
        <v>0</v>
      </c>
      <c r="K1036" s="6">
        <f>-IF(Main[[#This Row],[مقدار (کیلوگرم)]]&lt;0,Main[[#This Row],[مقدار (کیلوگرم)]],0)</f>
        <v>2019</v>
      </c>
      <c r="L10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6" s="7">
        <f>-IF(AND(Main[[#This Row],[مقدار (کیلوگرم)]]&lt;0,Main[[#This Row],[تاريخ میلادی]]&gt;44276),Main[[#This Row],[مقدار (کیلوگرم)]],0)</f>
        <v>2019</v>
      </c>
      <c r="N1036" s="6">
        <f ca="1">Main[[#This Row],[بدهکار (کیلوگرم)]]-Main[[#This Row],[بدهی تسویه نشده (کیلوگرم)]]</f>
        <v>2019</v>
      </c>
      <c r="O1036" s="6">
        <f ca="1">Main[[#This Row],[تفکیک]]</f>
        <v>0</v>
      </c>
      <c r="P1036" s="6">
        <f ca="1">IF(Main[[#This Row],[تاخیر از سررسید]]&gt;0,Main[[#This Row],[بدهی تسویه نشده (کیلوگرم)]],0)</f>
        <v>0</v>
      </c>
      <c r="Q1036" s="6">
        <f ca="1">IF(Main[[#This Row],[بدهی تسویه نشده (کیلوگرم)]]&gt;0,'گزارش فردی'!$B$7-Main[[#This Row],[تاريخ میلادی]],0)</f>
        <v>0</v>
      </c>
      <c r="R1036" s="6">
        <f ca="1">IF(Main[[#This Row],[بدهی تسویه نشده (کیلوگرم)]]&gt;0,'گزارش فردی'!$B$7-Main[[#This Row],[تاريخ میلادی]]-'گزارش فردی'!$B$8,0)</f>
        <v>0</v>
      </c>
      <c r="S1036" s="6">
        <f ca="1">Main[[#This Row],[روز از ارسال سفارش]]*Main[[#This Row],[بدهی تسویه نشده (کیلوگرم)]]</f>
        <v>0</v>
      </c>
      <c r="T1036" s="6">
        <f ca="1">Main[[#This Row],[بدهی سررسید شده (کیلوگرم)]]*Main[[#This Row],[روز از ارسال سفارش]]</f>
        <v>0</v>
      </c>
      <c r="U1036" s="6">
        <f>-SUBTOTAL(9,INDEX(Main[مقدار (کیلوگرم)],1):Main[[#This Row],[مقدار (کیلوگرم)]])</f>
        <v>17186</v>
      </c>
      <c r="V10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6" s="6">
        <f>Main[[#This Row],[تعداد کل روزهای بدهکار (روز)]]*Main[[#This Row],[مانده در خط کل (کیلوگرم)]]</f>
        <v>0</v>
      </c>
      <c r="X1036" s="6">
        <f ca="1">-SUBTOTAL(9,INDEX(Main[مقدار تسویه شده (کیلوگرم)],1):Main[[#This Row],[مقدار تسویه شده (کیلوگرم)]])</f>
        <v>17186</v>
      </c>
      <c r="Y1036" s="6">
        <f ca="1">IF(Main[[#This Row],[مانده در خط تسویه شده (کیلوگرم)]]&lt;&gt;0,Main[[#This Row],[تعداد کل روزهای بدهکار (روز)]],0)</f>
        <v>0</v>
      </c>
      <c r="Z1036" s="6">
        <f ca="1">Main[[#This Row],[تعداد روزهای بدهکار تسویه شده (روز)]]*Main[[#This Row],[مانده در خط تسویه شده (کیلوگرم)]]</f>
        <v>0</v>
      </c>
      <c r="AA1036" s="6">
        <f ca="1">SUBTOTAL(9,INDEX(Main[بدهی تسویه نشده (کیلوگرم)],1):Main[[#This Row],[بدهی تسویه نشده (کیلوگرم)]])</f>
        <v>0</v>
      </c>
      <c r="AB1036" s="6">
        <f ca="1">IF(Main[[#This Row],[مانده در خط تسویه نشده (کیلوگرم)]]&lt;&gt;0,Main[[#This Row],[تعداد کل روزهای بدهکار (روز)]],0)</f>
        <v>0</v>
      </c>
      <c r="AC1036" s="6">
        <f ca="1">Main[[#This Row],[تعداد روزهای بدهکار  تسویه نشده (روز)]]*Main[[#This Row],[مانده در خط تسویه نشده (کیلوگرم)]]</f>
        <v>0</v>
      </c>
      <c r="AD1036" s="6">
        <f ca="1">SUBTOTAL(9,INDEX(Main[بدهی سررسید شده (کیلوگرم)],1):Main[[#This Row],[بدهی سررسید شده (کیلوگرم)]])</f>
        <v>0</v>
      </c>
      <c r="AE1036" s="6">
        <f ca="1">IF(Main[[#This Row],[مانده در خط سررسید شده (کیلوگرم)]]&lt;&gt;0,Main[[#This Row],[تعداد کل روزهای بدهکار (روز)]],0)</f>
        <v>0</v>
      </c>
      <c r="AF1036" s="6">
        <f ca="1">Main[[#This Row],[تعداد روزهای بدهکار سررسید شده (روز)]]*Main[[#This Row],[مانده در خط سررسید شده (کیلوگرم)]]</f>
        <v>0</v>
      </c>
    </row>
    <row r="1037" spans="1:32" hidden="1" x14ac:dyDescent="0.35">
      <c r="A1037" s="5">
        <f>ROW()-ROW(INDEX(Main[ردیف],1))+1</f>
        <v>1035</v>
      </c>
      <c r="B1037" s="31">
        <f>SUBTOTAL(2,INDEX(Main[ردیف],1):Main[[#This Row],[ردیف]])</f>
        <v>98</v>
      </c>
      <c r="C1037" s="32" t="s">
        <v>614</v>
      </c>
      <c r="D1037" s="32" t="str">
        <f>_xlfn.CONCAT("14",Main[[#This Row],[تاريخ]])</f>
        <v>1400/04/19</v>
      </c>
      <c r="E1037" s="33">
        <v>44387</v>
      </c>
      <c r="F1037" s="32">
        <v>10055</v>
      </c>
      <c r="G1037" s="5" t="str">
        <f>INDEX(customer[عنوان],MATCH(Main[[#This Row],[کد ردیابی]],customer[کد],0))</f>
        <v xml:space="preserve">مریم فیض آبادی  </v>
      </c>
      <c r="H1037">
        <v>4886</v>
      </c>
      <c r="I1037" s="6">
        <f ca="1">-Main[[#This Row],[بدهی تسویه شده (کیلوگرم)]]+Main[[#This Row],[بستانکار (کیلوگرم)]]</f>
        <v>4886</v>
      </c>
      <c r="J1037" s="6">
        <f>IF(Main[[#This Row],[مقدار (کیلوگرم)]]&gt;0,Main[[#This Row],[مقدار (کیلوگرم)]],0)</f>
        <v>4886</v>
      </c>
      <c r="K1037" s="6">
        <f>-IF(Main[[#This Row],[مقدار (کیلوگرم)]]&lt;0,Main[[#This Row],[مقدار (کیلوگرم)]],0)</f>
        <v>0</v>
      </c>
      <c r="L10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7" s="7">
        <f>-IF(AND(Main[[#This Row],[مقدار (کیلوگرم)]]&lt;0,Main[[#This Row],[تاريخ میلادی]]&gt;44276),Main[[#This Row],[مقدار (کیلوگرم)]],0)</f>
        <v>0</v>
      </c>
      <c r="N1037" s="6">
        <f ca="1">Main[[#This Row],[بدهکار (کیلوگرم)]]-Main[[#This Row],[بدهی تسویه نشده (کیلوگرم)]]</f>
        <v>0</v>
      </c>
      <c r="O1037" s="6">
        <f ca="1">Main[[#This Row],[تفکیک]]</f>
        <v>0</v>
      </c>
      <c r="P1037" s="6">
        <f ca="1">IF(Main[[#This Row],[تاخیر از سررسید]]&gt;0,Main[[#This Row],[بدهی تسویه نشده (کیلوگرم)]],0)</f>
        <v>0</v>
      </c>
      <c r="Q1037" s="6">
        <f ca="1">IF(Main[[#This Row],[بدهی تسویه نشده (کیلوگرم)]]&gt;0,'گزارش فردی'!$B$7-Main[[#This Row],[تاريخ میلادی]],0)</f>
        <v>0</v>
      </c>
      <c r="R1037" s="6">
        <f ca="1">IF(Main[[#This Row],[بدهی تسویه نشده (کیلوگرم)]]&gt;0,'گزارش فردی'!$B$7-Main[[#This Row],[تاريخ میلادی]]-'گزارش فردی'!$B$8,0)</f>
        <v>0</v>
      </c>
      <c r="S1037" s="6">
        <f ca="1">Main[[#This Row],[روز از ارسال سفارش]]*Main[[#This Row],[بدهی تسویه نشده (کیلوگرم)]]</f>
        <v>0</v>
      </c>
      <c r="T1037" s="6">
        <f ca="1">Main[[#This Row],[بدهی سررسید شده (کیلوگرم)]]*Main[[#This Row],[روز از ارسال سفارش]]</f>
        <v>0</v>
      </c>
      <c r="U1037" s="6">
        <f>-SUBTOTAL(9,INDEX(Main[مقدار (کیلوگرم)],1):Main[[#This Row],[مقدار (کیلوگرم)]])</f>
        <v>17186</v>
      </c>
      <c r="V10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7" s="6">
        <f>Main[[#This Row],[تعداد کل روزهای بدهکار (روز)]]*Main[[#This Row],[مانده در خط کل (کیلوگرم)]]</f>
        <v>0</v>
      </c>
      <c r="X1037" s="6">
        <f ca="1">-SUBTOTAL(9,INDEX(Main[مقدار تسویه شده (کیلوگرم)],1):Main[[#This Row],[مقدار تسویه شده (کیلوگرم)]])</f>
        <v>17186</v>
      </c>
      <c r="Y1037" s="6">
        <f ca="1">IF(Main[[#This Row],[مانده در خط تسویه شده (کیلوگرم)]]&lt;&gt;0,Main[[#This Row],[تعداد کل روزهای بدهکار (روز)]],0)</f>
        <v>0</v>
      </c>
      <c r="Z1037" s="6">
        <f ca="1">Main[[#This Row],[تعداد روزهای بدهکار تسویه شده (روز)]]*Main[[#This Row],[مانده در خط تسویه شده (کیلوگرم)]]</f>
        <v>0</v>
      </c>
      <c r="AA1037" s="6">
        <f ca="1">SUBTOTAL(9,INDEX(Main[بدهی تسویه نشده (کیلوگرم)],1):Main[[#This Row],[بدهی تسویه نشده (کیلوگرم)]])</f>
        <v>0</v>
      </c>
      <c r="AB1037" s="6">
        <f ca="1">IF(Main[[#This Row],[مانده در خط تسویه نشده (کیلوگرم)]]&lt;&gt;0,Main[[#This Row],[تعداد کل روزهای بدهکار (روز)]],0)</f>
        <v>0</v>
      </c>
      <c r="AC1037" s="6">
        <f ca="1">Main[[#This Row],[تعداد روزهای بدهکار  تسویه نشده (روز)]]*Main[[#This Row],[مانده در خط تسویه نشده (کیلوگرم)]]</f>
        <v>0</v>
      </c>
      <c r="AD1037" s="6">
        <f ca="1">SUBTOTAL(9,INDEX(Main[بدهی سررسید شده (کیلوگرم)],1):Main[[#This Row],[بدهی سررسید شده (کیلوگرم)]])</f>
        <v>0</v>
      </c>
      <c r="AE1037" s="6">
        <f ca="1">IF(Main[[#This Row],[مانده در خط سررسید شده (کیلوگرم)]]&lt;&gt;0,Main[[#This Row],[تعداد کل روزهای بدهکار (روز)]],0)</f>
        <v>0</v>
      </c>
      <c r="AF1037" s="6">
        <f ca="1">Main[[#This Row],[تعداد روزهای بدهکار سررسید شده (روز)]]*Main[[#This Row],[مانده در خط سررسید شده (کیلوگرم)]]</f>
        <v>0</v>
      </c>
    </row>
    <row r="1038" spans="1:32" x14ac:dyDescent="0.35">
      <c r="A1038" s="5">
        <f>ROW()-ROW(INDEX(Main[ردیف],1))+1</f>
        <v>1036</v>
      </c>
      <c r="B1038" s="31">
        <f>SUBTOTAL(2,INDEX(Main[ردیف],1):Main[[#This Row],[ردیف]])</f>
        <v>99</v>
      </c>
      <c r="C1038" s="32" t="s">
        <v>614</v>
      </c>
      <c r="D1038" s="32" t="str">
        <f>_xlfn.CONCAT("14",Main[[#This Row],[تاريخ]])</f>
        <v>1400/04/19</v>
      </c>
      <c r="E1038" s="33">
        <v>44387</v>
      </c>
      <c r="F1038" s="32">
        <v>10003</v>
      </c>
      <c r="G1038" s="5" t="str">
        <f>INDEX(customer[عنوان],MATCH(Main[[#This Row],[کد ردیابی]],customer[کد],0))</f>
        <v>اصغر نورعلی</v>
      </c>
      <c r="H1038">
        <v>-1000</v>
      </c>
      <c r="I1038" s="6">
        <f ca="1">-Main[[#This Row],[بدهی تسویه شده (کیلوگرم)]]+Main[[#This Row],[بستانکار (کیلوگرم)]]</f>
        <v>-1000</v>
      </c>
      <c r="J1038" s="6">
        <f>IF(Main[[#This Row],[مقدار (کیلوگرم)]]&gt;0,Main[[#This Row],[مقدار (کیلوگرم)]],0)</f>
        <v>0</v>
      </c>
      <c r="K1038" s="6">
        <f>-IF(Main[[#This Row],[مقدار (کیلوگرم)]]&lt;0,Main[[#This Row],[مقدار (کیلوگرم)]],0)</f>
        <v>1000</v>
      </c>
      <c r="L10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8" s="7">
        <f>-IF(AND(Main[[#This Row],[مقدار (کیلوگرم)]]&lt;0,Main[[#This Row],[تاريخ میلادی]]&gt;44276),Main[[#This Row],[مقدار (کیلوگرم)]],0)</f>
        <v>1000</v>
      </c>
      <c r="N1038" s="6">
        <f ca="1">Main[[#This Row],[بدهکار (کیلوگرم)]]-Main[[#This Row],[بدهی تسویه نشده (کیلوگرم)]]</f>
        <v>1000</v>
      </c>
      <c r="O1038" s="6">
        <f ca="1">Main[[#This Row],[تفکیک]]</f>
        <v>0</v>
      </c>
      <c r="P1038" s="6">
        <f ca="1">IF(Main[[#This Row],[تاخیر از سررسید]]&gt;0,Main[[#This Row],[بدهی تسویه نشده (کیلوگرم)]],0)</f>
        <v>0</v>
      </c>
      <c r="Q1038" s="6">
        <f ca="1">IF(Main[[#This Row],[بدهی تسویه نشده (کیلوگرم)]]&gt;0,'گزارش فردی'!$B$7-Main[[#This Row],[تاريخ میلادی]],0)</f>
        <v>0</v>
      </c>
      <c r="R1038" s="6">
        <f ca="1">IF(Main[[#This Row],[بدهی تسویه نشده (کیلوگرم)]]&gt;0,'گزارش فردی'!$B$7-Main[[#This Row],[تاريخ میلادی]]-'گزارش فردی'!$B$8,0)</f>
        <v>0</v>
      </c>
      <c r="S1038" s="6">
        <f ca="1">Main[[#This Row],[روز از ارسال سفارش]]*Main[[#This Row],[بدهی تسویه نشده (کیلوگرم)]]</f>
        <v>0</v>
      </c>
      <c r="T1038" s="6">
        <f ca="1">Main[[#This Row],[بدهی سررسید شده (کیلوگرم)]]*Main[[#This Row],[روز از ارسال سفارش]]</f>
        <v>0</v>
      </c>
      <c r="U1038" s="6">
        <f>-SUBTOTAL(9,INDEX(Main[مقدار (کیلوگرم)],1):Main[[#This Row],[مقدار (کیلوگرم)]])</f>
        <v>18186</v>
      </c>
      <c r="V103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38" s="6">
        <f>Main[[#This Row],[تعداد کل روزهای بدهکار (روز)]]*Main[[#This Row],[مانده در خط کل (کیلوگرم)]]</f>
        <v>54558</v>
      </c>
      <c r="X1038" s="6">
        <f ca="1">-SUBTOTAL(9,INDEX(Main[مقدار تسویه شده (کیلوگرم)],1):Main[[#This Row],[مقدار تسویه شده (کیلوگرم)]])</f>
        <v>18186</v>
      </c>
      <c r="Y1038" s="6">
        <f ca="1">IF(Main[[#This Row],[مانده در خط تسویه شده (کیلوگرم)]]&lt;&gt;0,Main[[#This Row],[تعداد کل روزهای بدهکار (روز)]],0)</f>
        <v>3</v>
      </c>
      <c r="Z1038" s="6">
        <f ca="1">Main[[#This Row],[تعداد روزهای بدهکار تسویه شده (روز)]]*Main[[#This Row],[مانده در خط تسویه شده (کیلوگرم)]]</f>
        <v>54558</v>
      </c>
      <c r="AA1038" s="6">
        <f ca="1">SUBTOTAL(9,INDEX(Main[بدهی تسویه نشده (کیلوگرم)],1):Main[[#This Row],[بدهی تسویه نشده (کیلوگرم)]])</f>
        <v>0</v>
      </c>
      <c r="AB1038" s="6">
        <f ca="1">IF(Main[[#This Row],[مانده در خط تسویه نشده (کیلوگرم)]]&lt;&gt;0,Main[[#This Row],[تعداد کل روزهای بدهکار (روز)]],0)</f>
        <v>0</v>
      </c>
      <c r="AC1038" s="6">
        <f ca="1">Main[[#This Row],[تعداد روزهای بدهکار  تسویه نشده (روز)]]*Main[[#This Row],[مانده در خط تسویه نشده (کیلوگرم)]]</f>
        <v>0</v>
      </c>
      <c r="AD1038" s="6">
        <f ca="1">SUBTOTAL(9,INDEX(Main[بدهی سررسید شده (کیلوگرم)],1):Main[[#This Row],[بدهی سررسید شده (کیلوگرم)]])</f>
        <v>0</v>
      </c>
      <c r="AE1038" s="6">
        <f ca="1">IF(Main[[#This Row],[مانده در خط سررسید شده (کیلوگرم)]]&lt;&gt;0,Main[[#This Row],[تعداد کل روزهای بدهکار (روز)]],0)</f>
        <v>0</v>
      </c>
      <c r="AF1038" s="6">
        <f ca="1">Main[[#This Row],[تعداد روزهای بدهکار سررسید شده (روز)]]*Main[[#This Row],[مانده در خط سررسید شده (کیلوگرم)]]</f>
        <v>0</v>
      </c>
    </row>
    <row r="1039" spans="1:32" hidden="1" x14ac:dyDescent="0.35">
      <c r="A1039" s="5">
        <f>ROW()-ROW(INDEX(Main[ردیف],1))+1</f>
        <v>1037</v>
      </c>
      <c r="B1039" s="31">
        <f>SUBTOTAL(2,INDEX(Main[ردیف],1):Main[[#This Row],[ردیف]])</f>
        <v>99</v>
      </c>
      <c r="C1039" s="32" t="s">
        <v>614</v>
      </c>
      <c r="D1039" s="32" t="str">
        <f>_xlfn.CONCAT("14",Main[[#This Row],[تاريخ]])</f>
        <v>1400/04/19</v>
      </c>
      <c r="E1039" s="33">
        <v>44387</v>
      </c>
      <c r="F1039" s="32">
        <v>10057</v>
      </c>
      <c r="G1039" s="5" t="str">
        <f>INDEX(customer[عنوان],MATCH(Main[[#This Row],[کد ردیابی]],customer[کد],0))</f>
        <v xml:space="preserve">عبدالله یادگار </v>
      </c>
      <c r="H1039">
        <v>186</v>
      </c>
      <c r="I1039" s="6">
        <f ca="1">-Main[[#This Row],[بدهی تسویه شده (کیلوگرم)]]+Main[[#This Row],[بستانکار (کیلوگرم)]]</f>
        <v>186</v>
      </c>
      <c r="J1039" s="6">
        <f>IF(Main[[#This Row],[مقدار (کیلوگرم)]]&gt;0,Main[[#This Row],[مقدار (کیلوگرم)]],0)</f>
        <v>186</v>
      </c>
      <c r="K1039" s="6">
        <f>-IF(Main[[#This Row],[مقدار (کیلوگرم)]]&lt;0,Main[[#This Row],[مقدار (کیلوگرم)]],0)</f>
        <v>0</v>
      </c>
      <c r="L10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9" s="7">
        <f>-IF(AND(Main[[#This Row],[مقدار (کیلوگرم)]]&lt;0,Main[[#This Row],[تاريخ میلادی]]&gt;44276),Main[[#This Row],[مقدار (کیلوگرم)]],0)</f>
        <v>0</v>
      </c>
      <c r="N1039" s="6">
        <f ca="1">Main[[#This Row],[بدهکار (کیلوگرم)]]-Main[[#This Row],[بدهی تسویه نشده (کیلوگرم)]]</f>
        <v>0</v>
      </c>
      <c r="O1039" s="6">
        <f ca="1">Main[[#This Row],[تفکیک]]</f>
        <v>0</v>
      </c>
      <c r="P1039" s="6">
        <f ca="1">IF(Main[[#This Row],[تاخیر از سررسید]]&gt;0,Main[[#This Row],[بدهی تسویه نشده (کیلوگرم)]],0)</f>
        <v>0</v>
      </c>
      <c r="Q1039" s="6">
        <f ca="1">IF(Main[[#This Row],[بدهی تسویه نشده (کیلوگرم)]]&gt;0,'گزارش فردی'!$B$7-Main[[#This Row],[تاريخ میلادی]],0)</f>
        <v>0</v>
      </c>
      <c r="R1039" s="6">
        <f ca="1">IF(Main[[#This Row],[بدهی تسویه نشده (کیلوگرم)]]&gt;0,'گزارش فردی'!$B$7-Main[[#This Row],[تاريخ میلادی]]-'گزارش فردی'!$B$8,0)</f>
        <v>0</v>
      </c>
      <c r="S1039" s="6">
        <f ca="1">Main[[#This Row],[روز از ارسال سفارش]]*Main[[#This Row],[بدهی تسویه نشده (کیلوگرم)]]</f>
        <v>0</v>
      </c>
      <c r="T1039" s="6">
        <f ca="1">Main[[#This Row],[بدهی سررسید شده (کیلوگرم)]]*Main[[#This Row],[روز از ارسال سفارش]]</f>
        <v>0</v>
      </c>
      <c r="U1039" s="6">
        <f>-SUBTOTAL(9,INDEX(Main[مقدار (کیلوگرم)],1):Main[[#This Row],[مقدار (کیلوگرم)]])</f>
        <v>18186</v>
      </c>
      <c r="V103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39" s="6">
        <f>Main[[#This Row],[تعداد کل روزهای بدهکار (روز)]]*Main[[#This Row],[مانده در خط کل (کیلوگرم)]]</f>
        <v>54558</v>
      </c>
      <c r="X1039" s="6">
        <f ca="1">-SUBTOTAL(9,INDEX(Main[مقدار تسویه شده (کیلوگرم)],1):Main[[#This Row],[مقدار تسویه شده (کیلوگرم)]])</f>
        <v>18186</v>
      </c>
      <c r="Y1039" s="6">
        <f ca="1">IF(Main[[#This Row],[مانده در خط تسویه شده (کیلوگرم)]]&lt;&gt;0,Main[[#This Row],[تعداد کل روزهای بدهکار (روز)]],0)</f>
        <v>3</v>
      </c>
      <c r="Z1039" s="6">
        <f ca="1">Main[[#This Row],[تعداد روزهای بدهکار تسویه شده (روز)]]*Main[[#This Row],[مانده در خط تسویه شده (کیلوگرم)]]</f>
        <v>54558</v>
      </c>
      <c r="AA1039" s="6">
        <f ca="1">SUBTOTAL(9,INDEX(Main[بدهی تسویه نشده (کیلوگرم)],1):Main[[#This Row],[بدهی تسویه نشده (کیلوگرم)]])</f>
        <v>0</v>
      </c>
      <c r="AB1039" s="6">
        <f ca="1">IF(Main[[#This Row],[مانده در خط تسویه نشده (کیلوگرم)]]&lt;&gt;0,Main[[#This Row],[تعداد کل روزهای بدهکار (روز)]],0)</f>
        <v>0</v>
      </c>
      <c r="AC1039" s="6">
        <f ca="1">Main[[#This Row],[تعداد روزهای بدهکار  تسویه نشده (روز)]]*Main[[#This Row],[مانده در خط تسویه نشده (کیلوگرم)]]</f>
        <v>0</v>
      </c>
      <c r="AD1039" s="6">
        <f ca="1">SUBTOTAL(9,INDEX(Main[بدهی سررسید شده (کیلوگرم)],1):Main[[#This Row],[بدهی سررسید شده (کیلوگرم)]])</f>
        <v>0</v>
      </c>
      <c r="AE1039" s="6">
        <f ca="1">IF(Main[[#This Row],[مانده در خط سررسید شده (کیلوگرم)]]&lt;&gt;0,Main[[#This Row],[تعداد کل روزهای بدهکار (روز)]],0)</f>
        <v>0</v>
      </c>
      <c r="AF1039" s="6">
        <f ca="1">Main[[#This Row],[تعداد روزهای بدهکار سررسید شده (روز)]]*Main[[#This Row],[مانده در خط سررسید شده (کیلوگرم)]]</f>
        <v>0</v>
      </c>
    </row>
    <row r="1040" spans="1:32" hidden="1" x14ac:dyDescent="0.35">
      <c r="A1040" s="5">
        <f>ROW()-ROW(INDEX(Main[ردیف],1))+1</f>
        <v>1038</v>
      </c>
      <c r="B1040" s="31">
        <f>SUBTOTAL(2,INDEX(Main[ردیف],1):Main[[#This Row],[ردیف]])</f>
        <v>99</v>
      </c>
      <c r="C1040" s="32" t="s">
        <v>614</v>
      </c>
      <c r="D1040" s="32" t="str">
        <f>_xlfn.CONCAT("14",Main[[#This Row],[تاريخ]])</f>
        <v>1400/04/19</v>
      </c>
      <c r="E1040" s="33">
        <v>44387</v>
      </c>
      <c r="F1040" s="32">
        <v>10057</v>
      </c>
      <c r="G1040" s="5" t="str">
        <f>INDEX(customer[عنوان],MATCH(Main[[#This Row],[کد ردیابی]],customer[کد],0))</f>
        <v xml:space="preserve">عبدالله یادگار </v>
      </c>
      <c r="H1040">
        <v>-1986</v>
      </c>
      <c r="I1040" s="6">
        <f ca="1">-Main[[#This Row],[بدهی تسویه شده (کیلوگرم)]]+Main[[#This Row],[بستانکار (کیلوگرم)]]</f>
        <v>-1986</v>
      </c>
      <c r="J1040" s="6">
        <f>IF(Main[[#This Row],[مقدار (کیلوگرم)]]&gt;0,Main[[#This Row],[مقدار (کیلوگرم)]],0)</f>
        <v>0</v>
      </c>
      <c r="K1040" s="6">
        <f>-IF(Main[[#This Row],[مقدار (کیلوگرم)]]&lt;0,Main[[#This Row],[مقدار (کیلوگرم)]],0)</f>
        <v>1986</v>
      </c>
      <c r="L10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0" s="7">
        <f>-IF(AND(Main[[#This Row],[مقدار (کیلوگرم)]]&lt;0,Main[[#This Row],[تاريخ میلادی]]&gt;44276),Main[[#This Row],[مقدار (کیلوگرم)]],0)</f>
        <v>1986</v>
      </c>
      <c r="N1040" s="6">
        <f ca="1">Main[[#This Row],[بدهکار (کیلوگرم)]]-Main[[#This Row],[بدهی تسویه نشده (کیلوگرم)]]</f>
        <v>1986</v>
      </c>
      <c r="O1040" s="6">
        <f ca="1">Main[[#This Row],[تفکیک]]</f>
        <v>0</v>
      </c>
      <c r="P1040" s="6">
        <f ca="1">IF(Main[[#This Row],[تاخیر از سررسید]]&gt;0,Main[[#This Row],[بدهی تسویه نشده (کیلوگرم)]],0)</f>
        <v>0</v>
      </c>
      <c r="Q1040" s="6">
        <f ca="1">IF(Main[[#This Row],[بدهی تسویه نشده (کیلوگرم)]]&gt;0,'گزارش فردی'!$B$7-Main[[#This Row],[تاريخ میلادی]],0)</f>
        <v>0</v>
      </c>
      <c r="R1040" s="6">
        <f ca="1">IF(Main[[#This Row],[بدهی تسویه نشده (کیلوگرم)]]&gt;0,'گزارش فردی'!$B$7-Main[[#This Row],[تاريخ میلادی]]-'گزارش فردی'!$B$8,0)</f>
        <v>0</v>
      </c>
      <c r="S1040" s="6">
        <f ca="1">Main[[#This Row],[روز از ارسال سفارش]]*Main[[#This Row],[بدهی تسویه نشده (کیلوگرم)]]</f>
        <v>0</v>
      </c>
      <c r="T1040" s="6">
        <f ca="1">Main[[#This Row],[بدهی سررسید شده (کیلوگرم)]]*Main[[#This Row],[روز از ارسال سفارش]]</f>
        <v>0</v>
      </c>
      <c r="U1040" s="6">
        <f>-SUBTOTAL(9,INDEX(Main[مقدار (کیلوگرم)],1):Main[[#This Row],[مقدار (کیلوگرم)]])</f>
        <v>18186</v>
      </c>
      <c r="V104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0" s="6">
        <f>Main[[#This Row],[تعداد کل روزهای بدهکار (روز)]]*Main[[#This Row],[مانده در خط کل (کیلوگرم)]]</f>
        <v>54558</v>
      </c>
      <c r="X1040" s="6">
        <f ca="1">-SUBTOTAL(9,INDEX(Main[مقدار تسویه شده (کیلوگرم)],1):Main[[#This Row],[مقدار تسویه شده (کیلوگرم)]])</f>
        <v>18186</v>
      </c>
      <c r="Y1040" s="6">
        <f ca="1">IF(Main[[#This Row],[مانده در خط تسویه شده (کیلوگرم)]]&lt;&gt;0,Main[[#This Row],[تعداد کل روزهای بدهکار (روز)]],0)</f>
        <v>3</v>
      </c>
      <c r="Z1040" s="6">
        <f ca="1">Main[[#This Row],[تعداد روزهای بدهکار تسویه شده (روز)]]*Main[[#This Row],[مانده در خط تسویه شده (کیلوگرم)]]</f>
        <v>54558</v>
      </c>
      <c r="AA1040" s="6">
        <f ca="1">SUBTOTAL(9,INDEX(Main[بدهی تسویه نشده (کیلوگرم)],1):Main[[#This Row],[بدهی تسویه نشده (کیلوگرم)]])</f>
        <v>0</v>
      </c>
      <c r="AB1040" s="6">
        <f ca="1">IF(Main[[#This Row],[مانده در خط تسویه نشده (کیلوگرم)]]&lt;&gt;0,Main[[#This Row],[تعداد کل روزهای بدهکار (روز)]],0)</f>
        <v>0</v>
      </c>
      <c r="AC1040" s="6">
        <f ca="1">Main[[#This Row],[تعداد روزهای بدهکار  تسویه نشده (روز)]]*Main[[#This Row],[مانده در خط تسویه نشده (کیلوگرم)]]</f>
        <v>0</v>
      </c>
      <c r="AD1040" s="6">
        <f ca="1">SUBTOTAL(9,INDEX(Main[بدهی سررسید شده (کیلوگرم)],1):Main[[#This Row],[بدهی سررسید شده (کیلوگرم)]])</f>
        <v>0</v>
      </c>
      <c r="AE1040" s="6">
        <f ca="1">IF(Main[[#This Row],[مانده در خط سررسید شده (کیلوگرم)]]&lt;&gt;0,Main[[#This Row],[تعداد کل روزهای بدهکار (روز)]],0)</f>
        <v>0</v>
      </c>
      <c r="AF1040" s="6">
        <f ca="1">Main[[#This Row],[تعداد روزهای بدهکار سررسید شده (روز)]]*Main[[#This Row],[مانده در خط سررسید شده (کیلوگرم)]]</f>
        <v>0</v>
      </c>
    </row>
    <row r="1041" spans="1:32" hidden="1" x14ac:dyDescent="0.35">
      <c r="A1041" s="5">
        <f>ROW()-ROW(INDEX(Main[ردیف],1))+1</f>
        <v>1039</v>
      </c>
      <c r="B1041" s="31">
        <f>SUBTOTAL(2,INDEX(Main[ردیف],1):Main[[#This Row],[ردیف]])</f>
        <v>99</v>
      </c>
      <c r="C1041" s="32" t="s">
        <v>614</v>
      </c>
      <c r="D1041" s="32" t="str">
        <f>_xlfn.CONCAT("14",Main[[#This Row],[تاريخ]])</f>
        <v>1400/04/19</v>
      </c>
      <c r="E1041" s="33">
        <v>44387</v>
      </c>
      <c r="F1041" s="32">
        <v>10127</v>
      </c>
      <c r="G1041" s="5" t="str">
        <f>INDEX(customer[عنوان],MATCH(Main[[#This Row],[کد ردیابی]],customer[کد],0))</f>
        <v xml:space="preserve">عماد هاشمی </v>
      </c>
      <c r="H1041">
        <v>978</v>
      </c>
      <c r="I1041" s="6">
        <f ca="1">-Main[[#This Row],[بدهی تسویه شده (کیلوگرم)]]+Main[[#This Row],[بستانکار (کیلوگرم)]]</f>
        <v>978</v>
      </c>
      <c r="J1041" s="6">
        <f>IF(Main[[#This Row],[مقدار (کیلوگرم)]]&gt;0,Main[[#This Row],[مقدار (کیلوگرم)]],0)</f>
        <v>978</v>
      </c>
      <c r="K1041" s="6">
        <f>-IF(Main[[#This Row],[مقدار (کیلوگرم)]]&lt;0,Main[[#This Row],[مقدار (کیلوگرم)]],0)</f>
        <v>0</v>
      </c>
      <c r="L10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1" s="7">
        <f>-IF(AND(Main[[#This Row],[مقدار (کیلوگرم)]]&lt;0,Main[[#This Row],[تاريخ میلادی]]&gt;44276),Main[[#This Row],[مقدار (کیلوگرم)]],0)</f>
        <v>0</v>
      </c>
      <c r="N1041" s="6">
        <f ca="1">Main[[#This Row],[بدهکار (کیلوگرم)]]-Main[[#This Row],[بدهی تسویه نشده (کیلوگرم)]]</f>
        <v>0</v>
      </c>
      <c r="O1041" s="6">
        <f ca="1">Main[[#This Row],[تفکیک]]</f>
        <v>0</v>
      </c>
      <c r="P1041" s="6">
        <f ca="1">IF(Main[[#This Row],[تاخیر از سررسید]]&gt;0,Main[[#This Row],[بدهی تسویه نشده (کیلوگرم)]],0)</f>
        <v>0</v>
      </c>
      <c r="Q1041" s="6">
        <f ca="1">IF(Main[[#This Row],[بدهی تسویه نشده (کیلوگرم)]]&gt;0,'گزارش فردی'!$B$7-Main[[#This Row],[تاريخ میلادی]],0)</f>
        <v>0</v>
      </c>
      <c r="R1041" s="6">
        <f ca="1">IF(Main[[#This Row],[بدهی تسویه نشده (کیلوگرم)]]&gt;0,'گزارش فردی'!$B$7-Main[[#This Row],[تاريخ میلادی]]-'گزارش فردی'!$B$8,0)</f>
        <v>0</v>
      </c>
      <c r="S1041" s="6">
        <f ca="1">Main[[#This Row],[روز از ارسال سفارش]]*Main[[#This Row],[بدهی تسویه نشده (کیلوگرم)]]</f>
        <v>0</v>
      </c>
      <c r="T1041" s="6">
        <f ca="1">Main[[#This Row],[بدهی سررسید شده (کیلوگرم)]]*Main[[#This Row],[روز از ارسال سفارش]]</f>
        <v>0</v>
      </c>
      <c r="U1041" s="6">
        <f>-SUBTOTAL(9,INDEX(Main[مقدار (کیلوگرم)],1):Main[[#This Row],[مقدار (کیلوگرم)]])</f>
        <v>18186</v>
      </c>
      <c r="V104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1" s="6">
        <f>Main[[#This Row],[تعداد کل روزهای بدهکار (روز)]]*Main[[#This Row],[مانده در خط کل (کیلوگرم)]]</f>
        <v>54558</v>
      </c>
      <c r="X1041" s="6">
        <f ca="1">-SUBTOTAL(9,INDEX(Main[مقدار تسویه شده (کیلوگرم)],1):Main[[#This Row],[مقدار تسویه شده (کیلوگرم)]])</f>
        <v>18186</v>
      </c>
      <c r="Y1041" s="6">
        <f ca="1">IF(Main[[#This Row],[مانده در خط تسویه شده (کیلوگرم)]]&lt;&gt;0,Main[[#This Row],[تعداد کل روزهای بدهکار (روز)]],0)</f>
        <v>3</v>
      </c>
      <c r="Z1041" s="6">
        <f ca="1">Main[[#This Row],[تعداد روزهای بدهکار تسویه شده (روز)]]*Main[[#This Row],[مانده در خط تسویه شده (کیلوگرم)]]</f>
        <v>54558</v>
      </c>
      <c r="AA1041" s="6">
        <f ca="1">SUBTOTAL(9,INDEX(Main[بدهی تسویه نشده (کیلوگرم)],1):Main[[#This Row],[بدهی تسویه نشده (کیلوگرم)]])</f>
        <v>0</v>
      </c>
      <c r="AB1041" s="6">
        <f ca="1">IF(Main[[#This Row],[مانده در خط تسویه نشده (کیلوگرم)]]&lt;&gt;0,Main[[#This Row],[تعداد کل روزهای بدهکار (روز)]],0)</f>
        <v>0</v>
      </c>
      <c r="AC1041" s="6">
        <f ca="1">Main[[#This Row],[تعداد روزهای بدهکار  تسویه نشده (روز)]]*Main[[#This Row],[مانده در خط تسویه نشده (کیلوگرم)]]</f>
        <v>0</v>
      </c>
      <c r="AD1041" s="6">
        <f ca="1">SUBTOTAL(9,INDEX(Main[بدهی سررسید شده (کیلوگرم)],1):Main[[#This Row],[بدهی سررسید شده (کیلوگرم)]])</f>
        <v>0</v>
      </c>
      <c r="AE1041" s="6">
        <f ca="1">IF(Main[[#This Row],[مانده در خط سررسید شده (کیلوگرم)]]&lt;&gt;0,Main[[#This Row],[تعداد کل روزهای بدهکار (روز)]],0)</f>
        <v>0</v>
      </c>
      <c r="AF1041" s="6">
        <f ca="1">Main[[#This Row],[تعداد روزهای بدهکار سررسید شده (روز)]]*Main[[#This Row],[مانده در خط سررسید شده (کیلوگرم)]]</f>
        <v>0</v>
      </c>
    </row>
    <row r="1042" spans="1:32" hidden="1" x14ac:dyDescent="0.35">
      <c r="A1042" s="5">
        <f>ROW()-ROW(INDEX(Main[ردیف],1))+1</f>
        <v>1040</v>
      </c>
      <c r="B1042" s="31">
        <f>SUBTOTAL(2,INDEX(Main[ردیف],1):Main[[#This Row],[ردیف]])</f>
        <v>99</v>
      </c>
      <c r="C1042" s="32" t="s">
        <v>614</v>
      </c>
      <c r="D1042" s="32" t="str">
        <f>_xlfn.CONCAT("14",Main[[#This Row],[تاريخ]])</f>
        <v>1400/04/19</v>
      </c>
      <c r="E1042" s="33">
        <v>44387</v>
      </c>
      <c r="F1042" s="32">
        <v>10127</v>
      </c>
      <c r="G1042" s="5" t="str">
        <f>INDEX(customer[عنوان],MATCH(Main[[#This Row],[کد ردیابی]],customer[کد],0))</f>
        <v xml:space="preserve">عماد هاشمی </v>
      </c>
      <c r="H1042">
        <v>116</v>
      </c>
      <c r="I1042" s="6">
        <f ca="1">-Main[[#This Row],[بدهی تسویه شده (کیلوگرم)]]+Main[[#This Row],[بستانکار (کیلوگرم)]]</f>
        <v>116</v>
      </c>
      <c r="J1042" s="6">
        <f>IF(Main[[#This Row],[مقدار (کیلوگرم)]]&gt;0,Main[[#This Row],[مقدار (کیلوگرم)]],0)</f>
        <v>116</v>
      </c>
      <c r="K1042" s="6">
        <f>-IF(Main[[#This Row],[مقدار (کیلوگرم)]]&lt;0,Main[[#This Row],[مقدار (کیلوگرم)]],0)</f>
        <v>0</v>
      </c>
      <c r="L10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2" s="7">
        <f>-IF(AND(Main[[#This Row],[مقدار (کیلوگرم)]]&lt;0,Main[[#This Row],[تاريخ میلادی]]&gt;44276),Main[[#This Row],[مقدار (کیلوگرم)]],0)</f>
        <v>0</v>
      </c>
      <c r="N1042" s="6">
        <f ca="1">Main[[#This Row],[بدهکار (کیلوگرم)]]-Main[[#This Row],[بدهی تسویه نشده (کیلوگرم)]]</f>
        <v>0</v>
      </c>
      <c r="O1042" s="6">
        <f ca="1">Main[[#This Row],[تفکیک]]</f>
        <v>0</v>
      </c>
      <c r="P1042" s="6">
        <f ca="1">IF(Main[[#This Row],[تاخیر از سررسید]]&gt;0,Main[[#This Row],[بدهی تسویه نشده (کیلوگرم)]],0)</f>
        <v>0</v>
      </c>
      <c r="Q1042" s="6">
        <f ca="1">IF(Main[[#This Row],[بدهی تسویه نشده (کیلوگرم)]]&gt;0,'گزارش فردی'!$B$7-Main[[#This Row],[تاريخ میلادی]],0)</f>
        <v>0</v>
      </c>
      <c r="R1042" s="6">
        <f ca="1">IF(Main[[#This Row],[بدهی تسویه نشده (کیلوگرم)]]&gt;0,'گزارش فردی'!$B$7-Main[[#This Row],[تاريخ میلادی]]-'گزارش فردی'!$B$8,0)</f>
        <v>0</v>
      </c>
      <c r="S1042" s="6">
        <f ca="1">Main[[#This Row],[روز از ارسال سفارش]]*Main[[#This Row],[بدهی تسویه نشده (کیلوگرم)]]</f>
        <v>0</v>
      </c>
      <c r="T1042" s="6">
        <f ca="1">Main[[#This Row],[بدهی سررسید شده (کیلوگرم)]]*Main[[#This Row],[روز از ارسال سفارش]]</f>
        <v>0</v>
      </c>
      <c r="U1042" s="6">
        <f>-SUBTOTAL(9,INDEX(Main[مقدار (کیلوگرم)],1):Main[[#This Row],[مقدار (کیلوگرم)]])</f>
        <v>18186</v>
      </c>
      <c r="V104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2" s="6">
        <f>Main[[#This Row],[تعداد کل روزهای بدهکار (روز)]]*Main[[#This Row],[مانده در خط کل (کیلوگرم)]]</f>
        <v>54558</v>
      </c>
      <c r="X1042" s="6">
        <f ca="1">-SUBTOTAL(9,INDEX(Main[مقدار تسویه شده (کیلوگرم)],1):Main[[#This Row],[مقدار تسویه شده (کیلوگرم)]])</f>
        <v>18186</v>
      </c>
      <c r="Y1042" s="6">
        <f ca="1">IF(Main[[#This Row],[مانده در خط تسویه شده (کیلوگرم)]]&lt;&gt;0,Main[[#This Row],[تعداد کل روزهای بدهکار (روز)]],0)</f>
        <v>3</v>
      </c>
      <c r="Z1042" s="6">
        <f ca="1">Main[[#This Row],[تعداد روزهای بدهکار تسویه شده (روز)]]*Main[[#This Row],[مانده در خط تسویه شده (کیلوگرم)]]</f>
        <v>54558</v>
      </c>
      <c r="AA1042" s="6">
        <f ca="1">SUBTOTAL(9,INDEX(Main[بدهی تسویه نشده (کیلوگرم)],1):Main[[#This Row],[بدهی تسویه نشده (کیلوگرم)]])</f>
        <v>0</v>
      </c>
      <c r="AB1042" s="6">
        <f ca="1">IF(Main[[#This Row],[مانده در خط تسویه نشده (کیلوگرم)]]&lt;&gt;0,Main[[#This Row],[تعداد کل روزهای بدهکار (روز)]],0)</f>
        <v>0</v>
      </c>
      <c r="AC1042" s="6">
        <f ca="1">Main[[#This Row],[تعداد روزهای بدهکار  تسویه نشده (روز)]]*Main[[#This Row],[مانده در خط تسویه نشده (کیلوگرم)]]</f>
        <v>0</v>
      </c>
      <c r="AD1042" s="6">
        <f ca="1">SUBTOTAL(9,INDEX(Main[بدهی سررسید شده (کیلوگرم)],1):Main[[#This Row],[بدهی سررسید شده (کیلوگرم)]])</f>
        <v>0</v>
      </c>
      <c r="AE1042" s="6">
        <f ca="1">IF(Main[[#This Row],[مانده در خط سررسید شده (کیلوگرم)]]&lt;&gt;0,Main[[#This Row],[تعداد کل روزهای بدهکار (روز)]],0)</f>
        <v>0</v>
      </c>
      <c r="AF1042" s="6">
        <f ca="1">Main[[#This Row],[تعداد روزهای بدهکار سررسید شده (روز)]]*Main[[#This Row],[مانده در خط سررسید شده (کیلوگرم)]]</f>
        <v>0</v>
      </c>
    </row>
    <row r="1043" spans="1:32" hidden="1" x14ac:dyDescent="0.35">
      <c r="A1043" s="5">
        <f>ROW()-ROW(INDEX(Main[ردیف],1))+1</f>
        <v>1041</v>
      </c>
      <c r="B1043" s="31">
        <f>SUBTOTAL(2,INDEX(Main[ردیف],1):Main[[#This Row],[ردیف]])</f>
        <v>99</v>
      </c>
      <c r="C1043" s="32" t="s">
        <v>614</v>
      </c>
      <c r="D1043" s="32" t="str">
        <f>_xlfn.CONCAT("14",Main[[#This Row],[تاريخ]])</f>
        <v>1400/04/19</v>
      </c>
      <c r="E1043" s="33">
        <v>44387</v>
      </c>
      <c r="F1043" s="32">
        <v>30124</v>
      </c>
      <c r="G1043" s="5" t="str">
        <f>INDEX(customer[عنوان],MATCH(Main[[#This Row],[کد ردیابی]],customer[کد],0))</f>
        <v>شرکت لنگرمرواریدسبز</v>
      </c>
      <c r="H1043">
        <v>288</v>
      </c>
      <c r="I1043" s="6">
        <f ca="1">-Main[[#This Row],[بدهی تسویه شده (کیلوگرم)]]+Main[[#This Row],[بستانکار (کیلوگرم)]]</f>
        <v>288</v>
      </c>
      <c r="J1043" s="6">
        <f>IF(Main[[#This Row],[مقدار (کیلوگرم)]]&gt;0,Main[[#This Row],[مقدار (کیلوگرم)]],0)</f>
        <v>288</v>
      </c>
      <c r="K1043" s="6">
        <f>-IF(Main[[#This Row],[مقدار (کیلوگرم)]]&lt;0,Main[[#This Row],[مقدار (کیلوگرم)]],0)</f>
        <v>0</v>
      </c>
      <c r="L10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3" s="7">
        <f>-IF(AND(Main[[#This Row],[مقدار (کیلوگرم)]]&lt;0,Main[[#This Row],[تاريخ میلادی]]&gt;44276),Main[[#This Row],[مقدار (کیلوگرم)]],0)</f>
        <v>0</v>
      </c>
      <c r="N1043" s="6">
        <f ca="1">Main[[#This Row],[بدهکار (کیلوگرم)]]-Main[[#This Row],[بدهی تسویه نشده (کیلوگرم)]]</f>
        <v>0</v>
      </c>
      <c r="O1043" s="6">
        <f ca="1">Main[[#This Row],[تفکیک]]</f>
        <v>0</v>
      </c>
      <c r="P1043" s="6">
        <f ca="1">IF(Main[[#This Row],[تاخیر از سررسید]]&gt;0,Main[[#This Row],[بدهی تسویه نشده (کیلوگرم)]],0)</f>
        <v>0</v>
      </c>
      <c r="Q1043" s="6">
        <f ca="1">IF(Main[[#This Row],[بدهی تسویه نشده (کیلوگرم)]]&gt;0,'گزارش فردی'!$B$7-Main[[#This Row],[تاريخ میلادی]],0)</f>
        <v>0</v>
      </c>
      <c r="R1043" s="6">
        <f ca="1">IF(Main[[#This Row],[بدهی تسویه نشده (کیلوگرم)]]&gt;0,'گزارش فردی'!$B$7-Main[[#This Row],[تاريخ میلادی]]-'گزارش فردی'!$B$8,0)</f>
        <v>0</v>
      </c>
      <c r="S1043" s="6">
        <f ca="1">Main[[#This Row],[روز از ارسال سفارش]]*Main[[#This Row],[بدهی تسویه نشده (کیلوگرم)]]</f>
        <v>0</v>
      </c>
      <c r="T1043" s="6">
        <f ca="1">Main[[#This Row],[بدهی سررسید شده (کیلوگرم)]]*Main[[#This Row],[روز از ارسال سفارش]]</f>
        <v>0</v>
      </c>
      <c r="U1043" s="6">
        <f>-SUBTOTAL(9,INDEX(Main[مقدار (کیلوگرم)],1):Main[[#This Row],[مقدار (کیلوگرم)]])</f>
        <v>18186</v>
      </c>
      <c r="V104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3" s="6">
        <f>Main[[#This Row],[تعداد کل روزهای بدهکار (روز)]]*Main[[#This Row],[مانده در خط کل (کیلوگرم)]]</f>
        <v>54558</v>
      </c>
      <c r="X1043" s="6">
        <f ca="1">-SUBTOTAL(9,INDEX(Main[مقدار تسویه شده (کیلوگرم)],1):Main[[#This Row],[مقدار تسویه شده (کیلوگرم)]])</f>
        <v>18186</v>
      </c>
      <c r="Y1043" s="6">
        <f ca="1">IF(Main[[#This Row],[مانده در خط تسویه شده (کیلوگرم)]]&lt;&gt;0,Main[[#This Row],[تعداد کل روزهای بدهکار (روز)]],0)</f>
        <v>3</v>
      </c>
      <c r="Z1043" s="6">
        <f ca="1">Main[[#This Row],[تعداد روزهای بدهکار تسویه شده (روز)]]*Main[[#This Row],[مانده در خط تسویه شده (کیلوگرم)]]</f>
        <v>54558</v>
      </c>
      <c r="AA1043" s="6">
        <f ca="1">SUBTOTAL(9,INDEX(Main[بدهی تسویه نشده (کیلوگرم)],1):Main[[#This Row],[بدهی تسویه نشده (کیلوگرم)]])</f>
        <v>0</v>
      </c>
      <c r="AB1043" s="6">
        <f ca="1">IF(Main[[#This Row],[مانده در خط تسویه نشده (کیلوگرم)]]&lt;&gt;0,Main[[#This Row],[تعداد کل روزهای بدهکار (روز)]],0)</f>
        <v>0</v>
      </c>
      <c r="AC1043" s="6">
        <f ca="1">Main[[#This Row],[تعداد روزهای بدهکار  تسویه نشده (روز)]]*Main[[#This Row],[مانده در خط تسویه نشده (کیلوگرم)]]</f>
        <v>0</v>
      </c>
      <c r="AD1043" s="6">
        <f ca="1">SUBTOTAL(9,INDEX(Main[بدهی سررسید شده (کیلوگرم)],1):Main[[#This Row],[بدهی سررسید شده (کیلوگرم)]])</f>
        <v>0</v>
      </c>
      <c r="AE1043" s="6">
        <f ca="1">IF(Main[[#This Row],[مانده در خط سررسید شده (کیلوگرم)]]&lt;&gt;0,Main[[#This Row],[تعداد کل روزهای بدهکار (روز)]],0)</f>
        <v>0</v>
      </c>
      <c r="AF1043" s="6">
        <f ca="1">Main[[#This Row],[تعداد روزهای بدهکار سررسید شده (روز)]]*Main[[#This Row],[مانده در خط سررسید شده (کیلوگرم)]]</f>
        <v>0</v>
      </c>
    </row>
    <row r="1044" spans="1:32" hidden="1" x14ac:dyDescent="0.35">
      <c r="A1044" s="5">
        <f>ROW()-ROW(INDEX(Main[ردیف],1))+1</f>
        <v>1042</v>
      </c>
      <c r="B1044" s="31">
        <f>SUBTOTAL(2,INDEX(Main[ردیف],1):Main[[#This Row],[ردیف]])</f>
        <v>99</v>
      </c>
      <c r="C1044" s="32" t="s">
        <v>614</v>
      </c>
      <c r="D1044" s="32" t="str">
        <f>_xlfn.CONCAT("14",Main[[#This Row],[تاريخ]])</f>
        <v>1400/04/19</v>
      </c>
      <c r="E1044" s="33">
        <v>44387</v>
      </c>
      <c r="F1044" s="32">
        <v>30124</v>
      </c>
      <c r="G1044" s="5" t="str">
        <f>INDEX(customer[عنوان],MATCH(Main[[#This Row],[کد ردیابی]],customer[کد],0))</f>
        <v>شرکت لنگرمرواریدسبز</v>
      </c>
      <c r="H1044">
        <v>1516</v>
      </c>
      <c r="I1044" s="6">
        <f ca="1">-Main[[#This Row],[بدهی تسویه شده (کیلوگرم)]]+Main[[#This Row],[بستانکار (کیلوگرم)]]</f>
        <v>1516</v>
      </c>
      <c r="J1044" s="6">
        <f>IF(Main[[#This Row],[مقدار (کیلوگرم)]]&gt;0,Main[[#This Row],[مقدار (کیلوگرم)]],0)</f>
        <v>1516</v>
      </c>
      <c r="K1044" s="6">
        <f>-IF(Main[[#This Row],[مقدار (کیلوگرم)]]&lt;0,Main[[#This Row],[مقدار (کیلوگرم)]],0)</f>
        <v>0</v>
      </c>
      <c r="L10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4" s="7">
        <f>-IF(AND(Main[[#This Row],[مقدار (کیلوگرم)]]&lt;0,Main[[#This Row],[تاريخ میلادی]]&gt;44276),Main[[#This Row],[مقدار (کیلوگرم)]],0)</f>
        <v>0</v>
      </c>
      <c r="N1044" s="6">
        <f ca="1">Main[[#This Row],[بدهکار (کیلوگرم)]]-Main[[#This Row],[بدهی تسویه نشده (کیلوگرم)]]</f>
        <v>0</v>
      </c>
      <c r="O1044" s="6">
        <f ca="1">Main[[#This Row],[تفکیک]]</f>
        <v>0</v>
      </c>
      <c r="P1044" s="6">
        <f ca="1">IF(Main[[#This Row],[تاخیر از سررسید]]&gt;0,Main[[#This Row],[بدهی تسویه نشده (کیلوگرم)]],0)</f>
        <v>0</v>
      </c>
      <c r="Q1044" s="6">
        <f ca="1">IF(Main[[#This Row],[بدهی تسویه نشده (کیلوگرم)]]&gt;0,'گزارش فردی'!$B$7-Main[[#This Row],[تاريخ میلادی]],0)</f>
        <v>0</v>
      </c>
      <c r="R1044" s="6">
        <f ca="1">IF(Main[[#This Row],[بدهی تسویه نشده (کیلوگرم)]]&gt;0,'گزارش فردی'!$B$7-Main[[#This Row],[تاريخ میلادی]]-'گزارش فردی'!$B$8,0)</f>
        <v>0</v>
      </c>
      <c r="S1044" s="6">
        <f ca="1">Main[[#This Row],[روز از ارسال سفارش]]*Main[[#This Row],[بدهی تسویه نشده (کیلوگرم)]]</f>
        <v>0</v>
      </c>
      <c r="T1044" s="6">
        <f ca="1">Main[[#This Row],[بدهی سررسید شده (کیلوگرم)]]*Main[[#This Row],[روز از ارسال سفارش]]</f>
        <v>0</v>
      </c>
      <c r="U1044" s="6">
        <f>-SUBTOTAL(9,INDEX(Main[مقدار (کیلوگرم)],1):Main[[#This Row],[مقدار (کیلوگرم)]])</f>
        <v>18186</v>
      </c>
      <c r="V104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4" s="6">
        <f>Main[[#This Row],[تعداد کل روزهای بدهکار (روز)]]*Main[[#This Row],[مانده در خط کل (کیلوگرم)]]</f>
        <v>54558</v>
      </c>
      <c r="X1044" s="6">
        <f ca="1">-SUBTOTAL(9,INDEX(Main[مقدار تسویه شده (کیلوگرم)],1):Main[[#This Row],[مقدار تسویه شده (کیلوگرم)]])</f>
        <v>18186</v>
      </c>
      <c r="Y1044" s="6">
        <f ca="1">IF(Main[[#This Row],[مانده در خط تسویه شده (کیلوگرم)]]&lt;&gt;0,Main[[#This Row],[تعداد کل روزهای بدهکار (روز)]],0)</f>
        <v>3</v>
      </c>
      <c r="Z1044" s="6">
        <f ca="1">Main[[#This Row],[تعداد روزهای بدهکار تسویه شده (روز)]]*Main[[#This Row],[مانده در خط تسویه شده (کیلوگرم)]]</f>
        <v>54558</v>
      </c>
      <c r="AA1044" s="6">
        <f ca="1">SUBTOTAL(9,INDEX(Main[بدهی تسویه نشده (کیلوگرم)],1):Main[[#This Row],[بدهی تسویه نشده (کیلوگرم)]])</f>
        <v>0</v>
      </c>
      <c r="AB1044" s="6">
        <f ca="1">IF(Main[[#This Row],[مانده در خط تسویه نشده (کیلوگرم)]]&lt;&gt;0,Main[[#This Row],[تعداد کل روزهای بدهکار (روز)]],0)</f>
        <v>0</v>
      </c>
      <c r="AC1044" s="6">
        <f ca="1">Main[[#This Row],[تعداد روزهای بدهکار  تسویه نشده (روز)]]*Main[[#This Row],[مانده در خط تسویه نشده (کیلوگرم)]]</f>
        <v>0</v>
      </c>
      <c r="AD1044" s="6">
        <f ca="1">SUBTOTAL(9,INDEX(Main[بدهی سررسید شده (کیلوگرم)],1):Main[[#This Row],[بدهی سررسید شده (کیلوگرم)]])</f>
        <v>0</v>
      </c>
      <c r="AE1044" s="6">
        <f ca="1">IF(Main[[#This Row],[مانده در خط سررسید شده (کیلوگرم)]]&lt;&gt;0,Main[[#This Row],[تعداد کل روزهای بدهکار (روز)]],0)</f>
        <v>0</v>
      </c>
      <c r="AF1044" s="6">
        <f ca="1">Main[[#This Row],[تعداد روزهای بدهکار سررسید شده (روز)]]*Main[[#This Row],[مانده در خط سررسید شده (کیلوگرم)]]</f>
        <v>0</v>
      </c>
    </row>
    <row r="1045" spans="1:32" hidden="1" x14ac:dyDescent="0.35">
      <c r="A1045" s="5">
        <f>ROW()-ROW(INDEX(Main[ردیف],1))+1</f>
        <v>1043</v>
      </c>
      <c r="B1045" s="31">
        <f>SUBTOTAL(2,INDEX(Main[ردیف],1):Main[[#This Row],[ردیف]])</f>
        <v>99</v>
      </c>
      <c r="C1045" s="32" t="s">
        <v>615</v>
      </c>
      <c r="D1045" s="32" t="str">
        <f>_xlfn.CONCAT("14",Main[[#This Row],[تاريخ]])</f>
        <v>1400/04/20</v>
      </c>
      <c r="E1045" s="33">
        <v>44388</v>
      </c>
      <c r="F1045" s="32">
        <v>30006</v>
      </c>
      <c r="G1045" s="5" t="str">
        <f>INDEX(customer[عنوان],MATCH(Main[[#This Row],[کد ردیابی]],customer[کد],0))</f>
        <v xml:space="preserve">توان جم </v>
      </c>
      <c r="H1045">
        <v>-4983</v>
      </c>
      <c r="I1045" s="6">
        <f ca="1">-Main[[#This Row],[بدهی تسویه شده (کیلوگرم)]]+Main[[#This Row],[بستانکار (کیلوگرم)]]</f>
        <v>-4983</v>
      </c>
      <c r="J1045" s="6">
        <f>IF(Main[[#This Row],[مقدار (کیلوگرم)]]&gt;0,Main[[#This Row],[مقدار (کیلوگرم)]],0)</f>
        <v>0</v>
      </c>
      <c r="K1045" s="6">
        <f>-IF(Main[[#This Row],[مقدار (کیلوگرم)]]&lt;0,Main[[#This Row],[مقدار (کیلوگرم)]],0)</f>
        <v>4983</v>
      </c>
      <c r="L10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5" s="7">
        <f>-IF(AND(Main[[#This Row],[مقدار (کیلوگرم)]]&lt;0,Main[[#This Row],[تاريخ میلادی]]&gt;44276),Main[[#This Row],[مقدار (کیلوگرم)]],0)</f>
        <v>4983</v>
      </c>
      <c r="N1045" s="6">
        <f ca="1">Main[[#This Row],[بدهکار (کیلوگرم)]]-Main[[#This Row],[بدهی تسویه نشده (کیلوگرم)]]</f>
        <v>4983</v>
      </c>
      <c r="O1045" s="6">
        <f ca="1">Main[[#This Row],[تفکیک]]</f>
        <v>0</v>
      </c>
      <c r="P1045" s="6">
        <f ca="1">IF(Main[[#This Row],[تاخیر از سررسید]]&gt;0,Main[[#This Row],[بدهی تسویه نشده (کیلوگرم)]],0)</f>
        <v>0</v>
      </c>
      <c r="Q1045" s="6">
        <f ca="1">IF(Main[[#This Row],[بدهی تسویه نشده (کیلوگرم)]]&gt;0,'گزارش فردی'!$B$7-Main[[#This Row],[تاريخ میلادی]],0)</f>
        <v>0</v>
      </c>
      <c r="R1045" s="6">
        <f ca="1">IF(Main[[#This Row],[بدهی تسویه نشده (کیلوگرم)]]&gt;0,'گزارش فردی'!$B$7-Main[[#This Row],[تاريخ میلادی]]-'گزارش فردی'!$B$8,0)</f>
        <v>0</v>
      </c>
      <c r="S1045" s="6">
        <f ca="1">Main[[#This Row],[روز از ارسال سفارش]]*Main[[#This Row],[بدهی تسویه نشده (کیلوگرم)]]</f>
        <v>0</v>
      </c>
      <c r="T1045" s="6">
        <f ca="1">Main[[#This Row],[بدهی سررسید شده (کیلوگرم)]]*Main[[#This Row],[روز از ارسال سفارش]]</f>
        <v>0</v>
      </c>
      <c r="U1045" s="6">
        <f>-SUBTOTAL(9,INDEX(Main[مقدار (کیلوگرم)],1):Main[[#This Row],[مقدار (کیلوگرم)]])</f>
        <v>18186</v>
      </c>
      <c r="V10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5" s="6">
        <f>Main[[#This Row],[تعداد کل روزهای بدهکار (روز)]]*Main[[#This Row],[مانده در خط کل (کیلوگرم)]]</f>
        <v>36372</v>
      </c>
      <c r="X1045" s="6">
        <f ca="1">-SUBTOTAL(9,INDEX(Main[مقدار تسویه شده (کیلوگرم)],1):Main[[#This Row],[مقدار تسویه شده (کیلوگرم)]])</f>
        <v>18186</v>
      </c>
      <c r="Y1045" s="6">
        <f ca="1">IF(Main[[#This Row],[مانده در خط تسویه شده (کیلوگرم)]]&lt;&gt;0,Main[[#This Row],[تعداد کل روزهای بدهکار (روز)]],0)</f>
        <v>2</v>
      </c>
      <c r="Z1045" s="6">
        <f ca="1">Main[[#This Row],[تعداد روزهای بدهکار تسویه شده (روز)]]*Main[[#This Row],[مانده در خط تسویه شده (کیلوگرم)]]</f>
        <v>36372</v>
      </c>
      <c r="AA1045" s="6">
        <f ca="1">SUBTOTAL(9,INDEX(Main[بدهی تسویه نشده (کیلوگرم)],1):Main[[#This Row],[بدهی تسویه نشده (کیلوگرم)]])</f>
        <v>0</v>
      </c>
      <c r="AB1045" s="6">
        <f ca="1">IF(Main[[#This Row],[مانده در خط تسویه نشده (کیلوگرم)]]&lt;&gt;0,Main[[#This Row],[تعداد کل روزهای بدهکار (روز)]],0)</f>
        <v>0</v>
      </c>
      <c r="AC1045" s="6">
        <f ca="1">Main[[#This Row],[تعداد روزهای بدهکار  تسویه نشده (روز)]]*Main[[#This Row],[مانده در خط تسویه نشده (کیلوگرم)]]</f>
        <v>0</v>
      </c>
      <c r="AD1045" s="6">
        <f ca="1">SUBTOTAL(9,INDEX(Main[بدهی سررسید شده (کیلوگرم)],1):Main[[#This Row],[بدهی سررسید شده (کیلوگرم)]])</f>
        <v>0</v>
      </c>
      <c r="AE1045" s="6">
        <f ca="1">IF(Main[[#This Row],[مانده در خط سررسید شده (کیلوگرم)]]&lt;&gt;0,Main[[#This Row],[تعداد کل روزهای بدهکار (روز)]],0)</f>
        <v>0</v>
      </c>
      <c r="AF1045" s="6">
        <f ca="1">Main[[#This Row],[تعداد روزهای بدهکار سررسید شده (روز)]]*Main[[#This Row],[مانده در خط سررسید شده (کیلوگرم)]]</f>
        <v>0</v>
      </c>
    </row>
    <row r="1046" spans="1:32" hidden="1" x14ac:dyDescent="0.35">
      <c r="A1046" s="5">
        <f>ROW()-ROW(INDEX(Main[ردیف],1))+1</f>
        <v>1044</v>
      </c>
      <c r="B1046" s="31">
        <f>SUBTOTAL(2,INDEX(Main[ردیف],1):Main[[#This Row],[ردیف]])</f>
        <v>99</v>
      </c>
      <c r="C1046" s="32" t="s">
        <v>615</v>
      </c>
      <c r="D1046" s="32" t="str">
        <f>_xlfn.CONCAT("14",Main[[#This Row],[تاريخ]])</f>
        <v>1400/04/20</v>
      </c>
      <c r="E1046" s="33">
        <v>44388</v>
      </c>
      <c r="F1046" s="32">
        <v>10020</v>
      </c>
      <c r="G1046" s="5" t="str">
        <f>INDEX(customer[عنوان],MATCH(Main[[#This Row],[کد ردیابی]],customer[کد],0))</f>
        <v>فرزاد اسماعیل زاده</v>
      </c>
      <c r="H1046">
        <v>1581</v>
      </c>
      <c r="I1046" s="6">
        <f ca="1">-Main[[#This Row],[بدهی تسویه شده (کیلوگرم)]]+Main[[#This Row],[بستانکار (کیلوگرم)]]</f>
        <v>1581</v>
      </c>
      <c r="J1046" s="6">
        <f>IF(Main[[#This Row],[مقدار (کیلوگرم)]]&gt;0,Main[[#This Row],[مقدار (کیلوگرم)]],0)</f>
        <v>1581</v>
      </c>
      <c r="K1046" s="6">
        <f>-IF(Main[[#This Row],[مقدار (کیلوگرم)]]&lt;0,Main[[#This Row],[مقدار (کیلوگرم)]],0)</f>
        <v>0</v>
      </c>
      <c r="L10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6" s="7">
        <f>-IF(AND(Main[[#This Row],[مقدار (کیلوگرم)]]&lt;0,Main[[#This Row],[تاريخ میلادی]]&gt;44276),Main[[#This Row],[مقدار (کیلوگرم)]],0)</f>
        <v>0</v>
      </c>
      <c r="N1046" s="6">
        <f ca="1">Main[[#This Row],[بدهکار (کیلوگرم)]]-Main[[#This Row],[بدهی تسویه نشده (کیلوگرم)]]</f>
        <v>0</v>
      </c>
      <c r="O1046" s="6">
        <f ca="1">Main[[#This Row],[تفکیک]]</f>
        <v>0</v>
      </c>
      <c r="P1046" s="6">
        <f ca="1">IF(Main[[#This Row],[تاخیر از سررسید]]&gt;0,Main[[#This Row],[بدهی تسویه نشده (کیلوگرم)]],0)</f>
        <v>0</v>
      </c>
      <c r="Q1046" s="6">
        <f ca="1">IF(Main[[#This Row],[بدهی تسویه نشده (کیلوگرم)]]&gt;0,'گزارش فردی'!$B$7-Main[[#This Row],[تاريخ میلادی]],0)</f>
        <v>0</v>
      </c>
      <c r="R1046" s="6">
        <f ca="1">IF(Main[[#This Row],[بدهی تسویه نشده (کیلوگرم)]]&gt;0,'گزارش فردی'!$B$7-Main[[#This Row],[تاريخ میلادی]]-'گزارش فردی'!$B$8,0)</f>
        <v>0</v>
      </c>
      <c r="S1046" s="6">
        <f ca="1">Main[[#This Row],[روز از ارسال سفارش]]*Main[[#This Row],[بدهی تسویه نشده (کیلوگرم)]]</f>
        <v>0</v>
      </c>
      <c r="T1046" s="6">
        <f ca="1">Main[[#This Row],[بدهی سررسید شده (کیلوگرم)]]*Main[[#This Row],[روز از ارسال سفارش]]</f>
        <v>0</v>
      </c>
      <c r="U1046" s="6">
        <f>-SUBTOTAL(9,INDEX(Main[مقدار (کیلوگرم)],1):Main[[#This Row],[مقدار (کیلوگرم)]])</f>
        <v>18186</v>
      </c>
      <c r="V104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6" s="6">
        <f>Main[[#This Row],[تعداد کل روزهای بدهکار (روز)]]*Main[[#This Row],[مانده در خط کل (کیلوگرم)]]</f>
        <v>36372</v>
      </c>
      <c r="X1046" s="6">
        <f ca="1">-SUBTOTAL(9,INDEX(Main[مقدار تسویه شده (کیلوگرم)],1):Main[[#This Row],[مقدار تسویه شده (کیلوگرم)]])</f>
        <v>18186</v>
      </c>
      <c r="Y1046" s="6">
        <f ca="1">IF(Main[[#This Row],[مانده در خط تسویه شده (کیلوگرم)]]&lt;&gt;0,Main[[#This Row],[تعداد کل روزهای بدهکار (روز)]],0)</f>
        <v>2</v>
      </c>
      <c r="Z1046" s="6">
        <f ca="1">Main[[#This Row],[تعداد روزهای بدهکار تسویه شده (روز)]]*Main[[#This Row],[مانده در خط تسویه شده (کیلوگرم)]]</f>
        <v>36372</v>
      </c>
      <c r="AA1046" s="6">
        <f ca="1">SUBTOTAL(9,INDEX(Main[بدهی تسویه نشده (کیلوگرم)],1):Main[[#This Row],[بدهی تسویه نشده (کیلوگرم)]])</f>
        <v>0</v>
      </c>
      <c r="AB1046" s="6">
        <f ca="1">IF(Main[[#This Row],[مانده در خط تسویه نشده (کیلوگرم)]]&lt;&gt;0,Main[[#This Row],[تعداد کل روزهای بدهکار (روز)]],0)</f>
        <v>0</v>
      </c>
      <c r="AC1046" s="6">
        <f ca="1">Main[[#This Row],[تعداد روزهای بدهکار  تسویه نشده (روز)]]*Main[[#This Row],[مانده در خط تسویه نشده (کیلوگرم)]]</f>
        <v>0</v>
      </c>
      <c r="AD1046" s="6">
        <f ca="1">SUBTOTAL(9,INDEX(Main[بدهی سررسید شده (کیلوگرم)],1):Main[[#This Row],[بدهی سررسید شده (کیلوگرم)]])</f>
        <v>0</v>
      </c>
      <c r="AE1046" s="6">
        <f ca="1">IF(Main[[#This Row],[مانده در خط سررسید شده (کیلوگرم)]]&lt;&gt;0,Main[[#This Row],[تعداد کل روزهای بدهکار (روز)]],0)</f>
        <v>0</v>
      </c>
      <c r="AF1046" s="6">
        <f ca="1">Main[[#This Row],[تعداد روزهای بدهکار سررسید شده (روز)]]*Main[[#This Row],[مانده در خط سررسید شده (کیلوگرم)]]</f>
        <v>0</v>
      </c>
    </row>
    <row r="1047" spans="1:32" hidden="1" x14ac:dyDescent="0.35">
      <c r="A1047" s="5">
        <f>ROW()-ROW(INDEX(Main[ردیف],1))+1</f>
        <v>1045</v>
      </c>
      <c r="B1047" s="31">
        <f>SUBTOTAL(2,INDEX(Main[ردیف],1):Main[[#This Row],[ردیف]])</f>
        <v>99</v>
      </c>
      <c r="C1047" s="32" t="s">
        <v>615</v>
      </c>
      <c r="D1047" s="32" t="str">
        <f>_xlfn.CONCAT("14",Main[[#This Row],[تاريخ]])</f>
        <v>1400/04/20</v>
      </c>
      <c r="E1047" s="33">
        <v>44388</v>
      </c>
      <c r="F1047" s="32">
        <v>30140</v>
      </c>
      <c r="G1047" s="5" t="str">
        <f>INDEX(customer[عنوان],MATCH(Main[[#This Row],[کد ردیابی]],customer[کد],0))</f>
        <v>شرکت سیتکو</v>
      </c>
      <c r="H1047">
        <v>-30</v>
      </c>
      <c r="I1047" s="6">
        <f ca="1">-Main[[#This Row],[بدهی تسویه شده (کیلوگرم)]]+Main[[#This Row],[بستانکار (کیلوگرم)]]</f>
        <v>-30</v>
      </c>
      <c r="J1047" s="6">
        <f>IF(Main[[#This Row],[مقدار (کیلوگرم)]]&gt;0,Main[[#This Row],[مقدار (کیلوگرم)]],0)</f>
        <v>0</v>
      </c>
      <c r="K1047" s="6">
        <f>-IF(Main[[#This Row],[مقدار (کیلوگرم)]]&lt;0,Main[[#This Row],[مقدار (کیلوگرم)]],0)</f>
        <v>30</v>
      </c>
      <c r="L10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7" s="7">
        <f>-IF(AND(Main[[#This Row],[مقدار (کیلوگرم)]]&lt;0,Main[[#This Row],[تاريخ میلادی]]&gt;44276),Main[[#This Row],[مقدار (کیلوگرم)]],0)</f>
        <v>30</v>
      </c>
      <c r="N1047" s="6">
        <f ca="1">Main[[#This Row],[بدهکار (کیلوگرم)]]-Main[[#This Row],[بدهی تسویه نشده (کیلوگرم)]]</f>
        <v>30</v>
      </c>
      <c r="O1047" s="6">
        <f ca="1">Main[[#This Row],[تفکیک]]</f>
        <v>0</v>
      </c>
      <c r="P1047" s="6">
        <f ca="1">IF(Main[[#This Row],[تاخیر از سررسید]]&gt;0,Main[[#This Row],[بدهی تسویه نشده (کیلوگرم)]],0)</f>
        <v>0</v>
      </c>
      <c r="Q1047" s="6">
        <f ca="1">IF(Main[[#This Row],[بدهی تسویه نشده (کیلوگرم)]]&gt;0,'گزارش فردی'!$B$7-Main[[#This Row],[تاريخ میلادی]],0)</f>
        <v>0</v>
      </c>
      <c r="R1047" s="6">
        <f ca="1">IF(Main[[#This Row],[بدهی تسویه نشده (کیلوگرم)]]&gt;0,'گزارش فردی'!$B$7-Main[[#This Row],[تاريخ میلادی]]-'گزارش فردی'!$B$8,0)</f>
        <v>0</v>
      </c>
      <c r="S1047" s="6">
        <f ca="1">Main[[#This Row],[روز از ارسال سفارش]]*Main[[#This Row],[بدهی تسویه نشده (کیلوگرم)]]</f>
        <v>0</v>
      </c>
      <c r="T1047" s="6">
        <f ca="1">Main[[#This Row],[بدهی سررسید شده (کیلوگرم)]]*Main[[#This Row],[روز از ارسال سفارش]]</f>
        <v>0</v>
      </c>
      <c r="U1047" s="6">
        <f>-SUBTOTAL(9,INDEX(Main[مقدار (کیلوگرم)],1):Main[[#This Row],[مقدار (کیلوگرم)]])</f>
        <v>18186</v>
      </c>
      <c r="V10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7" s="6">
        <f>Main[[#This Row],[تعداد کل روزهای بدهکار (روز)]]*Main[[#This Row],[مانده در خط کل (کیلوگرم)]]</f>
        <v>36372</v>
      </c>
      <c r="X1047" s="6">
        <f ca="1">-SUBTOTAL(9,INDEX(Main[مقدار تسویه شده (کیلوگرم)],1):Main[[#This Row],[مقدار تسویه شده (کیلوگرم)]])</f>
        <v>18186</v>
      </c>
      <c r="Y1047" s="6">
        <f ca="1">IF(Main[[#This Row],[مانده در خط تسویه شده (کیلوگرم)]]&lt;&gt;0,Main[[#This Row],[تعداد کل روزهای بدهکار (روز)]],0)</f>
        <v>2</v>
      </c>
      <c r="Z1047" s="6">
        <f ca="1">Main[[#This Row],[تعداد روزهای بدهکار تسویه شده (روز)]]*Main[[#This Row],[مانده در خط تسویه شده (کیلوگرم)]]</f>
        <v>36372</v>
      </c>
      <c r="AA1047" s="6">
        <f ca="1">SUBTOTAL(9,INDEX(Main[بدهی تسویه نشده (کیلوگرم)],1):Main[[#This Row],[بدهی تسویه نشده (کیلوگرم)]])</f>
        <v>0</v>
      </c>
      <c r="AB1047" s="6">
        <f ca="1">IF(Main[[#This Row],[مانده در خط تسویه نشده (کیلوگرم)]]&lt;&gt;0,Main[[#This Row],[تعداد کل روزهای بدهکار (روز)]],0)</f>
        <v>0</v>
      </c>
      <c r="AC1047" s="6">
        <f ca="1">Main[[#This Row],[تعداد روزهای بدهکار  تسویه نشده (روز)]]*Main[[#This Row],[مانده در خط تسویه نشده (کیلوگرم)]]</f>
        <v>0</v>
      </c>
      <c r="AD1047" s="6">
        <f ca="1">SUBTOTAL(9,INDEX(Main[بدهی سررسید شده (کیلوگرم)],1):Main[[#This Row],[بدهی سررسید شده (کیلوگرم)]])</f>
        <v>0</v>
      </c>
      <c r="AE1047" s="6">
        <f ca="1">IF(Main[[#This Row],[مانده در خط سررسید شده (کیلوگرم)]]&lt;&gt;0,Main[[#This Row],[تعداد کل روزهای بدهکار (روز)]],0)</f>
        <v>0</v>
      </c>
      <c r="AF1047" s="6">
        <f ca="1">Main[[#This Row],[تعداد روزهای بدهکار سررسید شده (روز)]]*Main[[#This Row],[مانده در خط سررسید شده (کیلوگرم)]]</f>
        <v>0</v>
      </c>
    </row>
    <row r="1048" spans="1:32" hidden="1" x14ac:dyDescent="0.35">
      <c r="A1048" s="5">
        <f>ROW()-ROW(INDEX(Main[ردیف],1))+1</f>
        <v>1046</v>
      </c>
      <c r="B1048" s="31">
        <f>SUBTOTAL(2,INDEX(Main[ردیف],1):Main[[#This Row],[ردیف]])</f>
        <v>99</v>
      </c>
      <c r="C1048" s="32" t="s">
        <v>615</v>
      </c>
      <c r="D1048" s="32" t="str">
        <f>_xlfn.CONCAT("14",Main[[#This Row],[تاريخ]])</f>
        <v>1400/04/20</v>
      </c>
      <c r="E1048" s="33">
        <v>44388</v>
      </c>
      <c r="F1048" s="32">
        <v>30186</v>
      </c>
      <c r="G1048" s="5" t="str">
        <f>INDEX(customer[عنوان],MATCH(Main[[#This Row],[کد ردیابی]],customer[کد],0))</f>
        <v>سارا گاز</v>
      </c>
      <c r="H1048">
        <v>1871</v>
      </c>
      <c r="I1048" s="6">
        <f ca="1">-Main[[#This Row],[بدهی تسویه شده (کیلوگرم)]]+Main[[#This Row],[بستانکار (کیلوگرم)]]</f>
        <v>1871</v>
      </c>
      <c r="J1048" s="6">
        <f>IF(Main[[#This Row],[مقدار (کیلوگرم)]]&gt;0,Main[[#This Row],[مقدار (کیلوگرم)]],0)</f>
        <v>1871</v>
      </c>
      <c r="K1048" s="6">
        <f>-IF(Main[[#This Row],[مقدار (کیلوگرم)]]&lt;0,Main[[#This Row],[مقدار (کیلوگرم)]],0)</f>
        <v>0</v>
      </c>
      <c r="L10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8" s="7">
        <f>-IF(AND(Main[[#This Row],[مقدار (کیلوگرم)]]&lt;0,Main[[#This Row],[تاريخ میلادی]]&gt;44276),Main[[#This Row],[مقدار (کیلوگرم)]],0)</f>
        <v>0</v>
      </c>
      <c r="N1048" s="6">
        <f ca="1">Main[[#This Row],[بدهکار (کیلوگرم)]]-Main[[#This Row],[بدهی تسویه نشده (کیلوگرم)]]</f>
        <v>0</v>
      </c>
      <c r="O1048" s="6">
        <f ca="1">Main[[#This Row],[تفکیک]]</f>
        <v>0</v>
      </c>
      <c r="P1048" s="6">
        <f ca="1">IF(Main[[#This Row],[تاخیر از سررسید]]&gt;0,Main[[#This Row],[بدهی تسویه نشده (کیلوگرم)]],0)</f>
        <v>0</v>
      </c>
      <c r="Q1048" s="6">
        <f ca="1">IF(Main[[#This Row],[بدهی تسویه نشده (کیلوگرم)]]&gt;0,'گزارش فردی'!$B$7-Main[[#This Row],[تاريخ میلادی]],0)</f>
        <v>0</v>
      </c>
      <c r="R1048" s="6">
        <f ca="1">IF(Main[[#This Row],[بدهی تسویه نشده (کیلوگرم)]]&gt;0,'گزارش فردی'!$B$7-Main[[#This Row],[تاريخ میلادی]]-'گزارش فردی'!$B$8,0)</f>
        <v>0</v>
      </c>
      <c r="S1048" s="6">
        <f ca="1">Main[[#This Row],[روز از ارسال سفارش]]*Main[[#This Row],[بدهی تسویه نشده (کیلوگرم)]]</f>
        <v>0</v>
      </c>
      <c r="T1048" s="6">
        <f ca="1">Main[[#This Row],[بدهی سررسید شده (کیلوگرم)]]*Main[[#This Row],[روز از ارسال سفارش]]</f>
        <v>0</v>
      </c>
      <c r="U1048" s="6">
        <f>-SUBTOTAL(9,INDEX(Main[مقدار (کیلوگرم)],1):Main[[#This Row],[مقدار (کیلوگرم)]])</f>
        <v>18186</v>
      </c>
      <c r="V10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8" s="6">
        <f>Main[[#This Row],[تعداد کل روزهای بدهکار (روز)]]*Main[[#This Row],[مانده در خط کل (کیلوگرم)]]</f>
        <v>36372</v>
      </c>
      <c r="X1048" s="6">
        <f ca="1">-SUBTOTAL(9,INDEX(Main[مقدار تسویه شده (کیلوگرم)],1):Main[[#This Row],[مقدار تسویه شده (کیلوگرم)]])</f>
        <v>18186</v>
      </c>
      <c r="Y1048" s="6">
        <f ca="1">IF(Main[[#This Row],[مانده در خط تسویه شده (کیلوگرم)]]&lt;&gt;0,Main[[#This Row],[تعداد کل روزهای بدهکار (روز)]],0)</f>
        <v>2</v>
      </c>
      <c r="Z1048" s="6">
        <f ca="1">Main[[#This Row],[تعداد روزهای بدهکار تسویه شده (روز)]]*Main[[#This Row],[مانده در خط تسویه شده (کیلوگرم)]]</f>
        <v>36372</v>
      </c>
      <c r="AA1048" s="6">
        <f ca="1">SUBTOTAL(9,INDEX(Main[بدهی تسویه نشده (کیلوگرم)],1):Main[[#This Row],[بدهی تسویه نشده (کیلوگرم)]])</f>
        <v>0</v>
      </c>
      <c r="AB1048" s="6">
        <f ca="1">IF(Main[[#This Row],[مانده در خط تسویه نشده (کیلوگرم)]]&lt;&gt;0,Main[[#This Row],[تعداد کل روزهای بدهکار (روز)]],0)</f>
        <v>0</v>
      </c>
      <c r="AC1048" s="6">
        <f ca="1">Main[[#This Row],[تعداد روزهای بدهکار  تسویه نشده (روز)]]*Main[[#This Row],[مانده در خط تسویه نشده (کیلوگرم)]]</f>
        <v>0</v>
      </c>
      <c r="AD1048" s="6">
        <f ca="1">SUBTOTAL(9,INDEX(Main[بدهی سررسید شده (کیلوگرم)],1):Main[[#This Row],[بدهی سررسید شده (کیلوگرم)]])</f>
        <v>0</v>
      </c>
      <c r="AE1048" s="6">
        <f ca="1">IF(Main[[#This Row],[مانده در خط سررسید شده (کیلوگرم)]]&lt;&gt;0,Main[[#This Row],[تعداد کل روزهای بدهکار (روز)]],0)</f>
        <v>0</v>
      </c>
      <c r="AF1048" s="6">
        <f ca="1">Main[[#This Row],[تعداد روزهای بدهکار سررسید شده (روز)]]*Main[[#This Row],[مانده در خط سررسید شده (کیلوگرم)]]</f>
        <v>0</v>
      </c>
    </row>
    <row r="1049" spans="1:32" hidden="1" x14ac:dyDescent="0.35">
      <c r="A1049" s="5">
        <f>ROW()-ROW(INDEX(Main[ردیف],1))+1</f>
        <v>1047</v>
      </c>
      <c r="B1049" s="31">
        <f>SUBTOTAL(2,INDEX(Main[ردیف],1):Main[[#This Row],[ردیف]])</f>
        <v>99</v>
      </c>
      <c r="C1049" s="32" t="s">
        <v>615</v>
      </c>
      <c r="D1049" s="32" t="str">
        <f>_xlfn.CONCAT("14",Main[[#This Row],[تاريخ]])</f>
        <v>1400/04/20</v>
      </c>
      <c r="E1049" s="33">
        <v>44388</v>
      </c>
      <c r="F1049" s="32">
        <v>30140</v>
      </c>
      <c r="G1049" s="5" t="str">
        <f>INDEX(customer[عنوان],MATCH(Main[[#This Row],[کد ردیابی]],customer[کد],0))</f>
        <v>شرکت سیتکو</v>
      </c>
      <c r="H1049">
        <v>-2096</v>
      </c>
      <c r="I1049" s="6">
        <f ca="1">-Main[[#This Row],[بدهی تسویه شده (کیلوگرم)]]+Main[[#This Row],[بستانکار (کیلوگرم)]]</f>
        <v>-2096</v>
      </c>
      <c r="J1049" s="6">
        <f>IF(Main[[#This Row],[مقدار (کیلوگرم)]]&gt;0,Main[[#This Row],[مقدار (کیلوگرم)]],0)</f>
        <v>0</v>
      </c>
      <c r="K1049" s="6">
        <f>-IF(Main[[#This Row],[مقدار (کیلوگرم)]]&lt;0,Main[[#This Row],[مقدار (کیلوگرم)]],0)</f>
        <v>2096</v>
      </c>
      <c r="L10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9" s="7">
        <f>-IF(AND(Main[[#This Row],[مقدار (کیلوگرم)]]&lt;0,Main[[#This Row],[تاريخ میلادی]]&gt;44276),Main[[#This Row],[مقدار (کیلوگرم)]],0)</f>
        <v>2096</v>
      </c>
      <c r="N1049" s="6">
        <f ca="1">Main[[#This Row],[بدهکار (کیلوگرم)]]-Main[[#This Row],[بدهی تسویه نشده (کیلوگرم)]]</f>
        <v>2096</v>
      </c>
      <c r="O1049" s="6">
        <f ca="1">Main[[#This Row],[تفکیک]]</f>
        <v>0</v>
      </c>
      <c r="P1049" s="6">
        <f ca="1">IF(Main[[#This Row],[تاخیر از سررسید]]&gt;0,Main[[#This Row],[بدهی تسویه نشده (کیلوگرم)]],0)</f>
        <v>0</v>
      </c>
      <c r="Q1049" s="6">
        <f ca="1">IF(Main[[#This Row],[بدهی تسویه نشده (کیلوگرم)]]&gt;0,'گزارش فردی'!$B$7-Main[[#This Row],[تاريخ میلادی]],0)</f>
        <v>0</v>
      </c>
      <c r="R1049" s="6">
        <f ca="1">IF(Main[[#This Row],[بدهی تسویه نشده (کیلوگرم)]]&gt;0,'گزارش فردی'!$B$7-Main[[#This Row],[تاريخ میلادی]]-'گزارش فردی'!$B$8,0)</f>
        <v>0</v>
      </c>
      <c r="S1049" s="6">
        <f ca="1">Main[[#This Row],[روز از ارسال سفارش]]*Main[[#This Row],[بدهی تسویه نشده (کیلوگرم)]]</f>
        <v>0</v>
      </c>
      <c r="T1049" s="6">
        <f ca="1">Main[[#This Row],[بدهی سررسید شده (کیلوگرم)]]*Main[[#This Row],[روز از ارسال سفارش]]</f>
        <v>0</v>
      </c>
      <c r="U1049" s="6">
        <f>-SUBTOTAL(9,INDEX(Main[مقدار (کیلوگرم)],1):Main[[#This Row],[مقدار (کیلوگرم)]])</f>
        <v>18186</v>
      </c>
      <c r="V10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9" s="6">
        <f>Main[[#This Row],[تعداد کل روزهای بدهکار (روز)]]*Main[[#This Row],[مانده در خط کل (کیلوگرم)]]</f>
        <v>36372</v>
      </c>
      <c r="X1049" s="6">
        <f ca="1">-SUBTOTAL(9,INDEX(Main[مقدار تسویه شده (کیلوگرم)],1):Main[[#This Row],[مقدار تسویه شده (کیلوگرم)]])</f>
        <v>18186</v>
      </c>
      <c r="Y1049" s="6">
        <f ca="1">IF(Main[[#This Row],[مانده در خط تسویه شده (کیلوگرم)]]&lt;&gt;0,Main[[#This Row],[تعداد کل روزهای بدهکار (روز)]],0)</f>
        <v>2</v>
      </c>
      <c r="Z1049" s="6">
        <f ca="1">Main[[#This Row],[تعداد روزهای بدهکار تسویه شده (روز)]]*Main[[#This Row],[مانده در خط تسویه شده (کیلوگرم)]]</f>
        <v>36372</v>
      </c>
      <c r="AA1049" s="6">
        <f ca="1">SUBTOTAL(9,INDEX(Main[بدهی تسویه نشده (کیلوگرم)],1):Main[[#This Row],[بدهی تسویه نشده (کیلوگرم)]])</f>
        <v>0</v>
      </c>
      <c r="AB1049" s="6">
        <f ca="1">IF(Main[[#This Row],[مانده در خط تسویه نشده (کیلوگرم)]]&lt;&gt;0,Main[[#This Row],[تعداد کل روزهای بدهکار (روز)]],0)</f>
        <v>0</v>
      </c>
      <c r="AC1049" s="6">
        <f ca="1">Main[[#This Row],[تعداد روزهای بدهکار  تسویه نشده (روز)]]*Main[[#This Row],[مانده در خط تسویه نشده (کیلوگرم)]]</f>
        <v>0</v>
      </c>
      <c r="AD1049" s="6">
        <f ca="1">SUBTOTAL(9,INDEX(Main[بدهی سررسید شده (کیلوگرم)],1):Main[[#This Row],[بدهی سررسید شده (کیلوگرم)]])</f>
        <v>0</v>
      </c>
      <c r="AE1049" s="6">
        <f ca="1">IF(Main[[#This Row],[مانده در خط سررسید شده (کیلوگرم)]]&lt;&gt;0,Main[[#This Row],[تعداد کل روزهای بدهکار (روز)]],0)</f>
        <v>0</v>
      </c>
      <c r="AF1049" s="6">
        <f ca="1">Main[[#This Row],[تعداد روزهای بدهکار سررسید شده (روز)]]*Main[[#This Row],[مانده در خط سررسید شده (کیلوگرم)]]</f>
        <v>0</v>
      </c>
    </row>
    <row r="1050" spans="1:32" hidden="1" x14ac:dyDescent="0.35">
      <c r="A1050" s="5">
        <f>ROW()-ROW(INDEX(Main[ردیف],1))+1</f>
        <v>1048</v>
      </c>
      <c r="B1050" s="31">
        <f>SUBTOTAL(2,INDEX(Main[ردیف],1):Main[[#This Row],[ردیف]])</f>
        <v>99</v>
      </c>
      <c r="C1050" s="32" t="s">
        <v>615</v>
      </c>
      <c r="D1050" s="32" t="str">
        <f>_xlfn.CONCAT("14",Main[[#This Row],[تاريخ]])</f>
        <v>1400/04/20</v>
      </c>
      <c r="E1050" s="33">
        <v>44388</v>
      </c>
      <c r="F1050" s="32">
        <v>30191</v>
      </c>
      <c r="G1050" s="5" t="str">
        <f>INDEX(customer[عنوان],MATCH(Main[[#This Row],[کد ردیابی]],customer[کد],0))</f>
        <v>ایران گرما</v>
      </c>
      <c r="H1050">
        <v>59</v>
      </c>
      <c r="I1050" s="6">
        <f ca="1">-Main[[#This Row],[بدهی تسویه شده (کیلوگرم)]]+Main[[#This Row],[بستانکار (کیلوگرم)]]</f>
        <v>59</v>
      </c>
      <c r="J1050" s="6">
        <f>IF(Main[[#This Row],[مقدار (کیلوگرم)]]&gt;0,Main[[#This Row],[مقدار (کیلوگرم)]],0)</f>
        <v>59</v>
      </c>
      <c r="K1050" s="6">
        <f>-IF(Main[[#This Row],[مقدار (کیلوگرم)]]&lt;0,Main[[#This Row],[مقدار (کیلوگرم)]],0)</f>
        <v>0</v>
      </c>
      <c r="L10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0" s="7">
        <f>-IF(AND(Main[[#This Row],[مقدار (کیلوگرم)]]&lt;0,Main[[#This Row],[تاريخ میلادی]]&gt;44276),Main[[#This Row],[مقدار (کیلوگرم)]],0)</f>
        <v>0</v>
      </c>
      <c r="N1050" s="6">
        <f ca="1">Main[[#This Row],[بدهکار (کیلوگرم)]]-Main[[#This Row],[بدهی تسویه نشده (کیلوگرم)]]</f>
        <v>0</v>
      </c>
      <c r="O1050" s="6">
        <f ca="1">Main[[#This Row],[تفکیک]]</f>
        <v>0</v>
      </c>
      <c r="P1050" s="6">
        <f ca="1">IF(Main[[#This Row],[تاخیر از سررسید]]&gt;0,Main[[#This Row],[بدهی تسویه نشده (کیلوگرم)]],0)</f>
        <v>0</v>
      </c>
      <c r="Q1050" s="6">
        <f ca="1">IF(Main[[#This Row],[بدهی تسویه نشده (کیلوگرم)]]&gt;0,'گزارش فردی'!$B$7-Main[[#This Row],[تاريخ میلادی]],0)</f>
        <v>0</v>
      </c>
      <c r="R1050" s="6">
        <f ca="1">IF(Main[[#This Row],[بدهی تسویه نشده (کیلوگرم)]]&gt;0,'گزارش فردی'!$B$7-Main[[#This Row],[تاريخ میلادی]]-'گزارش فردی'!$B$8,0)</f>
        <v>0</v>
      </c>
      <c r="S1050" s="6">
        <f ca="1">Main[[#This Row],[روز از ارسال سفارش]]*Main[[#This Row],[بدهی تسویه نشده (کیلوگرم)]]</f>
        <v>0</v>
      </c>
      <c r="T1050" s="6">
        <f ca="1">Main[[#This Row],[بدهی سررسید شده (کیلوگرم)]]*Main[[#This Row],[روز از ارسال سفارش]]</f>
        <v>0</v>
      </c>
      <c r="U1050" s="6">
        <f>-SUBTOTAL(9,INDEX(Main[مقدار (کیلوگرم)],1):Main[[#This Row],[مقدار (کیلوگرم)]])</f>
        <v>18186</v>
      </c>
      <c r="V10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0" s="6">
        <f>Main[[#This Row],[تعداد کل روزهای بدهکار (روز)]]*Main[[#This Row],[مانده در خط کل (کیلوگرم)]]</f>
        <v>36372</v>
      </c>
      <c r="X1050" s="6">
        <f ca="1">-SUBTOTAL(9,INDEX(Main[مقدار تسویه شده (کیلوگرم)],1):Main[[#This Row],[مقدار تسویه شده (کیلوگرم)]])</f>
        <v>18186</v>
      </c>
      <c r="Y1050" s="6">
        <f ca="1">IF(Main[[#This Row],[مانده در خط تسویه شده (کیلوگرم)]]&lt;&gt;0,Main[[#This Row],[تعداد کل روزهای بدهکار (روز)]],0)</f>
        <v>2</v>
      </c>
      <c r="Z1050" s="6">
        <f ca="1">Main[[#This Row],[تعداد روزهای بدهکار تسویه شده (روز)]]*Main[[#This Row],[مانده در خط تسویه شده (کیلوگرم)]]</f>
        <v>36372</v>
      </c>
      <c r="AA1050" s="6">
        <f ca="1">SUBTOTAL(9,INDEX(Main[بدهی تسویه نشده (کیلوگرم)],1):Main[[#This Row],[بدهی تسویه نشده (کیلوگرم)]])</f>
        <v>0</v>
      </c>
      <c r="AB1050" s="6">
        <f ca="1">IF(Main[[#This Row],[مانده در خط تسویه نشده (کیلوگرم)]]&lt;&gt;0,Main[[#This Row],[تعداد کل روزهای بدهکار (روز)]],0)</f>
        <v>0</v>
      </c>
      <c r="AC1050" s="6">
        <f ca="1">Main[[#This Row],[تعداد روزهای بدهکار  تسویه نشده (روز)]]*Main[[#This Row],[مانده در خط تسویه نشده (کیلوگرم)]]</f>
        <v>0</v>
      </c>
      <c r="AD1050" s="6">
        <f ca="1">SUBTOTAL(9,INDEX(Main[بدهی سررسید شده (کیلوگرم)],1):Main[[#This Row],[بدهی سررسید شده (کیلوگرم)]])</f>
        <v>0</v>
      </c>
      <c r="AE1050" s="6">
        <f ca="1">IF(Main[[#This Row],[مانده در خط سررسید شده (کیلوگرم)]]&lt;&gt;0,Main[[#This Row],[تعداد کل روزهای بدهکار (روز)]],0)</f>
        <v>0</v>
      </c>
      <c r="AF1050" s="6">
        <f ca="1">Main[[#This Row],[تعداد روزهای بدهکار سررسید شده (روز)]]*Main[[#This Row],[مانده در خط سررسید شده (کیلوگرم)]]</f>
        <v>0</v>
      </c>
    </row>
    <row r="1051" spans="1:32" hidden="1" x14ac:dyDescent="0.35">
      <c r="A1051" s="5">
        <f>ROW()-ROW(INDEX(Main[ردیف],1))+1</f>
        <v>1049</v>
      </c>
      <c r="B1051" s="31">
        <f>SUBTOTAL(2,INDEX(Main[ردیف],1):Main[[#This Row],[ردیف]])</f>
        <v>99</v>
      </c>
      <c r="C1051" s="32" t="s">
        <v>615</v>
      </c>
      <c r="D1051" s="32" t="str">
        <f>_xlfn.CONCAT("14",Main[[#This Row],[تاريخ]])</f>
        <v>1400/04/20</v>
      </c>
      <c r="E1051" s="33">
        <v>44388</v>
      </c>
      <c r="F1051" s="32">
        <v>10020</v>
      </c>
      <c r="G1051" s="5" t="str">
        <f>INDEX(customer[عنوان],MATCH(Main[[#This Row],[کد ردیابی]],customer[کد],0))</f>
        <v>فرزاد اسماعیل زاده</v>
      </c>
      <c r="H1051">
        <v>-422</v>
      </c>
      <c r="I1051" s="6">
        <f ca="1">-Main[[#This Row],[بدهی تسویه شده (کیلوگرم)]]+Main[[#This Row],[بستانکار (کیلوگرم)]]</f>
        <v>-422</v>
      </c>
      <c r="J1051" s="6">
        <f>IF(Main[[#This Row],[مقدار (کیلوگرم)]]&gt;0,Main[[#This Row],[مقدار (کیلوگرم)]],0)</f>
        <v>0</v>
      </c>
      <c r="K1051" s="6">
        <f>-IF(Main[[#This Row],[مقدار (کیلوگرم)]]&lt;0,Main[[#This Row],[مقدار (کیلوگرم)]],0)</f>
        <v>422</v>
      </c>
      <c r="L10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1" s="7">
        <f>-IF(AND(Main[[#This Row],[مقدار (کیلوگرم)]]&lt;0,Main[[#This Row],[تاريخ میلادی]]&gt;44276),Main[[#This Row],[مقدار (کیلوگرم)]],0)</f>
        <v>422</v>
      </c>
      <c r="N1051" s="6">
        <f ca="1">Main[[#This Row],[بدهکار (کیلوگرم)]]-Main[[#This Row],[بدهی تسویه نشده (کیلوگرم)]]</f>
        <v>422</v>
      </c>
      <c r="O1051" s="6">
        <f ca="1">Main[[#This Row],[تفکیک]]</f>
        <v>0</v>
      </c>
      <c r="P1051" s="6">
        <f ca="1">IF(Main[[#This Row],[تاخیر از سررسید]]&gt;0,Main[[#This Row],[بدهی تسویه نشده (کیلوگرم)]],0)</f>
        <v>0</v>
      </c>
      <c r="Q1051" s="6">
        <f ca="1">IF(Main[[#This Row],[بدهی تسویه نشده (کیلوگرم)]]&gt;0,'گزارش فردی'!$B$7-Main[[#This Row],[تاريخ میلادی]],0)</f>
        <v>0</v>
      </c>
      <c r="R1051" s="6">
        <f ca="1">IF(Main[[#This Row],[بدهی تسویه نشده (کیلوگرم)]]&gt;0,'گزارش فردی'!$B$7-Main[[#This Row],[تاريخ میلادی]]-'گزارش فردی'!$B$8,0)</f>
        <v>0</v>
      </c>
      <c r="S1051" s="6">
        <f ca="1">Main[[#This Row],[روز از ارسال سفارش]]*Main[[#This Row],[بدهی تسویه نشده (کیلوگرم)]]</f>
        <v>0</v>
      </c>
      <c r="T1051" s="6">
        <f ca="1">Main[[#This Row],[بدهی سررسید شده (کیلوگرم)]]*Main[[#This Row],[روز از ارسال سفارش]]</f>
        <v>0</v>
      </c>
      <c r="U1051" s="6">
        <f>-SUBTOTAL(9,INDEX(Main[مقدار (کیلوگرم)],1):Main[[#This Row],[مقدار (کیلوگرم)]])</f>
        <v>18186</v>
      </c>
      <c r="V105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1" s="6">
        <f>Main[[#This Row],[تعداد کل روزهای بدهکار (روز)]]*Main[[#This Row],[مانده در خط کل (کیلوگرم)]]</f>
        <v>36372</v>
      </c>
      <c r="X1051" s="6">
        <f ca="1">-SUBTOTAL(9,INDEX(Main[مقدار تسویه شده (کیلوگرم)],1):Main[[#This Row],[مقدار تسویه شده (کیلوگرم)]])</f>
        <v>18186</v>
      </c>
      <c r="Y1051" s="6">
        <f ca="1">IF(Main[[#This Row],[مانده در خط تسویه شده (کیلوگرم)]]&lt;&gt;0,Main[[#This Row],[تعداد کل روزهای بدهکار (روز)]],0)</f>
        <v>2</v>
      </c>
      <c r="Z1051" s="6">
        <f ca="1">Main[[#This Row],[تعداد روزهای بدهکار تسویه شده (روز)]]*Main[[#This Row],[مانده در خط تسویه شده (کیلوگرم)]]</f>
        <v>36372</v>
      </c>
      <c r="AA1051" s="6">
        <f ca="1">SUBTOTAL(9,INDEX(Main[بدهی تسویه نشده (کیلوگرم)],1):Main[[#This Row],[بدهی تسویه نشده (کیلوگرم)]])</f>
        <v>0</v>
      </c>
      <c r="AB1051" s="6">
        <f ca="1">IF(Main[[#This Row],[مانده در خط تسویه نشده (کیلوگرم)]]&lt;&gt;0,Main[[#This Row],[تعداد کل روزهای بدهکار (روز)]],0)</f>
        <v>0</v>
      </c>
      <c r="AC1051" s="6">
        <f ca="1">Main[[#This Row],[تعداد روزهای بدهکار  تسویه نشده (روز)]]*Main[[#This Row],[مانده در خط تسویه نشده (کیلوگرم)]]</f>
        <v>0</v>
      </c>
      <c r="AD1051" s="6">
        <f ca="1">SUBTOTAL(9,INDEX(Main[بدهی سررسید شده (کیلوگرم)],1):Main[[#This Row],[بدهی سررسید شده (کیلوگرم)]])</f>
        <v>0</v>
      </c>
      <c r="AE1051" s="6">
        <f ca="1">IF(Main[[#This Row],[مانده در خط سررسید شده (کیلوگرم)]]&lt;&gt;0,Main[[#This Row],[تعداد کل روزهای بدهکار (روز)]],0)</f>
        <v>0</v>
      </c>
      <c r="AF1051" s="6">
        <f ca="1">Main[[#This Row],[تعداد روزهای بدهکار سررسید شده (روز)]]*Main[[#This Row],[مانده در خط سررسید شده (کیلوگرم)]]</f>
        <v>0</v>
      </c>
    </row>
    <row r="1052" spans="1:32" hidden="1" x14ac:dyDescent="0.35">
      <c r="A1052" s="5">
        <f>ROW()-ROW(INDEX(Main[ردیف],1))+1</f>
        <v>1050</v>
      </c>
      <c r="B1052" s="31">
        <f>SUBTOTAL(2,INDEX(Main[ردیف],1):Main[[#This Row],[ردیف]])</f>
        <v>99</v>
      </c>
      <c r="C1052" s="32" t="s">
        <v>615</v>
      </c>
      <c r="D1052" s="32" t="str">
        <f>_xlfn.CONCAT("14",Main[[#This Row],[تاريخ]])</f>
        <v>1400/04/20</v>
      </c>
      <c r="E1052" s="33">
        <v>44388</v>
      </c>
      <c r="F1052" s="32">
        <v>10055</v>
      </c>
      <c r="G1052" s="5" t="str">
        <f>INDEX(customer[عنوان],MATCH(Main[[#This Row],[کد ردیابی]],customer[کد],0))</f>
        <v xml:space="preserve">مریم فیض آبادی  </v>
      </c>
      <c r="H1052">
        <v>4301</v>
      </c>
      <c r="I1052" s="6">
        <f ca="1">-Main[[#This Row],[بدهی تسویه شده (کیلوگرم)]]+Main[[#This Row],[بستانکار (کیلوگرم)]]</f>
        <v>4301</v>
      </c>
      <c r="J1052" s="6">
        <f>IF(Main[[#This Row],[مقدار (کیلوگرم)]]&gt;0,Main[[#This Row],[مقدار (کیلوگرم)]],0)</f>
        <v>4301</v>
      </c>
      <c r="K1052" s="6">
        <f>-IF(Main[[#This Row],[مقدار (کیلوگرم)]]&lt;0,Main[[#This Row],[مقدار (کیلوگرم)]],0)</f>
        <v>0</v>
      </c>
      <c r="L10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2" s="7">
        <f>-IF(AND(Main[[#This Row],[مقدار (کیلوگرم)]]&lt;0,Main[[#This Row],[تاريخ میلادی]]&gt;44276),Main[[#This Row],[مقدار (کیلوگرم)]],0)</f>
        <v>0</v>
      </c>
      <c r="N1052" s="6">
        <f ca="1">Main[[#This Row],[بدهکار (کیلوگرم)]]-Main[[#This Row],[بدهی تسویه نشده (کیلوگرم)]]</f>
        <v>0</v>
      </c>
      <c r="O1052" s="6">
        <f ca="1">Main[[#This Row],[تفکیک]]</f>
        <v>0</v>
      </c>
      <c r="P1052" s="6">
        <f ca="1">IF(Main[[#This Row],[تاخیر از سررسید]]&gt;0,Main[[#This Row],[بدهی تسویه نشده (کیلوگرم)]],0)</f>
        <v>0</v>
      </c>
      <c r="Q1052" s="6">
        <f ca="1">IF(Main[[#This Row],[بدهی تسویه نشده (کیلوگرم)]]&gt;0,'گزارش فردی'!$B$7-Main[[#This Row],[تاريخ میلادی]],0)</f>
        <v>0</v>
      </c>
      <c r="R1052" s="6">
        <f ca="1">IF(Main[[#This Row],[بدهی تسویه نشده (کیلوگرم)]]&gt;0,'گزارش فردی'!$B$7-Main[[#This Row],[تاريخ میلادی]]-'گزارش فردی'!$B$8,0)</f>
        <v>0</v>
      </c>
      <c r="S1052" s="6">
        <f ca="1">Main[[#This Row],[روز از ارسال سفارش]]*Main[[#This Row],[بدهی تسویه نشده (کیلوگرم)]]</f>
        <v>0</v>
      </c>
      <c r="T1052" s="6">
        <f ca="1">Main[[#This Row],[بدهی سررسید شده (کیلوگرم)]]*Main[[#This Row],[روز از ارسال سفارش]]</f>
        <v>0</v>
      </c>
      <c r="U1052" s="6">
        <f>-SUBTOTAL(9,INDEX(Main[مقدار (کیلوگرم)],1):Main[[#This Row],[مقدار (کیلوگرم)]])</f>
        <v>18186</v>
      </c>
      <c r="V10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2" s="6">
        <f>Main[[#This Row],[تعداد کل روزهای بدهکار (روز)]]*Main[[#This Row],[مانده در خط کل (کیلوگرم)]]</f>
        <v>36372</v>
      </c>
      <c r="X1052" s="6">
        <f ca="1">-SUBTOTAL(9,INDEX(Main[مقدار تسویه شده (کیلوگرم)],1):Main[[#This Row],[مقدار تسویه شده (کیلوگرم)]])</f>
        <v>18186</v>
      </c>
      <c r="Y1052" s="6">
        <f ca="1">IF(Main[[#This Row],[مانده در خط تسویه شده (کیلوگرم)]]&lt;&gt;0,Main[[#This Row],[تعداد کل روزهای بدهکار (روز)]],0)</f>
        <v>2</v>
      </c>
      <c r="Z1052" s="6">
        <f ca="1">Main[[#This Row],[تعداد روزهای بدهکار تسویه شده (روز)]]*Main[[#This Row],[مانده در خط تسویه شده (کیلوگرم)]]</f>
        <v>36372</v>
      </c>
      <c r="AA1052" s="6">
        <f ca="1">SUBTOTAL(9,INDEX(Main[بدهی تسویه نشده (کیلوگرم)],1):Main[[#This Row],[بدهی تسویه نشده (کیلوگرم)]])</f>
        <v>0</v>
      </c>
      <c r="AB1052" s="6">
        <f ca="1">IF(Main[[#This Row],[مانده در خط تسویه نشده (کیلوگرم)]]&lt;&gt;0,Main[[#This Row],[تعداد کل روزهای بدهکار (روز)]],0)</f>
        <v>0</v>
      </c>
      <c r="AC1052" s="6">
        <f ca="1">Main[[#This Row],[تعداد روزهای بدهکار  تسویه نشده (روز)]]*Main[[#This Row],[مانده در خط تسویه نشده (کیلوگرم)]]</f>
        <v>0</v>
      </c>
      <c r="AD1052" s="6">
        <f ca="1">SUBTOTAL(9,INDEX(Main[بدهی سررسید شده (کیلوگرم)],1):Main[[#This Row],[بدهی سررسید شده (کیلوگرم)]])</f>
        <v>0</v>
      </c>
      <c r="AE1052" s="6">
        <f ca="1">IF(Main[[#This Row],[مانده در خط سررسید شده (کیلوگرم)]]&lt;&gt;0,Main[[#This Row],[تعداد کل روزهای بدهکار (روز)]],0)</f>
        <v>0</v>
      </c>
      <c r="AF1052" s="6">
        <f ca="1">Main[[#This Row],[تعداد روزهای بدهکار سررسید شده (روز)]]*Main[[#This Row],[مانده در خط سررسید شده (کیلوگرم)]]</f>
        <v>0</v>
      </c>
    </row>
    <row r="1053" spans="1:32" hidden="1" x14ac:dyDescent="0.35">
      <c r="A1053" s="5">
        <f>ROW()-ROW(INDEX(Main[ردیف],1))+1</f>
        <v>1051</v>
      </c>
      <c r="B1053" s="31">
        <f>SUBTOTAL(2,INDEX(Main[ردیف],1):Main[[#This Row],[ردیف]])</f>
        <v>99</v>
      </c>
      <c r="C1053" s="32" t="s">
        <v>615</v>
      </c>
      <c r="D1053" s="32" t="str">
        <f>_xlfn.CONCAT("14",Main[[#This Row],[تاريخ]])</f>
        <v>1400/04/20</v>
      </c>
      <c r="E1053" s="33">
        <v>44388</v>
      </c>
      <c r="F1053" s="32">
        <v>10131</v>
      </c>
      <c r="G1053" s="5" t="str">
        <f>INDEX(customer[عنوان],MATCH(Main[[#This Row],[کد ردیابی]],customer[کد],0))</f>
        <v>بهرام چرخیان</v>
      </c>
      <c r="H1053">
        <v>-196</v>
      </c>
      <c r="I1053" s="6">
        <f ca="1">-Main[[#This Row],[بدهی تسویه شده (کیلوگرم)]]+Main[[#This Row],[بستانکار (کیلوگرم)]]</f>
        <v>-196</v>
      </c>
      <c r="J1053" s="6">
        <f>IF(Main[[#This Row],[مقدار (کیلوگرم)]]&gt;0,Main[[#This Row],[مقدار (کیلوگرم)]],0)</f>
        <v>0</v>
      </c>
      <c r="K1053" s="6">
        <f>-IF(Main[[#This Row],[مقدار (کیلوگرم)]]&lt;0,Main[[#This Row],[مقدار (کیلوگرم)]],0)</f>
        <v>196</v>
      </c>
      <c r="L10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3" s="7">
        <f>-IF(AND(Main[[#This Row],[مقدار (کیلوگرم)]]&lt;0,Main[[#This Row],[تاريخ میلادی]]&gt;44276),Main[[#This Row],[مقدار (کیلوگرم)]],0)</f>
        <v>196</v>
      </c>
      <c r="N1053" s="6">
        <f ca="1">Main[[#This Row],[بدهکار (کیلوگرم)]]-Main[[#This Row],[بدهی تسویه نشده (کیلوگرم)]]</f>
        <v>196</v>
      </c>
      <c r="O1053" s="6">
        <f ca="1">Main[[#This Row],[تفکیک]]</f>
        <v>0</v>
      </c>
      <c r="P1053" s="6">
        <f ca="1">IF(Main[[#This Row],[تاخیر از سررسید]]&gt;0,Main[[#This Row],[بدهی تسویه نشده (کیلوگرم)]],0)</f>
        <v>0</v>
      </c>
      <c r="Q1053" s="6">
        <f ca="1">IF(Main[[#This Row],[بدهی تسویه نشده (کیلوگرم)]]&gt;0,'گزارش فردی'!$B$7-Main[[#This Row],[تاريخ میلادی]],0)</f>
        <v>0</v>
      </c>
      <c r="R1053" s="6">
        <f ca="1">IF(Main[[#This Row],[بدهی تسویه نشده (کیلوگرم)]]&gt;0,'گزارش فردی'!$B$7-Main[[#This Row],[تاريخ میلادی]]-'گزارش فردی'!$B$8,0)</f>
        <v>0</v>
      </c>
      <c r="S1053" s="6">
        <f ca="1">Main[[#This Row],[روز از ارسال سفارش]]*Main[[#This Row],[بدهی تسویه نشده (کیلوگرم)]]</f>
        <v>0</v>
      </c>
      <c r="T1053" s="6">
        <f ca="1">Main[[#This Row],[بدهی سررسید شده (کیلوگرم)]]*Main[[#This Row],[روز از ارسال سفارش]]</f>
        <v>0</v>
      </c>
      <c r="U1053" s="6">
        <f>-SUBTOTAL(9,INDEX(Main[مقدار (کیلوگرم)],1):Main[[#This Row],[مقدار (کیلوگرم)]])</f>
        <v>18186</v>
      </c>
      <c r="V10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3" s="6">
        <f>Main[[#This Row],[تعداد کل روزهای بدهکار (روز)]]*Main[[#This Row],[مانده در خط کل (کیلوگرم)]]</f>
        <v>36372</v>
      </c>
      <c r="X1053" s="6">
        <f ca="1">-SUBTOTAL(9,INDEX(Main[مقدار تسویه شده (کیلوگرم)],1):Main[[#This Row],[مقدار تسویه شده (کیلوگرم)]])</f>
        <v>18186</v>
      </c>
      <c r="Y1053" s="6">
        <f ca="1">IF(Main[[#This Row],[مانده در خط تسویه شده (کیلوگرم)]]&lt;&gt;0,Main[[#This Row],[تعداد کل روزهای بدهکار (روز)]],0)</f>
        <v>2</v>
      </c>
      <c r="Z1053" s="6">
        <f ca="1">Main[[#This Row],[تعداد روزهای بدهکار تسویه شده (روز)]]*Main[[#This Row],[مانده در خط تسویه شده (کیلوگرم)]]</f>
        <v>36372</v>
      </c>
      <c r="AA1053" s="6">
        <f ca="1">SUBTOTAL(9,INDEX(Main[بدهی تسویه نشده (کیلوگرم)],1):Main[[#This Row],[بدهی تسویه نشده (کیلوگرم)]])</f>
        <v>0</v>
      </c>
      <c r="AB1053" s="6">
        <f ca="1">IF(Main[[#This Row],[مانده در خط تسویه نشده (کیلوگرم)]]&lt;&gt;0,Main[[#This Row],[تعداد کل روزهای بدهکار (روز)]],0)</f>
        <v>0</v>
      </c>
      <c r="AC1053" s="6">
        <f ca="1">Main[[#This Row],[تعداد روزهای بدهکار  تسویه نشده (روز)]]*Main[[#This Row],[مانده در خط تسویه نشده (کیلوگرم)]]</f>
        <v>0</v>
      </c>
      <c r="AD1053" s="6">
        <f ca="1">SUBTOTAL(9,INDEX(Main[بدهی سررسید شده (کیلوگرم)],1):Main[[#This Row],[بدهی سررسید شده (کیلوگرم)]])</f>
        <v>0</v>
      </c>
      <c r="AE1053" s="6">
        <f ca="1">IF(Main[[#This Row],[مانده در خط سررسید شده (کیلوگرم)]]&lt;&gt;0,Main[[#This Row],[تعداد کل روزهای بدهکار (روز)]],0)</f>
        <v>0</v>
      </c>
      <c r="AF1053" s="6">
        <f ca="1">Main[[#This Row],[تعداد روزهای بدهکار سررسید شده (روز)]]*Main[[#This Row],[مانده در خط سررسید شده (کیلوگرم)]]</f>
        <v>0</v>
      </c>
    </row>
    <row r="1054" spans="1:32" hidden="1" x14ac:dyDescent="0.35">
      <c r="A1054" s="5">
        <f>ROW()-ROW(INDEX(Main[ردیف],1))+1</f>
        <v>1052</v>
      </c>
      <c r="B1054" s="31">
        <f>SUBTOTAL(2,INDEX(Main[ردیف],1):Main[[#This Row],[ردیف]])</f>
        <v>99</v>
      </c>
      <c r="C1054" s="32" t="s">
        <v>615</v>
      </c>
      <c r="D1054" s="32" t="str">
        <f>_xlfn.CONCAT("14",Main[[#This Row],[تاريخ]])</f>
        <v>1400/04/20</v>
      </c>
      <c r="E1054" s="33">
        <v>44388</v>
      </c>
      <c r="F1054" s="32">
        <v>30191</v>
      </c>
      <c r="G1054" s="5" t="str">
        <f>INDEX(customer[عنوان],MATCH(Main[[#This Row],[کد ردیابی]],customer[کد],0))</f>
        <v>ایران گرما</v>
      </c>
      <c r="H1054">
        <v>139</v>
      </c>
      <c r="I1054" s="6">
        <f ca="1">-Main[[#This Row],[بدهی تسویه شده (کیلوگرم)]]+Main[[#This Row],[بستانکار (کیلوگرم)]]</f>
        <v>139</v>
      </c>
      <c r="J1054" s="6">
        <f>IF(Main[[#This Row],[مقدار (کیلوگرم)]]&gt;0,Main[[#This Row],[مقدار (کیلوگرم)]],0)</f>
        <v>139</v>
      </c>
      <c r="K1054" s="6">
        <f>-IF(Main[[#This Row],[مقدار (کیلوگرم)]]&lt;0,Main[[#This Row],[مقدار (کیلوگرم)]],0)</f>
        <v>0</v>
      </c>
      <c r="L10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4" s="7">
        <f>-IF(AND(Main[[#This Row],[مقدار (کیلوگرم)]]&lt;0,Main[[#This Row],[تاريخ میلادی]]&gt;44276),Main[[#This Row],[مقدار (کیلوگرم)]],0)</f>
        <v>0</v>
      </c>
      <c r="N1054" s="6">
        <f ca="1">Main[[#This Row],[بدهکار (کیلوگرم)]]-Main[[#This Row],[بدهی تسویه نشده (کیلوگرم)]]</f>
        <v>0</v>
      </c>
      <c r="O1054" s="6">
        <f ca="1">Main[[#This Row],[تفکیک]]</f>
        <v>0</v>
      </c>
      <c r="P1054" s="6">
        <f ca="1">IF(Main[[#This Row],[تاخیر از سررسید]]&gt;0,Main[[#This Row],[بدهی تسویه نشده (کیلوگرم)]],0)</f>
        <v>0</v>
      </c>
      <c r="Q1054" s="6">
        <f ca="1">IF(Main[[#This Row],[بدهی تسویه نشده (کیلوگرم)]]&gt;0,'گزارش فردی'!$B$7-Main[[#This Row],[تاريخ میلادی]],0)</f>
        <v>0</v>
      </c>
      <c r="R1054" s="6">
        <f ca="1">IF(Main[[#This Row],[بدهی تسویه نشده (کیلوگرم)]]&gt;0,'گزارش فردی'!$B$7-Main[[#This Row],[تاريخ میلادی]]-'گزارش فردی'!$B$8,0)</f>
        <v>0</v>
      </c>
      <c r="S1054" s="6">
        <f ca="1">Main[[#This Row],[روز از ارسال سفارش]]*Main[[#This Row],[بدهی تسویه نشده (کیلوگرم)]]</f>
        <v>0</v>
      </c>
      <c r="T1054" s="6">
        <f ca="1">Main[[#This Row],[بدهی سررسید شده (کیلوگرم)]]*Main[[#This Row],[روز از ارسال سفارش]]</f>
        <v>0</v>
      </c>
      <c r="U1054" s="6">
        <f>-SUBTOTAL(9,INDEX(Main[مقدار (کیلوگرم)],1):Main[[#This Row],[مقدار (کیلوگرم)]])</f>
        <v>18186</v>
      </c>
      <c r="V105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4" s="6">
        <f>Main[[#This Row],[تعداد کل روزهای بدهکار (روز)]]*Main[[#This Row],[مانده در خط کل (کیلوگرم)]]</f>
        <v>36372</v>
      </c>
      <c r="X1054" s="6">
        <f ca="1">-SUBTOTAL(9,INDEX(Main[مقدار تسویه شده (کیلوگرم)],1):Main[[#This Row],[مقدار تسویه شده (کیلوگرم)]])</f>
        <v>18186</v>
      </c>
      <c r="Y1054" s="6">
        <f ca="1">IF(Main[[#This Row],[مانده در خط تسویه شده (کیلوگرم)]]&lt;&gt;0,Main[[#This Row],[تعداد کل روزهای بدهکار (روز)]],0)</f>
        <v>2</v>
      </c>
      <c r="Z1054" s="6">
        <f ca="1">Main[[#This Row],[تعداد روزهای بدهکار تسویه شده (روز)]]*Main[[#This Row],[مانده در خط تسویه شده (کیلوگرم)]]</f>
        <v>36372</v>
      </c>
      <c r="AA1054" s="6">
        <f ca="1">SUBTOTAL(9,INDEX(Main[بدهی تسویه نشده (کیلوگرم)],1):Main[[#This Row],[بدهی تسویه نشده (کیلوگرم)]])</f>
        <v>0</v>
      </c>
      <c r="AB1054" s="6">
        <f ca="1">IF(Main[[#This Row],[مانده در خط تسویه نشده (کیلوگرم)]]&lt;&gt;0,Main[[#This Row],[تعداد کل روزهای بدهکار (روز)]],0)</f>
        <v>0</v>
      </c>
      <c r="AC1054" s="6">
        <f ca="1">Main[[#This Row],[تعداد روزهای بدهکار  تسویه نشده (روز)]]*Main[[#This Row],[مانده در خط تسویه نشده (کیلوگرم)]]</f>
        <v>0</v>
      </c>
      <c r="AD1054" s="6">
        <f ca="1">SUBTOTAL(9,INDEX(Main[بدهی سررسید شده (کیلوگرم)],1):Main[[#This Row],[بدهی سررسید شده (کیلوگرم)]])</f>
        <v>0</v>
      </c>
      <c r="AE1054" s="6">
        <f ca="1">IF(Main[[#This Row],[مانده در خط سررسید شده (کیلوگرم)]]&lt;&gt;0,Main[[#This Row],[تعداد کل روزهای بدهکار (روز)]],0)</f>
        <v>0</v>
      </c>
      <c r="AF1054" s="6">
        <f ca="1">Main[[#This Row],[تعداد روزهای بدهکار سررسید شده (روز)]]*Main[[#This Row],[مانده در خط سررسید شده (کیلوگرم)]]</f>
        <v>0</v>
      </c>
    </row>
    <row r="1055" spans="1:32" hidden="1" x14ac:dyDescent="0.35">
      <c r="A1055" s="5">
        <f>ROW()-ROW(INDEX(Main[ردیف],1))+1</f>
        <v>1053</v>
      </c>
      <c r="B1055" s="31">
        <f>SUBTOTAL(2,INDEX(Main[ردیف],1):Main[[#This Row],[ردیف]])</f>
        <v>99</v>
      </c>
      <c r="C1055" s="32" t="s">
        <v>615</v>
      </c>
      <c r="D1055" s="32" t="str">
        <f>_xlfn.CONCAT("14",Main[[#This Row],[تاريخ]])</f>
        <v>1400/04/20</v>
      </c>
      <c r="E1055" s="33">
        <v>44388</v>
      </c>
      <c r="F1055" s="32">
        <v>30004</v>
      </c>
      <c r="G1055" s="5" t="str">
        <f>INDEX(customer[عنوان],MATCH(Main[[#This Row],[کد ردیابی]],customer[کد],0))</f>
        <v>تولیدی صنعتی صفاشیر پارس</v>
      </c>
      <c r="H1055">
        <v>-3875</v>
      </c>
      <c r="I1055" s="6">
        <f ca="1">-Main[[#This Row],[بدهی تسویه شده (کیلوگرم)]]+Main[[#This Row],[بستانکار (کیلوگرم)]]</f>
        <v>-3875</v>
      </c>
      <c r="J1055" s="6">
        <f>IF(Main[[#This Row],[مقدار (کیلوگرم)]]&gt;0,Main[[#This Row],[مقدار (کیلوگرم)]],0)</f>
        <v>0</v>
      </c>
      <c r="K1055" s="6">
        <f>-IF(Main[[#This Row],[مقدار (کیلوگرم)]]&lt;0,Main[[#This Row],[مقدار (کیلوگرم)]],0)</f>
        <v>3875</v>
      </c>
      <c r="L10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5" s="7">
        <f>-IF(AND(Main[[#This Row],[مقدار (کیلوگرم)]]&lt;0,Main[[#This Row],[تاريخ میلادی]]&gt;44276),Main[[#This Row],[مقدار (کیلوگرم)]],0)</f>
        <v>3875</v>
      </c>
      <c r="N1055" s="6">
        <f ca="1">Main[[#This Row],[بدهکار (کیلوگرم)]]-Main[[#This Row],[بدهی تسویه نشده (کیلوگرم)]]</f>
        <v>3875</v>
      </c>
      <c r="O1055" s="6">
        <f ca="1">Main[[#This Row],[تفکیک]]</f>
        <v>0</v>
      </c>
      <c r="P1055" s="6">
        <f ca="1">IF(Main[[#This Row],[تاخیر از سررسید]]&gt;0,Main[[#This Row],[بدهی تسویه نشده (کیلوگرم)]],0)</f>
        <v>0</v>
      </c>
      <c r="Q1055" s="6">
        <f ca="1">IF(Main[[#This Row],[بدهی تسویه نشده (کیلوگرم)]]&gt;0,'گزارش فردی'!$B$7-Main[[#This Row],[تاريخ میلادی]],0)</f>
        <v>0</v>
      </c>
      <c r="R1055" s="6">
        <f ca="1">IF(Main[[#This Row],[بدهی تسویه نشده (کیلوگرم)]]&gt;0,'گزارش فردی'!$B$7-Main[[#This Row],[تاريخ میلادی]]-'گزارش فردی'!$B$8,0)</f>
        <v>0</v>
      </c>
      <c r="S1055" s="6">
        <f ca="1">Main[[#This Row],[روز از ارسال سفارش]]*Main[[#This Row],[بدهی تسویه نشده (کیلوگرم)]]</f>
        <v>0</v>
      </c>
      <c r="T1055" s="6">
        <f ca="1">Main[[#This Row],[بدهی سررسید شده (کیلوگرم)]]*Main[[#This Row],[روز از ارسال سفارش]]</f>
        <v>0</v>
      </c>
      <c r="U1055" s="6">
        <f>-SUBTOTAL(9,INDEX(Main[مقدار (کیلوگرم)],1):Main[[#This Row],[مقدار (کیلوگرم)]])</f>
        <v>18186</v>
      </c>
      <c r="V105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5" s="6">
        <f>Main[[#This Row],[تعداد کل روزهای بدهکار (روز)]]*Main[[#This Row],[مانده در خط کل (کیلوگرم)]]</f>
        <v>36372</v>
      </c>
      <c r="X1055" s="6">
        <f ca="1">-SUBTOTAL(9,INDEX(Main[مقدار تسویه شده (کیلوگرم)],1):Main[[#This Row],[مقدار تسویه شده (کیلوگرم)]])</f>
        <v>18186</v>
      </c>
      <c r="Y1055" s="6">
        <f ca="1">IF(Main[[#This Row],[مانده در خط تسویه شده (کیلوگرم)]]&lt;&gt;0,Main[[#This Row],[تعداد کل روزهای بدهکار (روز)]],0)</f>
        <v>2</v>
      </c>
      <c r="Z1055" s="6">
        <f ca="1">Main[[#This Row],[تعداد روزهای بدهکار تسویه شده (روز)]]*Main[[#This Row],[مانده در خط تسویه شده (کیلوگرم)]]</f>
        <v>36372</v>
      </c>
      <c r="AA1055" s="6">
        <f ca="1">SUBTOTAL(9,INDEX(Main[بدهی تسویه نشده (کیلوگرم)],1):Main[[#This Row],[بدهی تسویه نشده (کیلوگرم)]])</f>
        <v>0</v>
      </c>
      <c r="AB1055" s="6">
        <f ca="1">IF(Main[[#This Row],[مانده در خط تسویه نشده (کیلوگرم)]]&lt;&gt;0,Main[[#This Row],[تعداد کل روزهای بدهکار (روز)]],0)</f>
        <v>0</v>
      </c>
      <c r="AC1055" s="6">
        <f ca="1">Main[[#This Row],[تعداد روزهای بدهکار  تسویه نشده (روز)]]*Main[[#This Row],[مانده در خط تسویه نشده (کیلوگرم)]]</f>
        <v>0</v>
      </c>
      <c r="AD1055" s="6">
        <f ca="1">SUBTOTAL(9,INDEX(Main[بدهی سررسید شده (کیلوگرم)],1):Main[[#This Row],[بدهی سررسید شده (کیلوگرم)]])</f>
        <v>0</v>
      </c>
      <c r="AE1055" s="6">
        <f ca="1">IF(Main[[#This Row],[مانده در خط سررسید شده (کیلوگرم)]]&lt;&gt;0,Main[[#This Row],[تعداد کل روزهای بدهکار (روز)]],0)</f>
        <v>0</v>
      </c>
      <c r="AF1055" s="6">
        <f ca="1">Main[[#This Row],[تعداد روزهای بدهکار سررسید شده (روز)]]*Main[[#This Row],[مانده در خط سررسید شده (کیلوگرم)]]</f>
        <v>0</v>
      </c>
    </row>
    <row r="1056" spans="1:32" hidden="1" x14ac:dyDescent="0.35">
      <c r="A1056" s="5">
        <f>ROW()-ROW(INDEX(Main[ردیف],1))+1</f>
        <v>1054</v>
      </c>
      <c r="B1056" s="31">
        <f>SUBTOTAL(2,INDEX(Main[ردیف],1):Main[[#This Row],[ردیف]])</f>
        <v>99</v>
      </c>
      <c r="C1056" s="32" t="s">
        <v>615</v>
      </c>
      <c r="D1056" s="32" t="str">
        <f>_xlfn.CONCAT("14",Main[[#This Row],[تاريخ]])</f>
        <v>1400/04/20</v>
      </c>
      <c r="E1056" s="33">
        <v>44388</v>
      </c>
      <c r="F1056" s="32">
        <v>10088</v>
      </c>
      <c r="G1056" s="5" t="str">
        <f>INDEX(customer[عنوان],MATCH(Main[[#This Row],[کد ردیابی]],customer[کد],0))</f>
        <v xml:space="preserve">رحیم فتوت </v>
      </c>
      <c r="H1056">
        <v>236</v>
      </c>
      <c r="I1056" s="6">
        <f ca="1">-Main[[#This Row],[بدهی تسویه شده (کیلوگرم)]]+Main[[#This Row],[بستانکار (کیلوگرم)]]</f>
        <v>236</v>
      </c>
      <c r="J1056" s="6">
        <f>IF(Main[[#This Row],[مقدار (کیلوگرم)]]&gt;0,Main[[#This Row],[مقدار (کیلوگرم)]],0)</f>
        <v>236</v>
      </c>
      <c r="K1056" s="6">
        <f>-IF(Main[[#This Row],[مقدار (کیلوگرم)]]&lt;0,Main[[#This Row],[مقدار (کیلوگرم)]],0)</f>
        <v>0</v>
      </c>
      <c r="L10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6" s="7">
        <f>-IF(AND(Main[[#This Row],[مقدار (کیلوگرم)]]&lt;0,Main[[#This Row],[تاريخ میلادی]]&gt;44276),Main[[#This Row],[مقدار (کیلوگرم)]],0)</f>
        <v>0</v>
      </c>
      <c r="N1056" s="6">
        <f ca="1">Main[[#This Row],[بدهکار (کیلوگرم)]]-Main[[#This Row],[بدهی تسویه نشده (کیلوگرم)]]</f>
        <v>0</v>
      </c>
      <c r="O1056" s="6">
        <f ca="1">Main[[#This Row],[تفکیک]]</f>
        <v>0</v>
      </c>
      <c r="P1056" s="6">
        <f ca="1">IF(Main[[#This Row],[تاخیر از سررسید]]&gt;0,Main[[#This Row],[بدهی تسویه نشده (کیلوگرم)]],0)</f>
        <v>0</v>
      </c>
      <c r="Q1056" s="6">
        <f ca="1">IF(Main[[#This Row],[بدهی تسویه نشده (کیلوگرم)]]&gt;0,'گزارش فردی'!$B$7-Main[[#This Row],[تاريخ میلادی]],0)</f>
        <v>0</v>
      </c>
      <c r="R1056" s="6">
        <f ca="1">IF(Main[[#This Row],[بدهی تسویه نشده (کیلوگرم)]]&gt;0,'گزارش فردی'!$B$7-Main[[#This Row],[تاريخ میلادی]]-'گزارش فردی'!$B$8,0)</f>
        <v>0</v>
      </c>
      <c r="S1056" s="6">
        <f ca="1">Main[[#This Row],[روز از ارسال سفارش]]*Main[[#This Row],[بدهی تسویه نشده (کیلوگرم)]]</f>
        <v>0</v>
      </c>
      <c r="T1056" s="6">
        <f ca="1">Main[[#This Row],[بدهی سررسید شده (کیلوگرم)]]*Main[[#This Row],[روز از ارسال سفارش]]</f>
        <v>0</v>
      </c>
      <c r="U1056" s="6">
        <f>-SUBTOTAL(9,INDEX(Main[مقدار (کیلوگرم)],1):Main[[#This Row],[مقدار (کیلوگرم)]])</f>
        <v>18186</v>
      </c>
      <c r="V10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6" s="6">
        <f>Main[[#This Row],[تعداد کل روزهای بدهکار (روز)]]*Main[[#This Row],[مانده در خط کل (کیلوگرم)]]</f>
        <v>36372</v>
      </c>
      <c r="X1056" s="6">
        <f ca="1">-SUBTOTAL(9,INDEX(Main[مقدار تسویه شده (کیلوگرم)],1):Main[[#This Row],[مقدار تسویه شده (کیلوگرم)]])</f>
        <v>18186</v>
      </c>
      <c r="Y1056" s="6">
        <f ca="1">IF(Main[[#This Row],[مانده در خط تسویه شده (کیلوگرم)]]&lt;&gt;0,Main[[#This Row],[تعداد کل روزهای بدهکار (روز)]],0)</f>
        <v>2</v>
      </c>
      <c r="Z1056" s="6">
        <f ca="1">Main[[#This Row],[تعداد روزهای بدهکار تسویه شده (روز)]]*Main[[#This Row],[مانده در خط تسویه شده (کیلوگرم)]]</f>
        <v>36372</v>
      </c>
      <c r="AA1056" s="6">
        <f ca="1">SUBTOTAL(9,INDEX(Main[بدهی تسویه نشده (کیلوگرم)],1):Main[[#This Row],[بدهی تسویه نشده (کیلوگرم)]])</f>
        <v>0</v>
      </c>
      <c r="AB1056" s="6">
        <f ca="1">IF(Main[[#This Row],[مانده در خط تسویه نشده (کیلوگرم)]]&lt;&gt;0,Main[[#This Row],[تعداد کل روزهای بدهکار (روز)]],0)</f>
        <v>0</v>
      </c>
      <c r="AC1056" s="6">
        <f ca="1">Main[[#This Row],[تعداد روزهای بدهکار  تسویه نشده (روز)]]*Main[[#This Row],[مانده در خط تسویه نشده (کیلوگرم)]]</f>
        <v>0</v>
      </c>
      <c r="AD1056" s="6">
        <f ca="1">SUBTOTAL(9,INDEX(Main[بدهی سررسید شده (کیلوگرم)],1):Main[[#This Row],[بدهی سررسید شده (کیلوگرم)]])</f>
        <v>0</v>
      </c>
      <c r="AE1056" s="6">
        <f ca="1">IF(Main[[#This Row],[مانده در خط سررسید شده (کیلوگرم)]]&lt;&gt;0,Main[[#This Row],[تعداد کل روزهای بدهکار (روز)]],0)</f>
        <v>0</v>
      </c>
      <c r="AF1056" s="6">
        <f ca="1">Main[[#This Row],[تعداد روزهای بدهکار سررسید شده (روز)]]*Main[[#This Row],[مانده در خط سررسید شده (کیلوگرم)]]</f>
        <v>0</v>
      </c>
    </row>
    <row r="1057" spans="1:32" hidden="1" x14ac:dyDescent="0.35">
      <c r="A1057" s="5">
        <f>ROW()-ROW(INDEX(Main[ردیف],1))+1</f>
        <v>1055</v>
      </c>
      <c r="B1057" s="31">
        <f>SUBTOTAL(2,INDEX(Main[ردیف],1):Main[[#This Row],[ردیف]])</f>
        <v>99</v>
      </c>
      <c r="C1057" s="32" t="s">
        <v>615</v>
      </c>
      <c r="D1057" s="32" t="str">
        <f>_xlfn.CONCAT("14",Main[[#This Row],[تاريخ]])</f>
        <v>1400/04/20</v>
      </c>
      <c r="E1057" s="33">
        <v>44388</v>
      </c>
      <c r="F1057" s="32">
        <v>10131</v>
      </c>
      <c r="G1057" s="5" t="str">
        <f>INDEX(customer[عنوان],MATCH(Main[[#This Row],[کد ردیابی]],customer[کد],0))</f>
        <v>بهرام چرخیان</v>
      </c>
      <c r="H1057">
        <v>1036</v>
      </c>
      <c r="I1057" s="6">
        <f ca="1">-Main[[#This Row],[بدهی تسویه شده (کیلوگرم)]]+Main[[#This Row],[بستانکار (کیلوگرم)]]</f>
        <v>1036</v>
      </c>
      <c r="J1057" s="6">
        <f>IF(Main[[#This Row],[مقدار (کیلوگرم)]]&gt;0,Main[[#This Row],[مقدار (کیلوگرم)]],0)</f>
        <v>1036</v>
      </c>
      <c r="K1057" s="6">
        <f>-IF(Main[[#This Row],[مقدار (کیلوگرم)]]&lt;0,Main[[#This Row],[مقدار (کیلوگرم)]],0)</f>
        <v>0</v>
      </c>
      <c r="L10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7" s="7">
        <f>-IF(AND(Main[[#This Row],[مقدار (کیلوگرم)]]&lt;0,Main[[#This Row],[تاريخ میلادی]]&gt;44276),Main[[#This Row],[مقدار (کیلوگرم)]],0)</f>
        <v>0</v>
      </c>
      <c r="N1057" s="6">
        <f ca="1">Main[[#This Row],[بدهکار (کیلوگرم)]]-Main[[#This Row],[بدهی تسویه نشده (کیلوگرم)]]</f>
        <v>0</v>
      </c>
      <c r="O1057" s="6">
        <f ca="1">Main[[#This Row],[تفکیک]]</f>
        <v>0</v>
      </c>
      <c r="P1057" s="6">
        <f ca="1">IF(Main[[#This Row],[تاخیر از سررسید]]&gt;0,Main[[#This Row],[بدهی تسویه نشده (کیلوگرم)]],0)</f>
        <v>0</v>
      </c>
      <c r="Q1057" s="6">
        <f ca="1">IF(Main[[#This Row],[بدهی تسویه نشده (کیلوگرم)]]&gt;0,'گزارش فردی'!$B$7-Main[[#This Row],[تاريخ میلادی]],0)</f>
        <v>0</v>
      </c>
      <c r="R1057" s="6">
        <f ca="1">IF(Main[[#This Row],[بدهی تسویه نشده (کیلوگرم)]]&gt;0,'گزارش فردی'!$B$7-Main[[#This Row],[تاريخ میلادی]]-'گزارش فردی'!$B$8,0)</f>
        <v>0</v>
      </c>
      <c r="S1057" s="6">
        <f ca="1">Main[[#This Row],[روز از ارسال سفارش]]*Main[[#This Row],[بدهی تسویه نشده (کیلوگرم)]]</f>
        <v>0</v>
      </c>
      <c r="T1057" s="6">
        <f ca="1">Main[[#This Row],[بدهی سررسید شده (کیلوگرم)]]*Main[[#This Row],[روز از ارسال سفارش]]</f>
        <v>0</v>
      </c>
      <c r="U1057" s="6">
        <f>-SUBTOTAL(9,INDEX(Main[مقدار (کیلوگرم)],1):Main[[#This Row],[مقدار (کیلوگرم)]])</f>
        <v>18186</v>
      </c>
      <c r="V10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7" s="6">
        <f>Main[[#This Row],[تعداد کل روزهای بدهکار (روز)]]*Main[[#This Row],[مانده در خط کل (کیلوگرم)]]</f>
        <v>36372</v>
      </c>
      <c r="X1057" s="6">
        <f ca="1">-SUBTOTAL(9,INDEX(Main[مقدار تسویه شده (کیلوگرم)],1):Main[[#This Row],[مقدار تسویه شده (کیلوگرم)]])</f>
        <v>18186</v>
      </c>
      <c r="Y1057" s="6">
        <f ca="1">IF(Main[[#This Row],[مانده در خط تسویه شده (کیلوگرم)]]&lt;&gt;0,Main[[#This Row],[تعداد کل روزهای بدهکار (روز)]],0)</f>
        <v>2</v>
      </c>
      <c r="Z1057" s="6">
        <f ca="1">Main[[#This Row],[تعداد روزهای بدهکار تسویه شده (روز)]]*Main[[#This Row],[مانده در خط تسویه شده (کیلوگرم)]]</f>
        <v>36372</v>
      </c>
      <c r="AA1057" s="6">
        <f ca="1">SUBTOTAL(9,INDEX(Main[بدهی تسویه نشده (کیلوگرم)],1):Main[[#This Row],[بدهی تسویه نشده (کیلوگرم)]])</f>
        <v>0</v>
      </c>
      <c r="AB1057" s="6">
        <f ca="1">IF(Main[[#This Row],[مانده در خط تسویه نشده (کیلوگرم)]]&lt;&gt;0,Main[[#This Row],[تعداد کل روزهای بدهکار (روز)]],0)</f>
        <v>0</v>
      </c>
      <c r="AC1057" s="6">
        <f ca="1">Main[[#This Row],[تعداد روزهای بدهکار  تسویه نشده (روز)]]*Main[[#This Row],[مانده در خط تسویه نشده (کیلوگرم)]]</f>
        <v>0</v>
      </c>
      <c r="AD1057" s="6">
        <f ca="1">SUBTOTAL(9,INDEX(Main[بدهی سررسید شده (کیلوگرم)],1):Main[[#This Row],[بدهی سررسید شده (کیلوگرم)]])</f>
        <v>0</v>
      </c>
      <c r="AE1057" s="6">
        <f ca="1">IF(Main[[#This Row],[مانده در خط سررسید شده (کیلوگرم)]]&lt;&gt;0,Main[[#This Row],[تعداد کل روزهای بدهکار (روز)]],0)</f>
        <v>0</v>
      </c>
      <c r="AF1057" s="6">
        <f ca="1">Main[[#This Row],[تعداد روزهای بدهکار سررسید شده (روز)]]*Main[[#This Row],[مانده در خط سررسید شده (کیلوگرم)]]</f>
        <v>0</v>
      </c>
    </row>
    <row r="1058" spans="1:32" hidden="1" x14ac:dyDescent="0.35">
      <c r="A1058" s="5">
        <f>ROW()-ROW(INDEX(Main[ردیف],1))+1</f>
        <v>1056</v>
      </c>
      <c r="B1058" s="31">
        <f>SUBTOTAL(2,INDEX(Main[ردیف],1):Main[[#This Row],[ردیف]])</f>
        <v>99</v>
      </c>
      <c r="C1058" s="32" t="s">
        <v>615</v>
      </c>
      <c r="D1058" s="32" t="str">
        <f>_xlfn.CONCAT("14",Main[[#This Row],[تاريخ]])</f>
        <v>1400/04/20</v>
      </c>
      <c r="E1058" s="33">
        <v>44388</v>
      </c>
      <c r="F1058" s="32">
        <v>30009</v>
      </c>
      <c r="G1058" s="5" t="str">
        <f>INDEX(customer[عنوان],MATCH(Main[[#This Row],[کد ردیابی]],customer[کد],0))</f>
        <v>شرکت ایمن تک پیشرو</v>
      </c>
      <c r="H1058">
        <v>2221</v>
      </c>
      <c r="I1058" s="6">
        <f ca="1">-Main[[#This Row],[بدهی تسویه شده (کیلوگرم)]]+Main[[#This Row],[بستانکار (کیلوگرم)]]</f>
        <v>2221</v>
      </c>
      <c r="J1058" s="6">
        <f>IF(Main[[#This Row],[مقدار (کیلوگرم)]]&gt;0,Main[[#This Row],[مقدار (کیلوگرم)]],0)</f>
        <v>2221</v>
      </c>
      <c r="K1058" s="6">
        <f>-IF(Main[[#This Row],[مقدار (کیلوگرم)]]&lt;0,Main[[#This Row],[مقدار (کیلوگرم)]],0)</f>
        <v>0</v>
      </c>
      <c r="L10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8" s="7">
        <f>-IF(AND(Main[[#This Row],[مقدار (کیلوگرم)]]&lt;0,Main[[#This Row],[تاريخ میلادی]]&gt;44276),Main[[#This Row],[مقدار (کیلوگرم)]],0)</f>
        <v>0</v>
      </c>
      <c r="N1058" s="6">
        <f ca="1">Main[[#This Row],[بدهکار (کیلوگرم)]]-Main[[#This Row],[بدهی تسویه نشده (کیلوگرم)]]</f>
        <v>0</v>
      </c>
      <c r="O1058" s="6">
        <f ca="1">Main[[#This Row],[تفکیک]]</f>
        <v>0</v>
      </c>
      <c r="P1058" s="6">
        <f ca="1">IF(Main[[#This Row],[تاخیر از سررسید]]&gt;0,Main[[#This Row],[بدهی تسویه نشده (کیلوگرم)]],0)</f>
        <v>0</v>
      </c>
      <c r="Q1058" s="6">
        <f ca="1">IF(Main[[#This Row],[بدهی تسویه نشده (کیلوگرم)]]&gt;0,'گزارش فردی'!$B$7-Main[[#This Row],[تاريخ میلادی]],0)</f>
        <v>0</v>
      </c>
      <c r="R1058" s="6">
        <f ca="1">IF(Main[[#This Row],[بدهی تسویه نشده (کیلوگرم)]]&gt;0,'گزارش فردی'!$B$7-Main[[#This Row],[تاريخ میلادی]]-'گزارش فردی'!$B$8,0)</f>
        <v>0</v>
      </c>
      <c r="S1058" s="6">
        <f ca="1">Main[[#This Row],[روز از ارسال سفارش]]*Main[[#This Row],[بدهی تسویه نشده (کیلوگرم)]]</f>
        <v>0</v>
      </c>
      <c r="T1058" s="6">
        <f ca="1">Main[[#This Row],[بدهی سررسید شده (کیلوگرم)]]*Main[[#This Row],[روز از ارسال سفارش]]</f>
        <v>0</v>
      </c>
      <c r="U1058" s="6">
        <f>-SUBTOTAL(9,INDEX(Main[مقدار (کیلوگرم)],1):Main[[#This Row],[مقدار (کیلوگرم)]])</f>
        <v>18186</v>
      </c>
      <c r="V10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8" s="6">
        <f>Main[[#This Row],[تعداد کل روزهای بدهکار (روز)]]*Main[[#This Row],[مانده در خط کل (کیلوگرم)]]</f>
        <v>36372</v>
      </c>
      <c r="X1058" s="6">
        <f ca="1">-SUBTOTAL(9,INDEX(Main[مقدار تسویه شده (کیلوگرم)],1):Main[[#This Row],[مقدار تسویه شده (کیلوگرم)]])</f>
        <v>18186</v>
      </c>
      <c r="Y1058" s="6">
        <f ca="1">IF(Main[[#This Row],[مانده در خط تسویه شده (کیلوگرم)]]&lt;&gt;0,Main[[#This Row],[تعداد کل روزهای بدهکار (روز)]],0)</f>
        <v>2</v>
      </c>
      <c r="Z1058" s="6">
        <f ca="1">Main[[#This Row],[تعداد روزهای بدهکار تسویه شده (روز)]]*Main[[#This Row],[مانده در خط تسویه شده (کیلوگرم)]]</f>
        <v>36372</v>
      </c>
      <c r="AA1058" s="6">
        <f ca="1">SUBTOTAL(9,INDEX(Main[بدهی تسویه نشده (کیلوگرم)],1):Main[[#This Row],[بدهی تسویه نشده (کیلوگرم)]])</f>
        <v>0</v>
      </c>
      <c r="AB1058" s="6">
        <f ca="1">IF(Main[[#This Row],[مانده در خط تسویه نشده (کیلوگرم)]]&lt;&gt;0,Main[[#This Row],[تعداد کل روزهای بدهکار (روز)]],0)</f>
        <v>0</v>
      </c>
      <c r="AC1058" s="6">
        <f ca="1">Main[[#This Row],[تعداد روزهای بدهکار  تسویه نشده (روز)]]*Main[[#This Row],[مانده در خط تسویه نشده (کیلوگرم)]]</f>
        <v>0</v>
      </c>
      <c r="AD1058" s="6">
        <f ca="1">SUBTOTAL(9,INDEX(Main[بدهی سررسید شده (کیلوگرم)],1):Main[[#This Row],[بدهی سررسید شده (کیلوگرم)]])</f>
        <v>0</v>
      </c>
      <c r="AE1058" s="6">
        <f ca="1">IF(Main[[#This Row],[مانده در خط سررسید شده (کیلوگرم)]]&lt;&gt;0,Main[[#This Row],[تعداد کل روزهای بدهکار (روز)]],0)</f>
        <v>0</v>
      </c>
      <c r="AF1058" s="6">
        <f ca="1">Main[[#This Row],[تعداد روزهای بدهکار سررسید شده (روز)]]*Main[[#This Row],[مانده در خط سررسید شده (کیلوگرم)]]</f>
        <v>0</v>
      </c>
    </row>
    <row r="1059" spans="1:32" hidden="1" x14ac:dyDescent="0.35">
      <c r="A1059" s="5">
        <f>ROW()-ROW(INDEX(Main[ردیف],1))+1</f>
        <v>1057</v>
      </c>
      <c r="B1059" s="31">
        <f>SUBTOTAL(2,INDEX(Main[ردیف],1):Main[[#This Row],[ردیف]])</f>
        <v>99</v>
      </c>
      <c r="C1059" s="32" t="s">
        <v>615</v>
      </c>
      <c r="D1059" s="32" t="str">
        <f>_xlfn.CONCAT("14",Main[[#This Row],[تاريخ]])</f>
        <v>1400/04/20</v>
      </c>
      <c r="E1059" s="33">
        <v>44388</v>
      </c>
      <c r="F1059" s="32">
        <v>30004</v>
      </c>
      <c r="G1059" s="5" t="str">
        <f>INDEX(customer[عنوان],MATCH(Main[[#This Row],[کد ردیابی]],customer[کد],0))</f>
        <v>تولیدی صنعتی صفاشیر پارس</v>
      </c>
      <c r="H1059">
        <v>890</v>
      </c>
      <c r="I1059" s="6">
        <f ca="1">-Main[[#This Row],[بدهی تسویه شده (کیلوگرم)]]+Main[[#This Row],[بستانکار (کیلوگرم)]]</f>
        <v>890</v>
      </c>
      <c r="J1059" s="6">
        <f>IF(Main[[#This Row],[مقدار (کیلوگرم)]]&gt;0,Main[[#This Row],[مقدار (کیلوگرم)]],0)</f>
        <v>890</v>
      </c>
      <c r="K1059" s="6">
        <f>-IF(Main[[#This Row],[مقدار (کیلوگرم)]]&lt;0,Main[[#This Row],[مقدار (کیلوگرم)]],0)</f>
        <v>0</v>
      </c>
      <c r="L10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9" s="7">
        <f>-IF(AND(Main[[#This Row],[مقدار (کیلوگرم)]]&lt;0,Main[[#This Row],[تاريخ میلادی]]&gt;44276),Main[[#This Row],[مقدار (کیلوگرم)]],0)</f>
        <v>0</v>
      </c>
      <c r="N1059" s="6">
        <f ca="1">Main[[#This Row],[بدهکار (کیلوگرم)]]-Main[[#This Row],[بدهی تسویه نشده (کیلوگرم)]]</f>
        <v>0</v>
      </c>
      <c r="O1059" s="6">
        <f ca="1">Main[[#This Row],[تفکیک]]</f>
        <v>0</v>
      </c>
      <c r="P1059" s="6">
        <f ca="1">IF(Main[[#This Row],[تاخیر از سررسید]]&gt;0,Main[[#This Row],[بدهی تسویه نشده (کیلوگرم)]],0)</f>
        <v>0</v>
      </c>
      <c r="Q1059" s="6">
        <f ca="1">IF(Main[[#This Row],[بدهی تسویه نشده (کیلوگرم)]]&gt;0,'گزارش فردی'!$B$7-Main[[#This Row],[تاريخ میلادی]],0)</f>
        <v>0</v>
      </c>
      <c r="R1059" s="6">
        <f ca="1">IF(Main[[#This Row],[بدهی تسویه نشده (کیلوگرم)]]&gt;0,'گزارش فردی'!$B$7-Main[[#This Row],[تاريخ میلادی]]-'گزارش فردی'!$B$8,0)</f>
        <v>0</v>
      </c>
      <c r="S1059" s="6">
        <f ca="1">Main[[#This Row],[روز از ارسال سفارش]]*Main[[#This Row],[بدهی تسویه نشده (کیلوگرم)]]</f>
        <v>0</v>
      </c>
      <c r="T1059" s="6">
        <f ca="1">Main[[#This Row],[بدهی سررسید شده (کیلوگرم)]]*Main[[#This Row],[روز از ارسال سفارش]]</f>
        <v>0</v>
      </c>
      <c r="U1059" s="6">
        <f>-SUBTOTAL(9,INDEX(Main[مقدار (کیلوگرم)],1):Main[[#This Row],[مقدار (کیلوگرم)]])</f>
        <v>18186</v>
      </c>
      <c r="V10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9" s="6">
        <f>Main[[#This Row],[تعداد کل روزهای بدهکار (روز)]]*Main[[#This Row],[مانده در خط کل (کیلوگرم)]]</f>
        <v>36372</v>
      </c>
      <c r="X1059" s="6">
        <f ca="1">-SUBTOTAL(9,INDEX(Main[مقدار تسویه شده (کیلوگرم)],1):Main[[#This Row],[مقدار تسویه شده (کیلوگرم)]])</f>
        <v>18186</v>
      </c>
      <c r="Y1059" s="6">
        <f ca="1">IF(Main[[#This Row],[مانده در خط تسویه شده (کیلوگرم)]]&lt;&gt;0,Main[[#This Row],[تعداد کل روزهای بدهکار (روز)]],0)</f>
        <v>2</v>
      </c>
      <c r="Z1059" s="6">
        <f ca="1">Main[[#This Row],[تعداد روزهای بدهکار تسویه شده (روز)]]*Main[[#This Row],[مانده در خط تسویه شده (کیلوگرم)]]</f>
        <v>36372</v>
      </c>
      <c r="AA1059" s="6">
        <f ca="1">SUBTOTAL(9,INDEX(Main[بدهی تسویه نشده (کیلوگرم)],1):Main[[#This Row],[بدهی تسویه نشده (کیلوگرم)]])</f>
        <v>0</v>
      </c>
      <c r="AB1059" s="6">
        <f ca="1">IF(Main[[#This Row],[مانده در خط تسویه نشده (کیلوگرم)]]&lt;&gt;0,Main[[#This Row],[تعداد کل روزهای بدهکار (روز)]],0)</f>
        <v>0</v>
      </c>
      <c r="AC1059" s="6">
        <f ca="1">Main[[#This Row],[تعداد روزهای بدهکار  تسویه نشده (روز)]]*Main[[#This Row],[مانده در خط تسویه نشده (کیلوگرم)]]</f>
        <v>0</v>
      </c>
      <c r="AD1059" s="6">
        <f ca="1">SUBTOTAL(9,INDEX(Main[بدهی سررسید شده (کیلوگرم)],1):Main[[#This Row],[بدهی سررسید شده (کیلوگرم)]])</f>
        <v>0</v>
      </c>
      <c r="AE1059" s="6">
        <f ca="1">IF(Main[[#This Row],[مانده در خط سررسید شده (کیلوگرم)]]&lt;&gt;0,Main[[#This Row],[تعداد کل روزهای بدهکار (روز)]],0)</f>
        <v>0</v>
      </c>
      <c r="AF1059" s="6">
        <f ca="1">Main[[#This Row],[تعداد روزهای بدهکار سررسید شده (روز)]]*Main[[#This Row],[مانده در خط سررسید شده (کیلوگرم)]]</f>
        <v>0</v>
      </c>
    </row>
    <row r="1060" spans="1:32" hidden="1" x14ac:dyDescent="0.35">
      <c r="A1060" s="5">
        <f>ROW()-ROW(INDEX(Main[ردیف],1))+1</f>
        <v>1058</v>
      </c>
      <c r="B1060" s="31">
        <f>SUBTOTAL(2,INDEX(Main[ردیف],1):Main[[#This Row],[ردیف]])</f>
        <v>99</v>
      </c>
      <c r="C1060" s="32" t="s">
        <v>615</v>
      </c>
      <c r="D1060" s="32" t="str">
        <f>_xlfn.CONCAT("14",Main[[#This Row],[تاريخ]])</f>
        <v>1400/04/20</v>
      </c>
      <c r="E1060" s="33">
        <v>44388</v>
      </c>
      <c r="F1060" s="32">
        <v>30004</v>
      </c>
      <c r="G1060" s="5" t="str">
        <f>INDEX(customer[عنوان],MATCH(Main[[#This Row],[کد ردیابی]],customer[کد],0))</f>
        <v>تولیدی صنعتی صفاشیر پارس</v>
      </c>
      <c r="H1060">
        <v>1886</v>
      </c>
      <c r="I1060" s="6">
        <f ca="1">-Main[[#This Row],[بدهی تسویه شده (کیلوگرم)]]+Main[[#This Row],[بستانکار (کیلوگرم)]]</f>
        <v>1886</v>
      </c>
      <c r="J1060" s="6">
        <f>IF(Main[[#This Row],[مقدار (کیلوگرم)]]&gt;0,Main[[#This Row],[مقدار (کیلوگرم)]],0)</f>
        <v>1886</v>
      </c>
      <c r="K1060" s="6">
        <f>-IF(Main[[#This Row],[مقدار (کیلوگرم)]]&lt;0,Main[[#This Row],[مقدار (کیلوگرم)]],0)</f>
        <v>0</v>
      </c>
      <c r="L10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0" s="7">
        <f>-IF(AND(Main[[#This Row],[مقدار (کیلوگرم)]]&lt;0,Main[[#This Row],[تاريخ میلادی]]&gt;44276),Main[[#This Row],[مقدار (کیلوگرم)]],0)</f>
        <v>0</v>
      </c>
      <c r="N1060" s="6">
        <f ca="1">Main[[#This Row],[بدهکار (کیلوگرم)]]-Main[[#This Row],[بدهی تسویه نشده (کیلوگرم)]]</f>
        <v>0</v>
      </c>
      <c r="O1060" s="6">
        <f ca="1">Main[[#This Row],[تفکیک]]</f>
        <v>0</v>
      </c>
      <c r="P1060" s="6">
        <f ca="1">IF(Main[[#This Row],[تاخیر از سررسید]]&gt;0,Main[[#This Row],[بدهی تسویه نشده (کیلوگرم)]],0)</f>
        <v>0</v>
      </c>
      <c r="Q1060" s="6">
        <f ca="1">IF(Main[[#This Row],[بدهی تسویه نشده (کیلوگرم)]]&gt;0,'گزارش فردی'!$B$7-Main[[#This Row],[تاريخ میلادی]],0)</f>
        <v>0</v>
      </c>
      <c r="R1060" s="6">
        <f ca="1">IF(Main[[#This Row],[بدهی تسویه نشده (کیلوگرم)]]&gt;0,'گزارش فردی'!$B$7-Main[[#This Row],[تاريخ میلادی]]-'گزارش فردی'!$B$8,0)</f>
        <v>0</v>
      </c>
      <c r="S1060" s="6">
        <f ca="1">Main[[#This Row],[روز از ارسال سفارش]]*Main[[#This Row],[بدهی تسویه نشده (کیلوگرم)]]</f>
        <v>0</v>
      </c>
      <c r="T1060" s="6">
        <f ca="1">Main[[#This Row],[بدهی سررسید شده (کیلوگرم)]]*Main[[#This Row],[روز از ارسال سفارش]]</f>
        <v>0</v>
      </c>
      <c r="U1060" s="6">
        <f>-SUBTOTAL(9,INDEX(Main[مقدار (کیلوگرم)],1):Main[[#This Row],[مقدار (کیلوگرم)]])</f>
        <v>18186</v>
      </c>
      <c r="V106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60" s="6">
        <f>Main[[#This Row],[تعداد کل روزهای بدهکار (روز)]]*Main[[#This Row],[مانده در خط کل (کیلوگرم)]]</f>
        <v>36372</v>
      </c>
      <c r="X1060" s="6">
        <f ca="1">-SUBTOTAL(9,INDEX(Main[مقدار تسویه شده (کیلوگرم)],1):Main[[#This Row],[مقدار تسویه شده (کیلوگرم)]])</f>
        <v>18186</v>
      </c>
      <c r="Y1060" s="6">
        <f ca="1">IF(Main[[#This Row],[مانده در خط تسویه شده (کیلوگرم)]]&lt;&gt;0,Main[[#This Row],[تعداد کل روزهای بدهکار (روز)]],0)</f>
        <v>2</v>
      </c>
      <c r="Z1060" s="6">
        <f ca="1">Main[[#This Row],[تعداد روزهای بدهکار تسویه شده (روز)]]*Main[[#This Row],[مانده در خط تسویه شده (کیلوگرم)]]</f>
        <v>36372</v>
      </c>
      <c r="AA1060" s="6">
        <f ca="1">SUBTOTAL(9,INDEX(Main[بدهی تسویه نشده (کیلوگرم)],1):Main[[#This Row],[بدهی تسویه نشده (کیلوگرم)]])</f>
        <v>0</v>
      </c>
      <c r="AB1060" s="6">
        <f ca="1">IF(Main[[#This Row],[مانده در خط تسویه نشده (کیلوگرم)]]&lt;&gt;0,Main[[#This Row],[تعداد کل روزهای بدهکار (روز)]],0)</f>
        <v>0</v>
      </c>
      <c r="AC1060" s="6">
        <f ca="1">Main[[#This Row],[تعداد روزهای بدهکار  تسویه نشده (روز)]]*Main[[#This Row],[مانده در خط تسویه نشده (کیلوگرم)]]</f>
        <v>0</v>
      </c>
      <c r="AD1060" s="6">
        <f ca="1">SUBTOTAL(9,INDEX(Main[بدهی سررسید شده (کیلوگرم)],1):Main[[#This Row],[بدهی سررسید شده (کیلوگرم)]])</f>
        <v>0</v>
      </c>
      <c r="AE1060" s="6">
        <f ca="1">IF(Main[[#This Row],[مانده در خط سررسید شده (کیلوگرم)]]&lt;&gt;0,Main[[#This Row],[تعداد کل روزهای بدهکار (روز)]],0)</f>
        <v>0</v>
      </c>
      <c r="AF1060" s="6">
        <f ca="1">Main[[#This Row],[تعداد روزهای بدهکار سررسید شده (روز)]]*Main[[#This Row],[مانده در خط سررسید شده (کیلوگرم)]]</f>
        <v>0</v>
      </c>
    </row>
    <row r="1061" spans="1:32" hidden="1" x14ac:dyDescent="0.35">
      <c r="A1061" s="5">
        <f>ROW()-ROW(INDEX(Main[ردیف],1))+1</f>
        <v>1059</v>
      </c>
      <c r="B1061" s="31">
        <f>SUBTOTAL(2,INDEX(Main[ردیف],1):Main[[#This Row],[ردیف]])</f>
        <v>99</v>
      </c>
      <c r="C1061" s="32" t="s">
        <v>616</v>
      </c>
      <c r="D1061" s="32" t="str">
        <f>_xlfn.CONCAT("14",Main[[#This Row],[تاريخ]])</f>
        <v>1400/04/21</v>
      </c>
      <c r="E1061" s="33">
        <v>44389</v>
      </c>
      <c r="F1061" s="32">
        <v>30077</v>
      </c>
      <c r="G1061" s="5" t="str">
        <f>INDEX(customer[عنوان],MATCH(Main[[#This Row],[کد ردیابی]],customer[کد],0))</f>
        <v>تولیدی و صنعتی تهرانچیان</v>
      </c>
      <c r="H1061">
        <v>-528</v>
      </c>
      <c r="I1061" s="6">
        <f ca="1">-Main[[#This Row],[بدهی تسویه شده (کیلوگرم)]]+Main[[#This Row],[بستانکار (کیلوگرم)]]</f>
        <v>-528</v>
      </c>
      <c r="J1061" s="6">
        <f>IF(Main[[#This Row],[مقدار (کیلوگرم)]]&gt;0,Main[[#This Row],[مقدار (کیلوگرم)]],0)</f>
        <v>0</v>
      </c>
      <c r="K1061" s="6">
        <f>-IF(Main[[#This Row],[مقدار (کیلوگرم)]]&lt;0,Main[[#This Row],[مقدار (کیلوگرم)]],0)</f>
        <v>528</v>
      </c>
      <c r="L10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1" s="7">
        <f>-IF(AND(Main[[#This Row],[مقدار (کیلوگرم)]]&lt;0,Main[[#This Row],[تاريخ میلادی]]&gt;44276),Main[[#This Row],[مقدار (کیلوگرم)]],0)</f>
        <v>528</v>
      </c>
      <c r="N1061" s="6">
        <f ca="1">Main[[#This Row],[بدهکار (کیلوگرم)]]-Main[[#This Row],[بدهی تسویه نشده (کیلوگرم)]]</f>
        <v>528</v>
      </c>
      <c r="O1061" s="6">
        <f ca="1">Main[[#This Row],[تفکیک]]</f>
        <v>0</v>
      </c>
      <c r="P1061" s="6">
        <f ca="1">IF(Main[[#This Row],[تاخیر از سررسید]]&gt;0,Main[[#This Row],[بدهی تسویه نشده (کیلوگرم)]],0)</f>
        <v>0</v>
      </c>
      <c r="Q1061" s="6">
        <f ca="1">IF(Main[[#This Row],[بدهی تسویه نشده (کیلوگرم)]]&gt;0,'گزارش فردی'!$B$7-Main[[#This Row],[تاريخ میلادی]],0)</f>
        <v>0</v>
      </c>
      <c r="R1061" s="6">
        <f ca="1">IF(Main[[#This Row],[بدهی تسویه نشده (کیلوگرم)]]&gt;0,'گزارش فردی'!$B$7-Main[[#This Row],[تاريخ میلادی]]-'گزارش فردی'!$B$8,0)</f>
        <v>0</v>
      </c>
      <c r="S1061" s="6">
        <f ca="1">Main[[#This Row],[روز از ارسال سفارش]]*Main[[#This Row],[بدهی تسویه نشده (کیلوگرم)]]</f>
        <v>0</v>
      </c>
      <c r="T1061" s="6">
        <f ca="1">Main[[#This Row],[بدهی سررسید شده (کیلوگرم)]]*Main[[#This Row],[روز از ارسال سفارش]]</f>
        <v>0</v>
      </c>
      <c r="U1061" s="6">
        <f>-SUBTOTAL(9,INDEX(Main[مقدار (کیلوگرم)],1):Main[[#This Row],[مقدار (کیلوگرم)]])</f>
        <v>18186</v>
      </c>
      <c r="V10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1" s="6">
        <f>Main[[#This Row],[تعداد کل روزهای بدهکار (روز)]]*Main[[#This Row],[مانده در خط کل (کیلوگرم)]]</f>
        <v>18186</v>
      </c>
      <c r="X1061" s="6">
        <f ca="1">-SUBTOTAL(9,INDEX(Main[مقدار تسویه شده (کیلوگرم)],1):Main[[#This Row],[مقدار تسویه شده (کیلوگرم)]])</f>
        <v>18186</v>
      </c>
      <c r="Y1061" s="6">
        <f ca="1">IF(Main[[#This Row],[مانده در خط تسویه شده (کیلوگرم)]]&lt;&gt;0,Main[[#This Row],[تعداد کل روزهای بدهکار (روز)]],0)</f>
        <v>1</v>
      </c>
      <c r="Z1061" s="6">
        <f ca="1">Main[[#This Row],[تعداد روزهای بدهکار تسویه شده (روز)]]*Main[[#This Row],[مانده در خط تسویه شده (کیلوگرم)]]</f>
        <v>18186</v>
      </c>
      <c r="AA1061" s="6">
        <f ca="1">SUBTOTAL(9,INDEX(Main[بدهی تسویه نشده (کیلوگرم)],1):Main[[#This Row],[بدهی تسویه نشده (کیلوگرم)]])</f>
        <v>0</v>
      </c>
      <c r="AB1061" s="6">
        <f ca="1">IF(Main[[#This Row],[مانده در خط تسویه نشده (کیلوگرم)]]&lt;&gt;0,Main[[#This Row],[تعداد کل روزهای بدهکار (روز)]],0)</f>
        <v>0</v>
      </c>
      <c r="AC1061" s="6">
        <f ca="1">Main[[#This Row],[تعداد روزهای بدهکار  تسویه نشده (روز)]]*Main[[#This Row],[مانده در خط تسویه نشده (کیلوگرم)]]</f>
        <v>0</v>
      </c>
      <c r="AD1061" s="6">
        <f ca="1">SUBTOTAL(9,INDEX(Main[بدهی سررسید شده (کیلوگرم)],1):Main[[#This Row],[بدهی سررسید شده (کیلوگرم)]])</f>
        <v>0</v>
      </c>
      <c r="AE1061" s="6">
        <f ca="1">IF(Main[[#This Row],[مانده در خط سررسید شده (کیلوگرم)]]&lt;&gt;0,Main[[#This Row],[تعداد کل روزهای بدهکار (روز)]],0)</f>
        <v>0</v>
      </c>
      <c r="AF1061" s="6">
        <f ca="1">Main[[#This Row],[تعداد روزهای بدهکار سررسید شده (روز)]]*Main[[#This Row],[مانده در خط سررسید شده (کیلوگرم)]]</f>
        <v>0</v>
      </c>
    </row>
    <row r="1062" spans="1:32" hidden="1" x14ac:dyDescent="0.35">
      <c r="A1062" s="5">
        <f>ROW()-ROW(INDEX(Main[ردیف],1))+1</f>
        <v>1060</v>
      </c>
      <c r="B1062" s="31">
        <f>SUBTOTAL(2,INDEX(Main[ردیف],1):Main[[#This Row],[ردیف]])</f>
        <v>99</v>
      </c>
      <c r="C1062" s="32" t="s">
        <v>616</v>
      </c>
      <c r="D1062" s="32" t="str">
        <f>_xlfn.CONCAT("14",Main[[#This Row],[تاريخ]])</f>
        <v>1400/04/21</v>
      </c>
      <c r="E1062" s="33">
        <v>44389</v>
      </c>
      <c r="F1062" s="32">
        <v>30081</v>
      </c>
      <c r="G1062" s="5" t="str">
        <f>INDEX(customer[عنوان],MATCH(Main[[#This Row],[کد ردیابی]],customer[کد],0))</f>
        <v xml:space="preserve">شیرآلات بهداشتی راسان </v>
      </c>
      <c r="H1062">
        <v>1426</v>
      </c>
      <c r="I1062" s="6">
        <f ca="1">-Main[[#This Row],[بدهی تسویه شده (کیلوگرم)]]+Main[[#This Row],[بستانکار (کیلوگرم)]]</f>
        <v>1426</v>
      </c>
      <c r="J1062" s="6">
        <f>IF(Main[[#This Row],[مقدار (کیلوگرم)]]&gt;0,Main[[#This Row],[مقدار (کیلوگرم)]],0)</f>
        <v>1426</v>
      </c>
      <c r="K1062" s="6">
        <f>-IF(Main[[#This Row],[مقدار (کیلوگرم)]]&lt;0,Main[[#This Row],[مقدار (کیلوگرم)]],0)</f>
        <v>0</v>
      </c>
      <c r="L10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2" s="7">
        <f>-IF(AND(Main[[#This Row],[مقدار (کیلوگرم)]]&lt;0,Main[[#This Row],[تاريخ میلادی]]&gt;44276),Main[[#This Row],[مقدار (کیلوگرم)]],0)</f>
        <v>0</v>
      </c>
      <c r="N1062" s="6">
        <f ca="1">Main[[#This Row],[بدهکار (کیلوگرم)]]-Main[[#This Row],[بدهی تسویه نشده (کیلوگرم)]]</f>
        <v>0</v>
      </c>
      <c r="O1062" s="6">
        <f ca="1">Main[[#This Row],[تفکیک]]</f>
        <v>0</v>
      </c>
      <c r="P1062" s="6">
        <f ca="1">IF(Main[[#This Row],[تاخیر از سررسید]]&gt;0,Main[[#This Row],[بدهی تسویه نشده (کیلوگرم)]],0)</f>
        <v>0</v>
      </c>
      <c r="Q1062" s="6">
        <f ca="1">IF(Main[[#This Row],[بدهی تسویه نشده (کیلوگرم)]]&gt;0,'گزارش فردی'!$B$7-Main[[#This Row],[تاريخ میلادی]],0)</f>
        <v>0</v>
      </c>
      <c r="R1062" s="6">
        <f ca="1">IF(Main[[#This Row],[بدهی تسویه نشده (کیلوگرم)]]&gt;0,'گزارش فردی'!$B$7-Main[[#This Row],[تاريخ میلادی]]-'گزارش فردی'!$B$8,0)</f>
        <v>0</v>
      </c>
      <c r="S1062" s="6">
        <f ca="1">Main[[#This Row],[روز از ارسال سفارش]]*Main[[#This Row],[بدهی تسویه نشده (کیلوگرم)]]</f>
        <v>0</v>
      </c>
      <c r="T1062" s="6">
        <f ca="1">Main[[#This Row],[بدهی سررسید شده (کیلوگرم)]]*Main[[#This Row],[روز از ارسال سفارش]]</f>
        <v>0</v>
      </c>
      <c r="U1062" s="6">
        <f>-SUBTOTAL(9,INDEX(Main[مقدار (کیلوگرم)],1):Main[[#This Row],[مقدار (کیلوگرم)]])</f>
        <v>18186</v>
      </c>
      <c r="V10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2" s="6">
        <f>Main[[#This Row],[تعداد کل روزهای بدهکار (روز)]]*Main[[#This Row],[مانده در خط کل (کیلوگرم)]]</f>
        <v>18186</v>
      </c>
      <c r="X1062" s="6">
        <f ca="1">-SUBTOTAL(9,INDEX(Main[مقدار تسویه شده (کیلوگرم)],1):Main[[#This Row],[مقدار تسویه شده (کیلوگرم)]])</f>
        <v>18186</v>
      </c>
      <c r="Y1062" s="6">
        <f ca="1">IF(Main[[#This Row],[مانده در خط تسویه شده (کیلوگرم)]]&lt;&gt;0,Main[[#This Row],[تعداد کل روزهای بدهکار (روز)]],0)</f>
        <v>1</v>
      </c>
      <c r="Z1062" s="6">
        <f ca="1">Main[[#This Row],[تعداد روزهای بدهکار تسویه شده (روز)]]*Main[[#This Row],[مانده در خط تسویه شده (کیلوگرم)]]</f>
        <v>18186</v>
      </c>
      <c r="AA1062" s="6">
        <f ca="1">SUBTOTAL(9,INDEX(Main[بدهی تسویه نشده (کیلوگرم)],1):Main[[#This Row],[بدهی تسویه نشده (کیلوگرم)]])</f>
        <v>0</v>
      </c>
      <c r="AB1062" s="6">
        <f ca="1">IF(Main[[#This Row],[مانده در خط تسویه نشده (کیلوگرم)]]&lt;&gt;0,Main[[#This Row],[تعداد کل روزهای بدهکار (روز)]],0)</f>
        <v>0</v>
      </c>
      <c r="AC1062" s="6">
        <f ca="1">Main[[#This Row],[تعداد روزهای بدهکار  تسویه نشده (روز)]]*Main[[#This Row],[مانده در خط تسویه نشده (کیلوگرم)]]</f>
        <v>0</v>
      </c>
      <c r="AD1062" s="6">
        <f ca="1">SUBTOTAL(9,INDEX(Main[بدهی سررسید شده (کیلوگرم)],1):Main[[#This Row],[بدهی سررسید شده (کیلوگرم)]])</f>
        <v>0</v>
      </c>
      <c r="AE1062" s="6">
        <f ca="1">IF(Main[[#This Row],[مانده در خط سررسید شده (کیلوگرم)]]&lt;&gt;0,Main[[#This Row],[تعداد کل روزهای بدهکار (روز)]],0)</f>
        <v>0</v>
      </c>
      <c r="AF1062" s="6">
        <f ca="1">Main[[#This Row],[تعداد روزهای بدهکار سررسید شده (روز)]]*Main[[#This Row],[مانده در خط سررسید شده (کیلوگرم)]]</f>
        <v>0</v>
      </c>
    </row>
    <row r="1063" spans="1:32" hidden="1" x14ac:dyDescent="0.35">
      <c r="A1063" s="5">
        <f>ROW()-ROW(INDEX(Main[ردیف],1))+1</f>
        <v>1061</v>
      </c>
      <c r="B1063" s="31">
        <f>SUBTOTAL(2,INDEX(Main[ردیف],1):Main[[#This Row],[ردیف]])</f>
        <v>99</v>
      </c>
      <c r="C1063" s="32" t="s">
        <v>616</v>
      </c>
      <c r="D1063" s="32" t="str">
        <f>_xlfn.CONCAT("14",Main[[#This Row],[تاريخ]])</f>
        <v>1400/04/21</v>
      </c>
      <c r="E1063" s="33">
        <v>44389</v>
      </c>
      <c r="F1063" s="32">
        <v>30184</v>
      </c>
      <c r="G1063" s="5" t="str">
        <f>INDEX(customer[عنوان],MATCH(Main[[#This Row],[کد ردیابی]],customer[کد],0))</f>
        <v>شرکت هوم کو (هوشمند مبین کوشا)</v>
      </c>
      <c r="H1063">
        <v>-4031</v>
      </c>
      <c r="I1063" s="6">
        <f ca="1">-Main[[#This Row],[بدهی تسویه شده (کیلوگرم)]]+Main[[#This Row],[بستانکار (کیلوگرم)]]</f>
        <v>-4031</v>
      </c>
      <c r="J1063" s="6">
        <f>IF(Main[[#This Row],[مقدار (کیلوگرم)]]&gt;0,Main[[#This Row],[مقدار (کیلوگرم)]],0)</f>
        <v>0</v>
      </c>
      <c r="K1063" s="6">
        <f>-IF(Main[[#This Row],[مقدار (کیلوگرم)]]&lt;0,Main[[#This Row],[مقدار (کیلوگرم)]],0)</f>
        <v>4031</v>
      </c>
      <c r="L10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3" s="7">
        <f>-IF(AND(Main[[#This Row],[مقدار (کیلوگرم)]]&lt;0,Main[[#This Row],[تاريخ میلادی]]&gt;44276),Main[[#This Row],[مقدار (کیلوگرم)]],0)</f>
        <v>4031</v>
      </c>
      <c r="N1063" s="6">
        <f ca="1">Main[[#This Row],[بدهکار (کیلوگرم)]]-Main[[#This Row],[بدهی تسویه نشده (کیلوگرم)]]</f>
        <v>4031</v>
      </c>
      <c r="O1063" s="6">
        <f ca="1">Main[[#This Row],[تفکیک]]</f>
        <v>0</v>
      </c>
      <c r="P1063" s="6">
        <f ca="1">IF(Main[[#This Row],[تاخیر از سررسید]]&gt;0,Main[[#This Row],[بدهی تسویه نشده (کیلوگرم)]],0)</f>
        <v>0</v>
      </c>
      <c r="Q1063" s="6">
        <f ca="1">IF(Main[[#This Row],[بدهی تسویه نشده (کیلوگرم)]]&gt;0,'گزارش فردی'!$B$7-Main[[#This Row],[تاريخ میلادی]],0)</f>
        <v>0</v>
      </c>
      <c r="R1063" s="6">
        <f ca="1">IF(Main[[#This Row],[بدهی تسویه نشده (کیلوگرم)]]&gt;0,'گزارش فردی'!$B$7-Main[[#This Row],[تاريخ میلادی]]-'گزارش فردی'!$B$8,0)</f>
        <v>0</v>
      </c>
      <c r="S1063" s="6">
        <f ca="1">Main[[#This Row],[روز از ارسال سفارش]]*Main[[#This Row],[بدهی تسویه نشده (کیلوگرم)]]</f>
        <v>0</v>
      </c>
      <c r="T1063" s="6">
        <f ca="1">Main[[#This Row],[بدهی سررسید شده (کیلوگرم)]]*Main[[#This Row],[روز از ارسال سفارش]]</f>
        <v>0</v>
      </c>
      <c r="U1063" s="6">
        <f>-SUBTOTAL(9,INDEX(Main[مقدار (کیلوگرم)],1):Main[[#This Row],[مقدار (کیلوگرم)]])</f>
        <v>18186</v>
      </c>
      <c r="V10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3" s="6">
        <f>Main[[#This Row],[تعداد کل روزهای بدهکار (روز)]]*Main[[#This Row],[مانده در خط کل (کیلوگرم)]]</f>
        <v>18186</v>
      </c>
      <c r="X1063" s="6">
        <f ca="1">-SUBTOTAL(9,INDEX(Main[مقدار تسویه شده (کیلوگرم)],1):Main[[#This Row],[مقدار تسویه شده (کیلوگرم)]])</f>
        <v>18186</v>
      </c>
      <c r="Y1063" s="6">
        <f ca="1">IF(Main[[#This Row],[مانده در خط تسویه شده (کیلوگرم)]]&lt;&gt;0,Main[[#This Row],[تعداد کل روزهای بدهکار (روز)]],0)</f>
        <v>1</v>
      </c>
      <c r="Z1063" s="6">
        <f ca="1">Main[[#This Row],[تعداد روزهای بدهکار تسویه شده (روز)]]*Main[[#This Row],[مانده در خط تسویه شده (کیلوگرم)]]</f>
        <v>18186</v>
      </c>
      <c r="AA1063" s="6">
        <f ca="1">SUBTOTAL(9,INDEX(Main[بدهی تسویه نشده (کیلوگرم)],1):Main[[#This Row],[بدهی تسویه نشده (کیلوگرم)]])</f>
        <v>0</v>
      </c>
      <c r="AB1063" s="6">
        <f ca="1">IF(Main[[#This Row],[مانده در خط تسویه نشده (کیلوگرم)]]&lt;&gt;0,Main[[#This Row],[تعداد کل روزهای بدهکار (روز)]],0)</f>
        <v>0</v>
      </c>
      <c r="AC1063" s="6">
        <f ca="1">Main[[#This Row],[تعداد روزهای بدهکار  تسویه نشده (روز)]]*Main[[#This Row],[مانده در خط تسویه نشده (کیلوگرم)]]</f>
        <v>0</v>
      </c>
      <c r="AD1063" s="6">
        <f ca="1">SUBTOTAL(9,INDEX(Main[بدهی سررسید شده (کیلوگرم)],1):Main[[#This Row],[بدهی سررسید شده (کیلوگرم)]])</f>
        <v>0</v>
      </c>
      <c r="AE1063" s="6">
        <f ca="1">IF(Main[[#This Row],[مانده در خط سررسید شده (کیلوگرم)]]&lt;&gt;0,Main[[#This Row],[تعداد کل روزهای بدهکار (روز)]],0)</f>
        <v>0</v>
      </c>
      <c r="AF1063" s="6">
        <f ca="1">Main[[#This Row],[تعداد روزهای بدهکار سررسید شده (روز)]]*Main[[#This Row],[مانده در خط سررسید شده (کیلوگرم)]]</f>
        <v>0</v>
      </c>
    </row>
    <row r="1064" spans="1:32" hidden="1" x14ac:dyDescent="0.35">
      <c r="A1064" s="5">
        <f>ROW()-ROW(INDEX(Main[ردیف],1))+1</f>
        <v>1062</v>
      </c>
      <c r="B1064" s="31">
        <f>SUBTOTAL(2,INDEX(Main[ردیف],1):Main[[#This Row],[ردیف]])</f>
        <v>99</v>
      </c>
      <c r="C1064" s="32" t="s">
        <v>616</v>
      </c>
      <c r="D1064" s="32" t="str">
        <f>_xlfn.CONCAT("14",Main[[#This Row],[تاريخ]])</f>
        <v>1400/04/21</v>
      </c>
      <c r="E1064" s="33">
        <v>44389</v>
      </c>
      <c r="F1064" s="32">
        <v>30155</v>
      </c>
      <c r="G1064" s="5" t="str">
        <f>INDEX(customer[عنوان],MATCH(Main[[#This Row],[کد ردیابی]],customer[کد],0))</f>
        <v>سری تراشی طاهری</v>
      </c>
      <c r="H1064">
        <v>114</v>
      </c>
      <c r="I1064" s="6">
        <f ca="1">-Main[[#This Row],[بدهی تسویه شده (کیلوگرم)]]+Main[[#This Row],[بستانکار (کیلوگرم)]]</f>
        <v>114</v>
      </c>
      <c r="J1064" s="6">
        <f>IF(Main[[#This Row],[مقدار (کیلوگرم)]]&gt;0,Main[[#This Row],[مقدار (کیلوگرم)]],0)</f>
        <v>114</v>
      </c>
      <c r="K1064" s="6">
        <f>-IF(Main[[#This Row],[مقدار (کیلوگرم)]]&lt;0,Main[[#This Row],[مقدار (کیلوگرم)]],0)</f>
        <v>0</v>
      </c>
      <c r="L10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4" s="7">
        <f>-IF(AND(Main[[#This Row],[مقدار (کیلوگرم)]]&lt;0,Main[[#This Row],[تاريخ میلادی]]&gt;44276),Main[[#This Row],[مقدار (کیلوگرم)]],0)</f>
        <v>0</v>
      </c>
      <c r="N1064" s="6">
        <f ca="1">Main[[#This Row],[بدهکار (کیلوگرم)]]-Main[[#This Row],[بدهی تسویه نشده (کیلوگرم)]]</f>
        <v>0</v>
      </c>
      <c r="O1064" s="6">
        <f ca="1">Main[[#This Row],[تفکیک]]</f>
        <v>0</v>
      </c>
      <c r="P1064" s="6">
        <f ca="1">IF(Main[[#This Row],[تاخیر از سررسید]]&gt;0,Main[[#This Row],[بدهی تسویه نشده (کیلوگرم)]],0)</f>
        <v>0</v>
      </c>
      <c r="Q1064" s="6">
        <f ca="1">IF(Main[[#This Row],[بدهی تسویه نشده (کیلوگرم)]]&gt;0,'گزارش فردی'!$B$7-Main[[#This Row],[تاريخ میلادی]],0)</f>
        <v>0</v>
      </c>
      <c r="R1064" s="6">
        <f ca="1">IF(Main[[#This Row],[بدهی تسویه نشده (کیلوگرم)]]&gt;0,'گزارش فردی'!$B$7-Main[[#This Row],[تاريخ میلادی]]-'گزارش فردی'!$B$8,0)</f>
        <v>0</v>
      </c>
      <c r="S1064" s="6">
        <f ca="1">Main[[#This Row],[روز از ارسال سفارش]]*Main[[#This Row],[بدهی تسویه نشده (کیلوگرم)]]</f>
        <v>0</v>
      </c>
      <c r="T1064" s="6">
        <f ca="1">Main[[#This Row],[بدهی سررسید شده (کیلوگرم)]]*Main[[#This Row],[روز از ارسال سفارش]]</f>
        <v>0</v>
      </c>
      <c r="U1064" s="6">
        <f>-SUBTOTAL(9,INDEX(Main[مقدار (کیلوگرم)],1):Main[[#This Row],[مقدار (کیلوگرم)]])</f>
        <v>18186</v>
      </c>
      <c r="V10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4" s="6">
        <f>Main[[#This Row],[تعداد کل روزهای بدهکار (روز)]]*Main[[#This Row],[مانده در خط کل (کیلوگرم)]]</f>
        <v>18186</v>
      </c>
      <c r="X1064" s="6">
        <f ca="1">-SUBTOTAL(9,INDEX(Main[مقدار تسویه شده (کیلوگرم)],1):Main[[#This Row],[مقدار تسویه شده (کیلوگرم)]])</f>
        <v>18186</v>
      </c>
      <c r="Y1064" s="6">
        <f ca="1">IF(Main[[#This Row],[مانده در خط تسویه شده (کیلوگرم)]]&lt;&gt;0,Main[[#This Row],[تعداد کل روزهای بدهکار (روز)]],0)</f>
        <v>1</v>
      </c>
      <c r="Z1064" s="6">
        <f ca="1">Main[[#This Row],[تعداد روزهای بدهکار تسویه شده (روز)]]*Main[[#This Row],[مانده در خط تسویه شده (کیلوگرم)]]</f>
        <v>18186</v>
      </c>
      <c r="AA1064" s="6">
        <f ca="1">SUBTOTAL(9,INDEX(Main[بدهی تسویه نشده (کیلوگرم)],1):Main[[#This Row],[بدهی تسویه نشده (کیلوگرم)]])</f>
        <v>0</v>
      </c>
      <c r="AB1064" s="6">
        <f ca="1">IF(Main[[#This Row],[مانده در خط تسویه نشده (کیلوگرم)]]&lt;&gt;0,Main[[#This Row],[تعداد کل روزهای بدهکار (روز)]],0)</f>
        <v>0</v>
      </c>
      <c r="AC1064" s="6">
        <f ca="1">Main[[#This Row],[تعداد روزهای بدهکار  تسویه نشده (روز)]]*Main[[#This Row],[مانده در خط تسویه نشده (کیلوگرم)]]</f>
        <v>0</v>
      </c>
      <c r="AD1064" s="6">
        <f ca="1">SUBTOTAL(9,INDEX(Main[بدهی سررسید شده (کیلوگرم)],1):Main[[#This Row],[بدهی سررسید شده (کیلوگرم)]])</f>
        <v>0</v>
      </c>
      <c r="AE1064" s="6">
        <f ca="1">IF(Main[[#This Row],[مانده در خط سررسید شده (کیلوگرم)]]&lt;&gt;0,Main[[#This Row],[تعداد کل روزهای بدهکار (روز)]],0)</f>
        <v>0</v>
      </c>
      <c r="AF1064" s="6">
        <f ca="1">Main[[#This Row],[تعداد روزهای بدهکار سررسید شده (روز)]]*Main[[#This Row],[مانده در خط سررسید شده (کیلوگرم)]]</f>
        <v>0</v>
      </c>
    </row>
    <row r="1065" spans="1:32" hidden="1" x14ac:dyDescent="0.35">
      <c r="A1065" s="5">
        <f>ROW()-ROW(INDEX(Main[ردیف],1))+1</f>
        <v>1063</v>
      </c>
      <c r="B1065" s="31">
        <f>SUBTOTAL(2,INDEX(Main[ردیف],1):Main[[#This Row],[ردیف]])</f>
        <v>99</v>
      </c>
      <c r="C1065" s="32" t="s">
        <v>616</v>
      </c>
      <c r="D1065" s="32" t="str">
        <f>_xlfn.CONCAT("14",Main[[#This Row],[تاريخ]])</f>
        <v>1400/04/21</v>
      </c>
      <c r="E1065" s="33">
        <v>44389</v>
      </c>
      <c r="F1065" s="32">
        <v>10026</v>
      </c>
      <c r="G1065" s="5" t="str">
        <f>INDEX(customer[عنوان],MATCH(Main[[#This Row],[کد ردیابی]],customer[کد],0))</f>
        <v xml:space="preserve">محسن فیاض بخش </v>
      </c>
      <c r="H1065">
        <v>-1961</v>
      </c>
      <c r="I1065" s="6">
        <f ca="1">-Main[[#This Row],[بدهی تسویه شده (کیلوگرم)]]+Main[[#This Row],[بستانکار (کیلوگرم)]]</f>
        <v>-1961</v>
      </c>
      <c r="J1065" s="6">
        <f>IF(Main[[#This Row],[مقدار (کیلوگرم)]]&gt;0,Main[[#This Row],[مقدار (کیلوگرم)]],0)</f>
        <v>0</v>
      </c>
      <c r="K1065" s="6">
        <f>-IF(Main[[#This Row],[مقدار (کیلوگرم)]]&lt;0,Main[[#This Row],[مقدار (کیلوگرم)]],0)</f>
        <v>1961</v>
      </c>
      <c r="L10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5" s="7">
        <f>-IF(AND(Main[[#This Row],[مقدار (کیلوگرم)]]&lt;0,Main[[#This Row],[تاريخ میلادی]]&gt;44276),Main[[#This Row],[مقدار (کیلوگرم)]],0)</f>
        <v>1961</v>
      </c>
      <c r="N1065" s="6">
        <f ca="1">Main[[#This Row],[بدهکار (کیلوگرم)]]-Main[[#This Row],[بدهی تسویه نشده (کیلوگرم)]]</f>
        <v>1961</v>
      </c>
      <c r="O1065" s="6">
        <f ca="1">Main[[#This Row],[تفکیک]]</f>
        <v>0</v>
      </c>
      <c r="P1065" s="6">
        <f ca="1">IF(Main[[#This Row],[تاخیر از سررسید]]&gt;0,Main[[#This Row],[بدهی تسویه نشده (کیلوگرم)]],0)</f>
        <v>0</v>
      </c>
      <c r="Q1065" s="6">
        <f ca="1">IF(Main[[#This Row],[بدهی تسویه نشده (کیلوگرم)]]&gt;0,'گزارش فردی'!$B$7-Main[[#This Row],[تاريخ میلادی]],0)</f>
        <v>0</v>
      </c>
      <c r="R1065" s="6">
        <f ca="1">IF(Main[[#This Row],[بدهی تسویه نشده (کیلوگرم)]]&gt;0,'گزارش فردی'!$B$7-Main[[#This Row],[تاريخ میلادی]]-'گزارش فردی'!$B$8,0)</f>
        <v>0</v>
      </c>
      <c r="S1065" s="6">
        <f ca="1">Main[[#This Row],[روز از ارسال سفارش]]*Main[[#This Row],[بدهی تسویه نشده (کیلوگرم)]]</f>
        <v>0</v>
      </c>
      <c r="T1065" s="6">
        <f ca="1">Main[[#This Row],[بدهی سررسید شده (کیلوگرم)]]*Main[[#This Row],[روز از ارسال سفارش]]</f>
        <v>0</v>
      </c>
      <c r="U1065" s="6">
        <f>-SUBTOTAL(9,INDEX(Main[مقدار (کیلوگرم)],1):Main[[#This Row],[مقدار (کیلوگرم)]])</f>
        <v>18186</v>
      </c>
      <c r="V10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5" s="6">
        <f>Main[[#This Row],[تعداد کل روزهای بدهکار (روز)]]*Main[[#This Row],[مانده در خط کل (کیلوگرم)]]</f>
        <v>18186</v>
      </c>
      <c r="X1065" s="6">
        <f ca="1">-SUBTOTAL(9,INDEX(Main[مقدار تسویه شده (کیلوگرم)],1):Main[[#This Row],[مقدار تسویه شده (کیلوگرم)]])</f>
        <v>18186</v>
      </c>
      <c r="Y1065" s="6">
        <f ca="1">IF(Main[[#This Row],[مانده در خط تسویه شده (کیلوگرم)]]&lt;&gt;0,Main[[#This Row],[تعداد کل روزهای بدهکار (روز)]],0)</f>
        <v>1</v>
      </c>
      <c r="Z1065" s="6">
        <f ca="1">Main[[#This Row],[تعداد روزهای بدهکار تسویه شده (روز)]]*Main[[#This Row],[مانده در خط تسویه شده (کیلوگرم)]]</f>
        <v>18186</v>
      </c>
      <c r="AA1065" s="6">
        <f ca="1">SUBTOTAL(9,INDEX(Main[بدهی تسویه نشده (کیلوگرم)],1):Main[[#This Row],[بدهی تسویه نشده (کیلوگرم)]])</f>
        <v>0</v>
      </c>
      <c r="AB1065" s="6">
        <f ca="1">IF(Main[[#This Row],[مانده در خط تسویه نشده (کیلوگرم)]]&lt;&gt;0,Main[[#This Row],[تعداد کل روزهای بدهکار (روز)]],0)</f>
        <v>0</v>
      </c>
      <c r="AC1065" s="6">
        <f ca="1">Main[[#This Row],[تعداد روزهای بدهکار  تسویه نشده (روز)]]*Main[[#This Row],[مانده در خط تسویه نشده (کیلوگرم)]]</f>
        <v>0</v>
      </c>
      <c r="AD1065" s="6">
        <f ca="1">SUBTOTAL(9,INDEX(Main[بدهی سررسید شده (کیلوگرم)],1):Main[[#This Row],[بدهی سررسید شده (کیلوگرم)]])</f>
        <v>0</v>
      </c>
      <c r="AE1065" s="6">
        <f ca="1">IF(Main[[#This Row],[مانده در خط سررسید شده (کیلوگرم)]]&lt;&gt;0,Main[[#This Row],[تعداد کل روزهای بدهکار (روز)]],0)</f>
        <v>0</v>
      </c>
      <c r="AF1065" s="6">
        <f ca="1">Main[[#This Row],[تعداد روزهای بدهکار سررسید شده (روز)]]*Main[[#This Row],[مانده در خط سررسید شده (کیلوگرم)]]</f>
        <v>0</v>
      </c>
    </row>
    <row r="1066" spans="1:32" hidden="1" x14ac:dyDescent="0.35">
      <c r="A1066" s="5">
        <f>ROW()-ROW(INDEX(Main[ردیف],1))+1</f>
        <v>1064</v>
      </c>
      <c r="B1066" s="31">
        <f>SUBTOTAL(2,INDEX(Main[ردیف],1):Main[[#This Row],[ردیف]])</f>
        <v>99</v>
      </c>
      <c r="C1066" s="32" t="s">
        <v>616</v>
      </c>
      <c r="D1066" s="32" t="str">
        <f>_xlfn.CONCAT("14",Main[[#This Row],[تاريخ]])</f>
        <v>1400/04/21</v>
      </c>
      <c r="E1066" s="33">
        <v>44389</v>
      </c>
      <c r="F1066" s="32">
        <v>30155</v>
      </c>
      <c r="G1066" s="5" t="str">
        <f>INDEX(customer[عنوان],MATCH(Main[[#This Row],[کد ردیابی]],customer[کد],0))</f>
        <v>سری تراشی طاهری</v>
      </c>
      <c r="H1066">
        <v>276</v>
      </c>
      <c r="I1066" s="6">
        <f ca="1">-Main[[#This Row],[بدهی تسویه شده (کیلوگرم)]]+Main[[#This Row],[بستانکار (کیلوگرم)]]</f>
        <v>276</v>
      </c>
      <c r="J1066" s="6">
        <f>IF(Main[[#This Row],[مقدار (کیلوگرم)]]&gt;0,Main[[#This Row],[مقدار (کیلوگرم)]],0)</f>
        <v>276</v>
      </c>
      <c r="K1066" s="6">
        <f>-IF(Main[[#This Row],[مقدار (کیلوگرم)]]&lt;0,Main[[#This Row],[مقدار (کیلوگرم)]],0)</f>
        <v>0</v>
      </c>
      <c r="L10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6" s="7">
        <f>-IF(AND(Main[[#This Row],[مقدار (کیلوگرم)]]&lt;0,Main[[#This Row],[تاريخ میلادی]]&gt;44276),Main[[#This Row],[مقدار (کیلوگرم)]],0)</f>
        <v>0</v>
      </c>
      <c r="N1066" s="6">
        <f ca="1">Main[[#This Row],[بدهکار (کیلوگرم)]]-Main[[#This Row],[بدهی تسویه نشده (کیلوگرم)]]</f>
        <v>0</v>
      </c>
      <c r="O1066" s="6">
        <f ca="1">Main[[#This Row],[تفکیک]]</f>
        <v>0</v>
      </c>
      <c r="P1066" s="6">
        <f ca="1">IF(Main[[#This Row],[تاخیر از سررسید]]&gt;0,Main[[#This Row],[بدهی تسویه نشده (کیلوگرم)]],0)</f>
        <v>0</v>
      </c>
      <c r="Q1066" s="6">
        <f ca="1">IF(Main[[#This Row],[بدهی تسویه نشده (کیلوگرم)]]&gt;0,'گزارش فردی'!$B$7-Main[[#This Row],[تاريخ میلادی]],0)</f>
        <v>0</v>
      </c>
      <c r="R1066" s="6">
        <f ca="1">IF(Main[[#This Row],[بدهی تسویه نشده (کیلوگرم)]]&gt;0,'گزارش فردی'!$B$7-Main[[#This Row],[تاريخ میلادی]]-'گزارش فردی'!$B$8,0)</f>
        <v>0</v>
      </c>
      <c r="S1066" s="6">
        <f ca="1">Main[[#This Row],[روز از ارسال سفارش]]*Main[[#This Row],[بدهی تسویه نشده (کیلوگرم)]]</f>
        <v>0</v>
      </c>
      <c r="T1066" s="6">
        <f ca="1">Main[[#This Row],[بدهی سررسید شده (کیلوگرم)]]*Main[[#This Row],[روز از ارسال سفارش]]</f>
        <v>0</v>
      </c>
      <c r="U1066" s="6">
        <f>-SUBTOTAL(9,INDEX(Main[مقدار (کیلوگرم)],1):Main[[#This Row],[مقدار (کیلوگرم)]])</f>
        <v>18186</v>
      </c>
      <c r="V10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6" s="6">
        <f>Main[[#This Row],[تعداد کل روزهای بدهکار (روز)]]*Main[[#This Row],[مانده در خط کل (کیلوگرم)]]</f>
        <v>18186</v>
      </c>
      <c r="X1066" s="6">
        <f ca="1">-SUBTOTAL(9,INDEX(Main[مقدار تسویه شده (کیلوگرم)],1):Main[[#This Row],[مقدار تسویه شده (کیلوگرم)]])</f>
        <v>18186</v>
      </c>
      <c r="Y1066" s="6">
        <f ca="1">IF(Main[[#This Row],[مانده در خط تسویه شده (کیلوگرم)]]&lt;&gt;0,Main[[#This Row],[تعداد کل روزهای بدهکار (روز)]],0)</f>
        <v>1</v>
      </c>
      <c r="Z1066" s="6">
        <f ca="1">Main[[#This Row],[تعداد روزهای بدهکار تسویه شده (روز)]]*Main[[#This Row],[مانده در خط تسویه شده (کیلوگرم)]]</f>
        <v>18186</v>
      </c>
      <c r="AA1066" s="6">
        <f ca="1">SUBTOTAL(9,INDEX(Main[بدهی تسویه نشده (کیلوگرم)],1):Main[[#This Row],[بدهی تسویه نشده (کیلوگرم)]])</f>
        <v>0</v>
      </c>
      <c r="AB1066" s="6">
        <f ca="1">IF(Main[[#This Row],[مانده در خط تسویه نشده (کیلوگرم)]]&lt;&gt;0,Main[[#This Row],[تعداد کل روزهای بدهکار (روز)]],0)</f>
        <v>0</v>
      </c>
      <c r="AC1066" s="6">
        <f ca="1">Main[[#This Row],[تعداد روزهای بدهکار  تسویه نشده (روز)]]*Main[[#This Row],[مانده در خط تسویه نشده (کیلوگرم)]]</f>
        <v>0</v>
      </c>
      <c r="AD1066" s="6">
        <f ca="1">SUBTOTAL(9,INDEX(Main[بدهی سررسید شده (کیلوگرم)],1):Main[[#This Row],[بدهی سررسید شده (کیلوگرم)]])</f>
        <v>0</v>
      </c>
      <c r="AE1066" s="6">
        <f ca="1">IF(Main[[#This Row],[مانده در خط سررسید شده (کیلوگرم)]]&lt;&gt;0,Main[[#This Row],[تعداد کل روزهای بدهکار (روز)]],0)</f>
        <v>0</v>
      </c>
      <c r="AF1066" s="6">
        <f ca="1">Main[[#This Row],[تعداد روزهای بدهکار سررسید شده (روز)]]*Main[[#This Row],[مانده در خط سررسید شده (کیلوگرم)]]</f>
        <v>0</v>
      </c>
    </row>
    <row r="1067" spans="1:32" hidden="1" x14ac:dyDescent="0.35">
      <c r="A1067" s="5">
        <f>ROW()-ROW(INDEX(Main[ردیف],1))+1</f>
        <v>1065</v>
      </c>
      <c r="B1067" s="31">
        <f>SUBTOTAL(2,INDEX(Main[ردیف],1):Main[[#This Row],[ردیف]])</f>
        <v>99</v>
      </c>
      <c r="C1067" s="32" t="s">
        <v>616</v>
      </c>
      <c r="D1067" s="32" t="str">
        <f>_xlfn.CONCAT("14",Main[[#This Row],[تاريخ]])</f>
        <v>1400/04/21</v>
      </c>
      <c r="E1067" s="33">
        <v>44389</v>
      </c>
      <c r="F1067" s="32">
        <v>30055</v>
      </c>
      <c r="G1067" s="5" t="str">
        <f>INDEX(customer[عنوان],MATCH(Main[[#This Row],[کد ردیابی]],customer[کد],0))</f>
        <v xml:space="preserve">تکنو کار </v>
      </c>
      <c r="H1067">
        <v>-398</v>
      </c>
      <c r="I1067" s="6">
        <f ca="1">-Main[[#This Row],[بدهی تسویه شده (کیلوگرم)]]+Main[[#This Row],[بستانکار (کیلوگرم)]]</f>
        <v>-398</v>
      </c>
      <c r="J1067" s="6">
        <f>IF(Main[[#This Row],[مقدار (کیلوگرم)]]&gt;0,Main[[#This Row],[مقدار (کیلوگرم)]],0)</f>
        <v>0</v>
      </c>
      <c r="K1067" s="6">
        <f>-IF(Main[[#This Row],[مقدار (کیلوگرم)]]&lt;0,Main[[#This Row],[مقدار (کیلوگرم)]],0)</f>
        <v>398</v>
      </c>
      <c r="L10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7" s="7">
        <f>-IF(AND(Main[[#This Row],[مقدار (کیلوگرم)]]&lt;0,Main[[#This Row],[تاريخ میلادی]]&gt;44276),Main[[#This Row],[مقدار (کیلوگرم)]],0)</f>
        <v>398</v>
      </c>
      <c r="N1067" s="6">
        <f ca="1">Main[[#This Row],[بدهکار (کیلوگرم)]]-Main[[#This Row],[بدهی تسویه نشده (کیلوگرم)]]</f>
        <v>398</v>
      </c>
      <c r="O1067" s="6">
        <f ca="1">Main[[#This Row],[تفکیک]]</f>
        <v>0</v>
      </c>
      <c r="P1067" s="6">
        <f ca="1">IF(Main[[#This Row],[تاخیر از سررسید]]&gt;0,Main[[#This Row],[بدهی تسویه نشده (کیلوگرم)]],0)</f>
        <v>0</v>
      </c>
      <c r="Q1067" s="6">
        <f ca="1">IF(Main[[#This Row],[بدهی تسویه نشده (کیلوگرم)]]&gt;0,'گزارش فردی'!$B$7-Main[[#This Row],[تاريخ میلادی]],0)</f>
        <v>0</v>
      </c>
      <c r="R1067" s="6">
        <f ca="1">IF(Main[[#This Row],[بدهی تسویه نشده (کیلوگرم)]]&gt;0,'گزارش فردی'!$B$7-Main[[#This Row],[تاريخ میلادی]]-'گزارش فردی'!$B$8,0)</f>
        <v>0</v>
      </c>
      <c r="S1067" s="6">
        <f ca="1">Main[[#This Row],[روز از ارسال سفارش]]*Main[[#This Row],[بدهی تسویه نشده (کیلوگرم)]]</f>
        <v>0</v>
      </c>
      <c r="T1067" s="6">
        <f ca="1">Main[[#This Row],[بدهی سررسید شده (کیلوگرم)]]*Main[[#This Row],[روز از ارسال سفارش]]</f>
        <v>0</v>
      </c>
      <c r="U1067" s="6">
        <f>-SUBTOTAL(9,INDEX(Main[مقدار (کیلوگرم)],1):Main[[#This Row],[مقدار (کیلوگرم)]])</f>
        <v>18186</v>
      </c>
      <c r="V10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7" s="6">
        <f>Main[[#This Row],[تعداد کل روزهای بدهکار (روز)]]*Main[[#This Row],[مانده در خط کل (کیلوگرم)]]</f>
        <v>18186</v>
      </c>
      <c r="X1067" s="6">
        <f ca="1">-SUBTOTAL(9,INDEX(Main[مقدار تسویه شده (کیلوگرم)],1):Main[[#This Row],[مقدار تسویه شده (کیلوگرم)]])</f>
        <v>18186</v>
      </c>
      <c r="Y1067" s="6">
        <f ca="1">IF(Main[[#This Row],[مانده در خط تسویه شده (کیلوگرم)]]&lt;&gt;0,Main[[#This Row],[تعداد کل روزهای بدهکار (روز)]],0)</f>
        <v>1</v>
      </c>
      <c r="Z1067" s="6">
        <f ca="1">Main[[#This Row],[تعداد روزهای بدهکار تسویه شده (روز)]]*Main[[#This Row],[مانده در خط تسویه شده (کیلوگرم)]]</f>
        <v>18186</v>
      </c>
      <c r="AA1067" s="6">
        <f ca="1">SUBTOTAL(9,INDEX(Main[بدهی تسویه نشده (کیلوگرم)],1):Main[[#This Row],[بدهی تسویه نشده (کیلوگرم)]])</f>
        <v>0</v>
      </c>
      <c r="AB1067" s="6">
        <f ca="1">IF(Main[[#This Row],[مانده در خط تسویه نشده (کیلوگرم)]]&lt;&gt;0,Main[[#This Row],[تعداد کل روزهای بدهکار (روز)]],0)</f>
        <v>0</v>
      </c>
      <c r="AC1067" s="6">
        <f ca="1">Main[[#This Row],[تعداد روزهای بدهکار  تسویه نشده (روز)]]*Main[[#This Row],[مانده در خط تسویه نشده (کیلوگرم)]]</f>
        <v>0</v>
      </c>
      <c r="AD1067" s="6">
        <f ca="1">SUBTOTAL(9,INDEX(Main[بدهی سررسید شده (کیلوگرم)],1):Main[[#This Row],[بدهی سررسید شده (کیلوگرم)]])</f>
        <v>0</v>
      </c>
      <c r="AE1067" s="6">
        <f ca="1">IF(Main[[#This Row],[مانده در خط سررسید شده (کیلوگرم)]]&lt;&gt;0,Main[[#This Row],[تعداد کل روزهای بدهکار (روز)]],0)</f>
        <v>0</v>
      </c>
      <c r="AF1067" s="6">
        <f ca="1">Main[[#This Row],[تعداد روزهای بدهکار سررسید شده (روز)]]*Main[[#This Row],[مانده در خط سررسید شده (کیلوگرم)]]</f>
        <v>0</v>
      </c>
    </row>
    <row r="1068" spans="1:32" hidden="1" x14ac:dyDescent="0.35">
      <c r="A1068" s="5">
        <f>ROW()-ROW(INDEX(Main[ردیف],1))+1</f>
        <v>1066</v>
      </c>
      <c r="B1068" s="31">
        <f>SUBTOTAL(2,INDEX(Main[ردیف],1):Main[[#This Row],[ردیف]])</f>
        <v>99</v>
      </c>
      <c r="C1068" s="32" t="s">
        <v>616</v>
      </c>
      <c r="D1068" s="32" t="str">
        <f>_xlfn.CONCAT("14",Main[[#This Row],[تاريخ]])</f>
        <v>1400/04/21</v>
      </c>
      <c r="E1068" s="33">
        <v>44389</v>
      </c>
      <c r="F1068" s="32">
        <v>30009</v>
      </c>
      <c r="G1068" s="5" t="str">
        <f>INDEX(customer[عنوان],MATCH(Main[[#This Row],[کد ردیابی]],customer[کد],0))</f>
        <v>شرکت ایمن تک پیشرو</v>
      </c>
      <c r="H1068">
        <v>1210</v>
      </c>
      <c r="I1068" s="6">
        <f ca="1">-Main[[#This Row],[بدهی تسویه شده (کیلوگرم)]]+Main[[#This Row],[بستانکار (کیلوگرم)]]</f>
        <v>1210</v>
      </c>
      <c r="J1068" s="6">
        <f>IF(Main[[#This Row],[مقدار (کیلوگرم)]]&gt;0,Main[[#This Row],[مقدار (کیلوگرم)]],0)</f>
        <v>1210</v>
      </c>
      <c r="K1068" s="6">
        <f>-IF(Main[[#This Row],[مقدار (کیلوگرم)]]&lt;0,Main[[#This Row],[مقدار (کیلوگرم)]],0)</f>
        <v>0</v>
      </c>
      <c r="L10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8" s="7">
        <f>-IF(AND(Main[[#This Row],[مقدار (کیلوگرم)]]&lt;0,Main[[#This Row],[تاريخ میلادی]]&gt;44276),Main[[#This Row],[مقدار (کیلوگرم)]],0)</f>
        <v>0</v>
      </c>
      <c r="N1068" s="6">
        <f ca="1">Main[[#This Row],[بدهکار (کیلوگرم)]]-Main[[#This Row],[بدهی تسویه نشده (کیلوگرم)]]</f>
        <v>0</v>
      </c>
      <c r="O1068" s="6">
        <f ca="1">Main[[#This Row],[تفکیک]]</f>
        <v>0</v>
      </c>
      <c r="P1068" s="6">
        <f ca="1">IF(Main[[#This Row],[تاخیر از سررسید]]&gt;0,Main[[#This Row],[بدهی تسویه نشده (کیلوگرم)]],0)</f>
        <v>0</v>
      </c>
      <c r="Q1068" s="6">
        <f ca="1">IF(Main[[#This Row],[بدهی تسویه نشده (کیلوگرم)]]&gt;0,'گزارش فردی'!$B$7-Main[[#This Row],[تاريخ میلادی]],0)</f>
        <v>0</v>
      </c>
      <c r="R1068" s="6">
        <f ca="1">IF(Main[[#This Row],[بدهی تسویه نشده (کیلوگرم)]]&gt;0,'گزارش فردی'!$B$7-Main[[#This Row],[تاريخ میلادی]]-'گزارش فردی'!$B$8,0)</f>
        <v>0</v>
      </c>
      <c r="S1068" s="6">
        <f ca="1">Main[[#This Row],[روز از ارسال سفارش]]*Main[[#This Row],[بدهی تسویه نشده (کیلوگرم)]]</f>
        <v>0</v>
      </c>
      <c r="T1068" s="6">
        <f ca="1">Main[[#This Row],[بدهی سررسید شده (کیلوگرم)]]*Main[[#This Row],[روز از ارسال سفارش]]</f>
        <v>0</v>
      </c>
      <c r="U1068" s="6">
        <f>-SUBTOTAL(9,INDEX(Main[مقدار (کیلوگرم)],1):Main[[#This Row],[مقدار (کیلوگرم)]])</f>
        <v>18186</v>
      </c>
      <c r="V10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8" s="6">
        <f>Main[[#This Row],[تعداد کل روزهای بدهکار (روز)]]*Main[[#This Row],[مانده در خط کل (کیلوگرم)]]</f>
        <v>18186</v>
      </c>
      <c r="X1068" s="6">
        <f ca="1">-SUBTOTAL(9,INDEX(Main[مقدار تسویه شده (کیلوگرم)],1):Main[[#This Row],[مقدار تسویه شده (کیلوگرم)]])</f>
        <v>18186</v>
      </c>
      <c r="Y1068" s="6">
        <f ca="1">IF(Main[[#This Row],[مانده در خط تسویه شده (کیلوگرم)]]&lt;&gt;0,Main[[#This Row],[تعداد کل روزهای بدهکار (روز)]],0)</f>
        <v>1</v>
      </c>
      <c r="Z1068" s="6">
        <f ca="1">Main[[#This Row],[تعداد روزهای بدهکار تسویه شده (روز)]]*Main[[#This Row],[مانده در خط تسویه شده (کیلوگرم)]]</f>
        <v>18186</v>
      </c>
      <c r="AA1068" s="6">
        <f ca="1">SUBTOTAL(9,INDEX(Main[بدهی تسویه نشده (کیلوگرم)],1):Main[[#This Row],[بدهی تسویه نشده (کیلوگرم)]])</f>
        <v>0</v>
      </c>
      <c r="AB1068" s="6">
        <f ca="1">IF(Main[[#This Row],[مانده در خط تسویه نشده (کیلوگرم)]]&lt;&gt;0,Main[[#This Row],[تعداد کل روزهای بدهکار (روز)]],0)</f>
        <v>0</v>
      </c>
      <c r="AC1068" s="6">
        <f ca="1">Main[[#This Row],[تعداد روزهای بدهکار  تسویه نشده (روز)]]*Main[[#This Row],[مانده در خط تسویه نشده (کیلوگرم)]]</f>
        <v>0</v>
      </c>
      <c r="AD1068" s="6">
        <f ca="1">SUBTOTAL(9,INDEX(Main[بدهی سررسید شده (کیلوگرم)],1):Main[[#This Row],[بدهی سررسید شده (کیلوگرم)]])</f>
        <v>0</v>
      </c>
      <c r="AE1068" s="6">
        <f ca="1">IF(Main[[#This Row],[مانده در خط سررسید شده (کیلوگرم)]]&lt;&gt;0,Main[[#This Row],[تعداد کل روزهای بدهکار (روز)]],0)</f>
        <v>0</v>
      </c>
      <c r="AF1068" s="6">
        <f ca="1">Main[[#This Row],[تعداد روزهای بدهکار سررسید شده (روز)]]*Main[[#This Row],[مانده در خط سررسید شده (کیلوگرم)]]</f>
        <v>0</v>
      </c>
    </row>
    <row r="1069" spans="1:32" hidden="1" x14ac:dyDescent="0.35">
      <c r="A1069" s="5">
        <f>ROW()-ROW(INDEX(Main[ردیف],1))+1</f>
        <v>1067</v>
      </c>
      <c r="B1069" s="31">
        <f>SUBTOTAL(2,INDEX(Main[ردیف],1):Main[[#This Row],[ردیف]])</f>
        <v>99</v>
      </c>
      <c r="C1069" s="32" t="s">
        <v>616</v>
      </c>
      <c r="D1069" s="32" t="str">
        <f>_xlfn.CONCAT("14",Main[[#This Row],[تاريخ]])</f>
        <v>1400/04/21</v>
      </c>
      <c r="E1069" s="33">
        <v>44389</v>
      </c>
      <c r="F1069" s="32">
        <v>10026</v>
      </c>
      <c r="G1069" s="5" t="str">
        <f>INDEX(customer[عنوان],MATCH(Main[[#This Row],[کد ردیابی]],customer[کد],0))</f>
        <v xml:space="preserve">محسن فیاض بخش </v>
      </c>
      <c r="H1069">
        <v>3000</v>
      </c>
      <c r="I1069" s="6">
        <f ca="1">-Main[[#This Row],[بدهی تسویه شده (کیلوگرم)]]+Main[[#This Row],[بستانکار (کیلوگرم)]]</f>
        <v>3000</v>
      </c>
      <c r="J1069" s="6">
        <f>IF(Main[[#This Row],[مقدار (کیلوگرم)]]&gt;0,Main[[#This Row],[مقدار (کیلوگرم)]],0)</f>
        <v>3000</v>
      </c>
      <c r="K1069" s="6">
        <f>-IF(Main[[#This Row],[مقدار (کیلوگرم)]]&lt;0,Main[[#This Row],[مقدار (کیلوگرم)]],0)</f>
        <v>0</v>
      </c>
      <c r="L10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9" s="7">
        <f>-IF(AND(Main[[#This Row],[مقدار (کیلوگرم)]]&lt;0,Main[[#This Row],[تاريخ میلادی]]&gt;44276),Main[[#This Row],[مقدار (کیلوگرم)]],0)</f>
        <v>0</v>
      </c>
      <c r="N1069" s="6">
        <f ca="1">Main[[#This Row],[بدهکار (کیلوگرم)]]-Main[[#This Row],[بدهی تسویه نشده (کیلوگرم)]]</f>
        <v>0</v>
      </c>
      <c r="O1069" s="6">
        <f ca="1">Main[[#This Row],[تفکیک]]</f>
        <v>0</v>
      </c>
      <c r="P1069" s="6">
        <f ca="1">IF(Main[[#This Row],[تاخیر از سررسید]]&gt;0,Main[[#This Row],[بدهی تسویه نشده (کیلوگرم)]],0)</f>
        <v>0</v>
      </c>
      <c r="Q1069" s="6">
        <f ca="1">IF(Main[[#This Row],[بدهی تسویه نشده (کیلوگرم)]]&gt;0,'گزارش فردی'!$B$7-Main[[#This Row],[تاريخ میلادی]],0)</f>
        <v>0</v>
      </c>
      <c r="R1069" s="6">
        <f ca="1">IF(Main[[#This Row],[بدهی تسویه نشده (کیلوگرم)]]&gt;0,'گزارش فردی'!$B$7-Main[[#This Row],[تاريخ میلادی]]-'گزارش فردی'!$B$8,0)</f>
        <v>0</v>
      </c>
      <c r="S1069" s="6">
        <f ca="1">Main[[#This Row],[روز از ارسال سفارش]]*Main[[#This Row],[بدهی تسویه نشده (کیلوگرم)]]</f>
        <v>0</v>
      </c>
      <c r="T1069" s="6">
        <f ca="1">Main[[#This Row],[بدهی سررسید شده (کیلوگرم)]]*Main[[#This Row],[روز از ارسال سفارش]]</f>
        <v>0</v>
      </c>
      <c r="U1069" s="6">
        <f>-SUBTOTAL(9,INDEX(Main[مقدار (کیلوگرم)],1):Main[[#This Row],[مقدار (کیلوگرم)]])</f>
        <v>18186</v>
      </c>
      <c r="V10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9" s="6">
        <f>Main[[#This Row],[تعداد کل روزهای بدهکار (روز)]]*Main[[#This Row],[مانده در خط کل (کیلوگرم)]]</f>
        <v>18186</v>
      </c>
      <c r="X1069" s="6">
        <f ca="1">-SUBTOTAL(9,INDEX(Main[مقدار تسویه شده (کیلوگرم)],1):Main[[#This Row],[مقدار تسویه شده (کیلوگرم)]])</f>
        <v>18186</v>
      </c>
      <c r="Y1069" s="6">
        <f ca="1">IF(Main[[#This Row],[مانده در خط تسویه شده (کیلوگرم)]]&lt;&gt;0,Main[[#This Row],[تعداد کل روزهای بدهکار (روز)]],0)</f>
        <v>1</v>
      </c>
      <c r="Z1069" s="6">
        <f ca="1">Main[[#This Row],[تعداد روزهای بدهکار تسویه شده (روز)]]*Main[[#This Row],[مانده در خط تسویه شده (کیلوگرم)]]</f>
        <v>18186</v>
      </c>
      <c r="AA1069" s="6">
        <f ca="1">SUBTOTAL(9,INDEX(Main[بدهی تسویه نشده (کیلوگرم)],1):Main[[#This Row],[بدهی تسویه نشده (کیلوگرم)]])</f>
        <v>0</v>
      </c>
      <c r="AB1069" s="6">
        <f ca="1">IF(Main[[#This Row],[مانده در خط تسویه نشده (کیلوگرم)]]&lt;&gt;0,Main[[#This Row],[تعداد کل روزهای بدهکار (روز)]],0)</f>
        <v>0</v>
      </c>
      <c r="AC1069" s="6">
        <f ca="1">Main[[#This Row],[تعداد روزهای بدهکار  تسویه نشده (روز)]]*Main[[#This Row],[مانده در خط تسویه نشده (کیلوگرم)]]</f>
        <v>0</v>
      </c>
      <c r="AD1069" s="6">
        <f ca="1">SUBTOTAL(9,INDEX(Main[بدهی سررسید شده (کیلوگرم)],1):Main[[#This Row],[بدهی سررسید شده (کیلوگرم)]])</f>
        <v>0</v>
      </c>
      <c r="AE1069" s="6">
        <f ca="1">IF(Main[[#This Row],[مانده در خط سررسید شده (کیلوگرم)]]&lt;&gt;0,Main[[#This Row],[تعداد کل روزهای بدهکار (روز)]],0)</f>
        <v>0</v>
      </c>
      <c r="AF1069" s="6">
        <f ca="1">Main[[#This Row],[تعداد روزهای بدهکار سررسید شده (روز)]]*Main[[#This Row],[مانده در خط سررسید شده (کیلوگرم)]]</f>
        <v>0</v>
      </c>
    </row>
    <row r="1070" spans="1:32" hidden="1" x14ac:dyDescent="0.35">
      <c r="A1070" s="5">
        <f>ROW()-ROW(INDEX(Main[ردیف],1))+1</f>
        <v>1068</v>
      </c>
      <c r="B1070" s="31">
        <f>SUBTOTAL(2,INDEX(Main[ردیف],1):Main[[#This Row],[ردیف]])</f>
        <v>99</v>
      </c>
      <c r="C1070" s="32" t="s">
        <v>616</v>
      </c>
      <c r="D1070" s="32" t="str">
        <f>_xlfn.CONCAT("14",Main[[#This Row],[تاريخ]])</f>
        <v>1400/04/21</v>
      </c>
      <c r="E1070" s="33">
        <v>44389</v>
      </c>
      <c r="F1070" s="32">
        <v>10026</v>
      </c>
      <c r="G1070" s="5" t="str">
        <f>INDEX(customer[عنوان],MATCH(Main[[#This Row],[کد ردیابی]],customer[کد],0))</f>
        <v xml:space="preserve">محسن فیاض بخش </v>
      </c>
      <c r="H1070">
        <v>7000</v>
      </c>
      <c r="I1070" s="6">
        <f ca="1">-Main[[#This Row],[بدهی تسویه شده (کیلوگرم)]]+Main[[#This Row],[بستانکار (کیلوگرم)]]</f>
        <v>7000</v>
      </c>
      <c r="J1070" s="6">
        <f>IF(Main[[#This Row],[مقدار (کیلوگرم)]]&gt;0,Main[[#This Row],[مقدار (کیلوگرم)]],0)</f>
        <v>7000</v>
      </c>
      <c r="K1070" s="6">
        <f>-IF(Main[[#This Row],[مقدار (کیلوگرم)]]&lt;0,Main[[#This Row],[مقدار (کیلوگرم)]],0)</f>
        <v>0</v>
      </c>
      <c r="L10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0" s="7">
        <f>-IF(AND(Main[[#This Row],[مقدار (کیلوگرم)]]&lt;0,Main[[#This Row],[تاريخ میلادی]]&gt;44276),Main[[#This Row],[مقدار (کیلوگرم)]],0)</f>
        <v>0</v>
      </c>
      <c r="N1070" s="6">
        <f ca="1">Main[[#This Row],[بدهکار (کیلوگرم)]]-Main[[#This Row],[بدهی تسویه نشده (کیلوگرم)]]</f>
        <v>0</v>
      </c>
      <c r="O1070" s="6">
        <f ca="1">Main[[#This Row],[تفکیک]]</f>
        <v>0</v>
      </c>
      <c r="P1070" s="6">
        <f ca="1">IF(Main[[#This Row],[تاخیر از سررسید]]&gt;0,Main[[#This Row],[بدهی تسویه نشده (کیلوگرم)]],0)</f>
        <v>0</v>
      </c>
      <c r="Q1070" s="6">
        <f ca="1">IF(Main[[#This Row],[بدهی تسویه نشده (کیلوگرم)]]&gt;0,'گزارش فردی'!$B$7-Main[[#This Row],[تاريخ میلادی]],0)</f>
        <v>0</v>
      </c>
      <c r="R1070" s="6">
        <f ca="1">IF(Main[[#This Row],[بدهی تسویه نشده (کیلوگرم)]]&gt;0,'گزارش فردی'!$B$7-Main[[#This Row],[تاريخ میلادی]]-'گزارش فردی'!$B$8,0)</f>
        <v>0</v>
      </c>
      <c r="S1070" s="6">
        <f ca="1">Main[[#This Row],[روز از ارسال سفارش]]*Main[[#This Row],[بدهی تسویه نشده (کیلوگرم)]]</f>
        <v>0</v>
      </c>
      <c r="T1070" s="6">
        <f ca="1">Main[[#This Row],[بدهی سررسید شده (کیلوگرم)]]*Main[[#This Row],[روز از ارسال سفارش]]</f>
        <v>0</v>
      </c>
      <c r="U1070" s="6">
        <f>-SUBTOTAL(9,INDEX(Main[مقدار (کیلوگرم)],1):Main[[#This Row],[مقدار (کیلوگرم)]])</f>
        <v>18186</v>
      </c>
      <c r="V10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0" s="6">
        <f>Main[[#This Row],[تعداد کل روزهای بدهکار (روز)]]*Main[[#This Row],[مانده در خط کل (کیلوگرم)]]</f>
        <v>18186</v>
      </c>
      <c r="X1070" s="6">
        <f ca="1">-SUBTOTAL(9,INDEX(Main[مقدار تسویه شده (کیلوگرم)],1):Main[[#This Row],[مقدار تسویه شده (کیلوگرم)]])</f>
        <v>18186</v>
      </c>
      <c r="Y1070" s="6">
        <f ca="1">IF(Main[[#This Row],[مانده در خط تسویه شده (کیلوگرم)]]&lt;&gt;0,Main[[#This Row],[تعداد کل روزهای بدهکار (روز)]],0)</f>
        <v>1</v>
      </c>
      <c r="Z1070" s="6">
        <f ca="1">Main[[#This Row],[تعداد روزهای بدهکار تسویه شده (روز)]]*Main[[#This Row],[مانده در خط تسویه شده (کیلوگرم)]]</f>
        <v>18186</v>
      </c>
      <c r="AA1070" s="6">
        <f ca="1">SUBTOTAL(9,INDEX(Main[بدهی تسویه نشده (کیلوگرم)],1):Main[[#This Row],[بدهی تسویه نشده (کیلوگرم)]])</f>
        <v>0</v>
      </c>
      <c r="AB1070" s="6">
        <f ca="1">IF(Main[[#This Row],[مانده در خط تسویه نشده (کیلوگرم)]]&lt;&gt;0,Main[[#This Row],[تعداد کل روزهای بدهکار (روز)]],0)</f>
        <v>0</v>
      </c>
      <c r="AC1070" s="6">
        <f ca="1">Main[[#This Row],[تعداد روزهای بدهکار  تسویه نشده (روز)]]*Main[[#This Row],[مانده در خط تسویه نشده (کیلوگرم)]]</f>
        <v>0</v>
      </c>
      <c r="AD1070" s="6">
        <f ca="1">SUBTOTAL(9,INDEX(Main[بدهی سررسید شده (کیلوگرم)],1):Main[[#This Row],[بدهی سررسید شده (کیلوگرم)]])</f>
        <v>0</v>
      </c>
      <c r="AE1070" s="6">
        <f ca="1">IF(Main[[#This Row],[مانده در خط سررسید شده (کیلوگرم)]]&lt;&gt;0,Main[[#This Row],[تعداد کل روزهای بدهکار (روز)]],0)</f>
        <v>0</v>
      </c>
      <c r="AF1070" s="6">
        <f ca="1">Main[[#This Row],[تعداد روزهای بدهکار سررسید شده (روز)]]*Main[[#This Row],[مانده در خط سررسید شده (کیلوگرم)]]</f>
        <v>0</v>
      </c>
    </row>
    <row r="1071" spans="1:32" hidden="1" x14ac:dyDescent="0.35">
      <c r="A1071" s="5">
        <f>ROW()-ROW(INDEX(Main[ردیف],1))+1</f>
        <v>1069</v>
      </c>
      <c r="B1071" s="31">
        <f>SUBTOTAL(2,INDEX(Main[ردیف],1):Main[[#This Row],[ردیف]])</f>
        <v>99</v>
      </c>
      <c r="C1071" s="32" t="s">
        <v>617</v>
      </c>
      <c r="D1071" s="32" t="str">
        <f>_xlfn.CONCAT("14",Main[[#This Row],[تاريخ]])</f>
        <v>1400/04/22</v>
      </c>
      <c r="E1071" s="33">
        <v>44390</v>
      </c>
      <c r="F1071" s="32">
        <v>10127</v>
      </c>
      <c r="G1071" s="5" t="str">
        <f>INDEX(customer[عنوان],MATCH(Main[[#This Row],[کد ردیابی]],customer[کد],0))</f>
        <v xml:space="preserve">عماد هاشمی </v>
      </c>
      <c r="H1071">
        <v>-1151</v>
      </c>
      <c r="I1071" s="6">
        <f ca="1">-Main[[#This Row],[بدهی تسویه شده (کیلوگرم)]]+Main[[#This Row],[بستانکار (کیلوگرم)]]</f>
        <v>-1151</v>
      </c>
      <c r="J1071" s="6">
        <f>IF(Main[[#This Row],[مقدار (کیلوگرم)]]&gt;0,Main[[#This Row],[مقدار (کیلوگرم)]],0)</f>
        <v>0</v>
      </c>
      <c r="K1071" s="6">
        <f>-IF(Main[[#This Row],[مقدار (کیلوگرم)]]&lt;0,Main[[#This Row],[مقدار (کیلوگرم)]],0)</f>
        <v>1151</v>
      </c>
      <c r="L10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1" s="7">
        <f>-IF(AND(Main[[#This Row],[مقدار (کیلوگرم)]]&lt;0,Main[[#This Row],[تاريخ میلادی]]&gt;44276),Main[[#This Row],[مقدار (کیلوگرم)]],0)</f>
        <v>1151</v>
      </c>
      <c r="N1071" s="6">
        <f ca="1">Main[[#This Row],[بدهکار (کیلوگرم)]]-Main[[#This Row],[بدهی تسویه نشده (کیلوگرم)]]</f>
        <v>1151</v>
      </c>
      <c r="O1071" s="6">
        <f ca="1">Main[[#This Row],[تفکیک]]</f>
        <v>0</v>
      </c>
      <c r="P1071" s="6">
        <f ca="1">IF(Main[[#This Row],[تاخیر از سررسید]]&gt;0,Main[[#This Row],[بدهی تسویه نشده (کیلوگرم)]],0)</f>
        <v>0</v>
      </c>
      <c r="Q1071" s="6">
        <f ca="1">IF(Main[[#This Row],[بدهی تسویه نشده (کیلوگرم)]]&gt;0,'گزارش فردی'!$B$7-Main[[#This Row],[تاريخ میلادی]],0)</f>
        <v>0</v>
      </c>
      <c r="R1071" s="6">
        <f ca="1">IF(Main[[#This Row],[بدهی تسویه نشده (کیلوگرم)]]&gt;0,'گزارش فردی'!$B$7-Main[[#This Row],[تاريخ میلادی]]-'گزارش فردی'!$B$8,0)</f>
        <v>0</v>
      </c>
      <c r="S1071" s="6">
        <f ca="1">Main[[#This Row],[روز از ارسال سفارش]]*Main[[#This Row],[بدهی تسویه نشده (کیلوگرم)]]</f>
        <v>0</v>
      </c>
      <c r="T1071" s="6">
        <f ca="1">Main[[#This Row],[بدهی سررسید شده (کیلوگرم)]]*Main[[#This Row],[روز از ارسال سفارش]]</f>
        <v>0</v>
      </c>
      <c r="U1071" s="6">
        <f>-SUBTOTAL(9,INDEX(Main[مقدار (کیلوگرم)],1):Main[[#This Row],[مقدار (کیلوگرم)]])</f>
        <v>18186</v>
      </c>
      <c r="V10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1" s="6">
        <f>Main[[#This Row],[تعداد کل روزهای بدهکار (روز)]]*Main[[#This Row],[مانده در خط کل (کیلوگرم)]]</f>
        <v>0</v>
      </c>
      <c r="X1071" s="6">
        <f ca="1">-SUBTOTAL(9,INDEX(Main[مقدار تسویه شده (کیلوگرم)],1):Main[[#This Row],[مقدار تسویه شده (کیلوگرم)]])</f>
        <v>18186</v>
      </c>
      <c r="Y1071" s="6">
        <f ca="1">IF(Main[[#This Row],[مانده در خط تسویه شده (کیلوگرم)]]&lt;&gt;0,Main[[#This Row],[تعداد کل روزهای بدهکار (روز)]],0)</f>
        <v>0</v>
      </c>
      <c r="Z1071" s="6">
        <f ca="1">Main[[#This Row],[تعداد روزهای بدهکار تسویه شده (روز)]]*Main[[#This Row],[مانده در خط تسویه شده (کیلوگرم)]]</f>
        <v>0</v>
      </c>
      <c r="AA1071" s="6">
        <f ca="1">SUBTOTAL(9,INDEX(Main[بدهی تسویه نشده (کیلوگرم)],1):Main[[#This Row],[بدهی تسویه نشده (کیلوگرم)]])</f>
        <v>0</v>
      </c>
      <c r="AB1071" s="6">
        <f ca="1">IF(Main[[#This Row],[مانده در خط تسویه نشده (کیلوگرم)]]&lt;&gt;0,Main[[#This Row],[تعداد کل روزهای بدهکار (روز)]],0)</f>
        <v>0</v>
      </c>
      <c r="AC1071" s="6">
        <f ca="1">Main[[#This Row],[تعداد روزهای بدهکار  تسویه نشده (روز)]]*Main[[#This Row],[مانده در خط تسویه نشده (کیلوگرم)]]</f>
        <v>0</v>
      </c>
      <c r="AD1071" s="6">
        <f ca="1">SUBTOTAL(9,INDEX(Main[بدهی سررسید شده (کیلوگرم)],1):Main[[#This Row],[بدهی سررسید شده (کیلوگرم)]])</f>
        <v>0</v>
      </c>
      <c r="AE1071" s="6">
        <f ca="1">IF(Main[[#This Row],[مانده در خط سررسید شده (کیلوگرم)]]&lt;&gt;0,Main[[#This Row],[تعداد کل روزهای بدهکار (روز)]],0)</f>
        <v>0</v>
      </c>
      <c r="AF1071" s="6">
        <f ca="1">Main[[#This Row],[تعداد روزهای بدهکار سررسید شده (روز)]]*Main[[#This Row],[مانده در خط سررسید شده (کیلوگرم)]]</f>
        <v>0</v>
      </c>
    </row>
    <row r="1072" spans="1:32" hidden="1" x14ac:dyDescent="0.35">
      <c r="A1072" s="5">
        <f>ROW()-ROW(INDEX(Main[ردیف],1))+1</f>
        <v>1070</v>
      </c>
      <c r="B1072" s="31">
        <f>SUBTOTAL(2,INDEX(Main[ردیف],1):Main[[#This Row],[ردیف]])</f>
        <v>99</v>
      </c>
      <c r="C1072" s="32" t="s">
        <v>617</v>
      </c>
      <c r="D1072" s="32" t="str">
        <f>_xlfn.CONCAT("14",Main[[#This Row],[تاريخ]])</f>
        <v>1400/04/22</v>
      </c>
      <c r="E1072" s="33">
        <v>44390</v>
      </c>
      <c r="F1072" s="32">
        <v>30058</v>
      </c>
      <c r="G1072" s="5" t="str">
        <f>INDEX(customer[عنوان],MATCH(Main[[#This Row],[کد ردیابی]],customer[کد],0))</f>
        <v xml:space="preserve">پارس شیر </v>
      </c>
      <c r="H1072">
        <v>4625</v>
      </c>
      <c r="I1072" s="6">
        <f ca="1">-Main[[#This Row],[بدهی تسویه شده (کیلوگرم)]]+Main[[#This Row],[بستانکار (کیلوگرم)]]</f>
        <v>4625</v>
      </c>
      <c r="J1072" s="6">
        <f>IF(Main[[#This Row],[مقدار (کیلوگرم)]]&gt;0,Main[[#This Row],[مقدار (کیلوگرم)]],0)</f>
        <v>4625</v>
      </c>
      <c r="K1072" s="6">
        <f>-IF(Main[[#This Row],[مقدار (کیلوگرم)]]&lt;0,Main[[#This Row],[مقدار (کیلوگرم)]],0)</f>
        <v>0</v>
      </c>
      <c r="L10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2" s="7">
        <f>-IF(AND(Main[[#This Row],[مقدار (کیلوگرم)]]&lt;0,Main[[#This Row],[تاريخ میلادی]]&gt;44276),Main[[#This Row],[مقدار (کیلوگرم)]],0)</f>
        <v>0</v>
      </c>
      <c r="N1072" s="6">
        <f ca="1">Main[[#This Row],[بدهکار (کیلوگرم)]]-Main[[#This Row],[بدهی تسویه نشده (کیلوگرم)]]</f>
        <v>0</v>
      </c>
      <c r="O1072" s="6">
        <f ca="1">Main[[#This Row],[تفکیک]]</f>
        <v>0</v>
      </c>
      <c r="P1072" s="6">
        <f ca="1">IF(Main[[#This Row],[تاخیر از سررسید]]&gt;0,Main[[#This Row],[بدهی تسویه نشده (کیلوگرم)]],0)</f>
        <v>0</v>
      </c>
      <c r="Q1072" s="6">
        <f ca="1">IF(Main[[#This Row],[بدهی تسویه نشده (کیلوگرم)]]&gt;0,'گزارش فردی'!$B$7-Main[[#This Row],[تاريخ میلادی]],0)</f>
        <v>0</v>
      </c>
      <c r="R1072" s="6">
        <f ca="1">IF(Main[[#This Row],[بدهی تسویه نشده (کیلوگرم)]]&gt;0,'گزارش فردی'!$B$7-Main[[#This Row],[تاريخ میلادی]]-'گزارش فردی'!$B$8,0)</f>
        <v>0</v>
      </c>
      <c r="S1072" s="6">
        <f ca="1">Main[[#This Row],[روز از ارسال سفارش]]*Main[[#This Row],[بدهی تسویه نشده (کیلوگرم)]]</f>
        <v>0</v>
      </c>
      <c r="T1072" s="6">
        <f ca="1">Main[[#This Row],[بدهی سررسید شده (کیلوگرم)]]*Main[[#This Row],[روز از ارسال سفارش]]</f>
        <v>0</v>
      </c>
      <c r="U1072" s="6">
        <f>-SUBTOTAL(9,INDEX(Main[مقدار (کیلوگرم)],1):Main[[#This Row],[مقدار (کیلوگرم)]])</f>
        <v>18186</v>
      </c>
      <c r="V10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2" s="6">
        <f>Main[[#This Row],[تعداد کل روزهای بدهکار (روز)]]*Main[[#This Row],[مانده در خط کل (کیلوگرم)]]</f>
        <v>0</v>
      </c>
      <c r="X1072" s="6">
        <f ca="1">-SUBTOTAL(9,INDEX(Main[مقدار تسویه شده (کیلوگرم)],1):Main[[#This Row],[مقدار تسویه شده (کیلوگرم)]])</f>
        <v>18186</v>
      </c>
      <c r="Y1072" s="6">
        <f ca="1">IF(Main[[#This Row],[مانده در خط تسویه شده (کیلوگرم)]]&lt;&gt;0,Main[[#This Row],[تعداد کل روزهای بدهکار (روز)]],0)</f>
        <v>0</v>
      </c>
      <c r="Z1072" s="6">
        <f ca="1">Main[[#This Row],[تعداد روزهای بدهکار تسویه شده (روز)]]*Main[[#This Row],[مانده در خط تسویه شده (کیلوگرم)]]</f>
        <v>0</v>
      </c>
      <c r="AA1072" s="6">
        <f ca="1">SUBTOTAL(9,INDEX(Main[بدهی تسویه نشده (کیلوگرم)],1):Main[[#This Row],[بدهی تسویه نشده (کیلوگرم)]])</f>
        <v>0</v>
      </c>
      <c r="AB1072" s="6">
        <f ca="1">IF(Main[[#This Row],[مانده در خط تسویه نشده (کیلوگرم)]]&lt;&gt;0,Main[[#This Row],[تعداد کل روزهای بدهکار (روز)]],0)</f>
        <v>0</v>
      </c>
      <c r="AC1072" s="6">
        <f ca="1">Main[[#This Row],[تعداد روزهای بدهکار  تسویه نشده (روز)]]*Main[[#This Row],[مانده در خط تسویه نشده (کیلوگرم)]]</f>
        <v>0</v>
      </c>
      <c r="AD1072" s="6">
        <f ca="1">SUBTOTAL(9,INDEX(Main[بدهی سررسید شده (کیلوگرم)],1):Main[[#This Row],[بدهی سررسید شده (کیلوگرم)]])</f>
        <v>0</v>
      </c>
      <c r="AE1072" s="6">
        <f ca="1">IF(Main[[#This Row],[مانده در خط سررسید شده (کیلوگرم)]]&lt;&gt;0,Main[[#This Row],[تعداد کل روزهای بدهکار (روز)]],0)</f>
        <v>0</v>
      </c>
      <c r="AF1072" s="6">
        <f ca="1">Main[[#This Row],[تعداد روزهای بدهکار سررسید شده (روز)]]*Main[[#This Row],[مانده در خط سررسید شده (کیلوگرم)]]</f>
        <v>0</v>
      </c>
    </row>
    <row r="1073" spans="1:32" hidden="1" x14ac:dyDescent="0.35">
      <c r="A1073" s="5">
        <f>ROW()-ROW(INDEX(Main[ردیف],1))+1</f>
        <v>1071</v>
      </c>
      <c r="B1073" s="31">
        <f>SUBTOTAL(2,INDEX(Main[ردیف],1):Main[[#This Row],[ردیف]])</f>
        <v>99</v>
      </c>
      <c r="C1073" s="32" t="s">
        <v>617</v>
      </c>
      <c r="D1073" s="32" t="str">
        <f>_xlfn.CONCAT("14",Main[[#This Row],[تاريخ]])</f>
        <v>1400/04/22</v>
      </c>
      <c r="E1073" s="33">
        <v>44390</v>
      </c>
      <c r="F1073" s="32">
        <v>30004</v>
      </c>
      <c r="G1073" s="5" t="str">
        <f>INDEX(customer[عنوان],MATCH(Main[[#This Row],[کد ردیابی]],customer[کد],0))</f>
        <v>تولیدی صنعتی صفاشیر پارس</v>
      </c>
      <c r="H1073">
        <v>-2548</v>
      </c>
      <c r="I1073" s="6">
        <f ca="1">-Main[[#This Row],[بدهی تسویه شده (کیلوگرم)]]+Main[[#This Row],[بستانکار (کیلوگرم)]]</f>
        <v>-2548</v>
      </c>
      <c r="J1073" s="6">
        <f>IF(Main[[#This Row],[مقدار (کیلوگرم)]]&gt;0,Main[[#This Row],[مقدار (کیلوگرم)]],0)</f>
        <v>0</v>
      </c>
      <c r="K1073" s="6">
        <f>-IF(Main[[#This Row],[مقدار (کیلوگرم)]]&lt;0,Main[[#This Row],[مقدار (کیلوگرم)]],0)</f>
        <v>2548</v>
      </c>
      <c r="L10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3" s="7">
        <f>-IF(AND(Main[[#This Row],[مقدار (کیلوگرم)]]&lt;0,Main[[#This Row],[تاريخ میلادی]]&gt;44276),Main[[#This Row],[مقدار (کیلوگرم)]],0)</f>
        <v>2548</v>
      </c>
      <c r="N1073" s="6">
        <f ca="1">Main[[#This Row],[بدهکار (کیلوگرم)]]-Main[[#This Row],[بدهی تسویه نشده (کیلوگرم)]]</f>
        <v>2548</v>
      </c>
      <c r="O1073" s="6">
        <f ca="1">Main[[#This Row],[تفکیک]]</f>
        <v>0</v>
      </c>
      <c r="P1073" s="6">
        <f ca="1">IF(Main[[#This Row],[تاخیر از سررسید]]&gt;0,Main[[#This Row],[بدهی تسویه نشده (کیلوگرم)]],0)</f>
        <v>0</v>
      </c>
      <c r="Q1073" s="6">
        <f ca="1">IF(Main[[#This Row],[بدهی تسویه نشده (کیلوگرم)]]&gt;0,'گزارش فردی'!$B$7-Main[[#This Row],[تاريخ میلادی]],0)</f>
        <v>0</v>
      </c>
      <c r="R1073" s="6">
        <f ca="1">IF(Main[[#This Row],[بدهی تسویه نشده (کیلوگرم)]]&gt;0,'گزارش فردی'!$B$7-Main[[#This Row],[تاريخ میلادی]]-'گزارش فردی'!$B$8,0)</f>
        <v>0</v>
      </c>
      <c r="S1073" s="6">
        <f ca="1">Main[[#This Row],[روز از ارسال سفارش]]*Main[[#This Row],[بدهی تسویه نشده (کیلوگرم)]]</f>
        <v>0</v>
      </c>
      <c r="T1073" s="6">
        <f ca="1">Main[[#This Row],[بدهی سررسید شده (کیلوگرم)]]*Main[[#This Row],[روز از ارسال سفارش]]</f>
        <v>0</v>
      </c>
      <c r="U1073" s="6">
        <f>-SUBTOTAL(9,INDEX(Main[مقدار (کیلوگرم)],1):Main[[#This Row],[مقدار (کیلوگرم)]])</f>
        <v>18186</v>
      </c>
      <c r="V10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3" s="6">
        <f>Main[[#This Row],[تعداد کل روزهای بدهکار (روز)]]*Main[[#This Row],[مانده در خط کل (کیلوگرم)]]</f>
        <v>0</v>
      </c>
      <c r="X1073" s="6">
        <f ca="1">-SUBTOTAL(9,INDEX(Main[مقدار تسویه شده (کیلوگرم)],1):Main[[#This Row],[مقدار تسویه شده (کیلوگرم)]])</f>
        <v>18186</v>
      </c>
      <c r="Y1073" s="6">
        <f ca="1">IF(Main[[#This Row],[مانده در خط تسویه شده (کیلوگرم)]]&lt;&gt;0,Main[[#This Row],[تعداد کل روزهای بدهکار (روز)]],0)</f>
        <v>0</v>
      </c>
      <c r="Z1073" s="6">
        <f ca="1">Main[[#This Row],[تعداد روزهای بدهکار تسویه شده (روز)]]*Main[[#This Row],[مانده در خط تسویه شده (کیلوگرم)]]</f>
        <v>0</v>
      </c>
      <c r="AA1073" s="6">
        <f ca="1">SUBTOTAL(9,INDEX(Main[بدهی تسویه نشده (کیلوگرم)],1):Main[[#This Row],[بدهی تسویه نشده (کیلوگرم)]])</f>
        <v>0</v>
      </c>
      <c r="AB1073" s="6">
        <f ca="1">IF(Main[[#This Row],[مانده در خط تسویه نشده (کیلوگرم)]]&lt;&gt;0,Main[[#This Row],[تعداد کل روزهای بدهکار (روز)]],0)</f>
        <v>0</v>
      </c>
      <c r="AC1073" s="6">
        <f ca="1">Main[[#This Row],[تعداد روزهای بدهکار  تسویه نشده (روز)]]*Main[[#This Row],[مانده در خط تسویه نشده (کیلوگرم)]]</f>
        <v>0</v>
      </c>
      <c r="AD1073" s="6">
        <f ca="1">SUBTOTAL(9,INDEX(Main[بدهی سررسید شده (کیلوگرم)],1):Main[[#This Row],[بدهی سررسید شده (کیلوگرم)]])</f>
        <v>0</v>
      </c>
      <c r="AE1073" s="6">
        <f ca="1">IF(Main[[#This Row],[مانده در خط سررسید شده (کیلوگرم)]]&lt;&gt;0,Main[[#This Row],[تعداد کل روزهای بدهکار (روز)]],0)</f>
        <v>0</v>
      </c>
      <c r="AF1073" s="6">
        <f ca="1">Main[[#This Row],[تعداد روزهای بدهکار سررسید شده (روز)]]*Main[[#This Row],[مانده در خط سررسید شده (کیلوگرم)]]</f>
        <v>0</v>
      </c>
    </row>
    <row r="1074" spans="1:32" hidden="1" x14ac:dyDescent="0.35">
      <c r="A1074" s="5">
        <f>ROW()-ROW(INDEX(Main[ردیف],1))+1</f>
        <v>1072</v>
      </c>
      <c r="B1074" s="31">
        <f>SUBTOTAL(2,INDEX(Main[ردیف],1):Main[[#This Row],[ردیف]])</f>
        <v>99</v>
      </c>
      <c r="C1074" s="32" t="s">
        <v>617</v>
      </c>
      <c r="D1074" s="32" t="str">
        <f>_xlfn.CONCAT("14",Main[[#This Row],[تاريخ]])</f>
        <v>1400/04/22</v>
      </c>
      <c r="E1074" s="33">
        <v>44390</v>
      </c>
      <c r="F1074" s="32">
        <v>30081</v>
      </c>
      <c r="G1074" s="5" t="str">
        <f>INDEX(customer[عنوان],MATCH(Main[[#This Row],[کد ردیابی]],customer[کد],0))</f>
        <v xml:space="preserve">شیرآلات بهداشتی راسان </v>
      </c>
      <c r="H1074">
        <v>1576</v>
      </c>
      <c r="I1074" s="6">
        <f ca="1">-Main[[#This Row],[بدهی تسویه شده (کیلوگرم)]]+Main[[#This Row],[بستانکار (کیلوگرم)]]</f>
        <v>1576</v>
      </c>
      <c r="J1074" s="6">
        <f>IF(Main[[#This Row],[مقدار (کیلوگرم)]]&gt;0,Main[[#This Row],[مقدار (کیلوگرم)]],0)</f>
        <v>1576</v>
      </c>
      <c r="K1074" s="6">
        <f>-IF(Main[[#This Row],[مقدار (کیلوگرم)]]&lt;0,Main[[#This Row],[مقدار (کیلوگرم)]],0)</f>
        <v>0</v>
      </c>
      <c r="L10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4" s="7">
        <f>-IF(AND(Main[[#This Row],[مقدار (کیلوگرم)]]&lt;0,Main[[#This Row],[تاريخ میلادی]]&gt;44276),Main[[#This Row],[مقدار (کیلوگرم)]],0)</f>
        <v>0</v>
      </c>
      <c r="N1074" s="6">
        <f ca="1">Main[[#This Row],[بدهکار (کیلوگرم)]]-Main[[#This Row],[بدهی تسویه نشده (کیلوگرم)]]</f>
        <v>0</v>
      </c>
      <c r="O1074" s="6">
        <f ca="1">Main[[#This Row],[تفکیک]]</f>
        <v>0</v>
      </c>
      <c r="P1074" s="6">
        <f ca="1">IF(Main[[#This Row],[تاخیر از سررسید]]&gt;0,Main[[#This Row],[بدهی تسویه نشده (کیلوگرم)]],0)</f>
        <v>0</v>
      </c>
      <c r="Q1074" s="6">
        <f ca="1">IF(Main[[#This Row],[بدهی تسویه نشده (کیلوگرم)]]&gt;0,'گزارش فردی'!$B$7-Main[[#This Row],[تاريخ میلادی]],0)</f>
        <v>0</v>
      </c>
      <c r="R1074" s="6">
        <f ca="1">IF(Main[[#This Row],[بدهی تسویه نشده (کیلوگرم)]]&gt;0,'گزارش فردی'!$B$7-Main[[#This Row],[تاريخ میلادی]]-'گزارش فردی'!$B$8,0)</f>
        <v>0</v>
      </c>
      <c r="S1074" s="6">
        <f ca="1">Main[[#This Row],[روز از ارسال سفارش]]*Main[[#This Row],[بدهی تسویه نشده (کیلوگرم)]]</f>
        <v>0</v>
      </c>
      <c r="T1074" s="6">
        <f ca="1">Main[[#This Row],[بدهی سررسید شده (کیلوگرم)]]*Main[[#This Row],[روز از ارسال سفارش]]</f>
        <v>0</v>
      </c>
      <c r="U1074" s="6">
        <f>-SUBTOTAL(9,INDEX(Main[مقدار (کیلوگرم)],1):Main[[#This Row],[مقدار (کیلوگرم)]])</f>
        <v>18186</v>
      </c>
      <c r="V10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4" s="6">
        <f>Main[[#This Row],[تعداد کل روزهای بدهکار (روز)]]*Main[[#This Row],[مانده در خط کل (کیلوگرم)]]</f>
        <v>0</v>
      </c>
      <c r="X1074" s="6">
        <f ca="1">-SUBTOTAL(9,INDEX(Main[مقدار تسویه شده (کیلوگرم)],1):Main[[#This Row],[مقدار تسویه شده (کیلوگرم)]])</f>
        <v>18186</v>
      </c>
      <c r="Y1074" s="6">
        <f ca="1">IF(Main[[#This Row],[مانده در خط تسویه شده (کیلوگرم)]]&lt;&gt;0,Main[[#This Row],[تعداد کل روزهای بدهکار (روز)]],0)</f>
        <v>0</v>
      </c>
      <c r="Z1074" s="6">
        <f ca="1">Main[[#This Row],[تعداد روزهای بدهکار تسویه شده (روز)]]*Main[[#This Row],[مانده در خط تسویه شده (کیلوگرم)]]</f>
        <v>0</v>
      </c>
      <c r="AA1074" s="6">
        <f ca="1">SUBTOTAL(9,INDEX(Main[بدهی تسویه نشده (کیلوگرم)],1):Main[[#This Row],[بدهی تسویه نشده (کیلوگرم)]])</f>
        <v>0</v>
      </c>
      <c r="AB1074" s="6">
        <f ca="1">IF(Main[[#This Row],[مانده در خط تسویه نشده (کیلوگرم)]]&lt;&gt;0,Main[[#This Row],[تعداد کل روزهای بدهکار (روز)]],0)</f>
        <v>0</v>
      </c>
      <c r="AC1074" s="6">
        <f ca="1">Main[[#This Row],[تعداد روزهای بدهکار  تسویه نشده (روز)]]*Main[[#This Row],[مانده در خط تسویه نشده (کیلوگرم)]]</f>
        <v>0</v>
      </c>
      <c r="AD1074" s="6">
        <f ca="1">SUBTOTAL(9,INDEX(Main[بدهی سررسید شده (کیلوگرم)],1):Main[[#This Row],[بدهی سررسید شده (کیلوگرم)]])</f>
        <v>0</v>
      </c>
      <c r="AE1074" s="6">
        <f ca="1">IF(Main[[#This Row],[مانده در خط سررسید شده (کیلوگرم)]]&lt;&gt;0,Main[[#This Row],[تعداد کل روزهای بدهکار (روز)]],0)</f>
        <v>0</v>
      </c>
      <c r="AF1074" s="6">
        <f ca="1">Main[[#This Row],[تعداد روزهای بدهکار سررسید شده (روز)]]*Main[[#This Row],[مانده در خط سررسید شده (کیلوگرم)]]</f>
        <v>0</v>
      </c>
    </row>
    <row r="1075" spans="1:32" hidden="1" x14ac:dyDescent="0.35">
      <c r="A1075" s="5">
        <f>ROW()-ROW(INDEX(Main[ردیف],1))+1</f>
        <v>1073</v>
      </c>
      <c r="B1075" s="31">
        <f>SUBTOTAL(2,INDEX(Main[ردیف],1):Main[[#This Row],[ردیف]])</f>
        <v>99</v>
      </c>
      <c r="C1075" s="32" t="s">
        <v>617</v>
      </c>
      <c r="D1075" s="32" t="str">
        <f>_xlfn.CONCAT("14",Main[[#This Row],[تاريخ]])</f>
        <v>1400/04/22</v>
      </c>
      <c r="E1075" s="33">
        <v>44390</v>
      </c>
      <c r="F1075" s="32">
        <v>30009</v>
      </c>
      <c r="G1075" s="5" t="str">
        <f>INDEX(customer[عنوان],MATCH(Main[[#This Row],[کد ردیابی]],customer[کد],0))</f>
        <v>شرکت ایمن تک پیشرو</v>
      </c>
      <c r="H1075">
        <v>-435</v>
      </c>
      <c r="I1075" s="6">
        <f ca="1">-Main[[#This Row],[بدهی تسویه شده (کیلوگرم)]]+Main[[#This Row],[بستانکار (کیلوگرم)]]</f>
        <v>-435</v>
      </c>
      <c r="J1075" s="6">
        <f>IF(Main[[#This Row],[مقدار (کیلوگرم)]]&gt;0,Main[[#This Row],[مقدار (کیلوگرم)]],0)</f>
        <v>0</v>
      </c>
      <c r="K1075" s="6">
        <f>-IF(Main[[#This Row],[مقدار (کیلوگرم)]]&lt;0,Main[[#This Row],[مقدار (کیلوگرم)]],0)</f>
        <v>435</v>
      </c>
      <c r="L10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5" s="7">
        <f>-IF(AND(Main[[#This Row],[مقدار (کیلوگرم)]]&lt;0,Main[[#This Row],[تاريخ میلادی]]&gt;44276),Main[[#This Row],[مقدار (کیلوگرم)]],0)</f>
        <v>435</v>
      </c>
      <c r="N1075" s="6">
        <f ca="1">Main[[#This Row],[بدهکار (کیلوگرم)]]-Main[[#This Row],[بدهی تسویه نشده (کیلوگرم)]]</f>
        <v>435</v>
      </c>
      <c r="O1075" s="6">
        <f ca="1">Main[[#This Row],[تفکیک]]</f>
        <v>0</v>
      </c>
      <c r="P1075" s="6">
        <f ca="1">IF(Main[[#This Row],[تاخیر از سررسید]]&gt;0,Main[[#This Row],[بدهی تسویه نشده (کیلوگرم)]],0)</f>
        <v>0</v>
      </c>
      <c r="Q1075" s="6">
        <f ca="1">IF(Main[[#This Row],[بدهی تسویه نشده (کیلوگرم)]]&gt;0,'گزارش فردی'!$B$7-Main[[#This Row],[تاريخ میلادی]],0)</f>
        <v>0</v>
      </c>
      <c r="R1075" s="6">
        <f ca="1">IF(Main[[#This Row],[بدهی تسویه نشده (کیلوگرم)]]&gt;0,'گزارش فردی'!$B$7-Main[[#This Row],[تاريخ میلادی]]-'گزارش فردی'!$B$8,0)</f>
        <v>0</v>
      </c>
      <c r="S1075" s="6">
        <f ca="1">Main[[#This Row],[روز از ارسال سفارش]]*Main[[#This Row],[بدهی تسویه نشده (کیلوگرم)]]</f>
        <v>0</v>
      </c>
      <c r="T1075" s="6">
        <f ca="1">Main[[#This Row],[بدهی سررسید شده (کیلوگرم)]]*Main[[#This Row],[روز از ارسال سفارش]]</f>
        <v>0</v>
      </c>
      <c r="U1075" s="6">
        <f>-SUBTOTAL(9,INDEX(Main[مقدار (کیلوگرم)],1):Main[[#This Row],[مقدار (کیلوگرم)]])</f>
        <v>18186</v>
      </c>
      <c r="V10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5" s="6">
        <f>Main[[#This Row],[تعداد کل روزهای بدهکار (روز)]]*Main[[#This Row],[مانده در خط کل (کیلوگرم)]]</f>
        <v>0</v>
      </c>
      <c r="X1075" s="6">
        <f ca="1">-SUBTOTAL(9,INDEX(Main[مقدار تسویه شده (کیلوگرم)],1):Main[[#This Row],[مقدار تسویه شده (کیلوگرم)]])</f>
        <v>18186</v>
      </c>
      <c r="Y1075" s="6">
        <f ca="1">IF(Main[[#This Row],[مانده در خط تسویه شده (کیلوگرم)]]&lt;&gt;0,Main[[#This Row],[تعداد کل روزهای بدهکار (روز)]],0)</f>
        <v>0</v>
      </c>
      <c r="Z1075" s="6">
        <f ca="1">Main[[#This Row],[تعداد روزهای بدهکار تسویه شده (روز)]]*Main[[#This Row],[مانده در خط تسویه شده (کیلوگرم)]]</f>
        <v>0</v>
      </c>
      <c r="AA1075" s="6">
        <f ca="1">SUBTOTAL(9,INDEX(Main[بدهی تسویه نشده (کیلوگرم)],1):Main[[#This Row],[بدهی تسویه نشده (کیلوگرم)]])</f>
        <v>0</v>
      </c>
      <c r="AB1075" s="6">
        <f ca="1">IF(Main[[#This Row],[مانده در خط تسویه نشده (کیلوگرم)]]&lt;&gt;0,Main[[#This Row],[تعداد کل روزهای بدهکار (روز)]],0)</f>
        <v>0</v>
      </c>
      <c r="AC1075" s="6">
        <f ca="1">Main[[#This Row],[تعداد روزهای بدهکار  تسویه نشده (روز)]]*Main[[#This Row],[مانده در خط تسویه نشده (کیلوگرم)]]</f>
        <v>0</v>
      </c>
      <c r="AD1075" s="6">
        <f ca="1">SUBTOTAL(9,INDEX(Main[بدهی سررسید شده (کیلوگرم)],1):Main[[#This Row],[بدهی سررسید شده (کیلوگرم)]])</f>
        <v>0</v>
      </c>
      <c r="AE1075" s="6">
        <f ca="1">IF(Main[[#This Row],[مانده در خط سررسید شده (کیلوگرم)]]&lt;&gt;0,Main[[#This Row],[تعداد کل روزهای بدهکار (روز)]],0)</f>
        <v>0</v>
      </c>
      <c r="AF1075" s="6">
        <f ca="1">Main[[#This Row],[تعداد روزهای بدهکار سررسید شده (روز)]]*Main[[#This Row],[مانده در خط سررسید شده (کیلوگرم)]]</f>
        <v>0</v>
      </c>
    </row>
    <row r="1076" spans="1:32" hidden="1" x14ac:dyDescent="0.35">
      <c r="A1076" s="5">
        <f>ROW()-ROW(INDEX(Main[ردیف],1))+1</f>
        <v>1074</v>
      </c>
      <c r="B1076" s="31">
        <f>SUBTOTAL(2,INDEX(Main[ردیف],1):Main[[#This Row],[ردیف]])</f>
        <v>99</v>
      </c>
      <c r="C1076" s="32" t="s">
        <v>617</v>
      </c>
      <c r="D1076" s="32" t="str">
        <f>_xlfn.CONCAT("14",Main[[#This Row],[تاريخ]])</f>
        <v>1400/04/22</v>
      </c>
      <c r="E1076" s="33">
        <v>44390</v>
      </c>
      <c r="F1076" s="32">
        <v>30184</v>
      </c>
      <c r="G1076" s="5" t="str">
        <f>INDEX(customer[عنوان],MATCH(Main[[#This Row],[کد ردیابی]],customer[کد],0))</f>
        <v>شرکت هوم کو (هوشمند مبین کوشا)</v>
      </c>
      <c r="H1076">
        <v>3356</v>
      </c>
      <c r="I1076" s="6">
        <f ca="1">-Main[[#This Row],[بدهی تسویه شده (کیلوگرم)]]+Main[[#This Row],[بستانکار (کیلوگرم)]]</f>
        <v>3356</v>
      </c>
      <c r="J1076" s="6">
        <f>IF(Main[[#This Row],[مقدار (کیلوگرم)]]&gt;0,Main[[#This Row],[مقدار (کیلوگرم)]],0)</f>
        <v>3356</v>
      </c>
      <c r="K1076" s="6">
        <f>-IF(Main[[#This Row],[مقدار (کیلوگرم)]]&lt;0,Main[[#This Row],[مقدار (کیلوگرم)]],0)</f>
        <v>0</v>
      </c>
      <c r="L10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6" s="7">
        <f>-IF(AND(Main[[#This Row],[مقدار (کیلوگرم)]]&lt;0,Main[[#This Row],[تاريخ میلادی]]&gt;44276),Main[[#This Row],[مقدار (کیلوگرم)]],0)</f>
        <v>0</v>
      </c>
      <c r="N1076" s="6">
        <f ca="1">Main[[#This Row],[بدهکار (کیلوگرم)]]-Main[[#This Row],[بدهی تسویه نشده (کیلوگرم)]]</f>
        <v>0</v>
      </c>
      <c r="O1076" s="6">
        <f ca="1">Main[[#This Row],[تفکیک]]</f>
        <v>0</v>
      </c>
      <c r="P1076" s="6">
        <f ca="1">IF(Main[[#This Row],[تاخیر از سررسید]]&gt;0,Main[[#This Row],[بدهی تسویه نشده (کیلوگرم)]],0)</f>
        <v>0</v>
      </c>
      <c r="Q1076" s="6">
        <f ca="1">IF(Main[[#This Row],[بدهی تسویه نشده (کیلوگرم)]]&gt;0,'گزارش فردی'!$B$7-Main[[#This Row],[تاريخ میلادی]],0)</f>
        <v>0</v>
      </c>
      <c r="R1076" s="6">
        <f ca="1">IF(Main[[#This Row],[بدهی تسویه نشده (کیلوگرم)]]&gt;0,'گزارش فردی'!$B$7-Main[[#This Row],[تاريخ میلادی]]-'گزارش فردی'!$B$8,0)</f>
        <v>0</v>
      </c>
      <c r="S1076" s="6">
        <f ca="1">Main[[#This Row],[روز از ارسال سفارش]]*Main[[#This Row],[بدهی تسویه نشده (کیلوگرم)]]</f>
        <v>0</v>
      </c>
      <c r="T1076" s="6">
        <f ca="1">Main[[#This Row],[بدهی سررسید شده (کیلوگرم)]]*Main[[#This Row],[روز از ارسال سفارش]]</f>
        <v>0</v>
      </c>
      <c r="U1076" s="6">
        <f>-SUBTOTAL(9,INDEX(Main[مقدار (کیلوگرم)],1):Main[[#This Row],[مقدار (کیلوگرم)]])</f>
        <v>18186</v>
      </c>
      <c r="V10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6" s="6">
        <f>Main[[#This Row],[تعداد کل روزهای بدهکار (روز)]]*Main[[#This Row],[مانده در خط کل (کیلوگرم)]]</f>
        <v>0</v>
      </c>
      <c r="X1076" s="6">
        <f ca="1">-SUBTOTAL(9,INDEX(Main[مقدار تسویه شده (کیلوگرم)],1):Main[[#This Row],[مقدار تسویه شده (کیلوگرم)]])</f>
        <v>18186</v>
      </c>
      <c r="Y1076" s="6">
        <f ca="1">IF(Main[[#This Row],[مانده در خط تسویه شده (کیلوگرم)]]&lt;&gt;0,Main[[#This Row],[تعداد کل روزهای بدهکار (روز)]],0)</f>
        <v>0</v>
      </c>
      <c r="Z1076" s="6">
        <f ca="1">Main[[#This Row],[تعداد روزهای بدهکار تسویه شده (روز)]]*Main[[#This Row],[مانده در خط تسویه شده (کیلوگرم)]]</f>
        <v>0</v>
      </c>
      <c r="AA1076" s="6">
        <f ca="1">SUBTOTAL(9,INDEX(Main[بدهی تسویه نشده (کیلوگرم)],1):Main[[#This Row],[بدهی تسویه نشده (کیلوگرم)]])</f>
        <v>0</v>
      </c>
      <c r="AB1076" s="6">
        <f ca="1">IF(Main[[#This Row],[مانده در خط تسویه نشده (کیلوگرم)]]&lt;&gt;0,Main[[#This Row],[تعداد کل روزهای بدهکار (روز)]],0)</f>
        <v>0</v>
      </c>
      <c r="AC1076" s="6">
        <f ca="1">Main[[#This Row],[تعداد روزهای بدهکار  تسویه نشده (روز)]]*Main[[#This Row],[مانده در خط تسویه نشده (کیلوگرم)]]</f>
        <v>0</v>
      </c>
      <c r="AD1076" s="6">
        <f ca="1">SUBTOTAL(9,INDEX(Main[بدهی سررسید شده (کیلوگرم)],1):Main[[#This Row],[بدهی سررسید شده (کیلوگرم)]])</f>
        <v>0</v>
      </c>
      <c r="AE1076" s="6">
        <f ca="1">IF(Main[[#This Row],[مانده در خط سررسید شده (کیلوگرم)]]&lt;&gt;0,Main[[#This Row],[تعداد کل روزهای بدهکار (روز)]],0)</f>
        <v>0</v>
      </c>
      <c r="AF1076" s="6">
        <f ca="1">Main[[#This Row],[تعداد روزهای بدهکار سررسید شده (روز)]]*Main[[#This Row],[مانده در خط سررسید شده (کیلوگرم)]]</f>
        <v>0</v>
      </c>
    </row>
    <row r="1077" spans="1:32" x14ac:dyDescent="0.35">
      <c r="A1077" s="5">
        <f>ROW()-ROW(INDEX(Main[ردیف],1))+1</f>
        <v>1075</v>
      </c>
      <c r="B1077" s="31">
        <f>SUBTOTAL(2,INDEX(Main[ردیف],1):Main[[#This Row],[ردیف]])</f>
        <v>100</v>
      </c>
      <c r="C1077" s="32" t="s">
        <v>617</v>
      </c>
      <c r="D1077" s="32" t="str">
        <f>_xlfn.CONCAT("14",Main[[#This Row],[تاريخ]])</f>
        <v>1400/04/22</v>
      </c>
      <c r="E1077" s="33">
        <v>44390</v>
      </c>
      <c r="F1077" s="32">
        <v>10003</v>
      </c>
      <c r="G1077" s="5" t="str">
        <f>INDEX(customer[عنوان],MATCH(Main[[#This Row],[کد ردیابی]],customer[کد],0))</f>
        <v>اصغر نورعلی</v>
      </c>
      <c r="H1077">
        <v>-2722</v>
      </c>
      <c r="I1077" s="6">
        <f ca="1">-Main[[#This Row],[بدهی تسویه شده (کیلوگرم)]]+Main[[#This Row],[بستانکار (کیلوگرم)]]</f>
        <v>-2722</v>
      </c>
      <c r="J1077" s="6">
        <f>IF(Main[[#This Row],[مقدار (کیلوگرم)]]&gt;0,Main[[#This Row],[مقدار (کیلوگرم)]],0)</f>
        <v>0</v>
      </c>
      <c r="K1077" s="6">
        <f>-IF(Main[[#This Row],[مقدار (کیلوگرم)]]&lt;0,Main[[#This Row],[مقدار (کیلوگرم)]],0)</f>
        <v>2722</v>
      </c>
      <c r="L10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7" s="7">
        <f>-IF(AND(Main[[#This Row],[مقدار (کیلوگرم)]]&lt;0,Main[[#This Row],[تاريخ میلادی]]&gt;44276),Main[[#This Row],[مقدار (کیلوگرم)]],0)</f>
        <v>2722</v>
      </c>
      <c r="N1077" s="6">
        <f ca="1">Main[[#This Row],[بدهکار (کیلوگرم)]]-Main[[#This Row],[بدهی تسویه نشده (کیلوگرم)]]</f>
        <v>2722</v>
      </c>
      <c r="O1077" s="6">
        <f ca="1">Main[[#This Row],[تفکیک]]</f>
        <v>0</v>
      </c>
      <c r="P1077" s="6">
        <f ca="1">IF(Main[[#This Row],[تاخیر از سررسید]]&gt;0,Main[[#This Row],[بدهی تسویه نشده (کیلوگرم)]],0)</f>
        <v>0</v>
      </c>
      <c r="Q1077" s="6">
        <f ca="1">IF(Main[[#This Row],[بدهی تسویه نشده (کیلوگرم)]]&gt;0,'گزارش فردی'!$B$7-Main[[#This Row],[تاريخ میلادی]],0)</f>
        <v>0</v>
      </c>
      <c r="R1077" s="6">
        <f ca="1">IF(Main[[#This Row],[بدهی تسویه نشده (کیلوگرم)]]&gt;0,'گزارش فردی'!$B$7-Main[[#This Row],[تاريخ میلادی]]-'گزارش فردی'!$B$8,0)</f>
        <v>0</v>
      </c>
      <c r="S1077" s="6">
        <f ca="1">Main[[#This Row],[روز از ارسال سفارش]]*Main[[#This Row],[بدهی تسویه نشده (کیلوگرم)]]</f>
        <v>0</v>
      </c>
      <c r="T1077" s="6">
        <f ca="1">Main[[#This Row],[بدهی سررسید شده (کیلوگرم)]]*Main[[#This Row],[روز از ارسال سفارش]]</f>
        <v>0</v>
      </c>
      <c r="U1077" s="6">
        <f>-SUBTOTAL(9,INDEX(Main[مقدار (کیلوگرم)],1):Main[[#This Row],[مقدار (کیلوگرم)]])</f>
        <v>20908</v>
      </c>
      <c r="V10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7" s="6">
        <f>Main[[#This Row],[تعداد کل روزهای بدهکار (روز)]]*Main[[#This Row],[مانده در خط کل (کیلوگرم)]]</f>
        <v>20908</v>
      </c>
      <c r="X1077" s="6">
        <f ca="1">-SUBTOTAL(9,INDEX(Main[مقدار تسویه شده (کیلوگرم)],1):Main[[#This Row],[مقدار تسویه شده (کیلوگرم)]])</f>
        <v>20908</v>
      </c>
      <c r="Y1077" s="6">
        <f ca="1">IF(Main[[#This Row],[مانده در خط تسویه شده (کیلوگرم)]]&lt;&gt;0,Main[[#This Row],[تعداد کل روزهای بدهکار (روز)]],0)</f>
        <v>1</v>
      </c>
      <c r="Z1077" s="6">
        <f ca="1">Main[[#This Row],[تعداد روزهای بدهکار تسویه شده (روز)]]*Main[[#This Row],[مانده در خط تسویه شده (کیلوگرم)]]</f>
        <v>20908</v>
      </c>
      <c r="AA1077" s="6">
        <f ca="1">SUBTOTAL(9,INDEX(Main[بدهی تسویه نشده (کیلوگرم)],1):Main[[#This Row],[بدهی تسویه نشده (کیلوگرم)]])</f>
        <v>0</v>
      </c>
      <c r="AB1077" s="6">
        <f ca="1">IF(Main[[#This Row],[مانده در خط تسویه نشده (کیلوگرم)]]&lt;&gt;0,Main[[#This Row],[تعداد کل روزهای بدهکار (روز)]],0)</f>
        <v>0</v>
      </c>
      <c r="AC1077" s="6">
        <f ca="1">Main[[#This Row],[تعداد روزهای بدهکار  تسویه نشده (روز)]]*Main[[#This Row],[مانده در خط تسویه نشده (کیلوگرم)]]</f>
        <v>0</v>
      </c>
      <c r="AD1077" s="6">
        <f ca="1">SUBTOTAL(9,INDEX(Main[بدهی سررسید شده (کیلوگرم)],1):Main[[#This Row],[بدهی سررسید شده (کیلوگرم)]])</f>
        <v>0</v>
      </c>
      <c r="AE1077" s="6">
        <f ca="1">IF(Main[[#This Row],[مانده در خط سررسید شده (کیلوگرم)]]&lt;&gt;0,Main[[#This Row],[تعداد کل روزهای بدهکار (روز)]],0)</f>
        <v>0</v>
      </c>
      <c r="AF1077" s="6">
        <f ca="1">Main[[#This Row],[تعداد روزهای بدهکار سررسید شده (روز)]]*Main[[#This Row],[مانده در خط سررسید شده (کیلوگرم)]]</f>
        <v>0</v>
      </c>
    </row>
    <row r="1078" spans="1:32" hidden="1" x14ac:dyDescent="0.35">
      <c r="A1078" s="5">
        <f>ROW()-ROW(INDEX(Main[ردیف],1))+1</f>
        <v>1076</v>
      </c>
      <c r="B1078" s="31">
        <f>SUBTOTAL(2,INDEX(Main[ردیف],1):Main[[#This Row],[ردیف]])</f>
        <v>100</v>
      </c>
      <c r="C1078" s="32" t="s">
        <v>617</v>
      </c>
      <c r="D1078" s="32" t="str">
        <f>_xlfn.CONCAT("14",Main[[#This Row],[تاريخ]])</f>
        <v>1400/04/22</v>
      </c>
      <c r="E1078" s="33">
        <v>44390</v>
      </c>
      <c r="F1078" s="32">
        <v>30184</v>
      </c>
      <c r="G1078" s="5" t="str">
        <f>INDEX(customer[عنوان],MATCH(Main[[#This Row],[کد ردیابی]],customer[کد],0))</f>
        <v>شرکت هوم کو (هوشمند مبین کوشا)</v>
      </c>
      <c r="H1078">
        <v>62</v>
      </c>
      <c r="I1078" s="6">
        <f ca="1">-Main[[#This Row],[بدهی تسویه شده (کیلوگرم)]]+Main[[#This Row],[بستانکار (کیلوگرم)]]</f>
        <v>62</v>
      </c>
      <c r="J1078" s="6">
        <f>IF(Main[[#This Row],[مقدار (کیلوگرم)]]&gt;0,Main[[#This Row],[مقدار (کیلوگرم)]],0)</f>
        <v>62</v>
      </c>
      <c r="K1078" s="6">
        <f>-IF(Main[[#This Row],[مقدار (کیلوگرم)]]&lt;0,Main[[#This Row],[مقدار (کیلوگرم)]],0)</f>
        <v>0</v>
      </c>
      <c r="L10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8" s="7">
        <f>-IF(AND(Main[[#This Row],[مقدار (کیلوگرم)]]&lt;0,Main[[#This Row],[تاريخ میلادی]]&gt;44276),Main[[#This Row],[مقدار (کیلوگرم)]],0)</f>
        <v>0</v>
      </c>
      <c r="N1078" s="6">
        <f ca="1">Main[[#This Row],[بدهکار (کیلوگرم)]]-Main[[#This Row],[بدهی تسویه نشده (کیلوگرم)]]</f>
        <v>0</v>
      </c>
      <c r="O1078" s="6">
        <f ca="1">Main[[#This Row],[تفکیک]]</f>
        <v>0</v>
      </c>
      <c r="P1078" s="6">
        <f ca="1">IF(Main[[#This Row],[تاخیر از سررسید]]&gt;0,Main[[#This Row],[بدهی تسویه نشده (کیلوگرم)]],0)</f>
        <v>0</v>
      </c>
      <c r="Q1078" s="6">
        <f ca="1">IF(Main[[#This Row],[بدهی تسویه نشده (کیلوگرم)]]&gt;0,'گزارش فردی'!$B$7-Main[[#This Row],[تاريخ میلادی]],0)</f>
        <v>0</v>
      </c>
      <c r="R1078" s="6">
        <f ca="1">IF(Main[[#This Row],[بدهی تسویه نشده (کیلوگرم)]]&gt;0,'گزارش فردی'!$B$7-Main[[#This Row],[تاريخ میلادی]]-'گزارش فردی'!$B$8,0)</f>
        <v>0</v>
      </c>
      <c r="S1078" s="6">
        <f ca="1">Main[[#This Row],[روز از ارسال سفارش]]*Main[[#This Row],[بدهی تسویه نشده (کیلوگرم)]]</f>
        <v>0</v>
      </c>
      <c r="T1078" s="6">
        <f ca="1">Main[[#This Row],[بدهی سررسید شده (کیلوگرم)]]*Main[[#This Row],[روز از ارسال سفارش]]</f>
        <v>0</v>
      </c>
      <c r="U1078" s="6">
        <f>-SUBTOTAL(9,INDEX(Main[مقدار (کیلوگرم)],1):Main[[#This Row],[مقدار (کیلوگرم)]])</f>
        <v>20908</v>
      </c>
      <c r="V10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8" s="6">
        <f>Main[[#This Row],[تعداد کل روزهای بدهکار (روز)]]*Main[[#This Row],[مانده در خط کل (کیلوگرم)]]</f>
        <v>20908</v>
      </c>
      <c r="X1078" s="6">
        <f ca="1">-SUBTOTAL(9,INDEX(Main[مقدار تسویه شده (کیلوگرم)],1):Main[[#This Row],[مقدار تسویه شده (کیلوگرم)]])</f>
        <v>20908</v>
      </c>
      <c r="Y1078" s="6">
        <f ca="1">IF(Main[[#This Row],[مانده در خط تسویه شده (کیلوگرم)]]&lt;&gt;0,Main[[#This Row],[تعداد کل روزهای بدهکار (روز)]],0)</f>
        <v>1</v>
      </c>
      <c r="Z1078" s="6">
        <f ca="1">Main[[#This Row],[تعداد روزهای بدهکار تسویه شده (روز)]]*Main[[#This Row],[مانده در خط تسویه شده (کیلوگرم)]]</f>
        <v>20908</v>
      </c>
      <c r="AA1078" s="6">
        <f ca="1">SUBTOTAL(9,INDEX(Main[بدهی تسویه نشده (کیلوگرم)],1):Main[[#This Row],[بدهی تسویه نشده (کیلوگرم)]])</f>
        <v>0</v>
      </c>
      <c r="AB1078" s="6">
        <f ca="1">IF(Main[[#This Row],[مانده در خط تسویه نشده (کیلوگرم)]]&lt;&gt;0,Main[[#This Row],[تعداد کل روزهای بدهکار (روز)]],0)</f>
        <v>0</v>
      </c>
      <c r="AC1078" s="6">
        <f ca="1">Main[[#This Row],[تعداد روزهای بدهکار  تسویه نشده (روز)]]*Main[[#This Row],[مانده در خط تسویه نشده (کیلوگرم)]]</f>
        <v>0</v>
      </c>
      <c r="AD1078" s="6">
        <f ca="1">SUBTOTAL(9,INDEX(Main[بدهی سررسید شده (کیلوگرم)],1):Main[[#This Row],[بدهی سررسید شده (کیلوگرم)]])</f>
        <v>0</v>
      </c>
      <c r="AE1078" s="6">
        <f ca="1">IF(Main[[#This Row],[مانده در خط سررسید شده (کیلوگرم)]]&lt;&gt;0,Main[[#This Row],[تعداد کل روزهای بدهکار (روز)]],0)</f>
        <v>0</v>
      </c>
      <c r="AF1078" s="6">
        <f ca="1">Main[[#This Row],[تعداد روزهای بدهکار سررسید شده (روز)]]*Main[[#This Row],[مانده در خط سررسید شده (کیلوگرم)]]</f>
        <v>0</v>
      </c>
    </row>
    <row r="1079" spans="1:32" hidden="1" x14ac:dyDescent="0.35">
      <c r="A1079" s="5">
        <f>ROW()-ROW(INDEX(Main[ردیف],1))+1</f>
        <v>1077</v>
      </c>
      <c r="B1079" s="31">
        <f>SUBTOTAL(2,INDEX(Main[ردیف],1):Main[[#This Row],[ردیف]])</f>
        <v>100</v>
      </c>
      <c r="C1079" s="32" t="s">
        <v>617</v>
      </c>
      <c r="D1079" s="32" t="str">
        <f>_xlfn.CONCAT("14",Main[[#This Row],[تاريخ]])</f>
        <v>1400/04/22</v>
      </c>
      <c r="E1079" s="33">
        <v>44390</v>
      </c>
      <c r="F1079" s="32">
        <v>10026</v>
      </c>
      <c r="G1079" s="5" t="str">
        <f>INDEX(customer[عنوان],MATCH(Main[[#This Row],[کد ردیابی]],customer[کد],0))</f>
        <v xml:space="preserve">محسن فیاض بخش </v>
      </c>
      <c r="H1079">
        <v>-2094</v>
      </c>
      <c r="I1079" s="6">
        <f ca="1">-Main[[#This Row],[بدهی تسویه شده (کیلوگرم)]]+Main[[#This Row],[بستانکار (کیلوگرم)]]</f>
        <v>-2094</v>
      </c>
      <c r="J1079" s="6">
        <f>IF(Main[[#This Row],[مقدار (کیلوگرم)]]&gt;0,Main[[#This Row],[مقدار (کیلوگرم)]],0)</f>
        <v>0</v>
      </c>
      <c r="K1079" s="6">
        <f>-IF(Main[[#This Row],[مقدار (کیلوگرم)]]&lt;0,Main[[#This Row],[مقدار (کیلوگرم)]],0)</f>
        <v>2094</v>
      </c>
      <c r="L10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9" s="7">
        <f>-IF(AND(Main[[#This Row],[مقدار (کیلوگرم)]]&lt;0,Main[[#This Row],[تاريخ میلادی]]&gt;44276),Main[[#This Row],[مقدار (کیلوگرم)]],0)</f>
        <v>2094</v>
      </c>
      <c r="N1079" s="6">
        <f ca="1">Main[[#This Row],[بدهکار (کیلوگرم)]]-Main[[#This Row],[بدهی تسویه نشده (کیلوگرم)]]</f>
        <v>2094</v>
      </c>
      <c r="O1079" s="6">
        <f ca="1">Main[[#This Row],[تفکیک]]</f>
        <v>0</v>
      </c>
      <c r="P1079" s="6">
        <f ca="1">IF(Main[[#This Row],[تاخیر از سررسید]]&gt;0,Main[[#This Row],[بدهی تسویه نشده (کیلوگرم)]],0)</f>
        <v>0</v>
      </c>
      <c r="Q1079" s="6">
        <f ca="1">IF(Main[[#This Row],[بدهی تسویه نشده (کیلوگرم)]]&gt;0,'گزارش فردی'!$B$7-Main[[#This Row],[تاريخ میلادی]],0)</f>
        <v>0</v>
      </c>
      <c r="R1079" s="6">
        <f ca="1">IF(Main[[#This Row],[بدهی تسویه نشده (کیلوگرم)]]&gt;0,'گزارش فردی'!$B$7-Main[[#This Row],[تاريخ میلادی]]-'گزارش فردی'!$B$8,0)</f>
        <v>0</v>
      </c>
      <c r="S1079" s="6">
        <f ca="1">Main[[#This Row],[روز از ارسال سفارش]]*Main[[#This Row],[بدهی تسویه نشده (کیلوگرم)]]</f>
        <v>0</v>
      </c>
      <c r="T1079" s="6">
        <f ca="1">Main[[#This Row],[بدهی سررسید شده (کیلوگرم)]]*Main[[#This Row],[روز از ارسال سفارش]]</f>
        <v>0</v>
      </c>
      <c r="U1079" s="6">
        <f>-SUBTOTAL(9,INDEX(Main[مقدار (کیلوگرم)],1):Main[[#This Row],[مقدار (کیلوگرم)]])</f>
        <v>20908</v>
      </c>
      <c r="V10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9" s="6">
        <f>Main[[#This Row],[تعداد کل روزهای بدهکار (روز)]]*Main[[#This Row],[مانده در خط کل (کیلوگرم)]]</f>
        <v>20908</v>
      </c>
      <c r="X1079" s="6">
        <f ca="1">-SUBTOTAL(9,INDEX(Main[مقدار تسویه شده (کیلوگرم)],1):Main[[#This Row],[مقدار تسویه شده (کیلوگرم)]])</f>
        <v>20908</v>
      </c>
      <c r="Y1079" s="6">
        <f ca="1">IF(Main[[#This Row],[مانده در خط تسویه شده (کیلوگرم)]]&lt;&gt;0,Main[[#This Row],[تعداد کل روزهای بدهکار (روز)]],0)</f>
        <v>1</v>
      </c>
      <c r="Z1079" s="6">
        <f ca="1">Main[[#This Row],[تعداد روزهای بدهکار تسویه شده (روز)]]*Main[[#This Row],[مانده در خط تسویه شده (کیلوگرم)]]</f>
        <v>20908</v>
      </c>
      <c r="AA1079" s="6">
        <f ca="1">SUBTOTAL(9,INDEX(Main[بدهی تسویه نشده (کیلوگرم)],1):Main[[#This Row],[بدهی تسویه نشده (کیلوگرم)]])</f>
        <v>0</v>
      </c>
      <c r="AB1079" s="6">
        <f ca="1">IF(Main[[#This Row],[مانده در خط تسویه نشده (کیلوگرم)]]&lt;&gt;0,Main[[#This Row],[تعداد کل روزهای بدهکار (روز)]],0)</f>
        <v>0</v>
      </c>
      <c r="AC1079" s="6">
        <f ca="1">Main[[#This Row],[تعداد روزهای بدهکار  تسویه نشده (روز)]]*Main[[#This Row],[مانده در خط تسویه نشده (کیلوگرم)]]</f>
        <v>0</v>
      </c>
      <c r="AD1079" s="6">
        <f ca="1">SUBTOTAL(9,INDEX(Main[بدهی سررسید شده (کیلوگرم)],1):Main[[#This Row],[بدهی سررسید شده (کیلوگرم)]])</f>
        <v>0</v>
      </c>
      <c r="AE1079" s="6">
        <f ca="1">IF(Main[[#This Row],[مانده در خط سررسید شده (کیلوگرم)]]&lt;&gt;0,Main[[#This Row],[تعداد کل روزهای بدهکار (روز)]],0)</f>
        <v>0</v>
      </c>
      <c r="AF1079" s="6">
        <f ca="1">Main[[#This Row],[تعداد روزهای بدهکار سررسید شده (روز)]]*Main[[#This Row],[مانده در خط سررسید شده (کیلوگرم)]]</f>
        <v>0</v>
      </c>
    </row>
    <row r="1080" spans="1:32" hidden="1" x14ac:dyDescent="0.35">
      <c r="A1080" s="5">
        <f>ROW()-ROW(INDEX(Main[ردیف],1))+1</f>
        <v>1078</v>
      </c>
      <c r="B1080" s="31">
        <f>SUBTOTAL(2,INDEX(Main[ردیف],1):Main[[#This Row],[ردیف]])</f>
        <v>100</v>
      </c>
      <c r="C1080" s="32" t="s">
        <v>617</v>
      </c>
      <c r="D1080" s="32" t="str">
        <f>_xlfn.CONCAT("14",Main[[#This Row],[تاريخ]])</f>
        <v>1400/04/22</v>
      </c>
      <c r="E1080" s="33">
        <v>44390</v>
      </c>
      <c r="F1080" s="32">
        <v>10070</v>
      </c>
      <c r="G1080" s="5" t="str">
        <f>INDEX(customer[عنوان],MATCH(Main[[#This Row],[کد ردیابی]],customer[کد],0))</f>
        <v xml:space="preserve">حمیدرضا شفیعی </v>
      </c>
      <c r="H1080">
        <v>-4</v>
      </c>
      <c r="I1080" s="6">
        <f ca="1">-Main[[#This Row],[بدهی تسویه شده (کیلوگرم)]]+Main[[#This Row],[بستانکار (کیلوگرم)]]</f>
        <v>-4</v>
      </c>
      <c r="J1080" s="6">
        <f>IF(Main[[#This Row],[مقدار (کیلوگرم)]]&gt;0,Main[[#This Row],[مقدار (کیلوگرم)]],0)</f>
        <v>0</v>
      </c>
      <c r="K1080" s="6">
        <f>-IF(Main[[#This Row],[مقدار (کیلوگرم)]]&lt;0,Main[[#This Row],[مقدار (کیلوگرم)]],0)</f>
        <v>4</v>
      </c>
      <c r="L10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0" s="7">
        <f>-IF(AND(Main[[#This Row],[مقدار (کیلوگرم)]]&lt;0,Main[[#This Row],[تاريخ میلادی]]&gt;44276),Main[[#This Row],[مقدار (کیلوگرم)]],0)</f>
        <v>4</v>
      </c>
      <c r="N1080" s="6">
        <f ca="1">Main[[#This Row],[بدهکار (کیلوگرم)]]-Main[[#This Row],[بدهی تسویه نشده (کیلوگرم)]]</f>
        <v>4</v>
      </c>
      <c r="O1080" s="6">
        <f ca="1">Main[[#This Row],[تفکیک]]</f>
        <v>0</v>
      </c>
      <c r="P1080" s="6">
        <f ca="1">IF(Main[[#This Row],[تاخیر از سررسید]]&gt;0,Main[[#This Row],[بدهی تسویه نشده (کیلوگرم)]],0)</f>
        <v>0</v>
      </c>
      <c r="Q1080" s="6">
        <f ca="1">IF(Main[[#This Row],[بدهی تسویه نشده (کیلوگرم)]]&gt;0,'گزارش فردی'!$B$7-Main[[#This Row],[تاريخ میلادی]],0)</f>
        <v>0</v>
      </c>
      <c r="R1080" s="6">
        <f ca="1">IF(Main[[#This Row],[بدهی تسویه نشده (کیلوگرم)]]&gt;0,'گزارش فردی'!$B$7-Main[[#This Row],[تاريخ میلادی]]-'گزارش فردی'!$B$8,0)</f>
        <v>0</v>
      </c>
      <c r="S1080" s="6">
        <f ca="1">Main[[#This Row],[روز از ارسال سفارش]]*Main[[#This Row],[بدهی تسویه نشده (کیلوگرم)]]</f>
        <v>0</v>
      </c>
      <c r="T1080" s="6">
        <f ca="1">Main[[#This Row],[بدهی سررسید شده (کیلوگرم)]]*Main[[#This Row],[روز از ارسال سفارش]]</f>
        <v>0</v>
      </c>
      <c r="U1080" s="6">
        <f>-SUBTOTAL(9,INDEX(Main[مقدار (کیلوگرم)],1):Main[[#This Row],[مقدار (کیلوگرم)]])</f>
        <v>20908</v>
      </c>
      <c r="V10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80" s="6">
        <f>Main[[#This Row],[تعداد کل روزهای بدهکار (روز)]]*Main[[#This Row],[مانده در خط کل (کیلوگرم)]]</f>
        <v>20908</v>
      </c>
      <c r="X1080" s="6">
        <f ca="1">-SUBTOTAL(9,INDEX(Main[مقدار تسویه شده (کیلوگرم)],1):Main[[#This Row],[مقدار تسویه شده (کیلوگرم)]])</f>
        <v>20908</v>
      </c>
      <c r="Y1080" s="6">
        <f ca="1">IF(Main[[#This Row],[مانده در خط تسویه شده (کیلوگرم)]]&lt;&gt;0,Main[[#This Row],[تعداد کل روزهای بدهکار (روز)]],0)</f>
        <v>1</v>
      </c>
      <c r="Z1080" s="6">
        <f ca="1">Main[[#This Row],[تعداد روزهای بدهکار تسویه شده (روز)]]*Main[[#This Row],[مانده در خط تسویه شده (کیلوگرم)]]</f>
        <v>20908</v>
      </c>
      <c r="AA1080" s="6">
        <f ca="1">SUBTOTAL(9,INDEX(Main[بدهی تسویه نشده (کیلوگرم)],1):Main[[#This Row],[بدهی تسویه نشده (کیلوگرم)]])</f>
        <v>0</v>
      </c>
      <c r="AB1080" s="6">
        <f ca="1">IF(Main[[#This Row],[مانده در خط تسویه نشده (کیلوگرم)]]&lt;&gt;0,Main[[#This Row],[تعداد کل روزهای بدهکار (روز)]],0)</f>
        <v>0</v>
      </c>
      <c r="AC1080" s="6">
        <f ca="1">Main[[#This Row],[تعداد روزهای بدهکار  تسویه نشده (روز)]]*Main[[#This Row],[مانده در خط تسویه نشده (کیلوگرم)]]</f>
        <v>0</v>
      </c>
      <c r="AD1080" s="6">
        <f ca="1">SUBTOTAL(9,INDEX(Main[بدهی سررسید شده (کیلوگرم)],1):Main[[#This Row],[بدهی سررسید شده (کیلوگرم)]])</f>
        <v>0</v>
      </c>
      <c r="AE1080" s="6">
        <f ca="1">IF(Main[[#This Row],[مانده در خط سررسید شده (کیلوگرم)]]&lt;&gt;0,Main[[#This Row],[تعداد کل روزهای بدهکار (روز)]],0)</f>
        <v>0</v>
      </c>
      <c r="AF1080" s="6">
        <f ca="1">Main[[#This Row],[تعداد روزهای بدهکار سررسید شده (روز)]]*Main[[#This Row],[مانده در خط سررسید شده (کیلوگرم)]]</f>
        <v>0</v>
      </c>
    </row>
    <row r="1081" spans="1:32" hidden="1" x14ac:dyDescent="0.35">
      <c r="A1081" s="5">
        <f>ROW()-ROW(INDEX(Main[ردیف],1))+1</f>
        <v>1079</v>
      </c>
      <c r="B1081" s="31">
        <f>SUBTOTAL(2,INDEX(Main[ردیف],1):Main[[#This Row],[ردیف]])</f>
        <v>100</v>
      </c>
      <c r="C1081" s="32" t="s">
        <v>618</v>
      </c>
      <c r="D1081" s="32" t="str">
        <f>_xlfn.CONCAT("14",Main[[#This Row],[تاريخ]])</f>
        <v>1400/04/23</v>
      </c>
      <c r="E1081" s="33">
        <v>44391</v>
      </c>
      <c r="F1081" s="32">
        <v>10026</v>
      </c>
      <c r="G1081" s="5" t="str">
        <f>INDEX(customer[عنوان],MATCH(Main[[#This Row],[کد ردیابی]],customer[کد],0))</f>
        <v xml:space="preserve">محسن فیاض بخش </v>
      </c>
      <c r="H1081">
        <v>3386</v>
      </c>
      <c r="I1081" s="6">
        <f ca="1">-Main[[#This Row],[بدهی تسویه شده (کیلوگرم)]]+Main[[#This Row],[بستانکار (کیلوگرم)]]</f>
        <v>3386</v>
      </c>
      <c r="J1081" s="6">
        <f>IF(Main[[#This Row],[مقدار (کیلوگرم)]]&gt;0,Main[[#This Row],[مقدار (کیلوگرم)]],0)</f>
        <v>3386</v>
      </c>
      <c r="K1081" s="6">
        <f>-IF(Main[[#This Row],[مقدار (کیلوگرم)]]&lt;0,Main[[#This Row],[مقدار (کیلوگرم)]],0)</f>
        <v>0</v>
      </c>
      <c r="L10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1" s="7">
        <f>-IF(AND(Main[[#This Row],[مقدار (کیلوگرم)]]&lt;0,Main[[#This Row],[تاريخ میلادی]]&gt;44276),Main[[#This Row],[مقدار (کیلوگرم)]],0)</f>
        <v>0</v>
      </c>
      <c r="N1081" s="6">
        <f ca="1">Main[[#This Row],[بدهکار (کیلوگرم)]]-Main[[#This Row],[بدهی تسویه نشده (کیلوگرم)]]</f>
        <v>0</v>
      </c>
      <c r="O1081" s="6">
        <f ca="1">Main[[#This Row],[تفکیک]]</f>
        <v>0</v>
      </c>
      <c r="P1081" s="6">
        <f ca="1">IF(Main[[#This Row],[تاخیر از سررسید]]&gt;0,Main[[#This Row],[بدهی تسویه نشده (کیلوگرم)]],0)</f>
        <v>0</v>
      </c>
      <c r="Q1081" s="6">
        <f ca="1">IF(Main[[#This Row],[بدهی تسویه نشده (کیلوگرم)]]&gt;0,'گزارش فردی'!$B$7-Main[[#This Row],[تاريخ میلادی]],0)</f>
        <v>0</v>
      </c>
      <c r="R1081" s="6">
        <f ca="1">IF(Main[[#This Row],[بدهی تسویه نشده (کیلوگرم)]]&gt;0,'گزارش فردی'!$B$7-Main[[#This Row],[تاريخ میلادی]]-'گزارش فردی'!$B$8,0)</f>
        <v>0</v>
      </c>
      <c r="S1081" s="6">
        <f ca="1">Main[[#This Row],[روز از ارسال سفارش]]*Main[[#This Row],[بدهی تسویه نشده (کیلوگرم)]]</f>
        <v>0</v>
      </c>
      <c r="T1081" s="6">
        <f ca="1">Main[[#This Row],[بدهی سررسید شده (کیلوگرم)]]*Main[[#This Row],[روز از ارسال سفارش]]</f>
        <v>0</v>
      </c>
      <c r="U1081" s="6">
        <f>-SUBTOTAL(9,INDEX(Main[مقدار (کیلوگرم)],1):Main[[#This Row],[مقدار (کیلوگرم)]])</f>
        <v>20908</v>
      </c>
      <c r="V10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1" s="6">
        <f>Main[[#This Row],[تعداد کل روزهای بدهکار (روز)]]*Main[[#This Row],[مانده در خط کل (کیلوگرم)]]</f>
        <v>0</v>
      </c>
      <c r="X1081" s="6">
        <f ca="1">-SUBTOTAL(9,INDEX(Main[مقدار تسویه شده (کیلوگرم)],1):Main[[#This Row],[مقدار تسویه شده (کیلوگرم)]])</f>
        <v>20908</v>
      </c>
      <c r="Y1081" s="6">
        <f ca="1">IF(Main[[#This Row],[مانده در خط تسویه شده (کیلوگرم)]]&lt;&gt;0,Main[[#This Row],[تعداد کل روزهای بدهکار (روز)]],0)</f>
        <v>0</v>
      </c>
      <c r="Z1081" s="6">
        <f ca="1">Main[[#This Row],[تعداد روزهای بدهکار تسویه شده (روز)]]*Main[[#This Row],[مانده در خط تسویه شده (کیلوگرم)]]</f>
        <v>0</v>
      </c>
      <c r="AA1081" s="6">
        <f ca="1">SUBTOTAL(9,INDEX(Main[بدهی تسویه نشده (کیلوگرم)],1):Main[[#This Row],[بدهی تسویه نشده (کیلوگرم)]])</f>
        <v>0</v>
      </c>
      <c r="AB1081" s="6">
        <f ca="1">IF(Main[[#This Row],[مانده در خط تسویه نشده (کیلوگرم)]]&lt;&gt;0,Main[[#This Row],[تعداد کل روزهای بدهکار (روز)]],0)</f>
        <v>0</v>
      </c>
      <c r="AC1081" s="6">
        <f ca="1">Main[[#This Row],[تعداد روزهای بدهکار  تسویه نشده (روز)]]*Main[[#This Row],[مانده در خط تسویه نشده (کیلوگرم)]]</f>
        <v>0</v>
      </c>
      <c r="AD1081" s="6">
        <f ca="1">SUBTOTAL(9,INDEX(Main[بدهی سررسید شده (کیلوگرم)],1):Main[[#This Row],[بدهی سررسید شده (کیلوگرم)]])</f>
        <v>0</v>
      </c>
      <c r="AE1081" s="6">
        <f ca="1">IF(Main[[#This Row],[مانده در خط سررسید شده (کیلوگرم)]]&lt;&gt;0,Main[[#This Row],[تعداد کل روزهای بدهکار (روز)]],0)</f>
        <v>0</v>
      </c>
      <c r="AF1081" s="6">
        <f ca="1">Main[[#This Row],[تعداد روزهای بدهکار سررسید شده (روز)]]*Main[[#This Row],[مانده در خط سررسید شده (کیلوگرم)]]</f>
        <v>0</v>
      </c>
    </row>
    <row r="1082" spans="1:32" hidden="1" x14ac:dyDescent="0.35">
      <c r="A1082" s="5">
        <f>ROW()-ROW(INDEX(Main[ردیف],1))+1</f>
        <v>1080</v>
      </c>
      <c r="B1082" s="31">
        <f>SUBTOTAL(2,INDEX(Main[ردیف],1):Main[[#This Row],[ردیف]])</f>
        <v>100</v>
      </c>
      <c r="C1082" s="32" t="s">
        <v>618</v>
      </c>
      <c r="D1082" s="32" t="str">
        <f>_xlfn.CONCAT("14",Main[[#This Row],[تاريخ]])</f>
        <v>1400/04/23</v>
      </c>
      <c r="E1082" s="33">
        <v>44391</v>
      </c>
      <c r="F1082" s="32">
        <v>10104</v>
      </c>
      <c r="G1082" s="5" t="str">
        <f>INDEX(customer[عنوان],MATCH(Main[[#This Row],[کد ردیابی]],customer[کد],0))</f>
        <v>بهزادی فر اصغر</v>
      </c>
      <c r="H1082">
        <v>-399</v>
      </c>
      <c r="I1082" s="6">
        <f ca="1">-Main[[#This Row],[بدهی تسویه شده (کیلوگرم)]]+Main[[#This Row],[بستانکار (کیلوگرم)]]</f>
        <v>-399</v>
      </c>
      <c r="J1082" s="6">
        <f>IF(Main[[#This Row],[مقدار (کیلوگرم)]]&gt;0,Main[[#This Row],[مقدار (کیلوگرم)]],0)</f>
        <v>0</v>
      </c>
      <c r="K1082" s="6">
        <f>-IF(Main[[#This Row],[مقدار (کیلوگرم)]]&lt;0,Main[[#This Row],[مقدار (کیلوگرم)]],0)</f>
        <v>399</v>
      </c>
      <c r="L10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2" s="7">
        <f>-IF(AND(Main[[#This Row],[مقدار (کیلوگرم)]]&lt;0,Main[[#This Row],[تاريخ میلادی]]&gt;44276),Main[[#This Row],[مقدار (کیلوگرم)]],0)</f>
        <v>399</v>
      </c>
      <c r="N1082" s="6">
        <f ca="1">Main[[#This Row],[بدهکار (کیلوگرم)]]-Main[[#This Row],[بدهی تسویه نشده (کیلوگرم)]]</f>
        <v>399</v>
      </c>
      <c r="O1082" s="6">
        <f ca="1">Main[[#This Row],[تفکیک]]</f>
        <v>0</v>
      </c>
      <c r="P1082" s="6">
        <f ca="1">IF(Main[[#This Row],[تاخیر از سررسید]]&gt;0,Main[[#This Row],[بدهی تسویه نشده (کیلوگرم)]],0)</f>
        <v>0</v>
      </c>
      <c r="Q1082" s="6">
        <f ca="1">IF(Main[[#This Row],[بدهی تسویه نشده (کیلوگرم)]]&gt;0,'گزارش فردی'!$B$7-Main[[#This Row],[تاريخ میلادی]],0)</f>
        <v>0</v>
      </c>
      <c r="R1082" s="6">
        <f ca="1">IF(Main[[#This Row],[بدهی تسویه نشده (کیلوگرم)]]&gt;0,'گزارش فردی'!$B$7-Main[[#This Row],[تاريخ میلادی]]-'گزارش فردی'!$B$8,0)</f>
        <v>0</v>
      </c>
      <c r="S1082" s="6">
        <f ca="1">Main[[#This Row],[روز از ارسال سفارش]]*Main[[#This Row],[بدهی تسویه نشده (کیلوگرم)]]</f>
        <v>0</v>
      </c>
      <c r="T1082" s="6">
        <f ca="1">Main[[#This Row],[بدهی سررسید شده (کیلوگرم)]]*Main[[#This Row],[روز از ارسال سفارش]]</f>
        <v>0</v>
      </c>
      <c r="U1082" s="6">
        <f>-SUBTOTAL(9,INDEX(Main[مقدار (کیلوگرم)],1):Main[[#This Row],[مقدار (کیلوگرم)]])</f>
        <v>20908</v>
      </c>
      <c r="V10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2" s="6">
        <f>Main[[#This Row],[تعداد کل روزهای بدهکار (روز)]]*Main[[#This Row],[مانده در خط کل (کیلوگرم)]]</f>
        <v>0</v>
      </c>
      <c r="X1082" s="6">
        <f ca="1">-SUBTOTAL(9,INDEX(Main[مقدار تسویه شده (کیلوگرم)],1):Main[[#This Row],[مقدار تسویه شده (کیلوگرم)]])</f>
        <v>20908</v>
      </c>
      <c r="Y1082" s="6">
        <f ca="1">IF(Main[[#This Row],[مانده در خط تسویه شده (کیلوگرم)]]&lt;&gt;0,Main[[#This Row],[تعداد کل روزهای بدهکار (روز)]],0)</f>
        <v>0</v>
      </c>
      <c r="Z1082" s="6">
        <f ca="1">Main[[#This Row],[تعداد روزهای بدهکار تسویه شده (روز)]]*Main[[#This Row],[مانده در خط تسویه شده (کیلوگرم)]]</f>
        <v>0</v>
      </c>
      <c r="AA1082" s="6">
        <f ca="1">SUBTOTAL(9,INDEX(Main[بدهی تسویه نشده (کیلوگرم)],1):Main[[#This Row],[بدهی تسویه نشده (کیلوگرم)]])</f>
        <v>0</v>
      </c>
      <c r="AB1082" s="6">
        <f ca="1">IF(Main[[#This Row],[مانده در خط تسویه نشده (کیلوگرم)]]&lt;&gt;0,Main[[#This Row],[تعداد کل روزهای بدهکار (روز)]],0)</f>
        <v>0</v>
      </c>
      <c r="AC1082" s="6">
        <f ca="1">Main[[#This Row],[تعداد روزهای بدهکار  تسویه نشده (روز)]]*Main[[#This Row],[مانده در خط تسویه نشده (کیلوگرم)]]</f>
        <v>0</v>
      </c>
      <c r="AD1082" s="6">
        <f ca="1">SUBTOTAL(9,INDEX(Main[بدهی سررسید شده (کیلوگرم)],1):Main[[#This Row],[بدهی سررسید شده (کیلوگرم)]])</f>
        <v>0</v>
      </c>
      <c r="AE1082" s="6">
        <f ca="1">IF(Main[[#This Row],[مانده در خط سررسید شده (کیلوگرم)]]&lt;&gt;0,Main[[#This Row],[تعداد کل روزهای بدهکار (روز)]],0)</f>
        <v>0</v>
      </c>
      <c r="AF1082" s="6">
        <f ca="1">Main[[#This Row],[تعداد روزهای بدهکار سررسید شده (روز)]]*Main[[#This Row],[مانده در خط سررسید شده (کیلوگرم)]]</f>
        <v>0</v>
      </c>
    </row>
    <row r="1083" spans="1:32" hidden="1" x14ac:dyDescent="0.35">
      <c r="A1083" s="5">
        <f>ROW()-ROW(INDEX(Main[ردیف],1))+1</f>
        <v>1081</v>
      </c>
      <c r="B1083" s="31">
        <f>SUBTOTAL(2,INDEX(Main[ردیف],1):Main[[#This Row],[ردیف]])</f>
        <v>100</v>
      </c>
      <c r="C1083" s="32" t="s">
        <v>618</v>
      </c>
      <c r="D1083" s="32" t="str">
        <f>_xlfn.CONCAT("14",Main[[#This Row],[تاريخ]])</f>
        <v>1400/04/23</v>
      </c>
      <c r="E1083" s="33">
        <v>44391</v>
      </c>
      <c r="F1083" s="32">
        <v>10055</v>
      </c>
      <c r="G1083" s="5" t="str">
        <f>INDEX(customer[عنوان],MATCH(Main[[#This Row],[کد ردیابی]],customer[کد],0))</f>
        <v xml:space="preserve">مریم فیض آبادی  </v>
      </c>
      <c r="H1083">
        <v>6688</v>
      </c>
      <c r="I1083" s="6">
        <f ca="1">-Main[[#This Row],[بدهی تسویه شده (کیلوگرم)]]+Main[[#This Row],[بستانکار (کیلوگرم)]]</f>
        <v>6688</v>
      </c>
      <c r="J1083" s="6">
        <f>IF(Main[[#This Row],[مقدار (کیلوگرم)]]&gt;0,Main[[#This Row],[مقدار (کیلوگرم)]],0)</f>
        <v>6688</v>
      </c>
      <c r="K1083" s="6">
        <f>-IF(Main[[#This Row],[مقدار (کیلوگرم)]]&lt;0,Main[[#This Row],[مقدار (کیلوگرم)]],0)</f>
        <v>0</v>
      </c>
      <c r="L10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3" s="7">
        <f>-IF(AND(Main[[#This Row],[مقدار (کیلوگرم)]]&lt;0,Main[[#This Row],[تاريخ میلادی]]&gt;44276),Main[[#This Row],[مقدار (کیلوگرم)]],0)</f>
        <v>0</v>
      </c>
      <c r="N1083" s="6">
        <f ca="1">Main[[#This Row],[بدهکار (کیلوگرم)]]-Main[[#This Row],[بدهی تسویه نشده (کیلوگرم)]]</f>
        <v>0</v>
      </c>
      <c r="O1083" s="6">
        <f ca="1">Main[[#This Row],[تفکیک]]</f>
        <v>0</v>
      </c>
      <c r="P1083" s="6">
        <f ca="1">IF(Main[[#This Row],[تاخیر از سررسید]]&gt;0,Main[[#This Row],[بدهی تسویه نشده (کیلوگرم)]],0)</f>
        <v>0</v>
      </c>
      <c r="Q1083" s="6">
        <f ca="1">IF(Main[[#This Row],[بدهی تسویه نشده (کیلوگرم)]]&gt;0,'گزارش فردی'!$B$7-Main[[#This Row],[تاريخ میلادی]],0)</f>
        <v>0</v>
      </c>
      <c r="R1083" s="6">
        <f ca="1">IF(Main[[#This Row],[بدهی تسویه نشده (کیلوگرم)]]&gt;0,'گزارش فردی'!$B$7-Main[[#This Row],[تاريخ میلادی]]-'گزارش فردی'!$B$8,0)</f>
        <v>0</v>
      </c>
      <c r="S1083" s="6">
        <f ca="1">Main[[#This Row],[روز از ارسال سفارش]]*Main[[#This Row],[بدهی تسویه نشده (کیلوگرم)]]</f>
        <v>0</v>
      </c>
      <c r="T1083" s="6">
        <f ca="1">Main[[#This Row],[بدهی سررسید شده (کیلوگرم)]]*Main[[#This Row],[روز از ارسال سفارش]]</f>
        <v>0</v>
      </c>
      <c r="U1083" s="6">
        <f>-SUBTOTAL(9,INDEX(Main[مقدار (کیلوگرم)],1):Main[[#This Row],[مقدار (کیلوگرم)]])</f>
        <v>20908</v>
      </c>
      <c r="V10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3" s="6">
        <f>Main[[#This Row],[تعداد کل روزهای بدهکار (روز)]]*Main[[#This Row],[مانده در خط کل (کیلوگرم)]]</f>
        <v>0</v>
      </c>
      <c r="X1083" s="6">
        <f ca="1">-SUBTOTAL(9,INDEX(Main[مقدار تسویه شده (کیلوگرم)],1):Main[[#This Row],[مقدار تسویه شده (کیلوگرم)]])</f>
        <v>20908</v>
      </c>
      <c r="Y1083" s="6">
        <f ca="1">IF(Main[[#This Row],[مانده در خط تسویه شده (کیلوگرم)]]&lt;&gt;0,Main[[#This Row],[تعداد کل روزهای بدهکار (روز)]],0)</f>
        <v>0</v>
      </c>
      <c r="Z1083" s="6">
        <f ca="1">Main[[#This Row],[تعداد روزهای بدهکار تسویه شده (روز)]]*Main[[#This Row],[مانده در خط تسویه شده (کیلوگرم)]]</f>
        <v>0</v>
      </c>
      <c r="AA1083" s="6">
        <f ca="1">SUBTOTAL(9,INDEX(Main[بدهی تسویه نشده (کیلوگرم)],1):Main[[#This Row],[بدهی تسویه نشده (کیلوگرم)]])</f>
        <v>0</v>
      </c>
      <c r="AB1083" s="6">
        <f ca="1">IF(Main[[#This Row],[مانده در خط تسویه نشده (کیلوگرم)]]&lt;&gt;0,Main[[#This Row],[تعداد کل روزهای بدهکار (روز)]],0)</f>
        <v>0</v>
      </c>
      <c r="AC1083" s="6">
        <f ca="1">Main[[#This Row],[تعداد روزهای بدهکار  تسویه نشده (روز)]]*Main[[#This Row],[مانده در خط تسویه نشده (کیلوگرم)]]</f>
        <v>0</v>
      </c>
      <c r="AD1083" s="6">
        <f ca="1">SUBTOTAL(9,INDEX(Main[بدهی سررسید شده (کیلوگرم)],1):Main[[#This Row],[بدهی سررسید شده (کیلوگرم)]])</f>
        <v>0</v>
      </c>
      <c r="AE1083" s="6">
        <f ca="1">IF(Main[[#This Row],[مانده در خط سررسید شده (کیلوگرم)]]&lt;&gt;0,Main[[#This Row],[تعداد کل روزهای بدهکار (روز)]],0)</f>
        <v>0</v>
      </c>
      <c r="AF1083" s="6">
        <f ca="1">Main[[#This Row],[تعداد روزهای بدهکار سررسید شده (روز)]]*Main[[#This Row],[مانده در خط سررسید شده (کیلوگرم)]]</f>
        <v>0</v>
      </c>
    </row>
    <row r="1084" spans="1:32" hidden="1" x14ac:dyDescent="0.35">
      <c r="A1084" s="5">
        <f>ROW()-ROW(INDEX(Main[ردیف],1))+1</f>
        <v>1082</v>
      </c>
      <c r="B1084" s="31">
        <f>SUBTOTAL(2,INDEX(Main[ردیف],1):Main[[#This Row],[ردیف]])</f>
        <v>100</v>
      </c>
      <c r="C1084" s="32" t="s">
        <v>618</v>
      </c>
      <c r="D1084" s="32" t="str">
        <f>_xlfn.CONCAT("14",Main[[#This Row],[تاريخ]])</f>
        <v>1400/04/23</v>
      </c>
      <c r="E1084" s="33">
        <v>44391</v>
      </c>
      <c r="F1084" s="32">
        <v>10126</v>
      </c>
      <c r="G1084" s="5" t="str">
        <f>INDEX(customer[عنوان],MATCH(Main[[#This Row],[کد ردیابی]],customer[کد],0))</f>
        <v xml:space="preserve">کریم اسمعیلی </v>
      </c>
      <c r="H1084">
        <v>-811</v>
      </c>
      <c r="I1084" s="6">
        <f ca="1">-Main[[#This Row],[بدهی تسویه شده (کیلوگرم)]]+Main[[#This Row],[بستانکار (کیلوگرم)]]</f>
        <v>-811</v>
      </c>
      <c r="J1084" s="6">
        <f>IF(Main[[#This Row],[مقدار (کیلوگرم)]]&gt;0,Main[[#This Row],[مقدار (کیلوگرم)]],0)</f>
        <v>0</v>
      </c>
      <c r="K1084" s="6">
        <f>-IF(Main[[#This Row],[مقدار (کیلوگرم)]]&lt;0,Main[[#This Row],[مقدار (کیلوگرم)]],0)</f>
        <v>811</v>
      </c>
      <c r="L10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4" s="7">
        <f>-IF(AND(Main[[#This Row],[مقدار (کیلوگرم)]]&lt;0,Main[[#This Row],[تاريخ میلادی]]&gt;44276),Main[[#This Row],[مقدار (کیلوگرم)]],0)</f>
        <v>811</v>
      </c>
      <c r="N1084" s="6">
        <f ca="1">Main[[#This Row],[بدهکار (کیلوگرم)]]-Main[[#This Row],[بدهی تسویه نشده (کیلوگرم)]]</f>
        <v>811</v>
      </c>
      <c r="O1084" s="6">
        <f ca="1">Main[[#This Row],[تفکیک]]</f>
        <v>0</v>
      </c>
      <c r="P1084" s="6">
        <f ca="1">IF(Main[[#This Row],[تاخیر از سررسید]]&gt;0,Main[[#This Row],[بدهی تسویه نشده (کیلوگرم)]],0)</f>
        <v>0</v>
      </c>
      <c r="Q1084" s="6">
        <f ca="1">IF(Main[[#This Row],[بدهی تسویه نشده (کیلوگرم)]]&gt;0,'گزارش فردی'!$B$7-Main[[#This Row],[تاريخ میلادی]],0)</f>
        <v>0</v>
      </c>
      <c r="R1084" s="6">
        <f ca="1">IF(Main[[#This Row],[بدهی تسویه نشده (کیلوگرم)]]&gt;0,'گزارش فردی'!$B$7-Main[[#This Row],[تاريخ میلادی]]-'گزارش فردی'!$B$8,0)</f>
        <v>0</v>
      </c>
      <c r="S1084" s="6">
        <f ca="1">Main[[#This Row],[روز از ارسال سفارش]]*Main[[#This Row],[بدهی تسویه نشده (کیلوگرم)]]</f>
        <v>0</v>
      </c>
      <c r="T1084" s="6">
        <f ca="1">Main[[#This Row],[بدهی سررسید شده (کیلوگرم)]]*Main[[#This Row],[روز از ارسال سفارش]]</f>
        <v>0</v>
      </c>
      <c r="U1084" s="6">
        <f>-SUBTOTAL(9,INDEX(Main[مقدار (کیلوگرم)],1):Main[[#This Row],[مقدار (کیلوگرم)]])</f>
        <v>20908</v>
      </c>
      <c r="V10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4" s="6">
        <f>Main[[#This Row],[تعداد کل روزهای بدهکار (روز)]]*Main[[#This Row],[مانده در خط کل (کیلوگرم)]]</f>
        <v>0</v>
      </c>
      <c r="X1084" s="6">
        <f ca="1">-SUBTOTAL(9,INDEX(Main[مقدار تسویه شده (کیلوگرم)],1):Main[[#This Row],[مقدار تسویه شده (کیلوگرم)]])</f>
        <v>20908</v>
      </c>
      <c r="Y1084" s="6">
        <f ca="1">IF(Main[[#This Row],[مانده در خط تسویه شده (کیلوگرم)]]&lt;&gt;0,Main[[#This Row],[تعداد کل روزهای بدهکار (روز)]],0)</f>
        <v>0</v>
      </c>
      <c r="Z1084" s="6">
        <f ca="1">Main[[#This Row],[تعداد روزهای بدهکار تسویه شده (روز)]]*Main[[#This Row],[مانده در خط تسویه شده (کیلوگرم)]]</f>
        <v>0</v>
      </c>
      <c r="AA1084" s="6">
        <f ca="1">SUBTOTAL(9,INDEX(Main[بدهی تسویه نشده (کیلوگرم)],1):Main[[#This Row],[بدهی تسویه نشده (کیلوگرم)]])</f>
        <v>0</v>
      </c>
      <c r="AB1084" s="6">
        <f ca="1">IF(Main[[#This Row],[مانده در خط تسویه نشده (کیلوگرم)]]&lt;&gt;0,Main[[#This Row],[تعداد کل روزهای بدهکار (روز)]],0)</f>
        <v>0</v>
      </c>
      <c r="AC1084" s="6">
        <f ca="1">Main[[#This Row],[تعداد روزهای بدهکار  تسویه نشده (روز)]]*Main[[#This Row],[مانده در خط تسویه نشده (کیلوگرم)]]</f>
        <v>0</v>
      </c>
      <c r="AD1084" s="6">
        <f ca="1">SUBTOTAL(9,INDEX(Main[بدهی سررسید شده (کیلوگرم)],1):Main[[#This Row],[بدهی سررسید شده (کیلوگرم)]])</f>
        <v>0</v>
      </c>
      <c r="AE1084" s="6">
        <f ca="1">IF(Main[[#This Row],[مانده در خط سررسید شده (کیلوگرم)]]&lt;&gt;0,Main[[#This Row],[تعداد کل روزهای بدهکار (روز)]],0)</f>
        <v>0</v>
      </c>
      <c r="AF1084" s="6">
        <f ca="1">Main[[#This Row],[تعداد روزهای بدهکار سررسید شده (روز)]]*Main[[#This Row],[مانده در خط سررسید شده (کیلوگرم)]]</f>
        <v>0</v>
      </c>
    </row>
    <row r="1085" spans="1:32" hidden="1" x14ac:dyDescent="0.35">
      <c r="A1085" s="5">
        <f>ROW()-ROW(INDEX(Main[ردیف],1))+1</f>
        <v>1083</v>
      </c>
      <c r="B1085" s="31">
        <f>SUBTOTAL(2,INDEX(Main[ردیف],1):Main[[#This Row],[ردیف]])</f>
        <v>100</v>
      </c>
      <c r="C1085" s="32" t="s">
        <v>618</v>
      </c>
      <c r="D1085" s="32" t="str">
        <f>_xlfn.CONCAT("14",Main[[#This Row],[تاريخ]])</f>
        <v>1400/04/23</v>
      </c>
      <c r="E1085" s="33">
        <v>44391</v>
      </c>
      <c r="F1085" s="32">
        <v>30009</v>
      </c>
      <c r="G1085" s="5" t="str">
        <f>INDEX(customer[عنوان],MATCH(Main[[#This Row],[کد ردیابی]],customer[کد],0))</f>
        <v>شرکت ایمن تک پیشرو</v>
      </c>
      <c r="H1085">
        <v>1864</v>
      </c>
      <c r="I1085" s="6">
        <f ca="1">-Main[[#This Row],[بدهی تسویه شده (کیلوگرم)]]+Main[[#This Row],[بستانکار (کیلوگرم)]]</f>
        <v>1864</v>
      </c>
      <c r="J1085" s="6">
        <f>IF(Main[[#This Row],[مقدار (کیلوگرم)]]&gt;0,Main[[#This Row],[مقدار (کیلوگرم)]],0)</f>
        <v>1864</v>
      </c>
      <c r="K1085" s="6">
        <f>-IF(Main[[#This Row],[مقدار (کیلوگرم)]]&lt;0,Main[[#This Row],[مقدار (کیلوگرم)]],0)</f>
        <v>0</v>
      </c>
      <c r="L10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5" s="7">
        <f>-IF(AND(Main[[#This Row],[مقدار (کیلوگرم)]]&lt;0,Main[[#This Row],[تاريخ میلادی]]&gt;44276),Main[[#This Row],[مقدار (کیلوگرم)]],0)</f>
        <v>0</v>
      </c>
      <c r="N1085" s="6">
        <f ca="1">Main[[#This Row],[بدهکار (کیلوگرم)]]-Main[[#This Row],[بدهی تسویه نشده (کیلوگرم)]]</f>
        <v>0</v>
      </c>
      <c r="O1085" s="6">
        <f ca="1">Main[[#This Row],[تفکیک]]</f>
        <v>0</v>
      </c>
      <c r="P1085" s="6">
        <f ca="1">IF(Main[[#This Row],[تاخیر از سررسید]]&gt;0,Main[[#This Row],[بدهی تسویه نشده (کیلوگرم)]],0)</f>
        <v>0</v>
      </c>
      <c r="Q1085" s="6">
        <f ca="1">IF(Main[[#This Row],[بدهی تسویه نشده (کیلوگرم)]]&gt;0,'گزارش فردی'!$B$7-Main[[#This Row],[تاريخ میلادی]],0)</f>
        <v>0</v>
      </c>
      <c r="R1085" s="6">
        <f ca="1">IF(Main[[#This Row],[بدهی تسویه نشده (کیلوگرم)]]&gt;0,'گزارش فردی'!$B$7-Main[[#This Row],[تاريخ میلادی]]-'گزارش فردی'!$B$8,0)</f>
        <v>0</v>
      </c>
      <c r="S1085" s="6">
        <f ca="1">Main[[#This Row],[روز از ارسال سفارش]]*Main[[#This Row],[بدهی تسویه نشده (کیلوگرم)]]</f>
        <v>0</v>
      </c>
      <c r="T1085" s="6">
        <f ca="1">Main[[#This Row],[بدهی سررسید شده (کیلوگرم)]]*Main[[#This Row],[روز از ارسال سفارش]]</f>
        <v>0</v>
      </c>
      <c r="U1085" s="6">
        <f>-SUBTOTAL(9,INDEX(Main[مقدار (کیلوگرم)],1):Main[[#This Row],[مقدار (کیلوگرم)]])</f>
        <v>20908</v>
      </c>
      <c r="V10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5" s="6">
        <f>Main[[#This Row],[تعداد کل روزهای بدهکار (روز)]]*Main[[#This Row],[مانده در خط کل (کیلوگرم)]]</f>
        <v>0</v>
      </c>
      <c r="X1085" s="6">
        <f ca="1">-SUBTOTAL(9,INDEX(Main[مقدار تسویه شده (کیلوگرم)],1):Main[[#This Row],[مقدار تسویه شده (کیلوگرم)]])</f>
        <v>20908</v>
      </c>
      <c r="Y1085" s="6">
        <f ca="1">IF(Main[[#This Row],[مانده در خط تسویه شده (کیلوگرم)]]&lt;&gt;0,Main[[#This Row],[تعداد کل روزهای بدهکار (روز)]],0)</f>
        <v>0</v>
      </c>
      <c r="Z1085" s="6">
        <f ca="1">Main[[#This Row],[تعداد روزهای بدهکار تسویه شده (روز)]]*Main[[#This Row],[مانده در خط تسویه شده (کیلوگرم)]]</f>
        <v>0</v>
      </c>
      <c r="AA1085" s="6">
        <f ca="1">SUBTOTAL(9,INDEX(Main[بدهی تسویه نشده (کیلوگرم)],1):Main[[#This Row],[بدهی تسویه نشده (کیلوگرم)]])</f>
        <v>0</v>
      </c>
      <c r="AB1085" s="6">
        <f ca="1">IF(Main[[#This Row],[مانده در خط تسویه نشده (کیلوگرم)]]&lt;&gt;0,Main[[#This Row],[تعداد کل روزهای بدهکار (روز)]],0)</f>
        <v>0</v>
      </c>
      <c r="AC1085" s="6">
        <f ca="1">Main[[#This Row],[تعداد روزهای بدهکار  تسویه نشده (روز)]]*Main[[#This Row],[مانده در خط تسویه نشده (کیلوگرم)]]</f>
        <v>0</v>
      </c>
      <c r="AD1085" s="6">
        <f ca="1">SUBTOTAL(9,INDEX(Main[بدهی سررسید شده (کیلوگرم)],1):Main[[#This Row],[بدهی سررسید شده (کیلوگرم)]])</f>
        <v>0</v>
      </c>
      <c r="AE1085" s="6">
        <f ca="1">IF(Main[[#This Row],[مانده در خط سررسید شده (کیلوگرم)]]&lt;&gt;0,Main[[#This Row],[تعداد کل روزهای بدهکار (روز)]],0)</f>
        <v>0</v>
      </c>
      <c r="AF1085" s="6">
        <f ca="1">Main[[#This Row],[تعداد روزهای بدهکار سررسید شده (روز)]]*Main[[#This Row],[مانده در خط سررسید شده (کیلوگرم)]]</f>
        <v>0</v>
      </c>
    </row>
    <row r="1086" spans="1:32" hidden="1" x14ac:dyDescent="0.35">
      <c r="A1086" s="5">
        <f>ROW()-ROW(INDEX(Main[ردیف],1))+1</f>
        <v>1084</v>
      </c>
      <c r="B1086" s="31">
        <f>SUBTOTAL(2,INDEX(Main[ردیف],1):Main[[#This Row],[ردیف]])</f>
        <v>100</v>
      </c>
      <c r="C1086" s="32" t="s">
        <v>618</v>
      </c>
      <c r="D1086" s="32" t="str">
        <f>_xlfn.CONCAT("14",Main[[#This Row],[تاريخ]])</f>
        <v>1400/04/23</v>
      </c>
      <c r="E1086" s="33">
        <v>44391</v>
      </c>
      <c r="F1086" s="32">
        <v>30186</v>
      </c>
      <c r="G1086" s="5" t="str">
        <f>INDEX(customer[عنوان],MATCH(Main[[#This Row],[کد ردیابی]],customer[کد],0))</f>
        <v>سارا گاز</v>
      </c>
      <c r="H1086">
        <v>-3132</v>
      </c>
      <c r="I1086" s="6">
        <f ca="1">-Main[[#This Row],[بدهی تسویه شده (کیلوگرم)]]+Main[[#This Row],[بستانکار (کیلوگرم)]]</f>
        <v>-3132</v>
      </c>
      <c r="J1086" s="6">
        <f>IF(Main[[#This Row],[مقدار (کیلوگرم)]]&gt;0,Main[[#This Row],[مقدار (کیلوگرم)]],0)</f>
        <v>0</v>
      </c>
      <c r="K1086" s="6">
        <f>-IF(Main[[#This Row],[مقدار (کیلوگرم)]]&lt;0,Main[[#This Row],[مقدار (کیلوگرم)]],0)</f>
        <v>3132</v>
      </c>
      <c r="L10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6" s="7">
        <f>-IF(AND(Main[[#This Row],[مقدار (کیلوگرم)]]&lt;0,Main[[#This Row],[تاريخ میلادی]]&gt;44276),Main[[#This Row],[مقدار (کیلوگرم)]],0)</f>
        <v>3132</v>
      </c>
      <c r="N1086" s="6">
        <f ca="1">Main[[#This Row],[بدهکار (کیلوگرم)]]-Main[[#This Row],[بدهی تسویه نشده (کیلوگرم)]]</f>
        <v>3132</v>
      </c>
      <c r="O1086" s="6">
        <f ca="1">Main[[#This Row],[تفکیک]]</f>
        <v>0</v>
      </c>
      <c r="P1086" s="6">
        <f ca="1">IF(Main[[#This Row],[تاخیر از سررسید]]&gt;0,Main[[#This Row],[بدهی تسویه نشده (کیلوگرم)]],0)</f>
        <v>0</v>
      </c>
      <c r="Q1086" s="6">
        <f ca="1">IF(Main[[#This Row],[بدهی تسویه نشده (کیلوگرم)]]&gt;0,'گزارش فردی'!$B$7-Main[[#This Row],[تاريخ میلادی]],0)</f>
        <v>0</v>
      </c>
      <c r="R1086" s="6">
        <f ca="1">IF(Main[[#This Row],[بدهی تسویه نشده (کیلوگرم)]]&gt;0,'گزارش فردی'!$B$7-Main[[#This Row],[تاريخ میلادی]]-'گزارش فردی'!$B$8,0)</f>
        <v>0</v>
      </c>
      <c r="S1086" s="6">
        <f ca="1">Main[[#This Row],[روز از ارسال سفارش]]*Main[[#This Row],[بدهی تسویه نشده (کیلوگرم)]]</f>
        <v>0</v>
      </c>
      <c r="T1086" s="6">
        <f ca="1">Main[[#This Row],[بدهی سررسید شده (کیلوگرم)]]*Main[[#This Row],[روز از ارسال سفارش]]</f>
        <v>0</v>
      </c>
      <c r="U1086" s="6">
        <f>-SUBTOTAL(9,INDEX(Main[مقدار (کیلوگرم)],1):Main[[#This Row],[مقدار (کیلوگرم)]])</f>
        <v>20908</v>
      </c>
      <c r="V10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6" s="6">
        <f>Main[[#This Row],[تعداد کل روزهای بدهکار (روز)]]*Main[[#This Row],[مانده در خط کل (کیلوگرم)]]</f>
        <v>0</v>
      </c>
      <c r="X1086" s="6">
        <f ca="1">-SUBTOTAL(9,INDEX(Main[مقدار تسویه شده (کیلوگرم)],1):Main[[#This Row],[مقدار تسویه شده (کیلوگرم)]])</f>
        <v>20908</v>
      </c>
      <c r="Y1086" s="6">
        <f ca="1">IF(Main[[#This Row],[مانده در خط تسویه شده (کیلوگرم)]]&lt;&gt;0,Main[[#This Row],[تعداد کل روزهای بدهکار (روز)]],0)</f>
        <v>0</v>
      </c>
      <c r="Z1086" s="6">
        <f ca="1">Main[[#This Row],[تعداد روزهای بدهکار تسویه شده (روز)]]*Main[[#This Row],[مانده در خط تسویه شده (کیلوگرم)]]</f>
        <v>0</v>
      </c>
      <c r="AA1086" s="6">
        <f ca="1">SUBTOTAL(9,INDEX(Main[بدهی تسویه نشده (کیلوگرم)],1):Main[[#This Row],[بدهی تسویه نشده (کیلوگرم)]])</f>
        <v>0</v>
      </c>
      <c r="AB1086" s="6">
        <f ca="1">IF(Main[[#This Row],[مانده در خط تسویه نشده (کیلوگرم)]]&lt;&gt;0,Main[[#This Row],[تعداد کل روزهای بدهکار (روز)]],0)</f>
        <v>0</v>
      </c>
      <c r="AC1086" s="6">
        <f ca="1">Main[[#This Row],[تعداد روزهای بدهکار  تسویه نشده (روز)]]*Main[[#This Row],[مانده در خط تسویه نشده (کیلوگرم)]]</f>
        <v>0</v>
      </c>
      <c r="AD1086" s="6">
        <f ca="1">SUBTOTAL(9,INDEX(Main[بدهی سررسید شده (کیلوگرم)],1):Main[[#This Row],[بدهی سررسید شده (کیلوگرم)]])</f>
        <v>0</v>
      </c>
      <c r="AE1086" s="6">
        <f ca="1">IF(Main[[#This Row],[مانده در خط سررسید شده (کیلوگرم)]]&lt;&gt;0,Main[[#This Row],[تعداد کل روزهای بدهکار (روز)]],0)</f>
        <v>0</v>
      </c>
      <c r="AF1086" s="6">
        <f ca="1">Main[[#This Row],[تعداد روزهای بدهکار سررسید شده (روز)]]*Main[[#This Row],[مانده در خط سررسید شده (کیلوگرم)]]</f>
        <v>0</v>
      </c>
    </row>
    <row r="1087" spans="1:32" hidden="1" x14ac:dyDescent="0.35">
      <c r="A1087" s="5">
        <f>ROW()-ROW(INDEX(Main[ردیف],1))+1</f>
        <v>1085</v>
      </c>
      <c r="B1087" s="31">
        <f>SUBTOTAL(2,INDEX(Main[ردیف],1):Main[[#This Row],[ردیف]])</f>
        <v>100</v>
      </c>
      <c r="C1087" s="32" t="s">
        <v>618</v>
      </c>
      <c r="D1087" s="32" t="str">
        <f>_xlfn.CONCAT("14",Main[[#This Row],[تاريخ]])</f>
        <v>1400/04/23</v>
      </c>
      <c r="E1087" s="33">
        <v>44391</v>
      </c>
      <c r="F1087" s="32">
        <v>30127</v>
      </c>
      <c r="G1087" s="5" t="str">
        <f>INDEX(customer[عنوان],MATCH(Main[[#This Row],[کد ردیابی]],customer[کد],0))</f>
        <v>شیر گاز آذران</v>
      </c>
      <c r="H1087">
        <v>11760</v>
      </c>
      <c r="I1087" s="6">
        <f ca="1">-Main[[#This Row],[بدهی تسویه شده (کیلوگرم)]]+Main[[#This Row],[بستانکار (کیلوگرم)]]</f>
        <v>11760</v>
      </c>
      <c r="J1087" s="6">
        <f>IF(Main[[#This Row],[مقدار (کیلوگرم)]]&gt;0,Main[[#This Row],[مقدار (کیلوگرم)]],0)</f>
        <v>11760</v>
      </c>
      <c r="K1087" s="6">
        <f>-IF(Main[[#This Row],[مقدار (کیلوگرم)]]&lt;0,Main[[#This Row],[مقدار (کیلوگرم)]],0)</f>
        <v>0</v>
      </c>
      <c r="L10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7" s="7">
        <f>-IF(AND(Main[[#This Row],[مقدار (کیلوگرم)]]&lt;0,Main[[#This Row],[تاريخ میلادی]]&gt;44276),Main[[#This Row],[مقدار (کیلوگرم)]],0)</f>
        <v>0</v>
      </c>
      <c r="N1087" s="6">
        <f ca="1">Main[[#This Row],[بدهکار (کیلوگرم)]]-Main[[#This Row],[بدهی تسویه نشده (کیلوگرم)]]</f>
        <v>0</v>
      </c>
      <c r="O1087" s="6">
        <f ca="1">Main[[#This Row],[تفکیک]]</f>
        <v>0</v>
      </c>
      <c r="P1087" s="6">
        <f ca="1">IF(Main[[#This Row],[تاخیر از سررسید]]&gt;0,Main[[#This Row],[بدهی تسویه نشده (کیلوگرم)]],0)</f>
        <v>0</v>
      </c>
      <c r="Q1087" s="6">
        <f ca="1">IF(Main[[#This Row],[بدهی تسویه نشده (کیلوگرم)]]&gt;0,'گزارش فردی'!$B$7-Main[[#This Row],[تاريخ میلادی]],0)</f>
        <v>0</v>
      </c>
      <c r="R1087" s="6">
        <f ca="1">IF(Main[[#This Row],[بدهی تسویه نشده (کیلوگرم)]]&gt;0,'گزارش فردی'!$B$7-Main[[#This Row],[تاريخ میلادی]]-'گزارش فردی'!$B$8,0)</f>
        <v>0</v>
      </c>
      <c r="S1087" s="6">
        <f ca="1">Main[[#This Row],[روز از ارسال سفارش]]*Main[[#This Row],[بدهی تسویه نشده (کیلوگرم)]]</f>
        <v>0</v>
      </c>
      <c r="T1087" s="6">
        <f ca="1">Main[[#This Row],[بدهی سررسید شده (کیلوگرم)]]*Main[[#This Row],[روز از ارسال سفارش]]</f>
        <v>0</v>
      </c>
      <c r="U1087" s="6">
        <f>-SUBTOTAL(9,INDEX(Main[مقدار (کیلوگرم)],1):Main[[#This Row],[مقدار (کیلوگرم)]])</f>
        <v>20908</v>
      </c>
      <c r="V10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7" s="6">
        <f>Main[[#This Row],[تعداد کل روزهای بدهکار (روز)]]*Main[[#This Row],[مانده در خط کل (کیلوگرم)]]</f>
        <v>0</v>
      </c>
      <c r="X1087" s="6">
        <f ca="1">-SUBTOTAL(9,INDEX(Main[مقدار تسویه شده (کیلوگرم)],1):Main[[#This Row],[مقدار تسویه شده (کیلوگرم)]])</f>
        <v>20908</v>
      </c>
      <c r="Y1087" s="6">
        <f ca="1">IF(Main[[#This Row],[مانده در خط تسویه شده (کیلوگرم)]]&lt;&gt;0,Main[[#This Row],[تعداد کل روزهای بدهکار (روز)]],0)</f>
        <v>0</v>
      </c>
      <c r="Z1087" s="6">
        <f ca="1">Main[[#This Row],[تعداد روزهای بدهکار تسویه شده (روز)]]*Main[[#This Row],[مانده در خط تسویه شده (کیلوگرم)]]</f>
        <v>0</v>
      </c>
      <c r="AA1087" s="6">
        <f ca="1">SUBTOTAL(9,INDEX(Main[بدهی تسویه نشده (کیلوگرم)],1):Main[[#This Row],[بدهی تسویه نشده (کیلوگرم)]])</f>
        <v>0</v>
      </c>
      <c r="AB1087" s="6">
        <f ca="1">IF(Main[[#This Row],[مانده در خط تسویه نشده (کیلوگرم)]]&lt;&gt;0,Main[[#This Row],[تعداد کل روزهای بدهکار (روز)]],0)</f>
        <v>0</v>
      </c>
      <c r="AC1087" s="6">
        <f ca="1">Main[[#This Row],[تعداد روزهای بدهکار  تسویه نشده (روز)]]*Main[[#This Row],[مانده در خط تسویه نشده (کیلوگرم)]]</f>
        <v>0</v>
      </c>
      <c r="AD1087" s="6">
        <f ca="1">SUBTOTAL(9,INDEX(Main[بدهی سررسید شده (کیلوگرم)],1):Main[[#This Row],[بدهی سررسید شده (کیلوگرم)]])</f>
        <v>0</v>
      </c>
      <c r="AE1087" s="6">
        <f ca="1">IF(Main[[#This Row],[مانده در خط سررسید شده (کیلوگرم)]]&lt;&gt;0,Main[[#This Row],[تعداد کل روزهای بدهکار (روز)]],0)</f>
        <v>0</v>
      </c>
      <c r="AF1087" s="6">
        <f ca="1">Main[[#This Row],[تعداد روزهای بدهکار سررسید شده (روز)]]*Main[[#This Row],[مانده در خط سررسید شده (کیلوگرم)]]</f>
        <v>0</v>
      </c>
    </row>
    <row r="1088" spans="1:32" hidden="1" x14ac:dyDescent="0.35">
      <c r="A1088" s="5">
        <f>ROW()-ROW(INDEX(Main[ردیف],1))+1</f>
        <v>1086</v>
      </c>
      <c r="B1088" s="31">
        <f>SUBTOTAL(2,INDEX(Main[ردیف],1):Main[[#This Row],[ردیف]])</f>
        <v>100</v>
      </c>
      <c r="C1088" s="32" t="s">
        <v>618</v>
      </c>
      <c r="D1088" s="32" t="str">
        <f>_xlfn.CONCAT("14",Main[[#This Row],[تاريخ]])</f>
        <v>1400/04/23</v>
      </c>
      <c r="E1088" s="33">
        <v>44391</v>
      </c>
      <c r="F1088" s="32">
        <v>10055</v>
      </c>
      <c r="G1088" s="5" t="str">
        <f>INDEX(customer[عنوان],MATCH(Main[[#This Row],[کد ردیابی]],customer[کد],0))</f>
        <v xml:space="preserve">مریم فیض آبادی  </v>
      </c>
      <c r="H1088">
        <v>-4604</v>
      </c>
      <c r="I1088" s="6">
        <f ca="1">-Main[[#This Row],[بدهی تسویه شده (کیلوگرم)]]+Main[[#This Row],[بستانکار (کیلوگرم)]]</f>
        <v>-4604</v>
      </c>
      <c r="J1088" s="6">
        <f>IF(Main[[#This Row],[مقدار (کیلوگرم)]]&gt;0,Main[[#This Row],[مقدار (کیلوگرم)]],0)</f>
        <v>0</v>
      </c>
      <c r="K1088" s="6">
        <f>-IF(Main[[#This Row],[مقدار (کیلوگرم)]]&lt;0,Main[[#This Row],[مقدار (کیلوگرم)]],0)</f>
        <v>4604</v>
      </c>
      <c r="L10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8" s="7">
        <f>-IF(AND(Main[[#This Row],[مقدار (کیلوگرم)]]&lt;0,Main[[#This Row],[تاريخ میلادی]]&gt;44276),Main[[#This Row],[مقدار (کیلوگرم)]],0)</f>
        <v>4604</v>
      </c>
      <c r="N1088" s="6">
        <f ca="1">Main[[#This Row],[بدهکار (کیلوگرم)]]-Main[[#This Row],[بدهی تسویه نشده (کیلوگرم)]]</f>
        <v>4604</v>
      </c>
      <c r="O1088" s="6">
        <f ca="1">Main[[#This Row],[تفکیک]]</f>
        <v>0</v>
      </c>
      <c r="P1088" s="6">
        <f ca="1">IF(Main[[#This Row],[تاخیر از سررسید]]&gt;0,Main[[#This Row],[بدهی تسویه نشده (کیلوگرم)]],0)</f>
        <v>0</v>
      </c>
      <c r="Q1088" s="6">
        <f ca="1">IF(Main[[#This Row],[بدهی تسویه نشده (کیلوگرم)]]&gt;0,'گزارش فردی'!$B$7-Main[[#This Row],[تاريخ میلادی]],0)</f>
        <v>0</v>
      </c>
      <c r="R1088" s="6">
        <f ca="1">IF(Main[[#This Row],[بدهی تسویه نشده (کیلوگرم)]]&gt;0,'گزارش فردی'!$B$7-Main[[#This Row],[تاريخ میلادی]]-'گزارش فردی'!$B$8,0)</f>
        <v>0</v>
      </c>
      <c r="S1088" s="6">
        <f ca="1">Main[[#This Row],[روز از ارسال سفارش]]*Main[[#This Row],[بدهی تسویه نشده (کیلوگرم)]]</f>
        <v>0</v>
      </c>
      <c r="T1088" s="6">
        <f ca="1">Main[[#This Row],[بدهی سررسید شده (کیلوگرم)]]*Main[[#This Row],[روز از ارسال سفارش]]</f>
        <v>0</v>
      </c>
      <c r="U1088" s="6">
        <f>-SUBTOTAL(9,INDEX(Main[مقدار (کیلوگرم)],1):Main[[#This Row],[مقدار (کیلوگرم)]])</f>
        <v>20908</v>
      </c>
      <c r="V10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8" s="6">
        <f>Main[[#This Row],[تعداد کل روزهای بدهکار (روز)]]*Main[[#This Row],[مانده در خط کل (کیلوگرم)]]</f>
        <v>0</v>
      </c>
      <c r="X1088" s="6">
        <f ca="1">-SUBTOTAL(9,INDEX(Main[مقدار تسویه شده (کیلوگرم)],1):Main[[#This Row],[مقدار تسویه شده (کیلوگرم)]])</f>
        <v>20908</v>
      </c>
      <c r="Y1088" s="6">
        <f ca="1">IF(Main[[#This Row],[مانده در خط تسویه شده (کیلوگرم)]]&lt;&gt;0,Main[[#This Row],[تعداد کل روزهای بدهکار (روز)]],0)</f>
        <v>0</v>
      </c>
      <c r="Z1088" s="6">
        <f ca="1">Main[[#This Row],[تعداد روزهای بدهکار تسویه شده (روز)]]*Main[[#This Row],[مانده در خط تسویه شده (کیلوگرم)]]</f>
        <v>0</v>
      </c>
      <c r="AA1088" s="6">
        <f ca="1">SUBTOTAL(9,INDEX(Main[بدهی تسویه نشده (کیلوگرم)],1):Main[[#This Row],[بدهی تسویه نشده (کیلوگرم)]])</f>
        <v>0</v>
      </c>
      <c r="AB1088" s="6">
        <f ca="1">IF(Main[[#This Row],[مانده در خط تسویه نشده (کیلوگرم)]]&lt;&gt;0,Main[[#This Row],[تعداد کل روزهای بدهکار (روز)]],0)</f>
        <v>0</v>
      </c>
      <c r="AC1088" s="6">
        <f ca="1">Main[[#This Row],[تعداد روزهای بدهکار  تسویه نشده (روز)]]*Main[[#This Row],[مانده در خط تسویه نشده (کیلوگرم)]]</f>
        <v>0</v>
      </c>
      <c r="AD1088" s="6">
        <f ca="1">SUBTOTAL(9,INDEX(Main[بدهی سررسید شده (کیلوگرم)],1):Main[[#This Row],[بدهی سررسید شده (کیلوگرم)]])</f>
        <v>0</v>
      </c>
      <c r="AE1088" s="6">
        <f ca="1">IF(Main[[#This Row],[مانده در خط سررسید شده (کیلوگرم)]]&lt;&gt;0,Main[[#This Row],[تعداد کل روزهای بدهکار (روز)]],0)</f>
        <v>0</v>
      </c>
      <c r="AF1088" s="6">
        <f ca="1">Main[[#This Row],[تعداد روزهای بدهکار سررسید شده (روز)]]*Main[[#This Row],[مانده در خط سررسید شده (کیلوگرم)]]</f>
        <v>0</v>
      </c>
    </row>
    <row r="1089" spans="1:32" hidden="1" x14ac:dyDescent="0.35">
      <c r="A1089" s="5">
        <f>ROW()-ROW(INDEX(Main[ردیف],1))+1</f>
        <v>1087</v>
      </c>
      <c r="B1089" s="31">
        <f>SUBTOTAL(2,INDEX(Main[ردیف],1):Main[[#This Row],[ردیف]])</f>
        <v>100</v>
      </c>
      <c r="C1089" s="32" t="s">
        <v>618</v>
      </c>
      <c r="D1089" s="32" t="str">
        <f>_xlfn.CONCAT("14",Main[[#This Row],[تاريخ]])</f>
        <v>1400/04/23</v>
      </c>
      <c r="E1089" s="33">
        <v>44391</v>
      </c>
      <c r="F1089" s="32">
        <v>30004</v>
      </c>
      <c r="G1089" s="5" t="str">
        <f>INDEX(customer[عنوان],MATCH(Main[[#This Row],[کد ردیابی]],customer[کد],0))</f>
        <v>تولیدی صنعتی صفاشیر پارس</v>
      </c>
      <c r="H1089">
        <v>1104</v>
      </c>
      <c r="I1089" s="6">
        <f ca="1">-Main[[#This Row],[بدهی تسویه شده (کیلوگرم)]]+Main[[#This Row],[بستانکار (کیلوگرم)]]</f>
        <v>1104</v>
      </c>
      <c r="J1089" s="6">
        <f>IF(Main[[#This Row],[مقدار (کیلوگرم)]]&gt;0,Main[[#This Row],[مقدار (کیلوگرم)]],0)</f>
        <v>1104</v>
      </c>
      <c r="K1089" s="6">
        <f>-IF(Main[[#This Row],[مقدار (کیلوگرم)]]&lt;0,Main[[#This Row],[مقدار (کیلوگرم)]],0)</f>
        <v>0</v>
      </c>
      <c r="L10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9" s="7">
        <f>-IF(AND(Main[[#This Row],[مقدار (کیلوگرم)]]&lt;0,Main[[#This Row],[تاريخ میلادی]]&gt;44276),Main[[#This Row],[مقدار (کیلوگرم)]],0)</f>
        <v>0</v>
      </c>
      <c r="N1089" s="6">
        <f ca="1">Main[[#This Row],[بدهکار (کیلوگرم)]]-Main[[#This Row],[بدهی تسویه نشده (کیلوگرم)]]</f>
        <v>0</v>
      </c>
      <c r="O1089" s="6">
        <f ca="1">Main[[#This Row],[تفکیک]]</f>
        <v>0</v>
      </c>
      <c r="P1089" s="6">
        <f ca="1">IF(Main[[#This Row],[تاخیر از سررسید]]&gt;0,Main[[#This Row],[بدهی تسویه نشده (کیلوگرم)]],0)</f>
        <v>0</v>
      </c>
      <c r="Q1089" s="6">
        <f ca="1">IF(Main[[#This Row],[بدهی تسویه نشده (کیلوگرم)]]&gt;0,'گزارش فردی'!$B$7-Main[[#This Row],[تاريخ میلادی]],0)</f>
        <v>0</v>
      </c>
      <c r="R1089" s="6">
        <f ca="1">IF(Main[[#This Row],[بدهی تسویه نشده (کیلوگرم)]]&gt;0,'گزارش فردی'!$B$7-Main[[#This Row],[تاريخ میلادی]]-'گزارش فردی'!$B$8,0)</f>
        <v>0</v>
      </c>
      <c r="S1089" s="6">
        <f ca="1">Main[[#This Row],[روز از ارسال سفارش]]*Main[[#This Row],[بدهی تسویه نشده (کیلوگرم)]]</f>
        <v>0</v>
      </c>
      <c r="T1089" s="6">
        <f ca="1">Main[[#This Row],[بدهی سررسید شده (کیلوگرم)]]*Main[[#This Row],[روز از ارسال سفارش]]</f>
        <v>0</v>
      </c>
      <c r="U1089" s="6">
        <f>-SUBTOTAL(9,INDEX(Main[مقدار (کیلوگرم)],1):Main[[#This Row],[مقدار (کیلوگرم)]])</f>
        <v>20908</v>
      </c>
      <c r="V10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9" s="6">
        <f>Main[[#This Row],[تعداد کل روزهای بدهکار (روز)]]*Main[[#This Row],[مانده در خط کل (کیلوگرم)]]</f>
        <v>0</v>
      </c>
      <c r="X1089" s="6">
        <f ca="1">-SUBTOTAL(9,INDEX(Main[مقدار تسویه شده (کیلوگرم)],1):Main[[#This Row],[مقدار تسویه شده (کیلوگرم)]])</f>
        <v>20908</v>
      </c>
      <c r="Y1089" s="6">
        <f ca="1">IF(Main[[#This Row],[مانده در خط تسویه شده (کیلوگرم)]]&lt;&gt;0,Main[[#This Row],[تعداد کل روزهای بدهکار (روز)]],0)</f>
        <v>0</v>
      </c>
      <c r="Z1089" s="6">
        <f ca="1">Main[[#This Row],[تعداد روزهای بدهکار تسویه شده (روز)]]*Main[[#This Row],[مانده در خط تسویه شده (کیلوگرم)]]</f>
        <v>0</v>
      </c>
      <c r="AA1089" s="6">
        <f ca="1">SUBTOTAL(9,INDEX(Main[بدهی تسویه نشده (کیلوگرم)],1):Main[[#This Row],[بدهی تسویه نشده (کیلوگرم)]])</f>
        <v>0</v>
      </c>
      <c r="AB1089" s="6">
        <f ca="1">IF(Main[[#This Row],[مانده در خط تسویه نشده (کیلوگرم)]]&lt;&gt;0,Main[[#This Row],[تعداد کل روزهای بدهکار (روز)]],0)</f>
        <v>0</v>
      </c>
      <c r="AC1089" s="6">
        <f ca="1">Main[[#This Row],[تعداد روزهای بدهکار  تسویه نشده (روز)]]*Main[[#This Row],[مانده در خط تسویه نشده (کیلوگرم)]]</f>
        <v>0</v>
      </c>
      <c r="AD1089" s="6">
        <f ca="1">SUBTOTAL(9,INDEX(Main[بدهی سررسید شده (کیلوگرم)],1):Main[[#This Row],[بدهی سررسید شده (کیلوگرم)]])</f>
        <v>0</v>
      </c>
      <c r="AE1089" s="6">
        <f ca="1">IF(Main[[#This Row],[مانده در خط سررسید شده (کیلوگرم)]]&lt;&gt;0,Main[[#This Row],[تعداد کل روزهای بدهکار (روز)]],0)</f>
        <v>0</v>
      </c>
      <c r="AF1089" s="6">
        <f ca="1">Main[[#This Row],[تعداد روزهای بدهکار سررسید شده (روز)]]*Main[[#This Row],[مانده در خط سررسید شده (کیلوگرم)]]</f>
        <v>0</v>
      </c>
    </row>
    <row r="1090" spans="1:32" x14ac:dyDescent="0.35">
      <c r="A1090" s="5">
        <f>ROW()-ROW(INDEX(Main[ردیف],1))+1</f>
        <v>1088</v>
      </c>
      <c r="B1090" s="31">
        <f>SUBTOTAL(2,INDEX(Main[ردیف],1):Main[[#This Row],[ردیف]])</f>
        <v>101</v>
      </c>
      <c r="C1090" s="32" t="s">
        <v>618</v>
      </c>
      <c r="D1090" s="32" t="str">
        <f>_xlfn.CONCAT("14",Main[[#This Row],[تاريخ]])</f>
        <v>1400/04/23</v>
      </c>
      <c r="E1090" s="33">
        <v>44391</v>
      </c>
      <c r="F1090" s="32">
        <v>10003</v>
      </c>
      <c r="G1090" s="5" t="str">
        <f>INDEX(customer[عنوان],MATCH(Main[[#This Row],[کد ردیابی]],customer[کد],0))</f>
        <v>اصغر نورعلی</v>
      </c>
      <c r="H1090">
        <v>-1552</v>
      </c>
      <c r="I1090" s="6">
        <f ca="1">-Main[[#This Row],[بدهی تسویه شده (کیلوگرم)]]+Main[[#This Row],[بستانکار (کیلوگرم)]]</f>
        <v>-1552</v>
      </c>
      <c r="J1090" s="6">
        <f>IF(Main[[#This Row],[مقدار (کیلوگرم)]]&gt;0,Main[[#This Row],[مقدار (کیلوگرم)]],0)</f>
        <v>0</v>
      </c>
      <c r="K1090" s="6">
        <f>-IF(Main[[#This Row],[مقدار (کیلوگرم)]]&lt;0,Main[[#This Row],[مقدار (کیلوگرم)]],0)</f>
        <v>1552</v>
      </c>
      <c r="L10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0" s="7">
        <f>-IF(AND(Main[[#This Row],[مقدار (کیلوگرم)]]&lt;0,Main[[#This Row],[تاريخ میلادی]]&gt;44276),Main[[#This Row],[مقدار (کیلوگرم)]],0)</f>
        <v>1552</v>
      </c>
      <c r="N1090" s="6">
        <f ca="1">Main[[#This Row],[بدهکار (کیلوگرم)]]-Main[[#This Row],[بدهی تسویه نشده (کیلوگرم)]]</f>
        <v>1552</v>
      </c>
      <c r="O1090" s="6">
        <f ca="1">Main[[#This Row],[تفکیک]]</f>
        <v>0</v>
      </c>
      <c r="P1090" s="6">
        <f ca="1">IF(Main[[#This Row],[تاخیر از سررسید]]&gt;0,Main[[#This Row],[بدهی تسویه نشده (کیلوگرم)]],0)</f>
        <v>0</v>
      </c>
      <c r="Q1090" s="6">
        <f ca="1">IF(Main[[#This Row],[بدهی تسویه نشده (کیلوگرم)]]&gt;0,'گزارش فردی'!$B$7-Main[[#This Row],[تاريخ میلادی]],0)</f>
        <v>0</v>
      </c>
      <c r="R1090" s="6">
        <f ca="1">IF(Main[[#This Row],[بدهی تسویه نشده (کیلوگرم)]]&gt;0,'گزارش فردی'!$B$7-Main[[#This Row],[تاريخ میلادی]]-'گزارش فردی'!$B$8,0)</f>
        <v>0</v>
      </c>
      <c r="S1090" s="6">
        <f ca="1">Main[[#This Row],[روز از ارسال سفارش]]*Main[[#This Row],[بدهی تسویه نشده (کیلوگرم)]]</f>
        <v>0</v>
      </c>
      <c r="T1090" s="6">
        <f ca="1">Main[[#This Row],[بدهی سررسید شده (کیلوگرم)]]*Main[[#This Row],[روز از ارسال سفارش]]</f>
        <v>0</v>
      </c>
      <c r="U1090" s="6">
        <f>-SUBTOTAL(9,INDEX(Main[مقدار (کیلوگرم)],1):Main[[#This Row],[مقدار (کیلوگرم)]])</f>
        <v>22460</v>
      </c>
      <c r="V10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90" s="6">
        <f>Main[[#This Row],[تعداد کل روزهای بدهکار (روز)]]*Main[[#This Row],[مانده در خط کل (کیلوگرم)]]</f>
        <v>22460</v>
      </c>
      <c r="X1090" s="6">
        <f ca="1">-SUBTOTAL(9,INDEX(Main[مقدار تسویه شده (کیلوگرم)],1):Main[[#This Row],[مقدار تسویه شده (کیلوگرم)]])</f>
        <v>22460</v>
      </c>
      <c r="Y1090" s="6">
        <f ca="1">IF(Main[[#This Row],[مانده در خط تسویه شده (کیلوگرم)]]&lt;&gt;0,Main[[#This Row],[تعداد کل روزهای بدهکار (روز)]],0)</f>
        <v>1</v>
      </c>
      <c r="Z1090" s="6">
        <f ca="1">Main[[#This Row],[تعداد روزهای بدهکار تسویه شده (روز)]]*Main[[#This Row],[مانده در خط تسویه شده (کیلوگرم)]]</f>
        <v>22460</v>
      </c>
      <c r="AA1090" s="6">
        <f ca="1">SUBTOTAL(9,INDEX(Main[بدهی تسویه نشده (کیلوگرم)],1):Main[[#This Row],[بدهی تسویه نشده (کیلوگرم)]])</f>
        <v>0</v>
      </c>
      <c r="AB1090" s="6">
        <f ca="1">IF(Main[[#This Row],[مانده در خط تسویه نشده (کیلوگرم)]]&lt;&gt;0,Main[[#This Row],[تعداد کل روزهای بدهکار (روز)]],0)</f>
        <v>0</v>
      </c>
      <c r="AC1090" s="6">
        <f ca="1">Main[[#This Row],[تعداد روزهای بدهکار  تسویه نشده (روز)]]*Main[[#This Row],[مانده در خط تسویه نشده (کیلوگرم)]]</f>
        <v>0</v>
      </c>
      <c r="AD1090" s="6">
        <f ca="1">SUBTOTAL(9,INDEX(Main[بدهی سررسید شده (کیلوگرم)],1):Main[[#This Row],[بدهی سررسید شده (کیلوگرم)]])</f>
        <v>0</v>
      </c>
      <c r="AE1090" s="6">
        <f ca="1">IF(Main[[#This Row],[مانده در خط سررسید شده (کیلوگرم)]]&lt;&gt;0,Main[[#This Row],[تعداد کل روزهای بدهکار (روز)]],0)</f>
        <v>0</v>
      </c>
      <c r="AF1090" s="6">
        <f ca="1">Main[[#This Row],[تعداد روزهای بدهکار سررسید شده (روز)]]*Main[[#This Row],[مانده در خط سررسید شده (کیلوگرم)]]</f>
        <v>0</v>
      </c>
    </row>
    <row r="1091" spans="1:32" hidden="1" x14ac:dyDescent="0.35">
      <c r="A1091" s="5">
        <f>ROW()-ROW(INDEX(Main[ردیف],1))+1</f>
        <v>1089</v>
      </c>
      <c r="B1091" s="31">
        <f>SUBTOTAL(2,INDEX(Main[ردیف],1):Main[[#This Row],[ردیف]])</f>
        <v>101</v>
      </c>
      <c r="C1091" s="32" t="s">
        <v>618</v>
      </c>
      <c r="D1091" s="32" t="str">
        <f>_xlfn.CONCAT("14",Main[[#This Row],[تاريخ]])</f>
        <v>1400/04/23</v>
      </c>
      <c r="E1091" s="33">
        <v>44391</v>
      </c>
      <c r="F1091" s="32">
        <v>10026</v>
      </c>
      <c r="G1091" s="5" t="str">
        <f>INDEX(customer[عنوان],MATCH(Main[[#This Row],[کد ردیابی]],customer[کد],0))</f>
        <v xml:space="preserve">محسن فیاض بخش </v>
      </c>
      <c r="H1091">
        <v>-949</v>
      </c>
      <c r="I1091" s="6">
        <f ca="1">-Main[[#This Row],[بدهی تسویه شده (کیلوگرم)]]+Main[[#This Row],[بستانکار (کیلوگرم)]]</f>
        <v>-949</v>
      </c>
      <c r="J1091" s="6">
        <f>IF(Main[[#This Row],[مقدار (کیلوگرم)]]&gt;0,Main[[#This Row],[مقدار (کیلوگرم)]],0)</f>
        <v>0</v>
      </c>
      <c r="K1091" s="6">
        <f>-IF(Main[[#This Row],[مقدار (کیلوگرم)]]&lt;0,Main[[#This Row],[مقدار (کیلوگرم)]],0)</f>
        <v>949</v>
      </c>
      <c r="L10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1" s="7">
        <f>-IF(AND(Main[[#This Row],[مقدار (کیلوگرم)]]&lt;0,Main[[#This Row],[تاريخ میلادی]]&gt;44276),Main[[#This Row],[مقدار (کیلوگرم)]],0)</f>
        <v>949</v>
      </c>
      <c r="N1091" s="6">
        <f ca="1">Main[[#This Row],[بدهکار (کیلوگرم)]]-Main[[#This Row],[بدهی تسویه نشده (کیلوگرم)]]</f>
        <v>949</v>
      </c>
      <c r="O1091" s="6">
        <f ca="1">Main[[#This Row],[تفکیک]]</f>
        <v>0</v>
      </c>
      <c r="P1091" s="6">
        <f ca="1">IF(Main[[#This Row],[تاخیر از سررسید]]&gt;0,Main[[#This Row],[بدهی تسویه نشده (کیلوگرم)]],0)</f>
        <v>0</v>
      </c>
      <c r="Q1091" s="6">
        <f ca="1">IF(Main[[#This Row],[بدهی تسویه نشده (کیلوگرم)]]&gt;0,'گزارش فردی'!$B$7-Main[[#This Row],[تاريخ میلادی]],0)</f>
        <v>0</v>
      </c>
      <c r="R1091" s="6">
        <f ca="1">IF(Main[[#This Row],[بدهی تسویه نشده (کیلوگرم)]]&gt;0,'گزارش فردی'!$B$7-Main[[#This Row],[تاريخ میلادی]]-'گزارش فردی'!$B$8,0)</f>
        <v>0</v>
      </c>
      <c r="S1091" s="6">
        <f ca="1">Main[[#This Row],[روز از ارسال سفارش]]*Main[[#This Row],[بدهی تسویه نشده (کیلوگرم)]]</f>
        <v>0</v>
      </c>
      <c r="T1091" s="6">
        <f ca="1">Main[[#This Row],[بدهی سررسید شده (کیلوگرم)]]*Main[[#This Row],[روز از ارسال سفارش]]</f>
        <v>0</v>
      </c>
      <c r="U1091" s="6">
        <f>-SUBTOTAL(9,INDEX(Main[مقدار (کیلوگرم)],1):Main[[#This Row],[مقدار (کیلوگرم)]])</f>
        <v>22460</v>
      </c>
      <c r="V10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91" s="6">
        <f>Main[[#This Row],[تعداد کل روزهای بدهکار (روز)]]*Main[[#This Row],[مانده در خط کل (کیلوگرم)]]</f>
        <v>22460</v>
      </c>
      <c r="X1091" s="6">
        <f ca="1">-SUBTOTAL(9,INDEX(Main[مقدار تسویه شده (کیلوگرم)],1):Main[[#This Row],[مقدار تسویه شده (کیلوگرم)]])</f>
        <v>22460</v>
      </c>
      <c r="Y1091" s="6">
        <f ca="1">IF(Main[[#This Row],[مانده در خط تسویه شده (کیلوگرم)]]&lt;&gt;0,Main[[#This Row],[تعداد کل روزهای بدهکار (روز)]],0)</f>
        <v>1</v>
      </c>
      <c r="Z1091" s="6">
        <f ca="1">Main[[#This Row],[تعداد روزهای بدهکار تسویه شده (روز)]]*Main[[#This Row],[مانده در خط تسویه شده (کیلوگرم)]]</f>
        <v>22460</v>
      </c>
      <c r="AA1091" s="6">
        <f ca="1">SUBTOTAL(9,INDEX(Main[بدهی تسویه نشده (کیلوگرم)],1):Main[[#This Row],[بدهی تسویه نشده (کیلوگرم)]])</f>
        <v>0</v>
      </c>
      <c r="AB1091" s="6">
        <f ca="1">IF(Main[[#This Row],[مانده در خط تسویه نشده (کیلوگرم)]]&lt;&gt;0,Main[[#This Row],[تعداد کل روزهای بدهکار (روز)]],0)</f>
        <v>0</v>
      </c>
      <c r="AC1091" s="6">
        <f ca="1">Main[[#This Row],[تعداد روزهای بدهکار  تسویه نشده (روز)]]*Main[[#This Row],[مانده در خط تسویه نشده (کیلوگرم)]]</f>
        <v>0</v>
      </c>
      <c r="AD1091" s="6">
        <f ca="1">SUBTOTAL(9,INDEX(Main[بدهی سررسید شده (کیلوگرم)],1):Main[[#This Row],[بدهی سررسید شده (کیلوگرم)]])</f>
        <v>0</v>
      </c>
      <c r="AE1091" s="6">
        <f ca="1">IF(Main[[#This Row],[مانده در خط سررسید شده (کیلوگرم)]]&lt;&gt;0,Main[[#This Row],[تعداد کل روزهای بدهکار (روز)]],0)</f>
        <v>0</v>
      </c>
      <c r="AF1091" s="6">
        <f ca="1">Main[[#This Row],[تعداد روزهای بدهکار سررسید شده (روز)]]*Main[[#This Row],[مانده در خط سررسید شده (کیلوگرم)]]</f>
        <v>0</v>
      </c>
    </row>
    <row r="1092" spans="1:32" hidden="1" x14ac:dyDescent="0.35">
      <c r="A1092" s="5">
        <f>ROW()-ROW(INDEX(Main[ردیف],1))+1</f>
        <v>1090</v>
      </c>
      <c r="B1092" s="31">
        <f>SUBTOTAL(2,INDEX(Main[ردیف],1):Main[[#This Row],[ردیف]])</f>
        <v>101</v>
      </c>
      <c r="C1092" s="32" t="s">
        <v>618</v>
      </c>
      <c r="D1092" s="32" t="str">
        <f>_xlfn.CONCAT("14",Main[[#This Row],[تاريخ]])</f>
        <v>1400/04/23</v>
      </c>
      <c r="E1092" s="33">
        <v>44391</v>
      </c>
      <c r="F1092" s="32">
        <v>10048</v>
      </c>
      <c r="G1092" s="5" t="str">
        <f>INDEX(customer[عنوان],MATCH(Main[[#This Row],[کد ردیابی]],customer[کد],0))</f>
        <v xml:space="preserve">حسام کریمان  </v>
      </c>
      <c r="H1092">
        <v>-21</v>
      </c>
      <c r="I1092" s="6">
        <f ca="1">-Main[[#This Row],[بدهی تسویه شده (کیلوگرم)]]+Main[[#This Row],[بستانکار (کیلوگرم)]]</f>
        <v>-21</v>
      </c>
      <c r="J1092" s="6">
        <f>IF(Main[[#This Row],[مقدار (کیلوگرم)]]&gt;0,Main[[#This Row],[مقدار (کیلوگرم)]],0)</f>
        <v>0</v>
      </c>
      <c r="K1092" s="6">
        <f>-IF(Main[[#This Row],[مقدار (کیلوگرم)]]&lt;0,Main[[#This Row],[مقدار (کیلوگرم)]],0)</f>
        <v>21</v>
      </c>
      <c r="L10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2" s="7">
        <f>-IF(AND(Main[[#This Row],[مقدار (کیلوگرم)]]&lt;0,Main[[#This Row],[تاريخ میلادی]]&gt;44276),Main[[#This Row],[مقدار (کیلوگرم)]],0)</f>
        <v>21</v>
      </c>
      <c r="N1092" s="6">
        <f ca="1">Main[[#This Row],[بدهکار (کیلوگرم)]]-Main[[#This Row],[بدهی تسویه نشده (کیلوگرم)]]</f>
        <v>21</v>
      </c>
      <c r="O1092" s="6">
        <f ca="1">Main[[#This Row],[تفکیک]]</f>
        <v>0</v>
      </c>
      <c r="P1092" s="6">
        <f ca="1">IF(Main[[#This Row],[تاخیر از سررسید]]&gt;0,Main[[#This Row],[بدهی تسویه نشده (کیلوگرم)]],0)</f>
        <v>0</v>
      </c>
      <c r="Q1092" s="6">
        <f ca="1">IF(Main[[#This Row],[بدهی تسویه نشده (کیلوگرم)]]&gt;0,'گزارش فردی'!$B$7-Main[[#This Row],[تاريخ میلادی]],0)</f>
        <v>0</v>
      </c>
      <c r="R1092" s="6">
        <f ca="1">IF(Main[[#This Row],[بدهی تسویه نشده (کیلوگرم)]]&gt;0,'گزارش فردی'!$B$7-Main[[#This Row],[تاريخ میلادی]]-'گزارش فردی'!$B$8,0)</f>
        <v>0</v>
      </c>
      <c r="S1092" s="6">
        <f ca="1">Main[[#This Row],[روز از ارسال سفارش]]*Main[[#This Row],[بدهی تسویه نشده (کیلوگرم)]]</f>
        <v>0</v>
      </c>
      <c r="T1092" s="6">
        <f ca="1">Main[[#This Row],[بدهی سررسید شده (کیلوگرم)]]*Main[[#This Row],[روز از ارسال سفارش]]</f>
        <v>0</v>
      </c>
      <c r="U1092" s="6">
        <f>-SUBTOTAL(9,INDEX(Main[مقدار (کیلوگرم)],1):Main[[#This Row],[مقدار (کیلوگرم)]])</f>
        <v>22460</v>
      </c>
      <c r="V10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92" s="6">
        <f>Main[[#This Row],[تعداد کل روزهای بدهکار (روز)]]*Main[[#This Row],[مانده در خط کل (کیلوگرم)]]</f>
        <v>22460</v>
      </c>
      <c r="X1092" s="6">
        <f ca="1">-SUBTOTAL(9,INDEX(Main[مقدار تسویه شده (کیلوگرم)],1):Main[[#This Row],[مقدار تسویه شده (کیلوگرم)]])</f>
        <v>22460</v>
      </c>
      <c r="Y1092" s="6">
        <f ca="1">IF(Main[[#This Row],[مانده در خط تسویه شده (کیلوگرم)]]&lt;&gt;0,Main[[#This Row],[تعداد کل روزهای بدهکار (روز)]],0)</f>
        <v>1</v>
      </c>
      <c r="Z1092" s="6">
        <f ca="1">Main[[#This Row],[تعداد روزهای بدهکار تسویه شده (روز)]]*Main[[#This Row],[مانده در خط تسویه شده (کیلوگرم)]]</f>
        <v>22460</v>
      </c>
      <c r="AA1092" s="6">
        <f ca="1">SUBTOTAL(9,INDEX(Main[بدهی تسویه نشده (کیلوگرم)],1):Main[[#This Row],[بدهی تسویه نشده (کیلوگرم)]])</f>
        <v>0</v>
      </c>
      <c r="AB1092" s="6">
        <f ca="1">IF(Main[[#This Row],[مانده در خط تسویه نشده (کیلوگرم)]]&lt;&gt;0,Main[[#This Row],[تعداد کل روزهای بدهکار (روز)]],0)</f>
        <v>0</v>
      </c>
      <c r="AC1092" s="6">
        <f ca="1">Main[[#This Row],[تعداد روزهای بدهکار  تسویه نشده (روز)]]*Main[[#This Row],[مانده در خط تسویه نشده (کیلوگرم)]]</f>
        <v>0</v>
      </c>
      <c r="AD1092" s="6">
        <f ca="1">SUBTOTAL(9,INDEX(Main[بدهی سررسید شده (کیلوگرم)],1):Main[[#This Row],[بدهی سررسید شده (کیلوگرم)]])</f>
        <v>0</v>
      </c>
      <c r="AE1092" s="6">
        <f ca="1">IF(Main[[#This Row],[مانده در خط سررسید شده (کیلوگرم)]]&lt;&gt;0,Main[[#This Row],[تعداد کل روزهای بدهکار (روز)]],0)</f>
        <v>0</v>
      </c>
      <c r="AF1092" s="6">
        <f ca="1">Main[[#This Row],[تعداد روزهای بدهکار سررسید شده (روز)]]*Main[[#This Row],[مانده در خط سررسید شده (کیلوگرم)]]</f>
        <v>0</v>
      </c>
    </row>
    <row r="1093" spans="1:32" hidden="1" x14ac:dyDescent="0.35">
      <c r="A1093" s="5">
        <f>ROW()-ROW(INDEX(Main[ردیف],1))+1</f>
        <v>1091</v>
      </c>
      <c r="B1093" s="31">
        <f>SUBTOTAL(2,INDEX(Main[ردیف],1):Main[[#This Row],[ردیف]])</f>
        <v>101</v>
      </c>
      <c r="C1093" s="32" t="s">
        <v>619</v>
      </c>
      <c r="D1093" s="32" t="str">
        <f>_xlfn.CONCAT("14",Main[[#This Row],[تاريخ]])</f>
        <v>1400/04/24</v>
      </c>
      <c r="E1093" s="33">
        <v>44392</v>
      </c>
      <c r="F1093" s="32">
        <v>10055</v>
      </c>
      <c r="G1093" s="5" t="str">
        <f>INDEX(customer[عنوان],MATCH(Main[[#This Row],[کد ردیابی]],customer[کد],0))</f>
        <v xml:space="preserve">مریم فیض آبادی  </v>
      </c>
      <c r="H1093">
        <v>5038</v>
      </c>
      <c r="I1093" s="6">
        <f ca="1">-Main[[#This Row],[بدهی تسویه شده (کیلوگرم)]]+Main[[#This Row],[بستانکار (کیلوگرم)]]</f>
        <v>5038</v>
      </c>
      <c r="J1093" s="6">
        <f>IF(Main[[#This Row],[مقدار (کیلوگرم)]]&gt;0,Main[[#This Row],[مقدار (کیلوگرم)]],0)</f>
        <v>5038</v>
      </c>
      <c r="K1093" s="6">
        <f>-IF(Main[[#This Row],[مقدار (کیلوگرم)]]&lt;0,Main[[#This Row],[مقدار (کیلوگرم)]],0)</f>
        <v>0</v>
      </c>
      <c r="L10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3" s="7">
        <f>-IF(AND(Main[[#This Row],[مقدار (کیلوگرم)]]&lt;0,Main[[#This Row],[تاريخ میلادی]]&gt;44276),Main[[#This Row],[مقدار (کیلوگرم)]],0)</f>
        <v>0</v>
      </c>
      <c r="N1093" s="6">
        <f ca="1">Main[[#This Row],[بدهکار (کیلوگرم)]]-Main[[#This Row],[بدهی تسویه نشده (کیلوگرم)]]</f>
        <v>0</v>
      </c>
      <c r="O1093" s="6">
        <f ca="1">Main[[#This Row],[تفکیک]]</f>
        <v>0</v>
      </c>
      <c r="P1093" s="6">
        <f ca="1">IF(Main[[#This Row],[تاخیر از سررسید]]&gt;0,Main[[#This Row],[بدهی تسویه نشده (کیلوگرم)]],0)</f>
        <v>0</v>
      </c>
      <c r="Q1093" s="6">
        <f ca="1">IF(Main[[#This Row],[بدهی تسویه نشده (کیلوگرم)]]&gt;0,'گزارش فردی'!$B$7-Main[[#This Row],[تاريخ میلادی]],0)</f>
        <v>0</v>
      </c>
      <c r="R1093" s="6">
        <f ca="1">IF(Main[[#This Row],[بدهی تسویه نشده (کیلوگرم)]]&gt;0,'گزارش فردی'!$B$7-Main[[#This Row],[تاريخ میلادی]]-'گزارش فردی'!$B$8,0)</f>
        <v>0</v>
      </c>
      <c r="S1093" s="6">
        <f ca="1">Main[[#This Row],[روز از ارسال سفارش]]*Main[[#This Row],[بدهی تسویه نشده (کیلوگرم)]]</f>
        <v>0</v>
      </c>
      <c r="T1093" s="6">
        <f ca="1">Main[[#This Row],[بدهی سررسید شده (کیلوگرم)]]*Main[[#This Row],[روز از ارسال سفارش]]</f>
        <v>0</v>
      </c>
      <c r="U1093" s="6">
        <f>-SUBTOTAL(9,INDEX(Main[مقدار (کیلوگرم)],1):Main[[#This Row],[مقدار (کیلوگرم)]])</f>
        <v>22460</v>
      </c>
      <c r="V10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3" s="6">
        <f>Main[[#This Row],[تعداد کل روزهای بدهکار (روز)]]*Main[[#This Row],[مانده در خط کل (کیلوگرم)]]</f>
        <v>0</v>
      </c>
      <c r="X1093" s="6">
        <f ca="1">-SUBTOTAL(9,INDEX(Main[مقدار تسویه شده (کیلوگرم)],1):Main[[#This Row],[مقدار تسویه شده (کیلوگرم)]])</f>
        <v>22460</v>
      </c>
      <c r="Y1093" s="6">
        <f ca="1">IF(Main[[#This Row],[مانده در خط تسویه شده (کیلوگرم)]]&lt;&gt;0,Main[[#This Row],[تعداد کل روزهای بدهکار (روز)]],0)</f>
        <v>0</v>
      </c>
      <c r="Z1093" s="6">
        <f ca="1">Main[[#This Row],[تعداد روزهای بدهکار تسویه شده (روز)]]*Main[[#This Row],[مانده در خط تسویه شده (کیلوگرم)]]</f>
        <v>0</v>
      </c>
      <c r="AA1093" s="6">
        <f ca="1">SUBTOTAL(9,INDEX(Main[بدهی تسویه نشده (کیلوگرم)],1):Main[[#This Row],[بدهی تسویه نشده (کیلوگرم)]])</f>
        <v>0</v>
      </c>
      <c r="AB1093" s="6">
        <f ca="1">IF(Main[[#This Row],[مانده در خط تسویه نشده (کیلوگرم)]]&lt;&gt;0,Main[[#This Row],[تعداد کل روزهای بدهکار (روز)]],0)</f>
        <v>0</v>
      </c>
      <c r="AC1093" s="6">
        <f ca="1">Main[[#This Row],[تعداد روزهای بدهکار  تسویه نشده (روز)]]*Main[[#This Row],[مانده در خط تسویه نشده (کیلوگرم)]]</f>
        <v>0</v>
      </c>
      <c r="AD1093" s="6">
        <f ca="1">SUBTOTAL(9,INDEX(Main[بدهی سررسید شده (کیلوگرم)],1):Main[[#This Row],[بدهی سررسید شده (کیلوگرم)]])</f>
        <v>0</v>
      </c>
      <c r="AE1093" s="6">
        <f ca="1">IF(Main[[#This Row],[مانده در خط سررسید شده (کیلوگرم)]]&lt;&gt;0,Main[[#This Row],[تعداد کل روزهای بدهکار (روز)]],0)</f>
        <v>0</v>
      </c>
      <c r="AF1093" s="6">
        <f ca="1">Main[[#This Row],[تعداد روزهای بدهکار سررسید شده (روز)]]*Main[[#This Row],[مانده در خط سررسید شده (کیلوگرم)]]</f>
        <v>0</v>
      </c>
    </row>
    <row r="1094" spans="1:32" hidden="1" x14ac:dyDescent="0.35">
      <c r="A1094" s="5">
        <f>ROW()-ROW(INDEX(Main[ردیف],1))+1</f>
        <v>1092</v>
      </c>
      <c r="B1094" s="31">
        <f>SUBTOTAL(2,INDEX(Main[ردیف],1):Main[[#This Row],[ردیف]])</f>
        <v>101</v>
      </c>
      <c r="C1094" s="32" t="s">
        <v>619</v>
      </c>
      <c r="D1094" s="32" t="str">
        <f>_xlfn.CONCAT("14",Main[[#This Row],[تاريخ]])</f>
        <v>1400/04/24</v>
      </c>
      <c r="E1094" s="33">
        <v>44392</v>
      </c>
      <c r="F1094" s="32">
        <v>30066</v>
      </c>
      <c r="G1094" s="5" t="str">
        <f>INDEX(customer[عنوان],MATCH(Main[[#This Row],[کد ردیابی]],customer[کد],0))</f>
        <v xml:space="preserve">شیر آلات بهداشتی قهرمان </v>
      </c>
      <c r="H1094">
        <v>-8336</v>
      </c>
      <c r="I1094" s="6">
        <f ca="1">-Main[[#This Row],[بدهی تسویه شده (کیلوگرم)]]+Main[[#This Row],[بستانکار (کیلوگرم)]]</f>
        <v>-8336</v>
      </c>
      <c r="J1094" s="6">
        <f>IF(Main[[#This Row],[مقدار (کیلوگرم)]]&gt;0,Main[[#This Row],[مقدار (کیلوگرم)]],0)</f>
        <v>0</v>
      </c>
      <c r="K1094" s="6">
        <f>-IF(Main[[#This Row],[مقدار (کیلوگرم)]]&lt;0,Main[[#This Row],[مقدار (کیلوگرم)]],0)</f>
        <v>8336</v>
      </c>
      <c r="L10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4" s="7">
        <f>-IF(AND(Main[[#This Row],[مقدار (کیلوگرم)]]&lt;0,Main[[#This Row],[تاريخ میلادی]]&gt;44276),Main[[#This Row],[مقدار (کیلوگرم)]],0)</f>
        <v>8336</v>
      </c>
      <c r="N1094" s="6">
        <f ca="1">Main[[#This Row],[بدهکار (کیلوگرم)]]-Main[[#This Row],[بدهی تسویه نشده (کیلوگرم)]]</f>
        <v>8336</v>
      </c>
      <c r="O1094" s="6">
        <f ca="1">Main[[#This Row],[تفکیک]]</f>
        <v>0</v>
      </c>
      <c r="P1094" s="6">
        <f ca="1">IF(Main[[#This Row],[تاخیر از سررسید]]&gt;0,Main[[#This Row],[بدهی تسویه نشده (کیلوگرم)]],0)</f>
        <v>0</v>
      </c>
      <c r="Q1094" s="6">
        <f ca="1">IF(Main[[#This Row],[بدهی تسویه نشده (کیلوگرم)]]&gt;0,'گزارش فردی'!$B$7-Main[[#This Row],[تاريخ میلادی]],0)</f>
        <v>0</v>
      </c>
      <c r="R1094" s="6">
        <f ca="1">IF(Main[[#This Row],[بدهی تسویه نشده (کیلوگرم)]]&gt;0,'گزارش فردی'!$B$7-Main[[#This Row],[تاريخ میلادی]]-'گزارش فردی'!$B$8,0)</f>
        <v>0</v>
      </c>
      <c r="S1094" s="6">
        <f ca="1">Main[[#This Row],[روز از ارسال سفارش]]*Main[[#This Row],[بدهی تسویه نشده (کیلوگرم)]]</f>
        <v>0</v>
      </c>
      <c r="T1094" s="6">
        <f ca="1">Main[[#This Row],[بدهی سررسید شده (کیلوگرم)]]*Main[[#This Row],[روز از ارسال سفارش]]</f>
        <v>0</v>
      </c>
      <c r="U1094" s="6">
        <f>-SUBTOTAL(9,INDEX(Main[مقدار (کیلوگرم)],1):Main[[#This Row],[مقدار (کیلوگرم)]])</f>
        <v>22460</v>
      </c>
      <c r="V10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4" s="6">
        <f>Main[[#This Row],[تعداد کل روزهای بدهکار (روز)]]*Main[[#This Row],[مانده در خط کل (کیلوگرم)]]</f>
        <v>0</v>
      </c>
      <c r="X1094" s="6">
        <f ca="1">-SUBTOTAL(9,INDEX(Main[مقدار تسویه شده (کیلوگرم)],1):Main[[#This Row],[مقدار تسویه شده (کیلوگرم)]])</f>
        <v>22460</v>
      </c>
      <c r="Y1094" s="6">
        <f ca="1">IF(Main[[#This Row],[مانده در خط تسویه شده (کیلوگرم)]]&lt;&gt;0,Main[[#This Row],[تعداد کل روزهای بدهکار (روز)]],0)</f>
        <v>0</v>
      </c>
      <c r="Z1094" s="6">
        <f ca="1">Main[[#This Row],[تعداد روزهای بدهکار تسویه شده (روز)]]*Main[[#This Row],[مانده در خط تسویه شده (کیلوگرم)]]</f>
        <v>0</v>
      </c>
      <c r="AA1094" s="6">
        <f ca="1">SUBTOTAL(9,INDEX(Main[بدهی تسویه نشده (کیلوگرم)],1):Main[[#This Row],[بدهی تسویه نشده (کیلوگرم)]])</f>
        <v>0</v>
      </c>
      <c r="AB1094" s="6">
        <f ca="1">IF(Main[[#This Row],[مانده در خط تسویه نشده (کیلوگرم)]]&lt;&gt;0,Main[[#This Row],[تعداد کل روزهای بدهکار (روز)]],0)</f>
        <v>0</v>
      </c>
      <c r="AC1094" s="6">
        <f ca="1">Main[[#This Row],[تعداد روزهای بدهکار  تسویه نشده (روز)]]*Main[[#This Row],[مانده در خط تسویه نشده (کیلوگرم)]]</f>
        <v>0</v>
      </c>
      <c r="AD1094" s="6">
        <f ca="1">SUBTOTAL(9,INDEX(Main[بدهی سررسید شده (کیلوگرم)],1):Main[[#This Row],[بدهی سررسید شده (کیلوگرم)]])</f>
        <v>0</v>
      </c>
      <c r="AE1094" s="6">
        <f ca="1">IF(Main[[#This Row],[مانده در خط سررسید شده (کیلوگرم)]]&lt;&gt;0,Main[[#This Row],[تعداد کل روزهای بدهکار (روز)]],0)</f>
        <v>0</v>
      </c>
      <c r="AF1094" s="6">
        <f ca="1">Main[[#This Row],[تعداد روزهای بدهکار سررسید شده (روز)]]*Main[[#This Row],[مانده در خط سررسید شده (کیلوگرم)]]</f>
        <v>0</v>
      </c>
    </row>
    <row r="1095" spans="1:32" hidden="1" x14ac:dyDescent="0.35">
      <c r="A1095" s="5">
        <f>ROW()-ROW(INDEX(Main[ردیف],1))+1</f>
        <v>1093</v>
      </c>
      <c r="B1095" s="31">
        <f>SUBTOTAL(2,INDEX(Main[ردیف],1):Main[[#This Row],[ردیف]])</f>
        <v>101</v>
      </c>
      <c r="C1095" s="32" t="s">
        <v>619</v>
      </c>
      <c r="D1095" s="32" t="str">
        <f>_xlfn.CONCAT("14",Main[[#This Row],[تاريخ]])</f>
        <v>1400/04/24</v>
      </c>
      <c r="E1095" s="33">
        <v>44392</v>
      </c>
      <c r="F1095" s="32">
        <v>30004</v>
      </c>
      <c r="G1095" s="5" t="str">
        <f>INDEX(customer[عنوان],MATCH(Main[[#This Row],[کد ردیابی]],customer[کد],0))</f>
        <v>تولیدی صنعتی صفاشیر پارس</v>
      </c>
      <c r="H1095">
        <v>2516</v>
      </c>
      <c r="I1095" s="6">
        <f ca="1">-Main[[#This Row],[بدهی تسویه شده (کیلوگرم)]]+Main[[#This Row],[بستانکار (کیلوگرم)]]</f>
        <v>2516</v>
      </c>
      <c r="J1095" s="6">
        <f>IF(Main[[#This Row],[مقدار (کیلوگرم)]]&gt;0,Main[[#This Row],[مقدار (کیلوگرم)]],0)</f>
        <v>2516</v>
      </c>
      <c r="K1095" s="6">
        <f>-IF(Main[[#This Row],[مقدار (کیلوگرم)]]&lt;0,Main[[#This Row],[مقدار (کیلوگرم)]],0)</f>
        <v>0</v>
      </c>
      <c r="L10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5" s="7">
        <f>-IF(AND(Main[[#This Row],[مقدار (کیلوگرم)]]&lt;0,Main[[#This Row],[تاريخ میلادی]]&gt;44276),Main[[#This Row],[مقدار (کیلوگرم)]],0)</f>
        <v>0</v>
      </c>
      <c r="N1095" s="6">
        <f ca="1">Main[[#This Row],[بدهکار (کیلوگرم)]]-Main[[#This Row],[بدهی تسویه نشده (کیلوگرم)]]</f>
        <v>0</v>
      </c>
      <c r="O1095" s="6">
        <f ca="1">Main[[#This Row],[تفکیک]]</f>
        <v>0</v>
      </c>
      <c r="P1095" s="6">
        <f ca="1">IF(Main[[#This Row],[تاخیر از سررسید]]&gt;0,Main[[#This Row],[بدهی تسویه نشده (کیلوگرم)]],0)</f>
        <v>0</v>
      </c>
      <c r="Q1095" s="6">
        <f ca="1">IF(Main[[#This Row],[بدهی تسویه نشده (کیلوگرم)]]&gt;0,'گزارش فردی'!$B$7-Main[[#This Row],[تاريخ میلادی]],0)</f>
        <v>0</v>
      </c>
      <c r="R1095" s="6">
        <f ca="1">IF(Main[[#This Row],[بدهی تسویه نشده (کیلوگرم)]]&gt;0,'گزارش فردی'!$B$7-Main[[#This Row],[تاريخ میلادی]]-'گزارش فردی'!$B$8,0)</f>
        <v>0</v>
      </c>
      <c r="S1095" s="6">
        <f ca="1">Main[[#This Row],[روز از ارسال سفارش]]*Main[[#This Row],[بدهی تسویه نشده (کیلوگرم)]]</f>
        <v>0</v>
      </c>
      <c r="T1095" s="6">
        <f ca="1">Main[[#This Row],[بدهی سررسید شده (کیلوگرم)]]*Main[[#This Row],[روز از ارسال سفارش]]</f>
        <v>0</v>
      </c>
      <c r="U1095" s="6">
        <f>-SUBTOTAL(9,INDEX(Main[مقدار (کیلوگرم)],1):Main[[#This Row],[مقدار (کیلوگرم)]])</f>
        <v>22460</v>
      </c>
      <c r="V10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5" s="6">
        <f>Main[[#This Row],[تعداد کل روزهای بدهکار (روز)]]*Main[[#This Row],[مانده در خط کل (کیلوگرم)]]</f>
        <v>0</v>
      </c>
      <c r="X1095" s="6">
        <f ca="1">-SUBTOTAL(9,INDEX(Main[مقدار تسویه شده (کیلوگرم)],1):Main[[#This Row],[مقدار تسویه شده (کیلوگرم)]])</f>
        <v>22460</v>
      </c>
      <c r="Y1095" s="6">
        <f ca="1">IF(Main[[#This Row],[مانده در خط تسویه شده (کیلوگرم)]]&lt;&gt;0,Main[[#This Row],[تعداد کل روزهای بدهکار (روز)]],0)</f>
        <v>0</v>
      </c>
      <c r="Z1095" s="6">
        <f ca="1">Main[[#This Row],[تعداد روزهای بدهکار تسویه شده (روز)]]*Main[[#This Row],[مانده در خط تسویه شده (کیلوگرم)]]</f>
        <v>0</v>
      </c>
      <c r="AA1095" s="6">
        <f ca="1">SUBTOTAL(9,INDEX(Main[بدهی تسویه نشده (کیلوگرم)],1):Main[[#This Row],[بدهی تسویه نشده (کیلوگرم)]])</f>
        <v>0</v>
      </c>
      <c r="AB1095" s="6">
        <f ca="1">IF(Main[[#This Row],[مانده در خط تسویه نشده (کیلوگرم)]]&lt;&gt;0,Main[[#This Row],[تعداد کل روزهای بدهکار (روز)]],0)</f>
        <v>0</v>
      </c>
      <c r="AC1095" s="6">
        <f ca="1">Main[[#This Row],[تعداد روزهای بدهکار  تسویه نشده (روز)]]*Main[[#This Row],[مانده در خط تسویه نشده (کیلوگرم)]]</f>
        <v>0</v>
      </c>
      <c r="AD1095" s="6">
        <f ca="1">SUBTOTAL(9,INDEX(Main[بدهی سررسید شده (کیلوگرم)],1):Main[[#This Row],[بدهی سررسید شده (کیلوگرم)]])</f>
        <v>0</v>
      </c>
      <c r="AE1095" s="6">
        <f ca="1">IF(Main[[#This Row],[مانده در خط سررسید شده (کیلوگرم)]]&lt;&gt;0,Main[[#This Row],[تعداد کل روزهای بدهکار (روز)]],0)</f>
        <v>0</v>
      </c>
      <c r="AF1095" s="6">
        <f ca="1">Main[[#This Row],[تعداد روزهای بدهکار سررسید شده (روز)]]*Main[[#This Row],[مانده در خط سررسید شده (کیلوگرم)]]</f>
        <v>0</v>
      </c>
    </row>
    <row r="1096" spans="1:32" hidden="1" x14ac:dyDescent="0.35">
      <c r="A1096" s="5">
        <f>ROW()-ROW(INDEX(Main[ردیف],1))+1</f>
        <v>1094</v>
      </c>
      <c r="B1096" s="31">
        <f>SUBTOTAL(2,INDEX(Main[ردیف],1):Main[[#This Row],[ردیف]])</f>
        <v>101</v>
      </c>
      <c r="C1096" s="32" t="s">
        <v>619</v>
      </c>
      <c r="D1096" s="32" t="str">
        <f>_xlfn.CONCAT("14",Main[[#This Row],[تاريخ]])</f>
        <v>1400/04/24</v>
      </c>
      <c r="E1096" s="33">
        <v>44392</v>
      </c>
      <c r="F1096" s="32">
        <v>30070</v>
      </c>
      <c r="G1096" s="5" t="str">
        <f>INDEX(customer[عنوان],MATCH(Main[[#This Row],[کد ردیابی]],customer[کد],0))</f>
        <v xml:space="preserve">تکنو تراش یادگار </v>
      </c>
      <c r="H1096">
        <v>-1826</v>
      </c>
      <c r="I1096" s="6">
        <f ca="1">-Main[[#This Row],[بدهی تسویه شده (کیلوگرم)]]+Main[[#This Row],[بستانکار (کیلوگرم)]]</f>
        <v>-1826</v>
      </c>
      <c r="J1096" s="6">
        <f>IF(Main[[#This Row],[مقدار (کیلوگرم)]]&gt;0,Main[[#This Row],[مقدار (کیلوگرم)]],0)</f>
        <v>0</v>
      </c>
      <c r="K1096" s="6">
        <f>-IF(Main[[#This Row],[مقدار (کیلوگرم)]]&lt;0,Main[[#This Row],[مقدار (کیلوگرم)]],0)</f>
        <v>1826</v>
      </c>
      <c r="L10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6" s="7">
        <f>-IF(AND(Main[[#This Row],[مقدار (کیلوگرم)]]&lt;0,Main[[#This Row],[تاريخ میلادی]]&gt;44276),Main[[#This Row],[مقدار (کیلوگرم)]],0)</f>
        <v>1826</v>
      </c>
      <c r="N1096" s="6">
        <f ca="1">Main[[#This Row],[بدهکار (کیلوگرم)]]-Main[[#This Row],[بدهی تسویه نشده (کیلوگرم)]]</f>
        <v>1826</v>
      </c>
      <c r="O1096" s="6">
        <f ca="1">Main[[#This Row],[تفکیک]]</f>
        <v>0</v>
      </c>
      <c r="P1096" s="6">
        <f ca="1">IF(Main[[#This Row],[تاخیر از سررسید]]&gt;0,Main[[#This Row],[بدهی تسویه نشده (کیلوگرم)]],0)</f>
        <v>0</v>
      </c>
      <c r="Q1096" s="6">
        <f ca="1">IF(Main[[#This Row],[بدهی تسویه نشده (کیلوگرم)]]&gt;0,'گزارش فردی'!$B$7-Main[[#This Row],[تاريخ میلادی]],0)</f>
        <v>0</v>
      </c>
      <c r="R1096" s="6">
        <f ca="1">IF(Main[[#This Row],[بدهی تسویه نشده (کیلوگرم)]]&gt;0,'گزارش فردی'!$B$7-Main[[#This Row],[تاريخ میلادی]]-'گزارش فردی'!$B$8,0)</f>
        <v>0</v>
      </c>
      <c r="S1096" s="6">
        <f ca="1">Main[[#This Row],[روز از ارسال سفارش]]*Main[[#This Row],[بدهی تسویه نشده (کیلوگرم)]]</f>
        <v>0</v>
      </c>
      <c r="T1096" s="6">
        <f ca="1">Main[[#This Row],[بدهی سررسید شده (کیلوگرم)]]*Main[[#This Row],[روز از ارسال سفارش]]</f>
        <v>0</v>
      </c>
      <c r="U1096" s="6">
        <f>-SUBTOTAL(9,INDEX(Main[مقدار (کیلوگرم)],1):Main[[#This Row],[مقدار (کیلوگرم)]])</f>
        <v>22460</v>
      </c>
      <c r="V10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6" s="6">
        <f>Main[[#This Row],[تعداد کل روزهای بدهکار (روز)]]*Main[[#This Row],[مانده در خط کل (کیلوگرم)]]</f>
        <v>0</v>
      </c>
      <c r="X1096" s="6">
        <f ca="1">-SUBTOTAL(9,INDEX(Main[مقدار تسویه شده (کیلوگرم)],1):Main[[#This Row],[مقدار تسویه شده (کیلوگرم)]])</f>
        <v>22460</v>
      </c>
      <c r="Y1096" s="6">
        <f ca="1">IF(Main[[#This Row],[مانده در خط تسویه شده (کیلوگرم)]]&lt;&gt;0,Main[[#This Row],[تعداد کل روزهای بدهکار (روز)]],0)</f>
        <v>0</v>
      </c>
      <c r="Z1096" s="6">
        <f ca="1">Main[[#This Row],[تعداد روزهای بدهکار تسویه شده (روز)]]*Main[[#This Row],[مانده در خط تسویه شده (کیلوگرم)]]</f>
        <v>0</v>
      </c>
      <c r="AA1096" s="6">
        <f ca="1">SUBTOTAL(9,INDEX(Main[بدهی تسویه نشده (کیلوگرم)],1):Main[[#This Row],[بدهی تسویه نشده (کیلوگرم)]])</f>
        <v>0</v>
      </c>
      <c r="AB1096" s="6">
        <f ca="1">IF(Main[[#This Row],[مانده در خط تسویه نشده (کیلوگرم)]]&lt;&gt;0,Main[[#This Row],[تعداد کل روزهای بدهکار (روز)]],0)</f>
        <v>0</v>
      </c>
      <c r="AC1096" s="6">
        <f ca="1">Main[[#This Row],[تعداد روزهای بدهکار  تسویه نشده (روز)]]*Main[[#This Row],[مانده در خط تسویه نشده (کیلوگرم)]]</f>
        <v>0</v>
      </c>
      <c r="AD1096" s="6">
        <f ca="1">SUBTOTAL(9,INDEX(Main[بدهی سررسید شده (کیلوگرم)],1):Main[[#This Row],[بدهی سررسید شده (کیلوگرم)]])</f>
        <v>0</v>
      </c>
      <c r="AE1096" s="6">
        <f ca="1">IF(Main[[#This Row],[مانده در خط سررسید شده (کیلوگرم)]]&lt;&gt;0,Main[[#This Row],[تعداد کل روزهای بدهکار (روز)]],0)</f>
        <v>0</v>
      </c>
      <c r="AF1096" s="6">
        <f ca="1">Main[[#This Row],[تعداد روزهای بدهکار سررسید شده (روز)]]*Main[[#This Row],[مانده در خط سررسید شده (کیلوگرم)]]</f>
        <v>0</v>
      </c>
    </row>
    <row r="1097" spans="1:32" hidden="1" x14ac:dyDescent="0.35">
      <c r="A1097" s="5">
        <f>ROW()-ROW(INDEX(Main[ردیف],1))+1</f>
        <v>1095</v>
      </c>
      <c r="B1097" s="31">
        <f>SUBTOTAL(2,INDEX(Main[ردیف],1):Main[[#This Row],[ردیف]])</f>
        <v>101</v>
      </c>
      <c r="C1097" s="32" t="s">
        <v>619</v>
      </c>
      <c r="D1097" s="32" t="str">
        <f>_xlfn.CONCAT("14",Main[[#This Row],[تاريخ]])</f>
        <v>1400/04/24</v>
      </c>
      <c r="E1097" s="33">
        <v>44392</v>
      </c>
      <c r="F1097" s="32">
        <v>30070</v>
      </c>
      <c r="G1097" s="5" t="str">
        <f>INDEX(customer[عنوان],MATCH(Main[[#This Row],[کد ردیابی]],customer[کد],0))</f>
        <v xml:space="preserve">تکنو تراش یادگار </v>
      </c>
      <c r="H1097">
        <v>1730</v>
      </c>
      <c r="I1097" s="6">
        <f ca="1">-Main[[#This Row],[بدهی تسویه شده (کیلوگرم)]]+Main[[#This Row],[بستانکار (کیلوگرم)]]</f>
        <v>1730</v>
      </c>
      <c r="J1097" s="6">
        <f>IF(Main[[#This Row],[مقدار (کیلوگرم)]]&gt;0,Main[[#This Row],[مقدار (کیلوگرم)]],0)</f>
        <v>1730</v>
      </c>
      <c r="K1097" s="6">
        <f>-IF(Main[[#This Row],[مقدار (کیلوگرم)]]&lt;0,Main[[#This Row],[مقدار (کیلوگرم)]],0)</f>
        <v>0</v>
      </c>
      <c r="L10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7" s="7">
        <f>-IF(AND(Main[[#This Row],[مقدار (کیلوگرم)]]&lt;0,Main[[#This Row],[تاريخ میلادی]]&gt;44276),Main[[#This Row],[مقدار (کیلوگرم)]],0)</f>
        <v>0</v>
      </c>
      <c r="N1097" s="6">
        <f ca="1">Main[[#This Row],[بدهکار (کیلوگرم)]]-Main[[#This Row],[بدهی تسویه نشده (کیلوگرم)]]</f>
        <v>0</v>
      </c>
      <c r="O1097" s="6">
        <f ca="1">Main[[#This Row],[تفکیک]]</f>
        <v>0</v>
      </c>
      <c r="P1097" s="6">
        <f ca="1">IF(Main[[#This Row],[تاخیر از سررسید]]&gt;0,Main[[#This Row],[بدهی تسویه نشده (کیلوگرم)]],0)</f>
        <v>0</v>
      </c>
      <c r="Q1097" s="6">
        <f ca="1">IF(Main[[#This Row],[بدهی تسویه نشده (کیلوگرم)]]&gt;0,'گزارش فردی'!$B$7-Main[[#This Row],[تاريخ میلادی]],0)</f>
        <v>0</v>
      </c>
      <c r="R1097" s="6">
        <f ca="1">IF(Main[[#This Row],[بدهی تسویه نشده (کیلوگرم)]]&gt;0,'گزارش فردی'!$B$7-Main[[#This Row],[تاريخ میلادی]]-'گزارش فردی'!$B$8,0)</f>
        <v>0</v>
      </c>
      <c r="S1097" s="6">
        <f ca="1">Main[[#This Row],[روز از ارسال سفارش]]*Main[[#This Row],[بدهی تسویه نشده (کیلوگرم)]]</f>
        <v>0</v>
      </c>
      <c r="T1097" s="6">
        <f ca="1">Main[[#This Row],[بدهی سررسید شده (کیلوگرم)]]*Main[[#This Row],[روز از ارسال سفارش]]</f>
        <v>0</v>
      </c>
      <c r="U1097" s="6">
        <f>-SUBTOTAL(9,INDEX(Main[مقدار (کیلوگرم)],1):Main[[#This Row],[مقدار (کیلوگرم)]])</f>
        <v>22460</v>
      </c>
      <c r="V10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7" s="6">
        <f>Main[[#This Row],[تعداد کل روزهای بدهکار (روز)]]*Main[[#This Row],[مانده در خط کل (کیلوگرم)]]</f>
        <v>0</v>
      </c>
      <c r="X1097" s="6">
        <f ca="1">-SUBTOTAL(9,INDEX(Main[مقدار تسویه شده (کیلوگرم)],1):Main[[#This Row],[مقدار تسویه شده (کیلوگرم)]])</f>
        <v>22460</v>
      </c>
      <c r="Y1097" s="6">
        <f ca="1">IF(Main[[#This Row],[مانده در خط تسویه شده (کیلوگرم)]]&lt;&gt;0,Main[[#This Row],[تعداد کل روزهای بدهکار (روز)]],0)</f>
        <v>0</v>
      </c>
      <c r="Z1097" s="6">
        <f ca="1">Main[[#This Row],[تعداد روزهای بدهکار تسویه شده (روز)]]*Main[[#This Row],[مانده در خط تسویه شده (کیلوگرم)]]</f>
        <v>0</v>
      </c>
      <c r="AA1097" s="6">
        <f ca="1">SUBTOTAL(9,INDEX(Main[بدهی تسویه نشده (کیلوگرم)],1):Main[[#This Row],[بدهی تسویه نشده (کیلوگرم)]])</f>
        <v>0</v>
      </c>
      <c r="AB1097" s="6">
        <f ca="1">IF(Main[[#This Row],[مانده در خط تسویه نشده (کیلوگرم)]]&lt;&gt;0,Main[[#This Row],[تعداد کل روزهای بدهکار (روز)]],0)</f>
        <v>0</v>
      </c>
      <c r="AC1097" s="6">
        <f ca="1">Main[[#This Row],[تعداد روزهای بدهکار  تسویه نشده (روز)]]*Main[[#This Row],[مانده در خط تسویه نشده (کیلوگرم)]]</f>
        <v>0</v>
      </c>
      <c r="AD1097" s="6">
        <f ca="1">SUBTOTAL(9,INDEX(Main[بدهی سررسید شده (کیلوگرم)],1):Main[[#This Row],[بدهی سررسید شده (کیلوگرم)]])</f>
        <v>0</v>
      </c>
      <c r="AE1097" s="6">
        <f ca="1">IF(Main[[#This Row],[مانده در خط سررسید شده (کیلوگرم)]]&lt;&gt;0,Main[[#This Row],[تعداد کل روزهای بدهکار (روز)]],0)</f>
        <v>0</v>
      </c>
      <c r="AF1097" s="6">
        <f ca="1">Main[[#This Row],[تعداد روزهای بدهکار سررسید شده (روز)]]*Main[[#This Row],[مانده در خط سررسید شده (کیلوگرم)]]</f>
        <v>0</v>
      </c>
    </row>
    <row r="1098" spans="1:32" hidden="1" x14ac:dyDescent="0.35">
      <c r="A1098" s="5">
        <f>ROW()-ROW(INDEX(Main[ردیف],1))+1</f>
        <v>1096</v>
      </c>
      <c r="B1098" s="31">
        <f>SUBTOTAL(2,INDEX(Main[ردیف],1):Main[[#This Row],[ردیف]])</f>
        <v>101</v>
      </c>
      <c r="C1098" s="32" t="s">
        <v>619</v>
      </c>
      <c r="D1098" s="32" t="str">
        <f>_xlfn.CONCAT("14",Main[[#This Row],[تاريخ]])</f>
        <v>1400/04/24</v>
      </c>
      <c r="E1098" s="33">
        <v>44392</v>
      </c>
      <c r="F1098" s="32">
        <v>30009</v>
      </c>
      <c r="G1098" s="5" t="str">
        <f>INDEX(customer[عنوان],MATCH(Main[[#This Row],[کد ردیابی]],customer[کد],0))</f>
        <v>شرکت ایمن تک پیشرو</v>
      </c>
      <c r="H1098">
        <v>-1051</v>
      </c>
      <c r="I1098" s="6">
        <f ca="1">-Main[[#This Row],[بدهی تسویه شده (کیلوگرم)]]+Main[[#This Row],[بستانکار (کیلوگرم)]]</f>
        <v>-1051</v>
      </c>
      <c r="J1098" s="6">
        <f>IF(Main[[#This Row],[مقدار (کیلوگرم)]]&gt;0,Main[[#This Row],[مقدار (کیلوگرم)]],0)</f>
        <v>0</v>
      </c>
      <c r="K1098" s="6">
        <f>-IF(Main[[#This Row],[مقدار (کیلوگرم)]]&lt;0,Main[[#This Row],[مقدار (کیلوگرم)]],0)</f>
        <v>1051</v>
      </c>
      <c r="L10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8" s="7">
        <f>-IF(AND(Main[[#This Row],[مقدار (کیلوگرم)]]&lt;0,Main[[#This Row],[تاريخ میلادی]]&gt;44276),Main[[#This Row],[مقدار (کیلوگرم)]],0)</f>
        <v>1051</v>
      </c>
      <c r="N1098" s="6">
        <f ca="1">Main[[#This Row],[بدهکار (کیلوگرم)]]-Main[[#This Row],[بدهی تسویه نشده (کیلوگرم)]]</f>
        <v>1051</v>
      </c>
      <c r="O1098" s="6">
        <f ca="1">Main[[#This Row],[تفکیک]]</f>
        <v>0</v>
      </c>
      <c r="P1098" s="6">
        <f ca="1">IF(Main[[#This Row],[تاخیر از سررسید]]&gt;0,Main[[#This Row],[بدهی تسویه نشده (کیلوگرم)]],0)</f>
        <v>0</v>
      </c>
      <c r="Q1098" s="6">
        <f ca="1">IF(Main[[#This Row],[بدهی تسویه نشده (کیلوگرم)]]&gt;0,'گزارش فردی'!$B$7-Main[[#This Row],[تاريخ میلادی]],0)</f>
        <v>0</v>
      </c>
      <c r="R1098" s="6">
        <f ca="1">IF(Main[[#This Row],[بدهی تسویه نشده (کیلوگرم)]]&gt;0,'گزارش فردی'!$B$7-Main[[#This Row],[تاريخ میلادی]]-'گزارش فردی'!$B$8,0)</f>
        <v>0</v>
      </c>
      <c r="S1098" s="6">
        <f ca="1">Main[[#This Row],[روز از ارسال سفارش]]*Main[[#This Row],[بدهی تسویه نشده (کیلوگرم)]]</f>
        <v>0</v>
      </c>
      <c r="T1098" s="6">
        <f ca="1">Main[[#This Row],[بدهی سررسید شده (کیلوگرم)]]*Main[[#This Row],[روز از ارسال سفارش]]</f>
        <v>0</v>
      </c>
      <c r="U1098" s="6">
        <f>-SUBTOTAL(9,INDEX(Main[مقدار (کیلوگرم)],1):Main[[#This Row],[مقدار (کیلوگرم)]])</f>
        <v>22460</v>
      </c>
      <c r="V10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8" s="6">
        <f>Main[[#This Row],[تعداد کل روزهای بدهکار (روز)]]*Main[[#This Row],[مانده در خط کل (کیلوگرم)]]</f>
        <v>0</v>
      </c>
      <c r="X1098" s="6">
        <f ca="1">-SUBTOTAL(9,INDEX(Main[مقدار تسویه شده (کیلوگرم)],1):Main[[#This Row],[مقدار تسویه شده (کیلوگرم)]])</f>
        <v>22460</v>
      </c>
      <c r="Y1098" s="6">
        <f ca="1">IF(Main[[#This Row],[مانده در خط تسویه شده (کیلوگرم)]]&lt;&gt;0,Main[[#This Row],[تعداد کل روزهای بدهکار (روز)]],0)</f>
        <v>0</v>
      </c>
      <c r="Z1098" s="6">
        <f ca="1">Main[[#This Row],[تعداد روزهای بدهکار تسویه شده (روز)]]*Main[[#This Row],[مانده در خط تسویه شده (کیلوگرم)]]</f>
        <v>0</v>
      </c>
      <c r="AA1098" s="6">
        <f ca="1">SUBTOTAL(9,INDEX(Main[بدهی تسویه نشده (کیلوگرم)],1):Main[[#This Row],[بدهی تسویه نشده (کیلوگرم)]])</f>
        <v>0</v>
      </c>
      <c r="AB1098" s="6">
        <f ca="1">IF(Main[[#This Row],[مانده در خط تسویه نشده (کیلوگرم)]]&lt;&gt;0,Main[[#This Row],[تعداد کل روزهای بدهکار (روز)]],0)</f>
        <v>0</v>
      </c>
      <c r="AC1098" s="6">
        <f ca="1">Main[[#This Row],[تعداد روزهای بدهکار  تسویه نشده (روز)]]*Main[[#This Row],[مانده در خط تسویه نشده (کیلوگرم)]]</f>
        <v>0</v>
      </c>
      <c r="AD1098" s="6">
        <f ca="1">SUBTOTAL(9,INDEX(Main[بدهی سررسید شده (کیلوگرم)],1):Main[[#This Row],[بدهی سررسید شده (کیلوگرم)]])</f>
        <v>0</v>
      </c>
      <c r="AE1098" s="6">
        <f ca="1">IF(Main[[#This Row],[مانده در خط سررسید شده (کیلوگرم)]]&lt;&gt;0,Main[[#This Row],[تعداد کل روزهای بدهکار (روز)]],0)</f>
        <v>0</v>
      </c>
      <c r="AF1098" s="6">
        <f ca="1">Main[[#This Row],[تعداد روزهای بدهکار سررسید شده (روز)]]*Main[[#This Row],[مانده در خط سررسید شده (کیلوگرم)]]</f>
        <v>0</v>
      </c>
    </row>
    <row r="1099" spans="1:32" hidden="1" x14ac:dyDescent="0.35">
      <c r="A1099" s="5">
        <f>ROW()-ROW(INDEX(Main[ردیف],1))+1</f>
        <v>1097</v>
      </c>
      <c r="B1099" s="31">
        <f>SUBTOTAL(2,INDEX(Main[ردیف],1):Main[[#This Row],[ردیف]])</f>
        <v>101</v>
      </c>
      <c r="C1099" s="32" t="s">
        <v>619</v>
      </c>
      <c r="D1099" s="32" t="str">
        <f>_xlfn.CONCAT("14",Main[[#This Row],[تاريخ]])</f>
        <v>1400/04/24</v>
      </c>
      <c r="E1099" s="33">
        <v>44392</v>
      </c>
      <c r="F1099" s="32">
        <v>10055</v>
      </c>
      <c r="G1099" s="5" t="str">
        <f>INDEX(customer[عنوان],MATCH(Main[[#This Row],[کد ردیابی]],customer[کد],0))</f>
        <v xml:space="preserve">مریم فیض آبادی  </v>
      </c>
      <c r="H1099">
        <v>4766</v>
      </c>
      <c r="I1099" s="6">
        <f ca="1">-Main[[#This Row],[بدهی تسویه شده (کیلوگرم)]]+Main[[#This Row],[بستانکار (کیلوگرم)]]</f>
        <v>4766</v>
      </c>
      <c r="J1099" s="6">
        <f>IF(Main[[#This Row],[مقدار (کیلوگرم)]]&gt;0,Main[[#This Row],[مقدار (کیلوگرم)]],0)</f>
        <v>4766</v>
      </c>
      <c r="K1099" s="6">
        <f>-IF(Main[[#This Row],[مقدار (کیلوگرم)]]&lt;0,Main[[#This Row],[مقدار (کیلوگرم)]],0)</f>
        <v>0</v>
      </c>
      <c r="L10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9" s="7">
        <f>-IF(AND(Main[[#This Row],[مقدار (کیلوگرم)]]&lt;0,Main[[#This Row],[تاريخ میلادی]]&gt;44276),Main[[#This Row],[مقدار (کیلوگرم)]],0)</f>
        <v>0</v>
      </c>
      <c r="N1099" s="6">
        <f ca="1">Main[[#This Row],[بدهکار (کیلوگرم)]]-Main[[#This Row],[بدهی تسویه نشده (کیلوگرم)]]</f>
        <v>0</v>
      </c>
      <c r="O1099" s="6">
        <f ca="1">Main[[#This Row],[تفکیک]]</f>
        <v>0</v>
      </c>
      <c r="P1099" s="6">
        <f ca="1">IF(Main[[#This Row],[تاخیر از سررسید]]&gt;0,Main[[#This Row],[بدهی تسویه نشده (کیلوگرم)]],0)</f>
        <v>0</v>
      </c>
      <c r="Q1099" s="6">
        <f ca="1">IF(Main[[#This Row],[بدهی تسویه نشده (کیلوگرم)]]&gt;0,'گزارش فردی'!$B$7-Main[[#This Row],[تاريخ میلادی]],0)</f>
        <v>0</v>
      </c>
      <c r="R1099" s="6">
        <f ca="1">IF(Main[[#This Row],[بدهی تسویه نشده (کیلوگرم)]]&gt;0,'گزارش فردی'!$B$7-Main[[#This Row],[تاريخ میلادی]]-'گزارش فردی'!$B$8,0)</f>
        <v>0</v>
      </c>
      <c r="S1099" s="6">
        <f ca="1">Main[[#This Row],[روز از ارسال سفارش]]*Main[[#This Row],[بدهی تسویه نشده (کیلوگرم)]]</f>
        <v>0</v>
      </c>
      <c r="T1099" s="6">
        <f ca="1">Main[[#This Row],[بدهی سررسید شده (کیلوگرم)]]*Main[[#This Row],[روز از ارسال سفارش]]</f>
        <v>0</v>
      </c>
      <c r="U1099" s="6">
        <f>-SUBTOTAL(9,INDEX(Main[مقدار (کیلوگرم)],1):Main[[#This Row],[مقدار (کیلوگرم)]])</f>
        <v>22460</v>
      </c>
      <c r="V10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9" s="6">
        <f>Main[[#This Row],[تعداد کل روزهای بدهکار (روز)]]*Main[[#This Row],[مانده در خط کل (کیلوگرم)]]</f>
        <v>0</v>
      </c>
      <c r="X1099" s="6">
        <f ca="1">-SUBTOTAL(9,INDEX(Main[مقدار تسویه شده (کیلوگرم)],1):Main[[#This Row],[مقدار تسویه شده (کیلوگرم)]])</f>
        <v>22460</v>
      </c>
      <c r="Y1099" s="6">
        <f ca="1">IF(Main[[#This Row],[مانده در خط تسویه شده (کیلوگرم)]]&lt;&gt;0,Main[[#This Row],[تعداد کل روزهای بدهکار (روز)]],0)</f>
        <v>0</v>
      </c>
      <c r="Z1099" s="6">
        <f ca="1">Main[[#This Row],[تعداد روزهای بدهکار تسویه شده (روز)]]*Main[[#This Row],[مانده در خط تسویه شده (کیلوگرم)]]</f>
        <v>0</v>
      </c>
      <c r="AA1099" s="6">
        <f ca="1">SUBTOTAL(9,INDEX(Main[بدهی تسویه نشده (کیلوگرم)],1):Main[[#This Row],[بدهی تسویه نشده (کیلوگرم)]])</f>
        <v>0</v>
      </c>
      <c r="AB1099" s="6">
        <f ca="1">IF(Main[[#This Row],[مانده در خط تسویه نشده (کیلوگرم)]]&lt;&gt;0,Main[[#This Row],[تعداد کل روزهای بدهکار (روز)]],0)</f>
        <v>0</v>
      </c>
      <c r="AC1099" s="6">
        <f ca="1">Main[[#This Row],[تعداد روزهای بدهکار  تسویه نشده (روز)]]*Main[[#This Row],[مانده در خط تسویه نشده (کیلوگرم)]]</f>
        <v>0</v>
      </c>
      <c r="AD1099" s="6">
        <f ca="1">SUBTOTAL(9,INDEX(Main[بدهی سررسید شده (کیلوگرم)],1):Main[[#This Row],[بدهی سررسید شده (کیلوگرم)]])</f>
        <v>0</v>
      </c>
      <c r="AE1099" s="6">
        <f ca="1">IF(Main[[#This Row],[مانده در خط سررسید شده (کیلوگرم)]]&lt;&gt;0,Main[[#This Row],[تعداد کل روزهای بدهکار (روز)]],0)</f>
        <v>0</v>
      </c>
      <c r="AF1099" s="6">
        <f ca="1">Main[[#This Row],[تعداد روزهای بدهکار سررسید شده (روز)]]*Main[[#This Row],[مانده در خط سررسید شده (کیلوگرم)]]</f>
        <v>0</v>
      </c>
    </row>
    <row r="1100" spans="1:32" x14ac:dyDescent="0.35">
      <c r="A1100" s="5">
        <f>ROW()-ROW(INDEX(Main[ردیف],1))+1</f>
        <v>1098</v>
      </c>
      <c r="B1100" s="31">
        <f>SUBTOTAL(2,INDEX(Main[ردیف],1):Main[[#This Row],[ردیف]])</f>
        <v>102</v>
      </c>
      <c r="C1100" s="32" t="s">
        <v>619</v>
      </c>
      <c r="D1100" s="32" t="str">
        <f>_xlfn.CONCAT("14",Main[[#This Row],[تاريخ]])</f>
        <v>1400/04/24</v>
      </c>
      <c r="E1100" s="33">
        <v>44392</v>
      </c>
      <c r="F1100" s="32">
        <v>10003</v>
      </c>
      <c r="G1100" s="5" t="str">
        <f>INDEX(customer[عنوان],MATCH(Main[[#This Row],[کد ردیابی]],customer[کد],0))</f>
        <v>اصغر نورعلی</v>
      </c>
      <c r="H1100">
        <v>-1890</v>
      </c>
      <c r="I1100" s="6">
        <f ca="1">-Main[[#This Row],[بدهی تسویه شده (کیلوگرم)]]+Main[[#This Row],[بستانکار (کیلوگرم)]]</f>
        <v>-1890</v>
      </c>
      <c r="J1100" s="6">
        <f>IF(Main[[#This Row],[مقدار (کیلوگرم)]]&gt;0,Main[[#This Row],[مقدار (کیلوگرم)]],0)</f>
        <v>0</v>
      </c>
      <c r="K1100" s="6">
        <f>-IF(Main[[#This Row],[مقدار (کیلوگرم)]]&lt;0,Main[[#This Row],[مقدار (کیلوگرم)]],0)</f>
        <v>1890</v>
      </c>
      <c r="L11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0" s="7">
        <f>-IF(AND(Main[[#This Row],[مقدار (کیلوگرم)]]&lt;0,Main[[#This Row],[تاريخ میلادی]]&gt;44276),Main[[#This Row],[مقدار (کیلوگرم)]],0)</f>
        <v>1890</v>
      </c>
      <c r="N1100" s="6">
        <f ca="1">Main[[#This Row],[بدهکار (کیلوگرم)]]-Main[[#This Row],[بدهی تسویه نشده (کیلوگرم)]]</f>
        <v>1890</v>
      </c>
      <c r="O1100" s="6">
        <f ca="1">Main[[#This Row],[تفکیک]]</f>
        <v>0</v>
      </c>
      <c r="P1100" s="6">
        <f ca="1">IF(Main[[#This Row],[تاخیر از سررسید]]&gt;0,Main[[#This Row],[بدهی تسویه نشده (کیلوگرم)]],0)</f>
        <v>0</v>
      </c>
      <c r="Q1100" s="6">
        <f ca="1">IF(Main[[#This Row],[بدهی تسویه نشده (کیلوگرم)]]&gt;0,'گزارش فردی'!$B$7-Main[[#This Row],[تاريخ میلادی]],0)</f>
        <v>0</v>
      </c>
      <c r="R1100" s="6">
        <f ca="1">IF(Main[[#This Row],[بدهی تسویه نشده (کیلوگرم)]]&gt;0,'گزارش فردی'!$B$7-Main[[#This Row],[تاريخ میلادی]]-'گزارش فردی'!$B$8,0)</f>
        <v>0</v>
      </c>
      <c r="S1100" s="6">
        <f ca="1">Main[[#This Row],[روز از ارسال سفارش]]*Main[[#This Row],[بدهی تسویه نشده (کیلوگرم)]]</f>
        <v>0</v>
      </c>
      <c r="T1100" s="6">
        <f ca="1">Main[[#This Row],[بدهی سررسید شده (کیلوگرم)]]*Main[[#This Row],[روز از ارسال سفارش]]</f>
        <v>0</v>
      </c>
      <c r="U1100" s="6">
        <f>-SUBTOTAL(9,INDEX(Main[مقدار (کیلوگرم)],1):Main[[#This Row],[مقدار (کیلوگرم)]])</f>
        <v>24350</v>
      </c>
      <c r="V110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100" s="6">
        <f>Main[[#This Row],[تعداد کل روزهای بدهکار (روز)]]*Main[[#This Row],[مانده در خط کل (کیلوگرم)]]</f>
        <v>73050</v>
      </c>
      <c r="X1100" s="6">
        <f ca="1">-SUBTOTAL(9,INDEX(Main[مقدار تسویه شده (کیلوگرم)],1):Main[[#This Row],[مقدار تسویه شده (کیلوگرم)]])</f>
        <v>24350</v>
      </c>
      <c r="Y1100" s="6">
        <f ca="1">IF(Main[[#This Row],[مانده در خط تسویه شده (کیلوگرم)]]&lt;&gt;0,Main[[#This Row],[تعداد کل روزهای بدهکار (روز)]],0)</f>
        <v>3</v>
      </c>
      <c r="Z1100" s="6">
        <f ca="1">Main[[#This Row],[تعداد روزهای بدهکار تسویه شده (روز)]]*Main[[#This Row],[مانده در خط تسویه شده (کیلوگرم)]]</f>
        <v>73050</v>
      </c>
      <c r="AA1100" s="6">
        <f ca="1">SUBTOTAL(9,INDEX(Main[بدهی تسویه نشده (کیلوگرم)],1):Main[[#This Row],[بدهی تسویه نشده (کیلوگرم)]])</f>
        <v>0</v>
      </c>
      <c r="AB1100" s="6">
        <f ca="1">IF(Main[[#This Row],[مانده در خط تسویه نشده (کیلوگرم)]]&lt;&gt;0,Main[[#This Row],[تعداد کل روزهای بدهکار (روز)]],0)</f>
        <v>0</v>
      </c>
      <c r="AC1100" s="6">
        <f ca="1">Main[[#This Row],[تعداد روزهای بدهکار  تسویه نشده (روز)]]*Main[[#This Row],[مانده در خط تسویه نشده (کیلوگرم)]]</f>
        <v>0</v>
      </c>
      <c r="AD1100" s="6">
        <f ca="1">SUBTOTAL(9,INDEX(Main[بدهی سررسید شده (کیلوگرم)],1):Main[[#This Row],[بدهی سررسید شده (کیلوگرم)]])</f>
        <v>0</v>
      </c>
      <c r="AE1100" s="6">
        <f ca="1">IF(Main[[#This Row],[مانده در خط سررسید شده (کیلوگرم)]]&lt;&gt;0,Main[[#This Row],[تعداد کل روزهای بدهکار (روز)]],0)</f>
        <v>0</v>
      </c>
      <c r="AF1100" s="6">
        <f ca="1">Main[[#This Row],[تعداد روزهای بدهکار سررسید شده (روز)]]*Main[[#This Row],[مانده در خط سررسید شده (کیلوگرم)]]</f>
        <v>0</v>
      </c>
    </row>
    <row r="1101" spans="1:32" hidden="1" x14ac:dyDescent="0.35">
      <c r="A1101" s="5">
        <f>ROW()-ROW(INDEX(Main[ردیف],1))+1</f>
        <v>1099</v>
      </c>
      <c r="B1101" s="31">
        <f>SUBTOTAL(2,INDEX(Main[ردیف],1):Main[[#This Row],[ردیف]])</f>
        <v>102</v>
      </c>
      <c r="C1101" s="32" t="s">
        <v>619</v>
      </c>
      <c r="D1101" s="32" t="str">
        <f>_xlfn.CONCAT("14",Main[[#This Row],[تاريخ]])</f>
        <v>1400/04/24</v>
      </c>
      <c r="E1101" s="33">
        <v>44392</v>
      </c>
      <c r="F1101" s="32">
        <v>10026</v>
      </c>
      <c r="G1101" s="5" t="str">
        <f>INDEX(customer[عنوان],MATCH(Main[[#This Row],[کد ردیابی]],customer[کد],0))</f>
        <v xml:space="preserve">محسن فیاض بخش </v>
      </c>
      <c r="H1101">
        <v>-3363</v>
      </c>
      <c r="I1101" s="6">
        <f ca="1">-Main[[#This Row],[بدهی تسویه شده (کیلوگرم)]]+Main[[#This Row],[بستانکار (کیلوگرم)]]</f>
        <v>-3363</v>
      </c>
      <c r="J1101" s="6">
        <f>IF(Main[[#This Row],[مقدار (کیلوگرم)]]&gt;0,Main[[#This Row],[مقدار (کیلوگرم)]],0)</f>
        <v>0</v>
      </c>
      <c r="K1101" s="6">
        <f>-IF(Main[[#This Row],[مقدار (کیلوگرم)]]&lt;0,Main[[#This Row],[مقدار (کیلوگرم)]],0)</f>
        <v>3363</v>
      </c>
      <c r="L11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1" s="7">
        <f>-IF(AND(Main[[#This Row],[مقدار (کیلوگرم)]]&lt;0,Main[[#This Row],[تاريخ میلادی]]&gt;44276),Main[[#This Row],[مقدار (کیلوگرم)]],0)</f>
        <v>3363</v>
      </c>
      <c r="N1101" s="6">
        <f ca="1">Main[[#This Row],[بدهکار (کیلوگرم)]]-Main[[#This Row],[بدهی تسویه نشده (کیلوگرم)]]</f>
        <v>3363</v>
      </c>
      <c r="O1101" s="6">
        <f ca="1">Main[[#This Row],[تفکیک]]</f>
        <v>0</v>
      </c>
      <c r="P1101" s="6">
        <f ca="1">IF(Main[[#This Row],[تاخیر از سررسید]]&gt;0,Main[[#This Row],[بدهی تسویه نشده (کیلوگرم)]],0)</f>
        <v>0</v>
      </c>
      <c r="Q1101" s="6">
        <f ca="1">IF(Main[[#This Row],[بدهی تسویه نشده (کیلوگرم)]]&gt;0,'گزارش فردی'!$B$7-Main[[#This Row],[تاريخ میلادی]],0)</f>
        <v>0</v>
      </c>
      <c r="R1101" s="6">
        <f ca="1">IF(Main[[#This Row],[بدهی تسویه نشده (کیلوگرم)]]&gt;0,'گزارش فردی'!$B$7-Main[[#This Row],[تاريخ میلادی]]-'گزارش فردی'!$B$8,0)</f>
        <v>0</v>
      </c>
      <c r="S1101" s="6">
        <f ca="1">Main[[#This Row],[روز از ارسال سفارش]]*Main[[#This Row],[بدهی تسویه نشده (کیلوگرم)]]</f>
        <v>0</v>
      </c>
      <c r="T1101" s="6">
        <f ca="1">Main[[#This Row],[بدهی سررسید شده (کیلوگرم)]]*Main[[#This Row],[روز از ارسال سفارش]]</f>
        <v>0</v>
      </c>
      <c r="U1101" s="6">
        <f>-SUBTOTAL(9,INDEX(Main[مقدار (کیلوگرم)],1):Main[[#This Row],[مقدار (کیلوگرم)]])</f>
        <v>24350</v>
      </c>
      <c r="V110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101" s="6">
        <f>Main[[#This Row],[تعداد کل روزهای بدهکار (روز)]]*Main[[#This Row],[مانده در خط کل (کیلوگرم)]]</f>
        <v>73050</v>
      </c>
      <c r="X1101" s="6">
        <f ca="1">-SUBTOTAL(9,INDEX(Main[مقدار تسویه شده (کیلوگرم)],1):Main[[#This Row],[مقدار تسویه شده (کیلوگرم)]])</f>
        <v>24350</v>
      </c>
      <c r="Y1101" s="6">
        <f ca="1">IF(Main[[#This Row],[مانده در خط تسویه شده (کیلوگرم)]]&lt;&gt;0,Main[[#This Row],[تعداد کل روزهای بدهکار (روز)]],0)</f>
        <v>3</v>
      </c>
      <c r="Z1101" s="6">
        <f ca="1">Main[[#This Row],[تعداد روزهای بدهکار تسویه شده (روز)]]*Main[[#This Row],[مانده در خط تسویه شده (کیلوگرم)]]</f>
        <v>73050</v>
      </c>
      <c r="AA1101" s="6">
        <f ca="1">SUBTOTAL(9,INDEX(Main[بدهی تسویه نشده (کیلوگرم)],1):Main[[#This Row],[بدهی تسویه نشده (کیلوگرم)]])</f>
        <v>0</v>
      </c>
      <c r="AB1101" s="6">
        <f ca="1">IF(Main[[#This Row],[مانده در خط تسویه نشده (کیلوگرم)]]&lt;&gt;0,Main[[#This Row],[تعداد کل روزهای بدهکار (روز)]],0)</f>
        <v>0</v>
      </c>
      <c r="AC1101" s="6">
        <f ca="1">Main[[#This Row],[تعداد روزهای بدهکار  تسویه نشده (روز)]]*Main[[#This Row],[مانده در خط تسویه نشده (کیلوگرم)]]</f>
        <v>0</v>
      </c>
      <c r="AD1101" s="6">
        <f ca="1">SUBTOTAL(9,INDEX(Main[بدهی سررسید شده (کیلوگرم)],1):Main[[#This Row],[بدهی سررسید شده (کیلوگرم)]])</f>
        <v>0</v>
      </c>
      <c r="AE1101" s="6">
        <f ca="1">IF(Main[[#This Row],[مانده در خط سررسید شده (کیلوگرم)]]&lt;&gt;0,Main[[#This Row],[تعداد کل روزهای بدهکار (روز)]],0)</f>
        <v>0</v>
      </c>
      <c r="AF1101" s="6">
        <f ca="1">Main[[#This Row],[تعداد روزهای بدهکار سررسید شده (روز)]]*Main[[#This Row],[مانده در خط سررسید شده (کیلوگرم)]]</f>
        <v>0</v>
      </c>
    </row>
    <row r="1102" spans="1:32" hidden="1" x14ac:dyDescent="0.35">
      <c r="A1102" s="5">
        <f>ROW()-ROW(INDEX(Main[ردیف],1))+1</f>
        <v>1100</v>
      </c>
      <c r="B1102" s="31">
        <f>SUBTOTAL(2,INDEX(Main[ردیف],1):Main[[#This Row],[ردیف]])</f>
        <v>102</v>
      </c>
      <c r="C1102" s="32" t="s">
        <v>619</v>
      </c>
      <c r="D1102" s="32" t="str">
        <f>_xlfn.CONCAT("14",Main[[#This Row],[تاريخ]])</f>
        <v>1400/04/24</v>
      </c>
      <c r="E1102" s="33">
        <v>44392</v>
      </c>
      <c r="F1102" s="32">
        <v>30004</v>
      </c>
      <c r="G1102" s="5" t="str">
        <f>INDEX(customer[عنوان],MATCH(Main[[#This Row],[کد ردیابی]],customer[کد],0))</f>
        <v>تولیدی صنعتی صفاشیر پارس</v>
      </c>
      <c r="H1102">
        <v>-2032</v>
      </c>
      <c r="I1102" s="6">
        <f ca="1">-Main[[#This Row],[بدهی تسویه شده (کیلوگرم)]]+Main[[#This Row],[بستانکار (کیلوگرم)]]</f>
        <v>-2032</v>
      </c>
      <c r="J1102" s="6">
        <f>IF(Main[[#This Row],[مقدار (کیلوگرم)]]&gt;0,Main[[#This Row],[مقدار (کیلوگرم)]],0)</f>
        <v>0</v>
      </c>
      <c r="K1102" s="6">
        <f>-IF(Main[[#This Row],[مقدار (کیلوگرم)]]&lt;0,Main[[#This Row],[مقدار (کیلوگرم)]],0)</f>
        <v>2032</v>
      </c>
      <c r="L11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2" s="7">
        <f>-IF(AND(Main[[#This Row],[مقدار (کیلوگرم)]]&lt;0,Main[[#This Row],[تاريخ میلادی]]&gt;44276),Main[[#This Row],[مقدار (کیلوگرم)]],0)</f>
        <v>2032</v>
      </c>
      <c r="N1102" s="6">
        <f ca="1">Main[[#This Row],[بدهکار (کیلوگرم)]]-Main[[#This Row],[بدهی تسویه نشده (کیلوگرم)]]</f>
        <v>2032</v>
      </c>
      <c r="O1102" s="6">
        <f ca="1">Main[[#This Row],[تفکیک]]</f>
        <v>0</v>
      </c>
      <c r="P1102" s="6">
        <f ca="1">IF(Main[[#This Row],[تاخیر از سررسید]]&gt;0,Main[[#This Row],[بدهی تسویه نشده (کیلوگرم)]],0)</f>
        <v>0</v>
      </c>
      <c r="Q1102" s="6">
        <f ca="1">IF(Main[[#This Row],[بدهی تسویه نشده (کیلوگرم)]]&gt;0,'گزارش فردی'!$B$7-Main[[#This Row],[تاريخ میلادی]],0)</f>
        <v>0</v>
      </c>
      <c r="R1102" s="6">
        <f ca="1">IF(Main[[#This Row],[بدهی تسویه نشده (کیلوگرم)]]&gt;0,'گزارش فردی'!$B$7-Main[[#This Row],[تاريخ میلادی]]-'گزارش فردی'!$B$8,0)</f>
        <v>0</v>
      </c>
      <c r="S1102" s="6">
        <f ca="1">Main[[#This Row],[روز از ارسال سفارش]]*Main[[#This Row],[بدهی تسویه نشده (کیلوگرم)]]</f>
        <v>0</v>
      </c>
      <c r="T1102" s="6">
        <f ca="1">Main[[#This Row],[بدهی سررسید شده (کیلوگرم)]]*Main[[#This Row],[روز از ارسال سفارش]]</f>
        <v>0</v>
      </c>
      <c r="U1102" s="6">
        <f>-SUBTOTAL(9,INDEX(Main[مقدار (کیلوگرم)],1):Main[[#This Row],[مقدار (کیلوگرم)]])</f>
        <v>24350</v>
      </c>
      <c r="V110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102" s="6">
        <f>Main[[#This Row],[تعداد کل روزهای بدهکار (روز)]]*Main[[#This Row],[مانده در خط کل (کیلوگرم)]]</f>
        <v>73050</v>
      </c>
      <c r="X1102" s="6">
        <f ca="1">-SUBTOTAL(9,INDEX(Main[مقدار تسویه شده (کیلوگرم)],1):Main[[#This Row],[مقدار تسویه شده (کیلوگرم)]])</f>
        <v>24350</v>
      </c>
      <c r="Y1102" s="6">
        <f ca="1">IF(Main[[#This Row],[مانده در خط تسویه شده (کیلوگرم)]]&lt;&gt;0,Main[[#This Row],[تعداد کل روزهای بدهکار (روز)]],0)</f>
        <v>3</v>
      </c>
      <c r="Z1102" s="6">
        <f ca="1">Main[[#This Row],[تعداد روزهای بدهکار تسویه شده (روز)]]*Main[[#This Row],[مانده در خط تسویه شده (کیلوگرم)]]</f>
        <v>73050</v>
      </c>
      <c r="AA1102" s="6">
        <f ca="1">SUBTOTAL(9,INDEX(Main[بدهی تسویه نشده (کیلوگرم)],1):Main[[#This Row],[بدهی تسویه نشده (کیلوگرم)]])</f>
        <v>0</v>
      </c>
      <c r="AB1102" s="6">
        <f ca="1">IF(Main[[#This Row],[مانده در خط تسویه نشده (کیلوگرم)]]&lt;&gt;0,Main[[#This Row],[تعداد کل روزهای بدهکار (روز)]],0)</f>
        <v>0</v>
      </c>
      <c r="AC1102" s="6">
        <f ca="1">Main[[#This Row],[تعداد روزهای بدهکار  تسویه نشده (روز)]]*Main[[#This Row],[مانده در خط تسویه نشده (کیلوگرم)]]</f>
        <v>0</v>
      </c>
      <c r="AD1102" s="6">
        <f ca="1">SUBTOTAL(9,INDEX(Main[بدهی سررسید شده (کیلوگرم)],1):Main[[#This Row],[بدهی سررسید شده (کیلوگرم)]])</f>
        <v>0</v>
      </c>
      <c r="AE1102" s="6">
        <f ca="1">IF(Main[[#This Row],[مانده در خط سررسید شده (کیلوگرم)]]&lt;&gt;0,Main[[#This Row],[تعداد کل روزهای بدهکار (روز)]],0)</f>
        <v>0</v>
      </c>
      <c r="AF1102" s="6">
        <f ca="1">Main[[#This Row],[تعداد روزهای بدهکار سررسید شده (روز)]]*Main[[#This Row],[مانده در خط سررسید شده (کیلوگرم)]]</f>
        <v>0</v>
      </c>
    </row>
    <row r="1103" spans="1:32" hidden="1" x14ac:dyDescent="0.35">
      <c r="A1103" s="5">
        <f>ROW()-ROW(INDEX(Main[ردیف],1))+1</f>
        <v>1101</v>
      </c>
      <c r="B1103" s="31">
        <f>SUBTOTAL(2,INDEX(Main[ردیف],1):Main[[#This Row],[ردیف]])</f>
        <v>102</v>
      </c>
      <c r="C1103" s="32" t="s">
        <v>620</v>
      </c>
      <c r="D1103" s="32" t="str">
        <f>_xlfn.CONCAT("14",Main[[#This Row],[تاريخ]])</f>
        <v>1400/04/26</v>
      </c>
      <c r="E1103" s="33">
        <v>44394</v>
      </c>
      <c r="F1103" s="32">
        <v>30187</v>
      </c>
      <c r="G1103" s="5" t="str">
        <f>INDEX(customer[عنوان],MATCH(Main[[#This Row],[کد ردیابی]],customer[کد],0))</f>
        <v>شرکت جام جم</v>
      </c>
      <c r="H1103">
        <v>108</v>
      </c>
      <c r="I1103" s="6">
        <f ca="1">-Main[[#This Row],[بدهی تسویه شده (کیلوگرم)]]+Main[[#This Row],[بستانکار (کیلوگرم)]]</f>
        <v>108</v>
      </c>
      <c r="J1103" s="6">
        <f>IF(Main[[#This Row],[مقدار (کیلوگرم)]]&gt;0,Main[[#This Row],[مقدار (کیلوگرم)]],0)</f>
        <v>108</v>
      </c>
      <c r="K1103" s="6">
        <f>-IF(Main[[#This Row],[مقدار (کیلوگرم)]]&lt;0,Main[[#This Row],[مقدار (کیلوگرم)]],0)</f>
        <v>0</v>
      </c>
      <c r="L11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3" s="7">
        <f>-IF(AND(Main[[#This Row],[مقدار (کیلوگرم)]]&lt;0,Main[[#This Row],[تاريخ میلادی]]&gt;44276),Main[[#This Row],[مقدار (کیلوگرم)]],0)</f>
        <v>0</v>
      </c>
      <c r="N1103" s="6">
        <f ca="1">Main[[#This Row],[بدهکار (کیلوگرم)]]-Main[[#This Row],[بدهی تسویه نشده (کیلوگرم)]]</f>
        <v>0</v>
      </c>
      <c r="O1103" s="6">
        <f ca="1">Main[[#This Row],[تفکیک]]</f>
        <v>0</v>
      </c>
      <c r="P1103" s="6">
        <f ca="1">IF(Main[[#This Row],[تاخیر از سررسید]]&gt;0,Main[[#This Row],[بدهی تسویه نشده (کیلوگرم)]],0)</f>
        <v>0</v>
      </c>
      <c r="Q1103" s="6">
        <f ca="1">IF(Main[[#This Row],[بدهی تسویه نشده (کیلوگرم)]]&gt;0,'گزارش فردی'!$B$7-Main[[#This Row],[تاريخ میلادی]],0)</f>
        <v>0</v>
      </c>
      <c r="R1103" s="6">
        <f ca="1">IF(Main[[#This Row],[بدهی تسویه نشده (کیلوگرم)]]&gt;0,'گزارش فردی'!$B$7-Main[[#This Row],[تاريخ میلادی]]-'گزارش فردی'!$B$8,0)</f>
        <v>0</v>
      </c>
      <c r="S1103" s="6">
        <f ca="1">Main[[#This Row],[روز از ارسال سفارش]]*Main[[#This Row],[بدهی تسویه نشده (کیلوگرم)]]</f>
        <v>0</v>
      </c>
      <c r="T1103" s="6">
        <f ca="1">Main[[#This Row],[بدهی سررسید شده (کیلوگرم)]]*Main[[#This Row],[روز از ارسال سفارش]]</f>
        <v>0</v>
      </c>
      <c r="U1103" s="6">
        <f>-SUBTOTAL(9,INDEX(Main[مقدار (کیلوگرم)],1):Main[[#This Row],[مقدار (کیلوگرم)]])</f>
        <v>24350</v>
      </c>
      <c r="V11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3" s="6">
        <f>Main[[#This Row],[تعداد کل روزهای بدهکار (روز)]]*Main[[#This Row],[مانده در خط کل (کیلوگرم)]]</f>
        <v>24350</v>
      </c>
      <c r="X1103" s="6">
        <f ca="1">-SUBTOTAL(9,INDEX(Main[مقدار تسویه شده (کیلوگرم)],1):Main[[#This Row],[مقدار تسویه شده (کیلوگرم)]])</f>
        <v>24350</v>
      </c>
      <c r="Y1103" s="6">
        <f ca="1">IF(Main[[#This Row],[مانده در خط تسویه شده (کیلوگرم)]]&lt;&gt;0,Main[[#This Row],[تعداد کل روزهای بدهکار (روز)]],0)</f>
        <v>1</v>
      </c>
      <c r="Z1103" s="6">
        <f ca="1">Main[[#This Row],[تعداد روزهای بدهکار تسویه شده (روز)]]*Main[[#This Row],[مانده در خط تسویه شده (کیلوگرم)]]</f>
        <v>24350</v>
      </c>
      <c r="AA1103" s="6">
        <f ca="1">SUBTOTAL(9,INDEX(Main[بدهی تسویه نشده (کیلوگرم)],1):Main[[#This Row],[بدهی تسویه نشده (کیلوگرم)]])</f>
        <v>0</v>
      </c>
      <c r="AB1103" s="6">
        <f ca="1">IF(Main[[#This Row],[مانده در خط تسویه نشده (کیلوگرم)]]&lt;&gt;0,Main[[#This Row],[تعداد کل روزهای بدهکار (روز)]],0)</f>
        <v>0</v>
      </c>
      <c r="AC1103" s="6">
        <f ca="1">Main[[#This Row],[تعداد روزهای بدهکار  تسویه نشده (روز)]]*Main[[#This Row],[مانده در خط تسویه نشده (کیلوگرم)]]</f>
        <v>0</v>
      </c>
      <c r="AD1103" s="6">
        <f ca="1">SUBTOTAL(9,INDEX(Main[بدهی سررسید شده (کیلوگرم)],1):Main[[#This Row],[بدهی سررسید شده (کیلوگرم)]])</f>
        <v>0</v>
      </c>
      <c r="AE1103" s="6">
        <f ca="1">IF(Main[[#This Row],[مانده در خط سررسید شده (کیلوگرم)]]&lt;&gt;0,Main[[#This Row],[تعداد کل روزهای بدهکار (روز)]],0)</f>
        <v>0</v>
      </c>
      <c r="AF1103" s="6">
        <f ca="1">Main[[#This Row],[تعداد روزهای بدهکار سررسید شده (روز)]]*Main[[#This Row],[مانده در خط سررسید شده (کیلوگرم)]]</f>
        <v>0</v>
      </c>
    </row>
    <row r="1104" spans="1:32" hidden="1" x14ac:dyDescent="0.35">
      <c r="A1104" s="5">
        <f>ROW()-ROW(INDEX(Main[ردیف],1))+1</f>
        <v>1102</v>
      </c>
      <c r="B1104" s="31">
        <f>SUBTOTAL(2,INDEX(Main[ردیف],1):Main[[#This Row],[ردیف]])</f>
        <v>102</v>
      </c>
      <c r="C1104" s="32" t="s">
        <v>620</v>
      </c>
      <c r="D1104" s="32" t="str">
        <f>_xlfn.CONCAT("14",Main[[#This Row],[تاريخ]])</f>
        <v>1400/04/26</v>
      </c>
      <c r="E1104" s="33">
        <v>44394</v>
      </c>
      <c r="F1104" s="32">
        <v>30186</v>
      </c>
      <c r="G1104" s="5" t="str">
        <f>INDEX(customer[عنوان],MATCH(Main[[#This Row],[کد ردیابی]],customer[کد],0))</f>
        <v>سارا گاز</v>
      </c>
      <c r="H1104">
        <v>-1725</v>
      </c>
      <c r="I1104" s="6">
        <f ca="1">-Main[[#This Row],[بدهی تسویه شده (کیلوگرم)]]+Main[[#This Row],[بستانکار (کیلوگرم)]]</f>
        <v>-1725</v>
      </c>
      <c r="J1104" s="6">
        <f>IF(Main[[#This Row],[مقدار (کیلوگرم)]]&gt;0,Main[[#This Row],[مقدار (کیلوگرم)]],0)</f>
        <v>0</v>
      </c>
      <c r="K1104" s="6">
        <f>-IF(Main[[#This Row],[مقدار (کیلوگرم)]]&lt;0,Main[[#This Row],[مقدار (کیلوگرم)]],0)</f>
        <v>1725</v>
      </c>
      <c r="L11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4" s="7">
        <f>-IF(AND(Main[[#This Row],[مقدار (کیلوگرم)]]&lt;0,Main[[#This Row],[تاريخ میلادی]]&gt;44276),Main[[#This Row],[مقدار (کیلوگرم)]],0)</f>
        <v>1725</v>
      </c>
      <c r="N1104" s="6">
        <f ca="1">Main[[#This Row],[بدهکار (کیلوگرم)]]-Main[[#This Row],[بدهی تسویه نشده (کیلوگرم)]]</f>
        <v>1725</v>
      </c>
      <c r="O1104" s="6">
        <f ca="1">Main[[#This Row],[تفکیک]]</f>
        <v>0</v>
      </c>
      <c r="P1104" s="6">
        <f ca="1">IF(Main[[#This Row],[تاخیر از سررسید]]&gt;0,Main[[#This Row],[بدهی تسویه نشده (کیلوگرم)]],0)</f>
        <v>0</v>
      </c>
      <c r="Q1104" s="6">
        <f ca="1">IF(Main[[#This Row],[بدهی تسویه نشده (کیلوگرم)]]&gt;0,'گزارش فردی'!$B$7-Main[[#This Row],[تاريخ میلادی]],0)</f>
        <v>0</v>
      </c>
      <c r="R1104" s="6">
        <f ca="1">IF(Main[[#This Row],[بدهی تسویه نشده (کیلوگرم)]]&gt;0,'گزارش فردی'!$B$7-Main[[#This Row],[تاريخ میلادی]]-'گزارش فردی'!$B$8,0)</f>
        <v>0</v>
      </c>
      <c r="S1104" s="6">
        <f ca="1">Main[[#This Row],[روز از ارسال سفارش]]*Main[[#This Row],[بدهی تسویه نشده (کیلوگرم)]]</f>
        <v>0</v>
      </c>
      <c r="T1104" s="6">
        <f ca="1">Main[[#This Row],[بدهی سررسید شده (کیلوگرم)]]*Main[[#This Row],[روز از ارسال سفارش]]</f>
        <v>0</v>
      </c>
      <c r="U1104" s="6">
        <f>-SUBTOTAL(9,INDEX(Main[مقدار (کیلوگرم)],1):Main[[#This Row],[مقدار (کیلوگرم)]])</f>
        <v>24350</v>
      </c>
      <c r="V11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4" s="6">
        <f>Main[[#This Row],[تعداد کل روزهای بدهکار (روز)]]*Main[[#This Row],[مانده در خط کل (کیلوگرم)]]</f>
        <v>24350</v>
      </c>
      <c r="X1104" s="6">
        <f ca="1">-SUBTOTAL(9,INDEX(Main[مقدار تسویه شده (کیلوگرم)],1):Main[[#This Row],[مقدار تسویه شده (کیلوگرم)]])</f>
        <v>24350</v>
      </c>
      <c r="Y1104" s="6">
        <f ca="1">IF(Main[[#This Row],[مانده در خط تسویه شده (کیلوگرم)]]&lt;&gt;0,Main[[#This Row],[تعداد کل روزهای بدهکار (روز)]],0)</f>
        <v>1</v>
      </c>
      <c r="Z1104" s="6">
        <f ca="1">Main[[#This Row],[تعداد روزهای بدهکار تسویه شده (روز)]]*Main[[#This Row],[مانده در خط تسویه شده (کیلوگرم)]]</f>
        <v>24350</v>
      </c>
      <c r="AA1104" s="6">
        <f ca="1">SUBTOTAL(9,INDEX(Main[بدهی تسویه نشده (کیلوگرم)],1):Main[[#This Row],[بدهی تسویه نشده (کیلوگرم)]])</f>
        <v>0</v>
      </c>
      <c r="AB1104" s="6">
        <f ca="1">IF(Main[[#This Row],[مانده در خط تسویه نشده (کیلوگرم)]]&lt;&gt;0,Main[[#This Row],[تعداد کل روزهای بدهکار (روز)]],0)</f>
        <v>0</v>
      </c>
      <c r="AC1104" s="6">
        <f ca="1">Main[[#This Row],[تعداد روزهای بدهکار  تسویه نشده (روز)]]*Main[[#This Row],[مانده در خط تسویه نشده (کیلوگرم)]]</f>
        <v>0</v>
      </c>
      <c r="AD1104" s="6">
        <f ca="1">SUBTOTAL(9,INDEX(Main[بدهی سررسید شده (کیلوگرم)],1):Main[[#This Row],[بدهی سررسید شده (کیلوگرم)]])</f>
        <v>0</v>
      </c>
      <c r="AE1104" s="6">
        <f ca="1">IF(Main[[#This Row],[مانده در خط سررسید شده (کیلوگرم)]]&lt;&gt;0,Main[[#This Row],[تعداد کل روزهای بدهکار (روز)]],0)</f>
        <v>0</v>
      </c>
      <c r="AF1104" s="6">
        <f ca="1">Main[[#This Row],[تعداد روزهای بدهکار سررسید شده (روز)]]*Main[[#This Row],[مانده در خط سررسید شده (کیلوگرم)]]</f>
        <v>0</v>
      </c>
    </row>
    <row r="1105" spans="1:32" hidden="1" x14ac:dyDescent="0.35">
      <c r="A1105" s="5">
        <f>ROW()-ROW(INDEX(Main[ردیف],1))+1</f>
        <v>1103</v>
      </c>
      <c r="B1105" s="31">
        <f>SUBTOTAL(2,INDEX(Main[ردیف],1):Main[[#This Row],[ردیف]])</f>
        <v>102</v>
      </c>
      <c r="C1105" s="32" t="s">
        <v>620</v>
      </c>
      <c r="D1105" s="32" t="str">
        <f>_xlfn.CONCAT("14",Main[[#This Row],[تاريخ]])</f>
        <v>1400/04/26</v>
      </c>
      <c r="E1105" s="33">
        <v>44394</v>
      </c>
      <c r="F1105" s="32">
        <v>30187</v>
      </c>
      <c r="G1105" s="5" t="str">
        <f>INDEX(customer[عنوان],MATCH(Main[[#This Row],[کد ردیابی]],customer[کد],0))</f>
        <v>شرکت جام جم</v>
      </c>
      <c r="H1105">
        <v>292</v>
      </c>
      <c r="I1105" s="6">
        <f ca="1">-Main[[#This Row],[بدهی تسویه شده (کیلوگرم)]]+Main[[#This Row],[بستانکار (کیلوگرم)]]</f>
        <v>292</v>
      </c>
      <c r="J1105" s="6">
        <f>IF(Main[[#This Row],[مقدار (کیلوگرم)]]&gt;0,Main[[#This Row],[مقدار (کیلوگرم)]],0)</f>
        <v>292</v>
      </c>
      <c r="K1105" s="6">
        <f>-IF(Main[[#This Row],[مقدار (کیلوگرم)]]&lt;0,Main[[#This Row],[مقدار (کیلوگرم)]],0)</f>
        <v>0</v>
      </c>
      <c r="L11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5" s="7">
        <f>-IF(AND(Main[[#This Row],[مقدار (کیلوگرم)]]&lt;0,Main[[#This Row],[تاريخ میلادی]]&gt;44276),Main[[#This Row],[مقدار (کیلوگرم)]],0)</f>
        <v>0</v>
      </c>
      <c r="N1105" s="6">
        <f ca="1">Main[[#This Row],[بدهکار (کیلوگرم)]]-Main[[#This Row],[بدهی تسویه نشده (کیلوگرم)]]</f>
        <v>0</v>
      </c>
      <c r="O1105" s="6">
        <f ca="1">Main[[#This Row],[تفکیک]]</f>
        <v>0</v>
      </c>
      <c r="P1105" s="6">
        <f ca="1">IF(Main[[#This Row],[تاخیر از سررسید]]&gt;0,Main[[#This Row],[بدهی تسویه نشده (کیلوگرم)]],0)</f>
        <v>0</v>
      </c>
      <c r="Q1105" s="6">
        <f ca="1">IF(Main[[#This Row],[بدهی تسویه نشده (کیلوگرم)]]&gt;0,'گزارش فردی'!$B$7-Main[[#This Row],[تاريخ میلادی]],0)</f>
        <v>0</v>
      </c>
      <c r="R1105" s="6">
        <f ca="1">IF(Main[[#This Row],[بدهی تسویه نشده (کیلوگرم)]]&gt;0,'گزارش فردی'!$B$7-Main[[#This Row],[تاريخ میلادی]]-'گزارش فردی'!$B$8,0)</f>
        <v>0</v>
      </c>
      <c r="S1105" s="6">
        <f ca="1">Main[[#This Row],[روز از ارسال سفارش]]*Main[[#This Row],[بدهی تسویه نشده (کیلوگرم)]]</f>
        <v>0</v>
      </c>
      <c r="T1105" s="6">
        <f ca="1">Main[[#This Row],[بدهی سررسید شده (کیلوگرم)]]*Main[[#This Row],[روز از ارسال سفارش]]</f>
        <v>0</v>
      </c>
      <c r="U1105" s="6">
        <f>-SUBTOTAL(9,INDEX(Main[مقدار (کیلوگرم)],1):Main[[#This Row],[مقدار (کیلوگرم)]])</f>
        <v>24350</v>
      </c>
      <c r="V11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5" s="6">
        <f>Main[[#This Row],[تعداد کل روزهای بدهکار (روز)]]*Main[[#This Row],[مانده در خط کل (کیلوگرم)]]</f>
        <v>24350</v>
      </c>
      <c r="X1105" s="6">
        <f ca="1">-SUBTOTAL(9,INDEX(Main[مقدار تسویه شده (کیلوگرم)],1):Main[[#This Row],[مقدار تسویه شده (کیلوگرم)]])</f>
        <v>24350</v>
      </c>
      <c r="Y1105" s="6">
        <f ca="1">IF(Main[[#This Row],[مانده در خط تسویه شده (کیلوگرم)]]&lt;&gt;0,Main[[#This Row],[تعداد کل روزهای بدهکار (روز)]],0)</f>
        <v>1</v>
      </c>
      <c r="Z1105" s="6">
        <f ca="1">Main[[#This Row],[تعداد روزهای بدهکار تسویه شده (روز)]]*Main[[#This Row],[مانده در خط تسویه شده (کیلوگرم)]]</f>
        <v>24350</v>
      </c>
      <c r="AA1105" s="6">
        <f ca="1">SUBTOTAL(9,INDEX(Main[بدهی تسویه نشده (کیلوگرم)],1):Main[[#This Row],[بدهی تسویه نشده (کیلوگرم)]])</f>
        <v>0</v>
      </c>
      <c r="AB1105" s="6">
        <f ca="1">IF(Main[[#This Row],[مانده در خط تسویه نشده (کیلوگرم)]]&lt;&gt;0,Main[[#This Row],[تعداد کل روزهای بدهکار (روز)]],0)</f>
        <v>0</v>
      </c>
      <c r="AC1105" s="6">
        <f ca="1">Main[[#This Row],[تعداد روزهای بدهکار  تسویه نشده (روز)]]*Main[[#This Row],[مانده در خط تسویه نشده (کیلوگرم)]]</f>
        <v>0</v>
      </c>
      <c r="AD1105" s="6">
        <f ca="1">SUBTOTAL(9,INDEX(Main[بدهی سررسید شده (کیلوگرم)],1):Main[[#This Row],[بدهی سررسید شده (کیلوگرم)]])</f>
        <v>0</v>
      </c>
      <c r="AE1105" s="6">
        <f ca="1">IF(Main[[#This Row],[مانده در خط سررسید شده (کیلوگرم)]]&lt;&gt;0,Main[[#This Row],[تعداد کل روزهای بدهکار (روز)]],0)</f>
        <v>0</v>
      </c>
      <c r="AF1105" s="6">
        <f ca="1">Main[[#This Row],[تعداد روزهای بدهکار سررسید شده (روز)]]*Main[[#This Row],[مانده در خط سررسید شده (کیلوگرم)]]</f>
        <v>0</v>
      </c>
    </row>
    <row r="1106" spans="1:32" hidden="1" x14ac:dyDescent="0.35">
      <c r="A1106" s="5">
        <f>ROW()-ROW(INDEX(Main[ردیف],1))+1</f>
        <v>1104</v>
      </c>
      <c r="B1106" s="31">
        <f>SUBTOTAL(2,INDEX(Main[ردیف],1):Main[[#This Row],[ردیف]])</f>
        <v>102</v>
      </c>
      <c r="C1106" s="32" t="s">
        <v>620</v>
      </c>
      <c r="D1106" s="32" t="str">
        <f>_xlfn.CONCAT("14",Main[[#This Row],[تاريخ]])</f>
        <v>1400/04/26</v>
      </c>
      <c r="E1106" s="33">
        <v>44394</v>
      </c>
      <c r="F1106" s="32">
        <v>30187</v>
      </c>
      <c r="G1106" s="5" t="str">
        <f>INDEX(customer[عنوان],MATCH(Main[[#This Row],[کد ردیابی]],customer[کد],0))</f>
        <v>شرکت جام جم</v>
      </c>
      <c r="H1106">
        <v>-200</v>
      </c>
      <c r="I1106" s="6">
        <f ca="1">-Main[[#This Row],[بدهی تسویه شده (کیلوگرم)]]+Main[[#This Row],[بستانکار (کیلوگرم)]]</f>
        <v>-200</v>
      </c>
      <c r="J1106" s="6">
        <f>IF(Main[[#This Row],[مقدار (کیلوگرم)]]&gt;0,Main[[#This Row],[مقدار (کیلوگرم)]],0)</f>
        <v>0</v>
      </c>
      <c r="K1106" s="6">
        <f>-IF(Main[[#This Row],[مقدار (کیلوگرم)]]&lt;0,Main[[#This Row],[مقدار (کیلوگرم)]],0)</f>
        <v>200</v>
      </c>
      <c r="L11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6" s="7">
        <f>-IF(AND(Main[[#This Row],[مقدار (کیلوگرم)]]&lt;0,Main[[#This Row],[تاريخ میلادی]]&gt;44276),Main[[#This Row],[مقدار (کیلوگرم)]],0)</f>
        <v>200</v>
      </c>
      <c r="N1106" s="6">
        <f ca="1">Main[[#This Row],[بدهکار (کیلوگرم)]]-Main[[#This Row],[بدهی تسویه نشده (کیلوگرم)]]</f>
        <v>200</v>
      </c>
      <c r="O1106" s="6">
        <f ca="1">Main[[#This Row],[تفکیک]]</f>
        <v>0</v>
      </c>
      <c r="P1106" s="6">
        <f ca="1">IF(Main[[#This Row],[تاخیر از سررسید]]&gt;0,Main[[#This Row],[بدهی تسویه نشده (کیلوگرم)]],0)</f>
        <v>0</v>
      </c>
      <c r="Q1106" s="6">
        <f ca="1">IF(Main[[#This Row],[بدهی تسویه نشده (کیلوگرم)]]&gt;0,'گزارش فردی'!$B$7-Main[[#This Row],[تاريخ میلادی]],0)</f>
        <v>0</v>
      </c>
      <c r="R1106" s="6">
        <f ca="1">IF(Main[[#This Row],[بدهی تسویه نشده (کیلوگرم)]]&gt;0,'گزارش فردی'!$B$7-Main[[#This Row],[تاريخ میلادی]]-'گزارش فردی'!$B$8,0)</f>
        <v>0</v>
      </c>
      <c r="S1106" s="6">
        <f ca="1">Main[[#This Row],[روز از ارسال سفارش]]*Main[[#This Row],[بدهی تسویه نشده (کیلوگرم)]]</f>
        <v>0</v>
      </c>
      <c r="T1106" s="6">
        <f ca="1">Main[[#This Row],[بدهی سررسید شده (کیلوگرم)]]*Main[[#This Row],[روز از ارسال سفارش]]</f>
        <v>0</v>
      </c>
      <c r="U1106" s="6">
        <f>-SUBTOTAL(9,INDEX(Main[مقدار (کیلوگرم)],1):Main[[#This Row],[مقدار (کیلوگرم)]])</f>
        <v>24350</v>
      </c>
      <c r="V11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6" s="6">
        <f>Main[[#This Row],[تعداد کل روزهای بدهکار (روز)]]*Main[[#This Row],[مانده در خط کل (کیلوگرم)]]</f>
        <v>24350</v>
      </c>
      <c r="X1106" s="6">
        <f ca="1">-SUBTOTAL(9,INDEX(Main[مقدار تسویه شده (کیلوگرم)],1):Main[[#This Row],[مقدار تسویه شده (کیلوگرم)]])</f>
        <v>24350</v>
      </c>
      <c r="Y1106" s="6">
        <f ca="1">IF(Main[[#This Row],[مانده در خط تسویه شده (کیلوگرم)]]&lt;&gt;0,Main[[#This Row],[تعداد کل روزهای بدهکار (روز)]],0)</f>
        <v>1</v>
      </c>
      <c r="Z1106" s="6">
        <f ca="1">Main[[#This Row],[تعداد روزهای بدهکار تسویه شده (روز)]]*Main[[#This Row],[مانده در خط تسویه شده (کیلوگرم)]]</f>
        <v>24350</v>
      </c>
      <c r="AA1106" s="6">
        <f ca="1">SUBTOTAL(9,INDEX(Main[بدهی تسویه نشده (کیلوگرم)],1):Main[[#This Row],[بدهی تسویه نشده (کیلوگرم)]])</f>
        <v>0</v>
      </c>
      <c r="AB1106" s="6">
        <f ca="1">IF(Main[[#This Row],[مانده در خط تسویه نشده (کیلوگرم)]]&lt;&gt;0,Main[[#This Row],[تعداد کل روزهای بدهکار (روز)]],0)</f>
        <v>0</v>
      </c>
      <c r="AC1106" s="6">
        <f ca="1">Main[[#This Row],[تعداد روزهای بدهکار  تسویه نشده (روز)]]*Main[[#This Row],[مانده در خط تسویه نشده (کیلوگرم)]]</f>
        <v>0</v>
      </c>
      <c r="AD1106" s="6">
        <f ca="1">SUBTOTAL(9,INDEX(Main[بدهی سررسید شده (کیلوگرم)],1):Main[[#This Row],[بدهی سررسید شده (کیلوگرم)]])</f>
        <v>0</v>
      </c>
      <c r="AE1106" s="6">
        <f ca="1">IF(Main[[#This Row],[مانده در خط سررسید شده (کیلوگرم)]]&lt;&gt;0,Main[[#This Row],[تعداد کل روزهای بدهکار (روز)]],0)</f>
        <v>0</v>
      </c>
      <c r="AF1106" s="6">
        <f ca="1">Main[[#This Row],[تعداد روزهای بدهکار سررسید شده (روز)]]*Main[[#This Row],[مانده در خط سررسید شده (کیلوگرم)]]</f>
        <v>0</v>
      </c>
    </row>
    <row r="1107" spans="1:32" hidden="1" x14ac:dyDescent="0.35">
      <c r="A1107" s="5">
        <f>ROW()-ROW(INDEX(Main[ردیف],1))+1</f>
        <v>1105</v>
      </c>
      <c r="B1107" s="31">
        <f>SUBTOTAL(2,INDEX(Main[ردیف],1):Main[[#This Row],[ردیف]])</f>
        <v>102</v>
      </c>
      <c r="C1107" s="32" t="s">
        <v>620</v>
      </c>
      <c r="D1107" s="32" t="str">
        <f>_xlfn.CONCAT("14",Main[[#This Row],[تاريخ]])</f>
        <v>1400/04/26</v>
      </c>
      <c r="E1107" s="33">
        <v>44394</v>
      </c>
      <c r="F1107" s="32">
        <v>10055</v>
      </c>
      <c r="G1107" s="5" t="str">
        <f>INDEX(customer[عنوان],MATCH(Main[[#This Row],[کد ردیابی]],customer[کد],0))</f>
        <v xml:space="preserve">مریم فیض آبادی  </v>
      </c>
      <c r="H1107">
        <v>7074</v>
      </c>
      <c r="I1107" s="6">
        <f ca="1">-Main[[#This Row],[بدهی تسویه شده (کیلوگرم)]]+Main[[#This Row],[بستانکار (کیلوگرم)]]</f>
        <v>7074</v>
      </c>
      <c r="J1107" s="6">
        <f>IF(Main[[#This Row],[مقدار (کیلوگرم)]]&gt;0,Main[[#This Row],[مقدار (کیلوگرم)]],0)</f>
        <v>7074</v>
      </c>
      <c r="K1107" s="6">
        <f>-IF(Main[[#This Row],[مقدار (کیلوگرم)]]&lt;0,Main[[#This Row],[مقدار (کیلوگرم)]],0)</f>
        <v>0</v>
      </c>
      <c r="L11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7" s="7">
        <f>-IF(AND(Main[[#This Row],[مقدار (کیلوگرم)]]&lt;0,Main[[#This Row],[تاريخ میلادی]]&gt;44276),Main[[#This Row],[مقدار (کیلوگرم)]],0)</f>
        <v>0</v>
      </c>
      <c r="N1107" s="6">
        <f ca="1">Main[[#This Row],[بدهکار (کیلوگرم)]]-Main[[#This Row],[بدهی تسویه نشده (کیلوگرم)]]</f>
        <v>0</v>
      </c>
      <c r="O1107" s="6">
        <f ca="1">Main[[#This Row],[تفکیک]]</f>
        <v>0</v>
      </c>
      <c r="P1107" s="6">
        <f ca="1">IF(Main[[#This Row],[تاخیر از سررسید]]&gt;0,Main[[#This Row],[بدهی تسویه نشده (کیلوگرم)]],0)</f>
        <v>0</v>
      </c>
      <c r="Q1107" s="6">
        <f ca="1">IF(Main[[#This Row],[بدهی تسویه نشده (کیلوگرم)]]&gt;0,'گزارش فردی'!$B$7-Main[[#This Row],[تاريخ میلادی]],0)</f>
        <v>0</v>
      </c>
      <c r="R1107" s="6">
        <f ca="1">IF(Main[[#This Row],[بدهی تسویه نشده (کیلوگرم)]]&gt;0,'گزارش فردی'!$B$7-Main[[#This Row],[تاريخ میلادی]]-'گزارش فردی'!$B$8,0)</f>
        <v>0</v>
      </c>
      <c r="S1107" s="6">
        <f ca="1">Main[[#This Row],[روز از ارسال سفارش]]*Main[[#This Row],[بدهی تسویه نشده (کیلوگرم)]]</f>
        <v>0</v>
      </c>
      <c r="T1107" s="6">
        <f ca="1">Main[[#This Row],[بدهی سررسید شده (کیلوگرم)]]*Main[[#This Row],[روز از ارسال سفارش]]</f>
        <v>0</v>
      </c>
      <c r="U1107" s="6">
        <f>-SUBTOTAL(9,INDEX(Main[مقدار (کیلوگرم)],1):Main[[#This Row],[مقدار (کیلوگرم)]])</f>
        <v>24350</v>
      </c>
      <c r="V11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7" s="6">
        <f>Main[[#This Row],[تعداد کل روزهای بدهکار (روز)]]*Main[[#This Row],[مانده در خط کل (کیلوگرم)]]</f>
        <v>24350</v>
      </c>
      <c r="X1107" s="6">
        <f ca="1">-SUBTOTAL(9,INDEX(Main[مقدار تسویه شده (کیلوگرم)],1):Main[[#This Row],[مقدار تسویه شده (کیلوگرم)]])</f>
        <v>24350</v>
      </c>
      <c r="Y1107" s="6">
        <f ca="1">IF(Main[[#This Row],[مانده در خط تسویه شده (کیلوگرم)]]&lt;&gt;0,Main[[#This Row],[تعداد کل روزهای بدهکار (روز)]],0)</f>
        <v>1</v>
      </c>
      <c r="Z1107" s="6">
        <f ca="1">Main[[#This Row],[تعداد روزهای بدهکار تسویه شده (روز)]]*Main[[#This Row],[مانده در خط تسویه شده (کیلوگرم)]]</f>
        <v>24350</v>
      </c>
      <c r="AA1107" s="6">
        <f ca="1">SUBTOTAL(9,INDEX(Main[بدهی تسویه نشده (کیلوگرم)],1):Main[[#This Row],[بدهی تسویه نشده (کیلوگرم)]])</f>
        <v>0</v>
      </c>
      <c r="AB1107" s="6">
        <f ca="1">IF(Main[[#This Row],[مانده در خط تسویه نشده (کیلوگرم)]]&lt;&gt;0,Main[[#This Row],[تعداد کل روزهای بدهکار (روز)]],0)</f>
        <v>0</v>
      </c>
      <c r="AC1107" s="6">
        <f ca="1">Main[[#This Row],[تعداد روزهای بدهکار  تسویه نشده (روز)]]*Main[[#This Row],[مانده در خط تسویه نشده (کیلوگرم)]]</f>
        <v>0</v>
      </c>
      <c r="AD1107" s="6">
        <f ca="1">SUBTOTAL(9,INDEX(Main[بدهی سررسید شده (کیلوگرم)],1):Main[[#This Row],[بدهی سررسید شده (کیلوگرم)]])</f>
        <v>0</v>
      </c>
      <c r="AE1107" s="6">
        <f ca="1">IF(Main[[#This Row],[مانده در خط سررسید شده (کیلوگرم)]]&lt;&gt;0,Main[[#This Row],[تعداد کل روزهای بدهکار (روز)]],0)</f>
        <v>0</v>
      </c>
      <c r="AF1107" s="6">
        <f ca="1">Main[[#This Row],[تعداد روزهای بدهکار سررسید شده (روز)]]*Main[[#This Row],[مانده در خط سررسید شده (کیلوگرم)]]</f>
        <v>0</v>
      </c>
    </row>
    <row r="1108" spans="1:32" hidden="1" x14ac:dyDescent="0.35">
      <c r="A1108" s="5">
        <f>ROW()-ROW(INDEX(Main[ردیف],1))+1</f>
        <v>1106</v>
      </c>
      <c r="B1108" s="31">
        <f>SUBTOTAL(2,INDEX(Main[ردیف],1):Main[[#This Row],[ردیف]])</f>
        <v>102</v>
      </c>
      <c r="C1108" s="32" t="s">
        <v>620</v>
      </c>
      <c r="D1108" s="32" t="str">
        <f>_xlfn.CONCAT("14",Main[[#This Row],[تاريخ]])</f>
        <v>1400/04/26</v>
      </c>
      <c r="E1108" s="33">
        <v>44394</v>
      </c>
      <c r="F1108" s="32">
        <v>10026</v>
      </c>
      <c r="G1108" s="5" t="str">
        <f>INDEX(customer[عنوان],MATCH(Main[[#This Row],[کد ردیابی]],customer[کد],0))</f>
        <v xml:space="preserve">محسن فیاض بخش </v>
      </c>
      <c r="H1108">
        <v>-1925</v>
      </c>
      <c r="I1108" s="6">
        <f ca="1">-Main[[#This Row],[بدهی تسویه شده (کیلوگرم)]]+Main[[#This Row],[بستانکار (کیلوگرم)]]</f>
        <v>-1925</v>
      </c>
      <c r="J1108" s="6">
        <f>IF(Main[[#This Row],[مقدار (کیلوگرم)]]&gt;0,Main[[#This Row],[مقدار (کیلوگرم)]],0)</f>
        <v>0</v>
      </c>
      <c r="K1108" s="6">
        <f>-IF(Main[[#This Row],[مقدار (کیلوگرم)]]&lt;0,Main[[#This Row],[مقدار (کیلوگرم)]],0)</f>
        <v>1925</v>
      </c>
      <c r="L11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8" s="7">
        <f>-IF(AND(Main[[#This Row],[مقدار (کیلوگرم)]]&lt;0,Main[[#This Row],[تاريخ میلادی]]&gt;44276),Main[[#This Row],[مقدار (کیلوگرم)]],0)</f>
        <v>1925</v>
      </c>
      <c r="N1108" s="6">
        <f ca="1">Main[[#This Row],[بدهکار (کیلوگرم)]]-Main[[#This Row],[بدهی تسویه نشده (کیلوگرم)]]</f>
        <v>1925</v>
      </c>
      <c r="O1108" s="6">
        <f ca="1">Main[[#This Row],[تفکیک]]</f>
        <v>0</v>
      </c>
      <c r="P1108" s="6">
        <f ca="1">IF(Main[[#This Row],[تاخیر از سررسید]]&gt;0,Main[[#This Row],[بدهی تسویه نشده (کیلوگرم)]],0)</f>
        <v>0</v>
      </c>
      <c r="Q1108" s="6">
        <f ca="1">IF(Main[[#This Row],[بدهی تسویه نشده (کیلوگرم)]]&gt;0,'گزارش فردی'!$B$7-Main[[#This Row],[تاريخ میلادی]],0)</f>
        <v>0</v>
      </c>
      <c r="R1108" s="6">
        <f ca="1">IF(Main[[#This Row],[بدهی تسویه نشده (کیلوگرم)]]&gt;0,'گزارش فردی'!$B$7-Main[[#This Row],[تاريخ میلادی]]-'گزارش فردی'!$B$8,0)</f>
        <v>0</v>
      </c>
      <c r="S1108" s="6">
        <f ca="1">Main[[#This Row],[روز از ارسال سفارش]]*Main[[#This Row],[بدهی تسویه نشده (کیلوگرم)]]</f>
        <v>0</v>
      </c>
      <c r="T1108" s="6">
        <f ca="1">Main[[#This Row],[بدهی سررسید شده (کیلوگرم)]]*Main[[#This Row],[روز از ارسال سفارش]]</f>
        <v>0</v>
      </c>
      <c r="U1108" s="6">
        <f>-SUBTOTAL(9,INDEX(Main[مقدار (کیلوگرم)],1):Main[[#This Row],[مقدار (کیلوگرم)]])</f>
        <v>24350</v>
      </c>
      <c r="V11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8" s="6">
        <f>Main[[#This Row],[تعداد کل روزهای بدهکار (روز)]]*Main[[#This Row],[مانده در خط کل (کیلوگرم)]]</f>
        <v>24350</v>
      </c>
      <c r="X1108" s="6">
        <f ca="1">-SUBTOTAL(9,INDEX(Main[مقدار تسویه شده (کیلوگرم)],1):Main[[#This Row],[مقدار تسویه شده (کیلوگرم)]])</f>
        <v>24350</v>
      </c>
      <c r="Y1108" s="6">
        <f ca="1">IF(Main[[#This Row],[مانده در خط تسویه شده (کیلوگرم)]]&lt;&gt;0,Main[[#This Row],[تعداد کل روزهای بدهکار (روز)]],0)</f>
        <v>1</v>
      </c>
      <c r="Z1108" s="6">
        <f ca="1">Main[[#This Row],[تعداد روزهای بدهکار تسویه شده (روز)]]*Main[[#This Row],[مانده در خط تسویه شده (کیلوگرم)]]</f>
        <v>24350</v>
      </c>
      <c r="AA1108" s="6">
        <f ca="1">SUBTOTAL(9,INDEX(Main[بدهی تسویه نشده (کیلوگرم)],1):Main[[#This Row],[بدهی تسویه نشده (کیلوگرم)]])</f>
        <v>0</v>
      </c>
      <c r="AB1108" s="6">
        <f ca="1">IF(Main[[#This Row],[مانده در خط تسویه نشده (کیلوگرم)]]&lt;&gt;0,Main[[#This Row],[تعداد کل روزهای بدهکار (روز)]],0)</f>
        <v>0</v>
      </c>
      <c r="AC1108" s="6">
        <f ca="1">Main[[#This Row],[تعداد روزهای بدهکار  تسویه نشده (روز)]]*Main[[#This Row],[مانده در خط تسویه نشده (کیلوگرم)]]</f>
        <v>0</v>
      </c>
      <c r="AD1108" s="6">
        <f ca="1">SUBTOTAL(9,INDEX(Main[بدهی سررسید شده (کیلوگرم)],1):Main[[#This Row],[بدهی سررسید شده (کیلوگرم)]])</f>
        <v>0</v>
      </c>
      <c r="AE1108" s="6">
        <f ca="1">IF(Main[[#This Row],[مانده در خط سررسید شده (کیلوگرم)]]&lt;&gt;0,Main[[#This Row],[تعداد کل روزهای بدهکار (روز)]],0)</f>
        <v>0</v>
      </c>
      <c r="AF1108" s="6">
        <f ca="1">Main[[#This Row],[تعداد روزهای بدهکار سررسید شده (روز)]]*Main[[#This Row],[مانده در خط سررسید شده (کیلوگرم)]]</f>
        <v>0</v>
      </c>
    </row>
    <row r="1109" spans="1:32" hidden="1" x14ac:dyDescent="0.35">
      <c r="A1109" s="5">
        <f>ROW()-ROW(INDEX(Main[ردیف],1))+1</f>
        <v>1107</v>
      </c>
      <c r="B1109" s="31">
        <f>SUBTOTAL(2,INDEX(Main[ردیف],1):Main[[#This Row],[ردیف]])</f>
        <v>102</v>
      </c>
      <c r="C1109" s="32" t="s">
        <v>620</v>
      </c>
      <c r="D1109" s="32" t="str">
        <f>_xlfn.CONCAT("14",Main[[#This Row],[تاريخ]])</f>
        <v>1400/04/26</v>
      </c>
      <c r="E1109" s="33">
        <v>44394</v>
      </c>
      <c r="F1109" s="32">
        <v>10119</v>
      </c>
      <c r="G1109" s="5" t="str">
        <f>INDEX(customer[عنوان],MATCH(Main[[#This Row],[کد ردیابی]],customer[کد],0))</f>
        <v>سیف الله اکبری</v>
      </c>
      <c r="H1109">
        <v>518</v>
      </c>
      <c r="I1109" s="6">
        <f ca="1">-Main[[#This Row],[بدهی تسویه شده (کیلوگرم)]]+Main[[#This Row],[بستانکار (کیلوگرم)]]</f>
        <v>518</v>
      </c>
      <c r="J1109" s="6">
        <f>IF(Main[[#This Row],[مقدار (کیلوگرم)]]&gt;0,Main[[#This Row],[مقدار (کیلوگرم)]],0)</f>
        <v>518</v>
      </c>
      <c r="K1109" s="6">
        <f>-IF(Main[[#This Row],[مقدار (کیلوگرم)]]&lt;0,Main[[#This Row],[مقدار (کیلوگرم)]],0)</f>
        <v>0</v>
      </c>
      <c r="L11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9" s="7">
        <f>-IF(AND(Main[[#This Row],[مقدار (کیلوگرم)]]&lt;0,Main[[#This Row],[تاريخ میلادی]]&gt;44276),Main[[#This Row],[مقدار (کیلوگرم)]],0)</f>
        <v>0</v>
      </c>
      <c r="N1109" s="6">
        <f ca="1">Main[[#This Row],[بدهکار (کیلوگرم)]]-Main[[#This Row],[بدهی تسویه نشده (کیلوگرم)]]</f>
        <v>0</v>
      </c>
      <c r="O1109" s="6">
        <f ca="1">Main[[#This Row],[تفکیک]]</f>
        <v>0</v>
      </c>
      <c r="P1109" s="6">
        <f ca="1">IF(Main[[#This Row],[تاخیر از سررسید]]&gt;0,Main[[#This Row],[بدهی تسویه نشده (کیلوگرم)]],0)</f>
        <v>0</v>
      </c>
      <c r="Q1109" s="6">
        <f ca="1">IF(Main[[#This Row],[بدهی تسویه نشده (کیلوگرم)]]&gt;0,'گزارش فردی'!$B$7-Main[[#This Row],[تاريخ میلادی]],0)</f>
        <v>0</v>
      </c>
      <c r="R1109" s="6">
        <f ca="1">IF(Main[[#This Row],[بدهی تسویه نشده (کیلوگرم)]]&gt;0,'گزارش فردی'!$B$7-Main[[#This Row],[تاريخ میلادی]]-'گزارش فردی'!$B$8,0)</f>
        <v>0</v>
      </c>
      <c r="S1109" s="6">
        <f ca="1">Main[[#This Row],[روز از ارسال سفارش]]*Main[[#This Row],[بدهی تسویه نشده (کیلوگرم)]]</f>
        <v>0</v>
      </c>
      <c r="T1109" s="6">
        <f ca="1">Main[[#This Row],[بدهی سررسید شده (کیلوگرم)]]*Main[[#This Row],[روز از ارسال سفارش]]</f>
        <v>0</v>
      </c>
      <c r="U1109" s="6">
        <f>-SUBTOTAL(9,INDEX(Main[مقدار (کیلوگرم)],1):Main[[#This Row],[مقدار (کیلوگرم)]])</f>
        <v>24350</v>
      </c>
      <c r="V11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9" s="6">
        <f>Main[[#This Row],[تعداد کل روزهای بدهکار (روز)]]*Main[[#This Row],[مانده در خط کل (کیلوگرم)]]</f>
        <v>24350</v>
      </c>
      <c r="X1109" s="6">
        <f ca="1">-SUBTOTAL(9,INDEX(Main[مقدار تسویه شده (کیلوگرم)],1):Main[[#This Row],[مقدار تسویه شده (کیلوگرم)]])</f>
        <v>24350</v>
      </c>
      <c r="Y1109" s="6">
        <f ca="1">IF(Main[[#This Row],[مانده در خط تسویه شده (کیلوگرم)]]&lt;&gt;0,Main[[#This Row],[تعداد کل روزهای بدهکار (روز)]],0)</f>
        <v>1</v>
      </c>
      <c r="Z1109" s="6">
        <f ca="1">Main[[#This Row],[تعداد روزهای بدهکار تسویه شده (روز)]]*Main[[#This Row],[مانده در خط تسویه شده (کیلوگرم)]]</f>
        <v>24350</v>
      </c>
      <c r="AA1109" s="6">
        <f ca="1">SUBTOTAL(9,INDEX(Main[بدهی تسویه نشده (کیلوگرم)],1):Main[[#This Row],[بدهی تسویه نشده (کیلوگرم)]])</f>
        <v>0</v>
      </c>
      <c r="AB1109" s="6">
        <f ca="1">IF(Main[[#This Row],[مانده در خط تسویه نشده (کیلوگرم)]]&lt;&gt;0,Main[[#This Row],[تعداد کل روزهای بدهکار (روز)]],0)</f>
        <v>0</v>
      </c>
      <c r="AC1109" s="6">
        <f ca="1">Main[[#This Row],[تعداد روزهای بدهکار  تسویه نشده (روز)]]*Main[[#This Row],[مانده در خط تسویه نشده (کیلوگرم)]]</f>
        <v>0</v>
      </c>
      <c r="AD1109" s="6">
        <f ca="1">SUBTOTAL(9,INDEX(Main[بدهی سررسید شده (کیلوگرم)],1):Main[[#This Row],[بدهی سررسید شده (کیلوگرم)]])</f>
        <v>0</v>
      </c>
      <c r="AE1109" s="6">
        <f ca="1">IF(Main[[#This Row],[مانده در خط سررسید شده (کیلوگرم)]]&lt;&gt;0,Main[[#This Row],[تعداد کل روزهای بدهکار (روز)]],0)</f>
        <v>0</v>
      </c>
      <c r="AF1109" s="6">
        <f ca="1">Main[[#This Row],[تعداد روزهای بدهکار سررسید شده (روز)]]*Main[[#This Row],[مانده در خط سررسید شده (کیلوگرم)]]</f>
        <v>0</v>
      </c>
    </row>
    <row r="1110" spans="1:32" hidden="1" x14ac:dyDescent="0.35">
      <c r="A1110" s="5">
        <f>ROW()-ROW(INDEX(Main[ردیف],1))+1</f>
        <v>1108</v>
      </c>
      <c r="B1110" s="31">
        <f>SUBTOTAL(2,INDEX(Main[ردیف],1):Main[[#This Row],[ردیف]])</f>
        <v>102</v>
      </c>
      <c r="C1110" s="32" t="s">
        <v>620</v>
      </c>
      <c r="D1110" s="32" t="str">
        <f>_xlfn.CONCAT("14",Main[[#This Row],[تاريخ]])</f>
        <v>1400/04/26</v>
      </c>
      <c r="E1110" s="33">
        <v>44394</v>
      </c>
      <c r="F1110" s="32">
        <v>30009</v>
      </c>
      <c r="G1110" s="5" t="str">
        <f>INDEX(customer[عنوان],MATCH(Main[[#This Row],[کد ردیابی]],customer[کد],0))</f>
        <v>شرکت ایمن تک پیشرو</v>
      </c>
      <c r="H1110">
        <v>683</v>
      </c>
      <c r="I1110" s="6">
        <f ca="1">-Main[[#This Row],[بدهی تسویه شده (کیلوگرم)]]+Main[[#This Row],[بستانکار (کیلوگرم)]]</f>
        <v>683</v>
      </c>
      <c r="J1110" s="6">
        <f>IF(Main[[#This Row],[مقدار (کیلوگرم)]]&gt;0,Main[[#This Row],[مقدار (کیلوگرم)]],0)</f>
        <v>683</v>
      </c>
      <c r="K1110" s="6">
        <f>-IF(Main[[#This Row],[مقدار (کیلوگرم)]]&lt;0,Main[[#This Row],[مقدار (کیلوگرم)]],0)</f>
        <v>0</v>
      </c>
      <c r="L11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0" s="7">
        <f>-IF(AND(Main[[#This Row],[مقدار (کیلوگرم)]]&lt;0,Main[[#This Row],[تاريخ میلادی]]&gt;44276),Main[[#This Row],[مقدار (کیلوگرم)]],0)</f>
        <v>0</v>
      </c>
      <c r="N1110" s="6">
        <f ca="1">Main[[#This Row],[بدهکار (کیلوگرم)]]-Main[[#This Row],[بدهی تسویه نشده (کیلوگرم)]]</f>
        <v>0</v>
      </c>
      <c r="O1110" s="6">
        <f ca="1">Main[[#This Row],[تفکیک]]</f>
        <v>0</v>
      </c>
      <c r="P1110" s="6">
        <f ca="1">IF(Main[[#This Row],[تاخیر از سررسید]]&gt;0,Main[[#This Row],[بدهی تسویه نشده (کیلوگرم)]],0)</f>
        <v>0</v>
      </c>
      <c r="Q1110" s="6">
        <f ca="1">IF(Main[[#This Row],[بدهی تسویه نشده (کیلوگرم)]]&gt;0,'گزارش فردی'!$B$7-Main[[#This Row],[تاريخ میلادی]],0)</f>
        <v>0</v>
      </c>
      <c r="R1110" s="6">
        <f ca="1">IF(Main[[#This Row],[بدهی تسویه نشده (کیلوگرم)]]&gt;0,'گزارش فردی'!$B$7-Main[[#This Row],[تاريخ میلادی]]-'گزارش فردی'!$B$8,0)</f>
        <v>0</v>
      </c>
      <c r="S1110" s="6">
        <f ca="1">Main[[#This Row],[روز از ارسال سفارش]]*Main[[#This Row],[بدهی تسویه نشده (کیلوگرم)]]</f>
        <v>0</v>
      </c>
      <c r="T1110" s="6">
        <f ca="1">Main[[#This Row],[بدهی سررسید شده (کیلوگرم)]]*Main[[#This Row],[روز از ارسال سفارش]]</f>
        <v>0</v>
      </c>
      <c r="U1110" s="6">
        <f>-SUBTOTAL(9,INDEX(Main[مقدار (کیلوگرم)],1):Main[[#This Row],[مقدار (کیلوگرم)]])</f>
        <v>24350</v>
      </c>
      <c r="V11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0" s="6">
        <f>Main[[#This Row],[تعداد کل روزهای بدهکار (روز)]]*Main[[#This Row],[مانده در خط کل (کیلوگرم)]]</f>
        <v>24350</v>
      </c>
      <c r="X1110" s="6">
        <f ca="1">-SUBTOTAL(9,INDEX(Main[مقدار تسویه شده (کیلوگرم)],1):Main[[#This Row],[مقدار تسویه شده (کیلوگرم)]])</f>
        <v>24350</v>
      </c>
      <c r="Y1110" s="6">
        <f ca="1">IF(Main[[#This Row],[مانده در خط تسویه شده (کیلوگرم)]]&lt;&gt;0,Main[[#This Row],[تعداد کل روزهای بدهکار (روز)]],0)</f>
        <v>1</v>
      </c>
      <c r="Z1110" s="6">
        <f ca="1">Main[[#This Row],[تعداد روزهای بدهکار تسویه شده (روز)]]*Main[[#This Row],[مانده در خط تسویه شده (کیلوگرم)]]</f>
        <v>24350</v>
      </c>
      <c r="AA1110" s="6">
        <f ca="1">SUBTOTAL(9,INDEX(Main[بدهی تسویه نشده (کیلوگرم)],1):Main[[#This Row],[بدهی تسویه نشده (کیلوگرم)]])</f>
        <v>0</v>
      </c>
      <c r="AB1110" s="6">
        <f ca="1">IF(Main[[#This Row],[مانده در خط تسویه نشده (کیلوگرم)]]&lt;&gt;0,Main[[#This Row],[تعداد کل روزهای بدهکار (روز)]],0)</f>
        <v>0</v>
      </c>
      <c r="AC1110" s="6">
        <f ca="1">Main[[#This Row],[تعداد روزهای بدهکار  تسویه نشده (روز)]]*Main[[#This Row],[مانده در خط تسویه نشده (کیلوگرم)]]</f>
        <v>0</v>
      </c>
      <c r="AD1110" s="6">
        <f ca="1">SUBTOTAL(9,INDEX(Main[بدهی سررسید شده (کیلوگرم)],1):Main[[#This Row],[بدهی سررسید شده (کیلوگرم)]])</f>
        <v>0</v>
      </c>
      <c r="AE1110" s="6">
        <f ca="1">IF(Main[[#This Row],[مانده در خط سررسید شده (کیلوگرم)]]&lt;&gt;0,Main[[#This Row],[تعداد کل روزهای بدهکار (روز)]],0)</f>
        <v>0</v>
      </c>
      <c r="AF1110" s="6">
        <f ca="1">Main[[#This Row],[تعداد روزهای بدهکار سررسید شده (روز)]]*Main[[#This Row],[مانده در خط سررسید شده (کیلوگرم)]]</f>
        <v>0</v>
      </c>
    </row>
    <row r="1111" spans="1:32" hidden="1" x14ac:dyDescent="0.35">
      <c r="A1111" s="5">
        <f>ROW()-ROW(INDEX(Main[ردیف],1))+1</f>
        <v>1109</v>
      </c>
      <c r="B1111" s="31">
        <f>SUBTOTAL(2,INDEX(Main[ردیف],1):Main[[#This Row],[ردیف]])</f>
        <v>102</v>
      </c>
      <c r="C1111" s="32" t="s">
        <v>620</v>
      </c>
      <c r="D1111" s="32" t="str">
        <f>_xlfn.CONCAT("14",Main[[#This Row],[تاريخ]])</f>
        <v>1400/04/26</v>
      </c>
      <c r="E1111" s="33">
        <v>44394</v>
      </c>
      <c r="F1111" s="32">
        <v>30186</v>
      </c>
      <c r="G1111" s="5" t="str">
        <f>INDEX(customer[عنوان],MATCH(Main[[#This Row],[کد ردیابی]],customer[کد],0))</f>
        <v>سارا گاز</v>
      </c>
      <c r="H1111">
        <v>2388</v>
      </c>
      <c r="I1111" s="6">
        <f ca="1">-Main[[#This Row],[بدهی تسویه شده (کیلوگرم)]]+Main[[#This Row],[بستانکار (کیلوگرم)]]</f>
        <v>2388</v>
      </c>
      <c r="J1111" s="6">
        <f>IF(Main[[#This Row],[مقدار (کیلوگرم)]]&gt;0,Main[[#This Row],[مقدار (کیلوگرم)]],0)</f>
        <v>2388</v>
      </c>
      <c r="K1111" s="6">
        <f>-IF(Main[[#This Row],[مقدار (کیلوگرم)]]&lt;0,Main[[#This Row],[مقدار (کیلوگرم)]],0)</f>
        <v>0</v>
      </c>
      <c r="L11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1" s="7">
        <f>-IF(AND(Main[[#This Row],[مقدار (کیلوگرم)]]&lt;0,Main[[#This Row],[تاريخ میلادی]]&gt;44276),Main[[#This Row],[مقدار (کیلوگرم)]],0)</f>
        <v>0</v>
      </c>
      <c r="N1111" s="6">
        <f ca="1">Main[[#This Row],[بدهکار (کیلوگرم)]]-Main[[#This Row],[بدهی تسویه نشده (کیلوگرم)]]</f>
        <v>0</v>
      </c>
      <c r="O1111" s="6">
        <f ca="1">Main[[#This Row],[تفکیک]]</f>
        <v>0</v>
      </c>
      <c r="P1111" s="6">
        <f ca="1">IF(Main[[#This Row],[تاخیر از سررسید]]&gt;0,Main[[#This Row],[بدهی تسویه نشده (کیلوگرم)]],0)</f>
        <v>0</v>
      </c>
      <c r="Q1111" s="6">
        <f ca="1">IF(Main[[#This Row],[بدهی تسویه نشده (کیلوگرم)]]&gt;0,'گزارش فردی'!$B$7-Main[[#This Row],[تاريخ میلادی]],0)</f>
        <v>0</v>
      </c>
      <c r="R1111" s="6">
        <f ca="1">IF(Main[[#This Row],[بدهی تسویه نشده (کیلوگرم)]]&gt;0,'گزارش فردی'!$B$7-Main[[#This Row],[تاريخ میلادی]]-'گزارش فردی'!$B$8,0)</f>
        <v>0</v>
      </c>
      <c r="S1111" s="6">
        <f ca="1">Main[[#This Row],[روز از ارسال سفارش]]*Main[[#This Row],[بدهی تسویه نشده (کیلوگرم)]]</f>
        <v>0</v>
      </c>
      <c r="T1111" s="6">
        <f ca="1">Main[[#This Row],[بدهی سررسید شده (کیلوگرم)]]*Main[[#This Row],[روز از ارسال سفارش]]</f>
        <v>0</v>
      </c>
      <c r="U1111" s="6">
        <f>-SUBTOTAL(9,INDEX(Main[مقدار (کیلوگرم)],1):Main[[#This Row],[مقدار (کیلوگرم)]])</f>
        <v>24350</v>
      </c>
      <c r="V11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1" s="6">
        <f>Main[[#This Row],[تعداد کل روزهای بدهکار (روز)]]*Main[[#This Row],[مانده در خط کل (کیلوگرم)]]</f>
        <v>24350</v>
      </c>
      <c r="X1111" s="6">
        <f ca="1">-SUBTOTAL(9,INDEX(Main[مقدار تسویه شده (کیلوگرم)],1):Main[[#This Row],[مقدار تسویه شده (کیلوگرم)]])</f>
        <v>24350</v>
      </c>
      <c r="Y1111" s="6">
        <f ca="1">IF(Main[[#This Row],[مانده در خط تسویه شده (کیلوگرم)]]&lt;&gt;0,Main[[#This Row],[تعداد کل روزهای بدهکار (روز)]],0)</f>
        <v>1</v>
      </c>
      <c r="Z1111" s="6">
        <f ca="1">Main[[#This Row],[تعداد روزهای بدهکار تسویه شده (روز)]]*Main[[#This Row],[مانده در خط تسویه شده (کیلوگرم)]]</f>
        <v>24350</v>
      </c>
      <c r="AA1111" s="6">
        <f ca="1">SUBTOTAL(9,INDEX(Main[بدهی تسویه نشده (کیلوگرم)],1):Main[[#This Row],[بدهی تسویه نشده (کیلوگرم)]])</f>
        <v>0</v>
      </c>
      <c r="AB1111" s="6">
        <f ca="1">IF(Main[[#This Row],[مانده در خط تسویه نشده (کیلوگرم)]]&lt;&gt;0,Main[[#This Row],[تعداد کل روزهای بدهکار (روز)]],0)</f>
        <v>0</v>
      </c>
      <c r="AC1111" s="6">
        <f ca="1">Main[[#This Row],[تعداد روزهای بدهکار  تسویه نشده (روز)]]*Main[[#This Row],[مانده در خط تسویه نشده (کیلوگرم)]]</f>
        <v>0</v>
      </c>
      <c r="AD1111" s="6">
        <f ca="1">SUBTOTAL(9,INDEX(Main[بدهی سررسید شده (کیلوگرم)],1):Main[[#This Row],[بدهی سررسید شده (کیلوگرم)]])</f>
        <v>0</v>
      </c>
      <c r="AE1111" s="6">
        <f ca="1">IF(Main[[#This Row],[مانده در خط سررسید شده (کیلوگرم)]]&lt;&gt;0,Main[[#This Row],[تعداد کل روزهای بدهکار (روز)]],0)</f>
        <v>0</v>
      </c>
      <c r="AF1111" s="6">
        <f ca="1">Main[[#This Row],[تعداد روزهای بدهکار سررسید شده (روز)]]*Main[[#This Row],[مانده در خط سررسید شده (کیلوگرم)]]</f>
        <v>0</v>
      </c>
    </row>
    <row r="1112" spans="1:32" hidden="1" x14ac:dyDescent="0.35">
      <c r="A1112" s="5">
        <f>ROW()-ROW(INDEX(Main[ردیف],1))+1</f>
        <v>1110</v>
      </c>
      <c r="B1112" s="31">
        <f>SUBTOTAL(2,INDEX(Main[ردیف],1):Main[[#This Row],[ردیف]])</f>
        <v>102</v>
      </c>
      <c r="C1112" s="32" t="s">
        <v>622</v>
      </c>
      <c r="D1112" s="32" t="str">
        <f>_xlfn.CONCAT("14",Main[[#This Row],[تاريخ]])</f>
        <v>1400/04/27</v>
      </c>
      <c r="E1112" s="33">
        <v>44395</v>
      </c>
      <c r="F1112" s="32">
        <v>10088</v>
      </c>
      <c r="G1112" s="5" t="str">
        <f>INDEX(customer[عنوان],MATCH(Main[[#This Row],[کد ردیابی]],customer[کد],0))</f>
        <v xml:space="preserve">رحیم فتوت </v>
      </c>
      <c r="H1112">
        <v>-236</v>
      </c>
      <c r="I1112" s="6">
        <f ca="1">-Main[[#This Row],[بدهی تسویه شده (کیلوگرم)]]+Main[[#This Row],[بستانکار (کیلوگرم)]]</f>
        <v>-236</v>
      </c>
      <c r="J1112" s="6">
        <f>IF(Main[[#This Row],[مقدار (کیلوگرم)]]&gt;0,Main[[#This Row],[مقدار (کیلوگرم)]],0)</f>
        <v>0</v>
      </c>
      <c r="K1112" s="6">
        <f>-IF(Main[[#This Row],[مقدار (کیلوگرم)]]&lt;0,Main[[#This Row],[مقدار (کیلوگرم)]],0)</f>
        <v>236</v>
      </c>
      <c r="L11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2" s="7">
        <f>-IF(AND(Main[[#This Row],[مقدار (کیلوگرم)]]&lt;0,Main[[#This Row],[تاريخ میلادی]]&gt;44276),Main[[#This Row],[مقدار (کیلوگرم)]],0)</f>
        <v>236</v>
      </c>
      <c r="N1112" s="6">
        <f ca="1">Main[[#This Row],[بدهکار (کیلوگرم)]]-Main[[#This Row],[بدهی تسویه نشده (کیلوگرم)]]</f>
        <v>236</v>
      </c>
      <c r="O1112" s="6">
        <f ca="1">Main[[#This Row],[تفکیک]]</f>
        <v>0</v>
      </c>
      <c r="P1112" s="6">
        <f ca="1">IF(Main[[#This Row],[تاخیر از سررسید]]&gt;0,Main[[#This Row],[بدهی تسویه نشده (کیلوگرم)]],0)</f>
        <v>0</v>
      </c>
      <c r="Q1112" s="6">
        <f ca="1">IF(Main[[#This Row],[بدهی تسویه نشده (کیلوگرم)]]&gt;0,'گزارش فردی'!$B$7-Main[[#This Row],[تاريخ میلادی]],0)</f>
        <v>0</v>
      </c>
      <c r="R1112" s="6">
        <f ca="1">IF(Main[[#This Row],[بدهی تسویه نشده (کیلوگرم)]]&gt;0,'گزارش فردی'!$B$7-Main[[#This Row],[تاريخ میلادی]]-'گزارش فردی'!$B$8,0)</f>
        <v>0</v>
      </c>
      <c r="S1112" s="6">
        <f ca="1">Main[[#This Row],[روز از ارسال سفارش]]*Main[[#This Row],[بدهی تسویه نشده (کیلوگرم)]]</f>
        <v>0</v>
      </c>
      <c r="T1112" s="6">
        <f ca="1">Main[[#This Row],[بدهی سررسید شده (کیلوگرم)]]*Main[[#This Row],[روز از ارسال سفارش]]</f>
        <v>0</v>
      </c>
      <c r="U1112" s="6">
        <f>-SUBTOTAL(9,INDEX(Main[مقدار (کیلوگرم)],1):Main[[#This Row],[مقدار (کیلوگرم)]])</f>
        <v>24350</v>
      </c>
      <c r="V11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2" s="6">
        <f>Main[[#This Row],[تعداد کل روزهای بدهکار (روز)]]*Main[[#This Row],[مانده در خط کل (کیلوگرم)]]</f>
        <v>0</v>
      </c>
      <c r="X1112" s="6">
        <f ca="1">-SUBTOTAL(9,INDEX(Main[مقدار تسویه شده (کیلوگرم)],1):Main[[#This Row],[مقدار تسویه شده (کیلوگرم)]])</f>
        <v>24350</v>
      </c>
      <c r="Y1112" s="6">
        <f ca="1">IF(Main[[#This Row],[مانده در خط تسویه شده (کیلوگرم)]]&lt;&gt;0,Main[[#This Row],[تعداد کل روزهای بدهکار (روز)]],0)</f>
        <v>0</v>
      </c>
      <c r="Z1112" s="6">
        <f ca="1">Main[[#This Row],[تعداد روزهای بدهکار تسویه شده (روز)]]*Main[[#This Row],[مانده در خط تسویه شده (کیلوگرم)]]</f>
        <v>0</v>
      </c>
      <c r="AA1112" s="6">
        <f ca="1">SUBTOTAL(9,INDEX(Main[بدهی تسویه نشده (کیلوگرم)],1):Main[[#This Row],[بدهی تسویه نشده (کیلوگرم)]])</f>
        <v>0</v>
      </c>
      <c r="AB1112" s="6">
        <f ca="1">IF(Main[[#This Row],[مانده در خط تسویه نشده (کیلوگرم)]]&lt;&gt;0,Main[[#This Row],[تعداد کل روزهای بدهکار (روز)]],0)</f>
        <v>0</v>
      </c>
      <c r="AC1112" s="6">
        <f ca="1">Main[[#This Row],[تعداد روزهای بدهکار  تسویه نشده (روز)]]*Main[[#This Row],[مانده در خط تسویه نشده (کیلوگرم)]]</f>
        <v>0</v>
      </c>
      <c r="AD1112" s="6">
        <f ca="1">SUBTOTAL(9,INDEX(Main[بدهی سررسید شده (کیلوگرم)],1):Main[[#This Row],[بدهی سررسید شده (کیلوگرم)]])</f>
        <v>0</v>
      </c>
      <c r="AE1112" s="6">
        <f ca="1">IF(Main[[#This Row],[مانده در خط سررسید شده (کیلوگرم)]]&lt;&gt;0,Main[[#This Row],[تعداد کل روزهای بدهکار (روز)]],0)</f>
        <v>0</v>
      </c>
      <c r="AF1112" s="6">
        <f ca="1">Main[[#This Row],[تعداد روزهای بدهکار سررسید شده (روز)]]*Main[[#This Row],[مانده در خط سررسید شده (کیلوگرم)]]</f>
        <v>0</v>
      </c>
    </row>
    <row r="1113" spans="1:32" hidden="1" x14ac:dyDescent="0.35">
      <c r="A1113" s="5">
        <f>ROW()-ROW(INDEX(Main[ردیف],1))+1</f>
        <v>1111</v>
      </c>
      <c r="B1113" s="31">
        <f>SUBTOTAL(2,INDEX(Main[ردیف],1):Main[[#This Row],[ردیف]])</f>
        <v>102</v>
      </c>
      <c r="C1113" s="32" t="s">
        <v>622</v>
      </c>
      <c r="D1113" s="32" t="str">
        <f>_xlfn.CONCAT("14",Main[[#This Row],[تاريخ]])</f>
        <v>1400/04/27</v>
      </c>
      <c r="E1113" s="33">
        <v>44395</v>
      </c>
      <c r="F1113" s="32">
        <v>30009</v>
      </c>
      <c r="G1113" s="5" t="str">
        <f>INDEX(customer[عنوان],MATCH(Main[[#This Row],[کد ردیابی]],customer[کد],0))</f>
        <v>شرکت ایمن تک پیشرو</v>
      </c>
      <c r="H1113">
        <v>1823</v>
      </c>
      <c r="I1113" s="6">
        <f ca="1">-Main[[#This Row],[بدهی تسویه شده (کیلوگرم)]]+Main[[#This Row],[بستانکار (کیلوگرم)]]</f>
        <v>1823</v>
      </c>
      <c r="J1113" s="6">
        <f>IF(Main[[#This Row],[مقدار (کیلوگرم)]]&gt;0,Main[[#This Row],[مقدار (کیلوگرم)]],0)</f>
        <v>1823</v>
      </c>
      <c r="K1113" s="6">
        <f>-IF(Main[[#This Row],[مقدار (کیلوگرم)]]&lt;0,Main[[#This Row],[مقدار (کیلوگرم)]],0)</f>
        <v>0</v>
      </c>
      <c r="L11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3" s="7">
        <f>-IF(AND(Main[[#This Row],[مقدار (کیلوگرم)]]&lt;0,Main[[#This Row],[تاريخ میلادی]]&gt;44276),Main[[#This Row],[مقدار (کیلوگرم)]],0)</f>
        <v>0</v>
      </c>
      <c r="N1113" s="6">
        <f ca="1">Main[[#This Row],[بدهکار (کیلوگرم)]]-Main[[#This Row],[بدهی تسویه نشده (کیلوگرم)]]</f>
        <v>0</v>
      </c>
      <c r="O1113" s="6">
        <f ca="1">Main[[#This Row],[تفکیک]]</f>
        <v>0</v>
      </c>
      <c r="P1113" s="6">
        <f ca="1">IF(Main[[#This Row],[تاخیر از سررسید]]&gt;0,Main[[#This Row],[بدهی تسویه نشده (کیلوگرم)]],0)</f>
        <v>0</v>
      </c>
      <c r="Q1113" s="6">
        <f ca="1">IF(Main[[#This Row],[بدهی تسویه نشده (کیلوگرم)]]&gt;0,'گزارش فردی'!$B$7-Main[[#This Row],[تاريخ میلادی]],0)</f>
        <v>0</v>
      </c>
      <c r="R1113" s="6">
        <f ca="1">IF(Main[[#This Row],[بدهی تسویه نشده (کیلوگرم)]]&gt;0,'گزارش فردی'!$B$7-Main[[#This Row],[تاريخ میلادی]]-'گزارش فردی'!$B$8,0)</f>
        <v>0</v>
      </c>
      <c r="S1113" s="6">
        <f ca="1">Main[[#This Row],[روز از ارسال سفارش]]*Main[[#This Row],[بدهی تسویه نشده (کیلوگرم)]]</f>
        <v>0</v>
      </c>
      <c r="T1113" s="6">
        <f ca="1">Main[[#This Row],[بدهی سررسید شده (کیلوگرم)]]*Main[[#This Row],[روز از ارسال سفارش]]</f>
        <v>0</v>
      </c>
      <c r="U1113" s="6">
        <f>-SUBTOTAL(9,INDEX(Main[مقدار (کیلوگرم)],1):Main[[#This Row],[مقدار (کیلوگرم)]])</f>
        <v>24350</v>
      </c>
      <c r="V11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3" s="6">
        <f>Main[[#This Row],[تعداد کل روزهای بدهکار (روز)]]*Main[[#This Row],[مانده در خط کل (کیلوگرم)]]</f>
        <v>0</v>
      </c>
      <c r="X1113" s="6">
        <f ca="1">-SUBTOTAL(9,INDEX(Main[مقدار تسویه شده (کیلوگرم)],1):Main[[#This Row],[مقدار تسویه شده (کیلوگرم)]])</f>
        <v>24350</v>
      </c>
      <c r="Y1113" s="6">
        <f ca="1">IF(Main[[#This Row],[مانده در خط تسویه شده (کیلوگرم)]]&lt;&gt;0,Main[[#This Row],[تعداد کل روزهای بدهکار (روز)]],0)</f>
        <v>0</v>
      </c>
      <c r="Z1113" s="6">
        <f ca="1">Main[[#This Row],[تعداد روزهای بدهکار تسویه شده (روز)]]*Main[[#This Row],[مانده در خط تسویه شده (کیلوگرم)]]</f>
        <v>0</v>
      </c>
      <c r="AA1113" s="6">
        <f ca="1">SUBTOTAL(9,INDEX(Main[بدهی تسویه نشده (کیلوگرم)],1):Main[[#This Row],[بدهی تسویه نشده (کیلوگرم)]])</f>
        <v>0</v>
      </c>
      <c r="AB1113" s="6">
        <f ca="1">IF(Main[[#This Row],[مانده در خط تسویه نشده (کیلوگرم)]]&lt;&gt;0,Main[[#This Row],[تعداد کل روزهای بدهکار (روز)]],0)</f>
        <v>0</v>
      </c>
      <c r="AC1113" s="6">
        <f ca="1">Main[[#This Row],[تعداد روزهای بدهکار  تسویه نشده (روز)]]*Main[[#This Row],[مانده در خط تسویه نشده (کیلوگرم)]]</f>
        <v>0</v>
      </c>
      <c r="AD1113" s="6">
        <f ca="1">SUBTOTAL(9,INDEX(Main[بدهی سررسید شده (کیلوگرم)],1):Main[[#This Row],[بدهی سررسید شده (کیلوگرم)]])</f>
        <v>0</v>
      </c>
      <c r="AE1113" s="6">
        <f ca="1">IF(Main[[#This Row],[مانده در خط سررسید شده (کیلوگرم)]]&lt;&gt;0,Main[[#This Row],[تعداد کل روزهای بدهکار (روز)]],0)</f>
        <v>0</v>
      </c>
      <c r="AF1113" s="6">
        <f ca="1">Main[[#This Row],[تعداد روزهای بدهکار سررسید شده (روز)]]*Main[[#This Row],[مانده در خط سررسید شده (کیلوگرم)]]</f>
        <v>0</v>
      </c>
    </row>
    <row r="1114" spans="1:32" hidden="1" x14ac:dyDescent="0.35">
      <c r="A1114" s="5">
        <f>ROW()-ROW(INDEX(Main[ردیف],1))+1</f>
        <v>1112</v>
      </c>
      <c r="B1114" s="31">
        <f>SUBTOTAL(2,INDEX(Main[ردیف],1):Main[[#This Row],[ردیف]])</f>
        <v>102</v>
      </c>
      <c r="C1114" s="32" t="s">
        <v>622</v>
      </c>
      <c r="D1114" s="32" t="str">
        <f>_xlfn.CONCAT("14",Main[[#This Row],[تاريخ]])</f>
        <v>1400/04/27</v>
      </c>
      <c r="E1114" s="33">
        <v>44395</v>
      </c>
      <c r="F1114" s="32">
        <v>30022</v>
      </c>
      <c r="G1114" s="5" t="str">
        <f>INDEX(customer[عنوان],MATCH(Main[[#This Row],[کد ردیابی]],customer[کد],0))</f>
        <v xml:space="preserve">کلار پویا </v>
      </c>
      <c r="H1114">
        <v>-5084</v>
      </c>
      <c r="I1114" s="6">
        <f ca="1">-Main[[#This Row],[بدهی تسویه شده (کیلوگرم)]]+Main[[#This Row],[بستانکار (کیلوگرم)]]</f>
        <v>-5084</v>
      </c>
      <c r="J1114" s="6">
        <f>IF(Main[[#This Row],[مقدار (کیلوگرم)]]&gt;0,Main[[#This Row],[مقدار (کیلوگرم)]],0)</f>
        <v>0</v>
      </c>
      <c r="K1114" s="6">
        <f>-IF(Main[[#This Row],[مقدار (کیلوگرم)]]&lt;0,Main[[#This Row],[مقدار (کیلوگرم)]],0)</f>
        <v>5084</v>
      </c>
      <c r="L11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4" s="7">
        <f>-IF(AND(Main[[#This Row],[مقدار (کیلوگرم)]]&lt;0,Main[[#This Row],[تاريخ میلادی]]&gt;44276),Main[[#This Row],[مقدار (کیلوگرم)]],0)</f>
        <v>5084</v>
      </c>
      <c r="N1114" s="6">
        <f ca="1">Main[[#This Row],[بدهکار (کیلوگرم)]]-Main[[#This Row],[بدهی تسویه نشده (کیلوگرم)]]</f>
        <v>5084</v>
      </c>
      <c r="O1114" s="6">
        <f ca="1">Main[[#This Row],[تفکیک]]</f>
        <v>0</v>
      </c>
      <c r="P1114" s="6">
        <f ca="1">IF(Main[[#This Row],[تاخیر از سررسید]]&gt;0,Main[[#This Row],[بدهی تسویه نشده (کیلوگرم)]],0)</f>
        <v>0</v>
      </c>
      <c r="Q1114" s="6">
        <f ca="1">IF(Main[[#This Row],[بدهی تسویه نشده (کیلوگرم)]]&gt;0,'گزارش فردی'!$B$7-Main[[#This Row],[تاريخ میلادی]],0)</f>
        <v>0</v>
      </c>
      <c r="R1114" s="6">
        <f ca="1">IF(Main[[#This Row],[بدهی تسویه نشده (کیلوگرم)]]&gt;0,'گزارش فردی'!$B$7-Main[[#This Row],[تاريخ میلادی]]-'گزارش فردی'!$B$8,0)</f>
        <v>0</v>
      </c>
      <c r="S1114" s="6">
        <f ca="1">Main[[#This Row],[روز از ارسال سفارش]]*Main[[#This Row],[بدهی تسویه نشده (کیلوگرم)]]</f>
        <v>0</v>
      </c>
      <c r="T1114" s="6">
        <f ca="1">Main[[#This Row],[بدهی سررسید شده (کیلوگرم)]]*Main[[#This Row],[روز از ارسال سفارش]]</f>
        <v>0</v>
      </c>
      <c r="U1114" s="6">
        <f>-SUBTOTAL(9,INDEX(Main[مقدار (کیلوگرم)],1):Main[[#This Row],[مقدار (کیلوگرم)]])</f>
        <v>24350</v>
      </c>
      <c r="V11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4" s="6">
        <f>Main[[#This Row],[تعداد کل روزهای بدهکار (روز)]]*Main[[#This Row],[مانده در خط کل (کیلوگرم)]]</f>
        <v>0</v>
      </c>
      <c r="X1114" s="6">
        <f ca="1">-SUBTOTAL(9,INDEX(Main[مقدار تسویه شده (کیلوگرم)],1):Main[[#This Row],[مقدار تسویه شده (کیلوگرم)]])</f>
        <v>24350</v>
      </c>
      <c r="Y1114" s="6">
        <f ca="1">IF(Main[[#This Row],[مانده در خط تسویه شده (کیلوگرم)]]&lt;&gt;0,Main[[#This Row],[تعداد کل روزهای بدهکار (روز)]],0)</f>
        <v>0</v>
      </c>
      <c r="Z1114" s="6">
        <f ca="1">Main[[#This Row],[تعداد روزهای بدهکار تسویه شده (روز)]]*Main[[#This Row],[مانده در خط تسویه شده (کیلوگرم)]]</f>
        <v>0</v>
      </c>
      <c r="AA1114" s="6">
        <f ca="1">SUBTOTAL(9,INDEX(Main[بدهی تسویه نشده (کیلوگرم)],1):Main[[#This Row],[بدهی تسویه نشده (کیلوگرم)]])</f>
        <v>0</v>
      </c>
      <c r="AB1114" s="6">
        <f ca="1">IF(Main[[#This Row],[مانده در خط تسویه نشده (کیلوگرم)]]&lt;&gt;0,Main[[#This Row],[تعداد کل روزهای بدهکار (روز)]],0)</f>
        <v>0</v>
      </c>
      <c r="AC1114" s="6">
        <f ca="1">Main[[#This Row],[تعداد روزهای بدهکار  تسویه نشده (روز)]]*Main[[#This Row],[مانده در خط تسویه نشده (کیلوگرم)]]</f>
        <v>0</v>
      </c>
      <c r="AD1114" s="6">
        <f ca="1">SUBTOTAL(9,INDEX(Main[بدهی سررسید شده (کیلوگرم)],1):Main[[#This Row],[بدهی سررسید شده (کیلوگرم)]])</f>
        <v>0</v>
      </c>
      <c r="AE1114" s="6">
        <f ca="1">IF(Main[[#This Row],[مانده در خط سررسید شده (کیلوگرم)]]&lt;&gt;0,Main[[#This Row],[تعداد کل روزهای بدهکار (روز)]],0)</f>
        <v>0</v>
      </c>
      <c r="AF1114" s="6">
        <f ca="1">Main[[#This Row],[تعداد روزهای بدهکار سررسید شده (روز)]]*Main[[#This Row],[مانده در خط سررسید شده (کیلوگرم)]]</f>
        <v>0</v>
      </c>
    </row>
    <row r="1115" spans="1:32" hidden="1" x14ac:dyDescent="0.35">
      <c r="A1115" s="5">
        <f>ROW()-ROW(INDEX(Main[ردیف],1))+1</f>
        <v>1113</v>
      </c>
      <c r="B1115" s="31">
        <f>SUBTOTAL(2,INDEX(Main[ردیف],1):Main[[#This Row],[ردیف]])</f>
        <v>102</v>
      </c>
      <c r="C1115" s="32" t="s">
        <v>622</v>
      </c>
      <c r="D1115" s="32" t="str">
        <f>_xlfn.CONCAT("14",Main[[#This Row],[تاريخ]])</f>
        <v>1400/04/27</v>
      </c>
      <c r="E1115" s="33">
        <v>44395</v>
      </c>
      <c r="F1115" s="32">
        <v>30124</v>
      </c>
      <c r="G1115" s="5" t="str">
        <f>INDEX(customer[عنوان],MATCH(Main[[#This Row],[کد ردیابی]],customer[کد],0))</f>
        <v>شرکت لنگرمرواریدسبز</v>
      </c>
      <c r="H1115">
        <v>400</v>
      </c>
      <c r="I1115" s="6">
        <f ca="1">-Main[[#This Row],[بدهی تسویه شده (کیلوگرم)]]+Main[[#This Row],[بستانکار (کیلوگرم)]]</f>
        <v>400</v>
      </c>
      <c r="J1115" s="6">
        <f>IF(Main[[#This Row],[مقدار (کیلوگرم)]]&gt;0,Main[[#This Row],[مقدار (کیلوگرم)]],0)</f>
        <v>400</v>
      </c>
      <c r="K1115" s="6">
        <f>-IF(Main[[#This Row],[مقدار (کیلوگرم)]]&lt;0,Main[[#This Row],[مقدار (کیلوگرم)]],0)</f>
        <v>0</v>
      </c>
      <c r="L11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5" s="7">
        <f>-IF(AND(Main[[#This Row],[مقدار (کیلوگرم)]]&lt;0,Main[[#This Row],[تاريخ میلادی]]&gt;44276),Main[[#This Row],[مقدار (کیلوگرم)]],0)</f>
        <v>0</v>
      </c>
      <c r="N1115" s="6">
        <f ca="1">Main[[#This Row],[بدهکار (کیلوگرم)]]-Main[[#This Row],[بدهی تسویه نشده (کیلوگرم)]]</f>
        <v>0</v>
      </c>
      <c r="O1115" s="6">
        <f ca="1">Main[[#This Row],[تفکیک]]</f>
        <v>0</v>
      </c>
      <c r="P1115" s="6">
        <f ca="1">IF(Main[[#This Row],[تاخیر از سررسید]]&gt;0,Main[[#This Row],[بدهی تسویه نشده (کیلوگرم)]],0)</f>
        <v>0</v>
      </c>
      <c r="Q1115" s="6">
        <f ca="1">IF(Main[[#This Row],[بدهی تسویه نشده (کیلوگرم)]]&gt;0,'گزارش فردی'!$B$7-Main[[#This Row],[تاريخ میلادی]],0)</f>
        <v>0</v>
      </c>
      <c r="R1115" s="6">
        <f ca="1">IF(Main[[#This Row],[بدهی تسویه نشده (کیلوگرم)]]&gt;0,'گزارش فردی'!$B$7-Main[[#This Row],[تاريخ میلادی]]-'گزارش فردی'!$B$8,0)</f>
        <v>0</v>
      </c>
      <c r="S1115" s="6">
        <f ca="1">Main[[#This Row],[روز از ارسال سفارش]]*Main[[#This Row],[بدهی تسویه نشده (کیلوگرم)]]</f>
        <v>0</v>
      </c>
      <c r="T1115" s="6">
        <f ca="1">Main[[#This Row],[بدهی سررسید شده (کیلوگرم)]]*Main[[#This Row],[روز از ارسال سفارش]]</f>
        <v>0</v>
      </c>
      <c r="U1115" s="6">
        <f>-SUBTOTAL(9,INDEX(Main[مقدار (کیلوگرم)],1):Main[[#This Row],[مقدار (کیلوگرم)]])</f>
        <v>24350</v>
      </c>
      <c r="V11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5" s="6">
        <f>Main[[#This Row],[تعداد کل روزهای بدهکار (روز)]]*Main[[#This Row],[مانده در خط کل (کیلوگرم)]]</f>
        <v>0</v>
      </c>
      <c r="X1115" s="6">
        <f ca="1">-SUBTOTAL(9,INDEX(Main[مقدار تسویه شده (کیلوگرم)],1):Main[[#This Row],[مقدار تسویه شده (کیلوگرم)]])</f>
        <v>24350</v>
      </c>
      <c r="Y1115" s="6">
        <f ca="1">IF(Main[[#This Row],[مانده در خط تسویه شده (کیلوگرم)]]&lt;&gt;0,Main[[#This Row],[تعداد کل روزهای بدهکار (روز)]],0)</f>
        <v>0</v>
      </c>
      <c r="Z1115" s="6">
        <f ca="1">Main[[#This Row],[تعداد روزهای بدهکار تسویه شده (روز)]]*Main[[#This Row],[مانده در خط تسویه شده (کیلوگرم)]]</f>
        <v>0</v>
      </c>
      <c r="AA1115" s="6">
        <f ca="1">SUBTOTAL(9,INDEX(Main[بدهی تسویه نشده (کیلوگرم)],1):Main[[#This Row],[بدهی تسویه نشده (کیلوگرم)]])</f>
        <v>0</v>
      </c>
      <c r="AB1115" s="6">
        <f ca="1">IF(Main[[#This Row],[مانده در خط تسویه نشده (کیلوگرم)]]&lt;&gt;0,Main[[#This Row],[تعداد کل روزهای بدهکار (روز)]],0)</f>
        <v>0</v>
      </c>
      <c r="AC1115" s="6">
        <f ca="1">Main[[#This Row],[تعداد روزهای بدهکار  تسویه نشده (روز)]]*Main[[#This Row],[مانده در خط تسویه نشده (کیلوگرم)]]</f>
        <v>0</v>
      </c>
      <c r="AD1115" s="6">
        <f ca="1">SUBTOTAL(9,INDEX(Main[بدهی سررسید شده (کیلوگرم)],1):Main[[#This Row],[بدهی سررسید شده (کیلوگرم)]])</f>
        <v>0</v>
      </c>
      <c r="AE1115" s="6">
        <f ca="1">IF(Main[[#This Row],[مانده در خط سررسید شده (کیلوگرم)]]&lt;&gt;0,Main[[#This Row],[تعداد کل روزهای بدهکار (روز)]],0)</f>
        <v>0</v>
      </c>
      <c r="AF1115" s="6">
        <f ca="1">Main[[#This Row],[تعداد روزهای بدهکار سررسید شده (روز)]]*Main[[#This Row],[مانده در خط سررسید شده (کیلوگرم)]]</f>
        <v>0</v>
      </c>
    </row>
    <row r="1116" spans="1:32" x14ac:dyDescent="0.35">
      <c r="A1116" s="5">
        <f>ROW()-ROW(INDEX(Main[ردیف],1))+1</f>
        <v>1114</v>
      </c>
      <c r="B1116" s="31">
        <f>SUBTOTAL(2,INDEX(Main[ردیف],1):Main[[#This Row],[ردیف]])</f>
        <v>103</v>
      </c>
      <c r="C1116" s="32" t="s">
        <v>622</v>
      </c>
      <c r="D1116" s="32" t="str">
        <f>_xlfn.CONCAT("14",Main[[#This Row],[تاريخ]])</f>
        <v>1400/04/27</v>
      </c>
      <c r="E1116" s="33">
        <v>44395</v>
      </c>
      <c r="F1116" s="32">
        <v>10003</v>
      </c>
      <c r="G1116" s="5" t="str">
        <f>INDEX(customer[عنوان],MATCH(Main[[#This Row],[کد ردیابی]],customer[کد],0))</f>
        <v>اصغر نورعلی</v>
      </c>
      <c r="H1116">
        <v>-2014</v>
      </c>
      <c r="I1116" s="6">
        <f ca="1">-Main[[#This Row],[بدهی تسویه شده (کیلوگرم)]]+Main[[#This Row],[بستانکار (کیلوگرم)]]</f>
        <v>-2014</v>
      </c>
      <c r="J1116" s="6">
        <f>IF(Main[[#This Row],[مقدار (کیلوگرم)]]&gt;0,Main[[#This Row],[مقدار (کیلوگرم)]],0)</f>
        <v>0</v>
      </c>
      <c r="K1116" s="6">
        <f>-IF(Main[[#This Row],[مقدار (کیلوگرم)]]&lt;0,Main[[#This Row],[مقدار (کیلوگرم)]],0)</f>
        <v>2014</v>
      </c>
      <c r="L11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6" s="7">
        <f>-IF(AND(Main[[#This Row],[مقدار (کیلوگرم)]]&lt;0,Main[[#This Row],[تاريخ میلادی]]&gt;44276),Main[[#This Row],[مقدار (کیلوگرم)]],0)</f>
        <v>2014</v>
      </c>
      <c r="N1116" s="6">
        <f ca="1">Main[[#This Row],[بدهکار (کیلوگرم)]]-Main[[#This Row],[بدهی تسویه نشده (کیلوگرم)]]</f>
        <v>2014</v>
      </c>
      <c r="O1116" s="6">
        <f ca="1">Main[[#This Row],[تفکیک]]</f>
        <v>0</v>
      </c>
      <c r="P1116" s="6">
        <f ca="1">IF(Main[[#This Row],[تاخیر از سررسید]]&gt;0,Main[[#This Row],[بدهی تسویه نشده (کیلوگرم)]],0)</f>
        <v>0</v>
      </c>
      <c r="Q1116" s="6">
        <f ca="1">IF(Main[[#This Row],[بدهی تسویه نشده (کیلوگرم)]]&gt;0,'گزارش فردی'!$B$7-Main[[#This Row],[تاريخ میلادی]],0)</f>
        <v>0</v>
      </c>
      <c r="R1116" s="6">
        <f ca="1">IF(Main[[#This Row],[بدهی تسویه نشده (کیلوگرم)]]&gt;0,'گزارش فردی'!$B$7-Main[[#This Row],[تاريخ میلادی]]-'گزارش فردی'!$B$8,0)</f>
        <v>0</v>
      </c>
      <c r="S1116" s="6">
        <f ca="1">Main[[#This Row],[روز از ارسال سفارش]]*Main[[#This Row],[بدهی تسویه نشده (کیلوگرم)]]</f>
        <v>0</v>
      </c>
      <c r="T1116" s="6">
        <f ca="1">Main[[#This Row],[بدهی سررسید شده (کیلوگرم)]]*Main[[#This Row],[روز از ارسال سفارش]]</f>
        <v>0</v>
      </c>
      <c r="U1116" s="6">
        <f>-SUBTOTAL(9,INDEX(Main[مقدار (کیلوگرم)],1):Main[[#This Row],[مقدار (کیلوگرم)]])</f>
        <v>26364</v>
      </c>
      <c r="V11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6" s="6">
        <f>Main[[#This Row],[تعداد کل روزهای بدهکار (روز)]]*Main[[#This Row],[مانده در خط کل (کیلوگرم)]]</f>
        <v>26364</v>
      </c>
      <c r="X1116" s="6">
        <f ca="1">-SUBTOTAL(9,INDEX(Main[مقدار تسویه شده (کیلوگرم)],1):Main[[#This Row],[مقدار تسویه شده (کیلوگرم)]])</f>
        <v>26364</v>
      </c>
      <c r="Y1116" s="6">
        <f ca="1">IF(Main[[#This Row],[مانده در خط تسویه شده (کیلوگرم)]]&lt;&gt;0,Main[[#This Row],[تعداد کل روزهای بدهکار (روز)]],0)</f>
        <v>1</v>
      </c>
      <c r="Z1116" s="6">
        <f ca="1">Main[[#This Row],[تعداد روزهای بدهکار تسویه شده (روز)]]*Main[[#This Row],[مانده در خط تسویه شده (کیلوگرم)]]</f>
        <v>26364</v>
      </c>
      <c r="AA1116" s="6">
        <f ca="1">SUBTOTAL(9,INDEX(Main[بدهی تسویه نشده (کیلوگرم)],1):Main[[#This Row],[بدهی تسویه نشده (کیلوگرم)]])</f>
        <v>0</v>
      </c>
      <c r="AB1116" s="6">
        <f ca="1">IF(Main[[#This Row],[مانده در خط تسویه نشده (کیلوگرم)]]&lt;&gt;0,Main[[#This Row],[تعداد کل روزهای بدهکار (روز)]],0)</f>
        <v>0</v>
      </c>
      <c r="AC1116" s="6">
        <f ca="1">Main[[#This Row],[تعداد روزهای بدهکار  تسویه نشده (روز)]]*Main[[#This Row],[مانده در خط تسویه نشده (کیلوگرم)]]</f>
        <v>0</v>
      </c>
      <c r="AD1116" s="6">
        <f ca="1">SUBTOTAL(9,INDEX(Main[بدهی سررسید شده (کیلوگرم)],1):Main[[#This Row],[بدهی سررسید شده (کیلوگرم)]])</f>
        <v>0</v>
      </c>
      <c r="AE1116" s="6">
        <f ca="1">IF(Main[[#This Row],[مانده در خط سررسید شده (کیلوگرم)]]&lt;&gt;0,Main[[#This Row],[تعداد کل روزهای بدهکار (روز)]],0)</f>
        <v>0</v>
      </c>
      <c r="AF1116" s="6">
        <f ca="1">Main[[#This Row],[تعداد روزهای بدهکار سررسید شده (روز)]]*Main[[#This Row],[مانده در خط سررسید شده (کیلوگرم)]]</f>
        <v>0</v>
      </c>
    </row>
    <row r="1117" spans="1:32" hidden="1" x14ac:dyDescent="0.35">
      <c r="A1117" s="5">
        <f>ROW()-ROW(INDEX(Main[ردیف],1))+1</f>
        <v>1115</v>
      </c>
      <c r="B1117" s="31">
        <f>SUBTOTAL(2,INDEX(Main[ردیف],1):Main[[#This Row],[ردیف]])</f>
        <v>103</v>
      </c>
      <c r="C1117" s="32" t="s">
        <v>622</v>
      </c>
      <c r="D1117" s="32" t="str">
        <f>_xlfn.CONCAT("14",Main[[#This Row],[تاريخ]])</f>
        <v>1400/04/27</v>
      </c>
      <c r="E1117" s="33">
        <v>44395</v>
      </c>
      <c r="F1117" s="32">
        <v>30004</v>
      </c>
      <c r="G1117" s="5" t="str">
        <f>INDEX(customer[عنوان],MATCH(Main[[#This Row],[کد ردیابی]],customer[کد],0))</f>
        <v>تولیدی صنعتی صفاشیر پارس</v>
      </c>
      <c r="H1117">
        <v>1052</v>
      </c>
      <c r="I1117" s="6">
        <f ca="1">-Main[[#This Row],[بدهی تسویه شده (کیلوگرم)]]+Main[[#This Row],[بستانکار (کیلوگرم)]]</f>
        <v>1052</v>
      </c>
      <c r="J1117" s="6">
        <f>IF(Main[[#This Row],[مقدار (کیلوگرم)]]&gt;0,Main[[#This Row],[مقدار (کیلوگرم)]],0)</f>
        <v>1052</v>
      </c>
      <c r="K1117" s="6">
        <f>-IF(Main[[#This Row],[مقدار (کیلوگرم)]]&lt;0,Main[[#This Row],[مقدار (کیلوگرم)]],0)</f>
        <v>0</v>
      </c>
      <c r="L11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7" s="7">
        <f>-IF(AND(Main[[#This Row],[مقدار (کیلوگرم)]]&lt;0,Main[[#This Row],[تاريخ میلادی]]&gt;44276),Main[[#This Row],[مقدار (کیلوگرم)]],0)</f>
        <v>0</v>
      </c>
      <c r="N1117" s="6">
        <f ca="1">Main[[#This Row],[بدهکار (کیلوگرم)]]-Main[[#This Row],[بدهی تسویه نشده (کیلوگرم)]]</f>
        <v>0</v>
      </c>
      <c r="O1117" s="6">
        <f ca="1">Main[[#This Row],[تفکیک]]</f>
        <v>0</v>
      </c>
      <c r="P1117" s="6">
        <f ca="1">IF(Main[[#This Row],[تاخیر از سررسید]]&gt;0,Main[[#This Row],[بدهی تسویه نشده (کیلوگرم)]],0)</f>
        <v>0</v>
      </c>
      <c r="Q1117" s="6">
        <f ca="1">IF(Main[[#This Row],[بدهی تسویه نشده (کیلوگرم)]]&gt;0,'گزارش فردی'!$B$7-Main[[#This Row],[تاريخ میلادی]],0)</f>
        <v>0</v>
      </c>
      <c r="R1117" s="6">
        <f ca="1">IF(Main[[#This Row],[بدهی تسویه نشده (کیلوگرم)]]&gt;0,'گزارش فردی'!$B$7-Main[[#This Row],[تاريخ میلادی]]-'گزارش فردی'!$B$8,0)</f>
        <v>0</v>
      </c>
      <c r="S1117" s="6">
        <f ca="1">Main[[#This Row],[روز از ارسال سفارش]]*Main[[#This Row],[بدهی تسویه نشده (کیلوگرم)]]</f>
        <v>0</v>
      </c>
      <c r="T1117" s="6">
        <f ca="1">Main[[#This Row],[بدهی سررسید شده (کیلوگرم)]]*Main[[#This Row],[روز از ارسال سفارش]]</f>
        <v>0</v>
      </c>
      <c r="U1117" s="6">
        <f>-SUBTOTAL(9,INDEX(Main[مقدار (کیلوگرم)],1):Main[[#This Row],[مقدار (کیلوگرم)]])</f>
        <v>26364</v>
      </c>
      <c r="V11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7" s="6">
        <f>Main[[#This Row],[تعداد کل روزهای بدهکار (روز)]]*Main[[#This Row],[مانده در خط کل (کیلوگرم)]]</f>
        <v>26364</v>
      </c>
      <c r="X1117" s="6">
        <f ca="1">-SUBTOTAL(9,INDEX(Main[مقدار تسویه شده (کیلوگرم)],1):Main[[#This Row],[مقدار تسویه شده (کیلوگرم)]])</f>
        <v>26364</v>
      </c>
      <c r="Y1117" s="6">
        <f ca="1">IF(Main[[#This Row],[مانده در خط تسویه شده (کیلوگرم)]]&lt;&gt;0,Main[[#This Row],[تعداد کل روزهای بدهکار (روز)]],0)</f>
        <v>1</v>
      </c>
      <c r="Z1117" s="6">
        <f ca="1">Main[[#This Row],[تعداد روزهای بدهکار تسویه شده (روز)]]*Main[[#This Row],[مانده در خط تسویه شده (کیلوگرم)]]</f>
        <v>26364</v>
      </c>
      <c r="AA1117" s="6">
        <f ca="1">SUBTOTAL(9,INDEX(Main[بدهی تسویه نشده (کیلوگرم)],1):Main[[#This Row],[بدهی تسویه نشده (کیلوگرم)]])</f>
        <v>0</v>
      </c>
      <c r="AB1117" s="6">
        <f ca="1">IF(Main[[#This Row],[مانده در خط تسویه نشده (کیلوگرم)]]&lt;&gt;0,Main[[#This Row],[تعداد کل روزهای بدهکار (روز)]],0)</f>
        <v>0</v>
      </c>
      <c r="AC1117" s="6">
        <f ca="1">Main[[#This Row],[تعداد روزهای بدهکار  تسویه نشده (روز)]]*Main[[#This Row],[مانده در خط تسویه نشده (کیلوگرم)]]</f>
        <v>0</v>
      </c>
      <c r="AD1117" s="6">
        <f ca="1">SUBTOTAL(9,INDEX(Main[بدهی سررسید شده (کیلوگرم)],1):Main[[#This Row],[بدهی سررسید شده (کیلوگرم)]])</f>
        <v>0</v>
      </c>
      <c r="AE1117" s="6">
        <f ca="1">IF(Main[[#This Row],[مانده در خط سررسید شده (کیلوگرم)]]&lt;&gt;0,Main[[#This Row],[تعداد کل روزهای بدهکار (روز)]],0)</f>
        <v>0</v>
      </c>
      <c r="AF1117" s="6">
        <f ca="1">Main[[#This Row],[تعداد روزهای بدهکار سررسید شده (روز)]]*Main[[#This Row],[مانده در خط سررسید شده (کیلوگرم)]]</f>
        <v>0</v>
      </c>
    </row>
    <row r="1118" spans="1:32" hidden="1" x14ac:dyDescent="0.35">
      <c r="A1118" s="5">
        <f>ROW()-ROW(INDEX(Main[ردیف],1))+1</f>
        <v>1116</v>
      </c>
      <c r="B1118" s="31">
        <f>SUBTOTAL(2,INDEX(Main[ردیف],1):Main[[#This Row],[ردیف]])</f>
        <v>103</v>
      </c>
      <c r="C1118" s="32" t="s">
        <v>622</v>
      </c>
      <c r="D1118" s="32" t="str">
        <f>_xlfn.CONCAT("14",Main[[#This Row],[تاريخ]])</f>
        <v>1400/04/27</v>
      </c>
      <c r="E1118" s="33">
        <v>44395</v>
      </c>
      <c r="F1118" s="32">
        <v>10026</v>
      </c>
      <c r="G1118" s="5" t="str">
        <f>INDEX(customer[عنوان],MATCH(Main[[#This Row],[کد ردیابی]],customer[کد],0))</f>
        <v xml:space="preserve">محسن فیاض بخش </v>
      </c>
      <c r="H1118">
        <v>-1863</v>
      </c>
      <c r="I1118" s="6">
        <f ca="1">-Main[[#This Row],[بدهی تسویه شده (کیلوگرم)]]+Main[[#This Row],[بستانکار (کیلوگرم)]]</f>
        <v>-1863</v>
      </c>
      <c r="J1118" s="6">
        <f>IF(Main[[#This Row],[مقدار (کیلوگرم)]]&gt;0,Main[[#This Row],[مقدار (کیلوگرم)]],0)</f>
        <v>0</v>
      </c>
      <c r="K1118" s="6">
        <f>-IF(Main[[#This Row],[مقدار (کیلوگرم)]]&lt;0,Main[[#This Row],[مقدار (کیلوگرم)]],0)</f>
        <v>1863</v>
      </c>
      <c r="L11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8" s="7">
        <f>-IF(AND(Main[[#This Row],[مقدار (کیلوگرم)]]&lt;0,Main[[#This Row],[تاريخ میلادی]]&gt;44276),Main[[#This Row],[مقدار (کیلوگرم)]],0)</f>
        <v>1863</v>
      </c>
      <c r="N1118" s="6">
        <f ca="1">Main[[#This Row],[بدهکار (کیلوگرم)]]-Main[[#This Row],[بدهی تسویه نشده (کیلوگرم)]]</f>
        <v>1863</v>
      </c>
      <c r="O1118" s="6">
        <f ca="1">Main[[#This Row],[تفکیک]]</f>
        <v>0</v>
      </c>
      <c r="P1118" s="6">
        <f ca="1">IF(Main[[#This Row],[تاخیر از سررسید]]&gt;0,Main[[#This Row],[بدهی تسویه نشده (کیلوگرم)]],0)</f>
        <v>0</v>
      </c>
      <c r="Q1118" s="6">
        <f ca="1">IF(Main[[#This Row],[بدهی تسویه نشده (کیلوگرم)]]&gt;0,'گزارش فردی'!$B$7-Main[[#This Row],[تاريخ میلادی]],0)</f>
        <v>0</v>
      </c>
      <c r="R1118" s="6">
        <f ca="1">IF(Main[[#This Row],[بدهی تسویه نشده (کیلوگرم)]]&gt;0,'گزارش فردی'!$B$7-Main[[#This Row],[تاريخ میلادی]]-'گزارش فردی'!$B$8,0)</f>
        <v>0</v>
      </c>
      <c r="S1118" s="6">
        <f ca="1">Main[[#This Row],[روز از ارسال سفارش]]*Main[[#This Row],[بدهی تسویه نشده (کیلوگرم)]]</f>
        <v>0</v>
      </c>
      <c r="T1118" s="6">
        <f ca="1">Main[[#This Row],[بدهی سررسید شده (کیلوگرم)]]*Main[[#This Row],[روز از ارسال سفارش]]</f>
        <v>0</v>
      </c>
      <c r="U1118" s="6">
        <f>-SUBTOTAL(9,INDEX(Main[مقدار (کیلوگرم)],1):Main[[#This Row],[مقدار (کیلوگرم)]])</f>
        <v>26364</v>
      </c>
      <c r="V11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8" s="6">
        <f>Main[[#This Row],[تعداد کل روزهای بدهکار (روز)]]*Main[[#This Row],[مانده در خط کل (کیلوگرم)]]</f>
        <v>26364</v>
      </c>
      <c r="X1118" s="6">
        <f ca="1">-SUBTOTAL(9,INDEX(Main[مقدار تسویه شده (کیلوگرم)],1):Main[[#This Row],[مقدار تسویه شده (کیلوگرم)]])</f>
        <v>26364</v>
      </c>
      <c r="Y1118" s="6">
        <f ca="1">IF(Main[[#This Row],[مانده در خط تسویه شده (کیلوگرم)]]&lt;&gt;0,Main[[#This Row],[تعداد کل روزهای بدهکار (روز)]],0)</f>
        <v>1</v>
      </c>
      <c r="Z1118" s="6">
        <f ca="1">Main[[#This Row],[تعداد روزهای بدهکار تسویه شده (روز)]]*Main[[#This Row],[مانده در خط تسویه شده (کیلوگرم)]]</f>
        <v>26364</v>
      </c>
      <c r="AA1118" s="6">
        <f ca="1">SUBTOTAL(9,INDEX(Main[بدهی تسویه نشده (کیلوگرم)],1):Main[[#This Row],[بدهی تسویه نشده (کیلوگرم)]])</f>
        <v>0</v>
      </c>
      <c r="AB1118" s="6">
        <f ca="1">IF(Main[[#This Row],[مانده در خط تسویه نشده (کیلوگرم)]]&lt;&gt;0,Main[[#This Row],[تعداد کل روزهای بدهکار (روز)]],0)</f>
        <v>0</v>
      </c>
      <c r="AC1118" s="6">
        <f ca="1">Main[[#This Row],[تعداد روزهای بدهکار  تسویه نشده (روز)]]*Main[[#This Row],[مانده در خط تسویه نشده (کیلوگرم)]]</f>
        <v>0</v>
      </c>
      <c r="AD1118" s="6">
        <f ca="1">SUBTOTAL(9,INDEX(Main[بدهی سررسید شده (کیلوگرم)],1):Main[[#This Row],[بدهی سررسید شده (کیلوگرم)]])</f>
        <v>0</v>
      </c>
      <c r="AE1118" s="6">
        <f ca="1">IF(Main[[#This Row],[مانده در خط سررسید شده (کیلوگرم)]]&lt;&gt;0,Main[[#This Row],[تعداد کل روزهای بدهکار (روز)]],0)</f>
        <v>0</v>
      </c>
      <c r="AF1118" s="6">
        <f ca="1">Main[[#This Row],[تعداد روزهای بدهکار سررسید شده (روز)]]*Main[[#This Row],[مانده در خط سررسید شده (کیلوگرم)]]</f>
        <v>0</v>
      </c>
    </row>
    <row r="1119" spans="1:32" hidden="1" x14ac:dyDescent="0.35">
      <c r="A1119" s="5">
        <f>ROW()-ROW(INDEX(Main[ردیف],1))+1</f>
        <v>1117</v>
      </c>
      <c r="B1119" s="31">
        <f>SUBTOTAL(2,INDEX(Main[ردیف],1):Main[[#This Row],[ردیف]])</f>
        <v>103</v>
      </c>
      <c r="C1119" s="32" t="s">
        <v>622</v>
      </c>
      <c r="D1119" s="32" t="str">
        <f>_xlfn.CONCAT("14",Main[[#This Row],[تاريخ]])</f>
        <v>1400/04/27</v>
      </c>
      <c r="E1119" s="33">
        <v>44395</v>
      </c>
      <c r="F1119" s="32">
        <v>30009</v>
      </c>
      <c r="G1119" s="5" t="str">
        <f>INDEX(customer[عنوان],MATCH(Main[[#This Row],[کد ردیابی]],customer[کد],0))</f>
        <v>شرکت ایمن تک پیشرو</v>
      </c>
      <c r="H1119">
        <v>1674</v>
      </c>
      <c r="I1119" s="6">
        <f ca="1">-Main[[#This Row],[بدهی تسویه شده (کیلوگرم)]]+Main[[#This Row],[بستانکار (کیلوگرم)]]</f>
        <v>1674</v>
      </c>
      <c r="J1119" s="6">
        <f>IF(Main[[#This Row],[مقدار (کیلوگرم)]]&gt;0,Main[[#This Row],[مقدار (کیلوگرم)]],0)</f>
        <v>1674</v>
      </c>
      <c r="K1119" s="6">
        <f>-IF(Main[[#This Row],[مقدار (کیلوگرم)]]&lt;0,Main[[#This Row],[مقدار (کیلوگرم)]],0)</f>
        <v>0</v>
      </c>
      <c r="L11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9" s="7">
        <f>-IF(AND(Main[[#This Row],[مقدار (کیلوگرم)]]&lt;0,Main[[#This Row],[تاريخ میلادی]]&gt;44276),Main[[#This Row],[مقدار (کیلوگرم)]],0)</f>
        <v>0</v>
      </c>
      <c r="N1119" s="6">
        <f ca="1">Main[[#This Row],[بدهکار (کیلوگرم)]]-Main[[#This Row],[بدهی تسویه نشده (کیلوگرم)]]</f>
        <v>0</v>
      </c>
      <c r="O1119" s="6">
        <f ca="1">Main[[#This Row],[تفکیک]]</f>
        <v>0</v>
      </c>
      <c r="P1119" s="6">
        <f ca="1">IF(Main[[#This Row],[تاخیر از سررسید]]&gt;0,Main[[#This Row],[بدهی تسویه نشده (کیلوگرم)]],0)</f>
        <v>0</v>
      </c>
      <c r="Q1119" s="6">
        <f ca="1">IF(Main[[#This Row],[بدهی تسویه نشده (کیلوگرم)]]&gt;0,'گزارش فردی'!$B$7-Main[[#This Row],[تاريخ میلادی]],0)</f>
        <v>0</v>
      </c>
      <c r="R1119" s="6">
        <f ca="1">IF(Main[[#This Row],[بدهی تسویه نشده (کیلوگرم)]]&gt;0,'گزارش فردی'!$B$7-Main[[#This Row],[تاريخ میلادی]]-'گزارش فردی'!$B$8,0)</f>
        <v>0</v>
      </c>
      <c r="S1119" s="6">
        <f ca="1">Main[[#This Row],[روز از ارسال سفارش]]*Main[[#This Row],[بدهی تسویه نشده (کیلوگرم)]]</f>
        <v>0</v>
      </c>
      <c r="T1119" s="6">
        <f ca="1">Main[[#This Row],[بدهی سررسید شده (کیلوگرم)]]*Main[[#This Row],[روز از ارسال سفارش]]</f>
        <v>0</v>
      </c>
      <c r="U1119" s="6">
        <f>-SUBTOTAL(9,INDEX(Main[مقدار (کیلوگرم)],1):Main[[#This Row],[مقدار (کیلوگرم)]])</f>
        <v>26364</v>
      </c>
      <c r="V11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9" s="6">
        <f>Main[[#This Row],[تعداد کل روزهای بدهکار (روز)]]*Main[[#This Row],[مانده در خط کل (کیلوگرم)]]</f>
        <v>26364</v>
      </c>
      <c r="X1119" s="6">
        <f ca="1">-SUBTOTAL(9,INDEX(Main[مقدار تسویه شده (کیلوگرم)],1):Main[[#This Row],[مقدار تسویه شده (کیلوگرم)]])</f>
        <v>26364</v>
      </c>
      <c r="Y1119" s="6">
        <f ca="1">IF(Main[[#This Row],[مانده در خط تسویه شده (کیلوگرم)]]&lt;&gt;0,Main[[#This Row],[تعداد کل روزهای بدهکار (روز)]],0)</f>
        <v>1</v>
      </c>
      <c r="Z1119" s="6">
        <f ca="1">Main[[#This Row],[تعداد روزهای بدهکار تسویه شده (روز)]]*Main[[#This Row],[مانده در خط تسویه شده (کیلوگرم)]]</f>
        <v>26364</v>
      </c>
      <c r="AA1119" s="6">
        <f ca="1">SUBTOTAL(9,INDEX(Main[بدهی تسویه نشده (کیلوگرم)],1):Main[[#This Row],[بدهی تسویه نشده (کیلوگرم)]])</f>
        <v>0</v>
      </c>
      <c r="AB1119" s="6">
        <f ca="1">IF(Main[[#This Row],[مانده در خط تسویه نشده (کیلوگرم)]]&lt;&gt;0,Main[[#This Row],[تعداد کل روزهای بدهکار (روز)]],0)</f>
        <v>0</v>
      </c>
      <c r="AC1119" s="6">
        <f ca="1">Main[[#This Row],[تعداد روزهای بدهکار  تسویه نشده (روز)]]*Main[[#This Row],[مانده در خط تسویه نشده (کیلوگرم)]]</f>
        <v>0</v>
      </c>
      <c r="AD1119" s="6">
        <f ca="1">SUBTOTAL(9,INDEX(Main[بدهی سررسید شده (کیلوگرم)],1):Main[[#This Row],[بدهی سررسید شده (کیلوگرم)]])</f>
        <v>0</v>
      </c>
      <c r="AE1119" s="6">
        <f ca="1">IF(Main[[#This Row],[مانده در خط سررسید شده (کیلوگرم)]]&lt;&gt;0,Main[[#This Row],[تعداد کل روزهای بدهکار (روز)]],0)</f>
        <v>0</v>
      </c>
      <c r="AF1119" s="6">
        <f ca="1">Main[[#This Row],[تعداد روزهای بدهکار سررسید شده (روز)]]*Main[[#This Row],[مانده در خط سررسید شده (کیلوگرم)]]</f>
        <v>0</v>
      </c>
    </row>
    <row r="1120" spans="1:32" hidden="1" x14ac:dyDescent="0.35">
      <c r="A1120" s="5">
        <f>ROW()-ROW(INDEX(Main[ردیف],1))+1</f>
        <v>1118</v>
      </c>
      <c r="B1120" s="31">
        <f>SUBTOTAL(2,INDEX(Main[ردیف],1):Main[[#This Row],[ردیف]])</f>
        <v>103</v>
      </c>
      <c r="C1120" s="32" t="s">
        <v>622</v>
      </c>
      <c r="D1120" s="32" t="str">
        <f>_xlfn.CONCAT("14",Main[[#This Row],[تاريخ]])</f>
        <v>1400/04/27</v>
      </c>
      <c r="E1120" s="33">
        <v>44395</v>
      </c>
      <c r="F1120" s="32">
        <v>30004</v>
      </c>
      <c r="G1120" s="5" t="str">
        <f>INDEX(customer[عنوان],MATCH(Main[[#This Row],[کد ردیابی]],customer[کد],0))</f>
        <v>تولیدی صنعتی صفاشیر پارس</v>
      </c>
      <c r="H1120">
        <v>1705</v>
      </c>
      <c r="I1120" s="6">
        <f ca="1">-Main[[#This Row],[بدهی تسویه شده (کیلوگرم)]]+Main[[#This Row],[بستانکار (کیلوگرم)]]</f>
        <v>1705</v>
      </c>
      <c r="J1120" s="6">
        <f>IF(Main[[#This Row],[مقدار (کیلوگرم)]]&gt;0,Main[[#This Row],[مقدار (کیلوگرم)]],0)</f>
        <v>1705</v>
      </c>
      <c r="K1120" s="6">
        <f>-IF(Main[[#This Row],[مقدار (کیلوگرم)]]&lt;0,Main[[#This Row],[مقدار (کیلوگرم)]],0)</f>
        <v>0</v>
      </c>
      <c r="L11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0" s="7">
        <f>-IF(AND(Main[[#This Row],[مقدار (کیلوگرم)]]&lt;0,Main[[#This Row],[تاريخ میلادی]]&gt;44276),Main[[#This Row],[مقدار (کیلوگرم)]],0)</f>
        <v>0</v>
      </c>
      <c r="N1120" s="6">
        <f ca="1">Main[[#This Row],[بدهکار (کیلوگرم)]]-Main[[#This Row],[بدهی تسویه نشده (کیلوگرم)]]</f>
        <v>0</v>
      </c>
      <c r="O1120" s="6">
        <f ca="1">Main[[#This Row],[تفکیک]]</f>
        <v>0</v>
      </c>
      <c r="P1120" s="6">
        <f ca="1">IF(Main[[#This Row],[تاخیر از سررسید]]&gt;0,Main[[#This Row],[بدهی تسویه نشده (کیلوگرم)]],0)</f>
        <v>0</v>
      </c>
      <c r="Q1120" s="6">
        <f ca="1">IF(Main[[#This Row],[بدهی تسویه نشده (کیلوگرم)]]&gt;0,'گزارش فردی'!$B$7-Main[[#This Row],[تاريخ میلادی]],0)</f>
        <v>0</v>
      </c>
      <c r="R1120" s="6">
        <f ca="1">IF(Main[[#This Row],[بدهی تسویه نشده (کیلوگرم)]]&gt;0,'گزارش فردی'!$B$7-Main[[#This Row],[تاريخ میلادی]]-'گزارش فردی'!$B$8,0)</f>
        <v>0</v>
      </c>
      <c r="S1120" s="6">
        <f ca="1">Main[[#This Row],[روز از ارسال سفارش]]*Main[[#This Row],[بدهی تسویه نشده (کیلوگرم)]]</f>
        <v>0</v>
      </c>
      <c r="T1120" s="6">
        <f ca="1">Main[[#This Row],[بدهی سررسید شده (کیلوگرم)]]*Main[[#This Row],[روز از ارسال سفارش]]</f>
        <v>0</v>
      </c>
      <c r="U1120" s="6">
        <f>-SUBTOTAL(9,INDEX(Main[مقدار (کیلوگرم)],1):Main[[#This Row],[مقدار (کیلوگرم)]])</f>
        <v>26364</v>
      </c>
      <c r="V11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0" s="6">
        <f>Main[[#This Row],[تعداد کل روزهای بدهکار (روز)]]*Main[[#This Row],[مانده در خط کل (کیلوگرم)]]</f>
        <v>26364</v>
      </c>
      <c r="X1120" s="6">
        <f ca="1">-SUBTOTAL(9,INDEX(Main[مقدار تسویه شده (کیلوگرم)],1):Main[[#This Row],[مقدار تسویه شده (کیلوگرم)]])</f>
        <v>26364</v>
      </c>
      <c r="Y1120" s="6">
        <f ca="1">IF(Main[[#This Row],[مانده در خط تسویه شده (کیلوگرم)]]&lt;&gt;0,Main[[#This Row],[تعداد کل روزهای بدهکار (روز)]],0)</f>
        <v>1</v>
      </c>
      <c r="Z1120" s="6">
        <f ca="1">Main[[#This Row],[تعداد روزهای بدهکار تسویه شده (روز)]]*Main[[#This Row],[مانده در خط تسویه شده (کیلوگرم)]]</f>
        <v>26364</v>
      </c>
      <c r="AA1120" s="6">
        <f ca="1">SUBTOTAL(9,INDEX(Main[بدهی تسویه نشده (کیلوگرم)],1):Main[[#This Row],[بدهی تسویه نشده (کیلوگرم)]])</f>
        <v>0</v>
      </c>
      <c r="AB1120" s="6">
        <f ca="1">IF(Main[[#This Row],[مانده در خط تسویه نشده (کیلوگرم)]]&lt;&gt;0,Main[[#This Row],[تعداد کل روزهای بدهکار (روز)]],0)</f>
        <v>0</v>
      </c>
      <c r="AC1120" s="6">
        <f ca="1">Main[[#This Row],[تعداد روزهای بدهکار  تسویه نشده (روز)]]*Main[[#This Row],[مانده در خط تسویه نشده (کیلوگرم)]]</f>
        <v>0</v>
      </c>
      <c r="AD1120" s="6">
        <f ca="1">SUBTOTAL(9,INDEX(Main[بدهی سررسید شده (کیلوگرم)],1):Main[[#This Row],[بدهی سررسید شده (کیلوگرم)]])</f>
        <v>0</v>
      </c>
      <c r="AE1120" s="6">
        <f ca="1">IF(Main[[#This Row],[مانده در خط سررسید شده (کیلوگرم)]]&lt;&gt;0,Main[[#This Row],[تعداد کل روزهای بدهکار (روز)]],0)</f>
        <v>0</v>
      </c>
      <c r="AF1120" s="6">
        <f ca="1">Main[[#This Row],[تعداد روزهای بدهکار سررسید شده (روز)]]*Main[[#This Row],[مانده در خط سررسید شده (کیلوگرم)]]</f>
        <v>0</v>
      </c>
    </row>
    <row r="1121" spans="1:32" hidden="1" x14ac:dyDescent="0.35">
      <c r="A1121" s="5">
        <f>ROW()-ROW(INDEX(Main[ردیف],1))+1</f>
        <v>1119</v>
      </c>
      <c r="B1121" s="31">
        <f>SUBTOTAL(2,INDEX(Main[ردیف],1):Main[[#This Row],[ردیف]])</f>
        <v>103</v>
      </c>
      <c r="C1121" s="32" t="s">
        <v>624</v>
      </c>
      <c r="D1121" s="32" t="str">
        <f>_xlfn.CONCAT("14",Main[[#This Row],[تاريخ]])</f>
        <v>1400/04/28</v>
      </c>
      <c r="E1121" s="33">
        <v>44396</v>
      </c>
      <c r="F1121" s="32">
        <v>30066</v>
      </c>
      <c r="G1121" s="5" t="str">
        <f>INDEX(customer[عنوان],MATCH(Main[[#This Row],[کد ردیابی]],customer[کد],0))</f>
        <v xml:space="preserve">شیر آلات بهداشتی قهرمان </v>
      </c>
      <c r="H1121">
        <v>-5546</v>
      </c>
      <c r="I1121" s="6">
        <f ca="1">-Main[[#This Row],[بدهی تسویه شده (کیلوگرم)]]+Main[[#This Row],[بستانکار (کیلوگرم)]]</f>
        <v>-5546</v>
      </c>
      <c r="J1121" s="6">
        <f>IF(Main[[#This Row],[مقدار (کیلوگرم)]]&gt;0,Main[[#This Row],[مقدار (کیلوگرم)]],0)</f>
        <v>0</v>
      </c>
      <c r="K1121" s="6">
        <f>-IF(Main[[#This Row],[مقدار (کیلوگرم)]]&lt;0,Main[[#This Row],[مقدار (کیلوگرم)]],0)</f>
        <v>5546</v>
      </c>
      <c r="L11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1" s="7">
        <f>-IF(AND(Main[[#This Row],[مقدار (کیلوگرم)]]&lt;0,Main[[#This Row],[تاريخ میلادی]]&gt;44276),Main[[#This Row],[مقدار (کیلوگرم)]],0)</f>
        <v>5546</v>
      </c>
      <c r="N1121" s="6">
        <f ca="1">Main[[#This Row],[بدهکار (کیلوگرم)]]-Main[[#This Row],[بدهی تسویه نشده (کیلوگرم)]]</f>
        <v>5546</v>
      </c>
      <c r="O1121" s="6">
        <f ca="1">Main[[#This Row],[تفکیک]]</f>
        <v>0</v>
      </c>
      <c r="P1121" s="6">
        <f ca="1">IF(Main[[#This Row],[تاخیر از سررسید]]&gt;0,Main[[#This Row],[بدهی تسویه نشده (کیلوگرم)]],0)</f>
        <v>0</v>
      </c>
      <c r="Q1121" s="6">
        <f ca="1">IF(Main[[#This Row],[بدهی تسویه نشده (کیلوگرم)]]&gt;0,'گزارش فردی'!$B$7-Main[[#This Row],[تاريخ میلادی]],0)</f>
        <v>0</v>
      </c>
      <c r="R1121" s="6">
        <f ca="1">IF(Main[[#This Row],[بدهی تسویه نشده (کیلوگرم)]]&gt;0,'گزارش فردی'!$B$7-Main[[#This Row],[تاريخ میلادی]]-'گزارش فردی'!$B$8,0)</f>
        <v>0</v>
      </c>
      <c r="S1121" s="6">
        <f ca="1">Main[[#This Row],[روز از ارسال سفارش]]*Main[[#This Row],[بدهی تسویه نشده (کیلوگرم)]]</f>
        <v>0</v>
      </c>
      <c r="T1121" s="6">
        <f ca="1">Main[[#This Row],[بدهی سررسید شده (کیلوگرم)]]*Main[[#This Row],[روز از ارسال سفارش]]</f>
        <v>0</v>
      </c>
      <c r="U1121" s="6">
        <f>-SUBTOTAL(9,INDEX(Main[مقدار (کیلوگرم)],1):Main[[#This Row],[مقدار (کیلوگرم)]])</f>
        <v>26364</v>
      </c>
      <c r="V11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1" s="6">
        <f>Main[[#This Row],[تعداد کل روزهای بدهکار (روز)]]*Main[[#This Row],[مانده در خط کل (کیلوگرم)]]</f>
        <v>0</v>
      </c>
      <c r="X1121" s="6">
        <f ca="1">-SUBTOTAL(9,INDEX(Main[مقدار تسویه شده (کیلوگرم)],1):Main[[#This Row],[مقدار تسویه شده (کیلوگرم)]])</f>
        <v>26364</v>
      </c>
      <c r="Y1121" s="6">
        <f ca="1">IF(Main[[#This Row],[مانده در خط تسویه شده (کیلوگرم)]]&lt;&gt;0,Main[[#This Row],[تعداد کل روزهای بدهکار (روز)]],0)</f>
        <v>0</v>
      </c>
      <c r="Z1121" s="6">
        <f ca="1">Main[[#This Row],[تعداد روزهای بدهکار تسویه شده (روز)]]*Main[[#This Row],[مانده در خط تسویه شده (کیلوگرم)]]</f>
        <v>0</v>
      </c>
      <c r="AA1121" s="6">
        <f ca="1">SUBTOTAL(9,INDEX(Main[بدهی تسویه نشده (کیلوگرم)],1):Main[[#This Row],[بدهی تسویه نشده (کیلوگرم)]])</f>
        <v>0</v>
      </c>
      <c r="AB1121" s="6">
        <f ca="1">IF(Main[[#This Row],[مانده در خط تسویه نشده (کیلوگرم)]]&lt;&gt;0,Main[[#This Row],[تعداد کل روزهای بدهکار (روز)]],0)</f>
        <v>0</v>
      </c>
      <c r="AC1121" s="6">
        <f ca="1">Main[[#This Row],[تعداد روزهای بدهکار  تسویه نشده (روز)]]*Main[[#This Row],[مانده در خط تسویه نشده (کیلوگرم)]]</f>
        <v>0</v>
      </c>
      <c r="AD1121" s="6">
        <f ca="1">SUBTOTAL(9,INDEX(Main[بدهی سررسید شده (کیلوگرم)],1):Main[[#This Row],[بدهی سررسید شده (کیلوگرم)]])</f>
        <v>0</v>
      </c>
      <c r="AE1121" s="6">
        <f ca="1">IF(Main[[#This Row],[مانده در خط سررسید شده (کیلوگرم)]]&lt;&gt;0,Main[[#This Row],[تعداد کل روزهای بدهکار (روز)]],0)</f>
        <v>0</v>
      </c>
      <c r="AF1121" s="6">
        <f ca="1">Main[[#This Row],[تعداد روزهای بدهکار سررسید شده (روز)]]*Main[[#This Row],[مانده در خط سررسید شده (کیلوگرم)]]</f>
        <v>0</v>
      </c>
    </row>
    <row r="1122" spans="1:32" hidden="1" x14ac:dyDescent="0.35">
      <c r="A1122" s="5">
        <f>ROW()-ROW(INDEX(Main[ردیف],1))+1</f>
        <v>1120</v>
      </c>
      <c r="B1122" s="31">
        <f>SUBTOTAL(2,INDEX(Main[ردیف],1):Main[[#This Row],[ردیف]])</f>
        <v>103</v>
      </c>
      <c r="C1122" s="32" t="s">
        <v>624</v>
      </c>
      <c r="D1122" s="32" t="str">
        <f>_xlfn.CONCAT("14",Main[[#This Row],[تاريخ]])</f>
        <v>1400/04/28</v>
      </c>
      <c r="E1122" s="33">
        <v>44396</v>
      </c>
      <c r="F1122" s="32">
        <v>10104</v>
      </c>
      <c r="G1122" s="5" t="str">
        <f>INDEX(customer[عنوان],MATCH(Main[[#This Row],[کد ردیابی]],customer[کد],0))</f>
        <v>بهزادی فر اصغر</v>
      </c>
      <c r="H1122">
        <v>737</v>
      </c>
      <c r="I1122" s="6">
        <f ca="1">-Main[[#This Row],[بدهی تسویه شده (کیلوگرم)]]+Main[[#This Row],[بستانکار (کیلوگرم)]]</f>
        <v>737</v>
      </c>
      <c r="J1122" s="6">
        <f>IF(Main[[#This Row],[مقدار (کیلوگرم)]]&gt;0,Main[[#This Row],[مقدار (کیلوگرم)]],0)</f>
        <v>737</v>
      </c>
      <c r="K1122" s="6">
        <f>-IF(Main[[#This Row],[مقدار (کیلوگرم)]]&lt;0,Main[[#This Row],[مقدار (کیلوگرم)]],0)</f>
        <v>0</v>
      </c>
      <c r="L11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2" s="7">
        <f>-IF(AND(Main[[#This Row],[مقدار (کیلوگرم)]]&lt;0,Main[[#This Row],[تاريخ میلادی]]&gt;44276),Main[[#This Row],[مقدار (کیلوگرم)]],0)</f>
        <v>0</v>
      </c>
      <c r="N1122" s="6">
        <f ca="1">Main[[#This Row],[بدهکار (کیلوگرم)]]-Main[[#This Row],[بدهی تسویه نشده (کیلوگرم)]]</f>
        <v>0</v>
      </c>
      <c r="O1122" s="6">
        <f ca="1">Main[[#This Row],[تفکیک]]</f>
        <v>0</v>
      </c>
      <c r="P1122" s="6">
        <f ca="1">IF(Main[[#This Row],[تاخیر از سررسید]]&gt;0,Main[[#This Row],[بدهی تسویه نشده (کیلوگرم)]],0)</f>
        <v>0</v>
      </c>
      <c r="Q1122" s="6">
        <f ca="1">IF(Main[[#This Row],[بدهی تسویه نشده (کیلوگرم)]]&gt;0,'گزارش فردی'!$B$7-Main[[#This Row],[تاريخ میلادی]],0)</f>
        <v>0</v>
      </c>
      <c r="R1122" s="6">
        <f ca="1">IF(Main[[#This Row],[بدهی تسویه نشده (کیلوگرم)]]&gt;0,'گزارش فردی'!$B$7-Main[[#This Row],[تاريخ میلادی]]-'گزارش فردی'!$B$8,0)</f>
        <v>0</v>
      </c>
      <c r="S1122" s="6">
        <f ca="1">Main[[#This Row],[روز از ارسال سفارش]]*Main[[#This Row],[بدهی تسویه نشده (کیلوگرم)]]</f>
        <v>0</v>
      </c>
      <c r="T1122" s="6">
        <f ca="1">Main[[#This Row],[بدهی سررسید شده (کیلوگرم)]]*Main[[#This Row],[روز از ارسال سفارش]]</f>
        <v>0</v>
      </c>
      <c r="U1122" s="6">
        <f>-SUBTOTAL(9,INDEX(Main[مقدار (کیلوگرم)],1):Main[[#This Row],[مقدار (کیلوگرم)]])</f>
        <v>26364</v>
      </c>
      <c r="V11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2" s="6">
        <f>Main[[#This Row],[تعداد کل روزهای بدهکار (روز)]]*Main[[#This Row],[مانده در خط کل (کیلوگرم)]]</f>
        <v>0</v>
      </c>
      <c r="X1122" s="6">
        <f ca="1">-SUBTOTAL(9,INDEX(Main[مقدار تسویه شده (کیلوگرم)],1):Main[[#This Row],[مقدار تسویه شده (کیلوگرم)]])</f>
        <v>26364</v>
      </c>
      <c r="Y1122" s="6">
        <f ca="1">IF(Main[[#This Row],[مانده در خط تسویه شده (کیلوگرم)]]&lt;&gt;0,Main[[#This Row],[تعداد کل روزهای بدهکار (روز)]],0)</f>
        <v>0</v>
      </c>
      <c r="Z1122" s="6">
        <f ca="1">Main[[#This Row],[تعداد روزهای بدهکار تسویه شده (روز)]]*Main[[#This Row],[مانده در خط تسویه شده (کیلوگرم)]]</f>
        <v>0</v>
      </c>
      <c r="AA1122" s="6">
        <f ca="1">SUBTOTAL(9,INDEX(Main[بدهی تسویه نشده (کیلوگرم)],1):Main[[#This Row],[بدهی تسویه نشده (کیلوگرم)]])</f>
        <v>0</v>
      </c>
      <c r="AB1122" s="6">
        <f ca="1">IF(Main[[#This Row],[مانده در خط تسویه نشده (کیلوگرم)]]&lt;&gt;0,Main[[#This Row],[تعداد کل روزهای بدهکار (روز)]],0)</f>
        <v>0</v>
      </c>
      <c r="AC1122" s="6">
        <f ca="1">Main[[#This Row],[تعداد روزهای بدهکار  تسویه نشده (روز)]]*Main[[#This Row],[مانده در خط تسویه نشده (کیلوگرم)]]</f>
        <v>0</v>
      </c>
      <c r="AD1122" s="6">
        <f ca="1">SUBTOTAL(9,INDEX(Main[بدهی سررسید شده (کیلوگرم)],1):Main[[#This Row],[بدهی سررسید شده (کیلوگرم)]])</f>
        <v>0</v>
      </c>
      <c r="AE1122" s="6">
        <f ca="1">IF(Main[[#This Row],[مانده در خط سررسید شده (کیلوگرم)]]&lt;&gt;0,Main[[#This Row],[تعداد کل روزهای بدهکار (روز)]],0)</f>
        <v>0</v>
      </c>
      <c r="AF1122" s="6">
        <f ca="1">Main[[#This Row],[تعداد روزهای بدهکار سررسید شده (روز)]]*Main[[#This Row],[مانده در خط سررسید شده (کیلوگرم)]]</f>
        <v>0</v>
      </c>
    </row>
    <row r="1123" spans="1:32" hidden="1" x14ac:dyDescent="0.35">
      <c r="A1123" s="5">
        <f>ROW()-ROW(INDEX(Main[ردیف],1))+1</f>
        <v>1121</v>
      </c>
      <c r="B1123" s="31">
        <f>SUBTOTAL(2,INDEX(Main[ردیف],1):Main[[#This Row],[ردیف]])</f>
        <v>103</v>
      </c>
      <c r="C1123" s="32" t="s">
        <v>624</v>
      </c>
      <c r="D1123" s="32" t="str">
        <f>_xlfn.CONCAT("14",Main[[#This Row],[تاريخ]])</f>
        <v>1400/04/28</v>
      </c>
      <c r="E1123" s="33">
        <v>44396</v>
      </c>
      <c r="F1123" s="32">
        <v>30186</v>
      </c>
      <c r="G1123" s="5" t="str">
        <f>INDEX(customer[عنوان],MATCH(Main[[#This Row],[کد ردیابی]],customer[کد],0))</f>
        <v>سارا گاز</v>
      </c>
      <c r="H1123">
        <v>-2137</v>
      </c>
      <c r="I1123" s="6">
        <f ca="1">-Main[[#This Row],[بدهی تسویه شده (کیلوگرم)]]+Main[[#This Row],[بستانکار (کیلوگرم)]]</f>
        <v>-2137</v>
      </c>
      <c r="J1123" s="6">
        <f>IF(Main[[#This Row],[مقدار (کیلوگرم)]]&gt;0,Main[[#This Row],[مقدار (کیلوگرم)]],0)</f>
        <v>0</v>
      </c>
      <c r="K1123" s="6">
        <f>-IF(Main[[#This Row],[مقدار (کیلوگرم)]]&lt;0,Main[[#This Row],[مقدار (کیلوگرم)]],0)</f>
        <v>2137</v>
      </c>
      <c r="L11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3" s="7">
        <f>-IF(AND(Main[[#This Row],[مقدار (کیلوگرم)]]&lt;0,Main[[#This Row],[تاريخ میلادی]]&gt;44276),Main[[#This Row],[مقدار (کیلوگرم)]],0)</f>
        <v>2137</v>
      </c>
      <c r="N1123" s="6">
        <f ca="1">Main[[#This Row],[بدهکار (کیلوگرم)]]-Main[[#This Row],[بدهی تسویه نشده (کیلوگرم)]]</f>
        <v>2137</v>
      </c>
      <c r="O1123" s="6">
        <f ca="1">Main[[#This Row],[تفکیک]]</f>
        <v>0</v>
      </c>
      <c r="P1123" s="6">
        <f ca="1">IF(Main[[#This Row],[تاخیر از سررسید]]&gt;0,Main[[#This Row],[بدهی تسویه نشده (کیلوگرم)]],0)</f>
        <v>0</v>
      </c>
      <c r="Q1123" s="6">
        <f ca="1">IF(Main[[#This Row],[بدهی تسویه نشده (کیلوگرم)]]&gt;0,'گزارش فردی'!$B$7-Main[[#This Row],[تاريخ میلادی]],0)</f>
        <v>0</v>
      </c>
      <c r="R1123" s="6">
        <f ca="1">IF(Main[[#This Row],[بدهی تسویه نشده (کیلوگرم)]]&gt;0,'گزارش فردی'!$B$7-Main[[#This Row],[تاريخ میلادی]]-'گزارش فردی'!$B$8,0)</f>
        <v>0</v>
      </c>
      <c r="S1123" s="6">
        <f ca="1">Main[[#This Row],[روز از ارسال سفارش]]*Main[[#This Row],[بدهی تسویه نشده (کیلوگرم)]]</f>
        <v>0</v>
      </c>
      <c r="T1123" s="6">
        <f ca="1">Main[[#This Row],[بدهی سررسید شده (کیلوگرم)]]*Main[[#This Row],[روز از ارسال سفارش]]</f>
        <v>0</v>
      </c>
      <c r="U1123" s="6">
        <f>-SUBTOTAL(9,INDEX(Main[مقدار (کیلوگرم)],1):Main[[#This Row],[مقدار (کیلوگرم)]])</f>
        <v>26364</v>
      </c>
      <c r="V11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3" s="6">
        <f>Main[[#This Row],[تعداد کل روزهای بدهکار (روز)]]*Main[[#This Row],[مانده در خط کل (کیلوگرم)]]</f>
        <v>0</v>
      </c>
      <c r="X1123" s="6">
        <f ca="1">-SUBTOTAL(9,INDEX(Main[مقدار تسویه شده (کیلوگرم)],1):Main[[#This Row],[مقدار تسویه شده (کیلوگرم)]])</f>
        <v>26364</v>
      </c>
      <c r="Y1123" s="6">
        <f ca="1">IF(Main[[#This Row],[مانده در خط تسویه شده (کیلوگرم)]]&lt;&gt;0,Main[[#This Row],[تعداد کل روزهای بدهکار (روز)]],0)</f>
        <v>0</v>
      </c>
      <c r="Z1123" s="6">
        <f ca="1">Main[[#This Row],[تعداد روزهای بدهکار تسویه شده (روز)]]*Main[[#This Row],[مانده در خط تسویه شده (کیلوگرم)]]</f>
        <v>0</v>
      </c>
      <c r="AA1123" s="6">
        <f ca="1">SUBTOTAL(9,INDEX(Main[بدهی تسویه نشده (کیلوگرم)],1):Main[[#This Row],[بدهی تسویه نشده (کیلوگرم)]])</f>
        <v>0</v>
      </c>
      <c r="AB1123" s="6">
        <f ca="1">IF(Main[[#This Row],[مانده در خط تسویه نشده (کیلوگرم)]]&lt;&gt;0,Main[[#This Row],[تعداد کل روزهای بدهکار (روز)]],0)</f>
        <v>0</v>
      </c>
      <c r="AC1123" s="6">
        <f ca="1">Main[[#This Row],[تعداد روزهای بدهکار  تسویه نشده (روز)]]*Main[[#This Row],[مانده در خط تسویه نشده (کیلوگرم)]]</f>
        <v>0</v>
      </c>
      <c r="AD1123" s="6">
        <f ca="1">SUBTOTAL(9,INDEX(Main[بدهی سررسید شده (کیلوگرم)],1):Main[[#This Row],[بدهی سررسید شده (کیلوگرم)]])</f>
        <v>0</v>
      </c>
      <c r="AE1123" s="6">
        <f ca="1">IF(Main[[#This Row],[مانده در خط سررسید شده (کیلوگرم)]]&lt;&gt;0,Main[[#This Row],[تعداد کل روزهای بدهکار (روز)]],0)</f>
        <v>0</v>
      </c>
      <c r="AF1123" s="6">
        <f ca="1">Main[[#This Row],[تعداد روزهای بدهکار سررسید شده (روز)]]*Main[[#This Row],[مانده در خط سررسید شده (کیلوگرم)]]</f>
        <v>0</v>
      </c>
    </row>
    <row r="1124" spans="1:32" hidden="1" x14ac:dyDescent="0.35">
      <c r="A1124" s="5">
        <f>ROW()-ROW(INDEX(Main[ردیف],1))+1</f>
        <v>1122</v>
      </c>
      <c r="B1124" s="31">
        <f>SUBTOTAL(2,INDEX(Main[ردیف],1):Main[[#This Row],[ردیف]])</f>
        <v>103</v>
      </c>
      <c r="C1124" s="32" t="s">
        <v>624</v>
      </c>
      <c r="D1124" s="32" t="str">
        <f>_xlfn.CONCAT("14",Main[[#This Row],[تاريخ]])</f>
        <v>1400/04/28</v>
      </c>
      <c r="E1124" s="33">
        <v>44396</v>
      </c>
      <c r="F1124" s="32">
        <v>30022</v>
      </c>
      <c r="G1124" s="5" t="str">
        <f>INDEX(customer[عنوان],MATCH(Main[[#This Row],[کد ردیابی]],customer[کد],0))</f>
        <v xml:space="preserve">کلار پویا </v>
      </c>
      <c r="H1124">
        <v>4844</v>
      </c>
      <c r="I1124" s="6">
        <f ca="1">-Main[[#This Row],[بدهی تسویه شده (کیلوگرم)]]+Main[[#This Row],[بستانکار (کیلوگرم)]]</f>
        <v>4844</v>
      </c>
      <c r="J1124" s="6">
        <f>IF(Main[[#This Row],[مقدار (کیلوگرم)]]&gt;0,Main[[#This Row],[مقدار (کیلوگرم)]],0)</f>
        <v>4844</v>
      </c>
      <c r="K1124" s="6">
        <f>-IF(Main[[#This Row],[مقدار (کیلوگرم)]]&lt;0,Main[[#This Row],[مقدار (کیلوگرم)]],0)</f>
        <v>0</v>
      </c>
      <c r="L11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4" s="7">
        <f>-IF(AND(Main[[#This Row],[مقدار (کیلوگرم)]]&lt;0,Main[[#This Row],[تاريخ میلادی]]&gt;44276),Main[[#This Row],[مقدار (کیلوگرم)]],0)</f>
        <v>0</v>
      </c>
      <c r="N1124" s="6">
        <f ca="1">Main[[#This Row],[بدهکار (کیلوگرم)]]-Main[[#This Row],[بدهی تسویه نشده (کیلوگرم)]]</f>
        <v>0</v>
      </c>
      <c r="O1124" s="6">
        <f ca="1">Main[[#This Row],[تفکیک]]</f>
        <v>0</v>
      </c>
      <c r="P1124" s="6">
        <f ca="1">IF(Main[[#This Row],[تاخیر از سررسید]]&gt;0,Main[[#This Row],[بدهی تسویه نشده (کیلوگرم)]],0)</f>
        <v>0</v>
      </c>
      <c r="Q1124" s="6">
        <f ca="1">IF(Main[[#This Row],[بدهی تسویه نشده (کیلوگرم)]]&gt;0,'گزارش فردی'!$B$7-Main[[#This Row],[تاريخ میلادی]],0)</f>
        <v>0</v>
      </c>
      <c r="R1124" s="6">
        <f ca="1">IF(Main[[#This Row],[بدهی تسویه نشده (کیلوگرم)]]&gt;0,'گزارش فردی'!$B$7-Main[[#This Row],[تاريخ میلادی]]-'گزارش فردی'!$B$8,0)</f>
        <v>0</v>
      </c>
      <c r="S1124" s="6">
        <f ca="1">Main[[#This Row],[روز از ارسال سفارش]]*Main[[#This Row],[بدهی تسویه نشده (کیلوگرم)]]</f>
        <v>0</v>
      </c>
      <c r="T1124" s="6">
        <f ca="1">Main[[#This Row],[بدهی سررسید شده (کیلوگرم)]]*Main[[#This Row],[روز از ارسال سفارش]]</f>
        <v>0</v>
      </c>
      <c r="U1124" s="6">
        <f>-SUBTOTAL(9,INDEX(Main[مقدار (کیلوگرم)],1):Main[[#This Row],[مقدار (کیلوگرم)]])</f>
        <v>26364</v>
      </c>
      <c r="V11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4" s="6">
        <f>Main[[#This Row],[تعداد کل روزهای بدهکار (روز)]]*Main[[#This Row],[مانده در خط کل (کیلوگرم)]]</f>
        <v>0</v>
      </c>
      <c r="X1124" s="6">
        <f ca="1">-SUBTOTAL(9,INDEX(Main[مقدار تسویه شده (کیلوگرم)],1):Main[[#This Row],[مقدار تسویه شده (کیلوگرم)]])</f>
        <v>26364</v>
      </c>
      <c r="Y1124" s="6">
        <f ca="1">IF(Main[[#This Row],[مانده در خط تسویه شده (کیلوگرم)]]&lt;&gt;0,Main[[#This Row],[تعداد کل روزهای بدهکار (روز)]],0)</f>
        <v>0</v>
      </c>
      <c r="Z1124" s="6">
        <f ca="1">Main[[#This Row],[تعداد روزهای بدهکار تسویه شده (روز)]]*Main[[#This Row],[مانده در خط تسویه شده (کیلوگرم)]]</f>
        <v>0</v>
      </c>
      <c r="AA1124" s="6">
        <f ca="1">SUBTOTAL(9,INDEX(Main[بدهی تسویه نشده (کیلوگرم)],1):Main[[#This Row],[بدهی تسویه نشده (کیلوگرم)]])</f>
        <v>0</v>
      </c>
      <c r="AB1124" s="6">
        <f ca="1">IF(Main[[#This Row],[مانده در خط تسویه نشده (کیلوگرم)]]&lt;&gt;0,Main[[#This Row],[تعداد کل روزهای بدهکار (روز)]],0)</f>
        <v>0</v>
      </c>
      <c r="AC1124" s="6">
        <f ca="1">Main[[#This Row],[تعداد روزهای بدهکار  تسویه نشده (روز)]]*Main[[#This Row],[مانده در خط تسویه نشده (کیلوگرم)]]</f>
        <v>0</v>
      </c>
      <c r="AD1124" s="6">
        <f ca="1">SUBTOTAL(9,INDEX(Main[بدهی سررسید شده (کیلوگرم)],1):Main[[#This Row],[بدهی سررسید شده (کیلوگرم)]])</f>
        <v>0</v>
      </c>
      <c r="AE1124" s="6">
        <f ca="1">IF(Main[[#This Row],[مانده در خط سررسید شده (کیلوگرم)]]&lt;&gt;0,Main[[#This Row],[تعداد کل روزهای بدهکار (روز)]],0)</f>
        <v>0</v>
      </c>
      <c r="AF1124" s="6">
        <f ca="1">Main[[#This Row],[تعداد روزهای بدهکار سررسید شده (روز)]]*Main[[#This Row],[مانده در خط سررسید شده (کیلوگرم)]]</f>
        <v>0</v>
      </c>
    </row>
    <row r="1125" spans="1:32" hidden="1" x14ac:dyDescent="0.35">
      <c r="A1125" s="5">
        <f>ROW()-ROW(INDEX(Main[ردیف],1))+1</f>
        <v>1123</v>
      </c>
      <c r="B1125" s="31">
        <f>SUBTOTAL(2,INDEX(Main[ردیف],1):Main[[#This Row],[ردیف]])</f>
        <v>103</v>
      </c>
      <c r="C1125" s="32" t="s">
        <v>624</v>
      </c>
      <c r="D1125" s="32" t="str">
        <f>_xlfn.CONCAT("14",Main[[#This Row],[تاريخ]])</f>
        <v>1400/04/28</v>
      </c>
      <c r="E1125" s="33">
        <v>44396</v>
      </c>
      <c r="F1125" s="32">
        <v>30186</v>
      </c>
      <c r="G1125" s="5" t="str">
        <f>INDEX(customer[عنوان],MATCH(Main[[#This Row],[کد ردیابی]],customer[کد],0))</f>
        <v>سارا گاز</v>
      </c>
      <c r="H1125">
        <v>-605</v>
      </c>
      <c r="I1125" s="6">
        <f ca="1">-Main[[#This Row],[بدهی تسویه شده (کیلوگرم)]]+Main[[#This Row],[بستانکار (کیلوگرم)]]</f>
        <v>-605</v>
      </c>
      <c r="J1125" s="6">
        <f>IF(Main[[#This Row],[مقدار (کیلوگرم)]]&gt;0,Main[[#This Row],[مقدار (کیلوگرم)]],0)</f>
        <v>0</v>
      </c>
      <c r="K1125" s="6">
        <f>-IF(Main[[#This Row],[مقدار (کیلوگرم)]]&lt;0,Main[[#This Row],[مقدار (کیلوگرم)]],0)</f>
        <v>605</v>
      </c>
      <c r="L11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5" s="7">
        <f>-IF(AND(Main[[#This Row],[مقدار (کیلوگرم)]]&lt;0,Main[[#This Row],[تاريخ میلادی]]&gt;44276),Main[[#This Row],[مقدار (کیلوگرم)]],0)</f>
        <v>605</v>
      </c>
      <c r="N1125" s="6">
        <f ca="1">Main[[#This Row],[بدهکار (کیلوگرم)]]-Main[[#This Row],[بدهی تسویه نشده (کیلوگرم)]]</f>
        <v>605</v>
      </c>
      <c r="O1125" s="6">
        <f ca="1">Main[[#This Row],[تفکیک]]</f>
        <v>0</v>
      </c>
      <c r="P1125" s="6">
        <f ca="1">IF(Main[[#This Row],[تاخیر از سررسید]]&gt;0,Main[[#This Row],[بدهی تسویه نشده (کیلوگرم)]],0)</f>
        <v>0</v>
      </c>
      <c r="Q1125" s="6">
        <f ca="1">IF(Main[[#This Row],[بدهی تسویه نشده (کیلوگرم)]]&gt;0,'گزارش فردی'!$B$7-Main[[#This Row],[تاريخ میلادی]],0)</f>
        <v>0</v>
      </c>
      <c r="R1125" s="6">
        <f ca="1">IF(Main[[#This Row],[بدهی تسویه نشده (کیلوگرم)]]&gt;0,'گزارش فردی'!$B$7-Main[[#This Row],[تاريخ میلادی]]-'گزارش فردی'!$B$8,0)</f>
        <v>0</v>
      </c>
      <c r="S1125" s="6">
        <f ca="1">Main[[#This Row],[روز از ارسال سفارش]]*Main[[#This Row],[بدهی تسویه نشده (کیلوگرم)]]</f>
        <v>0</v>
      </c>
      <c r="T1125" s="6">
        <f ca="1">Main[[#This Row],[بدهی سررسید شده (کیلوگرم)]]*Main[[#This Row],[روز از ارسال سفارش]]</f>
        <v>0</v>
      </c>
      <c r="U1125" s="6">
        <f>-SUBTOTAL(9,INDEX(Main[مقدار (کیلوگرم)],1):Main[[#This Row],[مقدار (کیلوگرم)]])</f>
        <v>26364</v>
      </c>
      <c r="V11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5" s="6">
        <f>Main[[#This Row],[تعداد کل روزهای بدهکار (روز)]]*Main[[#This Row],[مانده در خط کل (کیلوگرم)]]</f>
        <v>0</v>
      </c>
      <c r="X1125" s="6">
        <f ca="1">-SUBTOTAL(9,INDEX(Main[مقدار تسویه شده (کیلوگرم)],1):Main[[#This Row],[مقدار تسویه شده (کیلوگرم)]])</f>
        <v>26364</v>
      </c>
      <c r="Y1125" s="6">
        <f ca="1">IF(Main[[#This Row],[مانده در خط تسویه شده (کیلوگرم)]]&lt;&gt;0,Main[[#This Row],[تعداد کل روزهای بدهکار (روز)]],0)</f>
        <v>0</v>
      </c>
      <c r="Z1125" s="6">
        <f ca="1">Main[[#This Row],[تعداد روزهای بدهکار تسویه شده (روز)]]*Main[[#This Row],[مانده در خط تسویه شده (کیلوگرم)]]</f>
        <v>0</v>
      </c>
      <c r="AA1125" s="6">
        <f ca="1">SUBTOTAL(9,INDEX(Main[بدهی تسویه نشده (کیلوگرم)],1):Main[[#This Row],[بدهی تسویه نشده (کیلوگرم)]])</f>
        <v>0</v>
      </c>
      <c r="AB1125" s="6">
        <f ca="1">IF(Main[[#This Row],[مانده در خط تسویه نشده (کیلوگرم)]]&lt;&gt;0,Main[[#This Row],[تعداد کل روزهای بدهکار (روز)]],0)</f>
        <v>0</v>
      </c>
      <c r="AC1125" s="6">
        <f ca="1">Main[[#This Row],[تعداد روزهای بدهکار  تسویه نشده (روز)]]*Main[[#This Row],[مانده در خط تسویه نشده (کیلوگرم)]]</f>
        <v>0</v>
      </c>
      <c r="AD1125" s="6">
        <f ca="1">SUBTOTAL(9,INDEX(Main[بدهی سررسید شده (کیلوگرم)],1):Main[[#This Row],[بدهی سررسید شده (کیلوگرم)]])</f>
        <v>0</v>
      </c>
      <c r="AE1125" s="6">
        <f ca="1">IF(Main[[#This Row],[مانده در خط سررسید شده (کیلوگرم)]]&lt;&gt;0,Main[[#This Row],[تعداد کل روزهای بدهکار (روز)]],0)</f>
        <v>0</v>
      </c>
      <c r="AF1125" s="6">
        <f ca="1">Main[[#This Row],[تعداد روزهای بدهکار سررسید شده (روز)]]*Main[[#This Row],[مانده در خط سررسید شده (کیلوگرم)]]</f>
        <v>0</v>
      </c>
    </row>
    <row r="1126" spans="1:32" x14ac:dyDescent="0.35">
      <c r="A1126" s="5">
        <f>ROW()-ROW(INDEX(Main[ردیف],1))+1</f>
        <v>1124</v>
      </c>
      <c r="B1126" s="31">
        <f>SUBTOTAL(2,INDEX(Main[ردیف],1):Main[[#This Row],[ردیف]])</f>
        <v>104</v>
      </c>
      <c r="C1126" s="32" t="s">
        <v>624</v>
      </c>
      <c r="D1126" s="32" t="str">
        <f>_xlfn.CONCAT("14",Main[[#This Row],[تاريخ]])</f>
        <v>1400/04/28</v>
      </c>
      <c r="E1126" s="33">
        <v>44396</v>
      </c>
      <c r="F1126" s="32">
        <v>10003</v>
      </c>
      <c r="G1126" s="5" t="str">
        <f>INDEX(customer[عنوان],MATCH(Main[[#This Row],[کد ردیابی]],customer[کد],0))</f>
        <v>اصغر نورعلی</v>
      </c>
      <c r="H1126">
        <v>-2514</v>
      </c>
      <c r="I1126" s="6">
        <f ca="1">-Main[[#This Row],[بدهی تسویه شده (کیلوگرم)]]+Main[[#This Row],[بستانکار (کیلوگرم)]]</f>
        <v>-2514</v>
      </c>
      <c r="J1126" s="6">
        <f>IF(Main[[#This Row],[مقدار (کیلوگرم)]]&gt;0,Main[[#This Row],[مقدار (کیلوگرم)]],0)</f>
        <v>0</v>
      </c>
      <c r="K1126" s="6">
        <f>-IF(Main[[#This Row],[مقدار (کیلوگرم)]]&lt;0,Main[[#This Row],[مقدار (کیلوگرم)]],0)</f>
        <v>2514</v>
      </c>
      <c r="L11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6" s="7">
        <f>-IF(AND(Main[[#This Row],[مقدار (کیلوگرم)]]&lt;0,Main[[#This Row],[تاريخ میلادی]]&gt;44276),Main[[#This Row],[مقدار (کیلوگرم)]],0)</f>
        <v>2514</v>
      </c>
      <c r="N1126" s="6">
        <f ca="1">Main[[#This Row],[بدهکار (کیلوگرم)]]-Main[[#This Row],[بدهی تسویه نشده (کیلوگرم)]]</f>
        <v>2514</v>
      </c>
      <c r="O1126" s="6">
        <f ca="1">Main[[#This Row],[تفکیک]]</f>
        <v>0</v>
      </c>
      <c r="P1126" s="6">
        <f ca="1">IF(Main[[#This Row],[تاخیر از سررسید]]&gt;0,Main[[#This Row],[بدهی تسویه نشده (کیلوگرم)]],0)</f>
        <v>0</v>
      </c>
      <c r="Q1126" s="6">
        <f ca="1">IF(Main[[#This Row],[بدهی تسویه نشده (کیلوگرم)]]&gt;0,'گزارش فردی'!$B$7-Main[[#This Row],[تاريخ میلادی]],0)</f>
        <v>0</v>
      </c>
      <c r="R1126" s="6">
        <f ca="1">IF(Main[[#This Row],[بدهی تسویه نشده (کیلوگرم)]]&gt;0,'گزارش فردی'!$B$7-Main[[#This Row],[تاريخ میلادی]]-'گزارش فردی'!$B$8,0)</f>
        <v>0</v>
      </c>
      <c r="S1126" s="6">
        <f ca="1">Main[[#This Row],[روز از ارسال سفارش]]*Main[[#This Row],[بدهی تسویه نشده (کیلوگرم)]]</f>
        <v>0</v>
      </c>
      <c r="T1126" s="6">
        <f ca="1">Main[[#This Row],[بدهی سررسید شده (کیلوگرم)]]*Main[[#This Row],[روز از ارسال سفارش]]</f>
        <v>0</v>
      </c>
      <c r="U1126" s="6">
        <f>-SUBTOTAL(9,INDEX(Main[مقدار (کیلوگرم)],1):Main[[#This Row],[مقدار (کیلوگرم)]])</f>
        <v>28878</v>
      </c>
      <c r="V11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6" s="6">
        <f>Main[[#This Row],[تعداد کل روزهای بدهکار (روز)]]*Main[[#This Row],[مانده در خط کل (کیلوگرم)]]</f>
        <v>28878</v>
      </c>
      <c r="X1126" s="6">
        <f ca="1">-SUBTOTAL(9,INDEX(Main[مقدار تسویه شده (کیلوگرم)],1):Main[[#This Row],[مقدار تسویه شده (کیلوگرم)]])</f>
        <v>28878</v>
      </c>
      <c r="Y1126" s="6">
        <f ca="1">IF(Main[[#This Row],[مانده در خط تسویه شده (کیلوگرم)]]&lt;&gt;0,Main[[#This Row],[تعداد کل روزهای بدهکار (روز)]],0)</f>
        <v>1</v>
      </c>
      <c r="Z1126" s="6">
        <f ca="1">Main[[#This Row],[تعداد روزهای بدهکار تسویه شده (روز)]]*Main[[#This Row],[مانده در خط تسویه شده (کیلوگرم)]]</f>
        <v>28878</v>
      </c>
      <c r="AA1126" s="6">
        <f ca="1">SUBTOTAL(9,INDEX(Main[بدهی تسویه نشده (کیلوگرم)],1):Main[[#This Row],[بدهی تسویه نشده (کیلوگرم)]])</f>
        <v>0</v>
      </c>
      <c r="AB1126" s="6">
        <f ca="1">IF(Main[[#This Row],[مانده در خط تسویه نشده (کیلوگرم)]]&lt;&gt;0,Main[[#This Row],[تعداد کل روزهای بدهکار (روز)]],0)</f>
        <v>0</v>
      </c>
      <c r="AC1126" s="6">
        <f ca="1">Main[[#This Row],[تعداد روزهای بدهکار  تسویه نشده (روز)]]*Main[[#This Row],[مانده در خط تسویه نشده (کیلوگرم)]]</f>
        <v>0</v>
      </c>
      <c r="AD1126" s="6">
        <f ca="1">SUBTOTAL(9,INDEX(Main[بدهی سررسید شده (کیلوگرم)],1):Main[[#This Row],[بدهی سررسید شده (کیلوگرم)]])</f>
        <v>0</v>
      </c>
      <c r="AE1126" s="6">
        <f ca="1">IF(Main[[#This Row],[مانده در خط سررسید شده (کیلوگرم)]]&lt;&gt;0,Main[[#This Row],[تعداد کل روزهای بدهکار (روز)]],0)</f>
        <v>0</v>
      </c>
      <c r="AF1126" s="6">
        <f ca="1">Main[[#This Row],[تعداد روزهای بدهکار سررسید شده (روز)]]*Main[[#This Row],[مانده در خط سررسید شده (کیلوگرم)]]</f>
        <v>0</v>
      </c>
    </row>
    <row r="1127" spans="1:32" hidden="1" x14ac:dyDescent="0.35">
      <c r="A1127" s="5">
        <f>ROW()-ROW(INDEX(Main[ردیف],1))+1</f>
        <v>1125</v>
      </c>
      <c r="B1127" s="31">
        <f>SUBTOTAL(2,INDEX(Main[ردیف],1):Main[[#This Row],[ردیف]])</f>
        <v>104</v>
      </c>
      <c r="C1127" s="32" t="s">
        <v>624</v>
      </c>
      <c r="D1127" s="32" t="str">
        <f>_xlfn.CONCAT("14",Main[[#This Row],[تاريخ]])</f>
        <v>1400/04/28</v>
      </c>
      <c r="E1127" s="33">
        <v>44396</v>
      </c>
      <c r="F1127" s="32">
        <v>10026</v>
      </c>
      <c r="G1127" s="5" t="str">
        <f>INDEX(customer[عنوان],MATCH(Main[[#This Row],[کد ردیابی]],customer[کد],0))</f>
        <v xml:space="preserve">محسن فیاض بخش </v>
      </c>
      <c r="H1127">
        <v>-1885</v>
      </c>
      <c r="I1127" s="6">
        <f ca="1">-Main[[#This Row],[بدهی تسویه شده (کیلوگرم)]]+Main[[#This Row],[بستانکار (کیلوگرم)]]</f>
        <v>-1885</v>
      </c>
      <c r="J1127" s="6">
        <f>IF(Main[[#This Row],[مقدار (کیلوگرم)]]&gt;0,Main[[#This Row],[مقدار (کیلوگرم)]],0)</f>
        <v>0</v>
      </c>
      <c r="K1127" s="6">
        <f>-IF(Main[[#This Row],[مقدار (کیلوگرم)]]&lt;0,Main[[#This Row],[مقدار (کیلوگرم)]],0)</f>
        <v>1885</v>
      </c>
      <c r="L11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7" s="7">
        <f>-IF(AND(Main[[#This Row],[مقدار (کیلوگرم)]]&lt;0,Main[[#This Row],[تاريخ میلادی]]&gt;44276),Main[[#This Row],[مقدار (کیلوگرم)]],0)</f>
        <v>1885</v>
      </c>
      <c r="N1127" s="6">
        <f ca="1">Main[[#This Row],[بدهکار (کیلوگرم)]]-Main[[#This Row],[بدهی تسویه نشده (کیلوگرم)]]</f>
        <v>1885</v>
      </c>
      <c r="O1127" s="6">
        <f ca="1">Main[[#This Row],[تفکیک]]</f>
        <v>0</v>
      </c>
      <c r="P1127" s="6">
        <f ca="1">IF(Main[[#This Row],[تاخیر از سررسید]]&gt;0,Main[[#This Row],[بدهی تسویه نشده (کیلوگرم)]],0)</f>
        <v>0</v>
      </c>
      <c r="Q1127" s="6">
        <f ca="1">IF(Main[[#This Row],[بدهی تسویه نشده (کیلوگرم)]]&gt;0,'گزارش فردی'!$B$7-Main[[#This Row],[تاريخ میلادی]],0)</f>
        <v>0</v>
      </c>
      <c r="R1127" s="6">
        <f ca="1">IF(Main[[#This Row],[بدهی تسویه نشده (کیلوگرم)]]&gt;0,'گزارش فردی'!$B$7-Main[[#This Row],[تاريخ میلادی]]-'گزارش فردی'!$B$8,0)</f>
        <v>0</v>
      </c>
      <c r="S1127" s="6">
        <f ca="1">Main[[#This Row],[روز از ارسال سفارش]]*Main[[#This Row],[بدهی تسویه نشده (کیلوگرم)]]</f>
        <v>0</v>
      </c>
      <c r="T1127" s="6">
        <f ca="1">Main[[#This Row],[بدهی سررسید شده (کیلوگرم)]]*Main[[#This Row],[روز از ارسال سفارش]]</f>
        <v>0</v>
      </c>
      <c r="U1127" s="6">
        <f>-SUBTOTAL(9,INDEX(Main[مقدار (کیلوگرم)],1):Main[[#This Row],[مقدار (کیلوگرم)]])</f>
        <v>28878</v>
      </c>
      <c r="V11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7" s="6">
        <f>Main[[#This Row],[تعداد کل روزهای بدهکار (روز)]]*Main[[#This Row],[مانده در خط کل (کیلوگرم)]]</f>
        <v>28878</v>
      </c>
      <c r="X1127" s="6">
        <f ca="1">-SUBTOTAL(9,INDEX(Main[مقدار تسویه شده (کیلوگرم)],1):Main[[#This Row],[مقدار تسویه شده (کیلوگرم)]])</f>
        <v>28878</v>
      </c>
      <c r="Y1127" s="6">
        <f ca="1">IF(Main[[#This Row],[مانده در خط تسویه شده (کیلوگرم)]]&lt;&gt;0,Main[[#This Row],[تعداد کل روزهای بدهکار (روز)]],0)</f>
        <v>1</v>
      </c>
      <c r="Z1127" s="6">
        <f ca="1">Main[[#This Row],[تعداد روزهای بدهکار تسویه شده (روز)]]*Main[[#This Row],[مانده در خط تسویه شده (کیلوگرم)]]</f>
        <v>28878</v>
      </c>
      <c r="AA1127" s="6">
        <f ca="1">SUBTOTAL(9,INDEX(Main[بدهی تسویه نشده (کیلوگرم)],1):Main[[#This Row],[بدهی تسویه نشده (کیلوگرم)]])</f>
        <v>0</v>
      </c>
      <c r="AB1127" s="6">
        <f ca="1">IF(Main[[#This Row],[مانده در خط تسویه نشده (کیلوگرم)]]&lt;&gt;0,Main[[#This Row],[تعداد کل روزهای بدهکار (روز)]],0)</f>
        <v>0</v>
      </c>
      <c r="AC1127" s="6">
        <f ca="1">Main[[#This Row],[تعداد روزهای بدهکار  تسویه نشده (روز)]]*Main[[#This Row],[مانده در خط تسویه نشده (کیلوگرم)]]</f>
        <v>0</v>
      </c>
      <c r="AD1127" s="6">
        <f ca="1">SUBTOTAL(9,INDEX(Main[بدهی سررسید شده (کیلوگرم)],1):Main[[#This Row],[بدهی سررسید شده (کیلوگرم)]])</f>
        <v>0</v>
      </c>
      <c r="AE1127" s="6">
        <f ca="1">IF(Main[[#This Row],[مانده در خط سررسید شده (کیلوگرم)]]&lt;&gt;0,Main[[#This Row],[تعداد کل روزهای بدهکار (روز)]],0)</f>
        <v>0</v>
      </c>
      <c r="AF1127" s="6">
        <f ca="1">Main[[#This Row],[تعداد روزهای بدهکار سررسید شده (روز)]]*Main[[#This Row],[مانده در خط سررسید شده (کیلوگرم)]]</f>
        <v>0</v>
      </c>
    </row>
    <row r="1128" spans="1:32" hidden="1" x14ac:dyDescent="0.35">
      <c r="A1128" s="5">
        <f>ROW()-ROW(INDEX(Main[ردیف],1))+1</f>
        <v>1126</v>
      </c>
      <c r="B1128" s="31">
        <f>SUBTOTAL(2,INDEX(Main[ردیف],1):Main[[#This Row],[ردیف]])</f>
        <v>104</v>
      </c>
      <c r="C1128" s="32" t="s">
        <v>624</v>
      </c>
      <c r="D1128" s="32" t="str">
        <f>_xlfn.CONCAT("14",Main[[#This Row],[تاريخ]])</f>
        <v>1400/04/28</v>
      </c>
      <c r="E1128" s="33">
        <v>44396</v>
      </c>
      <c r="F1128" s="32">
        <v>10055</v>
      </c>
      <c r="G1128" s="5" t="str">
        <f>INDEX(customer[عنوان],MATCH(Main[[#This Row],[کد ردیابی]],customer[کد],0))</f>
        <v xml:space="preserve">مریم فیض آبادی  </v>
      </c>
      <c r="H1128">
        <v>-4797</v>
      </c>
      <c r="I1128" s="6">
        <f ca="1">-Main[[#This Row],[بدهی تسویه شده (کیلوگرم)]]+Main[[#This Row],[بستانکار (کیلوگرم)]]</f>
        <v>-4797</v>
      </c>
      <c r="J1128" s="6">
        <f>IF(Main[[#This Row],[مقدار (کیلوگرم)]]&gt;0,Main[[#This Row],[مقدار (کیلوگرم)]],0)</f>
        <v>0</v>
      </c>
      <c r="K1128" s="6">
        <f>-IF(Main[[#This Row],[مقدار (کیلوگرم)]]&lt;0,Main[[#This Row],[مقدار (کیلوگرم)]],0)</f>
        <v>4797</v>
      </c>
      <c r="L11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8" s="7">
        <f>-IF(AND(Main[[#This Row],[مقدار (کیلوگرم)]]&lt;0,Main[[#This Row],[تاريخ میلادی]]&gt;44276),Main[[#This Row],[مقدار (کیلوگرم)]],0)</f>
        <v>4797</v>
      </c>
      <c r="N1128" s="6">
        <f ca="1">Main[[#This Row],[بدهکار (کیلوگرم)]]-Main[[#This Row],[بدهی تسویه نشده (کیلوگرم)]]</f>
        <v>4797</v>
      </c>
      <c r="O1128" s="6">
        <f ca="1">Main[[#This Row],[تفکیک]]</f>
        <v>0</v>
      </c>
      <c r="P1128" s="6">
        <f ca="1">IF(Main[[#This Row],[تاخیر از سررسید]]&gt;0,Main[[#This Row],[بدهی تسویه نشده (کیلوگرم)]],0)</f>
        <v>0</v>
      </c>
      <c r="Q1128" s="6">
        <f ca="1">IF(Main[[#This Row],[بدهی تسویه نشده (کیلوگرم)]]&gt;0,'گزارش فردی'!$B$7-Main[[#This Row],[تاريخ میلادی]],0)</f>
        <v>0</v>
      </c>
      <c r="R1128" s="6">
        <f ca="1">IF(Main[[#This Row],[بدهی تسویه نشده (کیلوگرم)]]&gt;0,'گزارش فردی'!$B$7-Main[[#This Row],[تاريخ میلادی]]-'گزارش فردی'!$B$8,0)</f>
        <v>0</v>
      </c>
      <c r="S1128" s="6">
        <f ca="1">Main[[#This Row],[روز از ارسال سفارش]]*Main[[#This Row],[بدهی تسویه نشده (کیلوگرم)]]</f>
        <v>0</v>
      </c>
      <c r="T1128" s="6">
        <f ca="1">Main[[#This Row],[بدهی سررسید شده (کیلوگرم)]]*Main[[#This Row],[روز از ارسال سفارش]]</f>
        <v>0</v>
      </c>
      <c r="U1128" s="6">
        <f>-SUBTOTAL(9,INDEX(Main[مقدار (کیلوگرم)],1):Main[[#This Row],[مقدار (کیلوگرم)]])</f>
        <v>28878</v>
      </c>
      <c r="V11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8" s="6">
        <f>Main[[#This Row],[تعداد کل روزهای بدهکار (روز)]]*Main[[#This Row],[مانده در خط کل (کیلوگرم)]]</f>
        <v>28878</v>
      </c>
      <c r="X1128" s="6">
        <f ca="1">-SUBTOTAL(9,INDEX(Main[مقدار تسویه شده (کیلوگرم)],1):Main[[#This Row],[مقدار تسویه شده (کیلوگرم)]])</f>
        <v>28878</v>
      </c>
      <c r="Y1128" s="6">
        <f ca="1">IF(Main[[#This Row],[مانده در خط تسویه شده (کیلوگرم)]]&lt;&gt;0,Main[[#This Row],[تعداد کل روزهای بدهکار (روز)]],0)</f>
        <v>1</v>
      </c>
      <c r="Z1128" s="6">
        <f ca="1">Main[[#This Row],[تعداد روزهای بدهکار تسویه شده (روز)]]*Main[[#This Row],[مانده در خط تسویه شده (کیلوگرم)]]</f>
        <v>28878</v>
      </c>
      <c r="AA1128" s="6">
        <f ca="1">SUBTOTAL(9,INDEX(Main[بدهی تسویه نشده (کیلوگرم)],1):Main[[#This Row],[بدهی تسویه نشده (کیلوگرم)]])</f>
        <v>0</v>
      </c>
      <c r="AB1128" s="6">
        <f ca="1">IF(Main[[#This Row],[مانده در خط تسویه نشده (کیلوگرم)]]&lt;&gt;0,Main[[#This Row],[تعداد کل روزهای بدهکار (روز)]],0)</f>
        <v>0</v>
      </c>
      <c r="AC1128" s="6">
        <f ca="1">Main[[#This Row],[تعداد روزهای بدهکار  تسویه نشده (روز)]]*Main[[#This Row],[مانده در خط تسویه نشده (کیلوگرم)]]</f>
        <v>0</v>
      </c>
      <c r="AD1128" s="6">
        <f ca="1">SUBTOTAL(9,INDEX(Main[بدهی سررسید شده (کیلوگرم)],1):Main[[#This Row],[بدهی سررسید شده (کیلوگرم)]])</f>
        <v>0</v>
      </c>
      <c r="AE1128" s="6">
        <f ca="1">IF(Main[[#This Row],[مانده در خط سررسید شده (کیلوگرم)]]&lt;&gt;0,Main[[#This Row],[تعداد کل روزهای بدهکار (روز)]],0)</f>
        <v>0</v>
      </c>
      <c r="AF1128" s="6">
        <f ca="1">Main[[#This Row],[تعداد روزهای بدهکار سررسید شده (روز)]]*Main[[#This Row],[مانده در خط سررسید شده (کیلوگرم)]]</f>
        <v>0</v>
      </c>
    </row>
    <row r="1129" spans="1:32" hidden="1" x14ac:dyDescent="0.35">
      <c r="A1129" s="5">
        <f>ROW()-ROW(INDEX(Main[ردیف],1))+1</f>
        <v>1127</v>
      </c>
      <c r="B1129" s="31">
        <f>SUBTOTAL(2,INDEX(Main[ردیف],1):Main[[#This Row],[ردیف]])</f>
        <v>104</v>
      </c>
      <c r="C1129" s="32" t="s">
        <v>625</v>
      </c>
      <c r="D1129" s="32" t="str">
        <f>_xlfn.CONCAT("14",Main[[#This Row],[تاريخ]])</f>
        <v>1400/04/29</v>
      </c>
      <c r="E1129" s="33">
        <v>44397</v>
      </c>
      <c r="F1129" s="32">
        <v>30146</v>
      </c>
      <c r="G1129" s="5" t="str">
        <f>INDEX(customer[عنوان],MATCH(Main[[#This Row],[کد ردیابی]],customer[کد],0))</f>
        <v>شرکت آذرپاد</v>
      </c>
      <c r="H1129">
        <v>768</v>
      </c>
      <c r="I1129" s="6">
        <f ca="1">-Main[[#This Row],[بدهی تسویه شده (کیلوگرم)]]+Main[[#This Row],[بستانکار (کیلوگرم)]]</f>
        <v>768</v>
      </c>
      <c r="J1129" s="6">
        <f>IF(Main[[#This Row],[مقدار (کیلوگرم)]]&gt;0,Main[[#This Row],[مقدار (کیلوگرم)]],0)</f>
        <v>768</v>
      </c>
      <c r="K1129" s="6">
        <f>-IF(Main[[#This Row],[مقدار (کیلوگرم)]]&lt;0,Main[[#This Row],[مقدار (کیلوگرم)]],0)</f>
        <v>0</v>
      </c>
      <c r="L11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9" s="7">
        <f>-IF(AND(Main[[#This Row],[مقدار (کیلوگرم)]]&lt;0,Main[[#This Row],[تاريخ میلادی]]&gt;44276),Main[[#This Row],[مقدار (کیلوگرم)]],0)</f>
        <v>0</v>
      </c>
      <c r="N1129" s="6">
        <f ca="1">Main[[#This Row],[بدهکار (کیلوگرم)]]-Main[[#This Row],[بدهی تسویه نشده (کیلوگرم)]]</f>
        <v>0</v>
      </c>
      <c r="O1129" s="6">
        <f ca="1">Main[[#This Row],[تفکیک]]</f>
        <v>0</v>
      </c>
      <c r="P1129" s="6">
        <f ca="1">IF(Main[[#This Row],[تاخیر از سررسید]]&gt;0,Main[[#This Row],[بدهی تسویه نشده (کیلوگرم)]],0)</f>
        <v>0</v>
      </c>
      <c r="Q1129" s="6">
        <f ca="1">IF(Main[[#This Row],[بدهی تسویه نشده (کیلوگرم)]]&gt;0,'گزارش فردی'!$B$7-Main[[#This Row],[تاريخ میلادی]],0)</f>
        <v>0</v>
      </c>
      <c r="R1129" s="6">
        <f ca="1">IF(Main[[#This Row],[بدهی تسویه نشده (کیلوگرم)]]&gt;0,'گزارش فردی'!$B$7-Main[[#This Row],[تاريخ میلادی]]-'گزارش فردی'!$B$8,0)</f>
        <v>0</v>
      </c>
      <c r="S1129" s="6">
        <f ca="1">Main[[#This Row],[روز از ارسال سفارش]]*Main[[#This Row],[بدهی تسویه نشده (کیلوگرم)]]</f>
        <v>0</v>
      </c>
      <c r="T1129" s="6">
        <f ca="1">Main[[#This Row],[بدهی سررسید شده (کیلوگرم)]]*Main[[#This Row],[روز از ارسال سفارش]]</f>
        <v>0</v>
      </c>
      <c r="U1129" s="6">
        <f>-SUBTOTAL(9,INDEX(Main[مقدار (کیلوگرم)],1):Main[[#This Row],[مقدار (کیلوگرم)]])</f>
        <v>28878</v>
      </c>
      <c r="V11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9" s="6">
        <f>Main[[#This Row],[تعداد کل روزهای بدهکار (روز)]]*Main[[#This Row],[مانده در خط کل (کیلوگرم)]]</f>
        <v>0</v>
      </c>
      <c r="X1129" s="6">
        <f ca="1">-SUBTOTAL(9,INDEX(Main[مقدار تسویه شده (کیلوگرم)],1):Main[[#This Row],[مقدار تسویه شده (کیلوگرم)]])</f>
        <v>28878</v>
      </c>
      <c r="Y1129" s="6">
        <f ca="1">IF(Main[[#This Row],[مانده در خط تسویه شده (کیلوگرم)]]&lt;&gt;0,Main[[#This Row],[تعداد کل روزهای بدهکار (روز)]],0)</f>
        <v>0</v>
      </c>
      <c r="Z1129" s="6">
        <f ca="1">Main[[#This Row],[تعداد روزهای بدهکار تسویه شده (روز)]]*Main[[#This Row],[مانده در خط تسویه شده (کیلوگرم)]]</f>
        <v>0</v>
      </c>
      <c r="AA1129" s="6">
        <f ca="1">SUBTOTAL(9,INDEX(Main[بدهی تسویه نشده (کیلوگرم)],1):Main[[#This Row],[بدهی تسویه نشده (کیلوگرم)]])</f>
        <v>0</v>
      </c>
      <c r="AB1129" s="6">
        <f ca="1">IF(Main[[#This Row],[مانده در خط تسویه نشده (کیلوگرم)]]&lt;&gt;0,Main[[#This Row],[تعداد کل روزهای بدهکار (روز)]],0)</f>
        <v>0</v>
      </c>
      <c r="AC1129" s="6">
        <f ca="1">Main[[#This Row],[تعداد روزهای بدهکار  تسویه نشده (روز)]]*Main[[#This Row],[مانده در خط تسویه نشده (کیلوگرم)]]</f>
        <v>0</v>
      </c>
      <c r="AD1129" s="6">
        <f ca="1">SUBTOTAL(9,INDEX(Main[بدهی سررسید شده (کیلوگرم)],1):Main[[#This Row],[بدهی سررسید شده (کیلوگرم)]])</f>
        <v>0</v>
      </c>
      <c r="AE1129" s="6">
        <f ca="1">IF(Main[[#This Row],[مانده در خط سررسید شده (کیلوگرم)]]&lt;&gt;0,Main[[#This Row],[تعداد کل روزهای بدهکار (روز)]],0)</f>
        <v>0</v>
      </c>
      <c r="AF1129" s="6">
        <f ca="1">Main[[#This Row],[تعداد روزهای بدهکار سررسید شده (روز)]]*Main[[#This Row],[مانده در خط سررسید شده (کیلوگرم)]]</f>
        <v>0</v>
      </c>
    </row>
    <row r="1130" spans="1:32" hidden="1" x14ac:dyDescent="0.35">
      <c r="A1130" s="5">
        <f>ROW()-ROW(INDEX(Main[ردیف],1))+1</f>
        <v>1128</v>
      </c>
      <c r="B1130" s="31">
        <f>SUBTOTAL(2,INDEX(Main[ردیف],1):Main[[#This Row],[ردیف]])</f>
        <v>104</v>
      </c>
      <c r="C1130" s="32" t="s">
        <v>625</v>
      </c>
      <c r="D1130" s="32" t="str">
        <f>_xlfn.CONCAT("14",Main[[#This Row],[تاريخ]])</f>
        <v>1400/04/29</v>
      </c>
      <c r="E1130" s="33">
        <v>44397</v>
      </c>
      <c r="F1130" s="32">
        <v>30146</v>
      </c>
      <c r="G1130" s="5" t="str">
        <f>INDEX(customer[عنوان],MATCH(Main[[#This Row],[کد ردیابی]],customer[کد],0))</f>
        <v>شرکت آذرپاد</v>
      </c>
      <c r="H1130">
        <v>-3040</v>
      </c>
      <c r="I1130" s="6">
        <f ca="1">-Main[[#This Row],[بدهی تسویه شده (کیلوگرم)]]+Main[[#This Row],[بستانکار (کیلوگرم)]]</f>
        <v>-3040</v>
      </c>
      <c r="J1130" s="6">
        <f>IF(Main[[#This Row],[مقدار (کیلوگرم)]]&gt;0,Main[[#This Row],[مقدار (کیلوگرم)]],0)</f>
        <v>0</v>
      </c>
      <c r="K1130" s="6">
        <f>-IF(Main[[#This Row],[مقدار (کیلوگرم)]]&lt;0,Main[[#This Row],[مقدار (کیلوگرم)]],0)</f>
        <v>3040</v>
      </c>
      <c r="L11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0" s="7">
        <f>-IF(AND(Main[[#This Row],[مقدار (کیلوگرم)]]&lt;0,Main[[#This Row],[تاريخ میلادی]]&gt;44276),Main[[#This Row],[مقدار (کیلوگرم)]],0)</f>
        <v>3040</v>
      </c>
      <c r="N1130" s="6">
        <f ca="1">Main[[#This Row],[بدهکار (کیلوگرم)]]-Main[[#This Row],[بدهی تسویه نشده (کیلوگرم)]]</f>
        <v>3040</v>
      </c>
      <c r="O1130" s="6">
        <f ca="1">Main[[#This Row],[تفکیک]]</f>
        <v>0</v>
      </c>
      <c r="P1130" s="6">
        <f ca="1">IF(Main[[#This Row],[تاخیر از سررسید]]&gt;0,Main[[#This Row],[بدهی تسویه نشده (کیلوگرم)]],0)</f>
        <v>0</v>
      </c>
      <c r="Q1130" s="6">
        <f ca="1">IF(Main[[#This Row],[بدهی تسویه نشده (کیلوگرم)]]&gt;0,'گزارش فردی'!$B$7-Main[[#This Row],[تاريخ میلادی]],0)</f>
        <v>0</v>
      </c>
      <c r="R1130" s="6">
        <f ca="1">IF(Main[[#This Row],[بدهی تسویه نشده (کیلوگرم)]]&gt;0,'گزارش فردی'!$B$7-Main[[#This Row],[تاريخ میلادی]]-'گزارش فردی'!$B$8,0)</f>
        <v>0</v>
      </c>
      <c r="S1130" s="6">
        <f ca="1">Main[[#This Row],[روز از ارسال سفارش]]*Main[[#This Row],[بدهی تسویه نشده (کیلوگرم)]]</f>
        <v>0</v>
      </c>
      <c r="T1130" s="6">
        <f ca="1">Main[[#This Row],[بدهی سررسید شده (کیلوگرم)]]*Main[[#This Row],[روز از ارسال سفارش]]</f>
        <v>0</v>
      </c>
      <c r="U1130" s="6">
        <f>-SUBTOTAL(9,INDEX(Main[مقدار (کیلوگرم)],1):Main[[#This Row],[مقدار (کیلوگرم)]])</f>
        <v>28878</v>
      </c>
      <c r="V11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0" s="6">
        <f>Main[[#This Row],[تعداد کل روزهای بدهکار (روز)]]*Main[[#This Row],[مانده در خط کل (کیلوگرم)]]</f>
        <v>0</v>
      </c>
      <c r="X1130" s="6">
        <f ca="1">-SUBTOTAL(9,INDEX(Main[مقدار تسویه شده (کیلوگرم)],1):Main[[#This Row],[مقدار تسویه شده (کیلوگرم)]])</f>
        <v>28878</v>
      </c>
      <c r="Y1130" s="6">
        <f ca="1">IF(Main[[#This Row],[مانده در خط تسویه شده (کیلوگرم)]]&lt;&gt;0,Main[[#This Row],[تعداد کل روزهای بدهکار (روز)]],0)</f>
        <v>0</v>
      </c>
      <c r="Z1130" s="6">
        <f ca="1">Main[[#This Row],[تعداد روزهای بدهکار تسویه شده (روز)]]*Main[[#This Row],[مانده در خط تسویه شده (کیلوگرم)]]</f>
        <v>0</v>
      </c>
      <c r="AA1130" s="6">
        <f ca="1">SUBTOTAL(9,INDEX(Main[بدهی تسویه نشده (کیلوگرم)],1):Main[[#This Row],[بدهی تسویه نشده (کیلوگرم)]])</f>
        <v>0</v>
      </c>
      <c r="AB1130" s="6">
        <f ca="1">IF(Main[[#This Row],[مانده در خط تسویه نشده (کیلوگرم)]]&lt;&gt;0,Main[[#This Row],[تعداد کل روزهای بدهکار (روز)]],0)</f>
        <v>0</v>
      </c>
      <c r="AC1130" s="6">
        <f ca="1">Main[[#This Row],[تعداد روزهای بدهکار  تسویه نشده (روز)]]*Main[[#This Row],[مانده در خط تسویه نشده (کیلوگرم)]]</f>
        <v>0</v>
      </c>
      <c r="AD1130" s="6">
        <f ca="1">SUBTOTAL(9,INDEX(Main[بدهی سررسید شده (کیلوگرم)],1):Main[[#This Row],[بدهی سررسید شده (کیلوگرم)]])</f>
        <v>0</v>
      </c>
      <c r="AE1130" s="6">
        <f ca="1">IF(Main[[#This Row],[مانده در خط سررسید شده (کیلوگرم)]]&lt;&gt;0,Main[[#This Row],[تعداد کل روزهای بدهکار (روز)]],0)</f>
        <v>0</v>
      </c>
      <c r="AF1130" s="6">
        <f ca="1">Main[[#This Row],[تعداد روزهای بدهکار سررسید شده (روز)]]*Main[[#This Row],[مانده در خط سررسید شده (کیلوگرم)]]</f>
        <v>0</v>
      </c>
    </row>
    <row r="1131" spans="1:32" hidden="1" x14ac:dyDescent="0.35">
      <c r="A1131" s="5">
        <f>ROW()-ROW(INDEX(Main[ردیف],1))+1</f>
        <v>1129</v>
      </c>
      <c r="B1131" s="31">
        <f>SUBTOTAL(2,INDEX(Main[ردیف],1):Main[[#This Row],[ردیف]])</f>
        <v>104</v>
      </c>
      <c r="C1131" s="32" t="s">
        <v>625</v>
      </c>
      <c r="D1131" s="32" t="str">
        <f>_xlfn.CONCAT("14",Main[[#This Row],[تاريخ]])</f>
        <v>1400/04/29</v>
      </c>
      <c r="E1131" s="33">
        <v>44397</v>
      </c>
      <c r="F1131" s="32">
        <v>30081</v>
      </c>
      <c r="G1131" s="5" t="str">
        <f>INDEX(customer[عنوان],MATCH(Main[[#This Row],[کد ردیابی]],customer[کد],0))</f>
        <v xml:space="preserve">شیرآلات بهداشتی راسان </v>
      </c>
      <c r="H1131">
        <v>2894</v>
      </c>
      <c r="I1131" s="6">
        <f ca="1">-Main[[#This Row],[بدهی تسویه شده (کیلوگرم)]]+Main[[#This Row],[بستانکار (کیلوگرم)]]</f>
        <v>2894</v>
      </c>
      <c r="J1131" s="6">
        <f>IF(Main[[#This Row],[مقدار (کیلوگرم)]]&gt;0,Main[[#This Row],[مقدار (کیلوگرم)]],0)</f>
        <v>2894</v>
      </c>
      <c r="K1131" s="6">
        <f>-IF(Main[[#This Row],[مقدار (کیلوگرم)]]&lt;0,Main[[#This Row],[مقدار (کیلوگرم)]],0)</f>
        <v>0</v>
      </c>
      <c r="L11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1" s="7">
        <f>-IF(AND(Main[[#This Row],[مقدار (کیلوگرم)]]&lt;0,Main[[#This Row],[تاريخ میلادی]]&gt;44276),Main[[#This Row],[مقدار (کیلوگرم)]],0)</f>
        <v>0</v>
      </c>
      <c r="N1131" s="6">
        <f ca="1">Main[[#This Row],[بدهکار (کیلوگرم)]]-Main[[#This Row],[بدهی تسویه نشده (کیلوگرم)]]</f>
        <v>0</v>
      </c>
      <c r="O1131" s="6">
        <f ca="1">Main[[#This Row],[تفکیک]]</f>
        <v>0</v>
      </c>
      <c r="P1131" s="6">
        <f ca="1">IF(Main[[#This Row],[تاخیر از سررسید]]&gt;0,Main[[#This Row],[بدهی تسویه نشده (کیلوگرم)]],0)</f>
        <v>0</v>
      </c>
      <c r="Q1131" s="6">
        <f ca="1">IF(Main[[#This Row],[بدهی تسویه نشده (کیلوگرم)]]&gt;0,'گزارش فردی'!$B$7-Main[[#This Row],[تاريخ میلادی]],0)</f>
        <v>0</v>
      </c>
      <c r="R1131" s="6">
        <f ca="1">IF(Main[[#This Row],[بدهی تسویه نشده (کیلوگرم)]]&gt;0,'گزارش فردی'!$B$7-Main[[#This Row],[تاريخ میلادی]]-'گزارش فردی'!$B$8,0)</f>
        <v>0</v>
      </c>
      <c r="S1131" s="6">
        <f ca="1">Main[[#This Row],[روز از ارسال سفارش]]*Main[[#This Row],[بدهی تسویه نشده (کیلوگرم)]]</f>
        <v>0</v>
      </c>
      <c r="T1131" s="6">
        <f ca="1">Main[[#This Row],[بدهی سررسید شده (کیلوگرم)]]*Main[[#This Row],[روز از ارسال سفارش]]</f>
        <v>0</v>
      </c>
      <c r="U1131" s="6">
        <f>-SUBTOTAL(9,INDEX(Main[مقدار (کیلوگرم)],1):Main[[#This Row],[مقدار (کیلوگرم)]])</f>
        <v>28878</v>
      </c>
      <c r="V11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1" s="6">
        <f>Main[[#This Row],[تعداد کل روزهای بدهکار (روز)]]*Main[[#This Row],[مانده در خط کل (کیلوگرم)]]</f>
        <v>0</v>
      </c>
      <c r="X1131" s="6">
        <f ca="1">-SUBTOTAL(9,INDEX(Main[مقدار تسویه شده (کیلوگرم)],1):Main[[#This Row],[مقدار تسویه شده (کیلوگرم)]])</f>
        <v>28878</v>
      </c>
      <c r="Y1131" s="6">
        <f ca="1">IF(Main[[#This Row],[مانده در خط تسویه شده (کیلوگرم)]]&lt;&gt;0,Main[[#This Row],[تعداد کل روزهای بدهکار (روز)]],0)</f>
        <v>0</v>
      </c>
      <c r="Z1131" s="6">
        <f ca="1">Main[[#This Row],[تعداد روزهای بدهکار تسویه شده (روز)]]*Main[[#This Row],[مانده در خط تسویه شده (کیلوگرم)]]</f>
        <v>0</v>
      </c>
      <c r="AA1131" s="6">
        <f ca="1">SUBTOTAL(9,INDEX(Main[بدهی تسویه نشده (کیلوگرم)],1):Main[[#This Row],[بدهی تسویه نشده (کیلوگرم)]])</f>
        <v>0</v>
      </c>
      <c r="AB1131" s="6">
        <f ca="1">IF(Main[[#This Row],[مانده در خط تسویه نشده (کیلوگرم)]]&lt;&gt;0,Main[[#This Row],[تعداد کل روزهای بدهکار (روز)]],0)</f>
        <v>0</v>
      </c>
      <c r="AC1131" s="6">
        <f ca="1">Main[[#This Row],[تعداد روزهای بدهکار  تسویه نشده (روز)]]*Main[[#This Row],[مانده در خط تسویه نشده (کیلوگرم)]]</f>
        <v>0</v>
      </c>
      <c r="AD1131" s="6">
        <f ca="1">SUBTOTAL(9,INDEX(Main[بدهی سررسید شده (کیلوگرم)],1):Main[[#This Row],[بدهی سررسید شده (کیلوگرم)]])</f>
        <v>0</v>
      </c>
      <c r="AE1131" s="6">
        <f ca="1">IF(Main[[#This Row],[مانده در خط سررسید شده (کیلوگرم)]]&lt;&gt;0,Main[[#This Row],[تعداد کل روزهای بدهکار (روز)]],0)</f>
        <v>0</v>
      </c>
      <c r="AF1131" s="6">
        <f ca="1">Main[[#This Row],[تعداد روزهای بدهکار سررسید شده (روز)]]*Main[[#This Row],[مانده در خط سررسید شده (کیلوگرم)]]</f>
        <v>0</v>
      </c>
    </row>
    <row r="1132" spans="1:32" hidden="1" x14ac:dyDescent="0.35">
      <c r="A1132" s="5">
        <f>ROW()-ROW(INDEX(Main[ردیف],1))+1</f>
        <v>1130</v>
      </c>
      <c r="B1132" s="31">
        <f>SUBTOTAL(2,INDEX(Main[ردیف],1):Main[[#This Row],[ردیف]])</f>
        <v>104</v>
      </c>
      <c r="C1132" s="32" t="s">
        <v>625</v>
      </c>
      <c r="D1132" s="32" t="str">
        <f>_xlfn.CONCAT("14",Main[[#This Row],[تاريخ]])</f>
        <v>1400/04/29</v>
      </c>
      <c r="E1132" s="33">
        <v>44397</v>
      </c>
      <c r="F1132" s="32">
        <v>30191</v>
      </c>
      <c r="G1132" s="5" t="str">
        <f>INDEX(customer[عنوان],MATCH(Main[[#This Row],[کد ردیابی]],customer[کد],0))</f>
        <v>ایران گرما</v>
      </c>
      <c r="H1132">
        <v>-625</v>
      </c>
      <c r="I1132" s="6">
        <f ca="1">-Main[[#This Row],[بدهی تسویه شده (کیلوگرم)]]+Main[[#This Row],[بستانکار (کیلوگرم)]]</f>
        <v>-625</v>
      </c>
      <c r="J1132" s="6">
        <f>IF(Main[[#This Row],[مقدار (کیلوگرم)]]&gt;0,Main[[#This Row],[مقدار (کیلوگرم)]],0)</f>
        <v>0</v>
      </c>
      <c r="K1132" s="6">
        <f>-IF(Main[[#This Row],[مقدار (کیلوگرم)]]&lt;0,Main[[#This Row],[مقدار (کیلوگرم)]],0)</f>
        <v>625</v>
      </c>
      <c r="L11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2" s="7">
        <f>-IF(AND(Main[[#This Row],[مقدار (کیلوگرم)]]&lt;0,Main[[#This Row],[تاريخ میلادی]]&gt;44276),Main[[#This Row],[مقدار (کیلوگرم)]],0)</f>
        <v>625</v>
      </c>
      <c r="N1132" s="6">
        <f ca="1">Main[[#This Row],[بدهکار (کیلوگرم)]]-Main[[#This Row],[بدهی تسویه نشده (کیلوگرم)]]</f>
        <v>625</v>
      </c>
      <c r="O1132" s="6">
        <f ca="1">Main[[#This Row],[تفکیک]]</f>
        <v>0</v>
      </c>
      <c r="P1132" s="6">
        <f ca="1">IF(Main[[#This Row],[تاخیر از سررسید]]&gt;0,Main[[#This Row],[بدهی تسویه نشده (کیلوگرم)]],0)</f>
        <v>0</v>
      </c>
      <c r="Q1132" s="6">
        <f ca="1">IF(Main[[#This Row],[بدهی تسویه نشده (کیلوگرم)]]&gt;0,'گزارش فردی'!$B$7-Main[[#This Row],[تاريخ میلادی]],0)</f>
        <v>0</v>
      </c>
      <c r="R1132" s="6">
        <f ca="1">IF(Main[[#This Row],[بدهی تسویه نشده (کیلوگرم)]]&gt;0,'گزارش فردی'!$B$7-Main[[#This Row],[تاريخ میلادی]]-'گزارش فردی'!$B$8,0)</f>
        <v>0</v>
      </c>
      <c r="S1132" s="6">
        <f ca="1">Main[[#This Row],[روز از ارسال سفارش]]*Main[[#This Row],[بدهی تسویه نشده (کیلوگرم)]]</f>
        <v>0</v>
      </c>
      <c r="T1132" s="6">
        <f ca="1">Main[[#This Row],[بدهی سررسید شده (کیلوگرم)]]*Main[[#This Row],[روز از ارسال سفارش]]</f>
        <v>0</v>
      </c>
      <c r="U1132" s="6">
        <f>-SUBTOTAL(9,INDEX(Main[مقدار (کیلوگرم)],1):Main[[#This Row],[مقدار (کیلوگرم)]])</f>
        <v>28878</v>
      </c>
      <c r="V11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2" s="6">
        <f>Main[[#This Row],[تعداد کل روزهای بدهکار (روز)]]*Main[[#This Row],[مانده در خط کل (کیلوگرم)]]</f>
        <v>0</v>
      </c>
      <c r="X1132" s="6">
        <f ca="1">-SUBTOTAL(9,INDEX(Main[مقدار تسویه شده (کیلوگرم)],1):Main[[#This Row],[مقدار تسویه شده (کیلوگرم)]])</f>
        <v>28878</v>
      </c>
      <c r="Y1132" s="6">
        <f ca="1">IF(Main[[#This Row],[مانده در خط تسویه شده (کیلوگرم)]]&lt;&gt;0,Main[[#This Row],[تعداد کل روزهای بدهکار (روز)]],0)</f>
        <v>0</v>
      </c>
      <c r="Z1132" s="6">
        <f ca="1">Main[[#This Row],[تعداد روزهای بدهکار تسویه شده (روز)]]*Main[[#This Row],[مانده در خط تسویه شده (کیلوگرم)]]</f>
        <v>0</v>
      </c>
      <c r="AA1132" s="6">
        <f ca="1">SUBTOTAL(9,INDEX(Main[بدهی تسویه نشده (کیلوگرم)],1):Main[[#This Row],[بدهی تسویه نشده (کیلوگرم)]])</f>
        <v>0</v>
      </c>
      <c r="AB1132" s="6">
        <f ca="1">IF(Main[[#This Row],[مانده در خط تسویه نشده (کیلوگرم)]]&lt;&gt;0,Main[[#This Row],[تعداد کل روزهای بدهکار (روز)]],0)</f>
        <v>0</v>
      </c>
      <c r="AC1132" s="6">
        <f ca="1">Main[[#This Row],[تعداد روزهای بدهکار  تسویه نشده (روز)]]*Main[[#This Row],[مانده در خط تسویه نشده (کیلوگرم)]]</f>
        <v>0</v>
      </c>
      <c r="AD1132" s="6">
        <f ca="1">SUBTOTAL(9,INDEX(Main[بدهی سررسید شده (کیلوگرم)],1):Main[[#This Row],[بدهی سررسید شده (کیلوگرم)]])</f>
        <v>0</v>
      </c>
      <c r="AE1132" s="6">
        <f ca="1">IF(Main[[#This Row],[مانده در خط سررسید شده (کیلوگرم)]]&lt;&gt;0,Main[[#This Row],[تعداد کل روزهای بدهکار (روز)]],0)</f>
        <v>0</v>
      </c>
      <c r="AF1132" s="6">
        <f ca="1">Main[[#This Row],[تعداد روزهای بدهکار سررسید شده (روز)]]*Main[[#This Row],[مانده در خط سررسید شده (کیلوگرم)]]</f>
        <v>0</v>
      </c>
    </row>
    <row r="1133" spans="1:32" hidden="1" x14ac:dyDescent="0.35">
      <c r="A1133" s="5">
        <f>ROW()-ROW(INDEX(Main[ردیف],1))+1</f>
        <v>1131</v>
      </c>
      <c r="B1133" s="31">
        <f>SUBTOTAL(2,INDEX(Main[ردیف],1):Main[[#This Row],[ردیف]])</f>
        <v>104</v>
      </c>
      <c r="C1133" s="32" t="s">
        <v>625</v>
      </c>
      <c r="D1133" s="32" t="str">
        <f>_xlfn.CONCAT("14",Main[[#This Row],[تاريخ]])</f>
        <v>1400/04/29</v>
      </c>
      <c r="E1133" s="33">
        <v>44397</v>
      </c>
      <c r="F1133" s="32">
        <v>30146</v>
      </c>
      <c r="G1133" s="5" t="str">
        <f>INDEX(customer[عنوان],MATCH(Main[[#This Row],[کد ردیابی]],customer[کد],0))</f>
        <v>شرکت آذرپاد</v>
      </c>
      <c r="H1133">
        <v>577</v>
      </c>
      <c r="I1133" s="6">
        <f ca="1">-Main[[#This Row],[بدهی تسویه شده (کیلوگرم)]]+Main[[#This Row],[بستانکار (کیلوگرم)]]</f>
        <v>577</v>
      </c>
      <c r="J1133" s="6">
        <f>IF(Main[[#This Row],[مقدار (کیلوگرم)]]&gt;0,Main[[#This Row],[مقدار (کیلوگرم)]],0)</f>
        <v>577</v>
      </c>
      <c r="K1133" s="6">
        <f>-IF(Main[[#This Row],[مقدار (کیلوگرم)]]&lt;0,Main[[#This Row],[مقدار (کیلوگرم)]],0)</f>
        <v>0</v>
      </c>
      <c r="L11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3" s="7">
        <f>-IF(AND(Main[[#This Row],[مقدار (کیلوگرم)]]&lt;0,Main[[#This Row],[تاريخ میلادی]]&gt;44276),Main[[#This Row],[مقدار (کیلوگرم)]],0)</f>
        <v>0</v>
      </c>
      <c r="N1133" s="6">
        <f ca="1">Main[[#This Row],[بدهکار (کیلوگرم)]]-Main[[#This Row],[بدهی تسویه نشده (کیلوگرم)]]</f>
        <v>0</v>
      </c>
      <c r="O1133" s="6">
        <f ca="1">Main[[#This Row],[تفکیک]]</f>
        <v>0</v>
      </c>
      <c r="P1133" s="6">
        <f ca="1">IF(Main[[#This Row],[تاخیر از سررسید]]&gt;0,Main[[#This Row],[بدهی تسویه نشده (کیلوگرم)]],0)</f>
        <v>0</v>
      </c>
      <c r="Q1133" s="6">
        <f ca="1">IF(Main[[#This Row],[بدهی تسویه نشده (کیلوگرم)]]&gt;0,'گزارش فردی'!$B$7-Main[[#This Row],[تاريخ میلادی]],0)</f>
        <v>0</v>
      </c>
      <c r="R1133" s="6">
        <f ca="1">IF(Main[[#This Row],[بدهی تسویه نشده (کیلوگرم)]]&gt;0,'گزارش فردی'!$B$7-Main[[#This Row],[تاريخ میلادی]]-'گزارش فردی'!$B$8,0)</f>
        <v>0</v>
      </c>
      <c r="S1133" s="6">
        <f ca="1">Main[[#This Row],[روز از ارسال سفارش]]*Main[[#This Row],[بدهی تسویه نشده (کیلوگرم)]]</f>
        <v>0</v>
      </c>
      <c r="T1133" s="6">
        <f ca="1">Main[[#This Row],[بدهی سررسید شده (کیلوگرم)]]*Main[[#This Row],[روز از ارسال سفارش]]</f>
        <v>0</v>
      </c>
      <c r="U1133" s="6">
        <f>-SUBTOTAL(9,INDEX(Main[مقدار (کیلوگرم)],1):Main[[#This Row],[مقدار (کیلوگرم)]])</f>
        <v>28878</v>
      </c>
      <c r="V11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3" s="6">
        <f>Main[[#This Row],[تعداد کل روزهای بدهکار (روز)]]*Main[[#This Row],[مانده در خط کل (کیلوگرم)]]</f>
        <v>0</v>
      </c>
      <c r="X1133" s="6">
        <f ca="1">-SUBTOTAL(9,INDEX(Main[مقدار تسویه شده (کیلوگرم)],1):Main[[#This Row],[مقدار تسویه شده (کیلوگرم)]])</f>
        <v>28878</v>
      </c>
      <c r="Y1133" s="6">
        <f ca="1">IF(Main[[#This Row],[مانده در خط تسویه شده (کیلوگرم)]]&lt;&gt;0,Main[[#This Row],[تعداد کل روزهای بدهکار (روز)]],0)</f>
        <v>0</v>
      </c>
      <c r="Z1133" s="6">
        <f ca="1">Main[[#This Row],[تعداد روزهای بدهکار تسویه شده (روز)]]*Main[[#This Row],[مانده در خط تسویه شده (کیلوگرم)]]</f>
        <v>0</v>
      </c>
      <c r="AA1133" s="6">
        <f ca="1">SUBTOTAL(9,INDEX(Main[بدهی تسویه نشده (کیلوگرم)],1):Main[[#This Row],[بدهی تسویه نشده (کیلوگرم)]])</f>
        <v>0</v>
      </c>
      <c r="AB1133" s="6">
        <f ca="1">IF(Main[[#This Row],[مانده در خط تسویه نشده (کیلوگرم)]]&lt;&gt;0,Main[[#This Row],[تعداد کل روزهای بدهکار (روز)]],0)</f>
        <v>0</v>
      </c>
      <c r="AC1133" s="6">
        <f ca="1">Main[[#This Row],[تعداد روزهای بدهکار  تسویه نشده (روز)]]*Main[[#This Row],[مانده در خط تسویه نشده (کیلوگرم)]]</f>
        <v>0</v>
      </c>
      <c r="AD1133" s="6">
        <f ca="1">SUBTOTAL(9,INDEX(Main[بدهی سررسید شده (کیلوگرم)],1):Main[[#This Row],[بدهی سررسید شده (کیلوگرم)]])</f>
        <v>0</v>
      </c>
      <c r="AE1133" s="6">
        <f ca="1">IF(Main[[#This Row],[مانده در خط سررسید شده (کیلوگرم)]]&lt;&gt;0,Main[[#This Row],[تعداد کل روزهای بدهکار (روز)]],0)</f>
        <v>0</v>
      </c>
      <c r="AF1133" s="6">
        <f ca="1">Main[[#This Row],[تعداد روزهای بدهکار سررسید شده (روز)]]*Main[[#This Row],[مانده در خط سررسید شده (کیلوگرم)]]</f>
        <v>0</v>
      </c>
    </row>
    <row r="1134" spans="1:32" hidden="1" x14ac:dyDescent="0.35">
      <c r="A1134" s="5">
        <f>ROW()-ROW(INDEX(Main[ردیف],1))+1</f>
        <v>1132</v>
      </c>
      <c r="B1134" s="31">
        <f>SUBTOTAL(2,INDEX(Main[ردیف],1):Main[[#This Row],[ردیف]])</f>
        <v>104</v>
      </c>
      <c r="C1134" s="32" t="s">
        <v>625</v>
      </c>
      <c r="D1134" s="32" t="str">
        <f>_xlfn.CONCAT("14",Main[[#This Row],[تاريخ]])</f>
        <v>1400/04/29</v>
      </c>
      <c r="E1134" s="33">
        <v>44397</v>
      </c>
      <c r="F1134" s="32">
        <v>30066</v>
      </c>
      <c r="G1134" s="5" t="str">
        <f>INDEX(customer[عنوان],MATCH(Main[[#This Row],[کد ردیابی]],customer[کد],0))</f>
        <v xml:space="preserve">شیر آلات بهداشتی قهرمان </v>
      </c>
      <c r="H1134">
        <v>-8190</v>
      </c>
      <c r="I1134" s="6">
        <f ca="1">-Main[[#This Row],[بدهی تسویه شده (کیلوگرم)]]+Main[[#This Row],[بستانکار (کیلوگرم)]]</f>
        <v>-8190</v>
      </c>
      <c r="J1134" s="6">
        <f>IF(Main[[#This Row],[مقدار (کیلوگرم)]]&gt;0,Main[[#This Row],[مقدار (کیلوگرم)]],0)</f>
        <v>0</v>
      </c>
      <c r="K1134" s="6">
        <f>-IF(Main[[#This Row],[مقدار (کیلوگرم)]]&lt;0,Main[[#This Row],[مقدار (کیلوگرم)]],0)</f>
        <v>8190</v>
      </c>
      <c r="L11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4" s="7">
        <f>-IF(AND(Main[[#This Row],[مقدار (کیلوگرم)]]&lt;0,Main[[#This Row],[تاريخ میلادی]]&gt;44276),Main[[#This Row],[مقدار (کیلوگرم)]],0)</f>
        <v>8190</v>
      </c>
      <c r="N1134" s="6">
        <f ca="1">Main[[#This Row],[بدهکار (کیلوگرم)]]-Main[[#This Row],[بدهی تسویه نشده (کیلوگرم)]]</f>
        <v>8190</v>
      </c>
      <c r="O1134" s="6">
        <f ca="1">Main[[#This Row],[تفکیک]]</f>
        <v>0</v>
      </c>
      <c r="P1134" s="6">
        <f ca="1">IF(Main[[#This Row],[تاخیر از سررسید]]&gt;0,Main[[#This Row],[بدهی تسویه نشده (کیلوگرم)]],0)</f>
        <v>0</v>
      </c>
      <c r="Q1134" s="6">
        <f ca="1">IF(Main[[#This Row],[بدهی تسویه نشده (کیلوگرم)]]&gt;0,'گزارش فردی'!$B$7-Main[[#This Row],[تاريخ میلادی]],0)</f>
        <v>0</v>
      </c>
      <c r="R1134" s="6">
        <f ca="1">IF(Main[[#This Row],[بدهی تسویه نشده (کیلوگرم)]]&gt;0,'گزارش فردی'!$B$7-Main[[#This Row],[تاريخ میلادی]]-'گزارش فردی'!$B$8,0)</f>
        <v>0</v>
      </c>
      <c r="S1134" s="6">
        <f ca="1">Main[[#This Row],[روز از ارسال سفارش]]*Main[[#This Row],[بدهی تسویه نشده (کیلوگرم)]]</f>
        <v>0</v>
      </c>
      <c r="T1134" s="6">
        <f ca="1">Main[[#This Row],[بدهی سررسید شده (کیلوگرم)]]*Main[[#This Row],[روز از ارسال سفارش]]</f>
        <v>0</v>
      </c>
      <c r="U1134" s="6">
        <f>-SUBTOTAL(9,INDEX(Main[مقدار (کیلوگرم)],1):Main[[#This Row],[مقدار (کیلوگرم)]])</f>
        <v>28878</v>
      </c>
      <c r="V11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4" s="6">
        <f>Main[[#This Row],[تعداد کل روزهای بدهکار (روز)]]*Main[[#This Row],[مانده در خط کل (کیلوگرم)]]</f>
        <v>0</v>
      </c>
      <c r="X1134" s="6">
        <f ca="1">-SUBTOTAL(9,INDEX(Main[مقدار تسویه شده (کیلوگرم)],1):Main[[#This Row],[مقدار تسویه شده (کیلوگرم)]])</f>
        <v>28878</v>
      </c>
      <c r="Y1134" s="6">
        <f ca="1">IF(Main[[#This Row],[مانده در خط تسویه شده (کیلوگرم)]]&lt;&gt;0,Main[[#This Row],[تعداد کل روزهای بدهکار (روز)]],0)</f>
        <v>0</v>
      </c>
      <c r="Z1134" s="6">
        <f ca="1">Main[[#This Row],[تعداد روزهای بدهکار تسویه شده (روز)]]*Main[[#This Row],[مانده در خط تسویه شده (کیلوگرم)]]</f>
        <v>0</v>
      </c>
      <c r="AA1134" s="6">
        <f ca="1">SUBTOTAL(9,INDEX(Main[بدهی تسویه نشده (کیلوگرم)],1):Main[[#This Row],[بدهی تسویه نشده (کیلوگرم)]])</f>
        <v>0</v>
      </c>
      <c r="AB1134" s="6">
        <f ca="1">IF(Main[[#This Row],[مانده در خط تسویه نشده (کیلوگرم)]]&lt;&gt;0,Main[[#This Row],[تعداد کل روزهای بدهکار (روز)]],0)</f>
        <v>0</v>
      </c>
      <c r="AC1134" s="6">
        <f ca="1">Main[[#This Row],[تعداد روزهای بدهکار  تسویه نشده (روز)]]*Main[[#This Row],[مانده در خط تسویه نشده (کیلوگرم)]]</f>
        <v>0</v>
      </c>
      <c r="AD1134" s="6">
        <f ca="1">SUBTOTAL(9,INDEX(Main[بدهی سررسید شده (کیلوگرم)],1):Main[[#This Row],[بدهی سررسید شده (کیلوگرم)]])</f>
        <v>0</v>
      </c>
      <c r="AE1134" s="6">
        <f ca="1">IF(Main[[#This Row],[مانده در خط سررسید شده (کیلوگرم)]]&lt;&gt;0,Main[[#This Row],[تعداد کل روزهای بدهکار (روز)]],0)</f>
        <v>0</v>
      </c>
      <c r="AF1134" s="6">
        <f ca="1">Main[[#This Row],[تعداد روزهای بدهکار سررسید شده (روز)]]*Main[[#This Row],[مانده در خط سررسید شده (کیلوگرم)]]</f>
        <v>0</v>
      </c>
    </row>
    <row r="1135" spans="1:32" hidden="1" x14ac:dyDescent="0.35">
      <c r="A1135" s="5">
        <f>ROW()-ROW(INDEX(Main[ردیف],1))+1</f>
        <v>1133</v>
      </c>
      <c r="B1135" s="31">
        <f>SUBTOTAL(2,INDEX(Main[ردیف],1):Main[[#This Row],[ردیف]])</f>
        <v>104</v>
      </c>
      <c r="C1135" s="32" t="s">
        <v>625</v>
      </c>
      <c r="D1135" s="32" t="str">
        <f>_xlfn.CONCAT("14",Main[[#This Row],[تاريخ]])</f>
        <v>1400/04/29</v>
      </c>
      <c r="E1135" s="33">
        <v>44397</v>
      </c>
      <c r="F1135" s="32">
        <v>10127</v>
      </c>
      <c r="G1135" s="5" t="str">
        <f>INDEX(customer[عنوان],MATCH(Main[[#This Row],[کد ردیابی]],customer[کد],0))</f>
        <v xml:space="preserve">عماد هاشمی </v>
      </c>
      <c r="H1135">
        <v>1093</v>
      </c>
      <c r="I1135" s="6">
        <f ca="1">-Main[[#This Row],[بدهی تسویه شده (کیلوگرم)]]+Main[[#This Row],[بستانکار (کیلوگرم)]]</f>
        <v>1093</v>
      </c>
      <c r="J1135" s="6">
        <f>IF(Main[[#This Row],[مقدار (کیلوگرم)]]&gt;0,Main[[#This Row],[مقدار (کیلوگرم)]],0)</f>
        <v>1093</v>
      </c>
      <c r="K1135" s="6">
        <f>-IF(Main[[#This Row],[مقدار (کیلوگرم)]]&lt;0,Main[[#This Row],[مقدار (کیلوگرم)]],0)</f>
        <v>0</v>
      </c>
      <c r="L11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5" s="7">
        <f>-IF(AND(Main[[#This Row],[مقدار (کیلوگرم)]]&lt;0,Main[[#This Row],[تاريخ میلادی]]&gt;44276),Main[[#This Row],[مقدار (کیلوگرم)]],0)</f>
        <v>0</v>
      </c>
      <c r="N1135" s="6">
        <f ca="1">Main[[#This Row],[بدهکار (کیلوگرم)]]-Main[[#This Row],[بدهی تسویه نشده (کیلوگرم)]]</f>
        <v>0</v>
      </c>
      <c r="O1135" s="6">
        <f ca="1">Main[[#This Row],[تفکیک]]</f>
        <v>0</v>
      </c>
      <c r="P1135" s="6">
        <f ca="1">IF(Main[[#This Row],[تاخیر از سررسید]]&gt;0,Main[[#This Row],[بدهی تسویه نشده (کیلوگرم)]],0)</f>
        <v>0</v>
      </c>
      <c r="Q1135" s="6">
        <f ca="1">IF(Main[[#This Row],[بدهی تسویه نشده (کیلوگرم)]]&gt;0,'گزارش فردی'!$B$7-Main[[#This Row],[تاريخ میلادی]],0)</f>
        <v>0</v>
      </c>
      <c r="R1135" s="6">
        <f ca="1">IF(Main[[#This Row],[بدهی تسویه نشده (کیلوگرم)]]&gt;0,'گزارش فردی'!$B$7-Main[[#This Row],[تاريخ میلادی]]-'گزارش فردی'!$B$8,0)</f>
        <v>0</v>
      </c>
      <c r="S1135" s="6">
        <f ca="1">Main[[#This Row],[روز از ارسال سفارش]]*Main[[#This Row],[بدهی تسویه نشده (کیلوگرم)]]</f>
        <v>0</v>
      </c>
      <c r="T1135" s="6">
        <f ca="1">Main[[#This Row],[بدهی سررسید شده (کیلوگرم)]]*Main[[#This Row],[روز از ارسال سفارش]]</f>
        <v>0</v>
      </c>
      <c r="U1135" s="6">
        <f>-SUBTOTAL(9,INDEX(Main[مقدار (کیلوگرم)],1):Main[[#This Row],[مقدار (کیلوگرم)]])</f>
        <v>28878</v>
      </c>
      <c r="V11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5" s="6">
        <f>Main[[#This Row],[تعداد کل روزهای بدهکار (روز)]]*Main[[#This Row],[مانده در خط کل (کیلوگرم)]]</f>
        <v>0</v>
      </c>
      <c r="X1135" s="6">
        <f ca="1">-SUBTOTAL(9,INDEX(Main[مقدار تسویه شده (کیلوگرم)],1):Main[[#This Row],[مقدار تسویه شده (کیلوگرم)]])</f>
        <v>28878</v>
      </c>
      <c r="Y1135" s="6">
        <f ca="1">IF(Main[[#This Row],[مانده در خط تسویه شده (کیلوگرم)]]&lt;&gt;0,Main[[#This Row],[تعداد کل روزهای بدهکار (روز)]],0)</f>
        <v>0</v>
      </c>
      <c r="Z1135" s="6">
        <f ca="1">Main[[#This Row],[تعداد روزهای بدهکار تسویه شده (روز)]]*Main[[#This Row],[مانده در خط تسویه شده (کیلوگرم)]]</f>
        <v>0</v>
      </c>
      <c r="AA1135" s="6">
        <f ca="1">SUBTOTAL(9,INDEX(Main[بدهی تسویه نشده (کیلوگرم)],1):Main[[#This Row],[بدهی تسویه نشده (کیلوگرم)]])</f>
        <v>0</v>
      </c>
      <c r="AB1135" s="6">
        <f ca="1">IF(Main[[#This Row],[مانده در خط تسویه نشده (کیلوگرم)]]&lt;&gt;0,Main[[#This Row],[تعداد کل روزهای بدهکار (روز)]],0)</f>
        <v>0</v>
      </c>
      <c r="AC1135" s="6">
        <f ca="1">Main[[#This Row],[تعداد روزهای بدهکار  تسویه نشده (روز)]]*Main[[#This Row],[مانده در خط تسویه نشده (کیلوگرم)]]</f>
        <v>0</v>
      </c>
      <c r="AD1135" s="6">
        <f ca="1">SUBTOTAL(9,INDEX(Main[بدهی سررسید شده (کیلوگرم)],1):Main[[#This Row],[بدهی سررسید شده (کیلوگرم)]])</f>
        <v>0</v>
      </c>
      <c r="AE1135" s="6">
        <f ca="1">IF(Main[[#This Row],[مانده در خط سررسید شده (کیلوگرم)]]&lt;&gt;0,Main[[#This Row],[تعداد کل روزهای بدهکار (روز)]],0)</f>
        <v>0</v>
      </c>
      <c r="AF1135" s="6">
        <f ca="1">Main[[#This Row],[تعداد روزهای بدهکار سررسید شده (روز)]]*Main[[#This Row],[مانده در خط سررسید شده (کیلوگرم)]]</f>
        <v>0</v>
      </c>
    </row>
    <row r="1136" spans="1:32" x14ac:dyDescent="0.35">
      <c r="A1136" s="5">
        <f>ROW()-ROW(INDEX(Main[ردیف],1))+1</f>
        <v>1134</v>
      </c>
      <c r="B1136" s="31">
        <f>SUBTOTAL(2,INDEX(Main[ردیف],1):Main[[#This Row],[ردیف]])</f>
        <v>105</v>
      </c>
      <c r="C1136" s="32" t="s">
        <v>625</v>
      </c>
      <c r="D1136" s="32" t="str">
        <f>_xlfn.CONCAT("14",Main[[#This Row],[تاريخ]])</f>
        <v>1400/04/29</v>
      </c>
      <c r="E1136" s="33">
        <v>44397</v>
      </c>
      <c r="F1136" s="32">
        <v>10003</v>
      </c>
      <c r="G1136" s="5" t="str">
        <f>INDEX(customer[عنوان],MATCH(Main[[#This Row],[کد ردیابی]],customer[کد],0))</f>
        <v>اصغر نورعلی</v>
      </c>
      <c r="H1136">
        <v>-4004</v>
      </c>
      <c r="I1136" s="6">
        <f ca="1">-Main[[#This Row],[بدهی تسویه شده (کیلوگرم)]]+Main[[#This Row],[بستانکار (کیلوگرم)]]</f>
        <v>-4004</v>
      </c>
      <c r="J1136" s="6">
        <f>IF(Main[[#This Row],[مقدار (کیلوگرم)]]&gt;0,Main[[#This Row],[مقدار (کیلوگرم)]],0)</f>
        <v>0</v>
      </c>
      <c r="K1136" s="6">
        <f>-IF(Main[[#This Row],[مقدار (کیلوگرم)]]&lt;0,Main[[#This Row],[مقدار (کیلوگرم)]],0)</f>
        <v>4004</v>
      </c>
      <c r="L11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6" s="7">
        <f>-IF(AND(Main[[#This Row],[مقدار (کیلوگرم)]]&lt;0,Main[[#This Row],[تاريخ میلادی]]&gt;44276),Main[[#This Row],[مقدار (کیلوگرم)]],0)</f>
        <v>4004</v>
      </c>
      <c r="N1136" s="6">
        <f ca="1">Main[[#This Row],[بدهکار (کیلوگرم)]]-Main[[#This Row],[بدهی تسویه نشده (کیلوگرم)]]</f>
        <v>4004</v>
      </c>
      <c r="O1136" s="6">
        <f ca="1">Main[[#This Row],[تفکیک]]</f>
        <v>0</v>
      </c>
      <c r="P1136" s="6">
        <f ca="1">IF(Main[[#This Row],[تاخیر از سررسید]]&gt;0,Main[[#This Row],[بدهی تسویه نشده (کیلوگرم)]],0)</f>
        <v>0</v>
      </c>
      <c r="Q1136" s="6">
        <f ca="1">IF(Main[[#This Row],[بدهی تسویه نشده (کیلوگرم)]]&gt;0,'گزارش فردی'!$B$7-Main[[#This Row],[تاريخ میلادی]],0)</f>
        <v>0</v>
      </c>
      <c r="R1136" s="6">
        <f ca="1">IF(Main[[#This Row],[بدهی تسویه نشده (کیلوگرم)]]&gt;0,'گزارش فردی'!$B$7-Main[[#This Row],[تاريخ میلادی]]-'گزارش فردی'!$B$8,0)</f>
        <v>0</v>
      </c>
      <c r="S1136" s="6">
        <f ca="1">Main[[#This Row],[روز از ارسال سفارش]]*Main[[#This Row],[بدهی تسویه نشده (کیلوگرم)]]</f>
        <v>0</v>
      </c>
      <c r="T1136" s="6">
        <f ca="1">Main[[#This Row],[بدهی سررسید شده (کیلوگرم)]]*Main[[#This Row],[روز از ارسال سفارش]]</f>
        <v>0</v>
      </c>
      <c r="U1136" s="6">
        <f>-SUBTOTAL(9,INDEX(Main[مقدار (کیلوگرم)],1):Main[[#This Row],[مقدار (کیلوگرم)]])</f>
        <v>32882</v>
      </c>
      <c r="V113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6" s="6">
        <f>Main[[#This Row],[تعداد کل روزهای بدهکار (روز)]]*Main[[#This Row],[مانده در خط کل (کیلوگرم)]]</f>
        <v>65764</v>
      </c>
      <c r="X1136" s="6">
        <f ca="1">-SUBTOTAL(9,INDEX(Main[مقدار تسویه شده (کیلوگرم)],1):Main[[#This Row],[مقدار تسویه شده (کیلوگرم)]])</f>
        <v>32882</v>
      </c>
      <c r="Y1136" s="6">
        <f ca="1">IF(Main[[#This Row],[مانده در خط تسویه شده (کیلوگرم)]]&lt;&gt;0,Main[[#This Row],[تعداد کل روزهای بدهکار (روز)]],0)</f>
        <v>2</v>
      </c>
      <c r="Z1136" s="6">
        <f ca="1">Main[[#This Row],[تعداد روزهای بدهکار تسویه شده (روز)]]*Main[[#This Row],[مانده در خط تسویه شده (کیلوگرم)]]</f>
        <v>65764</v>
      </c>
      <c r="AA1136" s="6">
        <f ca="1">SUBTOTAL(9,INDEX(Main[بدهی تسویه نشده (کیلوگرم)],1):Main[[#This Row],[بدهی تسویه نشده (کیلوگرم)]])</f>
        <v>0</v>
      </c>
      <c r="AB1136" s="6">
        <f ca="1">IF(Main[[#This Row],[مانده در خط تسویه نشده (کیلوگرم)]]&lt;&gt;0,Main[[#This Row],[تعداد کل روزهای بدهکار (روز)]],0)</f>
        <v>0</v>
      </c>
      <c r="AC1136" s="6">
        <f ca="1">Main[[#This Row],[تعداد روزهای بدهکار  تسویه نشده (روز)]]*Main[[#This Row],[مانده در خط تسویه نشده (کیلوگرم)]]</f>
        <v>0</v>
      </c>
      <c r="AD1136" s="6">
        <f ca="1">SUBTOTAL(9,INDEX(Main[بدهی سررسید شده (کیلوگرم)],1):Main[[#This Row],[بدهی سررسید شده (کیلوگرم)]])</f>
        <v>0</v>
      </c>
      <c r="AE1136" s="6">
        <f ca="1">IF(Main[[#This Row],[مانده در خط سررسید شده (کیلوگرم)]]&lt;&gt;0,Main[[#This Row],[تعداد کل روزهای بدهکار (روز)]],0)</f>
        <v>0</v>
      </c>
      <c r="AF1136" s="6">
        <f ca="1">Main[[#This Row],[تعداد روزهای بدهکار سررسید شده (روز)]]*Main[[#This Row],[مانده در خط سررسید شده (کیلوگرم)]]</f>
        <v>0</v>
      </c>
    </row>
    <row r="1137" spans="1:32" hidden="1" x14ac:dyDescent="0.35">
      <c r="A1137" s="5">
        <f>ROW()-ROW(INDEX(Main[ردیف],1))+1</f>
        <v>1135</v>
      </c>
      <c r="B1137" s="31">
        <f>SUBTOTAL(2,INDEX(Main[ردیف],1):Main[[#This Row],[ردیف]])</f>
        <v>105</v>
      </c>
      <c r="C1137" s="32" t="s">
        <v>625</v>
      </c>
      <c r="D1137" s="32" t="str">
        <f>_xlfn.CONCAT("14",Main[[#This Row],[تاريخ]])</f>
        <v>1400/04/29</v>
      </c>
      <c r="E1137" s="33">
        <v>44397</v>
      </c>
      <c r="F1137" s="32">
        <v>30146</v>
      </c>
      <c r="G1137" s="5" t="str">
        <f>INDEX(customer[عنوان],MATCH(Main[[#This Row],[کد ردیابی]],customer[کد],0))</f>
        <v>شرکت آذرپاد</v>
      </c>
      <c r="H1137">
        <v>444</v>
      </c>
      <c r="I1137" s="6">
        <f ca="1">-Main[[#This Row],[بدهی تسویه شده (کیلوگرم)]]+Main[[#This Row],[بستانکار (کیلوگرم)]]</f>
        <v>444</v>
      </c>
      <c r="J1137" s="6">
        <f>IF(Main[[#This Row],[مقدار (کیلوگرم)]]&gt;0,Main[[#This Row],[مقدار (کیلوگرم)]],0)</f>
        <v>444</v>
      </c>
      <c r="K1137" s="6">
        <f>-IF(Main[[#This Row],[مقدار (کیلوگرم)]]&lt;0,Main[[#This Row],[مقدار (کیلوگرم)]],0)</f>
        <v>0</v>
      </c>
      <c r="L11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7" s="7">
        <f>-IF(AND(Main[[#This Row],[مقدار (کیلوگرم)]]&lt;0,Main[[#This Row],[تاريخ میلادی]]&gt;44276),Main[[#This Row],[مقدار (کیلوگرم)]],0)</f>
        <v>0</v>
      </c>
      <c r="N1137" s="6">
        <f ca="1">Main[[#This Row],[بدهکار (کیلوگرم)]]-Main[[#This Row],[بدهی تسویه نشده (کیلوگرم)]]</f>
        <v>0</v>
      </c>
      <c r="O1137" s="6">
        <f ca="1">Main[[#This Row],[تفکیک]]</f>
        <v>0</v>
      </c>
      <c r="P1137" s="6">
        <f ca="1">IF(Main[[#This Row],[تاخیر از سررسید]]&gt;0,Main[[#This Row],[بدهی تسویه نشده (کیلوگرم)]],0)</f>
        <v>0</v>
      </c>
      <c r="Q1137" s="6">
        <f ca="1">IF(Main[[#This Row],[بدهی تسویه نشده (کیلوگرم)]]&gt;0,'گزارش فردی'!$B$7-Main[[#This Row],[تاريخ میلادی]],0)</f>
        <v>0</v>
      </c>
      <c r="R1137" s="6">
        <f ca="1">IF(Main[[#This Row],[بدهی تسویه نشده (کیلوگرم)]]&gt;0,'گزارش فردی'!$B$7-Main[[#This Row],[تاريخ میلادی]]-'گزارش فردی'!$B$8,0)</f>
        <v>0</v>
      </c>
      <c r="S1137" s="6">
        <f ca="1">Main[[#This Row],[روز از ارسال سفارش]]*Main[[#This Row],[بدهی تسویه نشده (کیلوگرم)]]</f>
        <v>0</v>
      </c>
      <c r="T1137" s="6">
        <f ca="1">Main[[#This Row],[بدهی سررسید شده (کیلوگرم)]]*Main[[#This Row],[روز از ارسال سفارش]]</f>
        <v>0</v>
      </c>
      <c r="U1137" s="6">
        <f>-SUBTOTAL(9,INDEX(Main[مقدار (کیلوگرم)],1):Main[[#This Row],[مقدار (کیلوگرم)]])</f>
        <v>32882</v>
      </c>
      <c r="V113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7" s="6">
        <f>Main[[#This Row],[تعداد کل روزهای بدهکار (روز)]]*Main[[#This Row],[مانده در خط کل (کیلوگرم)]]</f>
        <v>65764</v>
      </c>
      <c r="X1137" s="6">
        <f ca="1">-SUBTOTAL(9,INDEX(Main[مقدار تسویه شده (کیلوگرم)],1):Main[[#This Row],[مقدار تسویه شده (کیلوگرم)]])</f>
        <v>32882</v>
      </c>
      <c r="Y1137" s="6">
        <f ca="1">IF(Main[[#This Row],[مانده در خط تسویه شده (کیلوگرم)]]&lt;&gt;0,Main[[#This Row],[تعداد کل روزهای بدهکار (روز)]],0)</f>
        <v>2</v>
      </c>
      <c r="Z1137" s="6">
        <f ca="1">Main[[#This Row],[تعداد روزهای بدهکار تسویه شده (روز)]]*Main[[#This Row],[مانده در خط تسویه شده (کیلوگرم)]]</f>
        <v>65764</v>
      </c>
      <c r="AA1137" s="6">
        <f ca="1">SUBTOTAL(9,INDEX(Main[بدهی تسویه نشده (کیلوگرم)],1):Main[[#This Row],[بدهی تسویه نشده (کیلوگرم)]])</f>
        <v>0</v>
      </c>
      <c r="AB1137" s="6">
        <f ca="1">IF(Main[[#This Row],[مانده در خط تسویه نشده (کیلوگرم)]]&lt;&gt;0,Main[[#This Row],[تعداد کل روزهای بدهکار (روز)]],0)</f>
        <v>0</v>
      </c>
      <c r="AC1137" s="6">
        <f ca="1">Main[[#This Row],[تعداد روزهای بدهکار  تسویه نشده (روز)]]*Main[[#This Row],[مانده در خط تسویه نشده (کیلوگرم)]]</f>
        <v>0</v>
      </c>
      <c r="AD1137" s="6">
        <f ca="1">SUBTOTAL(9,INDEX(Main[بدهی سررسید شده (کیلوگرم)],1):Main[[#This Row],[بدهی سررسید شده (کیلوگرم)]])</f>
        <v>0</v>
      </c>
      <c r="AE1137" s="6">
        <f ca="1">IF(Main[[#This Row],[مانده در خط سررسید شده (کیلوگرم)]]&lt;&gt;0,Main[[#This Row],[تعداد کل روزهای بدهکار (روز)]],0)</f>
        <v>0</v>
      </c>
      <c r="AF1137" s="6">
        <f ca="1">Main[[#This Row],[تعداد روزهای بدهکار سررسید شده (روز)]]*Main[[#This Row],[مانده در خط سررسید شده (کیلوگرم)]]</f>
        <v>0</v>
      </c>
    </row>
    <row r="1138" spans="1:32" hidden="1" x14ac:dyDescent="0.35">
      <c r="A1138" s="5">
        <f>ROW()-ROW(INDEX(Main[ردیف],1))+1</f>
        <v>1136</v>
      </c>
      <c r="B1138" s="31">
        <f>SUBTOTAL(2,INDEX(Main[ردیف],1):Main[[#This Row],[ردیف]])</f>
        <v>105</v>
      </c>
      <c r="C1138" s="32" t="s">
        <v>625</v>
      </c>
      <c r="D1138" s="32" t="str">
        <f>_xlfn.CONCAT("14",Main[[#This Row],[تاريخ]])</f>
        <v>1400/04/29</v>
      </c>
      <c r="E1138" s="33">
        <v>44397</v>
      </c>
      <c r="F1138" s="32">
        <v>10020</v>
      </c>
      <c r="G1138" s="5" t="str">
        <f>INDEX(customer[عنوان],MATCH(Main[[#This Row],[کد ردیابی]],customer[کد],0))</f>
        <v>فرزاد اسماعیل زاده</v>
      </c>
      <c r="H1138">
        <v>-1206</v>
      </c>
      <c r="I1138" s="6">
        <f ca="1">-Main[[#This Row],[بدهی تسویه شده (کیلوگرم)]]+Main[[#This Row],[بستانکار (کیلوگرم)]]</f>
        <v>-1206</v>
      </c>
      <c r="J1138" s="6">
        <f>IF(Main[[#This Row],[مقدار (کیلوگرم)]]&gt;0,Main[[#This Row],[مقدار (کیلوگرم)]],0)</f>
        <v>0</v>
      </c>
      <c r="K1138" s="6">
        <f>-IF(Main[[#This Row],[مقدار (کیلوگرم)]]&lt;0,Main[[#This Row],[مقدار (کیلوگرم)]],0)</f>
        <v>1206</v>
      </c>
      <c r="L11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8" s="7">
        <f>-IF(AND(Main[[#This Row],[مقدار (کیلوگرم)]]&lt;0,Main[[#This Row],[تاريخ میلادی]]&gt;44276),Main[[#This Row],[مقدار (کیلوگرم)]],0)</f>
        <v>1206</v>
      </c>
      <c r="N1138" s="6">
        <f ca="1">Main[[#This Row],[بدهکار (کیلوگرم)]]-Main[[#This Row],[بدهی تسویه نشده (کیلوگرم)]]</f>
        <v>1206</v>
      </c>
      <c r="O1138" s="6">
        <f ca="1">Main[[#This Row],[تفکیک]]</f>
        <v>0</v>
      </c>
      <c r="P1138" s="6">
        <f ca="1">IF(Main[[#This Row],[تاخیر از سررسید]]&gt;0,Main[[#This Row],[بدهی تسویه نشده (کیلوگرم)]],0)</f>
        <v>0</v>
      </c>
      <c r="Q1138" s="6">
        <f ca="1">IF(Main[[#This Row],[بدهی تسویه نشده (کیلوگرم)]]&gt;0,'گزارش فردی'!$B$7-Main[[#This Row],[تاريخ میلادی]],0)</f>
        <v>0</v>
      </c>
      <c r="R1138" s="6">
        <f ca="1">IF(Main[[#This Row],[بدهی تسویه نشده (کیلوگرم)]]&gt;0,'گزارش فردی'!$B$7-Main[[#This Row],[تاريخ میلادی]]-'گزارش فردی'!$B$8,0)</f>
        <v>0</v>
      </c>
      <c r="S1138" s="6">
        <f ca="1">Main[[#This Row],[روز از ارسال سفارش]]*Main[[#This Row],[بدهی تسویه نشده (کیلوگرم)]]</f>
        <v>0</v>
      </c>
      <c r="T1138" s="6">
        <f ca="1">Main[[#This Row],[بدهی سررسید شده (کیلوگرم)]]*Main[[#This Row],[روز از ارسال سفارش]]</f>
        <v>0</v>
      </c>
      <c r="U1138" s="6">
        <f>-SUBTOTAL(9,INDEX(Main[مقدار (کیلوگرم)],1):Main[[#This Row],[مقدار (کیلوگرم)]])</f>
        <v>32882</v>
      </c>
      <c r="V113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8" s="6">
        <f>Main[[#This Row],[تعداد کل روزهای بدهکار (روز)]]*Main[[#This Row],[مانده در خط کل (کیلوگرم)]]</f>
        <v>65764</v>
      </c>
      <c r="X1138" s="6">
        <f ca="1">-SUBTOTAL(9,INDEX(Main[مقدار تسویه شده (کیلوگرم)],1):Main[[#This Row],[مقدار تسویه شده (کیلوگرم)]])</f>
        <v>32882</v>
      </c>
      <c r="Y1138" s="6">
        <f ca="1">IF(Main[[#This Row],[مانده در خط تسویه شده (کیلوگرم)]]&lt;&gt;0,Main[[#This Row],[تعداد کل روزهای بدهکار (روز)]],0)</f>
        <v>2</v>
      </c>
      <c r="Z1138" s="6">
        <f ca="1">Main[[#This Row],[تعداد روزهای بدهکار تسویه شده (روز)]]*Main[[#This Row],[مانده در خط تسویه شده (کیلوگرم)]]</f>
        <v>65764</v>
      </c>
      <c r="AA1138" s="6">
        <f ca="1">SUBTOTAL(9,INDEX(Main[بدهی تسویه نشده (کیلوگرم)],1):Main[[#This Row],[بدهی تسویه نشده (کیلوگرم)]])</f>
        <v>0</v>
      </c>
      <c r="AB1138" s="6">
        <f ca="1">IF(Main[[#This Row],[مانده در خط تسویه نشده (کیلوگرم)]]&lt;&gt;0,Main[[#This Row],[تعداد کل روزهای بدهکار (روز)]],0)</f>
        <v>0</v>
      </c>
      <c r="AC1138" s="6">
        <f ca="1">Main[[#This Row],[تعداد روزهای بدهکار  تسویه نشده (روز)]]*Main[[#This Row],[مانده در خط تسویه نشده (کیلوگرم)]]</f>
        <v>0</v>
      </c>
      <c r="AD1138" s="6">
        <f ca="1">SUBTOTAL(9,INDEX(Main[بدهی سررسید شده (کیلوگرم)],1):Main[[#This Row],[بدهی سررسید شده (کیلوگرم)]])</f>
        <v>0</v>
      </c>
      <c r="AE1138" s="6">
        <f ca="1">IF(Main[[#This Row],[مانده در خط سررسید شده (کیلوگرم)]]&lt;&gt;0,Main[[#This Row],[تعداد کل روزهای بدهکار (روز)]],0)</f>
        <v>0</v>
      </c>
      <c r="AF1138" s="6">
        <f ca="1">Main[[#This Row],[تعداد روزهای بدهکار سررسید شده (روز)]]*Main[[#This Row],[مانده در خط سررسید شده (کیلوگرم)]]</f>
        <v>0</v>
      </c>
    </row>
    <row r="1139" spans="1:32" hidden="1" x14ac:dyDescent="0.35">
      <c r="A1139" s="5">
        <f>ROW()-ROW(INDEX(Main[ردیف],1))+1</f>
        <v>1137</v>
      </c>
      <c r="B1139" s="31">
        <f>SUBTOTAL(2,INDEX(Main[ردیف],1):Main[[#This Row],[ردیف]])</f>
        <v>105</v>
      </c>
      <c r="C1139" s="32" t="s">
        <v>625</v>
      </c>
      <c r="D1139" s="32" t="str">
        <f>_xlfn.CONCAT("14",Main[[#This Row],[تاريخ]])</f>
        <v>1400/04/29</v>
      </c>
      <c r="E1139" s="33">
        <v>44397</v>
      </c>
      <c r="F1139" s="32">
        <v>30004</v>
      </c>
      <c r="G1139" s="5" t="str">
        <f>INDEX(customer[عنوان],MATCH(Main[[#This Row],[کد ردیابی]],customer[کد],0))</f>
        <v>تولیدی صنعتی صفاشیر پارس</v>
      </c>
      <c r="H1139">
        <v>638</v>
      </c>
      <c r="I1139" s="6">
        <f ca="1">-Main[[#This Row],[بدهی تسویه شده (کیلوگرم)]]+Main[[#This Row],[بستانکار (کیلوگرم)]]</f>
        <v>638</v>
      </c>
      <c r="J1139" s="6">
        <f>IF(Main[[#This Row],[مقدار (کیلوگرم)]]&gt;0,Main[[#This Row],[مقدار (کیلوگرم)]],0)</f>
        <v>638</v>
      </c>
      <c r="K1139" s="6">
        <f>-IF(Main[[#This Row],[مقدار (کیلوگرم)]]&lt;0,Main[[#This Row],[مقدار (کیلوگرم)]],0)</f>
        <v>0</v>
      </c>
      <c r="L11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9" s="7">
        <f>-IF(AND(Main[[#This Row],[مقدار (کیلوگرم)]]&lt;0,Main[[#This Row],[تاريخ میلادی]]&gt;44276),Main[[#This Row],[مقدار (کیلوگرم)]],0)</f>
        <v>0</v>
      </c>
      <c r="N1139" s="6">
        <f ca="1">Main[[#This Row],[بدهکار (کیلوگرم)]]-Main[[#This Row],[بدهی تسویه نشده (کیلوگرم)]]</f>
        <v>0</v>
      </c>
      <c r="O1139" s="6">
        <f ca="1">Main[[#This Row],[تفکیک]]</f>
        <v>0</v>
      </c>
      <c r="P1139" s="6">
        <f ca="1">IF(Main[[#This Row],[تاخیر از سررسید]]&gt;0,Main[[#This Row],[بدهی تسویه نشده (کیلوگرم)]],0)</f>
        <v>0</v>
      </c>
      <c r="Q1139" s="6">
        <f ca="1">IF(Main[[#This Row],[بدهی تسویه نشده (کیلوگرم)]]&gt;0,'گزارش فردی'!$B$7-Main[[#This Row],[تاريخ میلادی]],0)</f>
        <v>0</v>
      </c>
      <c r="R1139" s="6">
        <f ca="1">IF(Main[[#This Row],[بدهی تسویه نشده (کیلوگرم)]]&gt;0,'گزارش فردی'!$B$7-Main[[#This Row],[تاريخ میلادی]]-'گزارش فردی'!$B$8,0)</f>
        <v>0</v>
      </c>
      <c r="S1139" s="6">
        <f ca="1">Main[[#This Row],[روز از ارسال سفارش]]*Main[[#This Row],[بدهی تسویه نشده (کیلوگرم)]]</f>
        <v>0</v>
      </c>
      <c r="T1139" s="6">
        <f ca="1">Main[[#This Row],[بدهی سررسید شده (کیلوگرم)]]*Main[[#This Row],[روز از ارسال سفارش]]</f>
        <v>0</v>
      </c>
      <c r="U1139" s="6">
        <f>-SUBTOTAL(9,INDEX(Main[مقدار (کیلوگرم)],1):Main[[#This Row],[مقدار (کیلوگرم)]])</f>
        <v>32882</v>
      </c>
      <c r="V11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9" s="6">
        <f>Main[[#This Row],[تعداد کل روزهای بدهکار (روز)]]*Main[[#This Row],[مانده در خط کل (کیلوگرم)]]</f>
        <v>65764</v>
      </c>
      <c r="X1139" s="6">
        <f ca="1">-SUBTOTAL(9,INDEX(Main[مقدار تسویه شده (کیلوگرم)],1):Main[[#This Row],[مقدار تسویه شده (کیلوگرم)]])</f>
        <v>32882</v>
      </c>
      <c r="Y1139" s="6">
        <f ca="1">IF(Main[[#This Row],[مانده در خط تسویه شده (کیلوگرم)]]&lt;&gt;0,Main[[#This Row],[تعداد کل روزهای بدهکار (روز)]],0)</f>
        <v>2</v>
      </c>
      <c r="Z1139" s="6">
        <f ca="1">Main[[#This Row],[تعداد روزهای بدهکار تسویه شده (روز)]]*Main[[#This Row],[مانده در خط تسویه شده (کیلوگرم)]]</f>
        <v>65764</v>
      </c>
      <c r="AA1139" s="6">
        <f ca="1">SUBTOTAL(9,INDEX(Main[بدهی تسویه نشده (کیلوگرم)],1):Main[[#This Row],[بدهی تسویه نشده (کیلوگرم)]])</f>
        <v>0</v>
      </c>
      <c r="AB1139" s="6">
        <f ca="1">IF(Main[[#This Row],[مانده در خط تسویه نشده (کیلوگرم)]]&lt;&gt;0,Main[[#This Row],[تعداد کل روزهای بدهکار (روز)]],0)</f>
        <v>0</v>
      </c>
      <c r="AC1139" s="6">
        <f ca="1">Main[[#This Row],[تعداد روزهای بدهکار  تسویه نشده (روز)]]*Main[[#This Row],[مانده در خط تسویه نشده (کیلوگرم)]]</f>
        <v>0</v>
      </c>
      <c r="AD1139" s="6">
        <f ca="1">SUBTOTAL(9,INDEX(Main[بدهی سررسید شده (کیلوگرم)],1):Main[[#This Row],[بدهی سررسید شده (کیلوگرم)]])</f>
        <v>0</v>
      </c>
      <c r="AE1139" s="6">
        <f ca="1">IF(Main[[#This Row],[مانده در خط سررسید شده (کیلوگرم)]]&lt;&gt;0,Main[[#This Row],[تعداد کل روزهای بدهکار (روز)]],0)</f>
        <v>0</v>
      </c>
      <c r="AF1139" s="6">
        <f ca="1">Main[[#This Row],[تعداد روزهای بدهکار سررسید شده (روز)]]*Main[[#This Row],[مانده در خط سررسید شده (کیلوگرم)]]</f>
        <v>0</v>
      </c>
    </row>
    <row r="1140" spans="1:32" hidden="1" x14ac:dyDescent="0.35">
      <c r="A1140" s="5">
        <f>ROW()-ROW(INDEX(Main[ردیف],1))+1</f>
        <v>1138</v>
      </c>
      <c r="B1140" s="31">
        <f>SUBTOTAL(2,INDEX(Main[ردیف],1):Main[[#This Row],[ردیف]])</f>
        <v>105</v>
      </c>
      <c r="C1140" s="32" t="s">
        <v>625</v>
      </c>
      <c r="D1140" s="32" t="str">
        <f>_xlfn.CONCAT("14",Main[[#This Row],[تاريخ]])</f>
        <v>1400/04/29</v>
      </c>
      <c r="E1140" s="33">
        <v>44397</v>
      </c>
      <c r="F1140" s="32">
        <v>10104</v>
      </c>
      <c r="G1140" s="5" t="str">
        <f>INDEX(customer[عنوان],MATCH(Main[[#This Row],[کد ردیابی]],customer[کد],0))</f>
        <v>بهزادی فر اصغر</v>
      </c>
      <c r="H1140">
        <v>-212</v>
      </c>
      <c r="I1140" s="6">
        <f ca="1">-Main[[#This Row],[بدهی تسویه شده (کیلوگرم)]]+Main[[#This Row],[بستانکار (کیلوگرم)]]</f>
        <v>-212</v>
      </c>
      <c r="J1140" s="6">
        <f>IF(Main[[#This Row],[مقدار (کیلوگرم)]]&gt;0,Main[[#This Row],[مقدار (کیلوگرم)]],0)</f>
        <v>0</v>
      </c>
      <c r="K1140" s="6">
        <f>-IF(Main[[#This Row],[مقدار (کیلوگرم)]]&lt;0,Main[[#This Row],[مقدار (کیلوگرم)]],0)</f>
        <v>212</v>
      </c>
      <c r="L11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0" s="7">
        <f>-IF(AND(Main[[#This Row],[مقدار (کیلوگرم)]]&lt;0,Main[[#This Row],[تاريخ میلادی]]&gt;44276),Main[[#This Row],[مقدار (کیلوگرم)]],0)</f>
        <v>212</v>
      </c>
      <c r="N1140" s="6">
        <f ca="1">Main[[#This Row],[بدهکار (کیلوگرم)]]-Main[[#This Row],[بدهی تسویه نشده (کیلوگرم)]]</f>
        <v>212</v>
      </c>
      <c r="O1140" s="6">
        <f ca="1">Main[[#This Row],[تفکیک]]</f>
        <v>0</v>
      </c>
      <c r="P1140" s="6">
        <f ca="1">IF(Main[[#This Row],[تاخیر از سررسید]]&gt;0,Main[[#This Row],[بدهی تسویه نشده (کیلوگرم)]],0)</f>
        <v>0</v>
      </c>
      <c r="Q1140" s="6">
        <f ca="1">IF(Main[[#This Row],[بدهی تسویه نشده (کیلوگرم)]]&gt;0,'گزارش فردی'!$B$7-Main[[#This Row],[تاريخ میلادی]],0)</f>
        <v>0</v>
      </c>
      <c r="R1140" s="6">
        <f ca="1">IF(Main[[#This Row],[بدهی تسویه نشده (کیلوگرم)]]&gt;0,'گزارش فردی'!$B$7-Main[[#This Row],[تاريخ میلادی]]-'گزارش فردی'!$B$8,0)</f>
        <v>0</v>
      </c>
      <c r="S1140" s="6">
        <f ca="1">Main[[#This Row],[روز از ارسال سفارش]]*Main[[#This Row],[بدهی تسویه نشده (کیلوگرم)]]</f>
        <v>0</v>
      </c>
      <c r="T1140" s="6">
        <f ca="1">Main[[#This Row],[بدهی سررسید شده (کیلوگرم)]]*Main[[#This Row],[روز از ارسال سفارش]]</f>
        <v>0</v>
      </c>
      <c r="U1140" s="6">
        <f>-SUBTOTAL(9,INDEX(Main[مقدار (کیلوگرم)],1):Main[[#This Row],[مقدار (کیلوگرم)]])</f>
        <v>32882</v>
      </c>
      <c r="V114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0" s="6">
        <f>Main[[#This Row],[تعداد کل روزهای بدهکار (روز)]]*Main[[#This Row],[مانده در خط کل (کیلوگرم)]]</f>
        <v>65764</v>
      </c>
      <c r="X1140" s="6">
        <f ca="1">-SUBTOTAL(9,INDEX(Main[مقدار تسویه شده (کیلوگرم)],1):Main[[#This Row],[مقدار تسویه شده (کیلوگرم)]])</f>
        <v>32882</v>
      </c>
      <c r="Y1140" s="6">
        <f ca="1">IF(Main[[#This Row],[مانده در خط تسویه شده (کیلوگرم)]]&lt;&gt;0,Main[[#This Row],[تعداد کل روزهای بدهکار (روز)]],0)</f>
        <v>2</v>
      </c>
      <c r="Z1140" s="6">
        <f ca="1">Main[[#This Row],[تعداد روزهای بدهکار تسویه شده (روز)]]*Main[[#This Row],[مانده در خط تسویه شده (کیلوگرم)]]</f>
        <v>65764</v>
      </c>
      <c r="AA1140" s="6">
        <f ca="1">SUBTOTAL(9,INDEX(Main[بدهی تسویه نشده (کیلوگرم)],1):Main[[#This Row],[بدهی تسویه نشده (کیلوگرم)]])</f>
        <v>0</v>
      </c>
      <c r="AB1140" s="6">
        <f ca="1">IF(Main[[#This Row],[مانده در خط تسویه نشده (کیلوگرم)]]&lt;&gt;0,Main[[#This Row],[تعداد کل روزهای بدهکار (روز)]],0)</f>
        <v>0</v>
      </c>
      <c r="AC1140" s="6">
        <f ca="1">Main[[#This Row],[تعداد روزهای بدهکار  تسویه نشده (روز)]]*Main[[#This Row],[مانده در خط تسویه نشده (کیلوگرم)]]</f>
        <v>0</v>
      </c>
      <c r="AD1140" s="6">
        <f ca="1">SUBTOTAL(9,INDEX(Main[بدهی سررسید شده (کیلوگرم)],1):Main[[#This Row],[بدهی سررسید شده (کیلوگرم)]])</f>
        <v>0</v>
      </c>
      <c r="AE1140" s="6">
        <f ca="1">IF(Main[[#This Row],[مانده در خط سررسید شده (کیلوگرم)]]&lt;&gt;0,Main[[#This Row],[تعداد کل روزهای بدهکار (روز)]],0)</f>
        <v>0</v>
      </c>
      <c r="AF1140" s="6">
        <f ca="1">Main[[#This Row],[تعداد روزهای بدهکار سررسید شده (روز)]]*Main[[#This Row],[مانده در خط سررسید شده (کیلوگرم)]]</f>
        <v>0</v>
      </c>
    </row>
    <row r="1141" spans="1:32" hidden="1" x14ac:dyDescent="0.35">
      <c r="A1141" s="5">
        <f>ROW()-ROW(INDEX(Main[ردیف],1))+1</f>
        <v>1139</v>
      </c>
      <c r="B1141" s="31">
        <f>SUBTOTAL(2,INDEX(Main[ردیف],1):Main[[#This Row],[ردیف]])</f>
        <v>105</v>
      </c>
      <c r="C1141" s="32" t="s">
        <v>625</v>
      </c>
      <c r="D1141" s="32" t="str">
        <f>_xlfn.CONCAT("14",Main[[#This Row],[تاريخ]])</f>
        <v>1400/04/29</v>
      </c>
      <c r="E1141" s="33">
        <v>44397</v>
      </c>
      <c r="F1141" s="32">
        <v>30006</v>
      </c>
      <c r="G1141" s="5" t="str">
        <f>INDEX(customer[عنوان],MATCH(Main[[#This Row],[کد ردیابی]],customer[کد],0))</f>
        <v xml:space="preserve">توان جم </v>
      </c>
      <c r="H1141">
        <v>534</v>
      </c>
      <c r="I1141" s="6">
        <f ca="1">-Main[[#This Row],[بدهی تسویه شده (کیلوگرم)]]+Main[[#This Row],[بستانکار (کیلوگرم)]]</f>
        <v>534</v>
      </c>
      <c r="J1141" s="6">
        <f>IF(Main[[#This Row],[مقدار (کیلوگرم)]]&gt;0,Main[[#This Row],[مقدار (کیلوگرم)]],0)</f>
        <v>534</v>
      </c>
      <c r="K1141" s="6">
        <f>-IF(Main[[#This Row],[مقدار (کیلوگرم)]]&lt;0,Main[[#This Row],[مقدار (کیلوگرم)]],0)</f>
        <v>0</v>
      </c>
      <c r="L11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1" s="7">
        <f>-IF(AND(Main[[#This Row],[مقدار (کیلوگرم)]]&lt;0,Main[[#This Row],[تاريخ میلادی]]&gt;44276),Main[[#This Row],[مقدار (کیلوگرم)]],0)</f>
        <v>0</v>
      </c>
      <c r="N1141" s="6">
        <f ca="1">Main[[#This Row],[بدهکار (کیلوگرم)]]-Main[[#This Row],[بدهی تسویه نشده (کیلوگرم)]]</f>
        <v>0</v>
      </c>
      <c r="O1141" s="6">
        <f ca="1">Main[[#This Row],[تفکیک]]</f>
        <v>0</v>
      </c>
      <c r="P1141" s="6">
        <f ca="1">IF(Main[[#This Row],[تاخیر از سررسید]]&gt;0,Main[[#This Row],[بدهی تسویه نشده (کیلوگرم)]],0)</f>
        <v>0</v>
      </c>
      <c r="Q1141" s="6">
        <f ca="1">IF(Main[[#This Row],[بدهی تسویه نشده (کیلوگرم)]]&gt;0,'گزارش فردی'!$B$7-Main[[#This Row],[تاريخ میلادی]],0)</f>
        <v>0</v>
      </c>
      <c r="R1141" s="6">
        <f ca="1">IF(Main[[#This Row],[بدهی تسویه نشده (کیلوگرم)]]&gt;0,'گزارش فردی'!$B$7-Main[[#This Row],[تاريخ میلادی]]-'گزارش فردی'!$B$8,0)</f>
        <v>0</v>
      </c>
      <c r="S1141" s="6">
        <f ca="1">Main[[#This Row],[روز از ارسال سفارش]]*Main[[#This Row],[بدهی تسویه نشده (کیلوگرم)]]</f>
        <v>0</v>
      </c>
      <c r="T1141" s="6">
        <f ca="1">Main[[#This Row],[بدهی سررسید شده (کیلوگرم)]]*Main[[#This Row],[روز از ارسال سفارش]]</f>
        <v>0</v>
      </c>
      <c r="U1141" s="6">
        <f>-SUBTOTAL(9,INDEX(Main[مقدار (کیلوگرم)],1):Main[[#This Row],[مقدار (کیلوگرم)]])</f>
        <v>32882</v>
      </c>
      <c r="V114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1" s="6">
        <f>Main[[#This Row],[تعداد کل روزهای بدهکار (روز)]]*Main[[#This Row],[مانده در خط کل (کیلوگرم)]]</f>
        <v>65764</v>
      </c>
      <c r="X1141" s="6">
        <f ca="1">-SUBTOTAL(9,INDEX(Main[مقدار تسویه شده (کیلوگرم)],1):Main[[#This Row],[مقدار تسویه شده (کیلوگرم)]])</f>
        <v>32882</v>
      </c>
      <c r="Y1141" s="6">
        <f ca="1">IF(Main[[#This Row],[مانده در خط تسویه شده (کیلوگرم)]]&lt;&gt;0,Main[[#This Row],[تعداد کل روزهای بدهکار (روز)]],0)</f>
        <v>2</v>
      </c>
      <c r="Z1141" s="6">
        <f ca="1">Main[[#This Row],[تعداد روزهای بدهکار تسویه شده (روز)]]*Main[[#This Row],[مانده در خط تسویه شده (کیلوگرم)]]</f>
        <v>65764</v>
      </c>
      <c r="AA1141" s="6">
        <f ca="1">SUBTOTAL(9,INDEX(Main[بدهی تسویه نشده (کیلوگرم)],1):Main[[#This Row],[بدهی تسویه نشده (کیلوگرم)]])</f>
        <v>0</v>
      </c>
      <c r="AB1141" s="6">
        <f ca="1">IF(Main[[#This Row],[مانده در خط تسویه نشده (کیلوگرم)]]&lt;&gt;0,Main[[#This Row],[تعداد کل روزهای بدهکار (روز)]],0)</f>
        <v>0</v>
      </c>
      <c r="AC1141" s="6">
        <f ca="1">Main[[#This Row],[تعداد روزهای بدهکار  تسویه نشده (روز)]]*Main[[#This Row],[مانده در خط تسویه نشده (کیلوگرم)]]</f>
        <v>0</v>
      </c>
      <c r="AD1141" s="6">
        <f ca="1">SUBTOTAL(9,INDEX(Main[بدهی سررسید شده (کیلوگرم)],1):Main[[#This Row],[بدهی سررسید شده (کیلوگرم)]])</f>
        <v>0</v>
      </c>
      <c r="AE1141" s="6">
        <f ca="1">IF(Main[[#This Row],[مانده در خط سررسید شده (کیلوگرم)]]&lt;&gt;0,Main[[#This Row],[تعداد کل روزهای بدهکار (روز)]],0)</f>
        <v>0</v>
      </c>
      <c r="AF1141" s="6">
        <f ca="1">Main[[#This Row],[تعداد روزهای بدهکار سررسید شده (روز)]]*Main[[#This Row],[مانده در خط سررسید شده (کیلوگرم)]]</f>
        <v>0</v>
      </c>
    </row>
    <row r="1142" spans="1:32" hidden="1" x14ac:dyDescent="0.35">
      <c r="A1142" s="5">
        <f>ROW()-ROW(INDEX(Main[ردیف],1))+1</f>
        <v>1140</v>
      </c>
      <c r="B1142" s="31">
        <f>SUBTOTAL(2,INDEX(Main[ردیف],1):Main[[#This Row],[ردیف]])</f>
        <v>105</v>
      </c>
      <c r="C1142" s="32" t="s">
        <v>625</v>
      </c>
      <c r="D1142" s="32" t="str">
        <f>_xlfn.CONCAT("14",Main[[#This Row],[تاريخ]])</f>
        <v>1400/04/29</v>
      </c>
      <c r="E1142" s="33">
        <v>44397</v>
      </c>
      <c r="F1142" s="32">
        <v>30006</v>
      </c>
      <c r="G1142" s="5" t="str">
        <f>INDEX(customer[عنوان],MATCH(Main[[#This Row],[کد ردیابی]],customer[کد],0))</f>
        <v xml:space="preserve">توان جم </v>
      </c>
      <c r="H1142">
        <v>1579</v>
      </c>
      <c r="I1142" s="6">
        <f ca="1">-Main[[#This Row],[بدهی تسویه شده (کیلوگرم)]]+Main[[#This Row],[بستانکار (کیلوگرم)]]</f>
        <v>1579</v>
      </c>
      <c r="J1142" s="6">
        <f>IF(Main[[#This Row],[مقدار (کیلوگرم)]]&gt;0,Main[[#This Row],[مقدار (کیلوگرم)]],0)</f>
        <v>1579</v>
      </c>
      <c r="K1142" s="6">
        <f>-IF(Main[[#This Row],[مقدار (کیلوگرم)]]&lt;0,Main[[#This Row],[مقدار (کیلوگرم)]],0)</f>
        <v>0</v>
      </c>
      <c r="L11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2" s="7">
        <f>-IF(AND(Main[[#This Row],[مقدار (کیلوگرم)]]&lt;0,Main[[#This Row],[تاريخ میلادی]]&gt;44276),Main[[#This Row],[مقدار (کیلوگرم)]],0)</f>
        <v>0</v>
      </c>
      <c r="N1142" s="6">
        <f ca="1">Main[[#This Row],[بدهکار (کیلوگرم)]]-Main[[#This Row],[بدهی تسویه نشده (کیلوگرم)]]</f>
        <v>0</v>
      </c>
      <c r="O1142" s="6">
        <f ca="1">Main[[#This Row],[تفکیک]]</f>
        <v>0</v>
      </c>
      <c r="P1142" s="6">
        <f ca="1">IF(Main[[#This Row],[تاخیر از سررسید]]&gt;0,Main[[#This Row],[بدهی تسویه نشده (کیلوگرم)]],0)</f>
        <v>0</v>
      </c>
      <c r="Q1142" s="6">
        <f ca="1">IF(Main[[#This Row],[بدهی تسویه نشده (کیلوگرم)]]&gt;0,'گزارش فردی'!$B$7-Main[[#This Row],[تاريخ میلادی]],0)</f>
        <v>0</v>
      </c>
      <c r="R1142" s="6">
        <f ca="1">IF(Main[[#This Row],[بدهی تسویه نشده (کیلوگرم)]]&gt;0,'گزارش فردی'!$B$7-Main[[#This Row],[تاريخ میلادی]]-'گزارش فردی'!$B$8,0)</f>
        <v>0</v>
      </c>
      <c r="S1142" s="6">
        <f ca="1">Main[[#This Row],[روز از ارسال سفارش]]*Main[[#This Row],[بدهی تسویه نشده (کیلوگرم)]]</f>
        <v>0</v>
      </c>
      <c r="T1142" s="6">
        <f ca="1">Main[[#This Row],[بدهی سررسید شده (کیلوگرم)]]*Main[[#This Row],[روز از ارسال سفارش]]</f>
        <v>0</v>
      </c>
      <c r="U1142" s="6">
        <f>-SUBTOTAL(9,INDEX(Main[مقدار (کیلوگرم)],1):Main[[#This Row],[مقدار (کیلوگرم)]])</f>
        <v>32882</v>
      </c>
      <c r="V114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2" s="6">
        <f>Main[[#This Row],[تعداد کل روزهای بدهکار (روز)]]*Main[[#This Row],[مانده در خط کل (کیلوگرم)]]</f>
        <v>65764</v>
      </c>
      <c r="X1142" s="6">
        <f ca="1">-SUBTOTAL(9,INDEX(Main[مقدار تسویه شده (کیلوگرم)],1):Main[[#This Row],[مقدار تسویه شده (کیلوگرم)]])</f>
        <v>32882</v>
      </c>
      <c r="Y1142" s="6">
        <f ca="1">IF(Main[[#This Row],[مانده در خط تسویه شده (کیلوگرم)]]&lt;&gt;0,Main[[#This Row],[تعداد کل روزهای بدهکار (روز)]],0)</f>
        <v>2</v>
      </c>
      <c r="Z1142" s="6">
        <f ca="1">Main[[#This Row],[تعداد روزهای بدهکار تسویه شده (روز)]]*Main[[#This Row],[مانده در خط تسویه شده (کیلوگرم)]]</f>
        <v>65764</v>
      </c>
      <c r="AA1142" s="6">
        <f ca="1">SUBTOTAL(9,INDEX(Main[بدهی تسویه نشده (کیلوگرم)],1):Main[[#This Row],[بدهی تسویه نشده (کیلوگرم)]])</f>
        <v>0</v>
      </c>
      <c r="AB1142" s="6">
        <f ca="1">IF(Main[[#This Row],[مانده در خط تسویه نشده (کیلوگرم)]]&lt;&gt;0,Main[[#This Row],[تعداد کل روزهای بدهکار (روز)]],0)</f>
        <v>0</v>
      </c>
      <c r="AC1142" s="6">
        <f ca="1">Main[[#This Row],[تعداد روزهای بدهکار  تسویه نشده (روز)]]*Main[[#This Row],[مانده در خط تسویه نشده (کیلوگرم)]]</f>
        <v>0</v>
      </c>
      <c r="AD1142" s="6">
        <f ca="1">SUBTOTAL(9,INDEX(Main[بدهی سررسید شده (کیلوگرم)],1):Main[[#This Row],[بدهی سررسید شده (کیلوگرم)]])</f>
        <v>0</v>
      </c>
      <c r="AE1142" s="6">
        <f ca="1">IF(Main[[#This Row],[مانده در خط سررسید شده (کیلوگرم)]]&lt;&gt;0,Main[[#This Row],[تعداد کل روزهای بدهکار (روز)]],0)</f>
        <v>0</v>
      </c>
      <c r="AF1142" s="6">
        <f ca="1">Main[[#This Row],[تعداد روزهای بدهکار سررسید شده (روز)]]*Main[[#This Row],[مانده در خط سررسید شده (کیلوگرم)]]</f>
        <v>0</v>
      </c>
    </row>
    <row r="1143" spans="1:32" hidden="1" x14ac:dyDescent="0.35">
      <c r="A1143" s="5">
        <f>ROW()-ROW(INDEX(Main[ردیف],1))+1</f>
        <v>1141</v>
      </c>
      <c r="B1143" s="31">
        <f>SUBTOTAL(2,INDEX(Main[ردیف],1):Main[[#This Row],[ردیف]])</f>
        <v>105</v>
      </c>
      <c r="C1143" s="32" t="s">
        <v>625</v>
      </c>
      <c r="D1143" s="32" t="str">
        <f>_xlfn.CONCAT("14",Main[[#This Row],[تاريخ]])</f>
        <v>1400/04/29</v>
      </c>
      <c r="E1143" s="33">
        <v>44397</v>
      </c>
      <c r="F1143" s="32">
        <v>30006</v>
      </c>
      <c r="G1143" s="5" t="str">
        <f>INDEX(customer[عنوان],MATCH(Main[[#This Row],[کد ردیابی]],customer[کد],0))</f>
        <v xml:space="preserve">توان جم </v>
      </c>
      <c r="H1143">
        <v>460</v>
      </c>
      <c r="I1143" s="6">
        <f ca="1">-Main[[#This Row],[بدهی تسویه شده (کیلوگرم)]]+Main[[#This Row],[بستانکار (کیلوگرم)]]</f>
        <v>460</v>
      </c>
      <c r="J1143" s="6">
        <f>IF(Main[[#This Row],[مقدار (کیلوگرم)]]&gt;0,Main[[#This Row],[مقدار (کیلوگرم)]],0)</f>
        <v>460</v>
      </c>
      <c r="K1143" s="6">
        <f>-IF(Main[[#This Row],[مقدار (کیلوگرم)]]&lt;0,Main[[#This Row],[مقدار (کیلوگرم)]],0)</f>
        <v>0</v>
      </c>
      <c r="L11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3" s="7">
        <f>-IF(AND(Main[[#This Row],[مقدار (کیلوگرم)]]&lt;0,Main[[#This Row],[تاريخ میلادی]]&gt;44276),Main[[#This Row],[مقدار (کیلوگرم)]],0)</f>
        <v>0</v>
      </c>
      <c r="N1143" s="6">
        <f ca="1">Main[[#This Row],[بدهکار (کیلوگرم)]]-Main[[#This Row],[بدهی تسویه نشده (کیلوگرم)]]</f>
        <v>0</v>
      </c>
      <c r="O1143" s="6">
        <f ca="1">Main[[#This Row],[تفکیک]]</f>
        <v>0</v>
      </c>
      <c r="P1143" s="6">
        <f ca="1">IF(Main[[#This Row],[تاخیر از سررسید]]&gt;0,Main[[#This Row],[بدهی تسویه نشده (کیلوگرم)]],0)</f>
        <v>0</v>
      </c>
      <c r="Q1143" s="6">
        <f ca="1">IF(Main[[#This Row],[بدهی تسویه نشده (کیلوگرم)]]&gt;0,'گزارش فردی'!$B$7-Main[[#This Row],[تاريخ میلادی]],0)</f>
        <v>0</v>
      </c>
      <c r="R1143" s="6">
        <f ca="1">IF(Main[[#This Row],[بدهی تسویه نشده (کیلوگرم)]]&gt;0,'گزارش فردی'!$B$7-Main[[#This Row],[تاريخ میلادی]]-'گزارش فردی'!$B$8,0)</f>
        <v>0</v>
      </c>
      <c r="S1143" s="6">
        <f ca="1">Main[[#This Row],[روز از ارسال سفارش]]*Main[[#This Row],[بدهی تسویه نشده (کیلوگرم)]]</f>
        <v>0</v>
      </c>
      <c r="T1143" s="6">
        <f ca="1">Main[[#This Row],[بدهی سررسید شده (کیلوگرم)]]*Main[[#This Row],[روز از ارسال سفارش]]</f>
        <v>0</v>
      </c>
      <c r="U1143" s="6">
        <f>-SUBTOTAL(9,INDEX(Main[مقدار (کیلوگرم)],1):Main[[#This Row],[مقدار (کیلوگرم)]])</f>
        <v>32882</v>
      </c>
      <c r="V114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3" s="6">
        <f>Main[[#This Row],[تعداد کل روزهای بدهکار (روز)]]*Main[[#This Row],[مانده در خط کل (کیلوگرم)]]</f>
        <v>65764</v>
      </c>
      <c r="X1143" s="6">
        <f ca="1">-SUBTOTAL(9,INDEX(Main[مقدار تسویه شده (کیلوگرم)],1):Main[[#This Row],[مقدار تسویه شده (کیلوگرم)]])</f>
        <v>32882</v>
      </c>
      <c r="Y1143" s="6">
        <f ca="1">IF(Main[[#This Row],[مانده در خط تسویه شده (کیلوگرم)]]&lt;&gt;0,Main[[#This Row],[تعداد کل روزهای بدهکار (روز)]],0)</f>
        <v>2</v>
      </c>
      <c r="Z1143" s="6">
        <f ca="1">Main[[#This Row],[تعداد روزهای بدهکار تسویه شده (روز)]]*Main[[#This Row],[مانده در خط تسویه شده (کیلوگرم)]]</f>
        <v>65764</v>
      </c>
      <c r="AA1143" s="6">
        <f ca="1">SUBTOTAL(9,INDEX(Main[بدهی تسویه نشده (کیلوگرم)],1):Main[[#This Row],[بدهی تسویه نشده (کیلوگرم)]])</f>
        <v>0</v>
      </c>
      <c r="AB1143" s="6">
        <f ca="1">IF(Main[[#This Row],[مانده در خط تسویه نشده (کیلوگرم)]]&lt;&gt;0,Main[[#This Row],[تعداد کل روزهای بدهکار (روز)]],0)</f>
        <v>0</v>
      </c>
      <c r="AC1143" s="6">
        <f ca="1">Main[[#This Row],[تعداد روزهای بدهکار  تسویه نشده (روز)]]*Main[[#This Row],[مانده در خط تسویه نشده (کیلوگرم)]]</f>
        <v>0</v>
      </c>
      <c r="AD1143" s="6">
        <f ca="1">SUBTOTAL(9,INDEX(Main[بدهی سررسید شده (کیلوگرم)],1):Main[[#This Row],[بدهی سررسید شده (کیلوگرم)]])</f>
        <v>0</v>
      </c>
      <c r="AE1143" s="6">
        <f ca="1">IF(Main[[#This Row],[مانده در خط سررسید شده (کیلوگرم)]]&lt;&gt;0,Main[[#This Row],[تعداد کل روزهای بدهکار (روز)]],0)</f>
        <v>0</v>
      </c>
      <c r="AF1143" s="6">
        <f ca="1">Main[[#This Row],[تعداد روزهای بدهکار سررسید شده (روز)]]*Main[[#This Row],[مانده در خط سررسید شده (کیلوگرم)]]</f>
        <v>0</v>
      </c>
    </row>
    <row r="1144" spans="1:32" hidden="1" x14ac:dyDescent="0.35">
      <c r="A1144" s="5">
        <f>ROW()-ROW(INDEX(Main[ردیف],1))+1</f>
        <v>1142</v>
      </c>
      <c r="B1144" s="31">
        <f>SUBTOTAL(2,INDEX(Main[ردیف],1):Main[[#This Row],[ردیف]])</f>
        <v>105</v>
      </c>
      <c r="C1144" s="32" t="s">
        <v>625</v>
      </c>
      <c r="D1144" s="32" t="str">
        <f>_xlfn.CONCAT("14",Main[[#This Row],[تاريخ]])</f>
        <v>1400/04/29</v>
      </c>
      <c r="E1144" s="33">
        <v>44397</v>
      </c>
      <c r="F1144" s="32">
        <v>30004</v>
      </c>
      <c r="G1144" s="5" t="str">
        <f>INDEX(customer[عنوان],MATCH(Main[[#This Row],[کد ردیابی]],customer[کد],0))</f>
        <v>تولیدی صنعتی صفاشیر پارس</v>
      </c>
      <c r="H1144">
        <v>1885</v>
      </c>
      <c r="I1144" s="6">
        <f ca="1">-Main[[#This Row],[بدهی تسویه شده (کیلوگرم)]]+Main[[#This Row],[بستانکار (کیلوگرم)]]</f>
        <v>1885</v>
      </c>
      <c r="J1144" s="6">
        <f>IF(Main[[#This Row],[مقدار (کیلوگرم)]]&gt;0,Main[[#This Row],[مقدار (کیلوگرم)]],0)</f>
        <v>1885</v>
      </c>
      <c r="K1144" s="6">
        <f>-IF(Main[[#This Row],[مقدار (کیلوگرم)]]&lt;0,Main[[#This Row],[مقدار (کیلوگرم)]],0)</f>
        <v>0</v>
      </c>
      <c r="L11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4" s="7">
        <f>-IF(AND(Main[[#This Row],[مقدار (کیلوگرم)]]&lt;0,Main[[#This Row],[تاريخ میلادی]]&gt;44276),Main[[#This Row],[مقدار (کیلوگرم)]],0)</f>
        <v>0</v>
      </c>
      <c r="N1144" s="6">
        <f ca="1">Main[[#This Row],[بدهکار (کیلوگرم)]]-Main[[#This Row],[بدهی تسویه نشده (کیلوگرم)]]</f>
        <v>0</v>
      </c>
      <c r="O1144" s="6">
        <f ca="1">Main[[#This Row],[تفکیک]]</f>
        <v>0</v>
      </c>
      <c r="P1144" s="6">
        <f ca="1">IF(Main[[#This Row],[تاخیر از سررسید]]&gt;0,Main[[#This Row],[بدهی تسویه نشده (کیلوگرم)]],0)</f>
        <v>0</v>
      </c>
      <c r="Q1144" s="6">
        <f ca="1">IF(Main[[#This Row],[بدهی تسویه نشده (کیلوگرم)]]&gt;0,'گزارش فردی'!$B$7-Main[[#This Row],[تاريخ میلادی]],0)</f>
        <v>0</v>
      </c>
      <c r="R1144" s="6">
        <f ca="1">IF(Main[[#This Row],[بدهی تسویه نشده (کیلوگرم)]]&gt;0,'گزارش فردی'!$B$7-Main[[#This Row],[تاريخ میلادی]]-'گزارش فردی'!$B$8,0)</f>
        <v>0</v>
      </c>
      <c r="S1144" s="6">
        <f ca="1">Main[[#This Row],[روز از ارسال سفارش]]*Main[[#This Row],[بدهی تسویه نشده (کیلوگرم)]]</f>
        <v>0</v>
      </c>
      <c r="T1144" s="6">
        <f ca="1">Main[[#This Row],[بدهی سررسید شده (کیلوگرم)]]*Main[[#This Row],[روز از ارسال سفارش]]</f>
        <v>0</v>
      </c>
      <c r="U1144" s="6">
        <f>-SUBTOTAL(9,INDEX(Main[مقدار (کیلوگرم)],1):Main[[#This Row],[مقدار (کیلوگرم)]])</f>
        <v>32882</v>
      </c>
      <c r="V114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4" s="6">
        <f>Main[[#This Row],[تعداد کل روزهای بدهکار (روز)]]*Main[[#This Row],[مانده در خط کل (کیلوگرم)]]</f>
        <v>65764</v>
      </c>
      <c r="X1144" s="6">
        <f ca="1">-SUBTOTAL(9,INDEX(Main[مقدار تسویه شده (کیلوگرم)],1):Main[[#This Row],[مقدار تسویه شده (کیلوگرم)]])</f>
        <v>32882</v>
      </c>
      <c r="Y1144" s="6">
        <f ca="1">IF(Main[[#This Row],[مانده در خط تسویه شده (کیلوگرم)]]&lt;&gt;0,Main[[#This Row],[تعداد کل روزهای بدهکار (روز)]],0)</f>
        <v>2</v>
      </c>
      <c r="Z1144" s="6">
        <f ca="1">Main[[#This Row],[تعداد روزهای بدهکار تسویه شده (روز)]]*Main[[#This Row],[مانده در خط تسویه شده (کیلوگرم)]]</f>
        <v>65764</v>
      </c>
      <c r="AA1144" s="6">
        <f ca="1">SUBTOTAL(9,INDEX(Main[بدهی تسویه نشده (کیلوگرم)],1):Main[[#This Row],[بدهی تسویه نشده (کیلوگرم)]])</f>
        <v>0</v>
      </c>
      <c r="AB1144" s="6">
        <f ca="1">IF(Main[[#This Row],[مانده در خط تسویه نشده (کیلوگرم)]]&lt;&gt;0,Main[[#This Row],[تعداد کل روزهای بدهکار (روز)]],0)</f>
        <v>0</v>
      </c>
      <c r="AC1144" s="6">
        <f ca="1">Main[[#This Row],[تعداد روزهای بدهکار  تسویه نشده (روز)]]*Main[[#This Row],[مانده در خط تسویه نشده (کیلوگرم)]]</f>
        <v>0</v>
      </c>
      <c r="AD1144" s="6">
        <f ca="1">SUBTOTAL(9,INDEX(Main[بدهی سررسید شده (کیلوگرم)],1):Main[[#This Row],[بدهی سررسید شده (کیلوگرم)]])</f>
        <v>0</v>
      </c>
      <c r="AE1144" s="6">
        <f ca="1">IF(Main[[#This Row],[مانده در خط سررسید شده (کیلوگرم)]]&lt;&gt;0,Main[[#This Row],[تعداد کل روزهای بدهکار (روز)]],0)</f>
        <v>0</v>
      </c>
      <c r="AF1144" s="6">
        <f ca="1">Main[[#This Row],[تعداد روزهای بدهکار سررسید شده (روز)]]*Main[[#This Row],[مانده در خط سررسید شده (کیلوگرم)]]</f>
        <v>0</v>
      </c>
    </row>
    <row r="1145" spans="1:32" hidden="1" x14ac:dyDescent="0.35">
      <c r="A1145" s="5">
        <f>ROW()-ROW(INDEX(Main[ردیف],1))+1</f>
        <v>1143</v>
      </c>
      <c r="B1145" s="31">
        <f>SUBTOTAL(2,INDEX(Main[ردیف],1):Main[[#This Row],[ردیف]])</f>
        <v>105</v>
      </c>
      <c r="C1145" s="32" t="s">
        <v>625</v>
      </c>
      <c r="D1145" s="32" t="str">
        <f>_xlfn.CONCAT("14",Main[[#This Row],[تاريخ]])</f>
        <v>1400/04/29</v>
      </c>
      <c r="E1145" s="33">
        <v>44397</v>
      </c>
      <c r="F1145" s="32">
        <v>30009</v>
      </c>
      <c r="G1145" s="5" t="str">
        <f>INDEX(customer[عنوان],MATCH(Main[[#This Row],[کد ردیابی]],customer[کد],0))</f>
        <v>شرکت ایمن تک پیشرو</v>
      </c>
      <c r="H1145">
        <v>2045</v>
      </c>
      <c r="I1145" s="6">
        <f ca="1">-Main[[#This Row],[بدهی تسویه شده (کیلوگرم)]]+Main[[#This Row],[بستانکار (کیلوگرم)]]</f>
        <v>2045</v>
      </c>
      <c r="J1145" s="6">
        <f>IF(Main[[#This Row],[مقدار (کیلوگرم)]]&gt;0,Main[[#This Row],[مقدار (کیلوگرم)]],0)</f>
        <v>2045</v>
      </c>
      <c r="K1145" s="6">
        <f>-IF(Main[[#This Row],[مقدار (کیلوگرم)]]&lt;0,Main[[#This Row],[مقدار (کیلوگرم)]],0)</f>
        <v>0</v>
      </c>
      <c r="L11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5" s="7">
        <f>-IF(AND(Main[[#This Row],[مقدار (کیلوگرم)]]&lt;0,Main[[#This Row],[تاريخ میلادی]]&gt;44276),Main[[#This Row],[مقدار (کیلوگرم)]],0)</f>
        <v>0</v>
      </c>
      <c r="N1145" s="6">
        <f ca="1">Main[[#This Row],[بدهکار (کیلوگرم)]]-Main[[#This Row],[بدهی تسویه نشده (کیلوگرم)]]</f>
        <v>0</v>
      </c>
      <c r="O1145" s="6">
        <f ca="1">Main[[#This Row],[تفکیک]]</f>
        <v>0</v>
      </c>
      <c r="P1145" s="6">
        <f ca="1">IF(Main[[#This Row],[تاخیر از سررسید]]&gt;0,Main[[#This Row],[بدهی تسویه نشده (کیلوگرم)]],0)</f>
        <v>0</v>
      </c>
      <c r="Q1145" s="6">
        <f ca="1">IF(Main[[#This Row],[بدهی تسویه نشده (کیلوگرم)]]&gt;0,'گزارش فردی'!$B$7-Main[[#This Row],[تاريخ میلادی]],0)</f>
        <v>0</v>
      </c>
      <c r="R1145" s="6">
        <f ca="1">IF(Main[[#This Row],[بدهی تسویه نشده (کیلوگرم)]]&gt;0,'گزارش فردی'!$B$7-Main[[#This Row],[تاريخ میلادی]]-'گزارش فردی'!$B$8,0)</f>
        <v>0</v>
      </c>
      <c r="S1145" s="6">
        <f ca="1">Main[[#This Row],[روز از ارسال سفارش]]*Main[[#This Row],[بدهی تسویه نشده (کیلوگرم)]]</f>
        <v>0</v>
      </c>
      <c r="T1145" s="6">
        <f ca="1">Main[[#This Row],[بدهی سررسید شده (کیلوگرم)]]*Main[[#This Row],[روز از ارسال سفارش]]</f>
        <v>0</v>
      </c>
      <c r="U1145" s="6">
        <f>-SUBTOTAL(9,INDEX(Main[مقدار (کیلوگرم)],1):Main[[#This Row],[مقدار (کیلوگرم)]])</f>
        <v>32882</v>
      </c>
      <c r="V11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5" s="6">
        <f>Main[[#This Row],[تعداد کل روزهای بدهکار (روز)]]*Main[[#This Row],[مانده در خط کل (کیلوگرم)]]</f>
        <v>65764</v>
      </c>
      <c r="X1145" s="6">
        <f ca="1">-SUBTOTAL(9,INDEX(Main[مقدار تسویه شده (کیلوگرم)],1):Main[[#This Row],[مقدار تسویه شده (کیلوگرم)]])</f>
        <v>32882</v>
      </c>
      <c r="Y1145" s="6">
        <f ca="1">IF(Main[[#This Row],[مانده در خط تسویه شده (کیلوگرم)]]&lt;&gt;0,Main[[#This Row],[تعداد کل روزهای بدهکار (روز)]],0)</f>
        <v>2</v>
      </c>
      <c r="Z1145" s="6">
        <f ca="1">Main[[#This Row],[تعداد روزهای بدهکار تسویه شده (روز)]]*Main[[#This Row],[مانده در خط تسویه شده (کیلوگرم)]]</f>
        <v>65764</v>
      </c>
      <c r="AA1145" s="6">
        <f ca="1">SUBTOTAL(9,INDEX(Main[بدهی تسویه نشده (کیلوگرم)],1):Main[[#This Row],[بدهی تسویه نشده (کیلوگرم)]])</f>
        <v>0</v>
      </c>
      <c r="AB1145" s="6">
        <f ca="1">IF(Main[[#This Row],[مانده در خط تسویه نشده (کیلوگرم)]]&lt;&gt;0,Main[[#This Row],[تعداد کل روزهای بدهکار (روز)]],0)</f>
        <v>0</v>
      </c>
      <c r="AC1145" s="6">
        <f ca="1">Main[[#This Row],[تعداد روزهای بدهکار  تسویه نشده (روز)]]*Main[[#This Row],[مانده در خط تسویه نشده (کیلوگرم)]]</f>
        <v>0</v>
      </c>
      <c r="AD1145" s="6">
        <f ca="1">SUBTOTAL(9,INDEX(Main[بدهی سررسید شده (کیلوگرم)],1):Main[[#This Row],[بدهی سررسید شده (کیلوگرم)]])</f>
        <v>0</v>
      </c>
      <c r="AE1145" s="6">
        <f ca="1">IF(Main[[#This Row],[مانده در خط سررسید شده (کیلوگرم)]]&lt;&gt;0,Main[[#This Row],[تعداد کل روزهای بدهکار (روز)]],0)</f>
        <v>0</v>
      </c>
      <c r="AF1145" s="6">
        <f ca="1">Main[[#This Row],[تعداد روزهای بدهکار سررسید شده (روز)]]*Main[[#This Row],[مانده در خط سررسید شده (کیلوگرم)]]</f>
        <v>0</v>
      </c>
    </row>
    <row r="1146" spans="1:32" hidden="1" x14ac:dyDescent="0.35">
      <c r="A1146" s="5">
        <f>ROW()-ROW(INDEX(Main[ردیف],1))+1</f>
        <v>1144</v>
      </c>
      <c r="B1146" s="31">
        <f>SUBTOTAL(2,INDEX(Main[ردیف],1):Main[[#This Row],[ردیف]])</f>
        <v>105</v>
      </c>
      <c r="C1146" s="32" t="s">
        <v>626</v>
      </c>
      <c r="D1146" s="32" t="str">
        <f>_xlfn.CONCAT("14",Main[[#This Row],[تاريخ]])</f>
        <v>1400/04/31</v>
      </c>
      <c r="E1146" s="33">
        <v>44399</v>
      </c>
      <c r="F1146" s="32">
        <v>30066</v>
      </c>
      <c r="G1146" s="5" t="str">
        <f>INDEX(customer[عنوان],MATCH(Main[[#This Row],[کد ردیابی]],customer[کد],0))</f>
        <v xml:space="preserve">شیر آلات بهداشتی قهرمان </v>
      </c>
      <c r="H1146">
        <v>-4317</v>
      </c>
      <c r="I1146" s="6">
        <f ca="1">-Main[[#This Row],[بدهی تسویه شده (کیلوگرم)]]+Main[[#This Row],[بستانکار (کیلوگرم)]]</f>
        <v>-4317</v>
      </c>
      <c r="J1146" s="6">
        <f>IF(Main[[#This Row],[مقدار (کیلوگرم)]]&gt;0,Main[[#This Row],[مقدار (کیلوگرم)]],0)</f>
        <v>0</v>
      </c>
      <c r="K1146" s="6">
        <f>-IF(Main[[#This Row],[مقدار (کیلوگرم)]]&lt;0,Main[[#This Row],[مقدار (کیلوگرم)]],0)</f>
        <v>4317</v>
      </c>
      <c r="L11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6" s="7">
        <f>-IF(AND(Main[[#This Row],[مقدار (کیلوگرم)]]&lt;0,Main[[#This Row],[تاريخ میلادی]]&gt;44276),Main[[#This Row],[مقدار (کیلوگرم)]],0)</f>
        <v>4317</v>
      </c>
      <c r="N1146" s="6">
        <f ca="1">Main[[#This Row],[بدهکار (کیلوگرم)]]-Main[[#This Row],[بدهی تسویه نشده (کیلوگرم)]]</f>
        <v>4317</v>
      </c>
      <c r="O1146" s="6">
        <f ca="1">Main[[#This Row],[تفکیک]]</f>
        <v>0</v>
      </c>
      <c r="P1146" s="6">
        <f ca="1">IF(Main[[#This Row],[تاخیر از سررسید]]&gt;0,Main[[#This Row],[بدهی تسویه نشده (کیلوگرم)]],0)</f>
        <v>0</v>
      </c>
      <c r="Q1146" s="6">
        <f ca="1">IF(Main[[#This Row],[بدهی تسویه نشده (کیلوگرم)]]&gt;0,'گزارش فردی'!$B$7-Main[[#This Row],[تاريخ میلادی]],0)</f>
        <v>0</v>
      </c>
      <c r="R1146" s="6">
        <f ca="1">IF(Main[[#This Row],[بدهی تسویه نشده (کیلوگرم)]]&gt;0,'گزارش فردی'!$B$7-Main[[#This Row],[تاريخ میلادی]]-'گزارش فردی'!$B$8,0)</f>
        <v>0</v>
      </c>
      <c r="S1146" s="6">
        <f ca="1">Main[[#This Row],[روز از ارسال سفارش]]*Main[[#This Row],[بدهی تسویه نشده (کیلوگرم)]]</f>
        <v>0</v>
      </c>
      <c r="T1146" s="6">
        <f ca="1">Main[[#This Row],[بدهی سررسید شده (کیلوگرم)]]*Main[[#This Row],[روز از ارسال سفارش]]</f>
        <v>0</v>
      </c>
      <c r="U1146" s="6">
        <f>-SUBTOTAL(9,INDEX(Main[مقدار (کیلوگرم)],1):Main[[#This Row],[مقدار (کیلوگرم)]])</f>
        <v>32882</v>
      </c>
      <c r="V11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6" s="6">
        <f>Main[[#This Row],[تعداد کل روزهای بدهکار (روز)]]*Main[[#This Row],[مانده در خط کل (کیلوگرم)]]</f>
        <v>0</v>
      </c>
      <c r="X1146" s="6">
        <f ca="1">-SUBTOTAL(9,INDEX(Main[مقدار تسویه شده (کیلوگرم)],1):Main[[#This Row],[مقدار تسویه شده (کیلوگرم)]])</f>
        <v>32882</v>
      </c>
      <c r="Y1146" s="6">
        <f ca="1">IF(Main[[#This Row],[مانده در خط تسویه شده (کیلوگرم)]]&lt;&gt;0,Main[[#This Row],[تعداد کل روزهای بدهکار (روز)]],0)</f>
        <v>0</v>
      </c>
      <c r="Z1146" s="6">
        <f ca="1">Main[[#This Row],[تعداد روزهای بدهکار تسویه شده (روز)]]*Main[[#This Row],[مانده در خط تسویه شده (کیلوگرم)]]</f>
        <v>0</v>
      </c>
      <c r="AA1146" s="6">
        <f ca="1">SUBTOTAL(9,INDEX(Main[بدهی تسویه نشده (کیلوگرم)],1):Main[[#This Row],[بدهی تسویه نشده (کیلوگرم)]])</f>
        <v>0</v>
      </c>
      <c r="AB1146" s="6">
        <f ca="1">IF(Main[[#This Row],[مانده در خط تسویه نشده (کیلوگرم)]]&lt;&gt;0,Main[[#This Row],[تعداد کل روزهای بدهکار (روز)]],0)</f>
        <v>0</v>
      </c>
      <c r="AC1146" s="6">
        <f ca="1">Main[[#This Row],[تعداد روزهای بدهکار  تسویه نشده (روز)]]*Main[[#This Row],[مانده در خط تسویه نشده (کیلوگرم)]]</f>
        <v>0</v>
      </c>
      <c r="AD1146" s="6">
        <f ca="1">SUBTOTAL(9,INDEX(Main[بدهی سررسید شده (کیلوگرم)],1):Main[[#This Row],[بدهی سررسید شده (کیلوگرم)]])</f>
        <v>0</v>
      </c>
      <c r="AE1146" s="6">
        <f ca="1">IF(Main[[#This Row],[مانده در خط سررسید شده (کیلوگرم)]]&lt;&gt;0,Main[[#This Row],[تعداد کل روزهای بدهکار (روز)]],0)</f>
        <v>0</v>
      </c>
      <c r="AF1146" s="6">
        <f ca="1">Main[[#This Row],[تعداد روزهای بدهکار سررسید شده (روز)]]*Main[[#This Row],[مانده در خط سررسید شده (کیلوگرم)]]</f>
        <v>0</v>
      </c>
    </row>
    <row r="1147" spans="1:32" hidden="1" x14ac:dyDescent="0.35">
      <c r="A1147" s="5">
        <f>ROW()-ROW(INDEX(Main[ردیف],1))+1</f>
        <v>1145</v>
      </c>
      <c r="B1147" s="31">
        <f>SUBTOTAL(2,INDEX(Main[ردیف],1):Main[[#This Row],[ردیف]])</f>
        <v>105</v>
      </c>
      <c r="C1147" s="32" t="s">
        <v>626</v>
      </c>
      <c r="D1147" s="32" t="str">
        <f>_xlfn.CONCAT("14",Main[[#This Row],[تاريخ]])</f>
        <v>1400/04/31</v>
      </c>
      <c r="E1147" s="33">
        <v>44399</v>
      </c>
      <c r="F1147" s="32">
        <v>30009</v>
      </c>
      <c r="G1147" s="5" t="str">
        <f>INDEX(customer[عنوان],MATCH(Main[[#This Row],[کد ردیابی]],customer[کد],0))</f>
        <v>شرکت ایمن تک پیشرو</v>
      </c>
      <c r="H1147">
        <v>898</v>
      </c>
      <c r="I1147" s="6">
        <f ca="1">-Main[[#This Row],[بدهی تسویه شده (کیلوگرم)]]+Main[[#This Row],[بستانکار (کیلوگرم)]]</f>
        <v>898</v>
      </c>
      <c r="J1147" s="6">
        <f>IF(Main[[#This Row],[مقدار (کیلوگرم)]]&gt;0,Main[[#This Row],[مقدار (کیلوگرم)]],0)</f>
        <v>898</v>
      </c>
      <c r="K1147" s="6">
        <f>-IF(Main[[#This Row],[مقدار (کیلوگرم)]]&lt;0,Main[[#This Row],[مقدار (کیلوگرم)]],0)</f>
        <v>0</v>
      </c>
      <c r="L11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7" s="7">
        <f>-IF(AND(Main[[#This Row],[مقدار (کیلوگرم)]]&lt;0,Main[[#This Row],[تاريخ میلادی]]&gt;44276),Main[[#This Row],[مقدار (کیلوگرم)]],0)</f>
        <v>0</v>
      </c>
      <c r="N1147" s="6">
        <f ca="1">Main[[#This Row],[بدهکار (کیلوگرم)]]-Main[[#This Row],[بدهی تسویه نشده (کیلوگرم)]]</f>
        <v>0</v>
      </c>
      <c r="O1147" s="6">
        <f ca="1">Main[[#This Row],[تفکیک]]</f>
        <v>0</v>
      </c>
      <c r="P1147" s="6">
        <f ca="1">IF(Main[[#This Row],[تاخیر از سررسید]]&gt;0,Main[[#This Row],[بدهی تسویه نشده (کیلوگرم)]],0)</f>
        <v>0</v>
      </c>
      <c r="Q1147" s="6">
        <f ca="1">IF(Main[[#This Row],[بدهی تسویه نشده (کیلوگرم)]]&gt;0,'گزارش فردی'!$B$7-Main[[#This Row],[تاريخ میلادی]],0)</f>
        <v>0</v>
      </c>
      <c r="R1147" s="6">
        <f ca="1">IF(Main[[#This Row],[بدهی تسویه نشده (کیلوگرم)]]&gt;0,'گزارش فردی'!$B$7-Main[[#This Row],[تاريخ میلادی]]-'گزارش فردی'!$B$8,0)</f>
        <v>0</v>
      </c>
      <c r="S1147" s="6">
        <f ca="1">Main[[#This Row],[روز از ارسال سفارش]]*Main[[#This Row],[بدهی تسویه نشده (کیلوگرم)]]</f>
        <v>0</v>
      </c>
      <c r="T1147" s="6">
        <f ca="1">Main[[#This Row],[بدهی سررسید شده (کیلوگرم)]]*Main[[#This Row],[روز از ارسال سفارش]]</f>
        <v>0</v>
      </c>
      <c r="U1147" s="6">
        <f>-SUBTOTAL(9,INDEX(Main[مقدار (کیلوگرم)],1):Main[[#This Row],[مقدار (کیلوگرم)]])</f>
        <v>32882</v>
      </c>
      <c r="V11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7" s="6">
        <f>Main[[#This Row],[تعداد کل روزهای بدهکار (روز)]]*Main[[#This Row],[مانده در خط کل (کیلوگرم)]]</f>
        <v>0</v>
      </c>
      <c r="X1147" s="6">
        <f ca="1">-SUBTOTAL(9,INDEX(Main[مقدار تسویه شده (کیلوگرم)],1):Main[[#This Row],[مقدار تسویه شده (کیلوگرم)]])</f>
        <v>32882</v>
      </c>
      <c r="Y1147" s="6">
        <f ca="1">IF(Main[[#This Row],[مانده در خط تسویه شده (کیلوگرم)]]&lt;&gt;0,Main[[#This Row],[تعداد کل روزهای بدهکار (روز)]],0)</f>
        <v>0</v>
      </c>
      <c r="Z1147" s="6">
        <f ca="1">Main[[#This Row],[تعداد روزهای بدهکار تسویه شده (روز)]]*Main[[#This Row],[مانده در خط تسویه شده (کیلوگرم)]]</f>
        <v>0</v>
      </c>
      <c r="AA1147" s="6">
        <f ca="1">SUBTOTAL(9,INDEX(Main[بدهی تسویه نشده (کیلوگرم)],1):Main[[#This Row],[بدهی تسویه نشده (کیلوگرم)]])</f>
        <v>0</v>
      </c>
      <c r="AB1147" s="6">
        <f ca="1">IF(Main[[#This Row],[مانده در خط تسویه نشده (کیلوگرم)]]&lt;&gt;0,Main[[#This Row],[تعداد کل روزهای بدهکار (روز)]],0)</f>
        <v>0</v>
      </c>
      <c r="AC1147" s="6">
        <f ca="1">Main[[#This Row],[تعداد روزهای بدهکار  تسویه نشده (روز)]]*Main[[#This Row],[مانده در خط تسویه نشده (کیلوگرم)]]</f>
        <v>0</v>
      </c>
      <c r="AD1147" s="6">
        <f ca="1">SUBTOTAL(9,INDEX(Main[بدهی سررسید شده (کیلوگرم)],1):Main[[#This Row],[بدهی سررسید شده (کیلوگرم)]])</f>
        <v>0</v>
      </c>
      <c r="AE1147" s="6">
        <f ca="1">IF(Main[[#This Row],[مانده در خط سررسید شده (کیلوگرم)]]&lt;&gt;0,Main[[#This Row],[تعداد کل روزهای بدهکار (روز)]],0)</f>
        <v>0</v>
      </c>
      <c r="AF1147" s="6">
        <f ca="1">Main[[#This Row],[تعداد روزهای بدهکار سررسید شده (روز)]]*Main[[#This Row],[مانده در خط سررسید شده (کیلوگرم)]]</f>
        <v>0</v>
      </c>
    </row>
    <row r="1148" spans="1:32" hidden="1" x14ac:dyDescent="0.35">
      <c r="A1148" s="5">
        <f>ROW()-ROW(INDEX(Main[ردیف],1))+1</f>
        <v>1146</v>
      </c>
      <c r="B1148" s="31">
        <f>SUBTOTAL(2,INDEX(Main[ردیف],1):Main[[#This Row],[ردیف]])</f>
        <v>105</v>
      </c>
      <c r="C1148" s="32" t="s">
        <v>626</v>
      </c>
      <c r="D1148" s="32" t="str">
        <f>_xlfn.CONCAT("14",Main[[#This Row],[تاريخ]])</f>
        <v>1400/04/31</v>
      </c>
      <c r="E1148" s="33">
        <v>44399</v>
      </c>
      <c r="F1148" s="32">
        <v>30070</v>
      </c>
      <c r="G1148" s="5" t="str">
        <f>INDEX(customer[عنوان],MATCH(Main[[#This Row],[کد ردیابی]],customer[کد],0))</f>
        <v xml:space="preserve">تکنو تراش یادگار </v>
      </c>
      <c r="H1148">
        <v>-1053</v>
      </c>
      <c r="I1148" s="6">
        <f ca="1">-Main[[#This Row],[بدهی تسویه شده (کیلوگرم)]]+Main[[#This Row],[بستانکار (کیلوگرم)]]</f>
        <v>-1053</v>
      </c>
      <c r="J1148" s="6">
        <f>IF(Main[[#This Row],[مقدار (کیلوگرم)]]&gt;0,Main[[#This Row],[مقدار (کیلوگرم)]],0)</f>
        <v>0</v>
      </c>
      <c r="K1148" s="6">
        <f>-IF(Main[[#This Row],[مقدار (کیلوگرم)]]&lt;0,Main[[#This Row],[مقدار (کیلوگرم)]],0)</f>
        <v>1053</v>
      </c>
      <c r="L11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8" s="7">
        <f>-IF(AND(Main[[#This Row],[مقدار (کیلوگرم)]]&lt;0,Main[[#This Row],[تاريخ میلادی]]&gt;44276),Main[[#This Row],[مقدار (کیلوگرم)]],0)</f>
        <v>1053</v>
      </c>
      <c r="N1148" s="6">
        <f ca="1">Main[[#This Row],[بدهکار (کیلوگرم)]]-Main[[#This Row],[بدهی تسویه نشده (کیلوگرم)]]</f>
        <v>1053</v>
      </c>
      <c r="O1148" s="6">
        <f ca="1">Main[[#This Row],[تفکیک]]</f>
        <v>0</v>
      </c>
      <c r="P1148" s="6">
        <f ca="1">IF(Main[[#This Row],[تاخیر از سررسید]]&gt;0,Main[[#This Row],[بدهی تسویه نشده (کیلوگرم)]],0)</f>
        <v>0</v>
      </c>
      <c r="Q1148" s="6">
        <f ca="1">IF(Main[[#This Row],[بدهی تسویه نشده (کیلوگرم)]]&gt;0,'گزارش فردی'!$B$7-Main[[#This Row],[تاريخ میلادی]],0)</f>
        <v>0</v>
      </c>
      <c r="R1148" s="6">
        <f ca="1">IF(Main[[#This Row],[بدهی تسویه نشده (کیلوگرم)]]&gt;0,'گزارش فردی'!$B$7-Main[[#This Row],[تاريخ میلادی]]-'گزارش فردی'!$B$8,0)</f>
        <v>0</v>
      </c>
      <c r="S1148" s="6">
        <f ca="1">Main[[#This Row],[روز از ارسال سفارش]]*Main[[#This Row],[بدهی تسویه نشده (کیلوگرم)]]</f>
        <v>0</v>
      </c>
      <c r="T1148" s="6">
        <f ca="1">Main[[#This Row],[بدهی سررسید شده (کیلوگرم)]]*Main[[#This Row],[روز از ارسال سفارش]]</f>
        <v>0</v>
      </c>
      <c r="U1148" s="6">
        <f>-SUBTOTAL(9,INDEX(Main[مقدار (کیلوگرم)],1):Main[[#This Row],[مقدار (کیلوگرم)]])</f>
        <v>32882</v>
      </c>
      <c r="V11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8" s="6">
        <f>Main[[#This Row],[تعداد کل روزهای بدهکار (روز)]]*Main[[#This Row],[مانده در خط کل (کیلوگرم)]]</f>
        <v>0</v>
      </c>
      <c r="X1148" s="6">
        <f ca="1">-SUBTOTAL(9,INDEX(Main[مقدار تسویه شده (کیلوگرم)],1):Main[[#This Row],[مقدار تسویه شده (کیلوگرم)]])</f>
        <v>32882</v>
      </c>
      <c r="Y1148" s="6">
        <f ca="1">IF(Main[[#This Row],[مانده در خط تسویه شده (کیلوگرم)]]&lt;&gt;0,Main[[#This Row],[تعداد کل روزهای بدهکار (روز)]],0)</f>
        <v>0</v>
      </c>
      <c r="Z1148" s="6">
        <f ca="1">Main[[#This Row],[تعداد روزهای بدهکار تسویه شده (روز)]]*Main[[#This Row],[مانده در خط تسویه شده (کیلوگرم)]]</f>
        <v>0</v>
      </c>
      <c r="AA1148" s="6">
        <f ca="1">SUBTOTAL(9,INDEX(Main[بدهی تسویه نشده (کیلوگرم)],1):Main[[#This Row],[بدهی تسویه نشده (کیلوگرم)]])</f>
        <v>0</v>
      </c>
      <c r="AB1148" s="6">
        <f ca="1">IF(Main[[#This Row],[مانده در خط تسویه نشده (کیلوگرم)]]&lt;&gt;0,Main[[#This Row],[تعداد کل روزهای بدهکار (روز)]],0)</f>
        <v>0</v>
      </c>
      <c r="AC1148" s="6">
        <f ca="1">Main[[#This Row],[تعداد روزهای بدهکار  تسویه نشده (روز)]]*Main[[#This Row],[مانده در خط تسویه نشده (کیلوگرم)]]</f>
        <v>0</v>
      </c>
      <c r="AD1148" s="6">
        <f ca="1">SUBTOTAL(9,INDEX(Main[بدهی سررسید شده (کیلوگرم)],1):Main[[#This Row],[بدهی سررسید شده (کیلوگرم)]])</f>
        <v>0</v>
      </c>
      <c r="AE1148" s="6">
        <f ca="1">IF(Main[[#This Row],[مانده در خط سررسید شده (کیلوگرم)]]&lt;&gt;0,Main[[#This Row],[تعداد کل روزهای بدهکار (روز)]],0)</f>
        <v>0</v>
      </c>
      <c r="AF1148" s="6">
        <f ca="1">Main[[#This Row],[تعداد روزهای بدهکار سررسید شده (روز)]]*Main[[#This Row],[مانده در خط سررسید شده (کیلوگرم)]]</f>
        <v>0</v>
      </c>
    </row>
    <row r="1149" spans="1:32" hidden="1" x14ac:dyDescent="0.35">
      <c r="A1149" s="5">
        <f>ROW()-ROW(INDEX(Main[ردیف],1))+1</f>
        <v>1147</v>
      </c>
      <c r="B1149" s="31">
        <f>SUBTOTAL(2,INDEX(Main[ردیف],1):Main[[#This Row],[ردیف]])</f>
        <v>105</v>
      </c>
      <c r="C1149" s="32" t="s">
        <v>626</v>
      </c>
      <c r="D1149" s="32" t="str">
        <f>_xlfn.CONCAT("14",Main[[#This Row],[تاريخ]])</f>
        <v>1400/04/31</v>
      </c>
      <c r="E1149" s="33">
        <v>44399</v>
      </c>
      <c r="F1149" s="32">
        <v>30004</v>
      </c>
      <c r="G1149" s="5" t="str">
        <f>INDEX(customer[عنوان],MATCH(Main[[#This Row],[کد ردیابی]],customer[کد],0))</f>
        <v>تولیدی صنعتی صفاشیر پارس</v>
      </c>
      <c r="H1149">
        <v>14655</v>
      </c>
      <c r="I1149" s="6">
        <f ca="1">-Main[[#This Row],[بدهی تسویه شده (کیلوگرم)]]+Main[[#This Row],[بستانکار (کیلوگرم)]]</f>
        <v>14655</v>
      </c>
      <c r="J1149" s="6">
        <f>IF(Main[[#This Row],[مقدار (کیلوگرم)]]&gt;0,Main[[#This Row],[مقدار (کیلوگرم)]],0)</f>
        <v>14655</v>
      </c>
      <c r="K1149" s="6">
        <f>-IF(Main[[#This Row],[مقدار (کیلوگرم)]]&lt;0,Main[[#This Row],[مقدار (کیلوگرم)]],0)</f>
        <v>0</v>
      </c>
      <c r="L11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9" s="7">
        <f>-IF(AND(Main[[#This Row],[مقدار (کیلوگرم)]]&lt;0,Main[[#This Row],[تاريخ میلادی]]&gt;44276),Main[[#This Row],[مقدار (کیلوگرم)]],0)</f>
        <v>0</v>
      </c>
      <c r="N1149" s="6">
        <f ca="1">Main[[#This Row],[بدهکار (کیلوگرم)]]-Main[[#This Row],[بدهی تسویه نشده (کیلوگرم)]]</f>
        <v>0</v>
      </c>
      <c r="O1149" s="6">
        <f ca="1">Main[[#This Row],[تفکیک]]</f>
        <v>0</v>
      </c>
      <c r="P1149" s="6">
        <f ca="1">IF(Main[[#This Row],[تاخیر از سررسید]]&gt;0,Main[[#This Row],[بدهی تسویه نشده (کیلوگرم)]],0)</f>
        <v>0</v>
      </c>
      <c r="Q1149" s="6">
        <f ca="1">IF(Main[[#This Row],[بدهی تسویه نشده (کیلوگرم)]]&gt;0,'گزارش فردی'!$B$7-Main[[#This Row],[تاريخ میلادی]],0)</f>
        <v>0</v>
      </c>
      <c r="R1149" s="6">
        <f ca="1">IF(Main[[#This Row],[بدهی تسویه نشده (کیلوگرم)]]&gt;0,'گزارش فردی'!$B$7-Main[[#This Row],[تاريخ میلادی]]-'گزارش فردی'!$B$8,0)</f>
        <v>0</v>
      </c>
      <c r="S1149" s="6">
        <f ca="1">Main[[#This Row],[روز از ارسال سفارش]]*Main[[#This Row],[بدهی تسویه نشده (کیلوگرم)]]</f>
        <v>0</v>
      </c>
      <c r="T1149" s="6">
        <f ca="1">Main[[#This Row],[بدهی سررسید شده (کیلوگرم)]]*Main[[#This Row],[روز از ارسال سفارش]]</f>
        <v>0</v>
      </c>
      <c r="U1149" s="6">
        <f>-SUBTOTAL(9,INDEX(Main[مقدار (کیلوگرم)],1):Main[[#This Row],[مقدار (کیلوگرم)]])</f>
        <v>32882</v>
      </c>
      <c r="V11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9" s="6">
        <f>Main[[#This Row],[تعداد کل روزهای بدهکار (روز)]]*Main[[#This Row],[مانده در خط کل (کیلوگرم)]]</f>
        <v>0</v>
      </c>
      <c r="X1149" s="6">
        <f ca="1">-SUBTOTAL(9,INDEX(Main[مقدار تسویه شده (کیلوگرم)],1):Main[[#This Row],[مقدار تسویه شده (کیلوگرم)]])</f>
        <v>32882</v>
      </c>
      <c r="Y1149" s="6">
        <f ca="1">IF(Main[[#This Row],[مانده در خط تسویه شده (کیلوگرم)]]&lt;&gt;0,Main[[#This Row],[تعداد کل روزهای بدهکار (روز)]],0)</f>
        <v>0</v>
      </c>
      <c r="Z1149" s="6">
        <f ca="1">Main[[#This Row],[تعداد روزهای بدهکار تسویه شده (روز)]]*Main[[#This Row],[مانده در خط تسویه شده (کیلوگرم)]]</f>
        <v>0</v>
      </c>
      <c r="AA1149" s="6">
        <f ca="1">SUBTOTAL(9,INDEX(Main[بدهی تسویه نشده (کیلوگرم)],1):Main[[#This Row],[بدهی تسویه نشده (کیلوگرم)]])</f>
        <v>0</v>
      </c>
      <c r="AB1149" s="6">
        <f ca="1">IF(Main[[#This Row],[مانده در خط تسویه نشده (کیلوگرم)]]&lt;&gt;0,Main[[#This Row],[تعداد کل روزهای بدهکار (روز)]],0)</f>
        <v>0</v>
      </c>
      <c r="AC1149" s="6">
        <f ca="1">Main[[#This Row],[تعداد روزهای بدهکار  تسویه نشده (روز)]]*Main[[#This Row],[مانده در خط تسویه نشده (کیلوگرم)]]</f>
        <v>0</v>
      </c>
      <c r="AD1149" s="6">
        <f ca="1">SUBTOTAL(9,INDEX(Main[بدهی سررسید شده (کیلوگرم)],1):Main[[#This Row],[بدهی سررسید شده (کیلوگرم)]])</f>
        <v>0</v>
      </c>
      <c r="AE1149" s="6">
        <f ca="1">IF(Main[[#This Row],[مانده در خط سررسید شده (کیلوگرم)]]&lt;&gt;0,Main[[#This Row],[تعداد کل روزهای بدهکار (روز)]],0)</f>
        <v>0</v>
      </c>
      <c r="AF1149" s="6">
        <f ca="1">Main[[#This Row],[تعداد روزهای بدهکار سررسید شده (روز)]]*Main[[#This Row],[مانده در خط سررسید شده (کیلوگرم)]]</f>
        <v>0</v>
      </c>
    </row>
    <row r="1150" spans="1:32" hidden="1" x14ac:dyDescent="0.35">
      <c r="A1150" s="5">
        <f>ROW()-ROW(INDEX(Main[ردیف],1))+1</f>
        <v>1148</v>
      </c>
      <c r="B1150" s="31">
        <f>SUBTOTAL(2,INDEX(Main[ردیف],1):Main[[#This Row],[ردیف]])</f>
        <v>105</v>
      </c>
      <c r="C1150" s="32" t="s">
        <v>626</v>
      </c>
      <c r="D1150" s="32" t="str">
        <f>_xlfn.CONCAT("14",Main[[#This Row],[تاريخ]])</f>
        <v>1400/04/31</v>
      </c>
      <c r="E1150" s="33">
        <v>44399</v>
      </c>
      <c r="F1150" s="32">
        <v>30186</v>
      </c>
      <c r="G1150" s="5" t="str">
        <f>INDEX(customer[عنوان],MATCH(Main[[#This Row],[کد ردیابی]],customer[کد],0))</f>
        <v>سارا گاز</v>
      </c>
      <c r="H1150">
        <v>-2806</v>
      </c>
      <c r="I1150" s="6">
        <f ca="1">-Main[[#This Row],[بدهی تسویه شده (کیلوگرم)]]+Main[[#This Row],[بستانکار (کیلوگرم)]]</f>
        <v>-2806</v>
      </c>
      <c r="J1150" s="6">
        <f>IF(Main[[#This Row],[مقدار (کیلوگرم)]]&gt;0,Main[[#This Row],[مقدار (کیلوگرم)]],0)</f>
        <v>0</v>
      </c>
      <c r="K1150" s="6">
        <f>-IF(Main[[#This Row],[مقدار (کیلوگرم)]]&lt;0,Main[[#This Row],[مقدار (کیلوگرم)]],0)</f>
        <v>2806</v>
      </c>
      <c r="L11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0" s="7">
        <f>-IF(AND(Main[[#This Row],[مقدار (کیلوگرم)]]&lt;0,Main[[#This Row],[تاريخ میلادی]]&gt;44276),Main[[#This Row],[مقدار (کیلوگرم)]],0)</f>
        <v>2806</v>
      </c>
      <c r="N1150" s="6">
        <f ca="1">Main[[#This Row],[بدهکار (کیلوگرم)]]-Main[[#This Row],[بدهی تسویه نشده (کیلوگرم)]]</f>
        <v>2806</v>
      </c>
      <c r="O1150" s="6">
        <f ca="1">Main[[#This Row],[تفکیک]]</f>
        <v>0</v>
      </c>
      <c r="P1150" s="6">
        <f ca="1">IF(Main[[#This Row],[تاخیر از سررسید]]&gt;0,Main[[#This Row],[بدهی تسویه نشده (کیلوگرم)]],0)</f>
        <v>0</v>
      </c>
      <c r="Q1150" s="6">
        <f ca="1">IF(Main[[#This Row],[بدهی تسویه نشده (کیلوگرم)]]&gt;0,'گزارش فردی'!$B$7-Main[[#This Row],[تاريخ میلادی]],0)</f>
        <v>0</v>
      </c>
      <c r="R1150" s="6">
        <f ca="1">IF(Main[[#This Row],[بدهی تسویه نشده (کیلوگرم)]]&gt;0,'گزارش فردی'!$B$7-Main[[#This Row],[تاريخ میلادی]]-'گزارش فردی'!$B$8,0)</f>
        <v>0</v>
      </c>
      <c r="S1150" s="6">
        <f ca="1">Main[[#This Row],[روز از ارسال سفارش]]*Main[[#This Row],[بدهی تسویه نشده (کیلوگرم)]]</f>
        <v>0</v>
      </c>
      <c r="T1150" s="6">
        <f ca="1">Main[[#This Row],[بدهی سررسید شده (کیلوگرم)]]*Main[[#This Row],[روز از ارسال سفارش]]</f>
        <v>0</v>
      </c>
      <c r="U1150" s="6">
        <f>-SUBTOTAL(9,INDEX(Main[مقدار (کیلوگرم)],1):Main[[#This Row],[مقدار (کیلوگرم)]])</f>
        <v>32882</v>
      </c>
      <c r="V11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0" s="6">
        <f>Main[[#This Row],[تعداد کل روزهای بدهکار (روز)]]*Main[[#This Row],[مانده در خط کل (کیلوگرم)]]</f>
        <v>0</v>
      </c>
      <c r="X1150" s="6">
        <f ca="1">-SUBTOTAL(9,INDEX(Main[مقدار تسویه شده (کیلوگرم)],1):Main[[#This Row],[مقدار تسویه شده (کیلوگرم)]])</f>
        <v>32882</v>
      </c>
      <c r="Y1150" s="6">
        <f ca="1">IF(Main[[#This Row],[مانده در خط تسویه شده (کیلوگرم)]]&lt;&gt;0,Main[[#This Row],[تعداد کل روزهای بدهکار (روز)]],0)</f>
        <v>0</v>
      </c>
      <c r="Z1150" s="6">
        <f ca="1">Main[[#This Row],[تعداد روزهای بدهکار تسویه شده (روز)]]*Main[[#This Row],[مانده در خط تسویه شده (کیلوگرم)]]</f>
        <v>0</v>
      </c>
      <c r="AA1150" s="6">
        <f ca="1">SUBTOTAL(9,INDEX(Main[بدهی تسویه نشده (کیلوگرم)],1):Main[[#This Row],[بدهی تسویه نشده (کیلوگرم)]])</f>
        <v>0</v>
      </c>
      <c r="AB1150" s="6">
        <f ca="1">IF(Main[[#This Row],[مانده در خط تسویه نشده (کیلوگرم)]]&lt;&gt;0,Main[[#This Row],[تعداد کل روزهای بدهکار (روز)]],0)</f>
        <v>0</v>
      </c>
      <c r="AC1150" s="6">
        <f ca="1">Main[[#This Row],[تعداد روزهای بدهکار  تسویه نشده (روز)]]*Main[[#This Row],[مانده در خط تسویه نشده (کیلوگرم)]]</f>
        <v>0</v>
      </c>
      <c r="AD1150" s="6">
        <f ca="1">SUBTOTAL(9,INDEX(Main[بدهی سررسید شده (کیلوگرم)],1):Main[[#This Row],[بدهی سررسید شده (کیلوگرم)]])</f>
        <v>0</v>
      </c>
      <c r="AE1150" s="6">
        <f ca="1">IF(Main[[#This Row],[مانده در خط سررسید شده (کیلوگرم)]]&lt;&gt;0,Main[[#This Row],[تعداد کل روزهای بدهکار (روز)]],0)</f>
        <v>0</v>
      </c>
      <c r="AF1150" s="6">
        <f ca="1">Main[[#This Row],[تعداد روزهای بدهکار سررسید شده (روز)]]*Main[[#This Row],[مانده در خط سررسید شده (کیلوگرم)]]</f>
        <v>0</v>
      </c>
    </row>
    <row r="1151" spans="1:32" hidden="1" x14ac:dyDescent="0.35">
      <c r="A1151" s="5">
        <f>ROW()-ROW(INDEX(Main[ردیف],1))+1</f>
        <v>1149</v>
      </c>
      <c r="B1151" s="31">
        <f>SUBTOTAL(2,INDEX(Main[ردیف],1):Main[[#This Row],[ردیف]])</f>
        <v>105</v>
      </c>
      <c r="C1151" s="32" t="s">
        <v>626</v>
      </c>
      <c r="D1151" s="32" t="str">
        <f>_xlfn.CONCAT("14",Main[[#This Row],[تاريخ]])</f>
        <v>1400/04/31</v>
      </c>
      <c r="E1151" s="33">
        <v>44399</v>
      </c>
      <c r="F1151" s="32">
        <v>30009</v>
      </c>
      <c r="G1151" s="5" t="str">
        <f>INDEX(customer[عنوان],MATCH(Main[[#This Row],[کد ردیابی]],customer[کد],0))</f>
        <v>شرکت ایمن تک پیشرو</v>
      </c>
      <c r="H1151">
        <v>2270</v>
      </c>
      <c r="I1151" s="6">
        <f ca="1">-Main[[#This Row],[بدهی تسویه شده (کیلوگرم)]]+Main[[#This Row],[بستانکار (کیلوگرم)]]</f>
        <v>2270</v>
      </c>
      <c r="J1151" s="6">
        <f>IF(Main[[#This Row],[مقدار (کیلوگرم)]]&gt;0,Main[[#This Row],[مقدار (کیلوگرم)]],0)</f>
        <v>2270</v>
      </c>
      <c r="K1151" s="6">
        <f>-IF(Main[[#This Row],[مقدار (کیلوگرم)]]&lt;0,Main[[#This Row],[مقدار (کیلوگرم)]],0)</f>
        <v>0</v>
      </c>
      <c r="L11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1" s="7">
        <f>-IF(AND(Main[[#This Row],[مقدار (کیلوگرم)]]&lt;0,Main[[#This Row],[تاريخ میلادی]]&gt;44276),Main[[#This Row],[مقدار (کیلوگرم)]],0)</f>
        <v>0</v>
      </c>
      <c r="N1151" s="6">
        <f ca="1">Main[[#This Row],[بدهکار (کیلوگرم)]]-Main[[#This Row],[بدهی تسویه نشده (کیلوگرم)]]</f>
        <v>0</v>
      </c>
      <c r="O1151" s="6">
        <f ca="1">Main[[#This Row],[تفکیک]]</f>
        <v>0</v>
      </c>
      <c r="P1151" s="6">
        <f ca="1">IF(Main[[#This Row],[تاخیر از سررسید]]&gt;0,Main[[#This Row],[بدهی تسویه نشده (کیلوگرم)]],0)</f>
        <v>0</v>
      </c>
      <c r="Q1151" s="6">
        <f ca="1">IF(Main[[#This Row],[بدهی تسویه نشده (کیلوگرم)]]&gt;0,'گزارش فردی'!$B$7-Main[[#This Row],[تاريخ میلادی]],0)</f>
        <v>0</v>
      </c>
      <c r="R1151" s="6">
        <f ca="1">IF(Main[[#This Row],[بدهی تسویه نشده (کیلوگرم)]]&gt;0,'گزارش فردی'!$B$7-Main[[#This Row],[تاريخ میلادی]]-'گزارش فردی'!$B$8,0)</f>
        <v>0</v>
      </c>
      <c r="S1151" s="6">
        <f ca="1">Main[[#This Row],[روز از ارسال سفارش]]*Main[[#This Row],[بدهی تسویه نشده (کیلوگرم)]]</f>
        <v>0</v>
      </c>
      <c r="T1151" s="6">
        <f ca="1">Main[[#This Row],[بدهی سررسید شده (کیلوگرم)]]*Main[[#This Row],[روز از ارسال سفارش]]</f>
        <v>0</v>
      </c>
      <c r="U1151" s="6">
        <f>-SUBTOTAL(9,INDEX(Main[مقدار (کیلوگرم)],1):Main[[#This Row],[مقدار (کیلوگرم)]])</f>
        <v>32882</v>
      </c>
      <c r="V11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1" s="6">
        <f>Main[[#This Row],[تعداد کل روزهای بدهکار (روز)]]*Main[[#This Row],[مانده در خط کل (کیلوگرم)]]</f>
        <v>0</v>
      </c>
      <c r="X1151" s="6">
        <f ca="1">-SUBTOTAL(9,INDEX(Main[مقدار تسویه شده (کیلوگرم)],1):Main[[#This Row],[مقدار تسویه شده (کیلوگرم)]])</f>
        <v>32882</v>
      </c>
      <c r="Y1151" s="6">
        <f ca="1">IF(Main[[#This Row],[مانده در خط تسویه شده (کیلوگرم)]]&lt;&gt;0,Main[[#This Row],[تعداد کل روزهای بدهکار (روز)]],0)</f>
        <v>0</v>
      </c>
      <c r="Z1151" s="6">
        <f ca="1">Main[[#This Row],[تعداد روزهای بدهکار تسویه شده (روز)]]*Main[[#This Row],[مانده در خط تسویه شده (کیلوگرم)]]</f>
        <v>0</v>
      </c>
      <c r="AA1151" s="6">
        <f ca="1">SUBTOTAL(9,INDEX(Main[بدهی تسویه نشده (کیلوگرم)],1):Main[[#This Row],[بدهی تسویه نشده (کیلوگرم)]])</f>
        <v>0</v>
      </c>
      <c r="AB1151" s="6">
        <f ca="1">IF(Main[[#This Row],[مانده در خط تسویه نشده (کیلوگرم)]]&lt;&gt;0,Main[[#This Row],[تعداد کل روزهای بدهکار (روز)]],0)</f>
        <v>0</v>
      </c>
      <c r="AC1151" s="6">
        <f ca="1">Main[[#This Row],[تعداد روزهای بدهکار  تسویه نشده (روز)]]*Main[[#This Row],[مانده در خط تسویه نشده (کیلوگرم)]]</f>
        <v>0</v>
      </c>
      <c r="AD1151" s="6">
        <f ca="1">SUBTOTAL(9,INDEX(Main[بدهی سررسید شده (کیلوگرم)],1):Main[[#This Row],[بدهی سررسید شده (کیلوگرم)]])</f>
        <v>0</v>
      </c>
      <c r="AE1151" s="6">
        <f ca="1">IF(Main[[#This Row],[مانده در خط سررسید شده (کیلوگرم)]]&lt;&gt;0,Main[[#This Row],[تعداد کل روزهای بدهکار (روز)]],0)</f>
        <v>0</v>
      </c>
      <c r="AF1151" s="6">
        <f ca="1">Main[[#This Row],[تعداد روزهای بدهکار سررسید شده (روز)]]*Main[[#This Row],[مانده در خط سررسید شده (کیلوگرم)]]</f>
        <v>0</v>
      </c>
    </row>
    <row r="1152" spans="1:32" x14ac:dyDescent="0.35">
      <c r="A1152" s="5">
        <f>ROW()-ROW(INDEX(Main[ردیف],1))+1</f>
        <v>1150</v>
      </c>
      <c r="B1152" s="31">
        <f>SUBTOTAL(2,INDEX(Main[ردیف],1):Main[[#This Row],[ردیف]])</f>
        <v>106</v>
      </c>
      <c r="C1152" s="32" t="s">
        <v>626</v>
      </c>
      <c r="D1152" s="32" t="str">
        <f>_xlfn.CONCAT("14",Main[[#This Row],[تاريخ]])</f>
        <v>1400/04/31</v>
      </c>
      <c r="E1152" s="33">
        <v>44399</v>
      </c>
      <c r="F1152" s="32">
        <v>10003</v>
      </c>
      <c r="G1152" s="5" t="str">
        <f>INDEX(customer[عنوان],MATCH(Main[[#This Row],[کد ردیابی]],customer[کد],0))</f>
        <v>اصغر نورعلی</v>
      </c>
      <c r="H1152">
        <v>-2002</v>
      </c>
      <c r="I1152" s="6">
        <f ca="1">-Main[[#This Row],[بدهی تسویه شده (کیلوگرم)]]+Main[[#This Row],[بستانکار (کیلوگرم)]]</f>
        <v>-2002</v>
      </c>
      <c r="J1152" s="6">
        <f>IF(Main[[#This Row],[مقدار (کیلوگرم)]]&gt;0,Main[[#This Row],[مقدار (کیلوگرم)]],0)</f>
        <v>0</v>
      </c>
      <c r="K1152" s="6">
        <f>-IF(Main[[#This Row],[مقدار (کیلوگرم)]]&lt;0,Main[[#This Row],[مقدار (کیلوگرم)]],0)</f>
        <v>2002</v>
      </c>
      <c r="L11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2" s="7">
        <f>-IF(AND(Main[[#This Row],[مقدار (کیلوگرم)]]&lt;0,Main[[#This Row],[تاريخ میلادی]]&gt;44276),Main[[#This Row],[مقدار (کیلوگرم)]],0)</f>
        <v>2002</v>
      </c>
      <c r="N1152" s="6">
        <f ca="1">Main[[#This Row],[بدهکار (کیلوگرم)]]-Main[[#This Row],[بدهی تسویه نشده (کیلوگرم)]]</f>
        <v>2002</v>
      </c>
      <c r="O1152" s="6">
        <f ca="1">Main[[#This Row],[تفکیک]]</f>
        <v>0</v>
      </c>
      <c r="P1152" s="6">
        <f ca="1">IF(Main[[#This Row],[تاخیر از سررسید]]&gt;0,Main[[#This Row],[بدهی تسویه نشده (کیلوگرم)]],0)</f>
        <v>0</v>
      </c>
      <c r="Q1152" s="6">
        <f ca="1">IF(Main[[#This Row],[بدهی تسویه نشده (کیلوگرم)]]&gt;0,'گزارش فردی'!$B$7-Main[[#This Row],[تاريخ میلادی]],0)</f>
        <v>0</v>
      </c>
      <c r="R1152" s="6">
        <f ca="1">IF(Main[[#This Row],[بدهی تسویه نشده (کیلوگرم)]]&gt;0,'گزارش فردی'!$B$7-Main[[#This Row],[تاريخ میلادی]]-'گزارش فردی'!$B$8,0)</f>
        <v>0</v>
      </c>
      <c r="S1152" s="6">
        <f ca="1">Main[[#This Row],[روز از ارسال سفارش]]*Main[[#This Row],[بدهی تسویه نشده (کیلوگرم)]]</f>
        <v>0</v>
      </c>
      <c r="T1152" s="6">
        <f ca="1">Main[[#This Row],[بدهی سررسید شده (کیلوگرم)]]*Main[[#This Row],[روز از ارسال سفارش]]</f>
        <v>0</v>
      </c>
      <c r="U1152" s="6">
        <f>-SUBTOTAL(9,INDEX(Main[مقدار (کیلوگرم)],1):Main[[#This Row],[مقدار (کیلوگرم)]])</f>
        <v>34884</v>
      </c>
      <c r="V11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2" s="6">
        <f>Main[[#This Row],[تعداد کل روزهای بدهکار (روز)]]*Main[[#This Row],[مانده در خط کل (کیلوگرم)]]</f>
        <v>69768</v>
      </c>
      <c r="X1152" s="6">
        <f ca="1">-SUBTOTAL(9,INDEX(Main[مقدار تسویه شده (کیلوگرم)],1):Main[[#This Row],[مقدار تسویه شده (کیلوگرم)]])</f>
        <v>34884</v>
      </c>
      <c r="Y1152" s="6">
        <f ca="1">IF(Main[[#This Row],[مانده در خط تسویه شده (کیلوگرم)]]&lt;&gt;0,Main[[#This Row],[تعداد کل روزهای بدهکار (روز)]],0)</f>
        <v>2</v>
      </c>
      <c r="Z1152" s="6">
        <f ca="1">Main[[#This Row],[تعداد روزهای بدهکار تسویه شده (روز)]]*Main[[#This Row],[مانده در خط تسویه شده (کیلوگرم)]]</f>
        <v>69768</v>
      </c>
      <c r="AA1152" s="6">
        <f ca="1">SUBTOTAL(9,INDEX(Main[بدهی تسویه نشده (کیلوگرم)],1):Main[[#This Row],[بدهی تسویه نشده (کیلوگرم)]])</f>
        <v>0</v>
      </c>
      <c r="AB1152" s="6">
        <f ca="1">IF(Main[[#This Row],[مانده در خط تسویه نشده (کیلوگرم)]]&lt;&gt;0,Main[[#This Row],[تعداد کل روزهای بدهکار (روز)]],0)</f>
        <v>0</v>
      </c>
      <c r="AC1152" s="6">
        <f ca="1">Main[[#This Row],[تعداد روزهای بدهکار  تسویه نشده (روز)]]*Main[[#This Row],[مانده در خط تسویه نشده (کیلوگرم)]]</f>
        <v>0</v>
      </c>
      <c r="AD1152" s="6">
        <f ca="1">SUBTOTAL(9,INDEX(Main[بدهی سررسید شده (کیلوگرم)],1):Main[[#This Row],[بدهی سررسید شده (کیلوگرم)]])</f>
        <v>0</v>
      </c>
      <c r="AE1152" s="6">
        <f ca="1">IF(Main[[#This Row],[مانده در خط سررسید شده (کیلوگرم)]]&lt;&gt;0,Main[[#This Row],[تعداد کل روزهای بدهکار (روز)]],0)</f>
        <v>0</v>
      </c>
      <c r="AF1152" s="6">
        <f ca="1">Main[[#This Row],[تعداد روزهای بدهکار سررسید شده (روز)]]*Main[[#This Row],[مانده در خط سررسید شده (کیلوگرم)]]</f>
        <v>0</v>
      </c>
    </row>
    <row r="1153" spans="1:32" hidden="1" x14ac:dyDescent="0.35">
      <c r="A1153" s="5">
        <f>ROW()-ROW(INDEX(Main[ردیف],1))+1</f>
        <v>1151</v>
      </c>
      <c r="B1153" s="31">
        <f>SUBTOTAL(2,INDEX(Main[ردیف],1):Main[[#This Row],[ردیف]])</f>
        <v>106</v>
      </c>
      <c r="C1153" s="32" t="s">
        <v>626</v>
      </c>
      <c r="D1153" s="32" t="str">
        <f>_xlfn.CONCAT("14",Main[[#This Row],[تاريخ]])</f>
        <v>1400/04/31</v>
      </c>
      <c r="E1153" s="33">
        <v>44399</v>
      </c>
      <c r="F1153" s="32">
        <v>30004</v>
      </c>
      <c r="G1153" s="5" t="str">
        <f>INDEX(customer[عنوان],MATCH(Main[[#This Row],[کد ردیابی]],customer[کد],0))</f>
        <v>تولیدی صنعتی صفاشیر پارس</v>
      </c>
      <c r="H1153">
        <v>1382</v>
      </c>
      <c r="I1153" s="6">
        <f ca="1">-Main[[#This Row],[بدهی تسویه شده (کیلوگرم)]]+Main[[#This Row],[بستانکار (کیلوگرم)]]</f>
        <v>1382</v>
      </c>
      <c r="J1153" s="6">
        <f>IF(Main[[#This Row],[مقدار (کیلوگرم)]]&gt;0,Main[[#This Row],[مقدار (کیلوگرم)]],0)</f>
        <v>1382</v>
      </c>
      <c r="K1153" s="6">
        <f>-IF(Main[[#This Row],[مقدار (کیلوگرم)]]&lt;0,Main[[#This Row],[مقدار (کیلوگرم)]],0)</f>
        <v>0</v>
      </c>
      <c r="L11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3" s="7">
        <f>-IF(AND(Main[[#This Row],[مقدار (کیلوگرم)]]&lt;0,Main[[#This Row],[تاريخ میلادی]]&gt;44276),Main[[#This Row],[مقدار (کیلوگرم)]],0)</f>
        <v>0</v>
      </c>
      <c r="N1153" s="6">
        <f ca="1">Main[[#This Row],[بدهکار (کیلوگرم)]]-Main[[#This Row],[بدهی تسویه نشده (کیلوگرم)]]</f>
        <v>0</v>
      </c>
      <c r="O1153" s="6">
        <f ca="1">Main[[#This Row],[تفکیک]]</f>
        <v>0</v>
      </c>
      <c r="P1153" s="6">
        <f ca="1">IF(Main[[#This Row],[تاخیر از سررسید]]&gt;0,Main[[#This Row],[بدهی تسویه نشده (کیلوگرم)]],0)</f>
        <v>0</v>
      </c>
      <c r="Q1153" s="6">
        <f ca="1">IF(Main[[#This Row],[بدهی تسویه نشده (کیلوگرم)]]&gt;0,'گزارش فردی'!$B$7-Main[[#This Row],[تاريخ میلادی]],0)</f>
        <v>0</v>
      </c>
      <c r="R1153" s="6">
        <f ca="1">IF(Main[[#This Row],[بدهی تسویه نشده (کیلوگرم)]]&gt;0,'گزارش فردی'!$B$7-Main[[#This Row],[تاريخ میلادی]]-'گزارش فردی'!$B$8,0)</f>
        <v>0</v>
      </c>
      <c r="S1153" s="6">
        <f ca="1">Main[[#This Row],[روز از ارسال سفارش]]*Main[[#This Row],[بدهی تسویه نشده (کیلوگرم)]]</f>
        <v>0</v>
      </c>
      <c r="T1153" s="6">
        <f ca="1">Main[[#This Row],[بدهی سررسید شده (کیلوگرم)]]*Main[[#This Row],[روز از ارسال سفارش]]</f>
        <v>0</v>
      </c>
      <c r="U1153" s="6">
        <f>-SUBTOTAL(9,INDEX(Main[مقدار (کیلوگرم)],1):Main[[#This Row],[مقدار (کیلوگرم)]])</f>
        <v>34884</v>
      </c>
      <c r="V11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3" s="6">
        <f>Main[[#This Row],[تعداد کل روزهای بدهکار (روز)]]*Main[[#This Row],[مانده در خط کل (کیلوگرم)]]</f>
        <v>69768</v>
      </c>
      <c r="X1153" s="6">
        <f ca="1">-SUBTOTAL(9,INDEX(Main[مقدار تسویه شده (کیلوگرم)],1):Main[[#This Row],[مقدار تسویه شده (کیلوگرم)]])</f>
        <v>34884</v>
      </c>
      <c r="Y1153" s="6">
        <f ca="1">IF(Main[[#This Row],[مانده در خط تسویه شده (کیلوگرم)]]&lt;&gt;0,Main[[#This Row],[تعداد کل روزهای بدهکار (روز)]],0)</f>
        <v>2</v>
      </c>
      <c r="Z1153" s="6">
        <f ca="1">Main[[#This Row],[تعداد روزهای بدهکار تسویه شده (روز)]]*Main[[#This Row],[مانده در خط تسویه شده (کیلوگرم)]]</f>
        <v>69768</v>
      </c>
      <c r="AA1153" s="6">
        <f ca="1">SUBTOTAL(9,INDEX(Main[بدهی تسویه نشده (کیلوگرم)],1):Main[[#This Row],[بدهی تسویه نشده (کیلوگرم)]])</f>
        <v>0</v>
      </c>
      <c r="AB1153" s="6">
        <f ca="1">IF(Main[[#This Row],[مانده در خط تسویه نشده (کیلوگرم)]]&lt;&gt;0,Main[[#This Row],[تعداد کل روزهای بدهکار (روز)]],0)</f>
        <v>0</v>
      </c>
      <c r="AC1153" s="6">
        <f ca="1">Main[[#This Row],[تعداد روزهای بدهکار  تسویه نشده (روز)]]*Main[[#This Row],[مانده در خط تسویه نشده (کیلوگرم)]]</f>
        <v>0</v>
      </c>
      <c r="AD1153" s="6">
        <f ca="1">SUBTOTAL(9,INDEX(Main[بدهی سررسید شده (کیلوگرم)],1):Main[[#This Row],[بدهی سررسید شده (کیلوگرم)]])</f>
        <v>0</v>
      </c>
      <c r="AE1153" s="6">
        <f ca="1">IF(Main[[#This Row],[مانده در خط سررسید شده (کیلوگرم)]]&lt;&gt;0,Main[[#This Row],[تعداد کل روزهای بدهکار (روز)]],0)</f>
        <v>0</v>
      </c>
      <c r="AF1153" s="6">
        <f ca="1">Main[[#This Row],[تعداد روزهای بدهکار سررسید شده (روز)]]*Main[[#This Row],[مانده در خط سررسید شده (کیلوگرم)]]</f>
        <v>0</v>
      </c>
    </row>
    <row r="1154" spans="1:32" hidden="1" x14ac:dyDescent="0.35">
      <c r="A1154" s="5">
        <f>ROW()-ROW(INDEX(Main[ردیف],1))+1</f>
        <v>1152</v>
      </c>
      <c r="B1154" s="31">
        <f>SUBTOTAL(2,INDEX(Main[ردیف],1):Main[[#This Row],[ردیف]])</f>
        <v>106</v>
      </c>
      <c r="C1154" s="32" t="s">
        <v>626</v>
      </c>
      <c r="D1154" s="32" t="str">
        <f>_xlfn.CONCAT("14",Main[[#This Row],[تاريخ]])</f>
        <v>1400/04/31</v>
      </c>
      <c r="E1154" s="33">
        <v>44399</v>
      </c>
      <c r="F1154" s="32">
        <v>10026</v>
      </c>
      <c r="G1154" s="5" t="str">
        <f>INDEX(customer[عنوان],MATCH(Main[[#This Row],[کد ردیابی]],customer[کد],0))</f>
        <v xml:space="preserve">محسن فیاض بخش </v>
      </c>
      <c r="H1154">
        <v>-1103</v>
      </c>
      <c r="I1154" s="6">
        <f ca="1">-Main[[#This Row],[بدهی تسویه شده (کیلوگرم)]]+Main[[#This Row],[بستانکار (کیلوگرم)]]</f>
        <v>-1103</v>
      </c>
      <c r="J1154" s="6">
        <f>IF(Main[[#This Row],[مقدار (کیلوگرم)]]&gt;0,Main[[#This Row],[مقدار (کیلوگرم)]],0)</f>
        <v>0</v>
      </c>
      <c r="K1154" s="6">
        <f>-IF(Main[[#This Row],[مقدار (کیلوگرم)]]&lt;0,Main[[#This Row],[مقدار (کیلوگرم)]],0)</f>
        <v>1103</v>
      </c>
      <c r="L11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4" s="7">
        <f>-IF(AND(Main[[#This Row],[مقدار (کیلوگرم)]]&lt;0,Main[[#This Row],[تاريخ میلادی]]&gt;44276),Main[[#This Row],[مقدار (کیلوگرم)]],0)</f>
        <v>1103</v>
      </c>
      <c r="N1154" s="6">
        <f ca="1">Main[[#This Row],[بدهکار (کیلوگرم)]]-Main[[#This Row],[بدهی تسویه نشده (کیلوگرم)]]</f>
        <v>1103</v>
      </c>
      <c r="O1154" s="6">
        <f ca="1">Main[[#This Row],[تفکیک]]</f>
        <v>0</v>
      </c>
      <c r="P1154" s="6">
        <f ca="1">IF(Main[[#This Row],[تاخیر از سررسید]]&gt;0,Main[[#This Row],[بدهی تسویه نشده (کیلوگرم)]],0)</f>
        <v>0</v>
      </c>
      <c r="Q1154" s="6">
        <f ca="1">IF(Main[[#This Row],[بدهی تسویه نشده (کیلوگرم)]]&gt;0,'گزارش فردی'!$B$7-Main[[#This Row],[تاريخ میلادی]],0)</f>
        <v>0</v>
      </c>
      <c r="R1154" s="6">
        <f ca="1">IF(Main[[#This Row],[بدهی تسویه نشده (کیلوگرم)]]&gt;0,'گزارش فردی'!$B$7-Main[[#This Row],[تاريخ میلادی]]-'گزارش فردی'!$B$8,0)</f>
        <v>0</v>
      </c>
      <c r="S1154" s="6">
        <f ca="1">Main[[#This Row],[روز از ارسال سفارش]]*Main[[#This Row],[بدهی تسویه نشده (کیلوگرم)]]</f>
        <v>0</v>
      </c>
      <c r="T1154" s="6">
        <f ca="1">Main[[#This Row],[بدهی سررسید شده (کیلوگرم)]]*Main[[#This Row],[روز از ارسال سفارش]]</f>
        <v>0</v>
      </c>
      <c r="U1154" s="6">
        <f>-SUBTOTAL(9,INDEX(Main[مقدار (کیلوگرم)],1):Main[[#This Row],[مقدار (کیلوگرم)]])</f>
        <v>34884</v>
      </c>
      <c r="V115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4" s="6">
        <f>Main[[#This Row],[تعداد کل روزهای بدهکار (روز)]]*Main[[#This Row],[مانده در خط کل (کیلوگرم)]]</f>
        <v>69768</v>
      </c>
      <c r="X1154" s="6">
        <f ca="1">-SUBTOTAL(9,INDEX(Main[مقدار تسویه شده (کیلوگرم)],1):Main[[#This Row],[مقدار تسویه شده (کیلوگرم)]])</f>
        <v>34884</v>
      </c>
      <c r="Y1154" s="6">
        <f ca="1">IF(Main[[#This Row],[مانده در خط تسویه شده (کیلوگرم)]]&lt;&gt;0,Main[[#This Row],[تعداد کل روزهای بدهکار (روز)]],0)</f>
        <v>2</v>
      </c>
      <c r="Z1154" s="6">
        <f ca="1">Main[[#This Row],[تعداد روزهای بدهکار تسویه شده (روز)]]*Main[[#This Row],[مانده در خط تسویه شده (کیلوگرم)]]</f>
        <v>69768</v>
      </c>
      <c r="AA1154" s="6">
        <f ca="1">SUBTOTAL(9,INDEX(Main[بدهی تسویه نشده (کیلوگرم)],1):Main[[#This Row],[بدهی تسویه نشده (کیلوگرم)]])</f>
        <v>0</v>
      </c>
      <c r="AB1154" s="6">
        <f ca="1">IF(Main[[#This Row],[مانده در خط تسویه نشده (کیلوگرم)]]&lt;&gt;0,Main[[#This Row],[تعداد کل روزهای بدهکار (روز)]],0)</f>
        <v>0</v>
      </c>
      <c r="AC1154" s="6">
        <f ca="1">Main[[#This Row],[تعداد روزهای بدهکار  تسویه نشده (روز)]]*Main[[#This Row],[مانده در خط تسویه نشده (کیلوگرم)]]</f>
        <v>0</v>
      </c>
      <c r="AD1154" s="6">
        <f ca="1">SUBTOTAL(9,INDEX(Main[بدهی سررسید شده (کیلوگرم)],1):Main[[#This Row],[بدهی سررسید شده (کیلوگرم)]])</f>
        <v>0</v>
      </c>
      <c r="AE1154" s="6">
        <f ca="1">IF(Main[[#This Row],[مانده در خط سررسید شده (کیلوگرم)]]&lt;&gt;0,Main[[#This Row],[تعداد کل روزهای بدهکار (روز)]],0)</f>
        <v>0</v>
      </c>
      <c r="AF1154" s="6">
        <f ca="1">Main[[#This Row],[تعداد روزهای بدهکار سررسید شده (روز)]]*Main[[#This Row],[مانده در خط سررسید شده (کیلوگرم)]]</f>
        <v>0</v>
      </c>
    </row>
    <row r="1155" spans="1:32" hidden="1" x14ac:dyDescent="0.35">
      <c r="A1155" s="5">
        <f>ROW()-ROW(INDEX(Main[ردیف],1))+1</f>
        <v>1153</v>
      </c>
      <c r="B1155" s="31">
        <f>SUBTOTAL(2,INDEX(Main[ردیف],1):Main[[#This Row],[ردیف]])</f>
        <v>106</v>
      </c>
      <c r="C1155" s="32" t="s">
        <v>626</v>
      </c>
      <c r="D1155" s="32" t="str">
        <f>_xlfn.CONCAT("14",Main[[#This Row],[تاريخ]])</f>
        <v>1400/04/31</v>
      </c>
      <c r="E1155" s="33">
        <v>44399</v>
      </c>
      <c r="F1155" s="32">
        <v>30006</v>
      </c>
      <c r="G1155" s="5" t="str">
        <f>INDEX(customer[عنوان],MATCH(Main[[#This Row],[کد ردیابی]],customer[کد],0))</f>
        <v xml:space="preserve">توان جم </v>
      </c>
      <c r="H1155">
        <v>-3175</v>
      </c>
      <c r="I1155" s="6">
        <f ca="1">-Main[[#This Row],[بدهی تسویه شده (کیلوگرم)]]+Main[[#This Row],[بستانکار (کیلوگرم)]]</f>
        <v>-3175</v>
      </c>
      <c r="J1155" s="6">
        <f>IF(Main[[#This Row],[مقدار (کیلوگرم)]]&gt;0,Main[[#This Row],[مقدار (کیلوگرم)]],0)</f>
        <v>0</v>
      </c>
      <c r="K1155" s="6">
        <f>-IF(Main[[#This Row],[مقدار (کیلوگرم)]]&lt;0,Main[[#This Row],[مقدار (کیلوگرم)]],0)</f>
        <v>3175</v>
      </c>
      <c r="L11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5" s="7">
        <f>-IF(AND(Main[[#This Row],[مقدار (کیلوگرم)]]&lt;0,Main[[#This Row],[تاريخ میلادی]]&gt;44276),Main[[#This Row],[مقدار (کیلوگرم)]],0)</f>
        <v>3175</v>
      </c>
      <c r="N1155" s="6">
        <f ca="1">Main[[#This Row],[بدهکار (کیلوگرم)]]-Main[[#This Row],[بدهی تسویه نشده (کیلوگرم)]]</f>
        <v>3175</v>
      </c>
      <c r="O1155" s="6">
        <f ca="1">Main[[#This Row],[تفکیک]]</f>
        <v>0</v>
      </c>
      <c r="P1155" s="6">
        <f ca="1">IF(Main[[#This Row],[تاخیر از سررسید]]&gt;0,Main[[#This Row],[بدهی تسویه نشده (کیلوگرم)]],0)</f>
        <v>0</v>
      </c>
      <c r="Q1155" s="6">
        <f ca="1">IF(Main[[#This Row],[بدهی تسویه نشده (کیلوگرم)]]&gt;0,'گزارش فردی'!$B$7-Main[[#This Row],[تاريخ میلادی]],0)</f>
        <v>0</v>
      </c>
      <c r="R1155" s="6">
        <f ca="1">IF(Main[[#This Row],[بدهی تسویه نشده (کیلوگرم)]]&gt;0,'گزارش فردی'!$B$7-Main[[#This Row],[تاريخ میلادی]]-'گزارش فردی'!$B$8,0)</f>
        <v>0</v>
      </c>
      <c r="S1155" s="6">
        <f ca="1">Main[[#This Row],[روز از ارسال سفارش]]*Main[[#This Row],[بدهی تسویه نشده (کیلوگرم)]]</f>
        <v>0</v>
      </c>
      <c r="T1155" s="6">
        <f ca="1">Main[[#This Row],[بدهی سررسید شده (کیلوگرم)]]*Main[[#This Row],[روز از ارسال سفارش]]</f>
        <v>0</v>
      </c>
      <c r="U1155" s="6">
        <f>-SUBTOTAL(9,INDEX(Main[مقدار (کیلوگرم)],1):Main[[#This Row],[مقدار (کیلوگرم)]])</f>
        <v>34884</v>
      </c>
      <c r="V115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5" s="6">
        <f>Main[[#This Row],[تعداد کل روزهای بدهکار (روز)]]*Main[[#This Row],[مانده در خط کل (کیلوگرم)]]</f>
        <v>69768</v>
      </c>
      <c r="X1155" s="6">
        <f ca="1">-SUBTOTAL(9,INDEX(Main[مقدار تسویه شده (کیلوگرم)],1):Main[[#This Row],[مقدار تسویه شده (کیلوگرم)]])</f>
        <v>34884</v>
      </c>
      <c r="Y1155" s="6">
        <f ca="1">IF(Main[[#This Row],[مانده در خط تسویه شده (کیلوگرم)]]&lt;&gt;0,Main[[#This Row],[تعداد کل روزهای بدهکار (روز)]],0)</f>
        <v>2</v>
      </c>
      <c r="Z1155" s="6">
        <f ca="1">Main[[#This Row],[تعداد روزهای بدهکار تسویه شده (روز)]]*Main[[#This Row],[مانده در خط تسویه شده (کیلوگرم)]]</f>
        <v>69768</v>
      </c>
      <c r="AA1155" s="6">
        <f ca="1">SUBTOTAL(9,INDEX(Main[بدهی تسویه نشده (کیلوگرم)],1):Main[[#This Row],[بدهی تسویه نشده (کیلوگرم)]])</f>
        <v>0</v>
      </c>
      <c r="AB1155" s="6">
        <f ca="1">IF(Main[[#This Row],[مانده در خط تسویه نشده (کیلوگرم)]]&lt;&gt;0,Main[[#This Row],[تعداد کل روزهای بدهکار (روز)]],0)</f>
        <v>0</v>
      </c>
      <c r="AC1155" s="6">
        <f ca="1">Main[[#This Row],[تعداد روزهای بدهکار  تسویه نشده (روز)]]*Main[[#This Row],[مانده در خط تسویه نشده (کیلوگرم)]]</f>
        <v>0</v>
      </c>
      <c r="AD1155" s="6">
        <f ca="1">SUBTOTAL(9,INDEX(Main[بدهی سررسید شده (کیلوگرم)],1):Main[[#This Row],[بدهی سررسید شده (کیلوگرم)]])</f>
        <v>0</v>
      </c>
      <c r="AE1155" s="6">
        <f ca="1">IF(Main[[#This Row],[مانده در خط سررسید شده (کیلوگرم)]]&lt;&gt;0,Main[[#This Row],[تعداد کل روزهای بدهکار (روز)]],0)</f>
        <v>0</v>
      </c>
      <c r="AF1155" s="6">
        <f ca="1">Main[[#This Row],[تعداد روزهای بدهکار سررسید شده (روز)]]*Main[[#This Row],[مانده در خط سررسید شده (کیلوگرم)]]</f>
        <v>0</v>
      </c>
    </row>
    <row r="1156" spans="1:32" x14ac:dyDescent="0.35">
      <c r="A1156" s="5">
        <f>ROW()-ROW(INDEX(Main[ردیف],1))+1</f>
        <v>1154</v>
      </c>
      <c r="B1156" s="31">
        <f>SUBTOTAL(2,INDEX(Main[ردیف],1):Main[[#This Row],[ردیف]])</f>
        <v>107</v>
      </c>
      <c r="C1156" s="32" t="s">
        <v>627</v>
      </c>
      <c r="D1156" s="32" t="str">
        <f>_xlfn.CONCAT("14",Main[[#This Row],[تاريخ]])</f>
        <v>1400/05/02</v>
      </c>
      <c r="E1156" s="33">
        <v>44401</v>
      </c>
      <c r="F1156" s="32">
        <v>10003</v>
      </c>
      <c r="G1156" s="5" t="str">
        <f>INDEX(customer[عنوان],MATCH(Main[[#This Row],[کد ردیابی]],customer[کد],0))</f>
        <v>اصغر نورعلی</v>
      </c>
      <c r="H1156">
        <v>2976</v>
      </c>
      <c r="I1156" s="6">
        <f ca="1">-Main[[#This Row],[بدهی تسویه شده (کیلوگرم)]]+Main[[#This Row],[بستانکار (کیلوگرم)]]</f>
        <v>2976</v>
      </c>
      <c r="J1156" s="6">
        <f>IF(Main[[#This Row],[مقدار (کیلوگرم)]]&gt;0,Main[[#This Row],[مقدار (کیلوگرم)]],0)</f>
        <v>2976</v>
      </c>
      <c r="K1156" s="6">
        <f>-IF(Main[[#This Row],[مقدار (کیلوگرم)]]&lt;0,Main[[#This Row],[مقدار (کیلوگرم)]],0)</f>
        <v>0</v>
      </c>
      <c r="L11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6" s="7">
        <f>-IF(AND(Main[[#This Row],[مقدار (کیلوگرم)]]&lt;0,Main[[#This Row],[تاريخ میلادی]]&gt;44276),Main[[#This Row],[مقدار (کیلوگرم)]],0)</f>
        <v>0</v>
      </c>
      <c r="N1156" s="6">
        <f ca="1">Main[[#This Row],[بدهکار (کیلوگرم)]]-Main[[#This Row],[بدهی تسویه نشده (کیلوگرم)]]</f>
        <v>0</v>
      </c>
      <c r="O1156" s="6">
        <f ca="1">Main[[#This Row],[تفکیک]]</f>
        <v>0</v>
      </c>
      <c r="P1156" s="6">
        <f ca="1">IF(Main[[#This Row],[تاخیر از سررسید]]&gt;0,Main[[#This Row],[بدهی تسویه نشده (کیلوگرم)]],0)</f>
        <v>0</v>
      </c>
      <c r="Q1156" s="6">
        <f ca="1">IF(Main[[#This Row],[بدهی تسویه نشده (کیلوگرم)]]&gt;0,'گزارش فردی'!$B$7-Main[[#This Row],[تاريخ میلادی]],0)</f>
        <v>0</v>
      </c>
      <c r="R1156" s="6">
        <f ca="1">IF(Main[[#This Row],[بدهی تسویه نشده (کیلوگرم)]]&gt;0,'گزارش فردی'!$B$7-Main[[#This Row],[تاريخ میلادی]]-'گزارش فردی'!$B$8,0)</f>
        <v>0</v>
      </c>
      <c r="S1156" s="6">
        <f ca="1">Main[[#This Row],[روز از ارسال سفارش]]*Main[[#This Row],[بدهی تسویه نشده (کیلوگرم)]]</f>
        <v>0</v>
      </c>
      <c r="T1156" s="6">
        <f ca="1">Main[[#This Row],[بدهی سررسید شده (کیلوگرم)]]*Main[[#This Row],[روز از ارسال سفارش]]</f>
        <v>0</v>
      </c>
      <c r="U1156" s="6">
        <f>-SUBTOTAL(9,INDEX(Main[مقدار (کیلوگرم)],1):Main[[#This Row],[مقدار (کیلوگرم)]])</f>
        <v>31908</v>
      </c>
      <c r="V11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6" s="6">
        <f>Main[[#This Row],[تعداد کل روزهای بدهکار (روز)]]*Main[[#This Row],[مانده در خط کل (کیلوگرم)]]</f>
        <v>0</v>
      </c>
      <c r="X1156" s="6">
        <f ca="1">-SUBTOTAL(9,INDEX(Main[مقدار تسویه شده (کیلوگرم)],1):Main[[#This Row],[مقدار تسویه شده (کیلوگرم)]])</f>
        <v>31908</v>
      </c>
      <c r="Y1156" s="6">
        <f ca="1">IF(Main[[#This Row],[مانده در خط تسویه شده (کیلوگرم)]]&lt;&gt;0,Main[[#This Row],[تعداد کل روزهای بدهکار (روز)]],0)</f>
        <v>0</v>
      </c>
      <c r="Z1156" s="6">
        <f ca="1">Main[[#This Row],[تعداد روزهای بدهکار تسویه شده (روز)]]*Main[[#This Row],[مانده در خط تسویه شده (کیلوگرم)]]</f>
        <v>0</v>
      </c>
      <c r="AA1156" s="6">
        <f ca="1">SUBTOTAL(9,INDEX(Main[بدهی تسویه نشده (کیلوگرم)],1):Main[[#This Row],[بدهی تسویه نشده (کیلوگرم)]])</f>
        <v>0</v>
      </c>
      <c r="AB1156" s="6">
        <f ca="1">IF(Main[[#This Row],[مانده در خط تسویه نشده (کیلوگرم)]]&lt;&gt;0,Main[[#This Row],[تعداد کل روزهای بدهکار (روز)]],0)</f>
        <v>0</v>
      </c>
      <c r="AC1156" s="6">
        <f ca="1">Main[[#This Row],[تعداد روزهای بدهکار  تسویه نشده (روز)]]*Main[[#This Row],[مانده در خط تسویه نشده (کیلوگرم)]]</f>
        <v>0</v>
      </c>
      <c r="AD1156" s="6">
        <f ca="1">SUBTOTAL(9,INDEX(Main[بدهی سررسید شده (کیلوگرم)],1):Main[[#This Row],[بدهی سررسید شده (کیلوگرم)]])</f>
        <v>0</v>
      </c>
      <c r="AE1156" s="6">
        <f ca="1">IF(Main[[#This Row],[مانده در خط سررسید شده (کیلوگرم)]]&lt;&gt;0,Main[[#This Row],[تعداد کل روزهای بدهکار (روز)]],0)</f>
        <v>0</v>
      </c>
      <c r="AF1156" s="6">
        <f ca="1">Main[[#This Row],[تعداد روزهای بدهکار سررسید شده (روز)]]*Main[[#This Row],[مانده در خط سررسید شده (کیلوگرم)]]</f>
        <v>0</v>
      </c>
    </row>
    <row r="1157" spans="1:32" hidden="1" x14ac:dyDescent="0.35">
      <c r="A1157" s="5">
        <f>ROW()-ROW(INDEX(Main[ردیف],1))+1</f>
        <v>1155</v>
      </c>
      <c r="B1157" s="31">
        <f>SUBTOTAL(2,INDEX(Main[ردیف],1):Main[[#This Row],[ردیف]])</f>
        <v>107</v>
      </c>
      <c r="C1157" s="32" t="s">
        <v>627</v>
      </c>
      <c r="D1157" s="32" t="str">
        <f>_xlfn.CONCAT("14",Main[[#This Row],[تاريخ]])</f>
        <v>1400/05/02</v>
      </c>
      <c r="E1157" s="33">
        <v>44401</v>
      </c>
      <c r="F1157" s="32">
        <v>30009</v>
      </c>
      <c r="G1157" s="5" t="str">
        <f>INDEX(customer[عنوان],MATCH(Main[[#This Row],[کد ردیابی]],customer[کد],0))</f>
        <v>شرکت ایمن تک پیشرو</v>
      </c>
      <c r="H1157">
        <v>-3829</v>
      </c>
      <c r="I1157" s="6">
        <f ca="1">-Main[[#This Row],[بدهی تسویه شده (کیلوگرم)]]+Main[[#This Row],[بستانکار (کیلوگرم)]]</f>
        <v>-3829</v>
      </c>
      <c r="J1157" s="6">
        <f>IF(Main[[#This Row],[مقدار (کیلوگرم)]]&gt;0,Main[[#This Row],[مقدار (کیلوگرم)]],0)</f>
        <v>0</v>
      </c>
      <c r="K1157" s="6">
        <f>-IF(Main[[#This Row],[مقدار (کیلوگرم)]]&lt;0,Main[[#This Row],[مقدار (کیلوگرم)]],0)</f>
        <v>3829</v>
      </c>
      <c r="L11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7" s="7">
        <f>-IF(AND(Main[[#This Row],[مقدار (کیلوگرم)]]&lt;0,Main[[#This Row],[تاريخ میلادی]]&gt;44276),Main[[#This Row],[مقدار (کیلوگرم)]],0)</f>
        <v>3829</v>
      </c>
      <c r="N1157" s="6">
        <f ca="1">Main[[#This Row],[بدهکار (کیلوگرم)]]-Main[[#This Row],[بدهی تسویه نشده (کیلوگرم)]]</f>
        <v>3829</v>
      </c>
      <c r="O1157" s="6">
        <f ca="1">Main[[#This Row],[تفکیک]]</f>
        <v>0</v>
      </c>
      <c r="P1157" s="6">
        <f ca="1">IF(Main[[#This Row],[تاخیر از سررسید]]&gt;0,Main[[#This Row],[بدهی تسویه نشده (کیلوگرم)]],0)</f>
        <v>0</v>
      </c>
      <c r="Q1157" s="6">
        <f ca="1">IF(Main[[#This Row],[بدهی تسویه نشده (کیلوگرم)]]&gt;0,'گزارش فردی'!$B$7-Main[[#This Row],[تاريخ میلادی]],0)</f>
        <v>0</v>
      </c>
      <c r="R1157" s="6">
        <f ca="1">IF(Main[[#This Row],[بدهی تسویه نشده (کیلوگرم)]]&gt;0,'گزارش فردی'!$B$7-Main[[#This Row],[تاريخ میلادی]]-'گزارش فردی'!$B$8,0)</f>
        <v>0</v>
      </c>
      <c r="S1157" s="6">
        <f ca="1">Main[[#This Row],[روز از ارسال سفارش]]*Main[[#This Row],[بدهی تسویه نشده (کیلوگرم)]]</f>
        <v>0</v>
      </c>
      <c r="T1157" s="6">
        <f ca="1">Main[[#This Row],[بدهی سررسید شده (کیلوگرم)]]*Main[[#This Row],[روز از ارسال سفارش]]</f>
        <v>0</v>
      </c>
      <c r="U1157" s="6">
        <f>-SUBTOTAL(9,INDEX(Main[مقدار (کیلوگرم)],1):Main[[#This Row],[مقدار (کیلوگرم)]])</f>
        <v>31908</v>
      </c>
      <c r="V11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7" s="6">
        <f>Main[[#This Row],[تعداد کل روزهای بدهکار (روز)]]*Main[[#This Row],[مانده در خط کل (کیلوگرم)]]</f>
        <v>0</v>
      </c>
      <c r="X1157" s="6">
        <f ca="1">-SUBTOTAL(9,INDEX(Main[مقدار تسویه شده (کیلوگرم)],1):Main[[#This Row],[مقدار تسویه شده (کیلوگرم)]])</f>
        <v>31908</v>
      </c>
      <c r="Y1157" s="6">
        <f ca="1">IF(Main[[#This Row],[مانده در خط تسویه شده (کیلوگرم)]]&lt;&gt;0,Main[[#This Row],[تعداد کل روزهای بدهکار (روز)]],0)</f>
        <v>0</v>
      </c>
      <c r="Z1157" s="6">
        <f ca="1">Main[[#This Row],[تعداد روزهای بدهکار تسویه شده (روز)]]*Main[[#This Row],[مانده در خط تسویه شده (کیلوگرم)]]</f>
        <v>0</v>
      </c>
      <c r="AA1157" s="6">
        <f ca="1">SUBTOTAL(9,INDEX(Main[بدهی تسویه نشده (کیلوگرم)],1):Main[[#This Row],[بدهی تسویه نشده (کیلوگرم)]])</f>
        <v>0</v>
      </c>
      <c r="AB1157" s="6">
        <f ca="1">IF(Main[[#This Row],[مانده در خط تسویه نشده (کیلوگرم)]]&lt;&gt;0,Main[[#This Row],[تعداد کل روزهای بدهکار (روز)]],0)</f>
        <v>0</v>
      </c>
      <c r="AC1157" s="6">
        <f ca="1">Main[[#This Row],[تعداد روزهای بدهکار  تسویه نشده (روز)]]*Main[[#This Row],[مانده در خط تسویه نشده (کیلوگرم)]]</f>
        <v>0</v>
      </c>
      <c r="AD1157" s="6">
        <f ca="1">SUBTOTAL(9,INDEX(Main[بدهی سررسید شده (کیلوگرم)],1):Main[[#This Row],[بدهی سررسید شده (کیلوگرم)]])</f>
        <v>0</v>
      </c>
      <c r="AE1157" s="6">
        <f ca="1">IF(Main[[#This Row],[مانده در خط سررسید شده (کیلوگرم)]]&lt;&gt;0,Main[[#This Row],[تعداد کل روزهای بدهکار (روز)]],0)</f>
        <v>0</v>
      </c>
      <c r="AF1157" s="6">
        <f ca="1">Main[[#This Row],[تعداد روزهای بدهکار سررسید شده (روز)]]*Main[[#This Row],[مانده در خط سررسید شده (کیلوگرم)]]</f>
        <v>0</v>
      </c>
    </row>
    <row r="1158" spans="1:32" hidden="1" x14ac:dyDescent="0.35">
      <c r="A1158" s="5">
        <f>ROW()-ROW(INDEX(Main[ردیف],1))+1</f>
        <v>1156</v>
      </c>
      <c r="B1158" s="31">
        <f>SUBTOTAL(2,INDEX(Main[ردیف],1):Main[[#This Row],[ردیف]])</f>
        <v>107</v>
      </c>
      <c r="C1158" s="32" t="s">
        <v>627</v>
      </c>
      <c r="D1158" s="32" t="str">
        <f>_xlfn.CONCAT("14",Main[[#This Row],[تاريخ]])</f>
        <v>1400/05/02</v>
      </c>
      <c r="E1158" s="33">
        <v>44401</v>
      </c>
      <c r="F1158" s="32">
        <v>30174</v>
      </c>
      <c r="G1158" s="5" t="str">
        <f>INDEX(customer[عنوان],MATCH(Main[[#This Row],[کد ردیابی]],customer[کد],0))</f>
        <v>شیرآلات مهرآرا</v>
      </c>
      <c r="H1158">
        <v>602</v>
      </c>
      <c r="I1158" s="6">
        <f ca="1">-Main[[#This Row],[بدهی تسویه شده (کیلوگرم)]]+Main[[#This Row],[بستانکار (کیلوگرم)]]</f>
        <v>602</v>
      </c>
      <c r="J1158" s="6">
        <f>IF(Main[[#This Row],[مقدار (کیلوگرم)]]&gt;0,Main[[#This Row],[مقدار (کیلوگرم)]],0)</f>
        <v>602</v>
      </c>
      <c r="K1158" s="6">
        <f>-IF(Main[[#This Row],[مقدار (کیلوگرم)]]&lt;0,Main[[#This Row],[مقدار (کیلوگرم)]],0)</f>
        <v>0</v>
      </c>
      <c r="L11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8" s="7">
        <f>-IF(AND(Main[[#This Row],[مقدار (کیلوگرم)]]&lt;0,Main[[#This Row],[تاريخ میلادی]]&gt;44276),Main[[#This Row],[مقدار (کیلوگرم)]],0)</f>
        <v>0</v>
      </c>
      <c r="N1158" s="6">
        <f ca="1">Main[[#This Row],[بدهکار (کیلوگرم)]]-Main[[#This Row],[بدهی تسویه نشده (کیلوگرم)]]</f>
        <v>0</v>
      </c>
      <c r="O1158" s="6">
        <f ca="1">Main[[#This Row],[تفکیک]]</f>
        <v>0</v>
      </c>
      <c r="P1158" s="6">
        <f ca="1">IF(Main[[#This Row],[تاخیر از سررسید]]&gt;0,Main[[#This Row],[بدهی تسویه نشده (کیلوگرم)]],0)</f>
        <v>0</v>
      </c>
      <c r="Q1158" s="6">
        <f ca="1">IF(Main[[#This Row],[بدهی تسویه نشده (کیلوگرم)]]&gt;0,'گزارش فردی'!$B$7-Main[[#This Row],[تاريخ میلادی]],0)</f>
        <v>0</v>
      </c>
      <c r="R1158" s="6">
        <f ca="1">IF(Main[[#This Row],[بدهی تسویه نشده (کیلوگرم)]]&gt;0,'گزارش فردی'!$B$7-Main[[#This Row],[تاريخ میلادی]]-'گزارش فردی'!$B$8,0)</f>
        <v>0</v>
      </c>
      <c r="S1158" s="6">
        <f ca="1">Main[[#This Row],[روز از ارسال سفارش]]*Main[[#This Row],[بدهی تسویه نشده (کیلوگرم)]]</f>
        <v>0</v>
      </c>
      <c r="T1158" s="6">
        <f ca="1">Main[[#This Row],[بدهی سررسید شده (کیلوگرم)]]*Main[[#This Row],[روز از ارسال سفارش]]</f>
        <v>0</v>
      </c>
      <c r="U1158" s="6">
        <f>-SUBTOTAL(9,INDEX(Main[مقدار (کیلوگرم)],1):Main[[#This Row],[مقدار (کیلوگرم)]])</f>
        <v>31908</v>
      </c>
      <c r="V11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8" s="6">
        <f>Main[[#This Row],[تعداد کل روزهای بدهکار (روز)]]*Main[[#This Row],[مانده در خط کل (کیلوگرم)]]</f>
        <v>0</v>
      </c>
      <c r="X1158" s="6">
        <f ca="1">-SUBTOTAL(9,INDEX(Main[مقدار تسویه شده (کیلوگرم)],1):Main[[#This Row],[مقدار تسویه شده (کیلوگرم)]])</f>
        <v>31908</v>
      </c>
      <c r="Y1158" s="6">
        <f ca="1">IF(Main[[#This Row],[مانده در خط تسویه شده (کیلوگرم)]]&lt;&gt;0,Main[[#This Row],[تعداد کل روزهای بدهکار (روز)]],0)</f>
        <v>0</v>
      </c>
      <c r="Z1158" s="6">
        <f ca="1">Main[[#This Row],[تعداد روزهای بدهکار تسویه شده (روز)]]*Main[[#This Row],[مانده در خط تسویه شده (کیلوگرم)]]</f>
        <v>0</v>
      </c>
      <c r="AA1158" s="6">
        <f ca="1">SUBTOTAL(9,INDEX(Main[بدهی تسویه نشده (کیلوگرم)],1):Main[[#This Row],[بدهی تسویه نشده (کیلوگرم)]])</f>
        <v>0</v>
      </c>
      <c r="AB1158" s="6">
        <f ca="1">IF(Main[[#This Row],[مانده در خط تسویه نشده (کیلوگرم)]]&lt;&gt;0,Main[[#This Row],[تعداد کل روزهای بدهکار (روز)]],0)</f>
        <v>0</v>
      </c>
      <c r="AC1158" s="6">
        <f ca="1">Main[[#This Row],[تعداد روزهای بدهکار  تسویه نشده (روز)]]*Main[[#This Row],[مانده در خط تسویه نشده (کیلوگرم)]]</f>
        <v>0</v>
      </c>
      <c r="AD1158" s="6">
        <f ca="1">SUBTOTAL(9,INDEX(Main[بدهی سررسید شده (کیلوگرم)],1):Main[[#This Row],[بدهی سررسید شده (کیلوگرم)]])</f>
        <v>0</v>
      </c>
      <c r="AE1158" s="6">
        <f ca="1">IF(Main[[#This Row],[مانده در خط سررسید شده (کیلوگرم)]]&lt;&gt;0,Main[[#This Row],[تعداد کل روزهای بدهکار (روز)]],0)</f>
        <v>0</v>
      </c>
      <c r="AF1158" s="6">
        <f ca="1">Main[[#This Row],[تعداد روزهای بدهکار سررسید شده (روز)]]*Main[[#This Row],[مانده در خط سررسید شده (کیلوگرم)]]</f>
        <v>0</v>
      </c>
    </row>
    <row r="1159" spans="1:32" hidden="1" x14ac:dyDescent="0.35">
      <c r="A1159" s="5">
        <f>ROW()-ROW(INDEX(Main[ردیف],1))+1</f>
        <v>1157</v>
      </c>
      <c r="B1159" s="31">
        <f>SUBTOTAL(2,INDEX(Main[ردیف],1):Main[[#This Row],[ردیف]])</f>
        <v>107</v>
      </c>
      <c r="C1159" s="32" t="s">
        <v>627</v>
      </c>
      <c r="D1159" s="32" t="str">
        <f>_xlfn.CONCAT("14",Main[[#This Row],[تاريخ]])</f>
        <v>1400/05/02</v>
      </c>
      <c r="E1159" s="33">
        <v>44401</v>
      </c>
      <c r="F1159" s="32">
        <v>30004</v>
      </c>
      <c r="G1159" s="5" t="str">
        <f>INDEX(customer[عنوان],MATCH(Main[[#This Row],[کد ردیابی]],customer[کد],0))</f>
        <v>تولیدی صنعتی صفاشیر پارس</v>
      </c>
      <c r="H1159">
        <v>-4896</v>
      </c>
      <c r="I1159" s="6">
        <f ca="1">-Main[[#This Row],[بدهی تسویه شده (کیلوگرم)]]+Main[[#This Row],[بستانکار (کیلوگرم)]]</f>
        <v>-4896</v>
      </c>
      <c r="J1159" s="6">
        <f>IF(Main[[#This Row],[مقدار (کیلوگرم)]]&gt;0,Main[[#This Row],[مقدار (کیلوگرم)]],0)</f>
        <v>0</v>
      </c>
      <c r="K1159" s="6">
        <f>-IF(Main[[#This Row],[مقدار (کیلوگرم)]]&lt;0,Main[[#This Row],[مقدار (کیلوگرم)]],0)</f>
        <v>4896</v>
      </c>
      <c r="L11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9" s="7">
        <f>-IF(AND(Main[[#This Row],[مقدار (کیلوگرم)]]&lt;0,Main[[#This Row],[تاريخ میلادی]]&gt;44276),Main[[#This Row],[مقدار (کیلوگرم)]],0)</f>
        <v>4896</v>
      </c>
      <c r="N1159" s="6">
        <f ca="1">Main[[#This Row],[بدهکار (کیلوگرم)]]-Main[[#This Row],[بدهی تسویه نشده (کیلوگرم)]]</f>
        <v>4896</v>
      </c>
      <c r="O1159" s="6">
        <f ca="1">Main[[#This Row],[تفکیک]]</f>
        <v>0</v>
      </c>
      <c r="P1159" s="6">
        <f ca="1">IF(Main[[#This Row],[تاخیر از سررسید]]&gt;0,Main[[#This Row],[بدهی تسویه نشده (کیلوگرم)]],0)</f>
        <v>0</v>
      </c>
      <c r="Q1159" s="6">
        <f ca="1">IF(Main[[#This Row],[بدهی تسویه نشده (کیلوگرم)]]&gt;0,'گزارش فردی'!$B$7-Main[[#This Row],[تاريخ میلادی]],0)</f>
        <v>0</v>
      </c>
      <c r="R1159" s="6">
        <f ca="1">IF(Main[[#This Row],[بدهی تسویه نشده (کیلوگرم)]]&gt;0,'گزارش فردی'!$B$7-Main[[#This Row],[تاريخ میلادی]]-'گزارش فردی'!$B$8,0)</f>
        <v>0</v>
      </c>
      <c r="S1159" s="6">
        <f ca="1">Main[[#This Row],[روز از ارسال سفارش]]*Main[[#This Row],[بدهی تسویه نشده (کیلوگرم)]]</f>
        <v>0</v>
      </c>
      <c r="T1159" s="6">
        <f ca="1">Main[[#This Row],[بدهی سررسید شده (کیلوگرم)]]*Main[[#This Row],[روز از ارسال سفارش]]</f>
        <v>0</v>
      </c>
      <c r="U1159" s="6">
        <f>-SUBTOTAL(9,INDEX(Main[مقدار (کیلوگرم)],1):Main[[#This Row],[مقدار (کیلوگرم)]])</f>
        <v>31908</v>
      </c>
      <c r="V11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9" s="6">
        <f>Main[[#This Row],[تعداد کل روزهای بدهکار (روز)]]*Main[[#This Row],[مانده در خط کل (کیلوگرم)]]</f>
        <v>0</v>
      </c>
      <c r="X1159" s="6">
        <f ca="1">-SUBTOTAL(9,INDEX(Main[مقدار تسویه شده (کیلوگرم)],1):Main[[#This Row],[مقدار تسویه شده (کیلوگرم)]])</f>
        <v>31908</v>
      </c>
      <c r="Y1159" s="6">
        <f ca="1">IF(Main[[#This Row],[مانده در خط تسویه شده (کیلوگرم)]]&lt;&gt;0,Main[[#This Row],[تعداد کل روزهای بدهکار (روز)]],0)</f>
        <v>0</v>
      </c>
      <c r="Z1159" s="6">
        <f ca="1">Main[[#This Row],[تعداد روزهای بدهکار تسویه شده (روز)]]*Main[[#This Row],[مانده در خط تسویه شده (کیلوگرم)]]</f>
        <v>0</v>
      </c>
      <c r="AA1159" s="6">
        <f ca="1">SUBTOTAL(9,INDEX(Main[بدهی تسویه نشده (کیلوگرم)],1):Main[[#This Row],[بدهی تسویه نشده (کیلوگرم)]])</f>
        <v>0</v>
      </c>
      <c r="AB1159" s="6">
        <f ca="1">IF(Main[[#This Row],[مانده در خط تسویه نشده (کیلوگرم)]]&lt;&gt;0,Main[[#This Row],[تعداد کل روزهای بدهکار (روز)]],0)</f>
        <v>0</v>
      </c>
      <c r="AC1159" s="6">
        <f ca="1">Main[[#This Row],[تعداد روزهای بدهکار  تسویه نشده (روز)]]*Main[[#This Row],[مانده در خط تسویه نشده (کیلوگرم)]]</f>
        <v>0</v>
      </c>
      <c r="AD1159" s="6">
        <f ca="1">SUBTOTAL(9,INDEX(Main[بدهی سررسید شده (کیلوگرم)],1):Main[[#This Row],[بدهی سررسید شده (کیلوگرم)]])</f>
        <v>0</v>
      </c>
      <c r="AE1159" s="6">
        <f ca="1">IF(Main[[#This Row],[مانده در خط سررسید شده (کیلوگرم)]]&lt;&gt;0,Main[[#This Row],[تعداد کل روزهای بدهکار (روز)]],0)</f>
        <v>0</v>
      </c>
      <c r="AF1159" s="6">
        <f ca="1">Main[[#This Row],[تعداد روزهای بدهکار سررسید شده (روز)]]*Main[[#This Row],[مانده در خط سررسید شده (کیلوگرم)]]</f>
        <v>0</v>
      </c>
    </row>
    <row r="1160" spans="1:32" hidden="1" x14ac:dyDescent="0.35">
      <c r="A1160" s="5">
        <f>ROW()-ROW(INDEX(Main[ردیف],1))+1</f>
        <v>1158</v>
      </c>
      <c r="B1160" s="31">
        <f>SUBTOTAL(2,INDEX(Main[ردیف],1):Main[[#This Row],[ردیف]])</f>
        <v>107</v>
      </c>
      <c r="C1160" s="32" t="s">
        <v>627</v>
      </c>
      <c r="D1160" s="32" t="str">
        <f>_xlfn.CONCAT("14",Main[[#This Row],[تاريخ]])</f>
        <v>1400/05/02</v>
      </c>
      <c r="E1160" s="33">
        <v>44401</v>
      </c>
      <c r="F1160" s="32">
        <v>30127</v>
      </c>
      <c r="G1160" s="5" t="str">
        <f>INDEX(customer[عنوان],MATCH(Main[[#This Row],[کد ردیابی]],customer[کد],0))</f>
        <v>شیر گاز آذران</v>
      </c>
      <c r="H1160">
        <v>15260</v>
      </c>
      <c r="I1160" s="6">
        <f ca="1">-Main[[#This Row],[بدهی تسویه شده (کیلوگرم)]]+Main[[#This Row],[بستانکار (کیلوگرم)]]</f>
        <v>15260</v>
      </c>
      <c r="J1160" s="6">
        <f>IF(Main[[#This Row],[مقدار (کیلوگرم)]]&gt;0,Main[[#This Row],[مقدار (کیلوگرم)]],0)</f>
        <v>15260</v>
      </c>
      <c r="K1160" s="6">
        <f>-IF(Main[[#This Row],[مقدار (کیلوگرم)]]&lt;0,Main[[#This Row],[مقدار (کیلوگرم)]],0)</f>
        <v>0</v>
      </c>
      <c r="L11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0" s="7">
        <f>-IF(AND(Main[[#This Row],[مقدار (کیلوگرم)]]&lt;0,Main[[#This Row],[تاريخ میلادی]]&gt;44276),Main[[#This Row],[مقدار (کیلوگرم)]],0)</f>
        <v>0</v>
      </c>
      <c r="N1160" s="6">
        <f ca="1">Main[[#This Row],[بدهکار (کیلوگرم)]]-Main[[#This Row],[بدهی تسویه نشده (کیلوگرم)]]</f>
        <v>0</v>
      </c>
      <c r="O1160" s="6">
        <f ca="1">Main[[#This Row],[تفکیک]]</f>
        <v>0</v>
      </c>
      <c r="P1160" s="6">
        <f ca="1">IF(Main[[#This Row],[تاخیر از سررسید]]&gt;0,Main[[#This Row],[بدهی تسویه نشده (کیلوگرم)]],0)</f>
        <v>0</v>
      </c>
      <c r="Q1160" s="6">
        <f ca="1">IF(Main[[#This Row],[بدهی تسویه نشده (کیلوگرم)]]&gt;0,'گزارش فردی'!$B$7-Main[[#This Row],[تاريخ میلادی]],0)</f>
        <v>0</v>
      </c>
      <c r="R1160" s="6">
        <f ca="1">IF(Main[[#This Row],[بدهی تسویه نشده (کیلوگرم)]]&gt;0,'گزارش فردی'!$B$7-Main[[#This Row],[تاريخ میلادی]]-'گزارش فردی'!$B$8,0)</f>
        <v>0</v>
      </c>
      <c r="S1160" s="6">
        <f ca="1">Main[[#This Row],[روز از ارسال سفارش]]*Main[[#This Row],[بدهی تسویه نشده (کیلوگرم)]]</f>
        <v>0</v>
      </c>
      <c r="T1160" s="6">
        <f ca="1">Main[[#This Row],[بدهی سررسید شده (کیلوگرم)]]*Main[[#This Row],[روز از ارسال سفارش]]</f>
        <v>0</v>
      </c>
      <c r="U1160" s="6">
        <f>-SUBTOTAL(9,INDEX(Main[مقدار (کیلوگرم)],1):Main[[#This Row],[مقدار (کیلوگرم)]])</f>
        <v>31908</v>
      </c>
      <c r="V11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0" s="6">
        <f>Main[[#This Row],[تعداد کل روزهای بدهکار (روز)]]*Main[[#This Row],[مانده در خط کل (کیلوگرم)]]</f>
        <v>0</v>
      </c>
      <c r="X1160" s="6">
        <f ca="1">-SUBTOTAL(9,INDEX(Main[مقدار تسویه شده (کیلوگرم)],1):Main[[#This Row],[مقدار تسویه شده (کیلوگرم)]])</f>
        <v>31908</v>
      </c>
      <c r="Y1160" s="6">
        <f ca="1">IF(Main[[#This Row],[مانده در خط تسویه شده (کیلوگرم)]]&lt;&gt;0,Main[[#This Row],[تعداد کل روزهای بدهکار (روز)]],0)</f>
        <v>0</v>
      </c>
      <c r="Z1160" s="6">
        <f ca="1">Main[[#This Row],[تعداد روزهای بدهکار تسویه شده (روز)]]*Main[[#This Row],[مانده در خط تسویه شده (کیلوگرم)]]</f>
        <v>0</v>
      </c>
      <c r="AA1160" s="6">
        <f ca="1">SUBTOTAL(9,INDEX(Main[بدهی تسویه نشده (کیلوگرم)],1):Main[[#This Row],[بدهی تسویه نشده (کیلوگرم)]])</f>
        <v>0</v>
      </c>
      <c r="AB1160" s="6">
        <f ca="1">IF(Main[[#This Row],[مانده در خط تسویه نشده (کیلوگرم)]]&lt;&gt;0,Main[[#This Row],[تعداد کل روزهای بدهکار (روز)]],0)</f>
        <v>0</v>
      </c>
      <c r="AC1160" s="6">
        <f ca="1">Main[[#This Row],[تعداد روزهای بدهکار  تسویه نشده (روز)]]*Main[[#This Row],[مانده در خط تسویه نشده (کیلوگرم)]]</f>
        <v>0</v>
      </c>
      <c r="AD1160" s="6">
        <f ca="1">SUBTOTAL(9,INDEX(Main[بدهی سررسید شده (کیلوگرم)],1):Main[[#This Row],[بدهی سررسید شده (کیلوگرم)]])</f>
        <v>0</v>
      </c>
      <c r="AE1160" s="6">
        <f ca="1">IF(Main[[#This Row],[مانده در خط سررسید شده (کیلوگرم)]]&lt;&gt;0,Main[[#This Row],[تعداد کل روزهای بدهکار (روز)]],0)</f>
        <v>0</v>
      </c>
      <c r="AF1160" s="6">
        <f ca="1">Main[[#This Row],[تعداد روزهای بدهکار سررسید شده (روز)]]*Main[[#This Row],[مانده در خط سررسید شده (کیلوگرم)]]</f>
        <v>0</v>
      </c>
    </row>
    <row r="1161" spans="1:32" hidden="1" x14ac:dyDescent="0.35">
      <c r="A1161" s="5">
        <f>ROW()-ROW(INDEX(Main[ردیف],1))+1</f>
        <v>1159</v>
      </c>
      <c r="B1161" s="31">
        <f>SUBTOTAL(2,INDEX(Main[ردیف],1):Main[[#This Row],[ردیف]])</f>
        <v>107</v>
      </c>
      <c r="C1161" s="32" t="s">
        <v>627</v>
      </c>
      <c r="D1161" s="32" t="str">
        <f>_xlfn.CONCAT("14",Main[[#This Row],[تاريخ]])</f>
        <v>1400/05/02</v>
      </c>
      <c r="E1161" s="33">
        <v>44401</v>
      </c>
      <c r="F1161" s="32">
        <v>30186</v>
      </c>
      <c r="G1161" s="5" t="str">
        <f>INDEX(customer[عنوان],MATCH(Main[[#This Row],[کد ردیابی]],customer[کد],0))</f>
        <v>سارا گاز</v>
      </c>
      <c r="H1161">
        <v>-2766</v>
      </c>
      <c r="I1161" s="6">
        <f ca="1">-Main[[#This Row],[بدهی تسویه شده (کیلوگرم)]]+Main[[#This Row],[بستانکار (کیلوگرم)]]</f>
        <v>-2766</v>
      </c>
      <c r="J1161" s="6">
        <f>IF(Main[[#This Row],[مقدار (کیلوگرم)]]&gt;0,Main[[#This Row],[مقدار (کیلوگرم)]],0)</f>
        <v>0</v>
      </c>
      <c r="K1161" s="6">
        <f>-IF(Main[[#This Row],[مقدار (کیلوگرم)]]&lt;0,Main[[#This Row],[مقدار (کیلوگرم)]],0)</f>
        <v>2766</v>
      </c>
      <c r="L11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1" s="7">
        <f>-IF(AND(Main[[#This Row],[مقدار (کیلوگرم)]]&lt;0,Main[[#This Row],[تاريخ میلادی]]&gt;44276),Main[[#This Row],[مقدار (کیلوگرم)]],0)</f>
        <v>2766</v>
      </c>
      <c r="N1161" s="6">
        <f ca="1">Main[[#This Row],[بدهکار (کیلوگرم)]]-Main[[#This Row],[بدهی تسویه نشده (کیلوگرم)]]</f>
        <v>2766</v>
      </c>
      <c r="O1161" s="6">
        <f ca="1">Main[[#This Row],[تفکیک]]</f>
        <v>0</v>
      </c>
      <c r="P1161" s="6">
        <f ca="1">IF(Main[[#This Row],[تاخیر از سررسید]]&gt;0,Main[[#This Row],[بدهی تسویه نشده (کیلوگرم)]],0)</f>
        <v>0</v>
      </c>
      <c r="Q1161" s="6">
        <f ca="1">IF(Main[[#This Row],[بدهی تسویه نشده (کیلوگرم)]]&gt;0,'گزارش فردی'!$B$7-Main[[#This Row],[تاريخ میلادی]],0)</f>
        <v>0</v>
      </c>
      <c r="R1161" s="6">
        <f ca="1">IF(Main[[#This Row],[بدهی تسویه نشده (کیلوگرم)]]&gt;0,'گزارش فردی'!$B$7-Main[[#This Row],[تاريخ میلادی]]-'گزارش فردی'!$B$8,0)</f>
        <v>0</v>
      </c>
      <c r="S1161" s="6">
        <f ca="1">Main[[#This Row],[روز از ارسال سفارش]]*Main[[#This Row],[بدهی تسویه نشده (کیلوگرم)]]</f>
        <v>0</v>
      </c>
      <c r="T1161" s="6">
        <f ca="1">Main[[#This Row],[بدهی سررسید شده (کیلوگرم)]]*Main[[#This Row],[روز از ارسال سفارش]]</f>
        <v>0</v>
      </c>
      <c r="U1161" s="6">
        <f>-SUBTOTAL(9,INDEX(Main[مقدار (کیلوگرم)],1):Main[[#This Row],[مقدار (کیلوگرم)]])</f>
        <v>31908</v>
      </c>
      <c r="V11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1" s="6">
        <f>Main[[#This Row],[تعداد کل روزهای بدهکار (روز)]]*Main[[#This Row],[مانده در خط کل (کیلوگرم)]]</f>
        <v>0</v>
      </c>
      <c r="X1161" s="6">
        <f ca="1">-SUBTOTAL(9,INDEX(Main[مقدار تسویه شده (کیلوگرم)],1):Main[[#This Row],[مقدار تسویه شده (کیلوگرم)]])</f>
        <v>31908</v>
      </c>
      <c r="Y1161" s="6">
        <f ca="1">IF(Main[[#This Row],[مانده در خط تسویه شده (کیلوگرم)]]&lt;&gt;0,Main[[#This Row],[تعداد کل روزهای بدهکار (روز)]],0)</f>
        <v>0</v>
      </c>
      <c r="Z1161" s="6">
        <f ca="1">Main[[#This Row],[تعداد روزهای بدهکار تسویه شده (روز)]]*Main[[#This Row],[مانده در خط تسویه شده (کیلوگرم)]]</f>
        <v>0</v>
      </c>
      <c r="AA1161" s="6">
        <f ca="1">SUBTOTAL(9,INDEX(Main[بدهی تسویه نشده (کیلوگرم)],1):Main[[#This Row],[بدهی تسویه نشده (کیلوگرم)]])</f>
        <v>0</v>
      </c>
      <c r="AB1161" s="6">
        <f ca="1">IF(Main[[#This Row],[مانده در خط تسویه نشده (کیلوگرم)]]&lt;&gt;0,Main[[#This Row],[تعداد کل روزهای بدهکار (روز)]],0)</f>
        <v>0</v>
      </c>
      <c r="AC1161" s="6">
        <f ca="1">Main[[#This Row],[تعداد روزهای بدهکار  تسویه نشده (روز)]]*Main[[#This Row],[مانده در خط تسویه نشده (کیلوگرم)]]</f>
        <v>0</v>
      </c>
      <c r="AD1161" s="6">
        <f ca="1">SUBTOTAL(9,INDEX(Main[بدهی سررسید شده (کیلوگرم)],1):Main[[#This Row],[بدهی سررسید شده (کیلوگرم)]])</f>
        <v>0</v>
      </c>
      <c r="AE1161" s="6">
        <f ca="1">IF(Main[[#This Row],[مانده در خط سررسید شده (کیلوگرم)]]&lt;&gt;0,Main[[#This Row],[تعداد کل روزهای بدهکار (روز)]],0)</f>
        <v>0</v>
      </c>
      <c r="AF1161" s="6">
        <f ca="1">Main[[#This Row],[تعداد روزهای بدهکار سررسید شده (روز)]]*Main[[#This Row],[مانده در خط سررسید شده (کیلوگرم)]]</f>
        <v>0</v>
      </c>
    </row>
    <row r="1162" spans="1:32" hidden="1" x14ac:dyDescent="0.35">
      <c r="A1162" s="5">
        <f>ROW()-ROW(INDEX(Main[ردیف],1))+1</f>
        <v>1160</v>
      </c>
      <c r="B1162" s="31">
        <f>SUBTOTAL(2,INDEX(Main[ردیف],1):Main[[#This Row],[ردیف]])</f>
        <v>107</v>
      </c>
      <c r="C1162" s="32" t="s">
        <v>627</v>
      </c>
      <c r="D1162" s="32" t="str">
        <f>_xlfn.CONCAT("14",Main[[#This Row],[تاريخ]])</f>
        <v>1400/05/02</v>
      </c>
      <c r="E1162" s="33">
        <v>44401</v>
      </c>
      <c r="F1162" s="32">
        <v>30186</v>
      </c>
      <c r="G1162" s="5" t="str">
        <f>INDEX(customer[عنوان],MATCH(Main[[#This Row],[کد ردیابی]],customer[کد],0))</f>
        <v>سارا گاز</v>
      </c>
      <c r="H1162">
        <v>1350</v>
      </c>
      <c r="I1162" s="6">
        <f ca="1">-Main[[#This Row],[بدهی تسویه شده (کیلوگرم)]]+Main[[#This Row],[بستانکار (کیلوگرم)]]</f>
        <v>1350</v>
      </c>
      <c r="J1162" s="6">
        <f>IF(Main[[#This Row],[مقدار (کیلوگرم)]]&gt;0,Main[[#This Row],[مقدار (کیلوگرم)]],0)</f>
        <v>1350</v>
      </c>
      <c r="K1162" s="6">
        <f>-IF(Main[[#This Row],[مقدار (کیلوگرم)]]&lt;0,Main[[#This Row],[مقدار (کیلوگرم)]],0)</f>
        <v>0</v>
      </c>
      <c r="L11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2" s="7">
        <f>-IF(AND(Main[[#This Row],[مقدار (کیلوگرم)]]&lt;0,Main[[#This Row],[تاريخ میلادی]]&gt;44276),Main[[#This Row],[مقدار (کیلوگرم)]],0)</f>
        <v>0</v>
      </c>
      <c r="N1162" s="6">
        <f ca="1">Main[[#This Row],[بدهکار (کیلوگرم)]]-Main[[#This Row],[بدهی تسویه نشده (کیلوگرم)]]</f>
        <v>0</v>
      </c>
      <c r="O1162" s="6">
        <f ca="1">Main[[#This Row],[تفکیک]]</f>
        <v>0</v>
      </c>
      <c r="P1162" s="6">
        <f ca="1">IF(Main[[#This Row],[تاخیر از سررسید]]&gt;0,Main[[#This Row],[بدهی تسویه نشده (کیلوگرم)]],0)</f>
        <v>0</v>
      </c>
      <c r="Q1162" s="6">
        <f ca="1">IF(Main[[#This Row],[بدهی تسویه نشده (کیلوگرم)]]&gt;0,'گزارش فردی'!$B$7-Main[[#This Row],[تاريخ میلادی]],0)</f>
        <v>0</v>
      </c>
      <c r="R1162" s="6">
        <f ca="1">IF(Main[[#This Row],[بدهی تسویه نشده (کیلوگرم)]]&gt;0,'گزارش فردی'!$B$7-Main[[#This Row],[تاريخ میلادی]]-'گزارش فردی'!$B$8,0)</f>
        <v>0</v>
      </c>
      <c r="S1162" s="6">
        <f ca="1">Main[[#This Row],[روز از ارسال سفارش]]*Main[[#This Row],[بدهی تسویه نشده (کیلوگرم)]]</f>
        <v>0</v>
      </c>
      <c r="T1162" s="6">
        <f ca="1">Main[[#This Row],[بدهی سررسید شده (کیلوگرم)]]*Main[[#This Row],[روز از ارسال سفارش]]</f>
        <v>0</v>
      </c>
      <c r="U1162" s="6">
        <f>-SUBTOTAL(9,INDEX(Main[مقدار (کیلوگرم)],1):Main[[#This Row],[مقدار (کیلوگرم)]])</f>
        <v>31908</v>
      </c>
      <c r="V11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2" s="6">
        <f>Main[[#This Row],[تعداد کل روزهای بدهکار (روز)]]*Main[[#This Row],[مانده در خط کل (کیلوگرم)]]</f>
        <v>0</v>
      </c>
      <c r="X1162" s="6">
        <f ca="1">-SUBTOTAL(9,INDEX(Main[مقدار تسویه شده (کیلوگرم)],1):Main[[#This Row],[مقدار تسویه شده (کیلوگرم)]])</f>
        <v>31908</v>
      </c>
      <c r="Y1162" s="6">
        <f ca="1">IF(Main[[#This Row],[مانده در خط تسویه شده (کیلوگرم)]]&lt;&gt;0,Main[[#This Row],[تعداد کل روزهای بدهکار (روز)]],0)</f>
        <v>0</v>
      </c>
      <c r="Z1162" s="6">
        <f ca="1">Main[[#This Row],[تعداد روزهای بدهکار تسویه شده (روز)]]*Main[[#This Row],[مانده در خط تسویه شده (کیلوگرم)]]</f>
        <v>0</v>
      </c>
      <c r="AA1162" s="6">
        <f ca="1">SUBTOTAL(9,INDEX(Main[بدهی تسویه نشده (کیلوگرم)],1):Main[[#This Row],[بدهی تسویه نشده (کیلوگرم)]])</f>
        <v>0</v>
      </c>
      <c r="AB1162" s="6">
        <f ca="1">IF(Main[[#This Row],[مانده در خط تسویه نشده (کیلوگرم)]]&lt;&gt;0,Main[[#This Row],[تعداد کل روزهای بدهکار (روز)]],0)</f>
        <v>0</v>
      </c>
      <c r="AC1162" s="6">
        <f ca="1">Main[[#This Row],[تعداد روزهای بدهکار  تسویه نشده (روز)]]*Main[[#This Row],[مانده در خط تسویه نشده (کیلوگرم)]]</f>
        <v>0</v>
      </c>
      <c r="AD1162" s="6">
        <f ca="1">SUBTOTAL(9,INDEX(Main[بدهی سررسید شده (کیلوگرم)],1):Main[[#This Row],[بدهی سررسید شده (کیلوگرم)]])</f>
        <v>0</v>
      </c>
      <c r="AE1162" s="6">
        <f ca="1">IF(Main[[#This Row],[مانده در خط سررسید شده (کیلوگرم)]]&lt;&gt;0,Main[[#This Row],[تعداد کل روزهای بدهکار (روز)]],0)</f>
        <v>0</v>
      </c>
      <c r="AF1162" s="6">
        <f ca="1">Main[[#This Row],[تعداد روزهای بدهکار سررسید شده (روز)]]*Main[[#This Row],[مانده در خط سررسید شده (کیلوگرم)]]</f>
        <v>0</v>
      </c>
    </row>
    <row r="1163" spans="1:32" hidden="1" x14ac:dyDescent="0.35">
      <c r="A1163" s="5">
        <f>ROW()-ROW(INDEX(Main[ردیف],1))+1</f>
        <v>1161</v>
      </c>
      <c r="B1163" s="31">
        <f>SUBTOTAL(2,INDEX(Main[ردیف],1):Main[[#This Row],[ردیف]])</f>
        <v>107</v>
      </c>
      <c r="C1163" s="32" t="s">
        <v>627</v>
      </c>
      <c r="D1163" s="32" t="str">
        <f>_xlfn.CONCAT("14",Main[[#This Row],[تاريخ]])</f>
        <v>1400/05/02</v>
      </c>
      <c r="E1163" s="33">
        <v>44401</v>
      </c>
      <c r="F1163" s="32">
        <v>30174</v>
      </c>
      <c r="G1163" s="5" t="str">
        <f>INDEX(customer[عنوان],MATCH(Main[[#This Row],[کد ردیابی]],customer[کد],0))</f>
        <v>شیرآلات مهرآرا</v>
      </c>
      <c r="H1163">
        <v>-656</v>
      </c>
      <c r="I1163" s="6">
        <f ca="1">-Main[[#This Row],[بدهی تسویه شده (کیلوگرم)]]+Main[[#This Row],[بستانکار (کیلوگرم)]]</f>
        <v>-656</v>
      </c>
      <c r="J1163" s="6">
        <f>IF(Main[[#This Row],[مقدار (کیلوگرم)]]&gt;0,Main[[#This Row],[مقدار (کیلوگرم)]],0)</f>
        <v>0</v>
      </c>
      <c r="K1163" s="6">
        <f>-IF(Main[[#This Row],[مقدار (کیلوگرم)]]&lt;0,Main[[#This Row],[مقدار (کیلوگرم)]],0)</f>
        <v>656</v>
      </c>
      <c r="L11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3" s="7">
        <f>-IF(AND(Main[[#This Row],[مقدار (کیلوگرم)]]&lt;0,Main[[#This Row],[تاريخ میلادی]]&gt;44276),Main[[#This Row],[مقدار (کیلوگرم)]],0)</f>
        <v>656</v>
      </c>
      <c r="N1163" s="6">
        <f ca="1">Main[[#This Row],[بدهکار (کیلوگرم)]]-Main[[#This Row],[بدهی تسویه نشده (کیلوگرم)]]</f>
        <v>656</v>
      </c>
      <c r="O1163" s="6">
        <f ca="1">Main[[#This Row],[تفکیک]]</f>
        <v>0</v>
      </c>
      <c r="P1163" s="6">
        <f ca="1">IF(Main[[#This Row],[تاخیر از سررسید]]&gt;0,Main[[#This Row],[بدهی تسویه نشده (کیلوگرم)]],0)</f>
        <v>0</v>
      </c>
      <c r="Q1163" s="6">
        <f ca="1">IF(Main[[#This Row],[بدهی تسویه نشده (کیلوگرم)]]&gt;0,'گزارش فردی'!$B$7-Main[[#This Row],[تاريخ میلادی]],0)</f>
        <v>0</v>
      </c>
      <c r="R1163" s="6">
        <f ca="1">IF(Main[[#This Row],[بدهی تسویه نشده (کیلوگرم)]]&gt;0,'گزارش فردی'!$B$7-Main[[#This Row],[تاريخ میلادی]]-'گزارش فردی'!$B$8,0)</f>
        <v>0</v>
      </c>
      <c r="S1163" s="6">
        <f ca="1">Main[[#This Row],[روز از ارسال سفارش]]*Main[[#This Row],[بدهی تسویه نشده (کیلوگرم)]]</f>
        <v>0</v>
      </c>
      <c r="T1163" s="6">
        <f ca="1">Main[[#This Row],[بدهی سررسید شده (کیلوگرم)]]*Main[[#This Row],[روز از ارسال سفارش]]</f>
        <v>0</v>
      </c>
      <c r="U1163" s="6">
        <f>-SUBTOTAL(9,INDEX(Main[مقدار (کیلوگرم)],1):Main[[#This Row],[مقدار (کیلوگرم)]])</f>
        <v>31908</v>
      </c>
      <c r="V11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3" s="6">
        <f>Main[[#This Row],[تعداد کل روزهای بدهکار (روز)]]*Main[[#This Row],[مانده در خط کل (کیلوگرم)]]</f>
        <v>0</v>
      </c>
      <c r="X1163" s="6">
        <f ca="1">-SUBTOTAL(9,INDEX(Main[مقدار تسویه شده (کیلوگرم)],1):Main[[#This Row],[مقدار تسویه شده (کیلوگرم)]])</f>
        <v>31908</v>
      </c>
      <c r="Y1163" s="6">
        <f ca="1">IF(Main[[#This Row],[مانده در خط تسویه شده (کیلوگرم)]]&lt;&gt;0,Main[[#This Row],[تعداد کل روزهای بدهکار (روز)]],0)</f>
        <v>0</v>
      </c>
      <c r="Z1163" s="6">
        <f ca="1">Main[[#This Row],[تعداد روزهای بدهکار تسویه شده (روز)]]*Main[[#This Row],[مانده در خط تسویه شده (کیلوگرم)]]</f>
        <v>0</v>
      </c>
      <c r="AA1163" s="6">
        <f ca="1">SUBTOTAL(9,INDEX(Main[بدهی تسویه نشده (کیلوگرم)],1):Main[[#This Row],[بدهی تسویه نشده (کیلوگرم)]])</f>
        <v>0</v>
      </c>
      <c r="AB1163" s="6">
        <f ca="1">IF(Main[[#This Row],[مانده در خط تسویه نشده (کیلوگرم)]]&lt;&gt;0,Main[[#This Row],[تعداد کل روزهای بدهکار (روز)]],0)</f>
        <v>0</v>
      </c>
      <c r="AC1163" s="6">
        <f ca="1">Main[[#This Row],[تعداد روزهای بدهکار  تسویه نشده (روز)]]*Main[[#This Row],[مانده در خط تسویه نشده (کیلوگرم)]]</f>
        <v>0</v>
      </c>
      <c r="AD1163" s="6">
        <f ca="1">SUBTOTAL(9,INDEX(Main[بدهی سررسید شده (کیلوگرم)],1):Main[[#This Row],[بدهی سررسید شده (کیلوگرم)]])</f>
        <v>0</v>
      </c>
      <c r="AE1163" s="6">
        <f ca="1">IF(Main[[#This Row],[مانده در خط سررسید شده (کیلوگرم)]]&lt;&gt;0,Main[[#This Row],[تعداد کل روزهای بدهکار (روز)]],0)</f>
        <v>0</v>
      </c>
      <c r="AF1163" s="6">
        <f ca="1">Main[[#This Row],[تعداد روزهای بدهکار سررسید شده (روز)]]*Main[[#This Row],[مانده در خط سررسید شده (کیلوگرم)]]</f>
        <v>0</v>
      </c>
    </row>
    <row r="1164" spans="1:32" hidden="1" x14ac:dyDescent="0.35">
      <c r="A1164" s="5">
        <f>ROW()-ROW(INDEX(Main[ردیف],1))+1</f>
        <v>1162</v>
      </c>
      <c r="B1164" s="31">
        <f>SUBTOTAL(2,INDEX(Main[ردیف],1):Main[[#This Row],[ردیف]])</f>
        <v>107</v>
      </c>
      <c r="C1164" s="32" t="s">
        <v>627</v>
      </c>
      <c r="D1164" s="32" t="str">
        <f>_xlfn.CONCAT("14",Main[[#This Row],[تاريخ]])</f>
        <v>1400/05/02</v>
      </c>
      <c r="E1164" s="33">
        <v>44401</v>
      </c>
      <c r="F1164" s="32">
        <v>10119</v>
      </c>
      <c r="G1164" s="5" t="str">
        <f>INDEX(customer[عنوان],MATCH(Main[[#This Row],[کد ردیابی]],customer[کد],0))</f>
        <v>سیف الله اکبری</v>
      </c>
      <c r="H1164">
        <v>-280</v>
      </c>
      <c r="I1164" s="6">
        <f ca="1">-Main[[#This Row],[بدهی تسویه شده (کیلوگرم)]]+Main[[#This Row],[بستانکار (کیلوگرم)]]</f>
        <v>-280</v>
      </c>
      <c r="J1164" s="6">
        <f>IF(Main[[#This Row],[مقدار (کیلوگرم)]]&gt;0,Main[[#This Row],[مقدار (کیلوگرم)]],0)</f>
        <v>0</v>
      </c>
      <c r="K1164" s="6">
        <f>-IF(Main[[#This Row],[مقدار (کیلوگرم)]]&lt;0,Main[[#This Row],[مقدار (کیلوگرم)]],0)</f>
        <v>280</v>
      </c>
      <c r="L11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4" s="7">
        <f>-IF(AND(Main[[#This Row],[مقدار (کیلوگرم)]]&lt;0,Main[[#This Row],[تاريخ میلادی]]&gt;44276),Main[[#This Row],[مقدار (کیلوگرم)]],0)</f>
        <v>280</v>
      </c>
      <c r="N1164" s="6">
        <f ca="1">Main[[#This Row],[بدهکار (کیلوگرم)]]-Main[[#This Row],[بدهی تسویه نشده (کیلوگرم)]]</f>
        <v>280</v>
      </c>
      <c r="O1164" s="6">
        <f ca="1">Main[[#This Row],[تفکیک]]</f>
        <v>0</v>
      </c>
      <c r="P1164" s="6">
        <f ca="1">IF(Main[[#This Row],[تاخیر از سررسید]]&gt;0,Main[[#This Row],[بدهی تسویه نشده (کیلوگرم)]],0)</f>
        <v>0</v>
      </c>
      <c r="Q1164" s="6">
        <f ca="1">IF(Main[[#This Row],[بدهی تسویه نشده (کیلوگرم)]]&gt;0,'گزارش فردی'!$B$7-Main[[#This Row],[تاريخ میلادی]],0)</f>
        <v>0</v>
      </c>
      <c r="R1164" s="6">
        <f ca="1">IF(Main[[#This Row],[بدهی تسویه نشده (کیلوگرم)]]&gt;0,'گزارش فردی'!$B$7-Main[[#This Row],[تاريخ میلادی]]-'گزارش فردی'!$B$8,0)</f>
        <v>0</v>
      </c>
      <c r="S1164" s="6">
        <f ca="1">Main[[#This Row],[روز از ارسال سفارش]]*Main[[#This Row],[بدهی تسویه نشده (کیلوگرم)]]</f>
        <v>0</v>
      </c>
      <c r="T1164" s="6">
        <f ca="1">Main[[#This Row],[بدهی سررسید شده (کیلوگرم)]]*Main[[#This Row],[روز از ارسال سفارش]]</f>
        <v>0</v>
      </c>
      <c r="U1164" s="6">
        <f>-SUBTOTAL(9,INDEX(Main[مقدار (کیلوگرم)],1):Main[[#This Row],[مقدار (کیلوگرم)]])</f>
        <v>31908</v>
      </c>
      <c r="V11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4" s="6">
        <f>Main[[#This Row],[تعداد کل روزهای بدهکار (روز)]]*Main[[#This Row],[مانده در خط کل (کیلوگرم)]]</f>
        <v>0</v>
      </c>
      <c r="X1164" s="6">
        <f ca="1">-SUBTOTAL(9,INDEX(Main[مقدار تسویه شده (کیلوگرم)],1):Main[[#This Row],[مقدار تسویه شده (کیلوگرم)]])</f>
        <v>31908</v>
      </c>
      <c r="Y1164" s="6">
        <f ca="1">IF(Main[[#This Row],[مانده در خط تسویه شده (کیلوگرم)]]&lt;&gt;0,Main[[#This Row],[تعداد کل روزهای بدهکار (روز)]],0)</f>
        <v>0</v>
      </c>
      <c r="Z1164" s="6">
        <f ca="1">Main[[#This Row],[تعداد روزهای بدهکار تسویه شده (روز)]]*Main[[#This Row],[مانده در خط تسویه شده (کیلوگرم)]]</f>
        <v>0</v>
      </c>
      <c r="AA1164" s="6">
        <f ca="1">SUBTOTAL(9,INDEX(Main[بدهی تسویه نشده (کیلوگرم)],1):Main[[#This Row],[بدهی تسویه نشده (کیلوگرم)]])</f>
        <v>0</v>
      </c>
      <c r="AB1164" s="6">
        <f ca="1">IF(Main[[#This Row],[مانده در خط تسویه نشده (کیلوگرم)]]&lt;&gt;0,Main[[#This Row],[تعداد کل روزهای بدهکار (روز)]],0)</f>
        <v>0</v>
      </c>
      <c r="AC1164" s="6">
        <f ca="1">Main[[#This Row],[تعداد روزهای بدهکار  تسویه نشده (روز)]]*Main[[#This Row],[مانده در خط تسویه نشده (کیلوگرم)]]</f>
        <v>0</v>
      </c>
      <c r="AD1164" s="6">
        <f ca="1">SUBTOTAL(9,INDEX(Main[بدهی سررسید شده (کیلوگرم)],1):Main[[#This Row],[بدهی سررسید شده (کیلوگرم)]])</f>
        <v>0</v>
      </c>
      <c r="AE1164" s="6">
        <f ca="1">IF(Main[[#This Row],[مانده در خط سررسید شده (کیلوگرم)]]&lt;&gt;0,Main[[#This Row],[تعداد کل روزهای بدهکار (روز)]],0)</f>
        <v>0</v>
      </c>
      <c r="AF1164" s="6">
        <f ca="1">Main[[#This Row],[تعداد روزهای بدهکار سررسید شده (روز)]]*Main[[#This Row],[مانده در خط سررسید شده (کیلوگرم)]]</f>
        <v>0</v>
      </c>
    </row>
    <row r="1165" spans="1:32" hidden="1" x14ac:dyDescent="0.35">
      <c r="A1165" s="5">
        <f>ROW()-ROW(INDEX(Main[ردیف],1))+1</f>
        <v>1163</v>
      </c>
      <c r="B1165" s="31">
        <f>SUBTOTAL(2,INDEX(Main[ردیف],1):Main[[#This Row],[ردیف]])</f>
        <v>107</v>
      </c>
      <c r="C1165" s="32" t="s">
        <v>627</v>
      </c>
      <c r="D1165" s="32" t="str">
        <f>_xlfn.CONCAT("14",Main[[#This Row],[تاريخ]])</f>
        <v>1400/05/02</v>
      </c>
      <c r="E1165" s="33">
        <v>44401</v>
      </c>
      <c r="F1165" s="32">
        <v>10026</v>
      </c>
      <c r="G1165" s="5" t="str">
        <f>INDEX(customer[عنوان],MATCH(Main[[#This Row],[کد ردیابی]],customer[کد],0))</f>
        <v xml:space="preserve">محسن فیاض بخش </v>
      </c>
      <c r="H1165">
        <v>-1925</v>
      </c>
      <c r="I1165" s="6">
        <f ca="1">-Main[[#This Row],[بدهی تسویه شده (کیلوگرم)]]+Main[[#This Row],[بستانکار (کیلوگرم)]]</f>
        <v>-1925</v>
      </c>
      <c r="J1165" s="6">
        <f>IF(Main[[#This Row],[مقدار (کیلوگرم)]]&gt;0,Main[[#This Row],[مقدار (کیلوگرم)]],0)</f>
        <v>0</v>
      </c>
      <c r="K1165" s="6">
        <f>-IF(Main[[#This Row],[مقدار (کیلوگرم)]]&lt;0,Main[[#This Row],[مقدار (کیلوگرم)]],0)</f>
        <v>1925</v>
      </c>
      <c r="L11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5" s="7">
        <f>-IF(AND(Main[[#This Row],[مقدار (کیلوگرم)]]&lt;0,Main[[#This Row],[تاريخ میلادی]]&gt;44276),Main[[#This Row],[مقدار (کیلوگرم)]],0)</f>
        <v>1925</v>
      </c>
      <c r="N1165" s="6">
        <f ca="1">Main[[#This Row],[بدهکار (کیلوگرم)]]-Main[[#This Row],[بدهی تسویه نشده (کیلوگرم)]]</f>
        <v>1925</v>
      </c>
      <c r="O1165" s="6">
        <f ca="1">Main[[#This Row],[تفکیک]]</f>
        <v>0</v>
      </c>
      <c r="P1165" s="6">
        <f ca="1">IF(Main[[#This Row],[تاخیر از سررسید]]&gt;0,Main[[#This Row],[بدهی تسویه نشده (کیلوگرم)]],0)</f>
        <v>0</v>
      </c>
      <c r="Q1165" s="6">
        <f ca="1">IF(Main[[#This Row],[بدهی تسویه نشده (کیلوگرم)]]&gt;0,'گزارش فردی'!$B$7-Main[[#This Row],[تاريخ میلادی]],0)</f>
        <v>0</v>
      </c>
      <c r="R1165" s="6">
        <f ca="1">IF(Main[[#This Row],[بدهی تسویه نشده (کیلوگرم)]]&gt;0,'گزارش فردی'!$B$7-Main[[#This Row],[تاريخ میلادی]]-'گزارش فردی'!$B$8,0)</f>
        <v>0</v>
      </c>
      <c r="S1165" s="6">
        <f ca="1">Main[[#This Row],[روز از ارسال سفارش]]*Main[[#This Row],[بدهی تسویه نشده (کیلوگرم)]]</f>
        <v>0</v>
      </c>
      <c r="T1165" s="6">
        <f ca="1">Main[[#This Row],[بدهی سررسید شده (کیلوگرم)]]*Main[[#This Row],[روز از ارسال سفارش]]</f>
        <v>0</v>
      </c>
      <c r="U1165" s="6">
        <f>-SUBTOTAL(9,INDEX(Main[مقدار (کیلوگرم)],1):Main[[#This Row],[مقدار (کیلوگرم)]])</f>
        <v>31908</v>
      </c>
      <c r="V11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5" s="6">
        <f>Main[[#This Row],[تعداد کل روزهای بدهکار (روز)]]*Main[[#This Row],[مانده در خط کل (کیلوگرم)]]</f>
        <v>0</v>
      </c>
      <c r="X1165" s="6">
        <f ca="1">-SUBTOTAL(9,INDEX(Main[مقدار تسویه شده (کیلوگرم)],1):Main[[#This Row],[مقدار تسویه شده (کیلوگرم)]])</f>
        <v>31908</v>
      </c>
      <c r="Y1165" s="6">
        <f ca="1">IF(Main[[#This Row],[مانده در خط تسویه شده (کیلوگرم)]]&lt;&gt;0,Main[[#This Row],[تعداد کل روزهای بدهکار (روز)]],0)</f>
        <v>0</v>
      </c>
      <c r="Z1165" s="6">
        <f ca="1">Main[[#This Row],[تعداد روزهای بدهکار تسویه شده (روز)]]*Main[[#This Row],[مانده در خط تسویه شده (کیلوگرم)]]</f>
        <v>0</v>
      </c>
      <c r="AA1165" s="6">
        <f ca="1">SUBTOTAL(9,INDEX(Main[بدهی تسویه نشده (کیلوگرم)],1):Main[[#This Row],[بدهی تسویه نشده (کیلوگرم)]])</f>
        <v>0</v>
      </c>
      <c r="AB1165" s="6">
        <f ca="1">IF(Main[[#This Row],[مانده در خط تسویه نشده (کیلوگرم)]]&lt;&gt;0,Main[[#This Row],[تعداد کل روزهای بدهکار (روز)]],0)</f>
        <v>0</v>
      </c>
      <c r="AC1165" s="6">
        <f ca="1">Main[[#This Row],[تعداد روزهای بدهکار  تسویه نشده (روز)]]*Main[[#This Row],[مانده در خط تسویه نشده (کیلوگرم)]]</f>
        <v>0</v>
      </c>
      <c r="AD1165" s="6">
        <f ca="1">SUBTOTAL(9,INDEX(Main[بدهی سررسید شده (کیلوگرم)],1):Main[[#This Row],[بدهی سررسید شده (کیلوگرم)]])</f>
        <v>0</v>
      </c>
      <c r="AE1165" s="6">
        <f ca="1">IF(Main[[#This Row],[مانده در خط سررسید شده (کیلوگرم)]]&lt;&gt;0,Main[[#This Row],[تعداد کل روزهای بدهکار (روز)]],0)</f>
        <v>0</v>
      </c>
      <c r="AF1165" s="6">
        <f ca="1">Main[[#This Row],[تعداد روزهای بدهکار سررسید شده (روز)]]*Main[[#This Row],[مانده در خط سررسید شده (کیلوگرم)]]</f>
        <v>0</v>
      </c>
    </row>
    <row r="1166" spans="1:32" x14ac:dyDescent="0.35">
      <c r="A1166" s="5">
        <f>ROW()-ROW(INDEX(Main[ردیف],1))+1</f>
        <v>1164</v>
      </c>
      <c r="B1166" s="31">
        <f>SUBTOTAL(2,INDEX(Main[ردیف],1):Main[[#This Row],[ردیف]])</f>
        <v>108</v>
      </c>
      <c r="C1166" s="32" t="s">
        <v>627</v>
      </c>
      <c r="D1166" s="32" t="str">
        <f>_xlfn.CONCAT("14",Main[[#This Row],[تاريخ]])</f>
        <v>1400/05/02</v>
      </c>
      <c r="E1166" s="33">
        <v>44401</v>
      </c>
      <c r="F1166" s="32">
        <v>10003</v>
      </c>
      <c r="G1166" s="5" t="str">
        <f>INDEX(customer[عنوان],MATCH(Main[[#This Row],[کد ردیابی]],customer[کد],0))</f>
        <v>اصغر نورعلی</v>
      </c>
      <c r="H1166">
        <v>-2810</v>
      </c>
      <c r="I1166" s="6">
        <f ca="1">-Main[[#This Row],[بدهی تسویه شده (کیلوگرم)]]+Main[[#This Row],[بستانکار (کیلوگرم)]]</f>
        <v>-2810</v>
      </c>
      <c r="J1166" s="6">
        <f>IF(Main[[#This Row],[مقدار (کیلوگرم)]]&gt;0,Main[[#This Row],[مقدار (کیلوگرم)]],0)</f>
        <v>0</v>
      </c>
      <c r="K1166" s="6">
        <f>-IF(Main[[#This Row],[مقدار (کیلوگرم)]]&lt;0,Main[[#This Row],[مقدار (کیلوگرم)]],0)</f>
        <v>2810</v>
      </c>
      <c r="L11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6" s="7">
        <f>-IF(AND(Main[[#This Row],[مقدار (کیلوگرم)]]&lt;0,Main[[#This Row],[تاريخ میلادی]]&gt;44276),Main[[#This Row],[مقدار (کیلوگرم)]],0)</f>
        <v>2810</v>
      </c>
      <c r="N1166" s="6">
        <f ca="1">Main[[#This Row],[بدهکار (کیلوگرم)]]-Main[[#This Row],[بدهی تسویه نشده (کیلوگرم)]]</f>
        <v>2810</v>
      </c>
      <c r="O1166" s="6">
        <f ca="1">Main[[#This Row],[تفکیک]]</f>
        <v>0</v>
      </c>
      <c r="P1166" s="6">
        <f ca="1">IF(Main[[#This Row],[تاخیر از سررسید]]&gt;0,Main[[#This Row],[بدهی تسویه نشده (کیلوگرم)]],0)</f>
        <v>0</v>
      </c>
      <c r="Q1166" s="6">
        <f ca="1">IF(Main[[#This Row],[بدهی تسویه نشده (کیلوگرم)]]&gt;0,'گزارش فردی'!$B$7-Main[[#This Row],[تاريخ میلادی]],0)</f>
        <v>0</v>
      </c>
      <c r="R1166" s="6">
        <f ca="1">IF(Main[[#This Row],[بدهی تسویه نشده (کیلوگرم)]]&gt;0,'گزارش فردی'!$B$7-Main[[#This Row],[تاريخ میلادی]]-'گزارش فردی'!$B$8,0)</f>
        <v>0</v>
      </c>
      <c r="S1166" s="6">
        <f ca="1">Main[[#This Row],[روز از ارسال سفارش]]*Main[[#This Row],[بدهی تسویه نشده (کیلوگرم)]]</f>
        <v>0</v>
      </c>
      <c r="T1166" s="6">
        <f ca="1">Main[[#This Row],[بدهی سررسید شده (کیلوگرم)]]*Main[[#This Row],[روز از ارسال سفارش]]</f>
        <v>0</v>
      </c>
      <c r="U1166" s="6">
        <f>-SUBTOTAL(9,INDEX(Main[مقدار (کیلوگرم)],1):Main[[#This Row],[مقدار (کیلوگرم)]])</f>
        <v>34718</v>
      </c>
      <c r="V116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66" s="6">
        <f>Main[[#This Row],[تعداد کل روزهای بدهکار (روز)]]*Main[[#This Row],[مانده در خط کل (کیلوگرم)]]</f>
        <v>69436</v>
      </c>
      <c r="X1166" s="6">
        <f ca="1">-SUBTOTAL(9,INDEX(Main[مقدار تسویه شده (کیلوگرم)],1):Main[[#This Row],[مقدار تسویه شده (کیلوگرم)]])</f>
        <v>34718</v>
      </c>
      <c r="Y1166" s="6">
        <f ca="1">IF(Main[[#This Row],[مانده در خط تسویه شده (کیلوگرم)]]&lt;&gt;0,Main[[#This Row],[تعداد کل روزهای بدهکار (روز)]],0)</f>
        <v>2</v>
      </c>
      <c r="Z1166" s="6">
        <f ca="1">Main[[#This Row],[تعداد روزهای بدهکار تسویه شده (روز)]]*Main[[#This Row],[مانده در خط تسویه شده (کیلوگرم)]]</f>
        <v>69436</v>
      </c>
      <c r="AA1166" s="6">
        <f ca="1">SUBTOTAL(9,INDEX(Main[بدهی تسویه نشده (کیلوگرم)],1):Main[[#This Row],[بدهی تسویه نشده (کیلوگرم)]])</f>
        <v>0</v>
      </c>
      <c r="AB1166" s="6">
        <f ca="1">IF(Main[[#This Row],[مانده در خط تسویه نشده (کیلوگرم)]]&lt;&gt;0,Main[[#This Row],[تعداد کل روزهای بدهکار (روز)]],0)</f>
        <v>0</v>
      </c>
      <c r="AC1166" s="6">
        <f ca="1">Main[[#This Row],[تعداد روزهای بدهکار  تسویه نشده (روز)]]*Main[[#This Row],[مانده در خط تسویه نشده (کیلوگرم)]]</f>
        <v>0</v>
      </c>
      <c r="AD1166" s="6">
        <f ca="1">SUBTOTAL(9,INDEX(Main[بدهی سررسید شده (کیلوگرم)],1):Main[[#This Row],[بدهی سررسید شده (کیلوگرم)]])</f>
        <v>0</v>
      </c>
      <c r="AE1166" s="6">
        <f ca="1">IF(Main[[#This Row],[مانده در خط سررسید شده (کیلوگرم)]]&lt;&gt;0,Main[[#This Row],[تعداد کل روزهای بدهکار (روز)]],0)</f>
        <v>0</v>
      </c>
      <c r="AF1166" s="6">
        <f ca="1">Main[[#This Row],[تعداد روزهای بدهکار سررسید شده (روز)]]*Main[[#This Row],[مانده در خط سررسید شده (کیلوگرم)]]</f>
        <v>0</v>
      </c>
    </row>
    <row r="1167" spans="1:32" hidden="1" x14ac:dyDescent="0.35">
      <c r="A1167" s="5">
        <f>ROW()-ROW(INDEX(Main[ردیف],1))+1</f>
        <v>1165</v>
      </c>
      <c r="B1167" s="31">
        <f>SUBTOTAL(2,INDEX(Main[ردیف],1):Main[[#This Row],[ردیف]])</f>
        <v>108</v>
      </c>
      <c r="C1167" s="32" t="s">
        <v>627</v>
      </c>
      <c r="D1167" s="32" t="str">
        <f>_xlfn.CONCAT("14",Main[[#This Row],[تاريخ]])</f>
        <v>1400/05/02</v>
      </c>
      <c r="E1167" s="33">
        <v>44401</v>
      </c>
      <c r="F1167" s="32">
        <v>10104</v>
      </c>
      <c r="G1167" s="5" t="str">
        <f>INDEX(customer[عنوان],MATCH(Main[[#This Row],[کد ردیابی]],customer[کد],0))</f>
        <v>بهزادی فر اصغر</v>
      </c>
      <c r="H1167">
        <v>-1649</v>
      </c>
      <c r="I1167" s="6">
        <f ca="1">-Main[[#This Row],[بدهی تسویه شده (کیلوگرم)]]+Main[[#This Row],[بستانکار (کیلوگرم)]]</f>
        <v>-1649</v>
      </c>
      <c r="J1167" s="6">
        <f>IF(Main[[#This Row],[مقدار (کیلوگرم)]]&gt;0,Main[[#This Row],[مقدار (کیلوگرم)]],0)</f>
        <v>0</v>
      </c>
      <c r="K1167" s="6">
        <f>-IF(Main[[#This Row],[مقدار (کیلوگرم)]]&lt;0,Main[[#This Row],[مقدار (کیلوگرم)]],0)</f>
        <v>1649</v>
      </c>
      <c r="L11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7" s="7">
        <f>-IF(AND(Main[[#This Row],[مقدار (کیلوگرم)]]&lt;0,Main[[#This Row],[تاريخ میلادی]]&gt;44276),Main[[#This Row],[مقدار (کیلوگرم)]],0)</f>
        <v>1649</v>
      </c>
      <c r="N1167" s="6">
        <f ca="1">Main[[#This Row],[بدهکار (کیلوگرم)]]-Main[[#This Row],[بدهی تسویه نشده (کیلوگرم)]]</f>
        <v>1649</v>
      </c>
      <c r="O1167" s="6">
        <f ca="1">Main[[#This Row],[تفکیک]]</f>
        <v>0</v>
      </c>
      <c r="P1167" s="6">
        <f ca="1">IF(Main[[#This Row],[تاخیر از سررسید]]&gt;0,Main[[#This Row],[بدهی تسویه نشده (کیلوگرم)]],0)</f>
        <v>0</v>
      </c>
      <c r="Q1167" s="6">
        <f ca="1">IF(Main[[#This Row],[بدهی تسویه نشده (کیلوگرم)]]&gt;0,'گزارش فردی'!$B$7-Main[[#This Row],[تاريخ میلادی]],0)</f>
        <v>0</v>
      </c>
      <c r="R1167" s="6">
        <f ca="1">IF(Main[[#This Row],[بدهی تسویه نشده (کیلوگرم)]]&gt;0,'گزارش فردی'!$B$7-Main[[#This Row],[تاريخ میلادی]]-'گزارش فردی'!$B$8,0)</f>
        <v>0</v>
      </c>
      <c r="S1167" s="6">
        <f ca="1">Main[[#This Row],[روز از ارسال سفارش]]*Main[[#This Row],[بدهی تسویه نشده (کیلوگرم)]]</f>
        <v>0</v>
      </c>
      <c r="T1167" s="6">
        <f ca="1">Main[[#This Row],[بدهی سررسید شده (کیلوگرم)]]*Main[[#This Row],[روز از ارسال سفارش]]</f>
        <v>0</v>
      </c>
      <c r="U1167" s="6">
        <f>-SUBTOTAL(9,INDEX(Main[مقدار (کیلوگرم)],1):Main[[#This Row],[مقدار (کیلوگرم)]])</f>
        <v>34718</v>
      </c>
      <c r="V11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67" s="6">
        <f>Main[[#This Row],[تعداد کل روزهای بدهکار (روز)]]*Main[[#This Row],[مانده در خط کل (کیلوگرم)]]</f>
        <v>69436</v>
      </c>
      <c r="X1167" s="6">
        <f ca="1">-SUBTOTAL(9,INDEX(Main[مقدار تسویه شده (کیلوگرم)],1):Main[[#This Row],[مقدار تسویه شده (کیلوگرم)]])</f>
        <v>34718</v>
      </c>
      <c r="Y1167" s="6">
        <f ca="1">IF(Main[[#This Row],[مانده در خط تسویه شده (کیلوگرم)]]&lt;&gt;0,Main[[#This Row],[تعداد کل روزهای بدهکار (روز)]],0)</f>
        <v>2</v>
      </c>
      <c r="Z1167" s="6">
        <f ca="1">Main[[#This Row],[تعداد روزهای بدهکار تسویه شده (روز)]]*Main[[#This Row],[مانده در خط تسویه شده (کیلوگرم)]]</f>
        <v>69436</v>
      </c>
      <c r="AA1167" s="6">
        <f ca="1">SUBTOTAL(9,INDEX(Main[بدهی تسویه نشده (کیلوگرم)],1):Main[[#This Row],[بدهی تسویه نشده (کیلوگرم)]])</f>
        <v>0</v>
      </c>
      <c r="AB1167" s="6">
        <f ca="1">IF(Main[[#This Row],[مانده در خط تسویه نشده (کیلوگرم)]]&lt;&gt;0,Main[[#This Row],[تعداد کل روزهای بدهکار (روز)]],0)</f>
        <v>0</v>
      </c>
      <c r="AC1167" s="6">
        <f ca="1">Main[[#This Row],[تعداد روزهای بدهکار  تسویه نشده (روز)]]*Main[[#This Row],[مانده در خط تسویه نشده (کیلوگرم)]]</f>
        <v>0</v>
      </c>
      <c r="AD1167" s="6">
        <f ca="1">SUBTOTAL(9,INDEX(Main[بدهی سررسید شده (کیلوگرم)],1):Main[[#This Row],[بدهی سررسید شده (کیلوگرم)]])</f>
        <v>0</v>
      </c>
      <c r="AE1167" s="6">
        <f ca="1">IF(Main[[#This Row],[مانده در خط سررسید شده (کیلوگرم)]]&lt;&gt;0,Main[[#This Row],[تعداد کل روزهای بدهکار (روز)]],0)</f>
        <v>0</v>
      </c>
      <c r="AF1167" s="6">
        <f ca="1">Main[[#This Row],[تعداد روزهای بدهکار سررسید شده (روز)]]*Main[[#This Row],[مانده در خط سررسید شده (کیلوگرم)]]</f>
        <v>0</v>
      </c>
    </row>
    <row r="1168" spans="1:32" hidden="1" x14ac:dyDescent="0.35">
      <c r="A1168" s="5">
        <f>ROW()-ROW(INDEX(Main[ردیف],1))+1</f>
        <v>1166</v>
      </c>
      <c r="B1168" s="31">
        <f>SUBTOTAL(2,INDEX(Main[ردیف],1):Main[[#This Row],[ردیف]])</f>
        <v>108</v>
      </c>
      <c r="C1168" s="32" t="s">
        <v>627</v>
      </c>
      <c r="D1168" s="32" t="str">
        <f>_xlfn.CONCAT("14",Main[[#This Row],[تاريخ]])</f>
        <v>1400/05/02</v>
      </c>
      <c r="E1168" s="33">
        <v>44401</v>
      </c>
      <c r="F1168" s="32">
        <v>10055</v>
      </c>
      <c r="G1168" s="5" t="str">
        <f>INDEX(customer[عنوان],MATCH(Main[[#This Row],[کد ردیابی]],customer[کد],0))</f>
        <v xml:space="preserve">مریم فیض آبادی  </v>
      </c>
      <c r="H1168">
        <v>-5348</v>
      </c>
      <c r="I1168" s="6">
        <f ca="1">-Main[[#This Row],[بدهی تسویه شده (کیلوگرم)]]+Main[[#This Row],[بستانکار (کیلوگرم)]]</f>
        <v>-5348</v>
      </c>
      <c r="J1168" s="6">
        <f>IF(Main[[#This Row],[مقدار (کیلوگرم)]]&gt;0,Main[[#This Row],[مقدار (کیلوگرم)]],0)</f>
        <v>0</v>
      </c>
      <c r="K1168" s="6">
        <f>-IF(Main[[#This Row],[مقدار (کیلوگرم)]]&lt;0,Main[[#This Row],[مقدار (کیلوگرم)]],0)</f>
        <v>5348</v>
      </c>
      <c r="L11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8" s="7">
        <f>-IF(AND(Main[[#This Row],[مقدار (کیلوگرم)]]&lt;0,Main[[#This Row],[تاريخ میلادی]]&gt;44276),Main[[#This Row],[مقدار (کیلوگرم)]],0)</f>
        <v>5348</v>
      </c>
      <c r="N1168" s="6">
        <f ca="1">Main[[#This Row],[بدهکار (کیلوگرم)]]-Main[[#This Row],[بدهی تسویه نشده (کیلوگرم)]]</f>
        <v>5348</v>
      </c>
      <c r="O1168" s="6">
        <f ca="1">Main[[#This Row],[تفکیک]]</f>
        <v>0</v>
      </c>
      <c r="P1168" s="6">
        <f ca="1">IF(Main[[#This Row],[تاخیر از سررسید]]&gt;0,Main[[#This Row],[بدهی تسویه نشده (کیلوگرم)]],0)</f>
        <v>0</v>
      </c>
      <c r="Q1168" s="6">
        <f ca="1">IF(Main[[#This Row],[بدهی تسویه نشده (کیلوگرم)]]&gt;0,'گزارش فردی'!$B$7-Main[[#This Row],[تاريخ میلادی]],0)</f>
        <v>0</v>
      </c>
      <c r="R1168" s="6">
        <f ca="1">IF(Main[[#This Row],[بدهی تسویه نشده (کیلوگرم)]]&gt;0,'گزارش فردی'!$B$7-Main[[#This Row],[تاريخ میلادی]]-'گزارش فردی'!$B$8,0)</f>
        <v>0</v>
      </c>
      <c r="S1168" s="6">
        <f ca="1">Main[[#This Row],[روز از ارسال سفارش]]*Main[[#This Row],[بدهی تسویه نشده (کیلوگرم)]]</f>
        <v>0</v>
      </c>
      <c r="T1168" s="6">
        <f ca="1">Main[[#This Row],[بدهی سررسید شده (کیلوگرم)]]*Main[[#This Row],[روز از ارسال سفارش]]</f>
        <v>0</v>
      </c>
      <c r="U1168" s="6">
        <f>-SUBTOTAL(9,INDEX(Main[مقدار (کیلوگرم)],1):Main[[#This Row],[مقدار (کیلوگرم)]])</f>
        <v>34718</v>
      </c>
      <c r="V116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68" s="6">
        <f>Main[[#This Row],[تعداد کل روزهای بدهکار (روز)]]*Main[[#This Row],[مانده در خط کل (کیلوگرم)]]</f>
        <v>69436</v>
      </c>
      <c r="X1168" s="6">
        <f ca="1">-SUBTOTAL(9,INDEX(Main[مقدار تسویه شده (کیلوگرم)],1):Main[[#This Row],[مقدار تسویه شده (کیلوگرم)]])</f>
        <v>34718</v>
      </c>
      <c r="Y1168" s="6">
        <f ca="1">IF(Main[[#This Row],[مانده در خط تسویه شده (کیلوگرم)]]&lt;&gt;0,Main[[#This Row],[تعداد کل روزهای بدهکار (روز)]],0)</f>
        <v>2</v>
      </c>
      <c r="Z1168" s="6">
        <f ca="1">Main[[#This Row],[تعداد روزهای بدهکار تسویه شده (روز)]]*Main[[#This Row],[مانده در خط تسویه شده (کیلوگرم)]]</f>
        <v>69436</v>
      </c>
      <c r="AA1168" s="6">
        <f ca="1">SUBTOTAL(9,INDEX(Main[بدهی تسویه نشده (کیلوگرم)],1):Main[[#This Row],[بدهی تسویه نشده (کیلوگرم)]])</f>
        <v>0</v>
      </c>
      <c r="AB1168" s="6">
        <f ca="1">IF(Main[[#This Row],[مانده در خط تسویه نشده (کیلوگرم)]]&lt;&gt;0,Main[[#This Row],[تعداد کل روزهای بدهکار (روز)]],0)</f>
        <v>0</v>
      </c>
      <c r="AC1168" s="6">
        <f ca="1">Main[[#This Row],[تعداد روزهای بدهکار  تسویه نشده (روز)]]*Main[[#This Row],[مانده در خط تسویه نشده (کیلوگرم)]]</f>
        <v>0</v>
      </c>
      <c r="AD1168" s="6">
        <f ca="1">SUBTOTAL(9,INDEX(Main[بدهی سررسید شده (کیلوگرم)],1):Main[[#This Row],[بدهی سررسید شده (کیلوگرم)]])</f>
        <v>0</v>
      </c>
      <c r="AE1168" s="6">
        <f ca="1">IF(Main[[#This Row],[مانده در خط سررسید شده (کیلوگرم)]]&lt;&gt;0,Main[[#This Row],[تعداد کل روزهای بدهکار (روز)]],0)</f>
        <v>0</v>
      </c>
      <c r="AF1168" s="6">
        <f ca="1">Main[[#This Row],[تعداد روزهای بدهکار سررسید شده (روز)]]*Main[[#This Row],[مانده در خط سررسید شده (کیلوگرم)]]</f>
        <v>0</v>
      </c>
    </row>
    <row r="1169" spans="1:32" hidden="1" x14ac:dyDescent="0.35">
      <c r="A1169" s="5">
        <f>ROW()-ROW(INDEX(Main[ردیف],1))+1</f>
        <v>1167</v>
      </c>
      <c r="B1169" s="31">
        <f>SUBTOTAL(2,INDEX(Main[ردیف],1):Main[[#This Row],[ردیف]])</f>
        <v>108</v>
      </c>
      <c r="C1169" s="32" t="s">
        <v>628</v>
      </c>
      <c r="D1169" s="32" t="str">
        <f>_xlfn.CONCAT("14",Main[[#This Row],[تاريخ]])</f>
        <v>1400/05/03</v>
      </c>
      <c r="E1169" s="33">
        <v>44402</v>
      </c>
      <c r="F1169" s="32">
        <v>10127</v>
      </c>
      <c r="G1169" s="5" t="str">
        <f>INDEX(customer[عنوان],MATCH(Main[[#This Row],[کد ردیابی]],customer[کد],0))</f>
        <v xml:space="preserve">عماد هاشمی </v>
      </c>
      <c r="H1169">
        <v>342</v>
      </c>
      <c r="I1169" s="6">
        <f ca="1">-Main[[#This Row],[بدهی تسویه شده (کیلوگرم)]]+Main[[#This Row],[بستانکار (کیلوگرم)]]</f>
        <v>342</v>
      </c>
      <c r="J1169" s="6">
        <f>IF(Main[[#This Row],[مقدار (کیلوگرم)]]&gt;0,Main[[#This Row],[مقدار (کیلوگرم)]],0)</f>
        <v>342</v>
      </c>
      <c r="K1169" s="6">
        <f>-IF(Main[[#This Row],[مقدار (کیلوگرم)]]&lt;0,Main[[#This Row],[مقدار (کیلوگرم)]],0)</f>
        <v>0</v>
      </c>
      <c r="L11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9" s="7">
        <f>-IF(AND(Main[[#This Row],[مقدار (کیلوگرم)]]&lt;0,Main[[#This Row],[تاريخ میلادی]]&gt;44276),Main[[#This Row],[مقدار (کیلوگرم)]],0)</f>
        <v>0</v>
      </c>
      <c r="N1169" s="6">
        <f ca="1">Main[[#This Row],[بدهکار (کیلوگرم)]]-Main[[#This Row],[بدهی تسویه نشده (کیلوگرم)]]</f>
        <v>0</v>
      </c>
      <c r="O1169" s="6">
        <f ca="1">Main[[#This Row],[تفکیک]]</f>
        <v>0</v>
      </c>
      <c r="P1169" s="6">
        <f ca="1">IF(Main[[#This Row],[تاخیر از سررسید]]&gt;0,Main[[#This Row],[بدهی تسویه نشده (کیلوگرم)]],0)</f>
        <v>0</v>
      </c>
      <c r="Q1169" s="6">
        <f ca="1">IF(Main[[#This Row],[بدهی تسویه نشده (کیلوگرم)]]&gt;0,'گزارش فردی'!$B$7-Main[[#This Row],[تاريخ میلادی]],0)</f>
        <v>0</v>
      </c>
      <c r="R1169" s="6">
        <f ca="1">IF(Main[[#This Row],[بدهی تسویه نشده (کیلوگرم)]]&gt;0,'گزارش فردی'!$B$7-Main[[#This Row],[تاريخ میلادی]]-'گزارش فردی'!$B$8,0)</f>
        <v>0</v>
      </c>
      <c r="S1169" s="6">
        <f ca="1">Main[[#This Row],[روز از ارسال سفارش]]*Main[[#This Row],[بدهی تسویه نشده (کیلوگرم)]]</f>
        <v>0</v>
      </c>
      <c r="T1169" s="6">
        <f ca="1">Main[[#This Row],[بدهی سررسید شده (کیلوگرم)]]*Main[[#This Row],[روز از ارسال سفارش]]</f>
        <v>0</v>
      </c>
      <c r="U1169" s="6">
        <f>-SUBTOTAL(9,INDEX(Main[مقدار (کیلوگرم)],1):Main[[#This Row],[مقدار (کیلوگرم)]])</f>
        <v>34718</v>
      </c>
      <c r="V11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69" s="6">
        <f>Main[[#This Row],[تعداد کل روزهای بدهکار (روز)]]*Main[[#This Row],[مانده در خط کل (کیلوگرم)]]</f>
        <v>34718</v>
      </c>
      <c r="X1169" s="6">
        <f ca="1">-SUBTOTAL(9,INDEX(Main[مقدار تسویه شده (کیلوگرم)],1):Main[[#This Row],[مقدار تسویه شده (کیلوگرم)]])</f>
        <v>34718</v>
      </c>
      <c r="Y1169" s="6">
        <f ca="1">IF(Main[[#This Row],[مانده در خط تسویه شده (کیلوگرم)]]&lt;&gt;0,Main[[#This Row],[تعداد کل روزهای بدهکار (روز)]],0)</f>
        <v>1</v>
      </c>
      <c r="Z1169" s="6">
        <f ca="1">Main[[#This Row],[تعداد روزهای بدهکار تسویه شده (روز)]]*Main[[#This Row],[مانده در خط تسویه شده (کیلوگرم)]]</f>
        <v>34718</v>
      </c>
      <c r="AA1169" s="6">
        <f ca="1">SUBTOTAL(9,INDEX(Main[بدهی تسویه نشده (کیلوگرم)],1):Main[[#This Row],[بدهی تسویه نشده (کیلوگرم)]])</f>
        <v>0</v>
      </c>
      <c r="AB1169" s="6">
        <f ca="1">IF(Main[[#This Row],[مانده در خط تسویه نشده (کیلوگرم)]]&lt;&gt;0,Main[[#This Row],[تعداد کل روزهای بدهکار (روز)]],0)</f>
        <v>0</v>
      </c>
      <c r="AC1169" s="6">
        <f ca="1">Main[[#This Row],[تعداد روزهای بدهکار  تسویه نشده (روز)]]*Main[[#This Row],[مانده در خط تسویه نشده (کیلوگرم)]]</f>
        <v>0</v>
      </c>
      <c r="AD1169" s="6">
        <f ca="1">SUBTOTAL(9,INDEX(Main[بدهی سررسید شده (کیلوگرم)],1):Main[[#This Row],[بدهی سررسید شده (کیلوگرم)]])</f>
        <v>0</v>
      </c>
      <c r="AE1169" s="6">
        <f ca="1">IF(Main[[#This Row],[مانده در خط سررسید شده (کیلوگرم)]]&lt;&gt;0,Main[[#This Row],[تعداد کل روزهای بدهکار (روز)]],0)</f>
        <v>0</v>
      </c>
      <c r="AF1169" s="6">
        <f ca="1">Main[[#This Row],[تعداد روزهای بدهکار سررسید شده (روز)]]*Main[[#This Row],[مانده در خط سررسید شده (کیلوگرم)]]</f>
        <v>0</v>
      </c>
    </row>
    <row r="1170" spans="1:32" hidden="1" x14ac:dyDescent="0.35">
      <c r="A1170" s="5">
        <f>ROW()-ROW(INDEX(Main[ردیف],1))+1</f>
        <v>1168</v>
      </c>
      <c r="B1170" s="31">
        <f>SUBTOTAL(2,INDEX(Main[ردیف],1):Main[[#This Row],[ردیف]])</f>
        <v>108</v>
      </c>
      <c r="C1170" s="32" t="s">
        <v>628</v>
      </c>
      <c r="D1170" s="32" t="str">
        <f>_xlfn.CONCAT("14",Main[[#This Row],[تاريخ]])</f>
        <v>1400/05/03</v>
      </c>
      <c r="E1170" s="33">
        <v>44402</v>
      </c>
      <c r="F1170" s="32">
        <v>30009</v>
      </c>
      <c r="G1170" s="5" t="str">
        <f>INDEX(customer[عنوان],MATCH(Main[[#This Row],[کد ردیابی]],customer[کد],0))</f>
        <v>شرکت ایمن تک پیشرو</v>
      </c>
      <c r="H1170">
        <v>-2122</v>
      </c>
      <c r="I1170" s="6">
        <f ca="1">-Main[[#This Row],[بدهی تسویه شده (کیلوگرم)]]+Main[[#This Row],[بستانکار (کیلوگرم)]]</f>
        <v>-2122</v>
      </c>
      <c r="J1170" s="6">
        <f>IF(Main[[#This Row],[مقدار (کیلوگرم)]]&gt;0,Main[[#This Row],[مقدار (کیلوگرم)]],0)</f>
        <v>0</v>
      </c>
      <c r="K1170" s="6">
        <f>-IF(Main[[#This Row],[مقدار (کیلوگرم)]]&lt;0,Main[[#This Row],[مقدار (کیلوگرم)]],0)</f>
        <v>2122</v>
      </c>
      <c r="L11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0" s="7">
        <f>-IF(AND(Main[[#This Row],[مقدار (کیلوگرم)]]&lt;0,Main[[#This Row],[تاريخ میلادی]]&gt;44276),Main[[#This Row],[مقدار (کیلوگرم)]],0)</f>
        <v>2122</v>
      </c>
      <c r="N1170" s="6">
        <f ca="1">Main[[#This Row],[بدهکار (کیلوگرم)]]-Main[[#This Row],[بدهی تسویه نشده (کیلوگرم)]]</f>
        <v>2122</v>
      </c>
      <c r="O1170" s="6">
        <f ca="1">Main[[#This Row],[تفکیک]]</f>
        <v>0</v>
      </c>
      <c r="P1170" s="6">
        <f ca="1">IF(Main[[#This Row],[تاخیر از سررسید]]&gt;0,Main[[#This Row],[بدهی تسویه نشده (کیلوگرم)]],0)</f>
        <v>0</v>
      </c>
      <c r="Q1170" s="6">
        <f ca="1">IF(Main[[#This Row],[بدهی تسویه نشده (کیلوگرم)]]&gt;0,'گزارش فردی'!$B$7-Main[[#This Row],[تاريخ میلادی]],0)</f>
        <v>0</v>
      </c>
      <c r="R1170" s="6">
        <f ca="1">IF(Main[[#This Row],[بدهی تسویه نشده (کیلوگرم)]]&gt;0,'گزارش فردی'!$B$7-Main[[#This Row],[تاريخ میلادی]]-'گزارش فردی'!$B$8,0)</f>
        <v>0</v>
      </c>
      <c r="S1170" s="6">
        <f ca="1">Main[[#This Row],[روز از ارسال سفارش]]*Main[[#This Row],[بدهی تسویه نشده (کیلوگرم)]]</f>
        <v>0</v>
      </c>
      <c r="T1170" s="6">
        <f ca="1">Main[[#This Row],[بدهی سررسید شده (کیلوگرم)]]*Main[[#This Row],[روز از ارسال سفارش]]</f>
        <v>0</v>
      </c>
      <c r="U1170" s="6">
        <f>-SUBTOTAL(9,INDEX(Main[مقدار (کیلوگرم)],1):Main[[#This Row],[مقدار (کیلوگرم)]])</f>
        <v>34718</v>
      </c>
      <c r="V11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0" s="6">
        <f>Main[[#This Row],[تعداد کل روزهای بدهکار (روز)]]*Main[[#This Row],[مانده در خط کل (کیلوگرم)]]</f>
        <v>34718</v>
      </c>
      <c r="X1170" s="6">
        <f ca="1">-SUBTOTAL(9,INDEX(Main[مقدار تسویه شده (کیلوگرم)],1):Main[[#This Row],[مقدار تسویه شده (کیلوگرم)]])</f>
        <v>34718</v>
      </c>
      <c r="Y1170" s="6">
        <f ca="1">IF(Main[[#This Row],[مانده در خط تسویه شده (کیلوگرم)]]&lt;&gt;0,Main[[#This Row],[تعداد کل روزهای بدهکار (روز)]],0)</f>
        <v>1</v>
      </c>
      <c r="Z1170" s="6">
        <f ca="1">Main[[#This Row],[تعداد روزهای بدهکار تسویه شده (روز)]]*Main[[#This Row],[مانده در خط تسویه شده (کیلوگرم)]]</f>
        <v>34718</v>
      </c>
      <c r="AA1170" s="6">
        <f ca="1">SUBTOTAL(9,INDEX(Main[بدهی تسویه نشده (کیلوگرم)],1):Main[[#This Row],[بدهی تسویه نشده (کیلوگرم)]])</f>
        <v>0</v>
      </c>
      <c r="AB1170" s="6">
        <f ca="1">IF(Main[[#This Row],[مانده در خط تسویه نشده (کیلوگرم)]]&lt;&gt;0,Main[[#This Row],[تعداد کل روزهای بدهکار (روز)]],0)</f>
        <v>0</v>
      </c>
      <c r="AC1170" s="6">
        <f ca="1">Main[[#This Row],[تعداد روزهای بدهکار  تسویه نشده (روز)]]*Main[[#This Row],[مانده در خط تسویه نشده (کیلوگرم)]]</f>
        <v>0</v>
      </c>
      <c r="AD1170" s="6">
        <f ca="1">SUBTOTAL(9,INDEX(Main[بدهی سررسید شده (کیلوگرم)],1):Main[[#This Row],[بدهی سررسید شده (کیلوگرم)]])</f>
        <v>0</v>
      </c>
      <c r="AE1170" s="6">
        <f ca="1">IF(Main[[#This Row],[مانده در خط سررسید شده (کیلوگرم)]]&lt;&gt;0,Main[[#This Row],[تعداد کل روزهای بدهکار (روز)]],0)</f>
        <v>0</v>
      </c>
      <c r="AF1170" s="6">
        <f ca="1">Main[[#This Row],[تعداد روزهای بدهکار سررسید شده (روز)]]*Main[[#This Row],[مانده در خط سررسید شده (کیلوگرم)]]</f>
        <v>0</v>
      </c>
    </row>
    <row r="1171" spans="1:32" hidden="1" x14ac:dyDescent="0.35">
      <c r="A1171" s="5">
        <f>ROW()-ROW(INDEX(Main[ردیف],1))+1</f>
        <v>1169</v>
      </c>
      <c r="B1171" s="31">
        <f>SUBTOTAL(2,INDEX(Main[ردیف],1):Main[[#This Row],[ردیف]])</f>
        <v>108</v>
      </c>
      <c r="C1171" s="32" t="s">
        <v>628</v>
      </c>
      <c r="D1171" s="32" t="str">
        <f>_xlfn.CONCAT("14",Main[[#This Row],[تاريخ]])</f>
        <v>1400/05/03</v>
      </c>
      <c r="E1171" s="33">
        <v>44402</v>
      </c>
      <c r="F1171" s="32">
        <v>10055</v>
      </c>
      <c r="G1171" s="5" t="str">
        <f>INDEX(customer[عنوان],MATCH(Main[[#This Row],[کد ردیابی]],customer[کد],0))</f>
        <v xml:space="preserve">مریم فیض آبادی  </v>
      </c>
      <c r="H1171">
        <v>4747</v>
      </c>
      <c r="I1171" s="6">
        <f ca="1">-Main[[#This Row],[بدهی تسویه شده (کیلوگرم)]]+Main[[#This Row],[بستانکار (کیلوگرم)]]</f>
        <v>4747</v>
      </c>
      <c r="J1171" s="6">
        <f>IF(Main[[#This Row],[مقدار (کیلوگرم)]]&gt;0,Main[[#This Row],[مقدار (کیلوگرم)]],0)</f>
        <v>4747</v>
      </c>
      <c r="K1171" s="6">
        <f>-IF(Main[[#This Row],[مقدار (کیلوگرم)]]&lt;0,Main[[#This Row],[مقدار (کیلوگرم)]],0)</f>
        <v>0</v>
      </c>
      <c r="L11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1" s="7">
        <f>-IF(AND(Main[[#This Row],[مقدار (کیلوگرم)]]&lt;0,Main[[#This Row],[تاريخ میلادی]]&gt;44276),Main[[#This Row],[مقدار (کیلوگرم)]],0)</f>
        <v>0</v>
      </c>
      <c r="N1171" s="6">
        <f ca="1">Main[[#This Row],[بدهکار (کیلوگرم)]]-Main[[#This Row],[بدهی تسویه نشده (کیلوگرم)]]</f>
        <v>0</v>
      </c>
      <c r="O1171" s="6">
        <f ca="1">Main[[#This Row],[تفکیک]]</f>
        <v>0</v>
      </c>
      <c r="P1171" s="6">
        <f ca="1">IF(Main[[#This Row],[تاخیر از سررسید]]&gt;0,Main[[#This Row],[بدهی تسویه نشده (کیلوگرم)]],0)</f>
        <v>0</v>
      </c>
      <c r="Q1171" s="6">
        <f ca="1">IF(Main[[#This Row],[بدهی تسویه نشده (کیلوگرم)]]&gt;0,'گزارش فردی'!$B$7-Main[[#This Row],[تاريخ میلادی]],0)</f>
        <v>0</v>
      </c>
      <c r="R1171" s="6">
        <f ca="1">IF(Main[[#This Row],[بدهی تسویه نشده (کیلوگرم)]]&gt;0,'گزارش فردی'!$B$7-Main[[#This Row],[تاريخ میلادی]]-'گزارش فردی'!$B$8,0)</f>
        <v>0</v>
      </c>
      <c r="S1171" s="6">
        <f ca="1">Main[[#This Row],[روز از ارسال سفارش]]*Main[[#This Row],[بدهی تسویه نشده (کیلوگرم)]]</f>
        <v>0</v>
      </c>
      <c r="T1171" s="6">
        <f ca="1">Main[[#This Row],[بدهی سررسید شده (کیلوگرم)]]*Main[[#This Row],[روز از ارسال سفارش]]</f>
        <v>0</v>
      </c>
      <c r="U1171" s="6">
        <f>-SUBTOTAL(9,INDEX(Main[مقدار (کیلوگرم)],1):Main[[#This Row],[مقدار (کیلوگرم)]])</f>
        <v>34718</v>
      </c>
      <c r="V11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1" s="6">
        <f>Main[[#This Row],[تعداد کل روزهای بدهکار (روز)]]*Main[[#This Row],[مانده در خط کل (کیلوگرم)]]</f>
        <v>34718</v>
      </c>
      <c r="X1171" s="6">
        <f ca="1">-SUBTOTAL(9,INDEX(Main[مقدار تسویه شده (کیلوگرم)],1):Main[[#This Row],[مقدار تسویه شده (کیلوگرم)]])</f>
        <v>34718</v>
      </c>
      <c r="Y1171" s="6">
        <f ca="1">IF(Main[[#This Row],[مانده در خط تسویه شده (کیلوگرم)]]&lt;&gt;0,Main[[#This Row],[تعداد کل روزهای بدهکار (روز)]],0)</f>
        <v>1</v>
      </c>
      <c r="Z1171" s="6">
        <f ca="1">Main[[#This Row],[تعداد روزهای بدهکار تسویه شده (روز)]]*Main[[#This Row],[مانده در خط تسویه شده (کیلوگرم)]]</f>
        <v>34718</v>
      </c>
      <c r="AA1171" s="6">
        <f ca="1">SUBTOTAL(9,INDEX(Main[بدهی تسویه نشده (کیلوگرم)],1):Main[[#This Row],[بدهی تسویه نشده (کیلوگرم)]])</f>
        <v>0</v>
      </c>
      <c r="AB1171" s="6">
        <f ca="1">IF(Main[[#This Row],[مانده در خط تسویه نشده (کیلوگرم)]]&lt;&gt;0,Main[[#This Row],[تعداد کل روزهای بدهکار (روز)]],0)</f>
        <v>0</v>
      </c>
      <c r="AC1171" s="6">
        <f ca="1">Main[[#This Row],[تعداد روزهای بدهکار  تسویه نشده (روز)]]*Main[[#This Row],[مانده در خط تسویه نشده (کیلوگرم)]]</f>
        <v>0</v>
      </c>
      <c r="AD1171" s="6">
        <f ca="1">SUBTOTAL(9,INDEX(Main[بدهی سررسید شده (کیلوگرم)],1):Main[[#This Row],[بدهی سررسید شده (کیلوگرم)]])</f>
        <v>0</v>
      </c>
      <c r="AE1171" s="6">
        <f ca="1">IF(Main[[#This Row],[مانده در خط سررسید شده (کیلوگرم)]]&lt;&gt;0,Main[[#This Row],[تعداد کل روزهای بدهکار (روز)]],0)</f>
        <v>0</v>
      </c>
      <c r="AF1171" s="6">
        <f ca="1">Main[[#This Row],[تعداد روزهای بدهکار سررسید شده (روز)]]*Main[[#This Row],[مانده در خط سررسید شده (کیلوگرم)]]</f>
        <v>0</v>
      </c>
    </row>
    <row r="1172" spans="1:32" hidden="1" x14ac:dyDescent="0.35">
      <c r="A1172" s="5">
        <f>ROW()-ROW(INDEX(Main[ردیف],1))+1</f>
        <v>1170</v>
      </c>
      <c r="B1172" s="31">
        <f>SUBTOTAL(2,INDEX(Main[ردیف],1):Main[[#This Row],[ردیف]])</f>
        <v>108</v>
      </c>
      <c r="C1172" s="32" t="s">
        <v>628</v>
      </c>
      <c r="D1172" s="32" t="str">
        <f>_xlfn.CONCAT("14",Main[[#This Row],[تاريخ]])</f>
        <v>1400/05/03</v>
      </c>
      <c r="E1172" s="33">
        <v>44402</v>
      </c>
      <c r="F1172" s="32">
        <v>30081</v>
      </c>
      <c r="G1172" s="5" t="str">
        <f>INDEX(customer[عنوان],MATCH(Main[[#This Row],[کد ردیابی]],customer[کد],0))</f>
        <v xml:space="preserve">شیرآلات بهداشتی راسان </v>
      </c>
      <c r="H1172">
        <v>-3598</v>
      </c>
      <c r="I1172" s="6">
        <f ca="1">-Main[[#This Row],[بدهی تسویه شده (کیلوگرم)]]+Main[[#This Row],[بستانکار (کیلوگرم)]]</f>
        <v>-3598</v>
      </c>
      <c r="J1172" s="6">
        <f>IF(Main[[#This Row],[مقدار (کیلوگرم)]]&gt;0,Main[[#This Row],[مقدار (کیلوگرم)]],0)</f>
        <v>0</v>
      </c>
      <c r="K1172" s="6">
        <f>-IF(Main[[#This Row],[مقدار (کیلوگرم)]]&lt;0,Main[[#This Row],[مقدار (کیلوگرم)]],0)</f>
        <v>3598</v>
      </c>
      <c r="L11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2" s="7">
        <f>-IF(AND(Main[[#This Row],[مقدار (کیلوگرم)]]&lt;0,Main[[#This Row],[تاريخ میلادی]]&gt;44276),Main[[#This Row],[مقدار (کیلوگرم)]],0)</f>
        <v>3598</v>
      </c>
      <c r="N1172" s="6">
        <f ca="1">Main[[#This Row],[بدهکار (کیلوگرم)]]-Main[[#This Row],[بدهی تسویه نشده (کیلوگرم)]]</f>
        <v>3598</v>
      </c>
      <c r="O1172" s="6">
        <f ca="1">Main[[#This Row],[تفکیک]]</f>
        <v>0</v>
      </c>
      <c r="P1172" s="6">
        <f ca="1">IF(Main[[#This Row],[تاخیر از سررسید]]&gt;0,Main[[#This Row],[بدهی تسویه نشده (کیلوگرم)]],0)</f>
        <v>0</v>
      </c>
      <c r="Q1172" s="6">
        <f ca="1">IF(Main[[#This Row],[بدهی تسویه نشده (کیلوگرم)]]&gt;0,'گزارش فردی'!$B$7-Main[[#This Row],[تاريخ میلادی]],0)</f>
        <v>0</v>
      </c>
      <c r="R1172" s="6">
        <f ca="1">IF(Main[[#This Row],[بدهی تسویه نشده (کیلوگرم)]]&gt;0,'گزارش فردی'!$B$7-Main[[#This Row],[تاريخ میلادی]]-'گزارش فردی'!$B$8,0)</f>
        <v>0</v>
      </c>
      <c r="S1172" s="6">
        <f ca="1">Main[[#This Row],[روز از ارسال سفارش]]*Main[[#This Row],[بدهی تسویه نشده (کیلوگرم)]]</f>
        <v>0</v>
      </c>
      <c r="T1172" s="6">
        <f ca="1">Main[[#This Row],[بدهی سررسید شده (کیلوگرم)]]*Main[[#This Row],[روز از ارسال سفارش]]</f>
        <v>0</v>
      </c>
      <c r="U1172" s="6">
        <f>-SUBTOTAL(9,INDEX(Main[مقدار (کیلوگرم)],1):Main[[#This Row],[مقدار (کیلوگرم)]])</f>
        <v>34718</v>
      </c>
      <c r="V11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2" s="6">
        <f>Main[[#This Row],[تعداد کل روزهای بدهکار (روز)]]*Main[[#This Row],[مانده در خط کل (کیلوگرم)]]</f>
        <v>34718</v>
      </c>
      <c r="X1172" s="6">
        <f ca="1">-SUBTOTAL(9,INDEX(Main[مقدار تسویه شده (کیلوگرم)],1):Main[[#This Row],[مقدار تسویه شده (کیلوگرم)]])</f>
        <v>34718</v>
      </c>
      <c r="Y1172" s="6">
        <f ca="1">IF(Main[[#This Row],[مانده در خط تسویه شده (کیلوگرم)]]&lt;&gt;0,Main[[#This Row],[تعداد کل روزهای بدهکار (روز)]],0)</f>
        <v>1</v>
      </c>
      <c r="Z1172" s="6">
        <f ca="1">Main[[#This Row],[تعداد روزهای بدهکار تسویه شده (روز)]]*Main[[#This Row],[مانده در خط تسویه شده (کیلوگرم)]]</f>
        <v>34718</v>
      </c>
      <c r="AA1172" s="6">
        <f ca="1">SUBTOTAL(9,INDEX(Main[بدهی تسویه نشده (کیلوگرم)],1):Main[[#This Row],[بدهی تسویه نشده (کیلوگرم)]])</f>
        <v>0</v>
      </c>
      <c r="AB1172" s="6">
        <f ca="1">IF(Main[[#This Row],[مانده در خط تسویه نشده (کیلوگرم)]]&lt;&gt;0,Main[[#This Row],[تعداد کل روزهای بدهکار (روز)]],0)</f>
        <v>0</v>
      </c>
      <c r="AC1172" s="6">
        <f ca="1">Main[[#This Row],[تعداد روزهای بدهکار  تسویه نشده (روز)]]*Main[[#This Row],[مانده در خط تسویه نشده (کیلوگرم)]]</f>
        <v>0</v>
      </c>
      <c r="AD1172" s="6">
        <f ca="1">SUBTOTAL(9,INDEX(Main[بدهی سررسید شده (کیلوگرم)],1):Main[[#This Row],[بدهی سررسید شده (کیلوگرم)]])</f>
        <v>0</v>
      </c>
      <c r="AE1172" s="6">
        <f ca="1">IF(Main[[#This Row],[مانده در خط سررسید شده (کیلوگرم)]]&lt;&gt;0,Main[[#This Row],[تعداد کل روزهای بدهکار (روز)]],0)</f>
        <v>0</v>
      </c>
      <c r="AF1172" s="6">
        <f ca="1">Main[[#This Row],[تعداد روزهای بدهکار سررسید شده (روز)]]*Main[[#This Row],[مانده در خط سررسید شده (کیلوگرم)]]</f>
        <v>0</v>
      </c>
    </row>
    <row r="1173" spans="1:32" hidden="1" x14ac:dyDescent="0.35">
      <c r="A1173" s="5">
        <f>ROW()-ROW(INDEX(Main[ردیف],1))+1</f>
        <v>1171</v>
      </c>
      <c r="B1173" s="31">
        <f>SUBTOTAL(2,INDEX(Main[ردیف],1):Main[[#This Row],[ردیف]])</f>
        <v>108</v>
      </c>
      <c r="C1173" s="32" t="s">
        <v>628</v>
      </c>
      <c r="D1173" s="32" t="str">
        <f>_xlfn.CONCAT("14",Main[[#This Row],[تاريخ]])</f>
        <v>1400/05/03</v>
      </c>
      <c r="E1173" s="33">
        <v>44402</v>
      </c>
      <c r="F1173" s="32">
        <v>10055</v>
      </c>
      <c r="G1173" s="5" t="str">
        <f>INDEX(customer[عنوان],MATCH(Main[[#This Row],[کد ردیابی]],customer[کد],0))</f>
        <v xml:space="preserve">مریم فیض آبادی  </v>
      </c>
      <c r="H1173">
        <v>4786</v>
      </c>
      <c r="I1173" s="6">
        <f ca="1">-Main[[#This Row],[بدهی تسویه شده (کیلوگرم)]]+Main[[#This Row],[بستانکار (کیلوگرم)]]</f>
        <v>4786</v>
      </c>
      <c r="J1173" s="6">
        <f>IF(Main[[#This Row],[مقدار (کیلوگرم)]]&gt;0,Main[[#This Row],[مقدار (کیلوگرم)]],0)</f>
        <v>4786</v>
      </c>
      <c r="K1173" s="6">
        <f>-IF(Main[[#This Row],[مقدار (کیلوگرم)]]&lt;0,Main[[#This Row],[مقدار (کیلوگرم)]],0)</f>
        <v>0</v>
      </c>
      <c r="L11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3" s="7">
        <f>-IF(AND(Main[[#This Row],[مقدار (کیلوگرم)]]&lt;0,Main[[#This Row],[تاريخ میلادی]]&gt;44276),Main[[#This Row],[مقدار (کیلوگرم)]],0)</f>
        <v>0</v>
      </c>
      <c r="N1173" s="6">
        <f ca="1">Main[[#This Row],[بدهکار (کیلوگرم)]]-Main[[#This Row],[بدهی تسویه نشده (کیلوگرم)]]</f>
        <v>0</v>
      </c>
      <c r="O1173" s="6">
        <f ca="1">Main[[#This Row],[تفکیک]]</f>
        <v>0</v>
      </c>
      <c r="P1173" s="6">
        <f ca="1">IF(Main[[#This Row],[تاخیر از سررسید]]&gt;0,Main[[#This Row],[بدهی تسویه نشده (کیلوگرم)]],0)</f>
        <v>0</v>
      </c>
      <c r="Q1173" s="6">
        <f ca="1">IF(Main[[#This Row],[بدهی تسویه نشده (کیلوگرم)]]&gt;0,'گزارش فردی'!$B$7-Main[[#This Row],[تاريخ میلادی]],0)</f>
        <v>0</v>
      </c>
      <c r="R1173" s="6">
        <f ca="1">IF(Main[[#This Row],[بدهی تسویه نشده (کیلوگرم)]]&gt;0,'گزارش فردی'!$B$7-Main[[#This Row],[تاريخ میلادی]]-'گزارش فردی'!$B$8,0)</f>
        <v>0</v>
      </c>
      <c r="S1173" s="6">
        <f ca="1">Main[[#This Row],[روز از ارسال سفارش]]*Main[[#This Row],[بدهی تسویه نشده (کیلوگرم)]]</f>
        <v>0</v>
      </c>
      <c r="T1173" s="6">
        <f ca="1">Main[[#This Row],[بدهی سررسید شده (کیلوگرم)]]*Main[[#This Row],[روز از ارسال سفارش]]</f>
        <v>0</v>
      </c>
      <c r="U1173" s="6">
        <f>-SUBTOTAL(9,INDEX(Main[مقدار (کیلوگرم)],1):Main[[#This Row],[مقدار (کیلوگرم)]])</f>
        <v>34718</v>
      </c>
      <c r="V11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3" s="6">
        <f>Main[[#This Row],[تعداد کل روزهای بدهکار (روز)]]*Main[[#This Row],[مانده در خط کل (کیلوگرم)]]</f>
        <v>34718</v>
      </c>
      <c r="X1173" s="6">
        <f ca="1">-SUBTOTAL(9,INDEX(Main[مقدار تسویه شده (کیلوگرم)],1):Main[[#This Row],[مقدار تسویه شده (کیلوگرم)]])</f>
        <v>34718</v>
      </c>
      <c r="Y1173" s="6">
        <f ca="1">IF(Main[[#This Row],[مانده در خط تسویه شده (کیلوگرم)]]&lt;&gt;0,Main[[#This Row],[تعداد کل روزهای بدهکار (روز)]],0)</f>
        <v>1</v>
      </c>
      <c r="Z1173" s="6">
        <f ca="1">Main[[#This Row],[تعداد روزهای بدهکار تسویه شده (روز)]]*Main[[#This Row],[مانده در خط تسویه شده (کیلوگرم)]]</f>
        <v>34718</v>
      </c>
      <c r="AA1173" s="6">
        <f ca="1">SUBTOTAL(9,INDEX(Main[بدهی تسویه نشده (کیلوگرم)],1):Main[[#This Row],[بدهی تسویه نشده (کیلوگرم)]])</f>
        <v>0</v>
      </c>
      <c r="AB1173" s="6">
        <f ca="1">IF(Main[[#This Row],[مانده در خط تسویه نشده (کیلوگرم)]]&lt;&gt;0,Main[[#This Row],[تعداد کل روزهای بدهکار (روز)]],0)</f>
        <v>0</v>
      </c>
      <c r="AC1173" s="6">
        <f ca="1">Main[[#This Row],[تعداد روزهای بدهکار  تسویه نشده (روز)]]*Main[[#This Row],[مانده در خط تسویه نشده (کیلوگرم)]]</f>
        <v>0</v>
      </c>
      <c r="AD1173" s="6">
        <f ca="1">SUBTOTAL(9,INDEX(Main[بدهی سررسید شده (کیلوگرم)],1):Main[[#This Row],[بدهی سررسید شده (کیلوگرم)]])</f>
        <v>0</v>
      </c>
      <c r="AE1173" s="6">
        <f ca="1">IF(Main[[#This Row],[مانده در خط سررسید شده (کیلوگرم)]]&lt;&gt;0,Main[[#This Row],[تعداد کل روزهای بدهکار (روز)]],0)</f>
        <v>0</v>
      </c>
      <c r="AF1173" s="6">
        <f ca="1">Main[[#This Row],[تعداد روزهای بدهکار سررسید شده (روز)]]*Main[[#This Row],[مانده در خط سررسید شده (کیلوگرم)]]</f>
        <v>0</v>
      </c>
    </row>
    <row r="1174" spans="1:32" hidden="1" x14ac:dyDescent="0.35">
      <c r="A1174" s="5">
        <f>ROW()-ROW(INDEX(Main[ردیف],1))+1</f>
        <v>1172</v>
      </c>
      <c r="B1174" s="31">
        <f>SUBTOTAL(2,INDEX(Main[ردیف],1):Main[[#This Row],[ردیف]])</f>
        <v>108</v>
      </c>
      <c r="C1174" s="32" t="s">
        <v>628</v>
      </c>
      <c r="D1174" s="32" t="str">
        <f>_xlfn.CONCAT("14",Main[[#This Row],[تاريخ]])</f>
        <v>1400/05/03</v>
      </c>
      <c r="E1174" s="33">
        <v>44402</v>
      </c>
      <c r="F1174" s="32">
        <v>30174</v>
      </c>
      <c r="G1174" s="5" t="str">
        <f>INDEX(customer[عنوان],MATCH(Main[[#This Row],[کد ردیابی]],customer[کد],0))</f>
        <v>شیرآلات مهرآرا</v>
      </c>
      <c r="H1174">
        <v>-83</v>
      </c>
      <c r="I1174" s="6">
        <f ca="1">-Main[[#This Row],[بدهی تسویه شده (کیلوگرم)]]+Main[[#This Row],[بستانکار (کیلوگرم)]]</f>
        <v>-83</v>
      </c>
      <c r="J1174" s="6">
        <f>IF(Main[[#This Row],[مقدار (کیلوگرم)]]&gt;0,Main[[#This Row],[مقدار (کیلوگرم)]],0)</f>
        <v>0</v>
      </c>
      <c r="K1174" s="6">
        <f>-IF(Main[[#This Row],[مقدار (کیلوگرم)]]&lt;0,Main[[#This Row],[مقدار (کیلوگرم)]],0)</f>
        <v>83</v>
      </c>
      <c r="L11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4" s="7">
        <f>-IF(AND(Main[[#This Row],[مقدار (کیلوگرم)]]&lt;0,Main[[#This Row],[تاريخ میلادی]]&gt;44276),Main[[#This Row],[مقدار (کیلوگرم)]],0)</f>
        <v>83</v>
      </c>
      <c r="N1174" s="6">
        <f ca="1">Main[[#This Row],[بدهکار (کیلوگرم)]]-Main[[#This Row],[بدهی تسویه نشده (کیلوگرم)]]</f>
        <v>83</v>
      </c>
      <c r="O1174" s="6">
        <f ca="1">Main[[#This Row],[تفکیک]]</f>
        <v>0</v>
      </c>
      <c r="P1174" s="6">
        <f ca="1">IF(Main[[#This Row],[تاخیر از سررسید]]&gt;0,Main[[#This Row],[بدهی تسویه نشده (کیلوگرم)]],0)</f>
        <v>0</v>
      </c>
      <c r="Q1174" s="6">
        <f ca="1">IF(Main[[#This Row],[بدهی تسویه نشده (کیلوگرم)]]&gt;0,'گزارش فردی'!$B$7-Main[[#This Row],[تاريخ میلادی]],0)</f>
        <v>0</v>
      </c>
      <c r="R1174" s="6">
        <f ca="1">IF(Main[[#This Row],[بدهی تسویه نشده (کیلوگرم)]]&gt;0,'گزارش فردی'!$B$7-Main[[#This Row],[تاريخ میلادی]]-'گزارش فردی'!$B$8,0)</f>
        <v>0</v>
      </c>
      <c r="S1174" s="6">
        <f ca="1">Main[[#This Row],[روز از ارسال سفارش]]*Main[[#This Row],[بدهی تسویه نشده (کیلوگرم)]]</f>
        <v>0</v>
      </c>
      <c r="T1174" s="6">
        <f ca="1">Main[[#This Row],[بدهی سررسید شده (کیلوگرم)]]*Main[[#This Row],[روز از ارسال سفارش]]</f>
        <v>0</v>
      </c>
      <c r="U1174" s="6">
        <f>-SUBTOTAL(9,INDEX(Main[مقدار (کیلوگرم)],1):Main[[#This Row],[مقدار (کیلوگرم)]])</f>
        <v>34718</v>
      </c>
      <c r="V11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4" s="6">
        <f>Main[[#This Row],[تعداد کل روزهای بدهکار (روز)]]*Main[[#This Row],[مانده در خط کل (کیلوگرم)]]</f>
        <v>34718</v>
      </c>
      <c r="X1174" s="6">
        <f ca="1">-SUBTOTAL(9,INDEX(Main[مقدار تسویه شده (کیلوگرم)],1):Main[[#This Row],[مقدار تسویه شده (کیلوگرم)]])</f>
        <v>34718</v>
      </c>
      <c r="Y1174" s="6">
        <f ca="1">IF(Main[[#This Row],[مانده در خط تسویه شده (کیلوگرم)]]&lt;&gt;0,Main[[#This Row],[تعداد کل روزهای بدهکار (روز)]],0)</f>
        <v>1</v>
      </c>
      <c r="Z1174" s="6">
        <f ca="1">Main[[#This Row],[تعداد روزهای بدهکار تسویه شده (روز)]]*Main[[#This Row],[مانده در خط تسویه شده (کیلوگرم)]]</f>
        <v>34718</v>
      </c>
      <c r="AA1174" s="6">
        <f ca="1">SUBTOTAL(9,INDEX(Main[بدهی تسویه نشده (کیلوگرم)],1):Main[[#This Row],[بدهی تسویه نشده (کیلوگرم)]])</f>
        <v>0</v>
      </c>
      <c r="AB1174" s="6">
        <f ca="1">IF(Main[[#This Row],[مانده در خط تسویه نشده (کیلوگرم)]]&lt;&gt;0,Main[[#This Row],[تعداد کل روزهای بدهکار (روز)]],0)</f>
        <v>0</v>
      </c>
      <c r="AC1174" s="6">
        <f ca="1">Main[[#This Row],[تعداد روزهای بدهکار  تسویه نشده (روز)]]*Main[[#This Row],[مانده در خط تسویه نشده (کیلوگرم)]]</f>
        <v>0</v>
      </c>
      <c r="AD1174" s="6">
        <f ca="1">SUBTOTAL(9,INDEX(Main[بدهی سررسید شده (کیلوگرم)],1):Main[[#This Row],[بدهی سررسید شده (کیلوگرم)]])</f>
        <v>0</v>
      </c>
      <c r="AE1174" s="6">
        <f ca="1">IF(Main[[#This Row],[مانده در خط سررسید شده (کیلوگرم)]]&lt;&gt;0,Main[[#This Row],[تعداد کل روزهای بدهکار (روز)]],0)</f>
        <v>0</v>
      </c>
      <c r="AF1174" s="6">
        <f ca="1">Main[[#This Row],[تعداد روزهای بدهکار سررسید شده (روز)]]*Main[[#This Row],[مانده در خط سررسید شده (کیلوگرم)]]</f>
        <v>0</v>
      </c>
    </row>
    <row r="1175" spans="1:32" hidden="1" x14ac:dyDescent="0.35">
      <c r="A1175" s="5">
        <f>ROW()-ROW(INDEX(Main[ردیف],1))+1</f>
        <v>1173</v>
      </c>
      <c r="B1175" s="31">
        <f>SUBTOTAL(2,INDEX(Main[ردیف],1):Main[[#This Row],[ردیف]])</f>
        <v>108</v>
      </c>
      <c r="C1175" s="32" t="s">
        <v>628</v>
      </c>
      <c r="D1175" s="32" t="str">
        <f>_xlfn.CONCAT("14",Main[[#This Row],[تاريخ]])</f>
        <v>1400/05/03</v>
      </c>
      <c r="E1175" s="33">
        <v>44402</v>
      </c>
      <c r="F1175" s="32">
        <v>10127</v>
      </c>
      <c r="G1175" s="5" t="str">
        <f>INDEX(customer[عنوان],MATCH(Main[[#This Row],[کد ردیابی]],customer[کد],0))</f>
        <v xml:space="preserve">عماد هاشمی </v>
      </c>
      <c r="H1175">
        <v>855</v>
      </c>
      <c r="I1175" s="6">
        <f ca="1">-Main[[#This Row],[بدهی تسویه شده (کیلوگرم)]]+Main[[#This Row],[بستانکار (کیلوگرم)]]</f>
        <v>855</v>
      </c>
      <c r="J1175" s="6">
        <f>IF(Main[[#This Row],[مقدار (کیلوگرم)]]&gt;0,Main[[#This Row],[مقدار (کیلوگرم)]],0)</f>
        <v>855</v>
      </c>
      <c r="K1175" s="6">
        <f>-IF(Main[[#This Row],[مقدار (کیلوگرم)]]&lt;0,Main[[#This Row],[مقدار (کیلوگرم)]],0)</f>
        <v>0</v>
      </c>
      <c r="L11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5" s="7">
        <f>-IF(AND(Main[[#This Row],[مقدار (کیلوگرم)]]&lt;0,Main[[#This Row],[تاريخ میلادی]]&gt;44276),Main[[#This Row],[مقدار (کیلوگرم)]],0)</f>
        <v>0</v>
      </c>
      <c r="N1175" s="6">
        <f ca="1">Main[[#This Row],[بدهکار (کیلوگرم)]]-Main[[#This Row],[بدهی تسویه نشده (کیلوگرم)]]</f>
        <v>0</v>
      </c>
      <c r="O1175" s="6">
        <f ca="1">Main[[#This Row],[تفکیک]]</f>
        <v>0</v>
      </c>
      <c r="P1175" s="6">
        <f ca="1">IF(Main[[#This Row],[تاخیر از سررسید]]&gt;0,Main[[#This Row],[بدهی تسویه نشده (کیلوگرم)]],0)</f>
        <v>0</v>
      </c>
      <c r="Q1175" s="6">
        <f ca="1">IF(Main[[#This Row],[بدهی تسویه نشده (کیلوگرم)]]&gt;0,'گزارش فردی'!$B$7-Main[[#This Row],[تاريخ میلادی]],0)</f>
        <v>0</v>
      </c>
      <c r="R1175" s="6">
        <f ca="1">IF(Main[[#This Row],[بدهی تسویه نشده (کیلوگرم)]]&gt;0,'گزارش فردی'!$B$7-Main[[#This Row],[تاريخ میلادی]]-'گزارش فردی'!$B$8,0)</f>
        <v>0</v>
      </c>
      <c r="S1175" s="6">
        <f ca="1">Main[[#This Row],[روز از ارسال سفارش]]*Main[[#This Row],[بدهی تسویه نشده (کیلوگرم)]]</f>
        <v>0</v>
      </c>
      <c r="T1175" s="6">
        <f ca="1">Main[[#This Row],[بدهی سررسید شده (کیلوگرم)]]*Main[[#This Row],[روز از ارسال سفارش]]</f>
        <v>0</v>
      </c>
      <c r="U1175" s="6">
        <f>-SUBTOTAL(9,INDEX(Main[مقدار (کیلوگرم)],1):Main[[#This Row],[مقدار (کیلوگرم)]])</f>
        <v>34718</v>
      </c>
      <c r="V11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5" s="6">
        <f>Main[[#This Row],[تعداد کل روزهای بدهکار (روز)]]*Main[[#This Row],[مانده در خط کل (کیلوگرم)]]</f>
        <v>34718</v>
      </c>
      <c r="X1175" s="6">
        <f ca="1">-SUBTOTAL(9,INDEX(Main[مقدار تسویه شده (کیلوگرم)],1):Main[[#This Row],[مقدار تسویه شده (کیلوگرم)]])</f>
        <v>34718</v>
      </c>
      <c r="Y1175" s="6">
        <f ca="1">IF(Main[[#This Row],[مانده در خط تسویه شده (کیلوگرم)]]&lt;&gt;0,Main[[#This Row],[تعداد کل روزهای بدهکار (روز)]],0)</f>
        <v>1</v>
      </c>
      <c r="Z1175" s="6">
        <f ca="1">Main[[#This Row],[تعداد روزهای بدهکار تسویه شده (روز)]]*Main[[#This Row],[مانده در خط تسویه شده (کیلوگرم)]]</f>
        <v>34718</v>
      </c>
      <c r="AA1175" s="6">
        <f ca="1">SUBTOTAL(9,INDEX(Main[بدهی تسویه نشده (کیلوگرم)],1):Main[[#This Row],[بدهی تسویه نشده (کیلوگرم)]])</f>
        <v>0</v>
      </c>
      <c r="AB1175" s="6">
        <f ca="1">IF(Main[[#This Row],[مانده در خط تسویه نشده (کیلوگرم)]]&lt;&gt;0,Main[[#This Row],[تعداد کل روزهای بدهکار (روز)]],0)</f>
        <v>0</v>
      </c>
      <c r="AC1175" s="6">
        <f ca="1">Main[[#This Row],[تعداد روزهای بدهکار  تسویه نشده (روز)]]*Main[[#This Row],[مانده در خط تسویه نشده (کیلوگرم)]]</f>
        <v>0</v>
      </c>
      <c r="AD1175" s="6">
        <f ca="1">SUBTOTAL(9,INDEX(Main[بدهی سررسید شده (کیلوگرم)],1):Main[[#This Row],[بدهی سررسید شده (کیلوگرم)]])</f>
        <v>0</v>
      </c>
      <c r="AE1175" s="6">
        <f ca="1">IF(Main[[#This Row],[مانده در خط سررسید شده (کیلوگرم)]]&lt;&gt;0,Main[[#This Row],[تعداد کل روزهای بدهکار (روز)]],0)</f>
        <v>0</v>
      </c>
      <c r="AF1175" s="6">
        <f ca="1">Main[[#This Row],[تعداد روزهای بدهکار سررسید شده (روز)]]*Main[[#This Row],[مانده در خط سررسید شده (کیلوگرم)]]</f>
        <v>0</v>
      </c>
    </row>
    <row r="1176" spans="1:32" hidden="1" x14ac:dyDescent="0.35">
      <c r="A1176" s="5">
        <f>ROW()-ROW(INDEX(Main[ردیف],1))+1</f>
        <v>1174</v>
      </c>
      <c r="B1176" s="31">
        <f>SUBTOTAL(2,INDEX(Main[ردیف],1):Main[[#This Row],[ردیف]])</f>
        <v>108</v>
      </c>
      <c r="C1176" s="32" t="s">
        <v>628</v>
      </c>
      <c r="D1176" s="32" t="str">
        <f>_xlfn.CONCAT("14",Main[[#This Row],[تاريخ]])</f>
        <v>1400/05/03</v>
      </c>
      <c r="E1176" s="33">
        <v>44402</v>
      </c>
      <c r="F1176" s="32">
        <v>10029</v>
      </c>
      <c r="G1176" s="5" t="str">
        <f>INDEX(customer[عنوان],MATCH(Main[[#This Row],[کد ردیابی]],customer[کد],0))</f>
        <v>رضا شریعتی</v>
      </c>
      <c r="H1176">
        <v>-250</v>
      </c>
      <c r="I1176" s="6">
        <f ca="1">-Main[[#This Row],[بدهی تسویه شده (کیلوگرم)]]+Main[[#This Row],[بستانکار (کیلوگرم)]]</f>
        <v>-250</v>
      </c>
      <c r="J1176" s="6">
        <f>IF(Main[[#This Row],[مقدار (کیلوگرم)]]&gt;0,Main[[#This Row],[مقدار (کیلوگرم)]],0)</f>
        <v>0</v>
      </c>
      <c r="K1176" s="6">
        <f>-IF(Main[[#This Row],[مقدار (کیلوگرم)]]&lt;0,Main[[#This Row],[مقدار (کیلوگرم)]],0)</f>
        <v>250</v>
      </c>
      <c r="L11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6" s="7">
        <f>-IF(AND(Main[[#This Row],[مقدار (کیلوگرم)]]&lt;0,Main[[#This Row],[تاريخ میلادی]]&gt;44276),Main[[#This Row],[مقدار (کیلوگرم)]],0)</f>
        <v>250</v>
      </c>
      <c r="N1176" s="6">
        <f ca="1">Main[[#This Row],[بدهکار (کیلوگرم)]]-Main[[#This Row],[بدهی تسویه نشده (کیلوگرم)]]</f>
        <v>250</v>
      </c>
      <c r="O1176" s="6">
        <f ca="1">Main[[#This Row],[تفکیک]]</f>
        <v>0</v>
      </c>
      <c r="P1176" s="6">
        <f ca="1">IF(Main[[#This Row],[تاخیر از سررسید]]&gt;0,Main[[#This Row],[بدهی تسویه نشده (کیلوگرم)]],0)</f>
        <v>0</v>
      </c>
      <c r="Q1176" s="6">
        <f ca="1">IF(Main[[#This Row],[بدهی تسویه نشده (کیلوگرم)]]&gt;0,'گزارش فردی'!$B$7-Main[[#This Row],[تاريخ میلادی]],0)</f>
        <v>0</v>
      </c>
      <c r="R1176" s="6">
        <f ca="1">IF(Main[[#This Row],[بدهی تسویه نشده (کیلوگرم)]]&gt;0,'گزارش فردی'!$B$7-Main[[#This Row],[تاريخ میلادی]]-'گزارش فردی'!$B$8,0)</f>
        <v>0</v>
      </c>
      <c r="S1176" s="6">
        <f ca="1">Main[[#This Row],[روز از ارسال سفارش]]*Main[[#This Row],[بدهی تسویه نشده (کیلوگرم)]]</f>
        <v>0</v>
      </c>
      <c r="T1176" s="6">
        <f ca="1">Main[[#This Row],[بدهی سررسید شده (کیلوگرم)]]*Main[[#This Row],[روز از ارسال سفارش]]</f>
        <v>0</v>
      </c>
      <c r="U1176" s="6">
        <f>-SUBTOTAL(9,INDEX(Main[مقدار (کیلوگرم)],1):Main[[#This Row],[مقدار (کیلوگرم)]])</f>
        <v>34718</v>
      </c>
      <c r="V11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6" s="6">
        <f>Main[[#This Row],[تعداد کل روزهای بدهکار (روز)]]*Main[[#This Row],[مانده در خط کل (کیلوگرم)]]</f>
        <v>34718</v>
      </c>
      <c r="X1176" s="6">
        <f ca="1">-SUBTOTAL(9,INDEX(Main[مقدار تسویه شده (کیلوگرم)],1):Main[[#This Row],[مقدار تسویه شده (کیلوگرم)]])</f>
        <v>34718</v>
      </c>
      <c r="Y1176" s="6">
        <f ca="1">IF(Main[[#This Row],[مانده در خط تسویه شده (کیلوگرم)]]&lt;&gt;0,Main[[#This Row],[تعداد کل روزهای بدهکار (روز)]],0)</f>
        <v>1</v>
      </c>
      <c r="Z1176" s="6">
        <f ca="1">Main[[#This Row],[تعداد روزهای بدهکار تسویه شده (روز)]]*Main[[#This Row],[مانده در خط تسویه شده (کیلوگرم)]]</f>
        <v>34718</v>
      </c>
      <c r="AA1176" s="6">
        <f ca="1">SUBTOTAL(9,INDEX(Main[بدهی تسویه نشده (کیلوگرم)],1):Main[[#This Row],[بدهی تسویه نشده (کیلوگرم)]])</f>
        <v>0</v>
      </c>
      <c r="AB1176" s="6">
        <f ca="1">IF(Main[[#This Row],[مانده در خط تسویه نشده (کیلوگرم)]]&lt;&gt;0,Main[[#This Row],[تعداد کل روزهای بدهکار (روز)]],0)</f>
        <v>0</v>
      </c>
      <c r="AC1176" s="6">
        <f ca="1">Main[[#This Row],[تعداد روزهای بدهکار  تسویه نشده (روز)]]*Main[[#This Row],[مانده در خط تسویه نشده (کیلوگرم)]]</f>
        <v>0</v>
      </c>
      <c r="AD1176" s="6">
        <f ca="1">SUBTOTAL(9,INDEX(Main[بدهی سررسید شده (کیلوگرم)],1):Main[[#This Row],[بدهی سررسید شده (کیلوگرم)]])</f>
        <v>0</v>
      </c>
      <c r="AE1176" s="6">
        <f ca="1">IF(Main[[#This Row],[مانده در خط سررسید شده (کیلوگرم)]]&lt;&gt;0,Main[[#This Row],[تعداد کل روزهای بدهکار (روز)]],0)</f>
        <v>0</v>
      </c>
      <c r="AF1176" s="6">
        <f ca="1">Main[[#This Row],[تعداد روزهای بدهکار سررسید شده (روز)]]*Main[[#This Row],[مانده در خط سررسید شده (کیلوگرم)]]</f>
        <v>0</v>
      </c>
    </row>
    <row r="1177" spans="1:32" hidden="1" x14ac:dyDescent="0.35">
      <c r="A1177" s="5">
        <f>ROW()-ROW(INDEX(Main[ردیف],1))+1</f>
        <v>1175</v>
      </c>
      <c r="B1177" s="31">
        <f>SUBTOTAL(2,INDEX(Main[ردیف],1):Main[[#This Row],[ردیف]])</f>
        <v>108</v>
      </c>
      <c r="C1177" s="32" t="s">
        <v>628</v>
      </c>
      <c r="D1177" s="32" t="str">
        <f>_xlfn.CONCAT("14",Main[[#This Row],[تاريخ]])</f>
        <v>1400/05/03</v>
      </c>
      <c r="E1177" s="33">
        <v>44402</v>
      </c>
      <c r="F1177" s="32">
        <v>30081</v>
      </c>
      <c r="G1177" s="5" t="str">
        <f>INDEX(customer[عنوان],MATCH(Main[[#This Row],[کد ردیابی]],customer[کد],0))</f>
        <v xml:space="preserve">شیرآلات بهداشتی راسان </v>
      </c>
      <c r="H1177">
        <v>2216</v>
      </c>
      <c r="I1177" s="6">
        <f ca="1">-Main[[#This Row],[بدهی تسویه شده (کیلوگرم)]]+Main[[#This Row],[بستانکار (کیلوگرم)]]</f>
        <v>2216</v>
      </c>
      <c r="J1177" s="6">
        <f>IF(Main[[#This Row],[مقدار (کیلوگرم)]]&gt;0,Main[[#This Row],[مقدار (کیلوگرم)]],0)</f>
        <v>2216</v>
      </c>
      <c r="K1177" s="6">
        <f>-IF(Main[[#This Row],[مقدار (کیلوگرم)]]&lt;0,Main[[#This Row],[مقدار (کیلوگرم)]],0)</f>
        <v>0</v>
      </c>
      <c r="L11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7" s="7">
        <f>-IF(AND(Main[[#This Row],[مقدار (کیلوگرم)]]&lt;0,Main[[#This Row],[تاريخ میلادی]]&gt;44276),Main[[#This Row],[مقدار (کیلوگرم)]],0)</f>
        <v>0</v>
      </c>
      <c r="N1177" s="6">
        <f ca="1">Main[[#This Row],[بدهکار (کیلوگرم)]]-Main[[#This Row],[بدهی تسویه نشده (کیلوگرم)]]</f>
        <v>0</v>
      </c>
      <c r="O1177" s="6">
        <f ca="1">Main[[#This Row],[تفکیک]]</f>
        <v>0</v>
      </c>
      <c r="P1177" s="6">
        <f ca="1">IF(Main[[#This Row],[تاخیر از سررسید]]&gt;0,Main[[#This Row],[بدهی تسویه نشده (کیلوگرم)]],0)</f>
        <v>0</v>
      </c>
      <c r="Q1177" s="6">
        <f ca="1">IF(Main[[#This Row],[بدهی تسویه نشده (کیلوگرم)]]&gt;0,'گزارش فردی'!$B$7-Main[[#This Row],[تاريخ میلادی]],0)</f>
        <v>0</v>
      </c>
      <c r="R1177" s="6">
        <f ca="1">IF(Main[[#This Row],[بدهی تسویه نشده (کیلوگرم)]]&gt;0,'گزارش فردی'!$B$7-Main[[#This Row],[تاريخ میلادی]]-'گزارش فردی'!$B$8,0)</f>
        <v>0</v>
      </c>
      <c r="S1177" s="6">
        <f ca="1">Main[[#This Row],[روز از ارسال سفارش]]*Main[[#This Row],[بدهی تسویه نشده (کیلوگرم)]]</f>
        <v>0</v>
      </c>
      <c r="T1177" s="6">
        <f ca="1">Main[[#This Row],[بدهی سررسید شده (کیلوگرم)]]*Main[[#This Row],[روز از ارسال سفارش]]</f>
        <v>0</v>
      </c>
      <c r="U1177" s="6">
        <f>-SUBTOTAL(9,INDEX(Main[مقدار (کیلوگرم)],1):Main[[#This Row],[مقدار (کیلوگرم)]])</f>
        <v>34718</v>
      </c>
      <c r="V11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7" s="6">
        <f>Main[[#This Row],[تعداد کل روزهای بدهکار (روز)]]*Main[[#This Row],[مانده در خط کل (کیلوگرم)]]</f>
        <v>34718</v>
      </c>
      <c r="X1177" s="6">
        <f ca="1">-SUBTOTAL(9,INDEX(Main[مقدار تسویه شده (کیلوگرم)],1):Main[[#This Row],[مقدار تسویه شده (کیلوگرم)]])</f>
        <v>34718</v>
      </c>
      <c r="Y1177" s="6">
        <f ca="1">IF(Main[[#This Row],[مانده در خط تسویه شده (کیلوگرم)]]&lt;&gt;0,Main[[#This Row],[تعداد کل روزهای بدهکار (روز)]],0)</f>
        <v>1</v>
      </c>
      <c r="Z1177" s="6">
        <f ca="1">Main[[#This Row],[تعداد روزهای بدهکار تسویه شده (روز)]]*Main[[#This Row],[مانده در خط تسویه شده (کیلوگرم)]]</f>
        <v>34718</v>
      </c>
      <c r="AA1177" s="6">
        <f ca="1">SUBTOTAL(9,INDEX(Main[بدهی تسویه نشده (کیلوگرم)],1):Main[[#This Row],[بدهی تسویه نشده (کیلوگرم)]])</f>
        <v>0</v>
      </c>
      <c r="AB1177" s="6">
        <f ca="1">IF(Main[[#This Row],[مانده در خط تسویه نشده (کیلوگرم)]]&lt;&gt;0,Main[[#This Row],[تعداد کل روزهای بدهکار (روز)]],0)</f>
        <v>0</v>
      </c>
      <c r="AC1177" s="6">
        <f ca="1">Main[[#This Row],[تعداد روزهای بدهکار  تسویه نشده (روز)]]*Main[[#This Row],[مانده در خط تسویه نشده (کیلوگرم)]]</f>
        <v>0</v>
      </c>
      <c r="AD1177" s="6">
        <f ca="1">SUBTOTAL(9,INDEX(Main[بدهی سررسید شده (کیلوگرم)],1):Main[[#This Row],[بدهی سررسید شده (کیلوگرم)]])</f>
        <v>0</v>
      </c>
      <c r="AE1177" s="6">
        <f ca="1">IF(Main[[#This Row],[مانده در خط سررسید شده (کیلوگرم)]]&lt;&gt;0,Main[[#This Row],[تعداد کل روزهای بدهکار (روز)]],0)</f>
        <v>0</v>
      </c>
      <c r="AF1177" s="6">
        <f ca="1">Main[[#This Row],[تعداد روزهای بدهکار سررسید شده (روز)]]*Main[[#This Row],[مانده در خط سررسید شده (کیلوگرم)]]</f>
        <v>0</v>
      </c>
    </row>
    <row r="1178" spans="1:32" hidden="1" x14ac:dyDescent="0.35">
      <c r="A1178" s="5">
        <f>ROW()-ROW(INDEX(Main[ردیف],1))+1</f>
        <v>1176</v>
      </c>
      <c r="B1178" s="31">
        <f>SUBTOTAL(2,INDEX(Main[ردیف],1):Main[[#This Row],[ردیف]])</f>
        <v>108</v>
      </c>
      <c r="C1178" s="32" t="s">
        <v>628</v>
      </c>
      <c r="D1178" s="32" t="str">
        <f>_xlfn.CONCAT("14",Main[[#This Row],[تاريخ]])</f>
        <v>1400/05/03</v>
      </c>
      <c r="E1178" s="33">
        <v>44402</v>
      </c>
      <c r="F1178" s="32">
        <v>10104</v>
      </c>
      <c r="G1178" s="5" t="str">
        <f>INDEX(customer[عنوان],MATCH(Main[[#This Row],[کد ردیابی]],customer[کد],0))</f>
        <v>بهزادی فر اصغر</v>
      </c>
      <c r="H1178">
        <v>-2539</v>
      </c>
      <c r="I1178" s="6">
        <f ca="1">-Main[[#This Row],[بدهی تسویه شده (کیلوگرم)]]+Main[[#This Row],[بستانکار (کیلوگرم)]]</f>
        <v>-2539</v>
      </c>
      <c r="J1178" s="6">
        <f>IF(Main[[#This Row],[مقدار (کیلوگرم)]]&gt;0,Main[[#This Row],[مقدار (کیلوگرم)]],0)</f>
        <v>0</v>
      </c>
      <c r="K1178" s="6">
        <f>-IF(Main[[#This Row],[مقدار (کیلوگرم)]]&lt;0,Main[[#This Row],[مقدار (کیلوگرم)]],0)</f>
        <v>2539</v>
      </c>
      <c r="L11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8" s="7">
        <f>-IF(AND(Main[[#This Row],[مقدار (کیلوگرم)]]&lt;0,Main[[#This Row],[تاريخ میلادی]]&gt;44276),Main[[#This Row],[مقدار (کیلوگرم)]],0)</f>
        <v>2539</v>
      </c>
      <c r="N1178" s="6">
        <f ca="1">Main[[#This Row],[بدهکار (کیلوگرم)]]-Main[[#This Row],[بدهی تسویه نشده (کیلوگرم)]]</f>
        <v>2539</v>
      </c>
      <c r="O1178" s="6">
        <f ca="1">Main[[#This Row],[تفکیک]]</f>
        <v>0</v>
      </c>
      <c r="P1178" s="6">
        <f ca="1">IF(Main[[#This Row],[تاخیر از سررسید]]&gt;0,Main[[#This Row],[بدهی تسویه نشده (کیلوگرم)]],0)</f>
        <v>0</v>
      </c>
      <c r="Q1178" s="6">
        <f ca="1">IF(Main[[#This Row],[بدهی تسویه نشده (کیلوگرم)]]&gt;0,'گزارش فردی'!$B$7-Main[[#This Row],[تاريخ میلادی]],0)</f>
        <v>0</v>
      </c>
      <c r="R1178" s="6">
        <f ca="1">IF(Main[[#This Row],[بدهی تسویه نشده (کیلوگرم)]]&gt;0,'گزارش فردی'!$B$7-Main[[#This Row],[تاريخ میلادی]]-'گزارش فردی'!$B$8,0)</f>
        <v>0</v>
      </c>
      <c r="S1178" s="6">
        <f ca="1">Main[[#This Row],[روز از ارسال سفارش]]*Main[[#This Row],[بدهی تسویه نشده (کیلوگرم)]]</f>
        <v>0</v>
      </c>
      <c r="T1178" s="6">
        <f ca="1">Main[[#This Row],[بدهی سررسید شده (کیلوگرم)]]*Main[[#This Row],[روز از ارسال سفارش]]</f>
        <v>0</v>
      </c>
      <c r="U1178" s="6">
        <f>-SUBTOTAL(9,INDEX(Main[مقدار (کیلوگرم)],1):Main[[#This Row],[مقدار (کیلوگرم)]])</f>
        <v>34718</v>
      </c>
      <c r="V11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8" s="6">
        <f>Main[[#This Row],[تعداد کل روزهای بدهکار (روز)]]*Main[[#This Row],[مانده در خط کل (کیلوگرم)]]</f>
        <v>34718</v>
      </c>
      <c r="X1178" s="6">
        <f ca="1">-SUBTOTAL(9,INDEX(Main[مقدار تسویه شده (کیلوگرم)],1):Main[[#This Row],[مقدار تسویه شده (کیلوگرم)]])</f>
        <v>34718</v>
      </c>
      <c r="Y1178" s="6">
        <f ca="1">IF(Main[[#This Row],[مانده در خط تسویه شده (کیلوگرم)]]&lt;&gt;0,Main[[#This Row],[تعداد کل روزهای بدهکار (روز)]],0)</f>
        <v>1</v>
      </c>
      <c r="Z1178" s="6">
        <f ca="1">Main[[#This Row],[تعداد روزهای بدهکار تسویه شده (روز)]]*Main[[#This Row],[مانده در خط تسویه شده (کیلوگرم)]]</f>
        <v>34718</v>
      </c>
      <c r="AA1178" s="6">
        <f ca="1">SUBTOTAL(9,INDEX(Main[بدهی تسویه نشده (کیلوگرم)],1):Main[[#This Row],[بدهی تسویه نشده (کیلوگرم)]])</f>
        <v>0</v>
      </c>
      <c r="AB1178" s="6">
        <f ca="1">IF(Main[[#This Row],[مانده در خط تسویه نشده (کیلوگرم)]]&lt;&gt;0,Main[[#This Row],[تعداد کل روزهای بدهکار (روز)]],0)</f>
        <v>0</v>
      </c>
      <c r="AC1178" s="6">
        <f ca="1">Main[[#This Row],[تعداد روزهای بدهکار  تسویه نشده (روز)]]*Main[[#This Row],[مانده در خط تسویه نشده (کیلوگرم)]]</f>
        <v>0</v>
      </c>
      <c r="AD1178" s="6">
        <f ca="1">SUBTOTAL(9,INDEX(Main[بدهی سررسید شده (کیلوگرم)],1):Main[[#This Row],[بدهی سررسید شده (کیلوگرم)]])</f>
        <v>0</v>
      </c>
      <c r="AE1178" s="6">
        <f ca="1">IF(Main[[#This Row],[مانده در خط سررسید شده (کیلوگرم)]]&lt;&gt;0,Main[[#This Row],[تعداد کل روزهای بدهکار (روز)]],0)</f>
        <v>0</v>
      </c>
      <c r="AF1178" s="6">
        <f ca="1">Main[[#This Row],[تعداد روزهای بدهکار سررسید شده (روز)]]*Main[[#This Row],[مانده در خط سررسید شده (کیلوگرم)]]</f>
        <v>0</v>
      </c>
    </row>
    <row r="1179" spans="1:32" hidden="1" x14ac:dyDescent="0.35">
      <c r="A1179" s="5">
        <f>ROW()-ROW(INDEX(Main[ردیف],1))+1</f>
        <v>1177</v>
      </c>
      <c r="B1179" s="31">
        <f>SUBTOTAL(2,INDEX(Main[ردیف],1):Main[[#This Row],[ردیف]])</f>
        <v>108</v>
      </c>
      <c r="C1179" s="32" t="s">
        <v>628</v>
      </c>
      <c r="D1179" s="32" t="str">
        <f>_xlfn.CONCAT("14",Main[[#This Row],[تاريخ]])</f>
        <v>1400/05/03</v>
      </c>
      <c r="E1179" s="33">
        <v>44402</v>
      </c>
      <c r="F1179" s="32">
        <v>30140</v>
      </c>
      <c r="G1179" s="5" t="str">
        <f>INDEX(customer[عنوان],MATCH(Main[[#This Row],[کد ردیابی]],customer[کد],0))</f>
        <v>شرکت سیتکو</v>
      </c>
      <c r="H1179">
        <v>1444</v>
      </c>
      <c r="I1179" s="6">
        <f ca="1">-Main[[#This Row],[بدهی تسویه شده (کیلوگرم)]]+Main[[#This Row],[بستانکار (کیلوگرم)]]</f>
        <v>1444</v>
      </c>
      <c r="J1179" s="6">
        <f>IF(Main[[#This Row],[مقدار (کیلوگرم)]]&gt;0,Main[[#This Row],[مقدار (کیلوگرم)]],0)</f>
        <v>1444</v>
      </c>
      <c r="K1179" s="6">
        <f>-IF(Main[[#This Row],[مقدار (کیلوگرم)]]&lt;0,Main[[#This Row],[مقدار (کیلوگرم)]],0)</f>
        <v>0</v>
      </c>
      <c r="L11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9" s="7">
        <f>-IF(AND(Main[[#This Row],[مقدار (کیلوگرم)]]&lt;0,Main[[#This Row],[تاريخ میلادی]]&gt;44276),Main[[#This Row],[مقدار (کیلوگرم)]],0)</f>
        <v>0</v>
      </c>
      <c r="N1179" s="6">
        <f ca="1">Main[[#This Row],[بدهکار (کیلوگرم)]]-Main[[#This Row],[بدهی تسویه نشده (کیلوگرم)]]</f>
        <v>0</v>
      </c>
      <c r="O1179" s="6">
        <f ca="1">Main[[#This Row],[تفکیک]]</f>
        <v>0</v>
      </c>
      <c r="P1179" s="6">
        <f ca="1">IF(Main[[#This Row],[تاخیر از سررسید]]&gt;0,Main[[#This Row],[بدهی تسویه نشده (کیلوگرم)]],0)</f>
        <v>0</v>
      </c>
      <c r="Q1179" s="6">
        <f ca="1">IF(Main[[#This Row],[بدهی تسویه نشده (کیلوگرم)]]&gt;0,'گزارش فردی'!$B$7-Main[[#This Row],[تاريخ میلادی]],0)</f>
        <v>0</v>
      </c>
      <c r="R1179" s="6">
        <f ca="1">IF(Main[[#This Row],[بدهی تسویه نشده (کیلوگرم)]]&gt;0,'گزارش فردی'!$B$7-Main[[#This Row],[تاريخ میلادی]]-'گزارش فردی'!$B$8,0)</f>
        <v>0</v>
      </c>
      <c r="S1179" s="6">
        <f ca="1">Main[[#This Row],[روز از ارسال سفارش]]*Main[[#This Row],[بدهی تسویه نشده (کیلوگرم)]]</f>
        <v>0</v>
      </c>
      <c r="T1179" s="6">
        <f ca="1">Main[[#This Row],[بدهی سررسید شده (کیلوگرم)]]*Main[[#This Row],[روز از ارسال سفارش]]</f>
        <v>0</v>
      </c>
      <c r="U1179" s="6">
        <f>-SUBTOTAL(9,INDEX(Main[مقدار (کیلوگرم)],1):Main[[#This Row],[مقدار (کیلوگرم)]])</f>
        <v>34718</v>
      </c>
      <c r="V11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9" s="6">
        <f>Main[[#This Row],[تعداد کل روزهای بدهکار (روز)]]*Main[[#This Row],[مانده در خط کل (کیلوگرم)]]</f>
        <v>34718</v>
      </c>
      <c r="X1179" s="6">
        <f ca="1">-SUBTOTAL(9,INDEX(Main[مقدار تسویه شده (کیلوگرم)],1):Main[[#This Row],[مقدار تسویه شده (کیلوگرم)]])</f>
        <v>34718</v>
      </c>
      <c r="Y1179" s="6">
        <f ca="1">IF(Main[[#This Row],[مانده در خط تسویه شده (کیلوگرم)]]&lt;&gt;0,Main[[#This Row],[تعداد کل روزهای بدهکار (روز)]],0)</f>
        <v>1</v>
      </c>
      <c r="Z1179" s="6">
        <f ca="1">Main[[#This Row],[تعداد روزهای بدهکار تسویه شده (روز)]]*Main[[#This Row],[مانده در خط تسویه شده (کیلوگرم)]]</f>
        <v>34718</v>
      </c>
      <c r="AA1179" s="6">
        <f ca="1">SUBTOTAL(9,INDEX(Main[بدهی تسویه نشده (کیلوگرم)],1):Main[[#This Row],[بدهی تسویه نشده (کیلوگرم)]])</f>
        <v>0</v>
      </c>
      <c r="AB1179" s="6">
        <f ca="1">IF(Main[[#This Row],[مانده در خط تسویه نشده (کیلوگرم)]]&lt;&gt;0,Main[[#This Row],[تعداد کل روزهای بدهکار (روز)]],0)</f>
        <v>0</v>
      </c>
      <c r="AC1179" s="6">
        <f ca="1">Main[[#This Row],[تعداد روزهای بدهکار  تسویه نشده (روز)]]*Main[[#This Row],[مانده در خط تسویه نشده (کیلوگرم)]]</f>
        <v>0</v>
      </c>
      <c r="AD1179" s="6">
        <f ca="1">SUBTOTAL(9,INDEX(Main[بدهی سررسید شده (کیلوگرم)],1):Main[[#This Row],[بدهی سررسید شده (کیلوگرم)]])</f>
        <v>0</v>
      </c>
      <c r="AE1179" s="6">
        <f ca="1">IF(Main[[#This Row],[مانده در خط سررسید شده (کیلوگرم)]]&lt;&gt;0,Main[[#This Row],[تعداد کل روزهای بدهکار (روز)]],0)</f>
        <v>0</v>
      </c>
      <c r="AF1179" s="6">
        <f ca="1">Main[[#This Row],[تعداد روزهای بدهکار سررسید شده (روز)]]*Main[[#This Row],[مانده در خط سررسید شده (کیلوگرم)]]</f>
        <v>0</v>
      </c>
    </row>
    <row r="1180" spans="1:32" hidden="1" x14ac:dyDescent="0.35">
      <c r="A1180" s="5">
        <f>ROW()-ROW(INDEX(Main[ردیف],1))+1</f>
        <v>1178</v>
      </c>
      <c r="B1180" s="31">
        <f>SUBTOTAL(2,INDEX(Main[ردیف],1):Main[[#This Row],[ردیف]])</f>
        <v>108</v>
      </c>
      <c r="C1180" s="32" t="s">
        <v>628</v>
      </c>
      <c r="D1180" s="32" t="str">
        <f>_xlfn.CONCAT("14",Main[[#This Row],[تاريخ]])</f>
        <v>1400/05/03</v>
      </c>
      <c r="E1180" s="33">
        <v>44402</v>
      </c>
      <c r="F1180" s="32">
        <v>10127</v>
      </c>
      <c r="G1180" s="5" t="str">
        <f>INDEX(customer[عنوان],MATCH(Main[[#This Row],[کد ردیابی]],customer[کد],0))</f>
        <v xml:space="preserve">عماد هاشمی </v>
      </c>
      <c r="H1180">
        <v>-2144</v>
      </c>
      <c r="I1180" s="6">
        <f ca="1">-Main[[#This Row],[بدهی تسویه شده (کیلوگرم)]]+Main[[#This Row],[بستانکار (کیلوگرم)]]</f>
        <v>-2144</v>
      </c>
      <c r="J1180" s="6">
        <f>IF(Main[[#This Row],[مقدار (کیلوگرم)]]&gt;0,Main[[#This Row],[مقدار (کیلوگرم)]],0)</f>
        <v>0</v>
      </c>
      <c r="K1180" s="6">
        <f>-IF(Main[[#This Row],[مقدار (کیلوگرم)]]&lt;0,Main[[#This Row],[مقدار (کیلوگرم)]],0)</f>
        <v>2144</v>
      </c>
      <c r="L11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0" s="7">
        <f>-IF(AND(Main[[#This Row],[مقدار (کیلوگرم)]]&lt;0,Main[[#This Row],[تاريخ میلادی]]&gt;44276),Main[[#This Row],[مقدار (کیلوگرم)]],0)</f>
        <v>2144</v>
      </c>
      <c r="N1180" s="6">
        <f ca="1">Main[[#This Row],[بدهکار (کیلوگرم)]]-Main[[#This Row],[بدهی تسویه نشده (کیلوگرم)]]</f>
        <v>2144</v>
      </c>
      <c r="O1180" s="6">
        <f ca="1">Main[[#This Row],[تفکیک]]</f>
        <v>0</v>
      </c>
      <c r="P1180" s="6">
        <f ca="1">IF(Main[[#This Row],[تاخیر از سررسید]]&gt;0,Main[[#This Row],[بدهی تسویه نشده (کیلوگرم)]],0)</f>
        <v>0</v>
      </c>
      <c r="Q1180" s="6">
        <f ca="1">IF(Main[[#This Row],[بدهی تسویه نشده (کیلوگرم)]]&gt;0,'گزارش فردی'!$B$7-Main[[#This Row],[تاريخ میلادی]],0)</f>
        <v>0</v>
      </c>
      <c r="R1180" s="6">
        <f ca="1">IF(Main[[#This Row],[بدهی تسویه نشده (کیلوگرم)]]&gt;0,'گزارش فردی'!$B$7-Main[[#This Row],[تاريخ میلادی]]-'گزارش فردی'!$B$8,0)</f>
        <v>0</v>
      </c>
      <c r="S1180" s="6">
        <f ca="1">Main[[#This Row],[روز از ارسال سفارش]]*Main[[#This Row],[بدهی تسویه نشده (کیلوگرم)]]</f>
        <v>0</v>
      </c>
      <c r="T1180" s="6">
        <f ca="1">Main[[#This Row],[بدهی سررسید شده (کیلوگرم)]]*Main[[#This Row],[روز از ارسال سفارش]]</f>
        <v>0</v>
      </c>
      <c r="U1180" s="6">
        <f>-SUBTOTAL(9,INDEX(Main[مقدار (کیلوگرم)],1):Main[[#This Row],[مقدار (کیلوگرم)]])</f>
        <v>34718</v>
      </c>
      <c r="V11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80" s="6">
        <f>Main[[#This Row],[تعداد کل روزهای بدهکار (روز)]]*Main[[#This Row],[مانده در خط کل (کیلوگرم)]]</f>
        <v>34718</v>
      </c>
      <c r="X1180" s="6">
        <f ca="1">-SUBTOTAL(9,INDEX(Main[مقدار تسویه شده (کیلوگرم)],1):Main[[#This Row],[مقدار تسویه شده (کیلوگرم)]])</f>
        <v>34718</v>
      </c>
      <c r="Y1180" s="6">
        <f ca="1">IF(Main[[#This Row],[مانده در خط تسویه شده (کیلوگرم)]]&lt;&gt;0,Main[[#This Row],[تعداد کل روزهای بدهکار (روز)]],0)</f>
        <v>1</v>
      </c>
      <c r="Z1180" s="6">
        <f ca="1">Main[[#This Row],[تعداد روزهای بدهکار تسویه شده (روز)]]*Main[[#This Row],[مانده در خط تسویه شده (کیلوگرم)]]</f>
        <v>34718</v>
      </c>
      <c r="AA1180" s="6">
        <f ca="1">SUBTOTAL(9,INDEX(Main[بدهی تسویه نشده (کیلوگرم)],1):Main[[#This Row],[بدهی تسویه نشده (کیلوگرم)]])</f>
        <v>0</v>
      </c>
      <c r="AB1180" s="6">
        <f ca="1">IF(Main[[#This Row],[مانده در خط تسویه نشده (کیلوگرم)]]&lt;&gt;0,Main[[#This Row],[تعداد کل روزهای بدهکار (روز)]],0)</f>
        <v>0</v>
      </c>
      <c r="AC1180" s="6">
        <f ca="1">Main[[#This Row],[تعداد روزهای بدهکار  تسویه نشده (روز)]]*Main[[#This Row],[مانده در خط تسویه نشده (کیلوگرم)]]</f>
        <v>0</v>
      </c>
      <c r="AD1180" s="6">
        <f ca="1">SUBTOTAL(9,INDEX(Main[بدهی سررسید شده (کیلوگرم)],1):Main[[#This Row],[بدهی سررسید شده (کیلوگرم)]])</f>
        <v>0</v>
      </c>
      <c r="AE1180" s="6">
        <f ca="1">IF(Main[[#This Row],[مانده در خط سررسید شده (کیلوگرم)]]&lt;&gt;0,Main[[#This Row],[تعداد کل روزهای بدهکار (روز)]],0)</f>
        <v>0</v>
      </c>
      <c r="AF1180" s="6">
        <f ca="1">Main[[#This Row],[تعداد روزهای بدهکار سررسید شده (روز)]]*Main[[#This Row],[مانده در خط سررسید شده (کیلوگرم)]]</f>
        <v>0</v>
      </c>
    </row>
    <row r="1181" spans="1:32" hidden="1" x14ac:dyDescent="0.35">
      <c r="A1181" s="5">
        <f>ROW()-ROW(INDEX(Main[ردیف],1))+1</f>
        <v>1179</v>
      </c>
      <c r="B1181" s="31">
        <f>SUBTOTAL(2,INDEX(Main[ردیف],1):Main[[#This Row],[ردیف]])</f>
        <v>108</v>
      </c>
      <c r="C1181" s="32" t="s">
        <v>628</v>
      </c>
      <c r="D1181" s="32" t="str">
        <f>_xlfn.CONCAT("14",Main[[#This Row],[تاريخ]])</f>
        <v>1400/05/03</v>
      </c>
      <c r="E1181" s="33">
        <v>44402</v>
      </c>
      <c r="F1181" s="32">
        <v>10127</v>
      </c>
      <c r="G1181" s="5" t="str">
        <f>INDEX(customer[عنوان],MATCH(Main[[#This Row],[کد ردیابی]],customer[کد],0))</f>
        <v xml:space="preserve">عماد هاشمی </v>
      </c>
      <c r="H1181">
        <v>733</v>
      </c>
      <c r="I1181" s="6">
        <f ca="1">-Main[[#This Row],[بدهی تسویه شده (کیلوگرم)]]+Main[[#This Row],[بستانکار (کیلوگرم)]]</f>
        <v>733</v>
      </c>
      <c r="J1181" s="6">
        <f>IF(Main[[#This Row],[مقدار (کیلوگرم)]]&gt;0,Main[[#This Row],[مقدار (کیلوگرم)]],0)</f>
        <v>733</v>
      </c>
      <c r="K1181" s="6">
        <f>-IF(Main[[#This Row],[مقدار (کیلوگرم)]]&lt;0,Main[[#This Row],[مقدار (کیلوگرم)]],0)</f>
        <v>0</v>
      </c>
      <c r="L11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1" s="7">
        <f>-IF(AND(Main[[#This Row],[مقدار (کیلوگرم)]]&lt;0,Main[[#This Row],[تاريخ میلادی]]&gt;44276),Main[[#This Row],[مقدار (کیلوگرم)]],0)</f>
        <v>0</v>
      </c>
      <c r="N1181" s="6">
        <f ca="1">Main[[#This Row],[بدهکار (کیلوگرم)]]-Main[[#This Row],[بدهی تسویه نشده (کیلوگرم)]]</f>
        <v>0</v>
      </c>
      <c r="O1181" s="6">
        <f ca="1">Main[[#This Row],[تفکیک]]</f>
        <v>0</v>
      </c>
      <c r="P1181" s="6">
        <f ca="1">IF(Main[[#This Row],[تاخیر از سررسید]]&gt;0,Main[[#This Row],[بدهی تسویه نشده (کیلوگرم)]],0)</f>
        <v>0</v>
      </c>
      <c r="Q1181" s="6">
        <f ca="1">IF(Main[[#This Row],[بدهی تسویه نشده (کیلوگرم)]]&gt;0,'گزارش فردی'!$B$7-Main[[#This Row],[تاريخ میلادی]],0)</f>
        <v>0</v>
      </c>
      <c r="R1181" s="6">
        <f ca="1">IF(Main[[#This Row],[بدهی تسویه نشده (کیلوگرم)]]&gt;0,'گزارش فردی'!$B$7-Main[[#This Row],[تاريخ میلادی]]-'گزارش فردی'!$B$8,0)</f>
        <v>0</v>
      </c>
      <c r="S1181" s="6">
        <f ca="1">Main[[#This Row],[روز از ارسال سفارش]]*Main[[#This Row],[بدهی تسویه نشده (کیلوگرم)]]</f>
        <v>0</v>
      </c>
      <c r="T1181" s="6">
        <f ca="1">Main[[#This Row],[بدهی سررسید شده (کیلوگرم)]]*Main[[#This Row],[روز از ارسال سفارش]]</f>
        <v>0</v>
      </c>
      <c r="U1181" s="6">
        <f>-SUBTOTAL(9,INDEX(Main[مقدار (کیلوگرم)],1):Main[[#This Row],[مقدار (کیلوگرم)]])</f>
        <v>34718</v>
      </c>
      <c r="V11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81" s="6">
        <f>Main[[#This Row],[تعداد کل روزهای بدهکار (روز)]]*Main[[#This Row],[مانده در خط کل (کیلوگرم)]]</f>
        <v>34718</v>
      </c>
      <c r="X1181" s="6">
        <f ca="1">-SUBTOTAL(9,INDEX(Main[مقدار تسویه شده (کیلوگرم)],1):Main[[#This Row],[مقدار تسویه شده (کیلوگرم)]])</f>
        <v>34718</v>
      </c>
      <c r="Y1181" s="6">
        <f ca="1">IF(Main[[#This Row],[مانده در خط تسویه شده (کیلوگرم)]]&lt;&gt;0,Main[[#This Row],[تعداد کل روزهای بدهکار (روز)]],0)</f>
        <v>1</v>
      </c>
      <c r="Z1181" s="6">
        <f ca="1">Main[[#This Row],[تعداد روزهای بدهکار تسویه شده (روز)]]*Main[[#This Row],[مانده در خط تسویه شده (کیلوگرم)]]</f>
        <v>34718</v>
      </c>
      <c r="AA1181" s="6">
        <f ca="1">SUBTOTAL(9,INDEX(Main[بدهی تسویه نشده (کیلوگرم)],1):Main[[#This Row],[بدهی تسویه نشده (کیلوگرم)]])</f>
        <v>0</v>
      </c>
      <c r="AB1181" s="6">
        <f ca="1">IF(Main[[#This Row],[مانده در خط تسویه نشده (کیلوگرم)]]&lt;&gt;0,Main[[#This Row],[تعداد کل روزهای بدهکار (روز)]],0)</f>
        <v>0</v>
      </c>
      <c r="AC1181" s="6">
        <f ca="1">Main[[#This Row],[تعداد روزهای بدهکار  تسویه نشده (روز)]]*Main[[#This Row],[مانده در خط تسویه نشده (کیلوگرم)]]</f>
        <v>0</v>
      </c>
      <c r="AD1181" s="6">
        <f ca="1">SUBTOTAL(9,INDEX(Main[بدهی سررسید شده (کیلوگرم)],1):Main[[#This Row],[بدهی سررسید شده (کیلوگرم)]])</f>
        <v>0</v>
      </c>
      <c r="AE1181" s="6">
        <f ca="1">IF(Main[[#This Row],[مانده در خط سررسید شده (کیلوگرم)]]&lt;&gt;0,Main[[#This Row],[تعداد کل روزهای بدهکار (روز)]],0)</f>
        <v>0</v>
      </c>
      <c r="AF1181" s="6">
        <f ca="1">Main[[#This Row],[تعداد روزهای بدهکار سررسید شده (روز)]]*Main[[#This Row],[مانده در خط سررسید شده (کیلوگرم)]]</f>
        <v>0</v>
      </c>
    </row>
    <row r="1182" spans="1:32" hidden="1" x14ac:dyDescent="0.35">
      <c r="A1182" s="5">
        <f>ROW()-ROW(INDEX(Main[ردیف],1))+1</f>
        <v>1180</v>
      </c>
      <c r="B1182" s="31">
        <f>SUBTOTAL(2,INDEX(Main[ردیف],1):Main[[#This Row],[ردیف]])</f>
        <v>108</v>
      </c>
      <c r="C1182" s="32" t="s">
        <v>629</v>
      </c>
      <c r="D1182" s="32" t="str">
        <f>_xlfn.CONCAT("14",Main[[#This Row],[تاريخ]])</f>
        <v>1400/05/04</v>
      </c>
      <c r="E1182" s="33">
        <v>44403</v>
      </c>
      <c r="F1182" s="32">
        <v>30009</v>
      </c>
      <c r="G1182" s="5" t="str">
        <f>INDEX(customer[عنوان],MATCH(Main[[#This Row],[کد ردیابی]],customer[کد],0))</f>
        <v>شرکت ایمن تک پیشرو</v>
      </c>
      <c r="H1182">
        <v>-2502</v>
      </c>
      <c r="I1182" s="6">
        <f ca="1">-Main[[#This Row],[بدهی تسویه شده (کیلوگرم)]]+Main[[#This Row],[بستانکار (کیلوگرم)]]</f>
        <v>-2502</v>
      </c>
      <c r="J1182" s="6">
        <f>IF(Main[[#This Row],[مقدار (کیلوگرم)]]&gt;0,Main[[#This Row],[مقدار (کیلوگرم)]],0)</f>
        <v>0</v>
      </c>
      <c r="K1182" s="6">
        <f>-IF(Main[[#This Row],[مقدار (کیلوگرم)]]&lt;0,Main[[#This Row],[مقدار (کیلوگرم)]],0)</f>
        <v>2502</v>
      </c>
      <c r="L11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2" s="7">
        <f>-IF(AND(Main[[#This Row],[مقدار (کیلوگرم)]]&lt;0,Main[[#This Row],[تاريخ میلادی]]&gt;44276),Main[[#This Row],[مقدار (کیلوگرم)]],0)</f>
        <v>2502</v>
      </c>
      <c r="N1182" s="6">
        <f ca="1">Main[[#This Row],[بدهکار (کیلوگرم)]]-Main[[#This Row],[بدهی تسویه نشده (کیلوگرم)]]</f>
        <v>2502</v>
      </c>
      <c r="O1182" s="6">
        <f ca="1">Main[[#This Row],[تفکیک]]</f>
        <v>0</v>
      </c>
      <c r="P1182" s="6">
        <f ca="1">IF(Main[[#This Row],[تاخیر از سررسید]]&gt;0,Main[[#This Row],[بدهی تسویه نشده (کیلوگرم)]],0)</f>
        <v>0</v>
      </c>
      <c r="Q1182" s="6">
        <f ca="1">IF(Main[[#This Row],[بدهی تسویه نشده (کیلوگرم)]]&gt;0,'گزارش فردی'!$B$7-Main[[#This Row],[تاريخ میلادی]],0)</f>
        <v>0</v>
      </c>
      <c r="R1182" s="6">
        <f ca="1">IF(Main[[#This Row],[بدهی تسویه نشده (کیلوگرم)]]&gt;0,'گزارش فردی'!$B$7-Main[[#This Row],[تاريخ میلادی]]-'گزارش فردی'!$B$8,0)</f>
        <v>0</v>
      </c>
      <c r="S1182" s="6">
        <f ca="1">Main[[#This Row],[روز از ارسال سفارش]]*Main[[#This Row],[بدهی تسویه نشده (کیلوگرم)]]</f>
        <v>0</v>
      </c>
      <c r="T1182" s="6">
        <f ca="1">Main[[#This Row],[بدهی سررسید شده (کیلوگرم)]]*Main[[#This Row],[روز از ارسال سفارش]]</f>
        <v>0</v>
      </c>
      <c r="U1182" s="6">
        <f>-SUBTOTAL(9,INDEX(Main[مقدار (کیلوگرم)],1):Main[[#This Row],[مقدار (کیلوگرم)]])</f>
        <v>34718</v>
      </c>
      <c r="V11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2" s="6">
        <f>Main[[#This Row],[تعداد کل روزهای بدهکار (روز)]]*Main[[#This Row],[مانده در خط کل (کیلوگرم)]]</f>
        <v>0</v>
      </c>
      <c r="X1182" s="6">
        <f ca="1">-SUBTOTAL(9,INDEX(Main[مقدار تسویه شده (کیلوگرم)],1):Main[[#This Row],[مقدار تسویه شده (کیلوگرم)]])</f>
        <v>34718</v>
      </c>
      <c r="Y1182" s="6">
        <f ca="1">IF(Main[[#This Row],[مانده در خط تسویه شده (کیلوگرم)]]&lt;&gt;0,Main[[#This Row],[تعداد کل روزهای بدهکار (روز)]],0)</f>
        <v>0</v>
      </c>
      <c r="Z1182" s="6">
        <f ca="1">Main[[#This Row],[تعداد روزهای بدهکار تسویه شده (روز)]]*Main[[#This Row],[مانده در خط تسویه شده (کیلوگرم)]]</f>
        <v>0</v>
      </c>
      <c r="AA1182" s="6">
        <f ca="1">SUBTOTAL(9,INDEX(Main[بدهی تسویه نشده (کیلوگرم)],1):Main[[#This Row],[بدهی تسویه نشده (کیلوگرم)]])</f>
        <v>0</v>
      </c>
      <c r="AB1182" s="6">
        <f ca="1">IF(Main[[#This Row],[مانده در خط تسویه نشده (کیلوگرم)]]&lt;&gt;0,Main[[#This Row],[تعداد کل روزهای بدهکار (روز)]],0)</f>
        <v>0</v>
      </c>
      <c r="AC1182" s="6">
        <f ca="1">Main[[#This Row],[تعداد روزهای بدهکار  تسویه نشده (روز)]]*Main[[#This Row],[مانده در خط تسویه نشده (کیلوگرم)]]</f>
        <v>0</v>
      </c>
      <c r="AD1182" s="6">
        <f ca="1">SUBTOTAL(9,INDEX(Main[بدهی سررسید شده (کیلوگرم)],1):Main[[#This Row],[بدهی سررسید شده (کیلوگرم)]])</f>
        <v>0</v>
      </c>
      <c r="AE1182" s="6">
        <f ca="1">IF(Main[[#This Row],[مانده در خط سررسید شده (کیلوگرم)]]&lt;&gt;0,Main[[#This Row],[تعداد کل روزهای بدهکار (روز)]],0)</f>
        <v>0</v>
      </c>
      <c r="AF1182" s="6">
        <f ca="1">Main[[#This Row],[تعداد روزهای بدهکار سررسید شده (روز)]]*Main[[#This Row],[مانده در خط سررسید شده (کیلوگرم)]]</f>
        <v>0</v>
      </c>
    </row>
    <row r="1183" spans="1:32" hidden="1" x14ac:dyDescent="0.35">
      <c r="A1183" s="5">
        <f>ROW()-ROW(INDEX(Main[ردیف],1))+1</f>
        <v>1181</v>
      </c>
      <c r="B1183" s="31">
        <f>SUBTOTAL(2,INDEX(Main[ردیف],1):Main[[#This Row],[ردیف]])</f>
        <v>108</v>
      </c>
      <c r="C1183" s="32" t="s">
        <v>629</v>
      </c>
      <c r="D1183" s="32" t="str">
        <f>_xlfn.CONCAT("14",Main[[#This Row],[تاريخ]])</f>
        <v>1400/05/04</v>
      </c>
      <c r="E1183" s="33">
        <v>44403</v>
      </c>
      <c r="F1183" s="32">
        <v>30184</v>
      </c>
      <c r="G1183" s="5" t="str">
        <f>INDEX(customer[عنوان],MATCH(Main[[#This Row],[کد ردیابی]],customer[کد],0))</f>
        <v>شرکت هوم کو (هوشمند مبین کوشا)</v>
      </c>
      <c r="H1183">
        <v>645</v>
      </c>
      <c r="I1183" s="6">
        <f ca="1">-Main[[#This Row],[بدهی تسویه شده (کیلوگرم)]]+Main[[#This Row],[بستانکار (کیلوگرم)]]</f>
        <v>645</v>
      </c>
      <c r="J1183" s="6">
        <f>IF(Main[[#This Row],[مقدار (کیلوگرم)]]&gt;0,Main[[#This Row],[مقدار (کیلوگرم)]],0)</f>
        <v>645</v>
      </c>
      <c r="K1183" s="6">
        <f>-IF(Main[[#This Row],[مقدار (کیلوگرم)]]&lt;0,Main[[#This Row],[مقدار (کیلوگرم)]],0)</f>
        <v>0</v>
      </c>
      <c r="L11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3" s="7">
        <f>-IF(AND(Main[[#This Row],[مقدار (کیلوگرم)]]&lt;0,Main[[#This Row],[تاريخ میلادی]]&gt;44276),Main[[#This Row],[مقدار (کیلوگرم)]],0)</f>
        <v>0</v>
      </c>
      <c r="N1183" s="6">
        <f ca="1">Main[[#This Row],[بدهکار (کیلوگرم)]]-Main[[#This Row],[بدهی تسویه نشده (کیلوگرم)]]</f>
        <v>0</v>
      </c>
      <c r="O1183" s="6">
        <f ca="1">Main[[#This Row],[تفکیک]]</f>
        <v>0</v>
      </c>
      <c r="P1183" s="6">
        <f ca="1">IF(Main[[#This Row],[تاخیر از سررسید]]&gt;0,Main[[#This Row],[بدهی تسویه نشده (کیلوگرم)]],0)</f>
        <v>0</v>
      </c>
      <c r="Q1183" s="6">
        <f ca="1">IF(Main[[#This Row],[بدهی تسویه نشده (کیلوگرم)]]&gt;0,'گزارش فردی'!$B$7-Main[[#This Row],[تاريخ میلادی]],0)</f>
        <v>0</v>
      </c>
      <c r="R1183" s="6">
        <f ca="1">IF(Main[[#This Row],[بدهی تسویه نشده (کیلوگرم)]]&gt;0,'گزارش فردی'!$B$7-Main[[#This Row],[تاريخ میلادی]]-'گزارش فردی'!$B$8,0)</f>
        <v>0</v>
      </c>
      <c r="S1183" s="6">
        <f ca="1">Main[[#This Row],[روز از ارسال سفارش]]*Main[[#This Row],[بدهی تسویه نشده (کیلوگرم)]]</f>
        <v>0</v>
      </c>
      <c r="T1183" s="6">
        <f ca="1">Main[[#This Row],[بدهی سررسید شده (کیلوگرم)]]*Main[[#This Row],[روز از ارسال سفارش]]</f>
        <v>0</v>
      </c>
      <c r="U1183" s="6">
        <f>-SUBTOTAL(9,INDEX(Main[مقدار (کیلوگرم)],1):Main[[#This Row],[مقدار (کیلوگرم)]])</f>
        <v>34718</v>
      </c>
      <c r="V11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3" s="6">
        <f>Main[[#This Row],[تعداد کل روزهای بدهکار (روز)]]*Main[[#This Row],[مانده در خط کل (کیلوگرم)]]</f>
        <v>0</v>
      </c>
      <c r="X1183" s="6">
        <f ca="1">-SUBTOTAL(9,INDEX(Main[مقدار تسویه شده (کیلوگرم)],1):Main[[#This Row],[مقدار تسویه شده (کیلوگرم)]])</f>
        <v>34718</v>
      </c>
      <c r="Y1183" s="6">
        <f ca="1">IF(Main[[#This Row],[مانده در خط تسویه شده (کیلوگرم)]]&lt;&gt;0,Main[[#This Row],[تعداد کل روزهای بدهکار (روز)]],0)</f>
        <v>0</v>
      </c>
      <c r="Z1183" s="6">
        <f ca="1">Main[[#This Row],[تعداد روزهای بدهکار تسویه شده (روز)]]*Main[[#This Row],[مانده در خط تسویه شده (کیلوگرم)]]</f>
        <v>0</v>
      </c>
      <c r="AA1183" s="6">
        <f ca="1">SUBTOTAL(9,INDEX(Main[بدهی تسویه نشده (کیلوگرم)],1):Main[[#This Row],[بدهی تسویه نشده (کیلوگرم)]])</f>
        <v>0</v>
      </c>
      <c r="AB1183" s="6">
        <f ca="1">IF(Main[[#This Row],[مانده در خط تسویه نشده (کیلوگرم)]]&lt;&gt;0,Main[[#This Row],[تعداد کل روزهای بدهکار (روز)]],0)</f>
        <v>0</v>
      </c>
      <c r="AC1183" s="6">
        <f ca="1">Main[[#This Row],[تعداد روزهای بدهکار  تسویه نشده (روز)]]*Main[[#This Row],[مانده در خط تسویه نشده (کیلوگرم)]]</f>
        <v>0</v>
      </c>
      <c r="AD1183" s="6">
        <f ca="1">SUBTOTAL(9,INDEX(Main[بدهی سررسید شده (کیلوگرم)],1):Main[[#This Row],[بدهی سررسید شده (کیلوگرم)]])</f>
        <v>0</v>
      </c>
      <c r="AE1183" s="6">
        <f ca="1">IF(Main[[#This Row],[مانده در خط سررسید شده (کیلوگرم)]]&lt;&gt;0,Main[[#This Row],[تعداد کل روزهای بدهکار (روز)]],0)</f>
        <v>0</v>
      </c>
      <c r="AF1183" s="6">
        <f ca="1">Main[[#This Row],[تعداد روزهای بدهکار سررسید شده (روز)]]*Main[[#This Row],[مانده در خط سررسید شده (کیلوگرم)]]</f>
        <v>0</v>
      </c>
    </row>
    <row r="1184" spans="1:32" hidden="1" x14ac:dyDescent="0.35">
      <c r="A1184" s="5">
        <f>ROW()-ROW(INDEX(Main[ردیف],1))+1</f>
        <v>1182</v>
      </c>
      <c r="B1184" s="31">
        <f>SUBTOTAL(2,INDEX(Main[ردیف],1):Main[[#This Row],[ردیف]])</f>
        <v>108</v>
      </c>
      <c r="C1184" s="32" t="s">
        <v>629</v>
      </c>
      <c r="D1184" s="32" t="str">
        <f>_xlfn.CONCAT("14",Main[[#This Row],[تاريخ]])</f>
        <v>1400/05/04</v>
      </c>
      <c r="E1184" s="33">
        <v>44403</v>
      </c>
      <c r="F1184" s="32">
        <v>30066</v>
      </c>
      <c r="G1184" s="5" t="str">
        <f>INDEX(customer[عنوان],MATCH(Main[[#This Row],[کد ردیابی]],customer[کد],0))</f>
        <v xml:space="preserve">شیر آلات بهداشتی قهرمان </v>
      </c>
      <c r="H1184">
        <v>-8722</v>
      </c>
      <c r="I1184" s="6">
        <f ca="1">-Main[[#This Row],[بدهی تسویه شده (کیلوگرم)]]+Main[[#This Row],[بستانکار (کیلوگرم)]]</f>
        <v>-8722</v>
      </c>
      <c r="J1184" s="6">
        <f>IF(Main[[#This Row],[مقدار (کیلوگرم)]]&gt;0,Main[[#This Row],[مقدار (کیلوگرم)]],0)</f>
        <v>0</v>
      </c>
      <c r="K1184" s="6">
        <f>-IF(Main[[#This Row],[مقدار (کیلوگرم)]]&lt;0,Main[[#This Row],[مقدار (کیلوگرم)]],0)</f>
        <v>8722</v>
      </c>
      <c r="L11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4" s="7">
        <f>-IF(AND(Main[[#This Row],[مقدار (کیلوگرم)]]&lt;0,Main[[#This Row],[تاريخ میلادی]]&gt;44276),Main[[#This Row],[مقدار (کیلوگرم)]],0)</f>
        <v>8722</v>
      </c>
      <c r="N1184" s="6">
        <f ca="1">Main[[#This Row],[بدهکار (کیلوگرم)]]-Main[[#This Row],[بدهی تسویه نشده (کیلوگرم)]]</f>
        <v>8722</v>
      </c>
      <c r="O1184" s="6">
        <f ca="1">Main[[#This Row],[تفکیک]]</f>
        <v>0</v>
      </c>
      <c r="P1184" s="6">
        <f ca="1">IF(Main[[#This Row],[تاخیر از سررسید]]&gt;0,Main[[#This Row],[بدهی تسویه نشده (کیلوگرم)]],0)</f>
        <v>0</v>
      </c>
      <c r="Q1184" s="6">
        <f ca="1">IF(Main[[#This Row],[بدهی تسویه نشده (کیلوگرم)]]&gt;0,'گزارش فردی'!$B$7-Main[[#This Row],[تاريخ میلادی]],0)</f>
        <v>0</v>
      </c>
      <c r="R1184" s="6">
        <f ca="1">IF(Main[[#This Row],[بدهی تسویه نشده (کیلوگرم)]]&gt;0,'گزارش فردی'!$B$7-Main[[#This Row],[تاريخ میلادی]]-'گزارش فردی'!$B$8,0)</f>
        <v>0</v>
      </c>
      <c r="S1184" s="6">
        <f ca="1">Main[[#This Row],[روز از ارسال سفارش]]*Main[[#This Row],[بدهی تسویه نشده (کیلوگرم)]]</f>
        <v>0</v>
      </c>
      <c r="T1184" s="6">
        <f ca="1">Main[[#This Row],[بدهی سررسید شده (کیلوگرم)]]*Main[[#This Row],[روز از ارسال سفارش]]</f>
        <v>0</v>
      </c>
      <c r="U1184" s="6">
        <f>-SUBTOTAL(9,INDEX(Main[مقدار (کیلوگرم)],1):Main[[#This Row],[مقدار (کیلوگرم)]])</f>
        <v>34718</v>
      </c>
      <c r="V11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4" s="6">
        <f>Main[[#This Row],[تعداد کل روزهای بدهکار (روز)]]*Main[[#This Row],[مانده در خط کل (کیلوگرم)]]</f>
        <v>0</v>
      </c>
      <c r="X1184" s="6">
        <f ca="1">-SUBTOTAL(9,INDEX(Main[مقدار تسویه شده (کیلوگرم)],1):Main[[#This Row],[مقدار تسویه شده (کیلوگرم)]])</f>
        <v>34718</v>
      </c>
      <c r="Y1184" s="6">
        <f ca="1">IF(Main[[#This Row],[مانده در خط تسویه شده (کیلوگرم)]]&lt;&gt;0,Main[[#This Row],[تعداد کل روزهای بدهکار (روز)]],0)</f>
        <v>0</v>
      </c>
      <c r="Z1184" s="6">
        <f ca="1">Main[[#This Row],[تعداد روزهای بدهکار تسویه شده (روز)]]*Main[[#This Row],[مانده در خط تسویه شده (کیلوگرم)]]</f>
        <v>0</v>
      </c>
      <c r="AA1184" s="6">
        <f ca="1">SUBTOTAL(9,INDEX(Main[بدهی تسویه نشده (کیلوگرم)],1):Main[[#This Row],[بدهی تسویه نشده (کیلوگرم)]])</f>
        <v>0</v>
      </c>
      <c r="AB1184" s="6">
        <f ca="1">IF(Main[[#This Row],[مانده در خط تسویه نشده (کیلوگرم)]]&lt;&gt;0,Main[[#This Row],[تعداد کل روزهای بدهکار (روز)]],0)</f>
        <v>0</v>
      </c>
      <c r="AC1184" s="6">
        <f ca="1">Main[[#This Row],[تعداد روزهای بدهکار  تسویه نشده (روز)]]*Main[[#This Row],[مانده در خط تسویه نشده (کیلوگرم)]]</f>
        <v>0</v>
      </c>
      <c r="AD1184" s="6">
        <f ca="1">SUBTOTAL(9,INDEX(Main[بدهی سررسید شده (کیلوگرم)],1):Main[[#This Row],[بدهی سررسید شده (کیلوگرم)]])</f>
        <v>0</v>
      </c>
      <c r="AE1184" s="6">
        <f ca="1">IF(Main[[#This Row],[مانده در خط سررسید شده (کیلوگرم)]]&lt;&gt;0,Main[[#This Row],[تعداد کل روزهای بدهکار (روز)]],0)</f>
        <v>0</v>
      </c>
      <c r="AF1184" s="6">
        <f ca="1">Main[[#This Row],[تعداد روزهای بدهکار سررسید شده (روز)]]*Main[[#This Row],[مانده در خط سررسید شده (کیلوگرم)]]</f>
        <v>0</v>
      </c>
    </row>
    <row r="1185" spans="1:32" hidden="1" x14ac:dyDescent="0.35">
      <c r="A1185" s="5">
        <f>ROW()-ROW(INDEX(Main[ردیف],1))+1</f>
        <v>1183</v>
      </c>
      <c r="B1185" s="31">
        <f>SUBTOTAL(2,INDEX(Main[ردیف],1):Main[[#This Row],[ردیف]])</f>
        <v>108</v>
      </c>
      <c r="C1185" s="32" t="s">
        <v>629</v>
      </c>
      <c r="D1185" s="32" t="str">
        <f>_xlfn.CONCAT("14",Main[[#This Row],[تاريخ]])</f>
        <v>1400/05/04</v>
      </c>
      <c r="E1185" s="33">
        <v>44403</v>
      </c>
      <c r="F1185" s="32">
        <v>30191</v>
      </c>
      <c r="G1185" s="5" t="str">
        <f>INDEX(customer[عنوان],MATCH(Main[[#This Row],[کد ردیابی]],customer[کد],0))</f>
        <v>ایران گرما</v>
      </c>
      <c r="H1185">
        <v>79</v>
      </c>
      <c r="I1185" s="6">
        <f ca="1">-Main[[#This Row],[بدهی تسویه شده (کیلوگرم)]]+Main[[#This Row],[بستانکار (کیلوگرم)]]</f>
        <v>79</v>
      </c>
      <c r="J1185" s="6">
        <f>IF(Main[[#This Row],[مقدار (کیلوگرم)]]&gt;0,Main[[#This Row],[مقدار (کیلوگرم)]],0)</f>
        <v>79</v>
      </c>
      <c r="K1185" s="6">
        <f>-IF(Main[[#This Row],[مقدار (کیلوگرم)]]&lt;0,Main[[#This Row],[مقدار (کیلوگرم)]],0)</f>
        <v>0</v>
      </c>
      <c r="L11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5" s="7">
        <f>-IF(AND(Main[[#This Row],[مقدار (کیلوگرم)]]&lt;0,Main[[#This Row],[تاريخ میلادی]]&gt;44276),Main[[#This Row],[مقدار (کیلوگرم)]],0)</f>
        <v>0</v>
      </c>
      <c r="N1185" s="6">
        <f ca="1">Main[[#This Row],[بدهکار (کیلوگرم)]]-Main[[#This Row],[بدهی تسویه نشده (کیلوگرم)]]</f>
        <v>0</v>
      </c>
      <c r="O1185" s="6">
        <f ca="1">Main[[#This Row],[تفکیک]]</f>
        <v>0</v>
      </c>
      <c r="P1185" s="6">
        <f ca="1">IF(Main[[#This Row],[تاخیر از سررسید]]&gt;0,Main[[#This Row],[بدهی تسویه نشده (کیلوگرم)]],0)</f>
        <v>0</v>
      </c>
      <c r="Q1185" s="6">
        <f ca="1">IF(Main[[#This Row],[بدهی تسویه نشده (کیلوگرم)]]&gt;0,'گزارش فردی'!$B$7-Main[[#This Row],[تاريخ میلادی]],0)</f>
        <v>0</v>
      </c>
      <c r="R1185" s="6">
        <f ca="1">IF(Main[[#This Row],[بدهی تسویه نشده (کیلوگرم)]]&gt;0,'گزارش فردی'!$B$7-Main[[#This Row],[تاريخ میلادی]]-'گزارش فردی'!$B$8,0)</f>
        <v>0</v>
      </c>
      <c r="S1185" s="6">
        <f ca="1">Main[[#This Row],[روز از ارسال سفارش]]*Main[[#This Row],[بدهی تسویه نشده (کیلوگرم)]]</f>
        <v>0</v>
      </c>
      <c r="T1185" s="6">
        <f ca="1">Main[[#This Row],[بدهی سررسید شده (کیلوگرم)]]*Main[[#This Row],[روز از ارسال سفارش]]</f>
        <v>0</v>
      </c>
      <c r="U1185" s="6">
        <f>-SUBTOTAL(9,INDEX(Main[مقدار (کیلوگرم)],1):Main[[#This Row],[مقدار (کیلوگرم)]])</f>
        <v>34718</v>
      </c>
      <c r="V11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5" s="6">
        <f>Main[[#This Row],[تعداد کل روزهای بدهکار (روز)]]*Main[[#This Row],[مانده در خط کل (کیلوگرم)]]</f>
        <v>0</v>
      </c>
      <c r="X1185" s="6">
        <f ca="1">-SUBTOTAL(9,INDEX(Main[مقدار تسویه شده (کیلوگرم)],1):Main[[#This Row],[مقدار تسویه شده (کیلوگرم)]])</f>
        <v>34718</v>
      </c>
      <c r="Y1185" s="6">
        <f ca="1">IF(Main[[#This Row],[مانده در خط تسویه شده (کیلوگرم)]]&lt;&gt;0,Main[[#This Row],[تعداد کل روزهای بدهکار (روز)]],0)</f>
        <v>0</v>
      </c>
      <c r="Z1185" s="6">
        <f ca="1">Main[[#This Row],[تعداد روزهای بدهکار تسویه شده (روز)]]*Main[[#This Row],[مانده در خط تسویه شده (کیلوگرم)]]</f>
        <v>0</v>
      </c>
      <c r="AA1185" s="6">
        <f ca="1">SUBTOTAL(9,INDEX(Main[بدهی تسویه نشده (کیلوگرم)],1):Main[[#This Row],[بدهی تسویه نشده (کیلوگرم)]])</f>
        <v>0</v>
      </c>
      <c r="AB1185" s="6">
        <f ca="1">IF(Main[[#This Row],[مانده در خط تسویه نشده (کیلوگرم)]]&lt;&gt;0,Main[[#This Row],[تعداد کل روزهای بدهکار (روز)]],0)</f>
        <v>0</v>
      </c>
      <c r="AC1185" s="6">
        <f ca="1">Main[[#This Row],[تعداد روزهای بدهکار  تسویه نشده (روز)]]*Main[[#This Row],[مانده در خط تسویه نشده (کیلوگرم)]]</f>
        <v>0</v>
      </c>
      <c r="AD1185" s="6">
        <f ca="1">SUBTOTAL(9,INDEX(Main[بدهی سررسید شده (کیلوگرم)],1):Main[[#This Row],[بدهی سررسید شده (کیلوگرم)]])</f>
        <v>0</v>
      </c>
      <c r="AE1185" s="6">
        <f ca="1">IF(Main[[#This Row],[مانده در خط سررسید شده (کیلوگرم)]]&lt;&gt;0,Main[[#This Row],[تعداد کل روزهای بدهکار (روز)]],0)</f>
        <v>0</v>
      </c>
      <c r="AF1185" s="6">
        <f ca="1">Main[[#This Row],[تعداد روزهای بدهکار سررسید شده (روز)]]*Main[[#This Row],[مانده در خط سررسید شده (کیلوگرم)]]</f>
        <v>0</v>
      </c>
    </row>
    <row r="1186" spans="1:32" hidden="1" x14ac:dyDescent="0.35">
      <c r="A1186" s="5">
        <f>ROW()-ROW(INDEX(Main[ردیف],1))+1</f>
        <v>1184</v>
      </c>
      <c r="B1186" s="31">
        <f>SUBTOTAL(2,INDEX(Main[ردیف],1):Main[[#This Row],[ردیف]])</f>
        <v>108</v>
      </c>
      <c r="C1186" s="32" t="s">
        <v>629</v>
      </c>
      <c r="D1186" s="32" t="str">
        <f>_xlfn.CONCAT("14",Main[[#This Row],[تاريخ]])</f>
        <v>1400/05/04</v>
      </c>
      <c r="E1186" s="33">
        <v>44403</v>
      </c>
      <c r="F1186" s="32">
        <v>30055</v>
      </c>
      <c r="G1186" s="5" t="str">
        <f>INDEX(customer[عنوان],MATCH(Main[[#This Row],[کد ردیابی]],customer[کد],0))</f>
        <v xml:space="preserve">تکنو کار </v>
      </c>
      <c r="H1186">
        <v>-1056</v>
      </c>
      <c r="I1186" s="6">
        <f ca="1">-Main[[#This Row],[بدهی تسویه شده (کیلوگرم)]]+Main[[#This Row],[بستانکار (کیلوگرم)]]</f>
        <v>-1056</v>
      </c>
      <c r="J1186" s="6">
        <f>IF(Main[[#This Row],[مقدار (کیلوگرم)]]&gt;0,Main[[#This Row],[مقدار (کیلوگرم)]],0)</f>
        <v>0</v>
      </c>
      <c r="K1186" s="6">
        <f>-IF(Main[[#This Row],[مقدار (کیلوگرم)]]&lt;0,Main[[#This Row],[مقدار (کیلوگرم)]],0)</f>
        <v>1056</v>
      </c>
      <c r="L11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6" s="7">
        <f>-IF(AND(Main[[#This Row],[مقدار (کیلوگرم)]]&lt;0,Main[[#This Row],[تاريخ میلادی]]&gt;44276),Main[[#This Row],[مقدار (کیلوگرم)]],0)</f>
        <v>1056</v>
      </c>
      <c r="N1186" s="6">
        <f ca="1">Main[[#This Row],[بدهکار (کیلوگرم)]]-Main[[#This Row],[بدهی تسویه نشده (کیلوگرم)]]</f>
        <v>1056</v>
      </c>
      <c r="O1186" s="6">
        <f ca="1">Main[[#This Row],[تفکیک]]</f>
        <v>0</v>
      </c>
      <c r="P1186" s="6">
        <f ca="1">IF(Main[[#This Row],[تاخیر از سررسید]]&gt;0,Main[[#This Row],[بدهی تسویه نشده (کیلوگرم)]],0)</f>
        <v>0</v>
      </c>
      <c r="Q1186" s="6">
        <f ca="1">IF(Main[[#This Row],[بدهی تسویه نشده (کیلوگرم)]]&gt;0,'گزارش فردی'!$B$7-Main[[#This Row],[تاريخ میلادی]],0)</f>
        <v>0</v>
      </c>
      <c r="R1186" s="6">
        <f ca="1">IF(Main[[#This Row],[بدهی تسویه نشده (کیلوگرم)]]&gt;0,'گزارش فردی'!$B$7-Main[[#This Row],[تاريخ میلادی]]-'گزارش فردی'!$B$8,0)</f>
        <v>0</v>
      </c>
      <c r="S1186" s="6">
        <f ca="1">Main[[#This Row],[روز از ارسال سفارش]]*Main[[#This Row],[بدهی تسویه نشده (کیلوگرم)]]</f>
        <v>0</v>
      </c>
      <c r="T1186" s="6">
        <f ca="1">Main[[#This Row],[بدهی سررسید شده (کیلوگرم)]]*Main[[#This Row],[روز از ارسال سفارش]]</f>
        <v>0</v>
      </c>
      <c r="U1186" s="6">
        <f>-SUBTOTAL(9,INDEX(Main[مقدار (کیلوگرم)],1):Main[[#This Row],[مقدار (کیلوگرم)]])</f>
        <v>34718</v>
      </c>
      <c r="V11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6" s="6">
        <f>Main[[#This Row],[تعداد کل روزهای بدهکار (روز)]]*Main[[#This Row],[مانده در خط کل (کیلوگرم)]]</f>
        <v>0</v>
      </c>
      <c r="X1186" s="6">
        <f ca="1">-SUBTOTAL(9,INDEX(Main[مقدار تسویه شده (کیلوگرم)],1):Main[[#This Row],[مقدار تسویه شده (کیلوگرم)]])</f>
        <v>34718</v>
      </c>
      <c r="Y1186" s="6">
        <f ca="1">IF(Main[[#This Row],[مانده در خط تسویه شده (کیلوگرم)]]&lt;&gt;0,Main[[#This Row],[تعداد کل روزهای بدهکار (روز)]],0)</f>
        <v>0</v>
      </c>
      <c r="Z1186" s="6">
        <f ca="1">Main[[#This Row],[تعداد روزهای بدهکار تسویه شده (روز)]]*Main[[#This Row],[مانده در خط تسویه شده (کیلوگرم)]]</f>
        <v>0</v>
      </c>
      <c r="AA1186" s="6">
        <f ca="1">SUBTOTAL(9,INDEX(Main[بدهی تسویه نشده (کیلوگرم)],1):Main[[#This Row],[بدهی تسویه نشده (کیلوگرم)]])</f>
        <v>0</v>
      </c>
      <c r="AB1186" s="6">
        <f ca="1">IF(Main[[#This Row],[مانده در خط تسویه نشده (کیلوگرم)]]&lt;&gt;0,Main[[#This Row],[تعداد کل روزهای بدهکار (روز)]],0)</f>
        <v>0</v>
      </c>
      <c r="AC1186" s="6">
        <f ca="1">Main[[#This Row],[تعداد روزهای بدهکار  تسویه نشده (روز)]]*Main[[#This Row],[مانده در خط تسویه نشده (کیلوگرم)]]</f>
        <v>0</v>
      </c>
      <c r="AD1186" s="6">
        <f ca="1">SUBTOTAL(9,INDEX(Main[بدهی سررسید شده (کیلوگرم)],1):Main[[#This Row],[بدهی سررسید شده (کیلوگرم)]])</f>
        <v>0</v>
      </c>
      <c r="AE1186" s="6">
        <f ca="1">IF(Main[[#This Row],[مانده در خط سررسید شده (کیلوگرم)]]&lt;&gt;0,Main[[#This Row],[تعداد کل روزهای بدهکار (روز)]],0)</f>
        <v>0</v>
      </c>
      <c r="AF1186" s="6">
        <f ca="1">Main[[#This Row],[تعداد روزهای بدهکار سررسید شده (روز)]]*Main[[#This Row],[مانده در خط سررسید شده (کیلوگرم)]]</f>
        <v>0</v>
      </c>
    </row>
    <row r="1187" spans="1:32" hidden="1" x14ac:dyDescent="0.35">
      <c r="A1187" s="5">
        <f>ROW()-ROW(INDEX(Main[ردیف],1))+1</f>
        <v>1185</v>
      </c>
      <c r="B1187" s="31">
        <f>SUBTOTAL(2,INDEX(Main[ردیف],1):Main[[#This Row],[ردیف]])</f>
        <v>108</v>
      </c>
      <c r="C1187" s="32" t="s">
        <v>629</v>
      </c>
      <c r="D1187" s="32" t="str">
        <f>_xlfn.CONCAT("14",Main[[#This Row],[تاريخ]])</f>
        <v>1400/05/04</v>
      </c>
      <c r="E1187" s="33">
        <v>44403</v>
      </c>
      <c r="F1187" s="32">
        <v>30191</v>
      </c>
      <c r="G1187" s="5" t="str">
        <f>INDEX(customer[عنوان],MATCH(Main[[#This Row],[کد ردیابی]],customer[کد],0))</f>
        <v>ایران گرما</v>
      </c>
      <c r="H1187">
        <v>83</v>
      </c>
      <c r="I1187" s="6">
        <f ca="1">-Main[[#This Row],[بدهی تسویه شده (کیلوگرم)]]+Main[[#This Row],[بستانکار (کیلوگرم)]]</f>
        <v>83</v>
      </c>
      <c r="J1187" s="6">
        <f>IF(Main[[#This Row],[مقدار (کیلوگرم)]]&gt;0,Main[[#This Row],[مقدار (کیلوگرم)]],0)</f>
        <v>83</v>
      </c>
      <c r="K1187" s="6">
        <f>-IF(Main[[#This Row],[مقدار (کیلوگرم)]]&lt;0,Main[[#This Row],[مقدار (کیلوگرم)]],0)</f>
        <v>0</v>
      </c>
      <c r="L11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7" s="7">
        <f>-IF(AND(Main[[#This Row],[مقدار (کیلوگرم)]]&lt;0,Main[[#This Row],[تاريخ میلادی]]&gt;44276),Main[[#This Row],[مقدار (کیلوگرم)]],0)</f>
        <v>0</v>
      </c>
      <c r="N1187" s="6">
        <f ca="1">Main[[#This Row],[بدهکار (کیلوگرم)]]-Main[[#This Row],[بدهی تسویه نشده (کیلوگرم)]]</f>
        <v>0</v>
      </c>
      <c r="O1187" s="6">
        <f ca="1">Main[[#This Row],[تفکیک]]</f>
        <v>0</v>
      </c>
      <c r="P1187" s="6">
        <f ca="1">IF(Main[[#This Row],[تاخیر از سررسید]]&gt;0,Main[[#This Row],[بدهی تسویه نشده (کیلوگرم)]],0)</f>
        <v>0</v>
      </c>
      <c r="Q1187" s="6">
        <f ca="1">IF(Main[[#This Row],[بدهی تسویه نشده (کیلوگرم)]]&gt;0,'گزارش فردی'!$B$7-Main[[#This Row],[تاريخ میلادی]],0)</f>
        <v>0</v>
      </c>
      <c r="R1187" s="6">
        <f ca="1">IF(Main[[#This Row],[بدهی تسویه نشده (کیلوگرم)]]&gt;0,'گزارش فردی'!$B$7-Main[[#This Row],[تاريخ میلادی]]-'گزارش فردی'!$B$8,0)</f>
        <v>0</v>
      </c>
      <c r="S1187" s="6">
        <f ca="1">Main[[#This Row],[روز از ارسال سفارش]]*Main[[#This Row],[بدهی تسویه نشده (کیلوگرم)]]</f>
        <v>0</v>
      </c>
      <c r="T1187" s="6">
        <f ca="1">Main[[#This Row],[بدهی سررسید شده (کیلوگرم)]]*Main[[#This Row],[روز از ارسال سفارش]]</f>
        <v>0</v>
      </c>
      <c r="U1187" s="6">
        <f>-SUBTOTAL(9,INDEX(Main[مقدار (کیلوگرم)],1):Main[[#This Row],[مقدار (کیلوگرم)]])</f>
        <v>34718</v>
      </c>
      <c r="V11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7" s="6">
        <f>Main[[#This Row],[تعداد کل روزهای بدهکار (روز)]]*Main[[#This Row],[مانده در خط کل (کیلوگرم)]]</f>
        <v>0</v>
      </c>
      <c r="X1187" s="6">
        <f ca="1">-SUBTOTAL(9,INDEX(Main[مقدار تسویه شده (کیلوگرم)],1):Main[[#This Row],[مقدار تسویه شده (کیلوگرم)]])</f>
        <v>34718</v>
      </c>
      <c r="Y1187" s="6">
        <f ca="1">IF(Main[[#This Row],[مانده در خط تسویه شده (کیلوگرم)]]&lt;&gt;0,Main[[#This Row],[تعداد کل روزهای بدهکار (روز)]],0)</f>
        <v>0</v>
      </c>
      <c r="Z1187" s="6">
        <f ca="1">Main[[#This Row],[تعداد روزهای بدهکار تسویه شده (روز)]]*Main[[#This Row],[مانده در خط تسویه شده (کیلوگرم)]]</f>
        <v>0</v>
      </c>
      <c r="AA1187" s="6">
        <f ca="1">SUBTOTAL(9,INDEX(Main[بدهی تسویه نشده (کیلوگرم)],1):Main[[#This Row],[بدهی تسویه نشده (کیلوگرم)]])</f>
        <v>0</v>
      </c>
      <c r="AB1187" s="6">
        <f ca="1">IF(Main[[#This Row],[مانده در خط تسویه نشده (کیلوگرم)]]&lt;&gt;0,Main[[#This Row],[تعداد کل روزهای بدهکار (روز)]],0)</f>
        <v>0</v>
      </c>
      <c r="AC1187" s="6">
        <f ca="1">Main[[#This Row],[تعداد روزهای بدهکار  تسویه نشده (روز)]]*Main[[#This Row],[مانده در خط تسویه نشده (کیلوگرم)]]</f>
        <v>0</v>
      </c>
      <c r="AD1187" s="6">
        <f ca="1">SUBTOTAL(9,INDEX(Main[بدهی سررسید شده (کیلوگرم)],1):Main[[#This Row],[بدهی سررسید شده (کیلوگرم)]])</f>
        <v>0</v>
      </c>
      <c r="AE1187" s="6">
        <f ca="1">IF(Main[[#This Row],[مانده در خط سررسید شده (کیلوگرم)]]&lt;&gt;0,Main[[#This Row],[تعداد کل روزهای بدهکار (روز)]],0)</f>
        <v>0</v>
      </c>
      <c r="AF1187" s="6">
        <f ca="1">Main[[#This Row],[تعداد روزهای بدهکار سررسید شده (روز)]]*Main[[#This Row],[مانده در خط سررسید شده (کیلوگرم)]]</f>
        <v>0</v>
      </c>
    </row>
    <row r="1188" spans="1:32" x14ac:dyDescent="0.35">
      <c r="A1188" s="5">
        <f>ROW()-ROW(INDEX(Main[ردیف],1))+1</f>
        <v>1186</v>
      </c>
      <c r="B1188" s="31">
        <f>SUBTOTAL(2,INDEX(Main[ردیف],1):Main[[#This Row],[ردیف]])</f>
        <v>109</v>
      </c>
      <c r="C1188" s="32" t="s">
        <v>629</v>
      </c>
      <c r="D1188" s="32" t="str">
        <f>_xlfn.CONCAT("14",Main[[#This Row],[تاريخ]])</f>
        <v>1400/05/04</v>
      </c>
      <c r="E1188" s="33">
        <v>44403</v>
      </c>
      <c r="F1188" s="32">
        <v>10003</v>
      </c>
      <c r="G1188" s="5" t="str">
        <f>INDEX(customer[عنوان],MATCH(Main[[#This Row],[کد ردیابی]],customer[کد],0))</f>
        <v>اصغر نورعلی</v>
      </c>
      <c r="H1188">
        <v>-2066</v>
      </c>
      <c r="I1188" s="6">
        <f ca="1">-Main[[#This Row],[بدهی تسویه شده (کیلوگرم)]]+Main[[#This Row],[بستانکار (کیلوگرم)]]</f>
        <v>-2066</v>
      </c>
      <c r="J1188" s="6">
        <f>IF(Main[[#This Row],[مقدار (کیلوگرم)]]&gt;0,Main[[#This Row],[مقدار (کیلوگرم)]],0)</f>
        <v>0</v>
      </c>
      <c r="K1188" s="6">
        <f>-IF(Main[[#This Row],[مقدار (کیلوگرم)]]&lt;0,Main[[#This Row],[مقدار (کیلوگرم)]],0)</f>
        <v>2066</v>
      </c>
      <c r="L11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8" s="7">
        <f>-IF(AND(Main[[#This Row],[مقدار (کیلوگرم)]]&lt;0,Main[[#This Row],[تاريخ میلادی]]&gt;44276),Main[[#This Row],[مقدار (کیلوگرم)]],0)</f>
        <v>2066</v>
      </c>
      <c r="N1188" s="6">
        <f ca="1">Main[[#This Row],[بدهکار (کیلوگرم)]]-Main[[#This Row],[بدهی تسویه نشده (کیلوگرم)]]</f>
        <v>2066</v>
      </c>
      <c r="O1188" s="6">
        <f ca="1">Main[[#This Row],[تفکیک]]</f>
        <v>0</v>
      </c>
      <c r="P1188" s="6">
        <f ca="1">IF(Main[[#This Row],[تاخیر از سررسید]]&gt;0,Main[[#This Row],[بدهی تسویه نشده (کیلوگرم)]],0)</f>
        <v>0</v>
      </c>
      <c r="Q1188" s="6">
        <f ca="1">IF(Main[[#This Row],[بدهی تسویه نشده (کیلوگرم)]]&gt;0,'گزارش فردی'!$B$7-Main[[#This Row],[تاريخ میلادی]],0)</f>
        <v>0</v>
      </c>
      <c r="R1188" s="6">
        <f ca="1">IF(Main[[#This Row],[بدهی تسویه نشده (کیلوگرم)]]&gt;0,'گزارش فردی'!$B$7-Main[[#This Row],[تاريخ میلادی]]-'گزارش فردی'!$B$8,0)</f>
        <v>0</v>
      </c>
      <c r="S1188" s="6">
        <f ca="1">Main[[#This Row],[روز از ارسال سفارش]]*Main[[#This Row],[بدهی تسویه نشده (کیلوگرم)]]</f>
        <v>0</v>
      </c>
      <c r="T1188" s="6">
        <f ca="1">Main[[#This Row],[بدهی سررسید شده (کیلوگرم)]]*Main[[#This Row],[روز از ارسال سفارش]]</f>
        <v>0</v>
      </c>
      <c r="U1188" s="6">
        <f>-SUBTOTAL(9,INDEX(Main[مقدار (کیلوگرم)],1):Main[[#This Row],[مقدار (کیلوگرم)]])</f>
        <v>36784</v>
      </c>
      <c r="V11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88" s="6">
        <f>Main[[#This Row],[تعداد کل روزهای بدهکار (روز)]]*Main[[#This Row],[مانده در خط کل (کیلوگرم)]]</f>
        <v>73568</v>
      </c>
      <c r="X1188" s="6">
        <f ca="1">-SUBTOTAL(9,INDEX(Main[مقدار تسویه شده (کیلوگرم)],1):Main[[#This Row],[مقدار تسویه شده (کیلوگرم)]])</f>
        <v>36784</v>
      </c>
      <c r="Y1188" s="6">
        <f ca="1">IF(Main[[#This Row],[مانده در خط تسویه شده (کیلوگرم)]]&lt;&gt;0,Main[[#This Row],[تعداد کل روزهای بدهکار (روز)]],0)</f>
        <v>2</v>
      </c>
      <c r="Z1188" s="6">
        <f ca="1">Main[[#This Row],[تعداد روزهای بدهکار تسویه شده (روز)]]*Main[[#This Row],[مانده در خط تسویه شده (کیلوگرم)]]</f>
        <v>73568</v>
      </c>
      <c r="AA1188" s="6">
        <f ca="1">SUBTOTAL(9,INDEX(Main[بدهی تسویه نشده (کیلوگرم)],1):Main[[#This Row],[بدهی تسویه نشده (کیلوگرم)]])</f>
        <v>0</v>
      </c>
      <c r="AB1188" s="6">
        <f ca="1">IF(Main[[#This Row],[مانده در خط تسویه نشده (کیلوگرم)]]&lt;&gt;0,Main[[#This Row],[تعداد کل روزهای بدهکار (روز)]],0)</f>
        <v>0</v>
      </c>
      <c r="AC1188" s="6">
        <f ca="1">Main[[#This Row],[تعداد روزهای بدهکار  تسویه نشده (روز)]]*Main[[#This Row],[مانده در خط تسویه نشده (کیلوگرم)]]</f>
        <v>0</v>
      </c>
      <c r="AD1188" s="6">
        <f ca="1">SUBTOTAL(9,INDEX(Main[بدهی سررسید شده (کیلوگرم)],1):Main[[#This Row],[بدهی سررسید شده (کیلوگرم)]])</f>
        <v>0</v>
      </c>
      <c r="AE1188" s="6">
        <f ca="1">IF(Main[[#This Row],[مانده در خط سررسید شده (کیلوگرم)]]&lt;&gt;0,Main[[#This Row],[تعداد کل روزهای بدهکار (روز)]],0)</f>
        <v>0</v>
      </c>
      <c r="AF1188" s="6">
        <f ca="1">Main[[#This Row],[تعداد روزهای بدهکار سررسید شده (روز)]]*Main[[#This Row],[مانده در خط سررسید شده (کیلوگرم)]]</f>
        <v>0</v>
      </c>
    </row>
    <row r="1189" spans="1:32" hidden="1" x14ac:dyDescent="0.35">
      <c r="A1189" s="5">
        <f>ROW()-ROW(INDEX(Main[ردیف],1))+1</f>
        <v>1187</v>
      </c>
      <c r="B1189" s="31">
        <f>SUBTOTAL(2,INDEX(Main[ردیف],1):Main[[#This Row],[ردیف]])</f>
        <v>109</v>
      </c>
      <c r="C1189" s="32" t="s">
        <v>629</v>
      </c>
      <c r="D1189" s="32" t="str">
        <f>_xlfn.CONCAT("14",Main[[#This Row],[تاريخ]])</f>
        <v>1400/05/04</v>
      </c>
      <c r="E1189" s="33">
        <v>44403</v>
      </c>
      <c r="F1189" s="32">
        <v>10026</v>
      </c>
      <c r="G1189" s="5" t="str">
        <f>INDEX(customer[عنوان],MATCH(Main[[#This Row],[کد ردیابی]],customer[کد],0))</f>
        <v xml:space="preserve">محسن فیاض بخش </v>
      </c>
      <c r="H1189">
        <v>-1840</v>
      </c>
      <c r="I1189" s="6">
        <f ca="1">-Main[[#This Row],[بدهی تسویه شده (کیلوگرم)]]+Main[[#This Row],[بستانکار (کیلوگرم)]]</f>
        <v>-1840</v>
      </c>
      <c r="J1189" s="6">
        <f>IF(Main[[#This Row],[مقدار (کیلوگرم)]]&gt;0,Main[[#This Row],[مقدار (کیلوگرم)]],0)</f>
        <v>0</v>
      </c>
      <c r="K1189" s="6">
        <f>-IF(Main[[#This Row],[مقدار (کیلوگرم)]]&lt;0,Main[[#This Row],[مقدار (کیلوگرم)]],0)</f>
        <v>1840</v>
      </c>
      <c r="L11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9" s="7">
        <f>-IF(AND(Main[[#This Row],[مقدار (کیلوگرم)]]&lt;0,Main[[#This Row],[تاريخ میلادی]]&gt;44276),Main[[#This Row],[مقدار (کیلوگرم)]],0)</f>
        <v>1840</v>
      </c>
      <c r="N1189" s="6">
        <f ca="1">Main[[#This Row],[بدهکار (کیلوگرم)]]-Main[[#This Row],[بدهی تسویه نشده (کیلوگرم)]]</f>
        <v>1840</v>
      </c>
      <c r="O1189" s="6">
        <f ca="1">Main[[#This Row],[تفکیک]]</f>
        <v>0</v>
      </c>
      <c r="P1189" s="6">
        <f ca="1">IF(Main[[#This Row],[تاخیر از سررسید]]&gt;0,Main[[#This Row],[بدهی تسویه نشده (کیلوگرم)]],0)</f>
        <v>0</v>
      </c>
      <c r="Q1189" s="6">
        <f ca="1">IF(Main[[#This Row],[بدهی تسویه نشده (کیلوگرم)]]&gt;0,'گزارش فردی'!$B$7-Main[[#This Row],[تاريخ میلادی]],0)</f>
        <v>0</v>
      </c>
      <c r="R1189" s="6">
        <f ca="1">IF(Main[[#This Row],[بدهی تسویه نشده (کیلوگرم)]]&gt;0,'گزارش فردی'!$B$7-Main[[#This Row],[تاريخ میلادی]]-'گزارش فردی'!$B$8,0)</f>
        <v>0</v>
      </c>
      <c r="S1189" s="6">
        <f ca="1">Main[[#This Row],[روز از ارسال سفارش]]*Main[[#This Row],[بدهی تسویه نشده (کیلوگرم)]]</f>
        <v>0</v>
      </c>
      <c r="T1189" s="6">
        <f ca="1">Main[[#This Row],[بدهی سررسید شده (کیلوگرم)]]*Main[[#This Row],[روز از ارسال سفارش]]</f>
        <v>0</v>
      </c>
      <c r="U1189" s="6">
        <f>-SUBTOTAL(9,INDEX(Main[مقدار (کیلوگرم)],1):Main[[#This Row],[مقدار (کیلوگرم)]])</f>
        <v>36784</v>
      </c>
      <c r="V118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89" s="6">
        <f>Main[[#This Row],[تعداد کل روزهای بدهکار (روز)]]*Main[[#This Row],[مانده در خط کل (کیلوگرم)]]</f>
        <v>73568</v>
      </c>
      <c r="X1189" s="6">
        <f ca="1">-SUBTOTAL(9,INDEX(Main[مقدار تسویه شده (کیلوگرم)],1):Main[[#This Row],[مقدار تسویه شده (کیلوگرم)]])</f>
        <v>36784</v>
      </c>
      <c r="Y1189" s="6">
        <f ca="1">IF(Main[[#This Row],[مانده در خط تسویه شده (کیلوگرم)]]&lt;&gt;0,Main[[#This Row],[تعداد کل روزهای بدهکار (روز)]],0)</f>
        <v>2</v>
      </c>
      <c r="Z1189" s="6">
        <f ca="1">Main[[#This Row],[تعداد روزهای بدهکار تسویه شده (روز)]]*Main[[#This Row],[مانده در خط تسویه شده (کیلوگرم)]]</f>
        <v>73568</v>
      </c>
      <c r="AA1189" s="6">
        <f ca="1">SUBTOTAL(9,INDEX(Main[بدهی تسویه نشده (کیلوگرم)],1):Main[[#This Row],[بدهی تسویه نشده (کیلوگرم)]])</f>
        <v>0</v>
      </c>
      <c r="AB1189" s="6">
        <f ca="1">IF(Main[[#This Row],[مانده در خط تسویه نشده (کیلوگرم)]]&lt;&gt;0,Main[[#This Row],[تعداد کل روزهای بدهکار (روز)]],0)</f>
        <v>0</v>
      </c>
      <c r="AC1189" s="6">
        <f ca="1">Main[[#This Row],[تعداد روزهای بدهکار  تسویه نشده (روز)]]*Main[[#This Row],[مانده در خط تسویه نشده (کیلوگرم)]]</f>
        <v>0</v>
      </c>
      <c r="AD1189" s="6">
        <f ca="1">SUBTOTAL(9,INDEX(Main[بدهی سررسید شده (کیلوگرم)],1):Main[[#This Row],[بدهی سررسید شده (کیلوگرم)]])</f>
        <v>0</v>
      </c>
      <c r="AE1189" s="6">
        <f ca="1">IF(Main[[#This Row],[مانده در خط سررسید شده (کیلوگرم)]]&lt;&gt;0,Main[[#This Row],[تعداد کل روزهای بدهکار (روز)]],0)</f>
        <v>0</v>
      </c>
      <c r="AF1189" s="6">
        <f ca="1">Main[[#This Row],[تعداد روزهای بدهکار سررسید شده (روز)]]*Main[[#This Row],[مانده در خط سررسید شده (کیلوگرم)]]</f>
        <v>0</v>
      </c>
    </row>
    <row r="1190" spans="1:32" hidden="1" x14ac:dyDescent="0.35">
      <c r="A1190" s="5">
        <f>ROW()-ROW(INDEX(Main[ردیف],1))+1</f>
        <v>1188</v>
      </c>
      <c r="B1190" s="31">
        <f>SUBTOTAL(2,INDEX(Main[ردیف],1):Main[[#This Row],[ردیف]])</f>
        <v>109</v>
      </c>
      <c r="C1190" s="32" t="s">
        <v>630</v>
      </c>
      <c r="D1190" s="32" t="str">
        <f>_xlfn.CONCAT("14",Main[[#This Row],[تاريخ]])</f>
        <v>1400/05/05</v>
      </c>
      <c r="E1190" s="33">
        <v>44404</v>
      </c>
      <c r="F1190" s="32">
        <v>30186</v>
      </c>
      <c r="G1190" s="5" t="str">
        <f>INDEX(customer[عنوان],MATCH(Main[[#This Row],[کد ردیابی]],customer[کد],0))</f>
        <v>سارا گاز</v>
      </c>
      <c r="H1190">
        <v>1455</v>
      </c>
      <c r="I1190" s="6">
        <f ca="1">-Main[[#This Row],[بدهی تسویه شده (کیلوگرم)]]+Main[[#This Row],[بستانکار (کیلوگرم)]]</f>
        <v>1455</v>
      </c>
      <c r="J1190" s="6">
        <f>IF(Main[[#This Row],[مقدار (کیلوگرم)]]&gt;0,Main[[#This Row],[مقدار (کیلوگرم)]],0)</f>
        <v>1455</v>
      </c>
      <c r="K1190" s="6">
        <f>-IF(Main[[#This Row],[مقدار (کیلوگرم)]]&lt;0,Main[[#This Row],[مقدار (کیلوگرم)]],0)</f>
        <v>0</v>
      </c>
      <c r="L11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0" s="7">
        <f>-IF(AND(Main[[#This Row],[مقدار (کیلوگرم)]]&lt;0,Main[[#This Row],[تاريخ میلادی]]&gt;44276),Main[[#This Row],[مقدار (کیلوگرم)]],0)</f>
        <v>0</v>
      </c>
      <c r="N1190" s="6">
        <f ca="1">Main[[#This Row],[بدهکار (کیلوگرم)]]-Main[[#This Row],[بدهی تسویه نشده (کیلوگرم)]]</f>
        <v>0</v>
      </c>
      <c r="O1190" s="6">
        <f ca="1">Main[[#This Row],[تفکیک]]</f>
        <v>0</v>
      </c>
      <c r="P1190" s="6">
        <f ca="1">IF(Main[[#This Row],[تاخیر از سررسید]]&gt;0,Main[[#This Row],[بدهی تسویه نشده (کیلوگرم)]],0)</f>
        <v>0</v>
      </c>
      <c r="Q1190" s="6">
        <f ca="1">IF(Main[[#This Row],[بدهی تسویه نشده (کیلوگرم)]]&gt;0,'گزارش فردی'!$B$7-Main[[#This Row],[تاريخ میلادی]],0)</f>
        <v>0</v>
      </c>
      <c r="R1190" s="6">
        <f ca="1">IF(Main[[#This Row],[بدهی تسویه نشده (کیلوگرم)]]&gt;0,'گزارش فردی'!$B$7-Main[[#This Row],[تاريخ میلادی]]-'گزارش فردی'!$B$8,0)</f>
        <v>0</v>
      </c>
      <c r="S1190" s="6">
        <f ca="1">Main[[#This Row],[روز از ارسال سفارش]]*Main[[#This Row],[بدهی تسویه نشده (کیلوگرم)]]</f>
        <v>0</v>
      </c>
      <c r="T1190" s="6">
        <f ca="1">Main[[#This Row],[بدهی سررسید شده (کیلوگرم)]]*Main[[#This Row],[روز از ارسال سفارش]]</f>
        <v>0</v>
      </c>
      <c r="U1190" s="6">
        <f>-SUBTOTAL(9,INDEX(Main[مقدار (کیلوگرم)],1):Main[[#This Row],[مقدار (کیلوگرم)]])</f>
        <v>36784</v>
      </c>
      <c r="V11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0" s="6">
        <f>Main[[#This Row],[تعداد کل روزهای بدهکار (روز)]]*Main[[#This Row],[مانده در خط کل (کیلوگرم)]]</f>
        <v>36784</v>
      </c>
      <c r="X1190" s="6">
        <f ca="1">-SUBTOTAL(9,INDEX(Main[مقدار تسویه شده (کیلوگرم)],1):Main[[#This Row],[مقدار تسویه شده (کیلوگرم)]])</f>
        <v>36784</v>
      </c>
      <c r="Y1190" s="6">
        <f ca="1">IF(Main[[#This Row],[مانده در خط تسویه شده (کیلوگرم)]]&lt;&gt;0,Main[[#This Row],[تعداد کل روزهای بدهکار (روز)]],0)</f>
        <v>1</v>
      </c>
      <c r="Z1190" s="6">
        <f ca="1">Main[[#This Row],[تعداد روزهای بدهکار تسویه شده (روز)]]*Main[[#This Row],[مانده در خط تسویه شده (کیلوگرم)]]</f>
        <v>36784</v>
      </c>
      <c r="AA1190" s="6">
        <f ca="1">SUBTOTAL(9,INDEX(Main[بدهی تسویه نشده (کیلوگرم)],1):Main[[#This Row],[بدهی تسویه نشده (کیلوگرم)]])</f>
        <v>0</v>
      </c>
      <c r="AB1190" s="6">
        <f ca="1">IF(Main[[#This Row],[مانده در خط تسویه نشده (کیلوگرم)]]&lt;&gt;0,Main[[#This Row],[تعداد کل روزهای بدهکار (روز)]],0)</f>
        <v>0</v>
      </c>
      <c r="AC1190" s="6">
        <f ca="1">Main[[#This Row],[تعداد روزهای بدهکار  تسویه نشده (روز)]]*Main[[#This Row],[مانده در خط تسویه نشده (کیلوگرم)]]</f>
        <v>0</v>
      </c>
      <c r="AD1190" s="6">
        <f ca="1">SUBTOTAL(9,INDEX(Main[بدهی سررسید شده (کیلوگرم)],1):Main[[#This Row],[بدهی سررسید شده (کیلوگرم)]])</f>
        <v>0</v>
      </c>
      <c r="AE1190" s="6">
        <f ca="1">IF(Main[[#This Row],[مانده در خط سررسید شده (کیلوگرم)]]&lt;&gt;0,Main[[#This Row],[تعداد کل روزهای بدهکار (روز)]],0)</f>
        <v>0</v>
      </c>
      <c r="AF1190" s="6">
        <f ca="1">Main[[#This Row],[تعداد روزهای بدهکار سررسید شده (روز)]]*Main[[#This Row],[مانده در خط سررسید شده (کیلوگرم)]]</f>
        <v>0</v>
      </c>
    </row>
    <row r="1191" spans="1:32" hidden="1" x14ac:dyDescent="0.35">
      <c r="A1191" s="5">
        <f>ROW()-ROW(INDEX(Main[ردیف],1))+1</f>
        <v>1189</v>
      </c>
      <c r="B1191" s="31">
        <f>SUBTOTAL(2,INDEX(Main[ردیف],1):Main[[#This Row],[ردیف]])</f>
        <v>109</v>
      </c>
      <c r="C1191" s="32" t="s">
        <v>630</v>
      </c>
      <c r="D1191" s="32" t="str">
        <f>_xlfn.CONCAT("14",Main[[#This Row],[تاريخ]])</f>
        <v>1400/05/05</v>
      </c>
      <c r="E1191" s="33">
        <v>44404</v>
      </c>
      <c r="F1191" s="32">
        <v>30099</v>
      </c>
      <c r="G1191" s="5" t="str">
        <f>INDEX(customer[عنوان],MATCH(Main[[#This Row],[کد ردیابی]],customer[کد],0))</f>
        <v>ایران شرق نیشابور</v>
      </c>
      <c r="H1191">
        <v>-3009</v>
      </c>
      <c r="I1191" s="6">
        <f ca="1">-Main[[#This Row],[بدهی تسویه شده (کیلوگرم)]]+Main[[#This Row],[بستانکار (کیلوگرم)]]</f>
        <v>-3009</v>
      </c>
      <c r="J1191" s="6">
        <f>IF(Main[[#This Row],[مقدار (کیلوگرم)]]&gt;0,Main[[#This Row],[مقدار (کیلوگرم)]],0)</f>
        <v>0</v>
      </c>
      <c r="K1191" s="6">
        <f>-IF(Main[[#This Row],[مقدار (کیلوگرم)]]&lt;0,Main[[#This Row],[مقدار (کیلوگرم)]],0)</f>
        <v>3009</v>
      </c>
      <c r="L11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1" s="7">
        <f>-IF(AND(Main[[#This Row],[مقدار (کیلوگرم)]]&lt;0,Main[[#This Row],[تاريخ میلادی]]&gt;44276),Main[[#This Row],[مقدار (کیلوگرم)]],0)</f>
        <v>3009</v>
      </c>
      <c r="N1191" s="6">
        <f ca="1">Main[[#This Row],[بدهکار (کیلوگرم)]]-Main[[#This Row],[بدهی تسویه نشده (کیلوگرم)]]</f>
        <v>3009</v>
      </c>
      <c r="O1191" s="6">
        <f ca="1">Main[[#This Row],[تفکیک]]</f>
        <v>0</v>
      </c>
      <c r="P1191" s="6">
        <f ca="1">IF(Main[[#This Row],[تاخیر از سررسید]]&gt;0,Main[[#This Row],[بدهی تسویه نشده (کیلوگرم)]],0)</f>
        <v>0</v>
      </c>
      <c r="Q1191" s="6">
        <f ca="1">IF(Main[[#This Row],[بدهی تسویه نشده (کیلوگرم)]]&gt;0,'گزارش فردی'!$B$7-Main[[#This Row],[تاريخ میلادی]],0)</f>
        <v>0</v>
      </c>
      <c r="R1191" s="6">
        <f ca="1">IF(Main[[#This Row],[بدهی تسویه نشده (کیلوگرم)]]&gt;0,'گزارش فردی'!$B$7-Main[[#This Row],[تاريخ میلادی]]-'گزارش فردی'!$B$8,0)</f>
        <v>0</v>
      </c>
      <c r="S1191" s="6">
        <f ca="1">Main[[#This Row],[روز از ارسال سفارش]]*Main[[#This Row],[بدهی تسویه نشده (کیلوگرم)]]</f>
        <v>0</v>
      </c>
      <c r="T1191" s="6">
        <f ca="1">Main[[#This Row],[بدهی سررسید شده (کیلوگرم)]]*Main[[#This Row],[روز از ارسال سفارش]]</f>
        <v>0</v>
      </c>
      <c r="U1191" s="6">
        <f>-SUBTOTAL(9,INDEX(Main[مقدار (کیلوگرم)],1):Main[[#This Row],[مقدار (کیلوگرم)]])</f>
        <v>36784</v>
      </c>
      <c r="V11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1" s="6">
        <f>Main[[#This Row],[تعداد کل روزهای بدهکار (روز)]]*Main[[#This Row],[مانده در خط کل (کیلوگرم)]]</f>
        <v>36784</v>
      </c>
      <c r="X1191" s="6">
        <f ca="1">-SUBTOTAL(9,INDEX(Main[مقدار تسویه شده (کیلوگرم)],1):Main[[#This Row],[مقدار تسویه شده (کیلوگرم)]])</f>
        <v>36784</v>
      </c>
      <c r="Y1191" s="6">
        <f ca="1">IF(Main[[#This Row],[مانده در خط تسویه شده (کیلوگرم)]]&lt;&gt;0,Main[[#This Row],[تعداد کل روزهای بدهکار (روز)]],0)</f>
        <v>1</v>
      </c>
      <c r="Z1191" s="6">
        <f ca="1">Main[[#This Row],[تعداد روزهای بدهکار تسویه شده (روز)]]*Main[[#This Row],[مانده در خط تسویه شده (کیلوگرم)]]</f>
        <v>36784</v>
      </c>
      <c r="AA1191" s="6">
        <f ca="1">SUBTOTAL(9,INDEX(Main[بدهی تسویه نشده (کیلوگرم)],1):Main[[#This Row],[بدهی تسویه نشده (کیلوگرم)]])</f>
        <v>0</v>
      </c>
      <c r="AB1191" s="6">
        <f ca="1">IF(Main[[#This Row],[مانده در خط تسویه نشده (کیلوگرم)]]&lt;&gt;0,Main[[#This Row],[تعداد کل روزهای بدهکار (روز)]],0)</f>
        <v>0</v>
      </c>
      <c r="AC1191" s="6">
        <f ca="1">Main[[#This Row],[تعداد روزهای بدهکار  تسویه نشده (روز)]]*Main[[#This Row],[مانده در خط تسویه نشده (کیلوگرم)]]</f>
        <v>0</v>
      </c>
      <c r="AD1191" s="6">
        <f ca="1">SUBTOTAL(9,INDEX(Main[بدهی سررسید شده (کیلوگرم)],1):Main[[#This Row],[بدهی سررسید شده (کیلوگرم)]])</f>
        <v>0</v>
      </c>
      <c r="AE1191" s="6">
        <f ca="1">IF(Main[[#This Row],[مانده در خط سررسید شده (کیلوگرم)]]&lt;&gt;0,Main[[#This Row],[تعداد کل روزهای بدهکار (روز)]],0)</f>
        <v>0</v>
      </c>
      <c r="AF1191" s="6">
        <f ca="1">Main[[#This Row],[تعداد روزهای بدهکار سررسید شده (روز)]]*Main[[#This Row],[مانده در خط سررسید شده (کیلوگرم)]]</f>
        <v>0</v>
      </c>
    </row>
    <row r="1192" spans="1:32" hidden="1" x14ac:dyDescent="0.35">
      <c r="A1192" s="5">
        <f>ROW()-ROW(INDEX(Main[ردیف],1))+1</f>
        <v>1190</v>
      </c>
      <c r="B1192" s="31">
        <f>SUBTOTAL(2,INDEX(Main[ردیف],1):Main[[#This Row],[ردیف]])</f>
        <v>109</v>
      </c>
      <c r="C1192" s="32" t="s">
        <v>630</v>
      </c>
      <c r="D1192" s="32" t="str">
        <f>_xlfn.CONCAT("14",Main[[#This Row],[تاريخ]])</f>
        <v>1400/05/05</v>
      </c>
      <c r="E1192" s="33">
        <v>44404</v>
      </c>
      <c r="F1192" s="32">
        <v>30081</v>
      </c>
      <c r="G1192" s="5" t="str">
        <f>INDEX(customer[عنوان],MATCH(Main[[#This Row],[کد ردیابی]],customer[کد],0))</f>
        <v xml:space="preserve">شیرآلات بهداشتی راسان </v>
      </c>
      <c r="H1192">
        <v>2628</v>
      </c>
      <c r="I1192" s="6">
        <f ca="1">-Main[[#This Row],[بدهی تسویه شده (کیلوگرم)]]+Main[[#This Row],[بستانکار (کیلوگرم)]]</f>
        <v>2628</v>
      </c>
      <c r="J1192" s="6">
        <f>IF(Main[[#This Row],[مقدار (کیلوگرم)]]&gt;0,Main[[#This Row],[مقدار (کیلوگرم)]],0)</f>
        <v>2628</v>
      </c>
      <c r="K1192" s="6">
        <f>-IF(Main[[#This Row],[مقدار (کیلوگرم)]]&lt;0,Main[[#This Row],[مقدار (کیلوگرم)]],0)</f>
        <v>0</v>
      </c>
      <c r="L11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2" s="7">
        <f>-IF(AND(Main[[#This Row],[مقدار (کیلوگرم)]]&lt;0,Main[[#This Row],[تاريخ میلادی]]&gt;44276),Main[[#This Row],[مقدار (کیلوگرم)]],0)</f>
        <v>0</v>
      </c>
      <c r="N1192" s="6">
        <f ca="1">Main[[#This Row],[بدهکار (کیلوگرم)]]-Main[[#This Row],[بدهی تسویه نشده (کیلوگرم)]]</f>
        <v>0</v>
      </c>
      <c r="O1192" s="6">
        <f ca="1">Main[[#This Row],[تفکیک]]</f>
        <v>0</v>
      </c>
      <c r="P1192" s="6">
        <f ca="1">IF(Main[[#This Row],[تاخیر از سررسید]]&gt;0,Main[[#This Row],[بدهی تسویه نشده (کیلوگرم)]],0)</f>
        <v>0</v>
      </c>
      <c r="Q1192" s="6">
        <f ca="1">IF(Main[[#This Row],[بدهی تسویه نشده (کیلوگرم)]]&gt;0,'گزارش فردی'!$B$7-Main[[#This Row],[تاريخ میلادی]],0)</f>
        <v>0</v>
      </c>
      <c r="R1192" s="6">
        <f ca="1">IF(Main[[#This Row],[بدهی تسویه نشده (کیلوگرم)]]&gt;0,'گزارش فردی'!$B$7-Main[[#This Row],[تاريخ میلادی]]-'گزارش فردی'!$B$8,0)</f>
        <v>0</v>
      </c>
      <c r="S1192" s="6">
        <f ca="1">Main[[#This Row],[روز از ارسال سفارش]]*Main[[#This Row],[بدهی تسویه نشده (کیلوگرم)]]</f>
        <v>0</v>
      </c>
      <c r="T1192" s="6">
        <f ca="1">Main[[#This Row],[بدهی سررسید شده (کیلوگرم)]]*Main[[#This Row],[روز از ارسال سفارش]]</f>
        <v>0</v>
      </c>
      <c r="U1192" s="6">
        <f>-SUBTOTAL(9,INDEX(Main[مقدار (کیلوگرم)],1):Main[[#This Row],[مقدار (کیلوگرم)]])</f>
        <v>36784</v>
      </c>
      <c r="V11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2" s="6">
        <f>Main[[#This Row],[تعداد کل روزهای بدهکار (روز)]]*Main[[#This Row],[مانده در خط کل (کیلوگرم)]]</f>
        <v>36784</v>
      </c>
      <c r="X1192" s="6">
        <f ca="1">-SUBTOTAL(9,INDEX(Main[مقدار تسویه شده (کیلوگرم)],1):Main[[#This Row],[مقدار تسویه شده (کیلوگرم)]])</f>
        <v>36784</v>
      </c>
      <c r="Y1192" s="6">
        <f ca="1">IF(Main[[#This Row],[مانده در خط تسویه شده (کیلوگرم)]]&lt;&gt;0,Main[[#This Row],[تعداد کل روزهای بدهکار (روز)]],0)</f>
        <v>1</v>
      </c>
      <c r="Z1192" s="6">
        <f ca="1">Main[[#This Row],[تعداد روزهای بدهکار تسویه شده (روز)]]*Main[[#This Row],[مانده در خط تسویه شده (کیلوگرم)]]</f>
        <v>36784</v>
      </c>
      <c r="AA1192" s="6">
        <f ca="1">SUBTOTAL(9,INDEX(Main[بدهی تسویه نشده (کیلوگرم)],1):Main[[#This Row],[بدهی تسویه نشده (کیلوگرم)]])</f>
        <v>0</v>
      </c>
      <c r="AB1192" s="6">
        <f ca="1">IF(Main[[#This Row],[مانده در خط تسویه نشده (کیلوگرم)]]&lt;&gt;0,Main[[#This Row],[تعداد کل روزهای بدهکار (روز)]],0)</f>
        <v>0</v>
      </c>
      <c r="AC1192" s="6">
        <f ca="1">Main[[#This Row],[تعداد روزهای بدهکار  تسویه نشده (روز)]]*Main[[#This Row],[مانده در خط تسویه نشده (کیلوگرم)]]</f>
        <v>0</v>
      </c>
      <c r="AD1192" s="6">
        <f ca="1">SUBTOTAL(9,INDEX(Main[بدهی سررسید شده (کیلوگرم)],1):Main[[#This Row],[بدهی سررسید شده (کیلوگرم)]])</f>
        <v>0</v>
      </c>
      <c r="AE1192" s="6">
        <f ca="1">IF(Main[[#This Row],[مانده در خط سررسید شده (کیلوگرم)]]&lt;&gt;0,Main[[#This Row],[تعداد کل روزهای بدهکار (روز)]],0)</f>
        <v>0</v>
      </c>
      <c r="AF1192" s="6">
        <f ca="1">Main[[#This Row],[تعداد روزهای بدهکار سررسید شده (روز)]]*Main[[#This Row],[مانده در خط سررسید شده (کیلوگرم)]]</f>
        <v>0</v>
      </c>
    </row>
    <row r="1193" spans="1:32" hidden="1" x14ac:dyDescent="0.35">
      <c r="A1193" s="5">
        <f>ROW()-ROW(INDEX(Main[ردیف],1))+1</f>
        <v>1191</v>
      </c>
      <c r="B1193" s="31">
        <f>SUBTOTAL(2,INDEX(Main[ردیف],1):Main[[#This Row],[ردیف]])</f>
        <v>109</v>
      </c>
      <c r="C1193" s="32" t="s">
        <v>630</v>
      </c>
      <c r="D1193" s="32" t="str">
        <f>_xlfn.CONCAT("14",Main[[#This Row],[تاريخ]])</f>
        <v>1400/05/05</v>
      </c>
      <c r="E1193" s="33">
        <v>44404</v>
      </c>
      <c r="F1193" s="32">
        <v>50016</v>
      </c>
      <c r="G1193" s="5" t="str">
        <f>INDEX(customer[عنوان],MATCH(Main[[#This Row],[کد ردیابی]],customer[کد],0))</f>
        <v xml:space="preserve">مهدی یوسفی  </v>
      </c>
      <c r="H1193">
        <v>-59</v>
      </c>
      <c r="I1193" s="6">
        <f ca="1">-Main[[#This Row],[بدهی تسویه شده (کیلوگرم)]]+Main[[#This Row],[بستانکار (کیلوگرم)]]</f>
        <v>-59</v>
      </c>
      <c r="J1193" s="6">
        <f>IF(Main[[#This Row],[مقدار (کیلوگرم)]]&gt;0,Main[[#This Row],[مقدار (کیلوگرم)]],0)</f>
        <v>0</v>
      </c>
      <c r="K1193" s="6">
        <f>-IF(Main[[#This Row],[مقدار (کیلوگرم)]]&lt;0,Main[[#This Row],[مقدار (کیلوگرم)]],0)</f>
        <v>59</v>
      </c>
      <c r="L11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3" s="7">
        <f>-IF(AND(Main[[#This Row],[مقدار (کیلوگرم)]]&lt;0,Main[[#This Row],[تاريخ میلادی]]&gt;44276),Main[[#This Row],[مقدار (کیلوگرم)]],0)</f>
        <v>59</v>
      </c>
      <c r="N1193" s="6">
        <f ca="1">Main[[#This Row],[بدهکار (کیلوگرم)]]-Main[[#This Row],[بدهی تسویه نشده (کیلوگرم)]]</f>
        <v>59</v>
      </c>
      <c r="O1193" s="6">
        <f ca="1">Main[[#This Row],[تفکیک]]</f>
        <v>0</v>
      </c>
      <c r="P1193" s="6">
        <f ca="1">IF(Main[[#This Row],[تاخیر از سررسید]]&gt;0,Main[[#This Row],[بدهی تسویه نشده (کیلوگرم)]],0)</f>
        <v>0</v>
      </c>
      <c r="Q1193" s="6">
        <f ca="1">IF(Main[[#This Row],[بدهی تسویه نشده (کیلوگرم)]]&gt;0,'گزارش فردی'!$B$7-Main[[#This Row],[تاريخ میلادی]],0)</f>
        <v>0</v>
      </c>
      <c r="R1193" s="6">
        <f ca="1">IF(Main[[#This Row],[بدهی تسویه نشده (کیلوگرم)]]&gt;0,'گزارش فردی'!$B$7-Main[[#This Row],[تاريخ میلادی]]-'گزارش فردی'!$B$8,0)</f>
        <v>0</v>
      </c>
      <c r="S1193" s="6">
        <f ca="1">Main[[#This Row],[روز از ارسال سفارش]]*Main[[#This Row],[بدهی تسویه نشده (کیلوگرم)]]</f>
        <v>0</v>
      </c>
      <c r="T1193" s="6">
        <f ca="1">Main[[#This Row],[بدهی سررسید شده (کیلوگرم)]]*Main[[#This Row],[روز از ارسال سفارش]]</f>
        <v>0</v>
      </c>
      <c r="U1193" s="6">
        <f>-SUBTOTAL(9,INDEX(Main[مقدار (کیلوگرم)],1):Main[[#This Row],[مقدار (کیلوگرم)]])</f>
        <v>36784</v>
      </c>
      <c r="V11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3" s="6">
        <f>Main[[#This Row],[تعداد کل روزهای بدهکار (روز)]]*Main[[#This Row],[مانده در خط کل (کیلوگرم)]]</f>
        <v>36784</v>
      </c>
      <c r="X1193" s="6">
        <f ca="1">-SUBTOTAL(9,INDEX(Main[مقدار تسویه شده (کیلوگرم)],1):Main[[#This Row],[مقدار تسویه شده (کیلوگرم)]])</f>
        <v>36784</v>
      </c>
      <c r="Y1193" s="6">
        <f ca="1">IF(Main[[#This Row],[مانده در خط تسویه شده (کیلوگرم)]]&lt;&gt;0,Main[[#This Row],[تعداد کل روزهای بدهکار (روز)]],0)</f>
        <v>1</v>
      </c>
      <c r="Z1193" s="6">
        <f ca="1">Main[[#This Row],[تعداد روزهای بدهکار تسویه شده (روز)]]*Main[[#This Row],[مانده در خط تسویه شده (کیلوگرم)]]</f>
        <v>36784</v>
      </c>
      <c r="AA1193" s="6">
        <f ca="1">SUBTOTAL(9,INDEX(Main[بدهی تسویه نشده (کیلوگرم)],1):Main[[#This Row],[بدهی تسویه نشده (کیلوگرم)]])</f>
        <v>0</v>
      </c>
      <c r="AB1193" s="6">
        <f ca="1">IF(Main[[#This Row],[مانده در خط تسویه نشده (کیلوگرم)]]&lt;&gt;0,Main[[#This Row],[تعداد کل روزهای بدهکار (روز)]],0)</f>
        <v>0</v>
      </c>
      <c r="AC1193" s="6">
        <f ca="1">Main[[#This Row],[تعداد روزهای بدهکار  تسویه نشده (روز)]]*Main[[#This Row],[مانده در خط تسویه نشده (کیلوگرم)]]</f>
        <v>0</v>
      </c>
      <c r="AD1193" s="6">
        <f ca="1">SUBTOTAL(9,INDEX(Main[بدهی سررسید شده (کیلوگرم)],1):Main[[#This Row],[بدهی سررسید شده (کیلوگرم)]])</f>
        <v>0</v>
      </c>
      <c r="AE1193" s="6">
        <f ca="1">IF(Main[[#This Row],[مانده در خط سررسید شده (کیلوگرم)]]&lt;&gt;0,Main[[#This Row],[تعداد کل روزهای بدهکار (روز)]],0)</f>
        <v>0</v>
      </c>
      <c r="AF1193" s="6">
        <f ca="1">Main[[#This Row],[تعداد روزهای بدهکار سررسید شده (روز)]]*Main[[#This Row],[مانده در خط سررسید شده (کیلوگرم)]]</f>
        <v>0</v>
      </c>
    </row>
    <row r="1194" spans="1:32" hidden="1" x14ac:dyDescent="0.35">
      <c r="A1194" s="5">
        <f>ROW()-ROW(INDEX(Main[ردیف],1))+1</f>
        <v>1192</v>
      </c>
      <c r="B1194" s="31">
        <f>SUBTOTAL(2,INDEX(Main[ردیف],1):Main[[#This Row],[ردیف]])</f>
        <v>109</v>
      </c>
      <c r="C1194" s="32" t="s">
        <v>630</v>
      </c>
      <c r="D1194" s="32" t="str">
        <f>_xlfn.CONCAT("14",Main[[#This Row],[تاريخ]])</f>
        <v>1400/05/05</v>
      </c>
      <c r="E1194" s="33">
        <v>44404</v>
      </c>
      <c r="F1194" s="32">
        <v>30099</v>
      </c>
      <c r="G1194" s="5" t="str">
        <f>INDEX(customer[عنوان],MATCH(Main[[#This Row],[کد ردیابی]],customer[کد],0))</f>
        <v>ایران شرق نیشابور</v>
      </c>
      <c r="H1194">
        <v>4512</v>
      </c>
      <c r="I1194" s="6">
        <f ca="1">-Main[[#This Row],[بدهی تسویه شده (کیلوگرم)]]+Main[[#This Row],[بستانکار (کیلوگرم)]]</f>
        <v>4512</v>
      </c>
      <c r="J1194" s="6">
        <f>IF(Main[[#This Row],[مقدار (کیلوگرم)]]&gt;0,Main[[#This Row],[مقدار (کیلوگرم)]],0)</f>
        <v>4512</v>
      </c>
      <c r="K1194" s="6">
        <f>-IF(Main[[#This Row],[مقدار (کیلوگرم)]]&lt;0,Main[[#This Row],[مقدار (کیلوگرم)]],0)</f>
        <v>0</v>
      </c>
      <c r="L11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4" s="7">
        <f>-IF(AND(Main[[#This Row],[مقدار (کیلوگرم)]]&lt;0,Main[[#This Row],[تاريخ میلادی]]&gt;44276),Main[[#This Row],[مقدار (کیلوگرم)]],0)</f>
        <v>0</v>
      </c>
      <c r="N1194" s="6">
        <f ca="1">Main[[#This Row],[بدهکار (کیلوگرم)]]-Main[[#This Row],[بدهی تسویه نشده (کیلوگرم)]]</f>
        <v>0</v>
      </c>
      <c r="O1194" s="6">
        <f ca="1">Main[[#This Row],[تفکیک]]</f>
        <v>0</v>
      </c>
      <c r="P1194" s="6">
        <f ca="1">IF(Main[[#This Row],[تاخیر از سررسید]]&gt;0,Main[[#This Row],[بدهی تسویه نشده (کیلوگرم)]],0)</f>
        <v>0</v>
      </c>
      <c r="Q1194" s="6">
        <f ca="1">IF(Main[[#This Row],[بدهی تسویه نشده (کیلوگرم)]]&gt;0,'گزارش فردی'!$B$7-Main[[#This Row],[تاريخ میلادی]],0)</f>
        <v>0</v>
      </c>
      <c r="R1194" s="6">
        <f ca="1">IF(Main[[#This Row],[بدهی تسویه نشده (کیلوگرم)]]&gt;0,'گزارش فردی'!$B$7-Main[[#This Row],[تاريخ میلادی]]-'گزارش فردی'!$B$8,0)</f>
        <v>0</v>
      </c>
      <c r="S1194" s="6">
        <f ca="1">Main[[#This Row],[روز از ارسال سفارش]]*Main[[#This Row],[بدهی تسویه نشده (کیلوگرم)]]</f>
        <v>0</v>
      </c>
      <c r="T1194" s="6">
        <f ca="1">Main[[#This Row],[بدهی سررسید شده (کیلوگرم)]]*Main[[#This Row],[روز از ارسال سفارش]]</f>
        <v>0</v>
      </c>
      <c r="U1194" s="6">
        <f>-SUBTOTAL(9,INDEX(Main[مقدار (کیلوگرم)],1):Main[[#This Row],[مقدار (کیلوگرم)]])</f>
        <v>36784</v>
      </c>
      <c r="V11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4" s="6">
        <f>Main[[#This Row],[تعداد کل روزهای بدهکار (روز)]]*Main[[#This Row],[مانده در خط کل (کیلوگرم)]]</f>
        <v>36784</v>
      </c>
      <c r="X1194" s="6">
        <f ca="1">-SUBTOTAL(9,INDEX(Main[مقدار تسویه شده (کیلوگرم)],1):Main[[#This Row],[مقدار تسویه شده (کیلوگرم)]])</f>
        <v>36784</v>
      </c>
      <c r="Y1194" s="6">
        <f ca="1">IF(Main[[#This Row],[مانده در خط تسویه شده (کیلوگرم)]]&lt;&gt;0,Main[[#This Row],[تعداد کل روزهای بدهکار (روز)]],0)</f>
        <v>1</v>
      </c>
      <c r="Z1194" s="6">
        <f ca="1">Main[[#This Row],[تعداد روزهای بدهکار تسویه شده (روز)]]*Main[[#This Row],[مانده در خط تسویه شده (کیلوگرم)]]</f>
        <v>36784</v>
      </c>
      <c r="AA1194" s="6">
        <f ca="1">SUBTOTAL(9,INDEX(Main[بدهی تسویه نشده (کیلوگرم)],1):Main[[#This Row],[بدهی تسویه نشده (کیلوگرم)]])</f>
        <v>0</v>
      </c>
      <c r="AB1194" s="6">
        <f ca="1">IF(Main[[#This Row],[مانده در خط تسویه نشده (کیلوگرم)]]&lt;&gt;0,Main[[#This Row],[تعداد کل روزهای بدهکار (روز)]],0)</f>
        <v>0</v>
      </c>
      <c r="AC1194" s="6">
        <f ca="1">Main[[#This Row],[تعداد روزهای بدهکار  تسویه نشده (روز)]]*Main[[#This Row],[مانده در خط تسویه نشده (کیلوگرم)]]</f>
        <v>0</v>
      </c>
      <c r="AD1194" s="6">
        <f ca="1">SUBTOTAL(9,INDEX(Main[بدهی سررسید شده (کیلوگرم)],1):Main[[#This Row],[بدهی سررسید شده (کیلوگرم)]])</f>
        <v>0</v>
      </c>
      <c r="AE1194" s="6">
        <f ca="1">IF(Main[[#This Row],[مانده در خط سررسید شده (کیلوگرم)]]&lt;&gt;0,Main[[#This Row],[تعداد کل روزهای بدهکار (روز)]],0)</f>
        <v>0</v>
      </c>
      <c r="AF1194" s="6">
        <f ca="1">Main[[#This Row],[تعداد روزهای بدهکار سررسید شده (روز)]]*Main[[#This Row],[مانده در خط سررسید شده (کیلوگرم)]]</f>
        <v>0</v>
      </c>
    </row>
    <row r="1195" spans="1:32" hidden="1" x14ac:dyDescent="0.35">
      <c r="A1195" s="5">
        <f>ROW()-ROW(INDEX(Main[ردیف],1))+1</f>
        <v>1193</v>
      </c>
      <c r="B1195" s="31">
        <f>SUBTOTAL(2,INDEX(Main[ردیف],1):Main[[#This Row],[ردیف]])</f>
        <v>109</v>
      </c>
      <c r="C1195" s="32" t="s">
        <v>630</v>
      </c>
      <c r="D1195" s="32" t="str">
        <f>_xlfn.CONCAT("14",Main[[#This Row],[تاريخ]])</f>
        <v>1400/05/05</v>
      </c>
      <c r="E1195" s="33">
        <v>44404</v>
      </c>
      <c r="F1195" s="32">
        <v>30099</v>
      </c>
      <c r="G1195" s="5" t="str">
        <f>INDEX(customer[عنوان],MATCH(Main[[#This Row],[کد ردیابی]],customer[کد],0))</f>
        <v>ایران شرق نیشابور</v>
      </c>
      <c r="H1195">
        <v>-2013</v>
      </c>
      <c r="I1195" s="6">
        <f ca="1">-Main[[#This Row],[بدهی تسویه شده (کیلوگرم)]]+Main[[#This Row],[بستانکار (کیلوگرم)]]</f>
        <v>-2013</v>
      </c>
      <c r="J1195" s="6">
        <f>IF(Main[[#This Row],[مقدار (کیلوگرم)]]&gt;0,Main[[#This Row],[مقدار (کیلوگرم)]],0)</f>
        <v>0</v>
      </c>
      <c r="K1195" s="6">
        <f>-IF(Main[[#This Row],[مقدار (کیلوگرم)]]&lt;0,Main[[#This Row],[مقدار (کیلوگرم)]],0)</f>
        <v>2013</v>
      </c>
      <c r="L11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5" s="7">
        <f>-IF(AND(Main[[#This Row],[مقدار (کیلوگرم)]]&lt;0,Main[[#This Row],[تاريخ میلادی]]&gt;44276),Main[[#This Row],[مقدار (کیلوگرم)]],0)</f>
        <v>2013</v>
      </c>
      <c r="N1195" s="6">
        <f ca="1">Main[[#This Row],[بدهکار (کیلوگرم)]]-Main[[#This Row],[بدهی تسویه نشده (کیلوگرم)]]</f>
        <v>2013</v>
      </c>
      <c r="O1195" s="6">
        <f ca="1">Main[[#This Row],[تفکیک]]</f>
        <v>0</v>
      </c>
      <c r="P1195" s="6">
        <f ca="1">IF(Main[[#This Row],[تاخیر از سررسید]]&gt;0,Main[[#This Row],[بدهی تسویه نشده (کیلوگرم)]],0)</f>
        <v>0</v>
      </c>
      <c r="Q1195" s="6">
        <f ca="1">IF(Main[[#This Row],[بدهی تسویه نشده (کیلوگرم)]]&gt;0,'گزارش فردی'!$B$7-Main[[#This Row],[تاريخ میلادی]],0)</f>
        <v>0</v>
      </c>
      <c r="R1195" s="6">
        <f ca="1">IF(Main[[#This Row],[بدهی تسویه نشده (کیلوگرم)]]&gt;0,'گزارش فردی'!$B$7-Main[[#This Row],[تاريخ میلادی]]-'گزارش فردی'!$B$8,0)</f>
        <v>0</v>
      </c>
      <c r="S1195" s="6">
        <f ca="1">Main[[#This Row],[روز از ارسال سفارش]]*Main[[#This Row],[بدهی تسویه نشده (کیلوگرم)]]</f>
        <v>0</v>
      </c>
      <c r="T1195" s="6">
        <f ca="1">Main[[#This Row],[بدهی سررسید شده (کیلوگرم)]]*Main[[#This Row],[روز از ارسال سفارش]]</f>
        <v>0</v>
      </c>
      <c r="U1195" s="6">
        <f>-SUBTOTAL(9,INDEX(Main[مقدار (کیلوگرم)],1):Main[[#This Row],[مقدار (کیلوگرم)]])</f>
        <v>36784</v>
      </c>
      <c r="V11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5" s="6">
        <f>Main[[#This Row],[تعداد کل روزهای بدهکار (روز)]]*Main[[#This Row],[مانده در خط کل (کیلوگرم)]]</f>
        <v>36784</v>
      </c>
      <c r="X1195" s="6">
        <f ca="1">-SUBTOTAL(9,INDEX(Main[مقدار تسویه شده (کیلوگرم)],1):Main[[#This Row],[مقدار تسویه شده (کیلوگرم)]])</f>
        <v>36784</v>
      </c>
      <c r="Y1195" s="6">
        <f ca="1">IF(Main[[#This Row],[مانده در خط تسویه شده (کیلوگرم)]]&lt;&gt;0,Main[[#This Row],[تعداد کل روزهای بدهکار (روز)]],0)</f>
        <v>1</v>
      </c>
      <c r="Z1195" s="6">
        <f ca="1">Main[[#This Row],[تعداد روزهای بدهکار تسویه شده (روز)]]*Main[[#This Row],[مانده در خط تسویه شده (کیلوگرم)]]</f>
        <v>36784</v>
      </c>
      <c r="AA1195" s="6">
        <f ca="1">SUBTOTAL(9,INDEX(Main[بدهی تسویه نشده (کیلوگرم)],1):Main[[#This Row],[بدهی تسویه نشده (کیلوگرم)]])</f>
        <v>0</v>
      </c>
      <c r="AB1195" s="6">
        <f ca="1">IF(Main[[#This Row],[مانده در خط تسویه نشده (کیلوگرم)]]&lt;&gt;0,Main[[#This Row],[تعداد کل روزهای بدهکار (روز)]],0)</f>
        <v>0</v>
      </c>
      <c r="AC1195" s="6">
        <f ca="1">Main[[#This Row],[تعداد روزهای بدهکار  تسویه نشده (روز)]]*Main[[#This Row],[مانده در خط تسویه نشده (کیلوگرم)]]</f>
        <v>0</v>
      </c>
      <c r="AD1195" s="6">
        <f ca="1">SUBTOTAL(9,INDEX(Main[بدهی سررسید شده (کیلوگرم)],1):Main[[#This Row],[بدهی سررسید شده (کیلوگرم)]])</f>
        <v>0</v>
      </c>
      <c r="AE1195" s="6">
        <f ca="1">IF(Main[[#This Row],[مانده در خط سررسید شده (کیلوگرم)]]&lt;&gt;0,Main[[#This Row],[تعداد کل روزهای بدهکار (روز)]],0)</f>
        <v>0</v>
      </c>
      <c r="AF1195" s="6">
        <f ca="1">Main[[#This Row],[تعداد روزهای بدهکار سررسید شده (روز)]]*Main[[#This Row],[مانده در خط سررسید شده (کیلوگرم)]]</f>
        <v>0</v>
      </c>
    </row>
    <row r="1196" spans="1:32" hidden="1" x14ac:dyDescent="0.35">
      <c r="A1196" s="5">
        <f>ROW()-ROW(INDEX(Main[ردیف],1))+1</f>
        <v>1194</v>
      </c>
      <c r="B1196" s="31">
        <f>SUBTOTAL(2,INDEX(Main[ردیف],1):Main[[#This Row],[ردیف]])</f>
        <v>109</v>
      </c>
      <c r="C1196" s="32" t="s">
        <v>630</v>
      </c>
      <c r="D1196" s="32" t="str">
        <f>_xlfn.CONCAT("14",Main[[#This Row],[تاريخ]])</f>
        <v>1400/05/05</v>
      </c>
      <c r="E1196" s="33">
        <v>44404</v>
      </c>
      <c r="F1196" s="32">
        <v>30022</v>
      </c>
      <c r="G1196" s="5" t="str">
        <f>INDEX(customer[عنوان],MATCH(Main[[#This Row],[کد ردیابی]],customer[کد],0))</f>
        <v xml:space="preserve">کلار پویا </v>
      </c>
      <c r="H1196">
        <v>-4996</v>
      </c>
      <c r="I1196" s="6">
        <f ca="1">-Main[[#This Row],[بدهی تسویه شده (کیلوگرم)]]+Main[[#This Row],[بستانکار (کیلوگرم)]]</f>
        <v>-4996</v>
      </c>
      <c r="J1196" s="6">
        <f>IF(Main[[#This Row],[مقدار (کیلوگرم)]]&gt;0,Main[[#This Row],[مقدار (کیلوگرم)]],0)</f>
        <v>0</v>
      </c>
      <c r="K1196" s="6">
        <f>-IF(Main[[#This Row],[مقدار (کیلوگرم)]]&lt;0,Main[[#This Row],[مقدار (کیلوگرم)]],0)</f>
        <v>4996</v>
      </c>
      <c r="L11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6" s="7">
        <f>-IF(AND(Main[[#This Row],[مقدار (کیلوگرم)]]&lt;0,Main[[#This Row],[تاريخ میلادی]]&gt;44276),Main[[#This Row],[مقدار (کیلوگرم)]],0)</f>
        <v>4996</v>
      </c>
      <c r="N1196" s="6">
        <f ca="1">Main[[#This Row],[بدهکار (کیلوگرم)]]-Main[[#This Row],[بدهی تسویه نشده (کیلوگرم)]]</f>
        <v>4996</v>
      </c>
      <c r="O1196" s="6">
        <f ca="1">Main[[#This Row],[تفکیک]]</f>
        <v>0</v>
      </c>
      <c r="P1196" s="6">
        <f ca="1">IF(Main[[#This Row],[تاخیر از سررسید]]&gt;0,Main[[#This Row],[بدهی تسویه نشده (کیلوگرم)]],0)</f>
        <v>0</v>
      </c>
      <c r="Q1196" s="6">
        <f ca="1">IF(Main[[#This Row],[بدهی تسویه نشده (کیلوگرم)]]&gt;0,'گزارش فردی'!$B$7-Main[[#This Row],[تاريخ میلادی]],0)</f>
        <v>0</v>
      </c>
      <c r="R1196" s="6">
        <f ca="1">IF(Main[[#This Row],[بدهی تسویه نشده (کیلوگرم)]]&gt;0,'گزارش فردی'!$B$7-Main[[#This Row],[تاريخ میلادی]]-'گزارش فردی'!$B$8,0)</f>
        <v>0</v>
      </c>
      <c r="S1196" s="6">
        <f ca="1">Main[[#This Row],[روز از ارسال سفارش]]*Main[[#This Row],[بدهی تسویه نشده (کیلوگرم)]]</f>
        <v>0</v>
      </c>
      <c r="T1196" s="6">
        <f ca="1">Main[[#This Row],[بدهی سررسید شده (کیلوگرم)]]*Main[[#This Row],[روز از ارسال سفارش]]</f>
        <v>0</v>
      </c>
      <c r="U1196" s="6">
        <f>-SUBTOTAL(9,INDEX(Main[مقدار (کیلوگرم)],1):Main[[#This Row],[مقدار (کیلوگرم)]])</f>
        <v>36784</v>
      </c>
      <c r="V11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6" s="6">
        <f>Main[[#This Row],[تعداد کل روزهای بدهکار (روز)]]*Main[[#This Row],[مانده در خط کل (کیلوگرم)]]</f>
        <v>36784</v>
      </c>
      <c r="X1196" s="6">
        <f ca="1">-SUBTOTAL(9,INDEX(Main[مقدار تسویه شده (کیلوگرم)],1):Main[[#This Row],[مقدار تسویه شده (کیلوگرم)]])</f>
        <v>36784</v>
      </c>
      <c r="Y1196" s="6">
        <f ca="1">IF(Main[[#This Row],[مانده در خط تسویه شده (کیلوگرم)]]&lt;&gt;0,Main[[#This Row],[تعداد کل روزهای بدهکار (روز)]],0)</f>
        <v>1</v>
      </c>
      <c r="Z1196" s="6">
        <f ca="1">Main[[#This Row],[تعداد روزهای بدهکار تسویه شده (روز)]]*Main[[#This Row],[مانده در خط تسویه شده (کیلوگرم)]]</f>
        <v>36784</v>
      </c>
      <c r="AA1196" s="6">
        <f ca="1">SUBTOTAL(9,INDEX(Main[بدهی تسویه نشده (کیلوگرم)],1):Main[[#This Row],[بدهی تسویه نشده (کیلوگرم)]])</f>
        <v>0</v>
      </c>
      <c r="AB1196" s="6">
        <f ca="1">IF(Main[[#This Row],[مانده در خط تسویه نشده (کیلوگرم)]]&lt;&gt;0,Main[[#This Row],[تعداد کل روزهای بدهکار (روز)]],0)</f>
        <v>0</v>
      </c>
      <c r="AC1196" s="6">
        <f ca="1">Main[[#This Row],[تعداد روزهای بدهکار  تسویه نشده (روز)]]*Main[[#This Row],[مانده در خط تسویه نشده (کیلوگرم)]]</f>
        <v>0</v>
      </c>
      <c r="AD1196" s="6">
        <f ca="1">SUBTOTAL(9,INDEX(Main[بدهی سررسید شده (کیلوگرم)],1):Main[[#This Row],[بدهی سررسید شده (کیلوگرم)]])</f>
        <v>0</v>
      </c>
      <c r="AE1196" s="6">
        <f ca="1">IF(Main[[#This Row],[مانده در خط سررسید شده (کیلوگرم)]]&lt;&gt;0,Main[[#This Row],[تعداد کل روزهای بدهکار (روز)]],0)</f>
        <v>0</v>
      </c>
      <c r="AF1196" s="6">
        <f ca="1">Main[[#This Row],[تعداد روزهای بدهکار سررسید شده (روز)]]*Main[[#This Row],[مانده در خط سررسید شده (کیلوگرم)]]</f>
        <v>0</v>
      </c>
    </row>
    <row r="1197" spans="1:32" hidden="1" x14ac:dyDescent="0.35">
      <c r="A1197" s="5">
        <f>ROW()-ROW(INDEX(Main[ردیف],1))+1</f>
        <v>1195</v>
      </c>
      <c r="B1197" s="31">
        <f>SUBTOTAL(2,INDEX(Main[ردیف],1):Main[[#This Row],[ردیف]])</f>
        <v>109</v>
      </c>
      <c r="C1197" s="32" t="s">
        <v>630</v>
      </c>
      <c r="D1197" s="32" t="str">
        <f>_xlfn.CONCAT("14",Main[[#This Row],[تاريخ]])</f>
        <v>1400/05/05</v>
      </c>
      <c r="E1197" s="33">
        <v>44404</v>
      </c>
      <c r="F1197" s="32">
        <v>10055</v>
      </c>
      <c r="G1197" s="5" t="str">
        <f>INDEX(customer[عنوان],MATCH(Main[[#This Row],[کد ردیابی]],customer[کد],0))</f>
        <v xml:space="preserve">مریم فیض آبادی  </v>
      </c>
      <c r="H1197">
        <v>-4938</v>
      </c>
      <c r="I1197" s="6">
        <f ca="1">-Main[[#This Row],[بدهی تسویه شده (کیلوگرم)]]+Main[[#This Row],[بستانکار (کیلوگرم)]]</f>
        <v>-4938</v>
      </c>
      <c r="J1197" s="6">
        <f>IF(Main[[#This Row],[مقدار (کیلوگرم)]]&gt;0,Main[[#This Row],[مقدار (کیلوگرم)]],0)</f>
        <v>0</v>
      </c>
      <c r="K1197" s="6">
        <f>-IF(Main[[#This Row],[مقدار (کیلوگرم)]]&lt;0,Main[[#This Row],[مقدار (کیلوگرم)]],0)</f>
        <v>4938</v>
      </c>
      <c r="L11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7" s="7">
        <f>-IF(AND(Main[[#This Row],[مقدار (کیلوگرم)]]&lt;0,Main[[#This Row],[تاريخ میلادی]]&gt;44276),Main[[#This Row],[مقدار (کیلوگرم)]],0)</f>
        <v>4938</v>
      </c>
      <c r="N1197" s="6">
        <f ca="1">Main[[#This Row],[بدهکار (کیلوگرم)]]-Main[[#This Row],[بدهی تسویه نشده (کیلوگرم)]]</f>
        <v>4938</v>
      </c>
      <c r="O1197" s="6">
        <f ca="1">Main[[#This Row],[تفکیک]]</f>
        <v>0</v>
      </c>
      <c r="P1197" s="6">
        <f ca="1">IF(Main[[#This Row],[تاخیر از سررسید]]&gt;0,Main[[#This Row],[بدهی تسویه نشده (کیلوگرم)]],0)</f>
        <v>0</v>
      </c>
      <c r="Q1197" s="6">
        <f ca="1">IF(Main[[#This Row],[بدهی تسویه نشده (کیلوگرم)]]&gt;0,'گزارش فردی'!$B$7-Main[[#This Row],[تاريخ میلادی]],0)</f>
        <v>0</v>
      </c>
      <c r="R1197" s="6">
        <f ca="1">IF(Main[[#This Row],[بدهی تسویه نشده (کیلوگرم)]]&gt;0,'گزارش فردی'!$B$7-Main[[#This Row],[تاريخ میلادی]]-'گزارش فردی'!$B$8,0)</f>
        <v>0</v>
      </c>
      <c r="S1197" s="6">
        <f ca="1">Main[[#This Row],[روز از ارسال سفارش]]*Main[[#This Row],[بدهی تسویه نشده (کیلوگرم)]]</f>
        <v>0</v>
      </c>
      <c r="T1197" s="6">
        <f ca="1">Main[[#This Row],[بدهی سررسید شده (کیلوگرم)]]*Main[[#This Row],[روز از ارسال سفارش]]</f>
        <v>0</v>
      </c>
      <c r="U1197" s="6">
        <f>-SUBTOTAL(9,INDEX(Main[مقدار (کیلوگرم)],1):Main[[#This Row],[مقدار (کیلوگرم)]])</f>
        <v>36784</v>
      </c>
      <c r="V11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7" s="6">
        <f>Main[[#This Row],[تعداد کل روزهای بدهکار (روز)]]*Main[[#This Row],[مانده در خط کل (کیلوگرم)]]</f>
        <v>36784</v>
      </c>
      <c r="X1197" s="6">
        <f ca="1">-SUBTOTAL(9,INDEX(Main[مقدار تسویه شده (کیلوگرم)],1):Main[[#This Row],[مقدار تسویه شده (کیلوگرم)]])</f>
        <v>36784</v>
      </c>
      <c r="Y1197" s="6">
        <f ca="1">IF(Main[[#This Row],[مانده در خط تسویه شده (کیلوگرم)]]&lt;&gt;0,Main[[#This Row],[تعداد کل روزهای بدهکار (روز)]],0)</f>
        <v>1</v>
      </c>
      <c r="Z1197" s="6">
        <f ca="1">Main[[#This Row],[تعداد روزهای بدهکار تسویه شده (روز)]]*Main[[#This Row],[مانده در خط تسویه شده (کیلوگرم)]]</f>
        <v>36784</v>
      </c>
      <c r="AA1197" s="6">
        <f ca="1">SUBTOTAL(9,INDEX(Main[بدهی تسویه نشده (کیلوگرم)],1):Main[[#This Row],[بدهی تسویه نشده (کیلوگرم)]])</f>
        <v>0</v>
      </c>
      <c r="AB1197" s="6">
        <f ca="1">IF(Main[[#This Row],[مانده در خط تسویه نشده (کیلوگرم)]]&lt;&gt;0,Main[[#This Row],[تعداد کل روزهای بدهکار (روز)]],0)</f>
        <v>0</v>
      </c>
      <c r="AC1197" s="6">
        <f ca="1">Main[[#This Row],[تعداد روزهای بدهکار  تسویه نشده (روز)]]*Main[[#This Row],[مانده در خط تسویه نشده (کیلوگرم)]]</f>
        <v>0</v>
      </c>
      <c r="AD1197" s="6">
        <f ca="1">SUBTOTAL(9,INDEX(Main[بدهی سررسید شده (کیلوگرم)],1):Main[[#This Row],[بدهی سررسید شده (کیلوگرم)]])</f>
        <v>0</v>
      </c>
      <c r="AE1197" s="6">
        <f ca="1">IF(Main[[#This Row],[مانده در خط سررسید شده (کیلوگرم)]]&lt;&gt;0,Main[[#This Row],[تعداد کل روزهای بدهکار (روز)]],0)</f>
        <v>0</v>
      </c>
      <c r="AF1197" s="6">
        <f ca="1">Main[[#This Row],[تعداد روزهای بدهکار سررسید شده (روز)]]*Main[[#This Row],[مانده در خط سررسید شده (کیلوگرم)]]</f>
        <v>0</v>
      </c>
    </row>
    <row r="1198" spans="1:32" hidden="1" x14ac:dyDescent="0.35">
      <c r="A1198" s="5">
        <f>ROW()-ROW(INDEX(Main[ردیف],1))+1</f>
        <v>1196</v>
      </c>
      <c r="B1198" s="31">
        <f>SUBTOTAL(2,INDEX(Main[ردیف],1):Main[[#This Row],[ردیف]])</f>
        <v>109</v>
      </c>
      <c r="C1198" s="32" t="s">
        <v>630</v>
      </c>
      <c r="D1198" s="32" t="str">
        <f>_xlfn.CONCAT("14",Main[[#This Row],[تاريخ]])</f>
        <v>1400/05/05</v>
      </c>
      <c r="E1198" s="33">
        <v>44404</v>
      </c>
      <c r="F1198" s="32">
        <v>30009</v>
      </c>
      <c r="G1198" s="5" t="str">
        <f>INDEX(customer[عنوان],MATCH(Main[[#This Row],[کد ردیابی]],customer[کد],0))</f>
        <v>شرکت ایمن تک پیشرو</v>
      </c>
      <c r="H1198">
        <v>-3926</v>
      </c>
      <c r="I1198" s="6">
        <f ca="1">-Main[[#This Row],[بدهی تسویه شده (کیلوگرم)]]+Main[[#This Row],[بستانکار (کیلوگرم)]]</f>
        <v>-3926</v>
      </c>
      <c r="J1198" s="6">
        <f>IF(Main[[#This Row],[مقدار (کیلوگرم)]]&gt;0,Main[[#This Row],[مقدار (کیلوگرم)]],0)</f>
        <v>0</v>
      </c>
      <c r="K1198" s="6">
        <f>-IF(Main[[#This Row],[مقدار (کیلوگرم)]]&lt;0,Main[[#This Row],[مقدار (کیلوگرم)]],0)</f>
        <v>3926</v>
      </c>
      <c r="L11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8" s="7">
        <f>-IF(AND(Main[[#This Row],[مقدار (کیلوگرم)]]&lt;0,Main[[#This Row],[تاريخ میلادی]]&gt;44276),Main[[#This Row],[مقدار (کیلوگرم)]],0)</f>
        <v>3926</v>
      </c>
      <c r="N1198" s="6">
        <f ca="1">Main[[#This Row],[بدهکار (کیلوگرم)]]-Main[[#This Row],[بدهی تسویه نشده (کیلوگرم)]]</f>
        <v>3926</v>
      </c>
      <c r="O1198" s="6">
        <f ca="1">Main[[#This Row],[تفکیک]]</f>
        <v>0</v>
      </c>
      <c r="P1198" s="6">
        <f ca="1">IF(Main[[#This Row],[تاخیر از سررسید]]&gt;0,Main[[#This Row],[بدهی تسویه نشده (کیلوگرم)]],0)</f>
        <v>0</v>
      </c>
      <c r="Q1198" s="6">
        <f ca="1">IF(Main[[#This Row],[بدهی تسویه نشده (کیلوگرم)]]&gt;0,'گزارش فردی'!$B$7-Main[[#This Row],[تاريخ میلادی]],0)</f>
        <v>0</v>
      </c>
      <c r="R1198" s="6">
        <f ca="1">IF(Main[[#This Row],[بدهی تسویه نشده (کیلوگرم)]]&gt;0,'گزارش فردی'!$B$7-Main[[#This Row],[تاريخ میلادی]]-'گزارش فردی'!$B$8,0)</f>
        <v>0</v>
      </c>
      <c r="S1198" s="6">
        <f ca="1">Main[[#This Row],[روز از ارسال سفارش]]*Main[[#This Row],[بدهی تسویه نشده (کیلوگرم)]]</f>
        <v>0</v>
      </c>
      <c r="T1198" s="6">
        <f ca="1">Main[[#This Row],[بدهی سررسید شده (کیلوگرم)]]*Main[[#This Row],[روز از ارسال سفارش]]</f>
        <v>0</v>
      </c>
      <c r="U1198" s="6">
        <f>-SUBTOTAL(9,INDEX(Main[مقدار (کیلوگرم)],1):Main[[#This Row],[مقدار (کیلوگرم)]])</f>
        <v>36784</v>
      </c>
      <c r="V11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8" s="6">
        <f>Main[[#This Row],[تعداد کل روزهای بدهکار (روز)]]*Main[[#This Row],[مانده در خط کل (کیلوگرم)]]</f>
        <v>36784</v>
      </c>
      <c r="X1198" s="6">
        <f ca="1">-SUBTOTAL(9,INDEX(Main[مقدار تسویه شده (کیلوگرم)],1):Main[[#This Row],[مقدار تسویه شده (کیلوگرم)]])</f>
        <v>36784</v>
      </c>
      <c r="Y1198" s="6">
        <f ca="1">IF(Main[[#This Row],[مانده در خط تسویه شده (کیلوگرم)]]&lt;&gt;0,Main[[#This Row],[تعداد کل روزهای بدهکار (روز)]],0)</f>
        <v>1</v>
      </c>
      <c r="Z1198" s="6">
        <f ca="1">Main[[#This Row],[تعداد روزهای بدهکار تسویه شده (روز)]]*Main[[#This Row],[مانده در خط تسویه شده (کیلوگرم)]]</f>
        <v>36784</v>
      </c>
      <c r="AA1198" s="6">
        <f ca="1">SUBTOTAL(9,INDEX(Main[بدهی تسویه نشده (کیلوگرم)],1):Main[[#This Row],[بدهی تسویه نشده (کیلوگرم)]])</f>
        <v>0</v>
      </c>
      <c r="AB1198" s="6">
        <f ca="1">IF(Main[[#This Row],[مانده در خط تسویه نشده (کیلوگرم)]]&lt;&gt;0,Main[[#This Row],[تعداد کل روزهای بدهکار (روز)]],0)</f>
        <v>0</v>
      </c>
      <c r="AC1198" s="6">
        <f ca="1">Main[[#This Row],[تعداد روزهای بدهکار  تسویه نشده (روز)]]*Main[[#This Row],[مانده در خط تسویه نشده (کیلوگرم)]]</f>
        <v>0</v>
      </c>
      <c r="AD1198" s="6">
        <f ca="1">SUBTOTAL(9,INDEX(Main[بدهی سررسید شده (کیلوگرم)],1):Main[[#This Row],[بدهی سررسید شده (کیلوگرم)]])</f>
        <v>0</v>
      </c>
      <c r="AE1198" s="6">
        <f ca="1">IF(Main[[#This Row],[مانده در خط سررسید شده (کیلوگرم)]]&lt;&gt;0,Main[[#This Row],[تعداد کل روزهای بدهکار (روز)]],0)</f>
        <v>0</v>
      </c>
      <c r="AF1198" s="6">
        <f ca="1">Main[[#This Row],[تعداد روزهای بدهکار سررسید شده (روز)]]*Main[[#This Row],[مانده در خط سررسید شده (کیلوگرم)]]</f>
        <v>0</v>
      </c>
    </row>
    <row r="1199" spans="1:32" hidden="1" x14ac:dyDescent="0.35">
      <c r="A1199" s="5">
        <f>ROW()-ROW(INDEX(Main[ردیف],1))+1</f>
        <v>1197</v>
      </c>
      <c r="B1199" s="31">
        <f>SUBTOTAL(2,INDEX(Main[ردیف],1):Main[[#This Row],[ردیف]])</f>
        <v>109</v>
      </c>
      <c r="C1199" s="32" t="s">
        <v>630</v>
      </c>
      <c r="D1199" s="32" t="str">
        <f>_xlfn.CONCAT("14",Main[[#This Row],[تاريخ]])</f>
        <v>1400/05/05</v>
      </c>
      <c r="E1199" s="33">
        <v>44404</v>
      </c>
      <c r="F1199" s="32">
        <v>30013</v>
      </c>
      <c r="G1199" s="5" t="str">
        <f>INDEX(customer[عنوان],MATCH(Main[[#This Row],[کد ردیابی]],customer[کد],0))</f>
        <v xml:space="preserve">پارا صنعت </v>
      </c>
      <c r="H1199">
        <v>-866</v>
      </c>
      <c r="I1199" s="6">
        <f ca="1">-Main[[#This Row],[بدهی تسویه شده (کیلوگرم)]]+Main[[#This Row],[بستانکار (کیلوگرم)]]</f>
        <v>-866</v>
      </c>
      <c r="J1199" s="6">
        <f>IF(Main[[#This Row],[مقدار (کیلوگرم)]]&gt;0,Main[[#This Row],[مقدار (کیلوگرم)]],0)</f>
        <v>0</v>
      </c>
      <c r="K1199" s="6">
        <f>-IF(Main[[#This Row],[مقدار (کیلوگرم)]]&lt;0,Main[[#This Row],[مقدار (کیلوگرم)]],0)</f>
        <v>866</v>
      </c>
      <c r="L11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9" s="7">
        <f>-IF(AND(Main[[#This Row],[مقدار (کیلوگرم)]]&lt;0,Main[[#This Row],[تاريخ میلادی]]&gt;44276),Main[[#This Row],[مقدار (کیلوگرم)]],0)</f>
        <v>866</v>
      </c>
      <c r="N1199" s="6">
        <f ca="1">Main[[#This Row],[بدهکار (کیلوگرم)]]-Main[[#This Row],[بدهی تسویه نشده (کیلوگرم)]]</f>
        <v>866</v>
      </c>
      <c r="O1199" s="6">
        <f ca="1">Main[[#This Row],[تفکیک]]</f>
        <v>0</v>
      </c>
      <c r="P1199" s="6">
        <f ca="1">IF(Main[[#This Row],[تاخیر از سررسید]]&gt;0,Main[[#This Row],[بدهی تسویه نشده (کیلوگرم)]],0)</f>
        <v>0</v>
      </c>
      <c r="Q1199" s="6">
        <f ca="1">IF(Main[[#This Row],[بدهی تسویه نشده (کیلوگرم)]]&gt;0,'گزارش فردی'!$B$7-Main[[#This Row],[تاريخ میلادی]],0)</f>
        <v>0</v>
      </c>
      <c r="R1199" s="6">
        <f ca="1">IF(Main[[#This Row],[بدهی تسویه نشده (کیلوگرم)]]&gt;0,'گزارش فردی'!$B$7-Main[[#This Row],[تاريخ میلادی]]-'گزارش فردی'!$B$8,0)</f>
        <v>0</v>
      </c>
      <c r="S1199" s="6">
        <f ca="1">Main[[#This Row],[روز از ارسال سفارش]]*Main[[#This Row],[بدهی تسویه نشده (کیلوگرم)]]</f>
        <v>0</v>
      </c>
      <c r="T1199" s="6">
        <f ca="1">Main[[#This Row],[بدهی سررسید شده (کیلوگرم)]]*Main[[#This Row],[روز از ارسال سفارش]]</f>
        <v>0</v>
      </c>
      <c r="U1199" s="6">
        <f>-SUBTOTAL(9,INDEX(Main[مقدار (کیلوگرم)],1):Main[[#This Row],[مقدار (کیلوگرم)]])</f>
        <v>36784</v>
      </c>
      <c r="V11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9" s="6">
        <f>Main[[#This Row],[تعداد کل روزهای بدهکار (روز)]]*Main[[#This Row],[مانده در خط کل (کیلوگرم)]]</f>
        <v>36784</v>
      </c>
      <c r="X1199" s="6">
        <f ca="1">-SUBTOTAL(9,INDEX(Main[مقدار تسویه شده (کیلوگرم)],1):Main[[#This Row],[مقدار تسویه شده (کیلوگرم)]])</f>
        <v>36784</v>
      </c>
      <c r="Y1199" s="6">
        <f ca="1">IF(Main[[#This Row],[مانده در خط تسویه شده (کیلوگرم)]]&lt;&gt;0,Main[[#This Row],[تعداد کل روزهای بدهکار (روز)]],0)</f>
        <v>1</v>
      </c>
      <c r="Z1199" s="6">
        <f ca="1">Main[[#This Row],[تعداد روزهای بدهکار تسویه شده (روز)]]*Main[[#This Row],[مانده در خط تسویه شده (کیلوگرم)]]</f>
        <v>36784</v>
      </c>
      <c r="AA1199" s="6">
        <f ca="1">SUBTOTAL(9,INDEX(Main[بدهی تسویه نشده (کیلوگرم)],1):Main[[#This Row],[بدهی تسویه نشده (کیلوگرم)]])</f>
        <v>0</v>
      </c>
      <c r="AB1199" s="6">
        <f ca="1">IF(Main[[#This Row],[مانده در خط تسویه نشده (کیلوگرم)]]&lt;&gt;0,Main[[#This Row],[تعداد کل روزهای بدهکار (روز)]],0)</f>
        <v>0</v>
      </c>
      <c r="AC1199" s="6">
        <f ca="1">Main[[#This Row],[تعداد روزهای بدهکار  تسویه نشده (روز)]]*Main[[#This Row],[مانده در خط تسویه نشده (کیلوگرم)]]</f>
        <v>0</v>
      </c>
      <c r="AD1199" s="6">
        <f ca="1">SUBTOTAL(9,INDEX(Main[بدهی سررسید شده (کیلوگرم)],1):Main[[#This Row],[بدهی سررسید شده (کیلوگرم)]])</f>
        <v>0</v>
      </c>
      <c r="AE1199" s="6">
        <f ca="1">IF(Main[[#This Row],[مانده در خط سررسید شده (کیلوگرم)]]&lt;&gt;0,Main[[#This Row],[تعداد کل روزهای بدهکار (روز)]],0)</f>
        <v>0</v>
      </c>
      <c r="AF1199" s="6">
        <f ca="1">Main[[#This Row],[تعداد روزهای بدهکار سررسید شده (روز)]]*Main[[#This Row],[مانده در خط سررسید شده (کیلوگرم)]]</f>
        <v>0</v>
      </c>
    </row>
    <row r="1200" spans="1:32" x14ac:dyDescent="0.35">
      <c r="A1200" s="5">
        <f>ROW()-ROW(INDEX(Main[ردیف],1))+1</f>
        <v>1198</v>
      </c>
      <c r="B1200" s="31">
        <f>SUBTOTAL(2,INDEX(Main[ردیف],1):Main[[#This Row],[ردیف]])</f>
        <v>110</v>
      </c>
      <c r="C1200" s="32" t="s">
        <v>632</v>
      </c>
      <c r="D1200" s="32" t="str">
        <f>_xlfn.CONCAT("14",Main[[#This Row],[تاريخ]])</f>
        <v>1400/05/06</v>
      </c>
      <c r="E1200" s="33">
        <v>44405</v>
      </c>
      <c r="F1200" s="32">
        <v>10003</v>
      </c>
      <c r="G1200" s="5" t="str">
        <f>INDEX(customer[عنوان],MATCH(Main[[#This Row],[کد ردیابی]],customer[کد],0))</f>
        <v>اصغر نورعلی</v>
      </c>
      <c r="H1200">
        <v>2692</v>
      </c>
      <c r="I1200" s="6">
        <f ca="1">-Main[[#This Row],[بدهی تسویه شده (کیلوگرم)]]+Main[[#This Row],[بستانکار (کیلوگرم)]]</f>
        <v>2692</v>
      </c>
      <c r="J1200" s="6">
        <f>IF(Main[[#This Row],[مقدار (کیلوگرم)]]&gt;0,Main[[#This Row],[مقدار (کیلوگرم)]],0)</f>
        <v>2692</v>
      </c>
      <c r="K1200" s="6">
        <f>-IF(Main[[#This Row],[مقدار (کیلوگرم)]]&lt;0,Main[[#This Row],[مقدار (کیلوگرم)]],0)</f>
        <v>0</v>
      </c>
      <c r="L12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0" s="7">
        <f>-IF(AND(Main[[#This Row],[مقدار (کیلوگرم)]]&lt;0,Main[[#This Row],[تاريخ میلادی]]&gt;44276),Main[[#This Row],[مقدار (کیلوگرم)]],0)</f>
        <v>0</v>
      </c>
      <c r="N1200" s="6">
        <f ca="1">Main[[#This Row],[بدهکار (کیلوگرم)]]-Main[[#This Row],[بدهی تسویه نشده (کیلوگرم)]]</f>
        <v>0</v>
      </c>
      <c r="O1200" s="6">
        <f ca="1">Main[[#This Row],[تفکیک]]</f>
        <v>0</v>
      </c>
      <c r="P1200" s="6">
        <f ca="1">IF(Main[[#This Row],[تاخیر از سررسید]]&gt;0,Main[[#This Row],[بدهی تسویه نشده (کیلوگرم)]],0)</f>
        <v>0</v>
      </c>
      <c r="Q1200" s="6">
        <f ca="1">IF(Main[[#This Row],[بدهی تسویه نشده (کیلوگرم)]]&gt;0,'گزارش فردی'!$B$7-Main[[#This Row],[تاريخ میلادی]],0)</f>
        <v>0</v>
      </c>
      <c r="R1200" s="6">
        <f ca="1">IF(Main[[#This Row],[بدهی تسویه نشده (کیلوگرم)]]&gt;0,'گزارش فردی'!$B$7-Main[[#This Row],[تاريخ میلادی]]-'گزارش فردی'!$B$8,0)</f>
        <v>0</v>
      </c>
      <c r="S1200" s="6">
        <f ca="1">Main[[#This Row],[روز از ارسال سفارش]]*Main[[#This Row],[بدهی تسویه نشده (کیلوگرم)]]</f>
        <v>0</v>
      </c>
      <c r="T1200" s="6">
        <f ca="1">Main[[#This Row],[بدهی سررسید شده (کیلوگرم)]]*Main[[#This Row],[روز از ارسال سفارش]]</f>
        <v>0</v>
      </c>
      <c r="U1200" s="6">
        <f>-SUBTOTAL(9,INDEX(Main[مقدار (کیلوگرم)],1):Main[[#This Row],[مقدار (کیلوگرم)]])</f>
        <v>34092</v>
      </c>
      <c r="V12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0" s="6">
        <f>Main[[#This Row],[تعداد کل روزهای بدهکار (روز)]]*Main[[#This Row],[مانده در خط کل (کیلوگرم)]]</f>
        <v>0</v>
      </c>
      <c r="X1200" s="6">
        <f ca="1">-SUBTOTAL(9,INDEX(Main[مقدار تسویه شده (کیلوگرم)],1):Main[[#This Row],[مقدار تسویه شده (کیلوگرم)]])</f>
        <v>34092</v>
      </c>
      <c r="Y1200" s="6">
        <f ca="1">IF(Main[[#This Row],[مانده در خط تسویه شده (کیلوگرم)]]&lt;&gt;0,Main[[#This Row],[تعداد کل روزهای بدهکار (روز)]],0)</f>
        <v>0</v>
      </c>
      <c r="Z1200" s="6">
        <f ca="1">Main[[#This Row],[تعداد روزهای بدهکار تسویه شده (روز)]]*Main[[#This Row],[مانده در خط تسویه شده (کیلوگرم)]]</f>
        <v>0</v>
      </c>
      <c r="AA1200" s="6">
        <f ca="1">SUBTOTAL(9,INDEX(Main[بدهی تسویه نشده (کیلوگرم)],1):Main[[#This Row],[بدهی تسویه نشده (کیلوگرم)]])</f>
        <v>0</v>
      </c>
      <c r="AB1200" s="6">
        <f ca="1">IF(Main[[#This Row],[مانده در خط تسویه نشده (کیلوگرم)]]&lt;&gt;0,Main[[#This Row],[تعداد کل روزهای بدهکار (روز)]],0)</f>
        <v>0</v>
      </c>
      <c r="AC1200" s="6">
        <f ca="1">Main[[#This Row],[تعداد روزهای بدهکار  تسویه نشده (روز)]]*Main[[#This Row],[مانده در خط تسویه نشده (کیلوگرم)]]</f>
        <v>0</v>
      </c>
      <c r="AD1200" s="6">
        <f ca="1">SUBTOTAL(9,INDEX(Main[بدهی سررسید شده (کیلوگرم)],1):Main[[#This Row],[بدهی سررسید شده (کیلوگرم)]])</f>
        <v>0</v>
      </c>
      <c r="AE1200" s="6">
        <f ca="1">IF(Main[[#This Row],[مانده در خط سررسید شده (کیلوگرم)]]&lt;&gt;0,Main[[#This Row],[تعداد کل روزهای بدهکار (روز)]],0)</f>
        <v>0</v>
      </c>
      <c r="AF1200" s="6">
        <f ca="1">Main[[#This Row],[تعداد روزهای بدهکار سررسید شده (روز)]]*Main[[#This Row],[مانده در خط سررسید شده (کیلوگرم)]]</f>
        <v>0</v>
      </c>
    </row>
    <row r="1201" spans="1:32" hidden="1" x14ac:dyDescent="0.35">
      <c r="A1201" s="5">
        <f>ROW()-ROW(INDEX(Main[ردیف],1))+1</f>
        <v>1199</v>
      </c>
      <c r="B1201" s="31">
        <f>SUBTOTAL(2,INDEX(Main[ردیف],1):Main[[#This Row],[ردیف]])</f>
        <v>110</v>
      </c>
      <c r="C1201" s="32" t="s">
        <v>632</v>
      </c>
      <c r="D1201" s="32" t="str">
        <f>_xlfn.CONCAT("14",Main[[#This Row],[تاريخ]])</f>
        <v>1400/05/06</v>
      </c>
      <c r="E1201" s="33">
        <v>44405</v>
      </c>
      <c r="F1201" s="32">
        <v>30004</v>
      </c>
      <c r="G1201" s="5" t="str">
        <f>INDEX(customer[عنوان],MATCH(Main[[#This Row],[کد ردیابی]],customer[کد],0))</f>
        <v>تولیدی صنعتی صفاشیر پارس</v>
      </c>
      <c r="H1201">
        <v>-5268</v>
      </c>
      <c r="I1201" s="6">
        <f ca="1">-Main[[#This Row],[بدهی تسویه شده (کیلوگرم)]]+Main[[#This Row],[بستانکار (کیلوگرم)]]</f>
        <v>-5268</v>
      </c>
      <c r="J1201" s="6">
        <f>IF(Main[[#This Row],[مقدار (کیلوگرم)]]&gt;0,Main[[#This Row],[مقدار (کیلوگرم)]],0)</f>
        <v>0</v>
      </c>
      <c r="K1201" s="6">
        <f>-IF(Main[[#This Row],[مقدار (کیلوگرم)]]&lt;0,Main[[#This Row],[مقدار (کیلوگرم)]],0)</f>
        <v>5268</v>
      </c>
      <c r="L12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1" s="7">
        <f>-IF(AND(Main[[#This Row],[مقدار (کیلوگرم)]]&lt;0,Main[[#This Row],[تاريخ میلادی]]&gt;44276),Main[[#This Row],[مقدار (کیلوگرم)]],0)</f>
        <v>5268</v>
      </c>
      <c r="N1201" s="6">
        <f ca="1">Main[[#This Row],[بدهکار (کیلوگرم)]]-Main[[#This Row],[بدهی تسویه نشده (کیلوگرم)]]</f>
        <v>5268</v>
      </c>
      <c r="O1201" s="6">
        <f ca="1">Main[[#This Row],[تفکیک]]</f>
        <v>0</v>
      </c>
      <c r="P1201" s="6">
        <f ca="1">IF(Main[[#This Row],[تاخیر از سررسید]]&gt;0,Main[[#This Row],[بدهی تسویه نشده (کیلوگرم)]],0)</f>
        <v>0</v>
      </c>
      <c r="Q1201" s="6">
        <f ca="1">IF(Main[[#This Row],[بدهی تسویه نشده (کیلوگرم)]]&gt;0,'گزارش فردی'!$B$7-Main[[#This Row],[تاريخ میلادی]],0)</f>
        <v>0</v>
      </c>
      <c r="R1201" s="6">
        <f ca="1">IF(Main[[#This Row],[بدهی تسویه نشده (کیلوگرم)]]&gt;0,'گزارش فردی'!$B$7-Main[[#This Row],[تاريخ میلادی]]-'گزارش فردی'!$B$8,0)</f>
        <v>0</v>
      </c>
      <c r="S1201" s="6">
        <f ca="1">Main[[#This Row],[روز از ارسال سفارش]]*Main[[#This Row],[بدهی تسویه نشده (کیلوگرم)]]</f>
        <v>0</v>
      </c>
      <c r="T1201" s="6">
        <f ca="1">Main[[#This Row],[بدهی سررسید شده (کیلوگرم)]]*Main[[#This Row],[روز از ارسال سفارش]]</f>
        <v>0</v>
      </c>
      <c r="U1201" s="6">
        <f>-SUBTOTAL(9,INDEX(Main[مقدار (کیلوگرم)],1):Main[[#This Row],[مقدار (کیلوگرم)]])</f>
        <v>34092</v>
      </c>
      <c r="V12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1" s="6">
        <f>Main[[#This Row],[تعداد کل روزهای بدهکار (روز)]]*Main[[#This Row],[مانده در خط کل (کیلوگرم)]]</f>
        <v>0</v>
      </c>
      <c r="X1201" s="6">
        <f ca="1">-SUBTOTAL(9,INDEX(Main[مقدار تسویه شده (کیلوگرم)],1):Main[[#This Row],[مقدار تسویه شده (کیلوگرم)]])</f>
        <v>34092</v>
      </c>
      <c r="Y1201" s="6">
        <f ca="1">IF(Main[[#This Row],[مانده در خط تسویه شده (کیلوگرم)]]&lt;&gt;0,Main[[#This Row],[تعداد کل روزهای بدهکار (روز)]],0)</f>
        <v>0</v>
      </c>
      <c r="Z1201" s="6">
        <f ca="1">Main[[#This Row],[تعداد روزهای بدهکار تسویه شده (روز)]]*Main[[#This Row],[مانده در خط تسویه شده (کیلوگرم)]]</f>
        <v>0</v>
      </c>
      <c r="AA1201" s="6">
        <f ca="1">SUBTOTAL(9,INDEX(Main[بدهی تسویه نشده (کیلوگرم)],1):Main[[#This Row],[بدهی تسویه نشده (کیلوگرم)]])</f>
        <v>0</v>
      </c>
      <c r="AB1201" s="6">
        <f ca="1">IF(Main[[#This Row],[مانده در خط تسویه نشده (کیلوگرم)]]&lt;&gt;0,Main[[#This Row],[تعداد کل روزهای بدهکار (روز)]],0)</f>
        <v>0</v>
      </c>
      <c r="AC1201" s="6">
        <f ca="1">Main[[#This Row],[تعداد روزهای بدهکار  تسویه نشده (روز)]]*Main[[#This Row],[مانده در خط تسویه نشده (کیلوگرم)]]</f>
        <v>0</v>
      </c>
      <c r="AD1201" s="6">
        <f ca="1">SUBTOTAL(9,INDEX(Main[بدهی سررسید شده (کیلوگرم)],1):Main[[#This Row],[بدهی سررسید شده (کیلوگرم)]])</f>
        <v>0</v>
      </c>
      <c r="AE1201" s="6">
        <f ca="1">IF(Main[[#This Row],[مانده در خط سررسید شده (کیلوگرم)]]&lt;&gt;0,Main[[#This Row],[تعداد کل روزهای بدهکار (روز)]],0)</f>
        <v>0</v>
      </c>
      <c r="AF1201" s="6">
        <f ca="1">Main[[#This Row],[تعداد روزهای بدهکار سررسید شده (روز)]]*Main[[#This Row],[مانده در خط سررسید شده (کیلوگرم)]]</f>
        <v>0</v>
      </c>
    </row>
    <row r="1202" spans="1:32" hidden="1" x14ac:dyDescent="0.35">
      <c r="A1202" s="5">
        <f>ROW()-ROW(INDEX(Main[ردیف],1))+1</f>
        <v>1200</v>
      </c>
      <c r="B1202" s="31">
        <f>SUBTOTAL(2,INDEX(Main[ردیف],1):Main[[#This Row],[ردیف]])</f>
        <v>110</v>
      </c>
      <c r="C1202" s="32" t="s">
        <v>632</v>
      </c>
      <c r="D1202" s="32" t="str">
        <f>_xlfn.CONCAT("14",Main[[#This Row],[تاريخ]])</f>
        <v>1400/05/06</v>
      </c>
      <c r="E1202" s="33">
        <v>44405</v>
      </c>
      <c r="F1202" s="32">
        <v>10104</v>
      </c>
      <c r="G1202" s="5" t="str">
        <f>INDEX(customer[عنوان],MATCH(Main[[#This Row],[کد ردیابی]],customer[کد],0))</f>
        <v>بهزادی فر اصغر</v>
      </c>
      <c r="H1202">
        <v>800</v>
      </c>
      <c r="I1202" s="6">
        <f ca="1">-Main[[#This Row],[بدهی تسویه شده (کیلوگرم)]]+Main[[#This Row],[بستانکار (کیلوگرم)]]</f>
        <v>800</v>
      </c>
      <c r="J1202" s="6">
        <f>IF(Main[[#This Row],[مقدار (کیلوگرم)]]&gt;0,Main[[#This Row],[مقدار (کیلوگرم)]],0)</f>
        <v>800</v>
      </c>
      <c r="K1202" s="6">
        <f>-IF(Main[[#This Row],[مقدار (کیلوگرم)]]&lt;0,Main[[#This Row],[مقدار (کیلوگرم)]],0)</f>
        <v>0</v>
      </c>
      <c r="L12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2" s="7">
        <f>-IF(AND(Main[[#This Row],[مقدار (کیلوگرم)]]&lt;0,Main[[#This Row],[تاريخ میلادی]]&gt;44276),Main[[#This Row],[مقدار (کیلوگرم)]],0)</f>
        <v>0</v>
      </c>
      <c r="N1202" s="6">
        <f ca="1">Main[[#This Row],[بدهکار (کیلوگرم)]]-Main[[#This Row],[بدهی تسویه نشده (کیلوگرم)]]</f>
        <v>0</v>
      </c>
      <c r="O1202" s="6">
        <f ca="1">Main[[#This Row],[تفکیک]]</f>
        <v>0</v>
      </c>
      <c r="P1202" s="6">
        <f ca="1">IF(Main[[#This Row],[تاخیر از سررسید]]&gt;0,Main[[#This Row],[بدهی تسویه نشده (کیلوگرم)]],0)</f>
        <v>0</v>
      </c>
      <c r="Q1202" s="6">
        <f ca="1">IF(Main[[#This Row],[بدهی تسویه نشده (کیلوگرم)]]&gt;0,'گزارش فردی'!$B$7-Main[[#This Row],[تاريخ میلادی]],0)</f>
        <v>0</v>
      </c>
      <c r="R1202" s="6">
        <f ca="1">IF(Main[[#This Row],[بدهی تسویه نشده (کیلوگرم)]]&gt;0,'گزارش فردی'!$B$7-Main[[#This Row],[تاريخ میلادی]]-'گزارش فردی'!$B$8,0)</f>
        <v>0</v>
      </c>
      <c r="S1202" s="6">
        <f ca="1">Main[[#This Row],[روز از ارسال سفارش]]*Main[[#This Row],[بدهی تسویه نشده (کیلوگرم)]]</f>
        <v>0</v>
      </c>
      <c r="T1202" s="6">
        <f ca="1">Main[[#This Row],[بدهی سررسید شده (کیلوگرم)]]*Main[[#This Row],[روز از ارسال سفارش]]</f>
        <v>0</v>
      </c>
      <c r="U1202" s="6">
        <f>-SUBTOTAL(9,INDEX(Main[مقدار (کیلوگرم)],1):Main[[#This Row],[مقدار (کیلوگرم)]])</f>
        <v>34092</v>
      </c>
      <c r="V12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2" s="6">
        <f>Main[[#This Row],[تعداد کل روزهای بدهکار (روز)]]*Main[[#This Row],[مانده در خط کل (کیلوگرم)]]</f>
        <v>0</v>
      </c>
      <c r="X1202" s="6">
        <f ca="1">-SUBTOTAL(9,INDEX(Main[مقدار تسویه شده (کیلوگرم)],1):Main[[#This Row],[مقدار تسویه شده (کیلوگرم)]])</f>
        <v>34092</v>
      </c>
      <c r="Y1202" s="6">
        <f ca="1">IF(Main[[#This Row],[مانده در خط تسویه شده (کیلوگرم)]]&lt;&gt;0,Main[[#This Row],[تعداد کل روزهای بدهکار (روز)]],0)</f>
        <v>0</v>
      </c>
      <c r="Z1202" s="6">
        <f ca="1">Main[[#This Row],[تعداد روزهای بدهکار تسویه شده (روز)]]*Main[[#This Row],[مانده در خط تسویه شده (کیلوگرم)]]</f>
        <v>0</v>
      </c>
      <c r="AA1202" s="6">
        <f ca="1">SUBTOTAL(9,INDEX(Main[بدهی تسویه نشده (کیلوگرم)],1):Main[[#This Row],[بدهی تسویه نشده (کیلوگرم)]])</f>
        <v>0</v>
      </c>
      <c r="AB1202" s="6">
        <f ca="1">IF(Main[[#This Row],[مانده در خط تسویه نشده (کیلوگرم)]]&lt;&gt;0,Main[[#This Row],[تعداد کل روزهای بدهکار (روز)]],0)</f>
        <v>0</v>
      </c>
      <c r="AC1202" s="6">
        <f ca="1">Main[[#This Row],[تعداد روزهای بدهکار  تسویه نشده (روز)]]*Main[[#This Row],[مانده در خط تسویه نشده (کیلوگرم)]]</f>
        <v>0</v>
      </c>
      <c r="AD1202" s="6">
        <f ca="1">SUBTOTAL(9,INDEX(Main[بدهی سررسید شده (کیلوگرم)],1):Main[[#This Row],[بدهی سررسید شده (کیلوگرم)]])</f>
        <v>0</v>
      </c>
      <c r="AE1202" s="6">
        <f ca="1">IF(Main[[#This Row],[مانده در خط سررسید شده (کیلوگرم)]]&lt;&gt;0,Main[[#This Row],[تعداد کل روزهای بدهکار (روز)]],0)</f>
        <v>0</v>
      </c>
      <c r="AF1202" s="6">
        <f ca="1">Main[[#This Row],[تعداد روزهای بدهکار سررسید شده (روز)]]*Main[[#This Row],[مانده در خط سررسید شده (کیلوگرم)]]</f>
        <v>0</v>
      </c>
    </row>
    <row r="1203" spans="1:32" hidden="1" x14ac:dyDescent="0.35">
      <c r="A1203" s="5">
        <f>ROW()-ROW(INDEX(Main[ردیف],1))+1</f>
        <v>1201</v>
      </c>
      <c r="B1203" s="31">
        <f>SUBTOTAL(2,INDEX(Main[ردیف],1):Main[[#This Row],[ردیف]])</f>
        <v>110</v>
      </c>
      <c r="C1203" s="32" t="s">
        <v>632</v>
      </c>
      <c r="D1203" s="32" t="str">
        <f>_xlfn.CONCAT("14",Main[[#This Row],[تاريخ]])</f>
        <v>1400/05/06</v>
      </c>
      <c r="E1203" s="33">
        <v>44405</v>
      </c>
      <c r="F1203" s="32">
        <v>30009</v>
      </c>
      <c r="G1203" s="5" t="str">
        <f>INDEX(customer[عنوان],MATCH(Main[[#This Row],[کد ردیابی]],customer[کد],0))</f>
        <v>شرکت ایمن تک پیشرو</v>
      </c>
      <c r="H1203">
        <v>-1030</v>
      </c>
      <c r="I1203" s="6">
        <f ca="1">-Main[[#This Row],[بدهی تسویه شده (کیلوگرم)]]+Main[[#This Row],[بستانکار (کیلوگرم)]]</f>
        <v>-1030</v>
      </c>
      <c r="J1203" s="6">
        <f>IF(Main[[#This Row],[مقدار (کیلوگرم)]]&gt;0,Main[[#This Row],[مقدار (کیلوگرم)]],0)</f>
        <v>0</v>
      </c>
      <c r="K1203" s="6">
        <f>-IF(Main[[#This Row],[مقدار (کیلوگرم)]]&lt;0,Main[[#This Row],[مقدار (کیلوگرم)]],0)</f>
        <v>1030</v>
      </c>
      <c r="L12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3" s="7">
        <f>-IF(AND(Main[[#This Row],[مقدار (کیلوگرم)]]&lt;0,Main[[#This Row],[تاريخ میلادی]]&gt;44276),Main[[#This Row],[مقدار (کیلوگرم)]],0)</f>
        <v>1030</v>
      </c>
      <c r="N1203" s="6">
        <f ca="1">Main[[#This Row],[بدهکار (کیلوگرم)]]-Main[[#This Row],[بدهی تسویه نشده (کیلوگرم)]]</f>
        <v>1030</v>
      </c>
      <c r="O1203" s="6">
        <f ca="1">Main[[#This Row],[تفکیک]]</f>
        <v>0</v>
      </c>
      <c r="P1203" s="6">
        <f ca="1">IF(Main[[#This Row],[تاخیر از سررسید]]&gt;0,Main[[#This Row],[بدهی تسویه نشده (کیلوگرم)]],0)</f>
        <v>0</v>
      </c>
      <c r="Q1203" s="6">
        <f ca="1">IF(Main[[#This Row],[بدهی تسویه نشده (کیلوگرم)]]&gt;0,'گزارش فردی'!$B$7-Main[[#This Row],[تاريخ میلادی]],0)</f>
        <v>0</v>
      </c>
      <c r="R1203" s="6">
        <f ca="1">IF(Main[[#This Row],[بدهی تسویه نشده (کیلوگرم)]]&gt;0,'گزارش فردی'!$B$7-Main[[#This Row],[تاريخ میلادی]]-'گزارش فردی'!$B$8,0)</f>
        <v>0</v>
      </c>
      <c r="S1203" s="6">
        <f ca="1">Main[[#This Row],[روز از ارسال سفارش]]*Main[[#This Row],[بدهی تسویه نشده (کیلوگرم)]]</f>
        <v>0</v>
      </c>
      <c r="T1203" s="6">
        <f ca="1">Main[[#This Row],[بدهی سررسید شده (کیلوگرم)]]*Main[[#This Row],[روز از ارسال سفارش]]</f>
        <v>0</v>
      </c>
      <c r="U1203" s="6">
        <f>-SUBTOTAL(9,INDEX(Main[مقدار (کیلوگرم)],1):Main[[#This Row],[مقدار (کیلوگرم)]])</f>
        <v>34092</v>
      </c>
      <c r="V12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3" s="6">
        <f>Main[[#This Row],[تعداد کل روزهای بدهکار (روز)]]*Main[[#This Row],[مانده در خط کل (کیلوگرم)]]</f>
        <v>0</v>
      </c>
      <c r="X1203" s="6">
        <f ca="1">-SUBTOTAL(9,INDEX(Main[مقدار تسویه شده (کیلوگرم)],1):Main[[#This Row],[مقدار تسویه شده (کیلوگرم)]])</f>
        <v>34092</v>
      </c>
      <c r="Y1203" s="6">
        <f ca="1">IF(Main[[#This Row],[مانده در خط تسویه شده (کیلوگرم)]]&lt;&gt;0,Main[[#This Row],[تعداد کل روزهای بدهکار (روز)]],0)</f>
        <v>0</v>
      </c>
      <c r="Z1203" s="6">
        <f ca="1">Main[[#This Row],[تعداد روزهای بدهکار تسویه شده (روز)]]*Main[[#This Row],[مانده در خط تسویه شده (کیلوگرم)]]</f>
        <v>0</v>
      </c>
      <c r="AA1203" s="6">
        <f ca="1">SUBTOTAL(9,INDEX(Main[بدهی تسویه نشده (کیلوگرم)],1):Main[[#This Row],[بدهی تسویه نشده (کیلوگرم)]])</f>
        <v>0</v>
      </c>
      <c r="AB1203" s="6">
        <f ca="1">IF(Main[[#This Row],[مانده در خط تسویه نشده (کیلوگرم)]]&lt;&gt;0,Main[[#This Row],[تعداد کل روزهای بدهکار (روز)]],0)</f>
        <v>0</v>
      </c>
      <c r="AC1203" s="6">
        <f ca="1">Main[[#This Row],[تعداد روزهای بدهکار  تسویه نشده (روز)]]*Main[[#This Row],[مانده در خط تسویه نشده (کیلوگرم)]]</f>
        <v>0</v>
      </c>
      <c r="AD1203" s="6">
        <f ca="1">SUBTOTAL(9,INDEX(Main[بدهی سررسید شده (کیلوگرم)],1):Main[[#This Row],[بدهی سررسید شده (کیلوگرم)]])</f>
        <v>0</v>
      </c>
      <c r="AE1203" s="6">
        <f ca="1">IF(Main[[#This Row],[مانده در خط سررسید شده (کیلوگرم)]]&lt;&gt;0,Main[[#This Row],[تعداد کل روزهای بدهکار (روز)]],0)</f>
        <v>0</v>
      </c>
      <c r="AF1203" s="6">
        <f ca="1">Main[[#This Row],[تعداد روزهای بدهکار سررسید شده (روز)]]*Main[[#This Row],[مانده در خط سررسید شده (کیلوگرم)]]</f>
        <v>0</v>
      </c>
    </row>
    <row r="1204" spans="1:32" hidden="1" x14ac:dyDescent="0.35">
      <c r="A1204" s="5">
        <f>ROW()-ROW(INDEX(Main[ردیف],1))+1</f>
        <v>1202</v>
      </c>
      <c r="B1204" s="31">
        <f>SUBTOTAL(2,INDEX(Main[ردیف],1):Main[[#This Row],[ردیف]])</f>
        <v>110</v>
      </c>
      <c r="C1204" s="32" t="s">
        <v>632</v>
      </c>
      <c r="D1204" s="32" t="str">
        <f>_xlfn.CONCAT("14",Main[[#This Row],[تاريخ]])</f>
        <v>1400/05/06</v>
      </c>
      <c r="E1204" s="33">
        <v>44405</v>
      </c>
      <c r="F1204" s="32">
        <v>50011</v>
      </c>
      <c r="G1204" s="5" t="str">
        <f>INDEX(customer[عنوان],MATCH(Main[[#This Row],[کد ردیابی]],customer[کد],0))</f>
        <v xml:space="preserve">جعفر هوشمند </v>
      </c>
      <c r="H1204">
        <v>2761</v>
      </c>
      <c r="I1204" s="6">
        <f ca="1">-Main[[#This Row],[بدهی تسویه شده (کیلوگرم)]]+Main[[#This Row],[بستانکار (کیلوگرم)]]</f>
        <v>2761</v>
      </c>
      <c r="J1204" s="6">
        <f>IF(Main[[#This Row],[مقدار (کیلوگرم)]]&gt;0,Main[[#This Row],[مقدار (کیلوگرم)]],0)</f>
        <v>2761</v>
      </c>
      <c r="K1204" s="6">
        <f>-IF(Main[[#This Row],[مقدار (کیلوگرم)]]&lt;0,Main[[#This Row],[مقدار (کیلوگرم)]],0)</f>
        <v>0</v>
      </c>
      <c r="L12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4" s="7">
        <f>-IF(AND(Main[[#This Row],[مقدار (کیلوگرم)]]&lt;0,Main[[#This Row],[تاريخ میلادی]]&gt;44276),Main[[#This Row],[مقدار (کیلوگرم)]],0)</f>
        <v>0</v>
      </c>
      <c r="N1204" s="6">
        <f ca="1">Main[[#This Row],[بدهکار (کیلوگرم)]]-Main[[#This Row],[بدهی تسویه نشده (کیلوگرم)]]</f>
        <v>0</v>
      </c>
      <c r="O1204" s="6">
        <f ca="1">Main[[#This Row],[تفکیک]]</f>
        <v>0</v>
      </c>
      <c r="P1204" s="6">
        <f ca="1">IF(Main[[#This Row],[تاخیر از سررسید]]&gt;0,Main[[#This Row],[بدهی تسویه نشده (کیلوگرم)]],0)</f>
        <v>0</v>
      </c>
      <c r="Q1204" s="6">
        <f ca="1">IF(Main[[#This Row],[بدهی تسویه نشده (کیلوگرم)]]&gt;0,'گزارش فردی'!$B$7-Main[[#This Row],[تاريخ میلادی]],0)</f>
        <v>0</v>
      </c>
      <c r="R1204" s="6">
        <f ca="1">IF(Main[[#This Row],[بدهی تسویه نشده (کیلوگرم)]]&gt;0,'گزارش فردی'!$B$7-Main[[#This Row],[تاريخ میلادی]]-'گزارش فردی'!$B$8,0)</f>
        <v>0</v>
      </c>
      <c r="S1204" s="6">
        <f ca="1">Main[[#This Row],[روز از ارسال سفارش]]*Main[[#This Row],[بدهی تسویه نشده (کیلوگرم)]]</f>
        <v>0</v>
      </c>
      <c r="T1204" s="6">
        <f ca="1">Main[[#This Row],[بدهی سررسید شده (کیلوگرم)]]*Main[[#This Row],[روز از ارسال سفارش]]</f>
        <v>0</v>
      </c>
      <c r="U1204" s="6">
        <f>-SUBTOTAL(9,INDEX(Main[مقدار (کیلوگرم)],1):Main[[#This Row],[مقدار (کیلوگرم)]])</f>
        <v>34092</v>
      </c>
      <c r="V12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4" s="6">
        <f>Main[[#This Row],[تعداد کل روزهای بدهکار (روز)]]*Main[[#This Row],[مانده در خط کل (کیلوگرم)]]</f>
        <v>0</v>
      </c>
      <c r="X1204" s="6">
        <f ca="1">-SUBTOTAL(9,INDEX(Main[مقدار تسویه شده (کیلوگرم)],1):Main[[#This Row],[مقدار تسویه شده (کیلوگرم)]])</f>
        <v>34092</v>
      </c>
      <c r="Y1204" s="6">
        <f ca="1">IF(Main[[#This Row],[مانده در خط تسویه شده (کیلوگرم)]]&lt;&gt;0,Main[[#This Row],[تعداد کل روزهای بدهکار (روز)]],0)</f>
        <v>0</v>
      </c>
      <c r="Z1204" s="6">
        <f ca="1">Main[[#This Row],[تعداد روزهای بدهکار تسویه شده (روز)]]*Main[[#This Row],[مانده در خط تسویه شده (کیلوگرم)]]</f>
        <v>0</v>
      </c>
      <c r="AA1204" s="6">
        <f ca="1">SUBTOTAL(9,INDEX(Main[بدهی تسویه نشده (کیلوگرم)],1):Main[[#This Row],[بدهی تسویه نشده (کیلوگرم)]])</f>
        <v>0</v>
      </c>
      <c r="AB1204" s="6">
        <f ca="1">IF(Main[[#This Row],[مانده در خط تسویه نشده (کیلوگرم)]]&lt;&gt;0,Main[[#This Row],[تعداد کل روزهای بدهکار (روز)]],0)</f>
        <v>0</v>
      </c>
      <c r="AC1204" s="6">
        <f ca="1">Main[[#This Row],[تعداد روزهای بدهکار  تسویه نشده (روز)]]*Main[[#This Row],[مانده در خط تسویه نشده (کیلوگرم)]]</f>
        <v>0</v>
      </c>
      <c r="AD1204" s="6">
        <f ca="1">SUBTOTAL(9,INDEX(Main[بدهی سررسید شده (کیلوگرم)],1):Main[[#This Row],[بدهی سررسید شده (کیلوگرم)]])</f>
        <v>0</v>
      </c>
      <c r="AE1204" s="6">
        <f ca="1">IF(Main[[#This Row],[مانده در خط سررسید شده (کیلوگرم)]]&lt;&gt;0,Main[[#This Row],[تعداد کل روزهای بدهکار (روز)]],0)</f>
        <v>0</v>
      </c>
      <c r="AF1204" s="6">
        <f ca="1">Main[[#This Row],[تعداد روزهای بدهکار سررسید شده (روز)]]*Main[[#This Row],[مانده در خط سررسید شده (کیلوگرم)]]</f>
        <v>0</v>
      </c>
    </row>
    <row r="1205" spans="1:32" hidden="1" x14ac:dyDescent="0.35">
      <c r="A1205" s="5">
        <f>ROW()-ROW(INDEX(Main[ردیف],1))+1</f>
        <v>1203</v>
      </c>
      <c r="B1205" s="31">
        <f>SUBTOTAL(2,INDEX(Main[ردیف],1):Main[[#This Row],[ردیف]])</f>
        <v>110</v>
      </c>
      <c r="C1205" s="32" t="s">
        <v>632</v>
      </c>
      <c r="D1205" s="32" t="str">
        <f>_xlfn.CONCAT("14",Main[[#This Row],[تاريخ]])</f>
        <v>1400/05/06</v>
      </c>
      <c r="E1205" s="33">
        <v>44405</v>
      </c>
      <c r="F1205" s="32">
        <v>30191</v>
      </c>
      <c r="G1205" s="5" t="str">
        <f>INDEX(customer[عنوان],MATCH(Main[[#This Row],[کد ردیابی]],customer[کد],0))</f>
        <v>ایران گرما</v>
      </c>
      <c r="H1205">
        <v>-942</v>
      </c>
      <c r="I1205" s="6">
        <f ca="1">-Main[[#This Row],[بدهی تسویه شده (کیلوگرم)]]+Main[[#This Row],[بستانکار (کیلوگرم)]]</f>
        <v>-942</v>
      </c>
      <c r="J1205" s="6">
        <f>IF(Main[[#This Row],[مقدار (کیلوگرم)]]&gt;0,Main[[#This Row],[مقدار (کیلوگرم)]],0)</f>
        <v>0</v>
      </c>
      <c r="K1205" s="6">
        <f>-IF(Main[[#This Row],[مقدار (کیلوگرم)]]&lt;0,Main[[#This Row],[مقدار (کیلوگرم)]],0)</f>
        <v>942</v>
      </c>
      <c r="L12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5" s="7">
        <f>-IF(AND(Main[[#This Row],[مقدار (کیلوگرم)]]&lt;0,Main[[#This Row],[تاريخ میلادی]]&gt;44276),Main[[#This Row],[مقدار (کیلوگرم)]],0)</f>
        <v>942</v>
      </c>
      <c r="N1205" s="6">
        <f ca="1">Main[[#This Row],[بدهکار (کیلوگرم)]]-Main[[#This Row],[بدهی تسویه نشده (کیلوگرم)]]</f>
        <v>942</v>
      </c>
      <c r="O1205" s="6">
        <f ca="1">Main[[#This Row],[تفکیک]]</f>
        <v>0</v>
      </c>
      <c r="P1205" s="6">
        <f ca="1">IF(Main[[#This Row],[تاخیر از سررسید]]&gt;0,Main[[#This Row],[بدهی تسویه نشده (کیلوگرم)]],0)</f>
        <v>0</v>
      </c>
      <c r="Q1205" s="6">
        <f ca="1">IF(Main[[#This Row],[بدهی تسویه نشده (کیلوگرم)]]&gt;0,'گزارش فردی'!$B$7-Main[[#This Row],[تاريخ میلادی]],0)</f>
        <v>0</v>
      </c>
      <c r="R1205" s="6">
        <f ca="1">IF(Main[[#This Row],[بدهی تسویه نشده (کیلوگرم)]]&gt;0,'گزارش فردی'!$B$7-Main[[#This Row],[تاريخ میلادی]]-'گزارش فردی'!$B$8,0)</f>
        <v>0</v>
      </c>
      <c r="S1205" s="6">
        <f ca="1">Main[[#This Row],[روز از ارسال سفارش]]*Main[[#This Row],[بدهی تسویه نشده (کیلوگرم)]]</f>
        <v>0</v>
      </c>
      <c r="T1205" s="6">
        <f ca="1">Main[[#This Row],[بدهی سررسید شده (کیلوگرم)]]*Main[[#This Row],[روز از ارسال سفارش]]</f>
        <v>0</v>
      </c>
      <c r="U1205" s="6">
        <f>-SUBTOTAL(9,INDEX(Main[مقدار (کیلوگرم)],1):Main[[#This Row],[مقدار (کیلوگرم)]])</f>
        <v>34092</v>
      </c>
      <c r="V12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5" s="6">
        <f>Main[[#This Row],[تعداد کل روزهای بدهکار (روز)]]*Main[[#This Row],[مانده در خط کل (کیلوگرم)]]</f>
        <v>0</v>
      </c>
      <c r="X1205" s="6">
        <f ca="1">-SUBTOTAL(9,INDEX(Main[مقدار تسویه شده (کیلوگرم)],1):Main[[#This Row],[مقدار تسویه شده (کیلوگرم)]])</f>
        <v>34092</v>
      </c>
      <c r="Y1205" s="6">
        <f ca="1">IF(Main[[#This Row],[مانده در خط تسویه شده (کیلوگرم)]]&lt;&gt;0,Main[[#This Row],[تعداد کل روزهای بدهکار (روز)]],0)</f>
        <v>0</v>
      </c>
      <c r="Z1205" s="6">
        <f ca="1">Main[[#This Row],[تعداد روزهای بدهکار تسویه شده (روز)]]*Main[[#This Row],[مانده در خط تسویه شده (کیلوگرم)]]</f>
        <v>0</v>
      </c>
      <c r="AA1205" s="6">
        <f ca="1">SUBTOTAL(9,INDEX(Main[بدهی تسویه نشده (کیلوگرم)],1):Main[[#This Row],[بدهی تسویه نشده (کیلوگرم)]])</f>
        <v>0</v>
      </c>
      <c r="AB1205" s="6">
        <f ca="1">IF(Main[[#This Row],[مانده در خط تسویه نشده (کیلوگرم)]]&lt;&gt;0,Main[[#This Row],[تعداد کل روزهای بدهکار (روز)]],0)</f>
        <v>0</v>
      </c>
      <c r="AC1205" s="6">
        <f ca="1">Main[[#This Row],[تعداد روزهای بدهکار  تسویه نشده (روز)]]*Main[[#This Row],[مانده در خط تسویه نشده (کیلوگرم)]]</f>
        <v>0</v>
      </c>
      <c r="AD1205" s="6">
        <f ca="1">SUBTOTAL(9,INDEX(Main[بدهی سررسید شده (کیلوگرم)],1):Main[[#This Row],[بدهی سررسید شده (کیلوگرم)]])</f>
        <v>0</v>
      </c>
      <c r="AE1205" s="6">
        <f ca="1">IF(Main[[#This Row],[مانده در خط سررسید شده (کیلوگرم)]]&lt;&gt;0,Main[[#This Row],[تعداد کل روزهای بدهکار (روز)]],0)</f>
        <v>0</v>
      </c>
      <c r="AF1205" s="6">
        <f ca="1">Main[[#This Row],[تعداد روزهای بدهکار سررسید شده (روز)]]*Main[[#This Row],[مانده در خط سررسید شده (کیلوگرم)]]</f>
        <v>0</v>
      </c>
    </row>
    <row r="1206" spans="1:32" hidden="1" x14ac:dyDescent="0.35">
      <c r="A1206" s="5">
        <f>ROW()-ROW(INDEX(Main[ردیف],1))+1</f>
        <v>1204</v>
      </c>
      <c r="B1206" s="31">
        <f>SUBTOTAL(2,INDEX(Main[ردیف],1):Main[[#This Row],[ردیف]])</f>
        <v>110</v>
      </c>
      <c r="C1206" s="32" t="s">
        <v>632</v>
      </c>
      <c r="D1206" s="32" t="str">
        <f>_xlfn.CONCAT("14",Main[[#This Row],[تاريخ]])</f>
        <v>1400/05/06</v>
      </c>
      <c r="E1206" s="33">
        <v>44405</v>
      </c>
      <c r="F1206" s="32">
        <v>30058</v>
      </c>
      <c r="G1206" s="5" t="str">
        <f>INDEX(customer[عنوان],MATCH(Main[[#This Row],[کد ردیابی]],customer[کد],0))</f>
        <v xml:space="preserve">پارس شیر </v>
      </c>
      <c r="H1206">
        <v>6862</v>
      </c>
      <c r="I1206" s="6">
        <f ca="1">-Main[[#This Row],[بدهی تسویه شده (کیلوگرم)]]+Main[[#This Row],[بستانکار (کیلوگرم)]]</f>
        <v>6862</v>
      </c>
      <c r="J1206" s="6">
        <f>IF(Main[[#This Row],[مقدار (کیلوگرم)]]&gt;0,Main[[#This Row],[مقدار (کیلوگرم)]],0)</f>
        <v>6862</v>
      </c>
      <c r="K1206" s="6">
        <f>-IF(Main[[#This Row],[مقدار (کیلوگرم)]]&lt;0,Main[[#This Row],[مقدار (کیلوگرم)]],0)</f>
        <v>0</v>
      </c>
      <c r="L12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6" s="7">
        <f>-IF(AND(Main[[#This Row],[مقدار (کیلوگرم)]]&lt;0,Main[[#This Row],[تاريخ میلادی]]&gt;44276),Main[[#This Row],[مقدار (کیلوگرم)]],0)</f>
        <v>0</v>
      </c>
      <c r="N1206" s="6">
        <f ca="1">Main[[#This Row],[بدهکار (کیلوگرم)]]-Main[[#This Row],[بدهی تسویه نشده (کیلوگرم)]]</f>
        <v>0</v>
      </c>
      <c r="O1206" s="6">
        <f ca="1">Main[[#This Row],[تفکیک]]</f>
        <v>0</v>
      </c>
      <c r="P1206" s="6">
        <f ca="1">IF(Main[[#This Row],[تاخیر از سررسید]]&gt;0,Main[[#This Row],[بدهی تسویه نشده (کیلوگرم)]],0)</f>
        <v>0</v>
      </c>
      <c r="Q1206" s="6">
        <f ca="1">IF(Main[[#This Row],[بدهی تسویه نشده (کیلوگرم)]]&gt;0,'گزارش فردی'!$B$7-Main[[#This Row],[تاريخ میلادی]],0)</f>
        <v>0</v>
      </c>
      <c r="R1206" s="6">
        <f ca="1">IF(Main[[#This Row],[بدهی تسویه نشده (کیلوگرم)]]&gt;0,'گزارش فردی'!$B$7-Main[[#This Row],[تاريخ میلادی]]-'گزارش فردی'!$B$8,0)</f>
        <v>0</v>
      </c>
      <c r="S1206" s="6">
        <f ca="1">Main[[#This Row],[روز از ارسال سفارش]]*Main[[#This Row],[بدهی تسویه نشده (کیلوگرم)]]</f>
        <v>0</v>
      </c>
      <c r="T1206" s="6">
        <f ca="1">Main[[#This Row],[بدهی سررسید شده (کیلوگرم)]]*Main[[#This Row],[روز از ارسال سفارش]]</f>
        <v>0</v>
      </c>
      <c r="U1206" s="6">
        <f>-SUBTOTAL(9,INDEX(Main[مقدار (کیلوگرم)],1):Main[[#This Row],[مقدار (کیلوگرم)]])</f>
        <v>34092</v>
      </c>
      <c r="V12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6" s="6">
        <f>Main[[#This Row],[تعداد کل روزهای بدهکار (روز)]]*Main[[#This Row],[مانده در خط کل (کیلوگرم)]]</f>
        <v>0</v>
      </c>
      <c r="X1206" s="6">
        <f ca="1">-SUBTOTAL(9,INDEX(Main[مقدار تسویه شده (کیلوگرم)],1):Main[[#This Row],[مقدار تسویه شده (کیلوگرم)]])</f>
        <v>34092</v>
      </c>
      <c r="Y1206" s="6">
        <f ca="1">IF(Main[[#This Row],[مانده در خط تسویه شده (کیلوگرم)]]&lt;&gt;0,Main[[#This Row],[تعداد کل روزهای بدهکار (روز)]],0)</f>
        <v>0</v>
      </c>
      <c r="Z1206" s="6">
        <f ca="1">Main[[#This Row],[تعداد روزهای بدهکار تسویه شده (روز)]]*Main[[#This Row],[مانده در خط تسویه شده (کیلوگرم)]]</f>
        <v>0</v>
      </c>
      <c r="AA1206" s="6">
        <f ca="1">SUBTOTAL(9,INDEX(Main[بدهی تسویه نشده (کیلوگرم)],1):Main[[#This Row],[بدهی تسویه نشده (کیلوگرم)]])</f>
        <v>0</v>
      </c>
      <c r="AB1206" s="6">
        <f ca="1">IF(Main[[#This Row],[مانده در خط تسویه نشده (کیلوگرم)]]&lt;&gt;0,Main[[#This Row],[تعداد کل روزهای بدهکار (روز)]],0)</f>
        <v>0</v>
      </c>
      <c r="AC1206" s="6">
        <f ca="1">Main[[#This Row],[تعداد روزهای بدهکار  تسویه نشده (روز)]]*Main[[#This Row],[مانده در خط تسویه نشده (کیلوگرم)]]</f>
        <v>0</v>
      </c>
      <c r="AD1206" s="6">
        <f ca="1">SUBTOTAL(9,INDEX(Main[بدهی سررسید شده (کیلوگرم)],1):Main[[#This Row],[بدهی سررسید شده (کیلوگرم)]])</f>
        <v>0</v>
      </c>
      <c r="AE1206" s="6">
        <f ca="1">IF(Main[[#This Row],[مانده در خط سررسید شده (کیلوگرم)]]&lt;&gt;0,Main[[#This Row],[تعداد کل روزهای بدهکار (روز)]],0)</f>
        <v>0</v>
      </c>
      <c r="AF1206" s="6">
        <f ca="1">Main[[#This Row],[تعداد روزهای بدهکار سررسید شده (روز)]]*Main[[#This Row],[مانده در خط سررسید شده (کیلوگرم)]]</f>
        <v>0</v>
      </c>
    </row>
    <row r="1207" spans="1:32" hidden="1" x14ac:dyDescent="0.35">
      <c r="A1207" s="5">
        <f>ROW()-ROW(INDEX(Main[ردیف],1))+1</f>
        <v>1205</v>
      </c>
      <c r="B1207" s="31">
        <f>SUBTOTAL(2,INDEX(Main[ردیف],1):Main[[#This Row],[ردیف]])</f>
        <v>110</v>
      </c>
      <c r="C1207" s="32" t="s">
        <v>632</v>
      </c>
      <c r="D1207" s="32" t="str">
        <f>_xlfn.CONCAT("14",Main[[#This Row],[تاريخ]])</f>
        <v>1400/05/06</v>
      </c>
      <c r="E1207" s="33">
        <v>44405</v>
      </c>
      <c r="F1207" s="32">
        <v>10069</v>
      </c>
      <c r="G1207" s="5" t="str">
        <f>INDEX(customer[عنوان],MATCH(Main[[#This Row],[کد ردیابی]],customer[کد],0))</f>
        <v xml:space="preserve">جواد عرب </v>
      </c>
      <c r="H1207">
        <v>-1982</v>
      </c>
      <c r="I1207" s="6">
        <f ca="1">-Main[[#This Row],[بدهی تسویه شده (کیلوگرم)]]+Main[[#This Row],[بستانکار (کیلوگرم)]]</f>
        <v>-1982</v>
      </c>
      <c r="J1207" s="6">
        <f>IF(Main[[#This Row],[مقدار (کیلوگرم)]]&gt;0,Main[[#This Row],[مقدار (کیلوگرم)]],0)</f>
        <v>0</v>
      </c>
      <c r="K1207" s="6">
        <f>-IF(Main[[#This Row],[مقدار (کیلوگرم)]]&lt;0,Main[[#This Row],[مقدار (کیلوگرم)]],0)</f>
        <v>1982</v>
      </c>
      <c r="L12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7" s="7">
        <f>-IF(AND(Main[[#This Row],[مقدار (کیلوگرم)]]&lt;0,Main[[#This Row],[تاريخ میلادی]]&gt;44276),Main[[#This Row],[مقدار (کیلوگرم)]],0)</f>
        <v>1982</v>
      </c>
      <c r="N1207" s="6">
        <f ca="1">Main[[#This Row],[بدهکار (کیلوگرم)]]-Main[[#This Row],[بدهی تسویه نشده (کیلوگرم)]]</f>
        <v>1982</v>
      </c>
      <c r="O1207" s="6">
        <f ca="1">Main[[#This Row],[تفکیک]]</f>
        <v>0</v>
      </c>
      <c r="P1207" s="6">
        <f ca="1">IF(Main[[#This Row],[تاخیر از سررسید]]&gt;0,Main[[#This Row],[بدهی تسویه نشده (کیلوگرم)]],0)</f>
        <v>0</v>
      </c>
      <c r="Q1207" s="6">
        <f ca="1">IF(Main[[#This Row],[بدهی تسویه نشده (کیلوگرم)]]&gt;0,'گزارش فردی'!$B$7-Main[[#This Row],[تاريخ میلادی]],0)</f>
        <v>0</v>
      </c>
      <c r="R1207" s="6">
        <f ca="1">IF(Main[[#This Row],[بدهی تسویه نشده (کیلوگرم)]]&gt;0,'گزارش فردی'!$B$7-Main[[#This Row],[تاريخ میلادی]]-'گزارش فردی'!$B$8,0)</f>
        <v>0</v>
      </c>
      <c r="S1207" s="6">
        <f ca="1">Main[[#This Row],[روز از ارسال سفارش]]*Main[[#This Row],[بدهی تسویه نشده (کیلوگرم)]]</f>
        <v>0</v>
      </c>
      <c r="T1207" s="6">
        <f ca="1">Main[[#This Row],[بدهی سررسید شده (کیلوگرم)]]*Main[[#This Row],[روز از ارسال سفارش]]</f>
        <v>0</v>
      </c>
      <c r="U1207" s="6">
        <f>-SUBTOTAL(9,INDEX(Main[مقدار (کیلوگرم)],1):Main[[#This Row],[مقدار (کیلوگرم)]])</f>
        <v>34092</v>
      </c>
      <c r="V12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7" s="6">
        <f>Main[[#This Row],[تعداد کل روزهای بدهکار (روز)]]*Main[[#This Row],[مانده در خط کل (کیلوگرم)]]</f>
        <v>0</v>
      </c>
      <c r="X1207" s="6">
        <f ca="1">-SUBTOTAL(9,INDEX(Main[مقدار تسویه شده (کیلوگرم)],1):Main[[#This Row],[مقدار تسویه شده (کیلوگرم)]])</f>
        <v>34092</v>
      </c>
      <c r="Y1207" s="6">
        <f ca="1">IF(Main[[#This Row],[مانده در خط تسویه شده (کیلوگرم)]]&lt;&gt;0,Main[[#This Row],[تعداد کل روزهای بدهکار (روز)]],0)</f>
        <v>0</v>
      </c>
      <c r="Z1207" s="6">
        <f ca="1">Main[[#This Row],[تعداد روزهای بدهکار تسویه شده (روز)]]*Main[[#This Row],[مانده در خط تسویه شده (کیلوگرم)]]</f>
        <v>0</v>
      </c>
      <c r="AA1207" s="6">
        <f ca="1">SUBTOTAL(9,INDEX(Main[بدهی تسویه نشده (کیلوگرم)],1):Main[[#This Row],[بدهی تسویه نشده (کیلوگرم)]])</f>
        <v>0</v>
      </c>
      <c r="AB1207" s="6">
        <f ca="1">IF(Main[[#This Row],[مانده در خط تسویه نشده (کیلوگرم)]]&lt;&gt;0,Main[[#This Row],[تعداد کل روزهای بدهکار (روز)]],0)</f>
        <v>0</v>
      </c>
      <c r="AC1207" s="6">
        <f ca="1">Main[[#This Row],[تعداد روزهای بدهکار  تسویه نشده (روز)]]*Main[[#This Row],[مانده در خط تسویه نشده (کیلوگرم)]]</f>
        <v>0</v>
      </c>
      <c r="AD1207" s="6">
        <f ca="1">SUBTOTAL(9,INDEX(Main[بدهی سررسید شده (کیلوگرم)],1):Main[[#This Row],[بدهی سررسید شده (کیلوگرم)]])</f>
        <v>0</v>
      </c>
      <c r="AE1207" s="6">
        <f ca="1">IF(Main[[#This Row],[مانده در خط سررسید شده (کیلوگرم)]]&lt;&gt;0,Main[[#This Row],[تعداد کل روزهای بدهکار (روز)]],0)</f>
        <v>0</v>
      </c>
      <c r="AF1207" s="6">
        <f ca="1">Main[[#This Row],[تعداد روزهای بدهکار سررسید شده (روز)]]*Main[[#This Row],[مانده در خط سررسید شده (کیلوگرم)]]</f>
        <v>0</v>
      </c>
    </row>
    <row r="1208" spans="1:32" hidden="1" x14ac:dyDescent="0.35">
      <c r="A1208" s="5">
        <f>ROW()-ROW(INDEX(Main[ردیف],1))+1</f>
        <v>1206</v>
      </c>
      <c r="B1208" s="31">
        <f>SUBTOTAL(2,INDEX(Main[ردیف],1):Main[[#This Row],[ردیف]])</f>
        <v>110</v>
      </c>
      <c r="C1208" s="32" t="s">
        <v>632</v>
      </c>
      <c r="D1208" s="32" t="str">
        <f>_xlfn.CONCAT("14",Main[[#This Row],[تاريخ]])</f>
        <v>1400/05/06</v>
      </c>
      <c r="E1208" s="33">
        <v>44405</v>
      </c>
      <c r="F1208" s="32">
        <v>30191</v>
      </c>
      <c r="G1208" s="5" t="str">
        <f>INDEX(customer[عنوان],MATCH(Main[[#This Row],[کد ردیابی]],customer[کد],0))</f>
        <v>ایران گرما</v>
      </c>
      <c r="H1208">
        <v>839</v>
      </c>
      <c r="I1208" s="6">
        <f ca="1">-Main[[#This Row],[بدهی تسویه شده (کیلوگرم)]]+Main[[#This Row],[بستانکار (کیلوگرم)]]</f>
        <v>839</v>
      </c>
      <c r="J1208" s="6">
        <f>IF(Main[[#This Row],[مقدار (کیلوگرم)]]&gt;0,Main[[#This Row],[مقدار (کیلوگرم)]],0)</f>
        <v>839</v>
      </c>
      <c r="K1208" s="6">
        <f>-IF(Main[[#This Row],[مقدار (کیلوگرم)]]&lt;0,Main[[#This Row],[مقدار (کیلوگرم)]],0)</f>
        <v>0</v>
      </c>
      <c r="L12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8" s="7">
        <f>-IF(AND(Main[[#This Row],[مقدار (کیلوگرم)]]&lt;0,Main[[#This Row],[تاريخ میلادی]]&gt;44276),Main[[#This Row],[مقدار (کیلوگرم)]],0)</f>
        <v>0</v>
      </c>
      <c r="N1208" s="6">
        <f ca="1">Main[[#This Row],[بدهکار (کیلوگرم)]]-Main[[#This Row],[بدهی تسویه نشده (کیلوگرم)]]</f>
        <v>0</v>
      </c>
      <c r="O1208" s="6">
        <f ca="1">Main[[#This Row],[تفکیک]]</f>
        <v>0</v>
      </c>
      <c r="P1208" s="6">
        <f ca="1">IF(Main[[#This Row],[تاخیر از سررسید]]&gt;0,Main[[#This Row],[بدهی تسویه نشده (کیلوگرم)]],0)</f>
        <v>0</v>
      </c>
      <c r="Q1208" s="6">
        <f ca="1">IF(Main[[#This Row],[بدهی تسویه نشده (کیلوگرم)]]&gt;0,'گزارش فردی'!$B$7-Main[[#This Row],[تاريخ میلادی]],0)</f>
        <v>0</v>
      </c>
      <c r="R1208" s="6">
        <f ca="1">IF(Main[[#This Row],[بدهی تسویه نشده (کیلوگرم)]]&gt;0,'گزارش فردی'!$B$7-Main[[#This Row],[تاريخ میلادی]]-'گزارش فردی'!$B$8,0)</f>
        <v>0</v>
      </c>
      <c r="S1208" s="6">
        <f ca="1">Main[[#This Row],[روز از ارسال سفارش]]*Main[[#This Row],[بدهی تسویه نشده (کیلوگرم)]]</f>
        <v>0</v>
      </c>
      <c r="T1208" s="6">
        <f ca="1">Main[[#This Row],[بدهی سررسید شده (کیلوگرم)]]*Main[[#This Row],[روز از ارسال سفارش]]</f>
        <v>0</v>
      </c>
      <c r="U1208" s="6">
        <f>-SUBTOTAL(9,INDEX(Main[مقدار (کیلوگرم)],1):Main[[#This Row],[مقدار (کیلوگرم)]])</f>
        <v>34092</v>
      </c>
      <c r="V12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8" s="6">
        <f>Main[[#This Row],[تعداد کل روزهای بدهکار (روز)]]*Main[[#This Row],[مانده در خط کل (کیلوگرم)]]</f>
        <v>0</v>
      </c>
      <c r="X1208" s="6">
        <f ca="1">-SUBTOTAL(9,INDEX(Main[مقدار تسویه شده (کیلوگرم)],1):Main[[#This Row],[مقدار تسویه شده (کیلوگرم)]])</f>
        <v>34092</v>
      </c>
      <c r="Y1208" s="6">
        <f ca="1">IF(Main[[#This Row],[مانده در خط تسویه شده (کیلوگرم)]]&lt;&gt;0,Main[[#This Row],[تعداد کل روزهای بدهکار (روز)]],0)</f>
        <v>0</v>
      </c>
      <c r="Z1208" s="6">
        <f ca="1">Main[[#This Row],[تعداد روزهای بدهکار تسویه شده (روز)]]*Main[[#This Row],[مانده در خط تسویه شده (کیلوگرم)]]</f>
        <v>0</v>
      </c>
      <c r="AA1208" s="6">
        <f ca="1">SUBTOTAL(9,INDEX(Main[بدهی تسویه نشده (کیلوگرم)],1):Main[[#This Row],[بدهی تسویه نشده (کیلوگرم)]])</f>
        <v>0</v>
      </c>
      <c r="AB1208" s="6">
        <f ca="1">IF(Main[[#This Row],[مانده در خط تسویه نشده (کیلوگرم)]]&lt;&gt;0,Main[[#This Row],[تعداد کل روزهای بدهکار (روز)]],0)</f>
        <v>0</v>
      </c>
      <c r="AC1208" s="6">
        <f ca="1">Main[[#This Row],[تعداد روزهای بدهکار  تسویه نشده (روز)]]*Main[[#This Row],[مانده در خط تسویه نشده (کیلوگرم)]]</f>
        <v>0</v>
      </c>
      <c r="AD1208" s="6">
        <f ca="1">SUBTOTAL(9,INDEX(Main[بدهی سررسید شده (کیلوگرم)],1):Main[[#This Row],[بدهی سررسید شده (کیلوگرم)]])</f>
        <v>0</v>
      </c>
      <c r="AE1208" s="6">
        <f ca="1">IF(Main[[#This Row],[مانده در خط سررسید شده (کیلوگرم)]]&lt;&gt;0,Main[[#This Row],[تعداد کل روزهای بدهکار (روز)]],0)</f>
        <v>0</v>
      </c>
      <c r="AF1208" s="6">
        <f ca="1">Main[[#This Row],[تعداد روزهای بدهکار سررسید شده (روز)]]*Main[[#This Row],[مانده در خط سررسید شده (کیلوگرم)]]</f>
        <v>0</v>
      </c>
    </row>
    <row r="1209" spans="1:32" x14ac:dyDescent="0.35">
      <c r="A1209" s="5">
        <f>ROW()-ROW(INDEX(Main[ردیف],1))+1</f>
        <v>1207</v>
      </c>
      <c r="B1209" s="31">
        <f>SUBTOTAL(2,INDEX(Main[ردیف],1):Main[[#This Row],[ردیف]])</f>
        <v>111</v>
      </c>
      <c r="C1209" s="32" t="s">
        <v>632</v>
      </c>
      <c r="D1209" s="32" t="str">
        <f>_xlfn.CONCAT("14",Main[[#This Row],[تاريخ]])</f>
        <v>1400/05/06</v>
      </c>
      <c r="E1209" s="33">
        <v>44405</v>
      </c>
      <c r="F1209" s="32">
        <v>10003</v>
      </c>
      <c r="G1209" s="5" t="str">
        <f>INDEX(customer[عنوان],MATCH(Main[[#This Row],[کد ردیابی]],customer[کد],0))</f>
        <v>اصغر نورعلی</v>
      </c>
      <c r="H1209">
        <v>-4026</v>
      </c>
      <c r="I1209" s="6">
        <f ca="1">-Main[[#This Row],[بدهی تسویه شده (کیلوگرم)]]+Main[[#This Row],[بستانکار (کیلوگرم)]]</f>
        <v>-4026</v>
      </c>
      <c r="J1209" s="6">
        <f>IF(Main[[#This Row],[مقدار (کیلوگرم)]]&gt;0,Main[[#This Row],[مقدار (کیلوگرم)]],0)</f>
        <v>0</v>
      </c>
      <c r="K1209" s="6">
        <f>-IF(Main[[#This Row],[مقدار (کیلوگرم)]]&lt;0,Main[[#This Row],[مقدار (کیلوگرم)]],0)</f>
        <v>4026</v>
      </c>
      <c r="L12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9" s="7">
        <f>-IF(AND(Main[[#This Row],[مقدار (کیلوگرم)]]&lt;0,Main[[#This Row],[تاريخ میلادی]]&gt;44276),Main[[#This Row],[مقدار (کیلوگرم)]],0)</f>
        <v>4026</v>
      </c>
      <c r="N1209" s="6">
        <f ca="1">Main[[#This Row],[بدهکار (کیلوگرم)]]-Main[[#This Row],[بدهی تسویه نشده (کیلوگرم)]]</f>
        <v>4026</v>
      </c>
      <c r="O1209" s="6">
        <f ca="1">Main[[#This Row],[تفکیک]]</f>
        <v>0</v>
      </c>
      <c r="P1209" s="6">
        <f ca="1">IF(Main[[#This Row],[تاخیر از سررسید]]&gt;0,Main[[#This Row],[بدهی تسویه نشده (کیلوگرم)]],0)</f>
        <v>0</v>
      </c>
      <c r="Q1209" s="6">
        <f ca="1">IF(Main[[#This Row],[بدهی تسویه نشده (کیلوگرم)]]&gt;0,'گزارش فردی'!$B$7-Main[[#This Row],[تاريخ میلادی]],0)</f>
        <v>0</v>
      </c>
      <c r="R1209" s="6">
        <f ca="1">IF(Main[[#This Row],[بدهی تسویه نشده (کیلوگرم)]]&gt;0,'گزارش فردی'!$B$7-Main[[#This Row],[تاريخ میلادی]]-'گزارش فردی'!$B$8,0)</f>
        <v>0</v>
      </c>
      <c r="S1209" s="6">
        <f ca="1">Main[[#This Row],[روز از ارسال سفارش]]*Main[[#This Row],[بدهی تسویه نشده (کیلوگرم)]]</f>
        <v>0</v>
      </c>
      <c r="T1209" s="6">
        <f ca="1">Main[[#This Row],[بدهی سررسید شده (کیلوگرم)]]*Main[[#This Row],[روز از ارسال سفارش]]</f>
        <v>0</v>
      </c>
      <c r="U1209" s="6">
        <f>-SUBTOTAL(9,INDEX(Main[مقدار (کیلوگرم)],1):Main[[#This Row],[مقدار (کیلوگرم)]])</f>
        <v>38118</v>
      </c>
      <c r="V120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09" s="6">
        <f>Main[[#This Row],[تعداد کل روزهای بدهکار (روز)]]*Main[[#This Row],[مانده در خط کل (کیلوگرم)]]</f>
        <v>114354</v>
      </c>
      <c r="X1209" s="6">
        <f ca="1">-SUBTOTAL(9,INDEX(Main[مقدار تسویه شده (کیلوگرم)],1):Main[[#This Row],[مقدار تسویه شده (کیلوگرم)]])</f>
        <v>38118</v>
      </c>
      <c r="Y1209" s="6">
        <f ca="1">IF(Main[[#This Row],[مانده در خط تسویه شده (کیلوگرم)]]&lt;&gt;0,Main[[#This Row],[تعداد کل روزهای بدهکار (روز)]],0)</f>
        <v>3</v>
      </c>
      <c r="Z1209" s="6">
        <f ca="1">Main[[#This Row],[تعداد روزهای بدهکار تسویه شده (روز)]]*Main[[#This Row],[مانده در خط تسویه شده (کیلوگرم)]]</f>
        <v>114354</v>
      </c>
      <c r="AA1209" s="6">
        <f ca="1">SUBTOTAL(9,INDEX(Main[بدهی تسویه نشده (کیلوگرم)],1):Main[[#This Row],[بدهی تسویه نشده (کیلوگرم)]])</f>
        <v>0</v>
      </c>
      <c r="AB1209" s="6">
        <f ca="1">IF(Main[[#This Row],[مانده در خط تسویه نشده (کیلوگرم)]]&lt;&gt;0,Main[[#This Row],[تعداد کل روزهای بدهکار (روز)]],0)</f>
        <v>0</v>
      </c>
      <c r="AC1209" s="6">
        <f ca="1">Main[[#This Row],[تعداد روزهای بدهکار  تسویه نشده (روز)]]*Main[[#This Row],[مانده در خط تسویه نشده (کیلوگرم)]]</f>
        <v>0</v>
      </c>
      <c r="AD1209" s="6">
        <f ca="1">SUBTOTAL(9,INDEX(Main[بدهی سررسید شده (کیلوگرم)],1):Main[[#This Row],[بدهی سررسید شده (کیلوگرم)]])</f>
        <v>0</v>
      </c>
      <c r="AE1209" s="6">
        <f ca="1">IF(Main[[#This Row],[مانده در خط سررسید شده (کیلوگرم)]]&lt;&gt;0,Main[[#This Row],[تعداد کل روزهای بدهکار (روز)]],0)</f>
        <v>0</v>
      </c>
      <c r="AF1209" s="6">
        <f ca="1">Main[[#This Row],[تعداد روزهای بدهکار سررسید شده (روز)]]*Main[[#This Row],[مانده در خط سررسید شده (کیلوگرم)]]</f>
        <v>0</v>
      </c>
    </row>
    <row r="1210" spans="1:32" hidden="1" x14ac:dyDescent="0.35">
      <c r="A1210" s="5">
        <f>ROW()-ROW(INDEX(Main[ردیف],1))+1</f>
        <v>1208</v>
      </c>
      <c r="B1210" s="31">
        <f>SUBTOTAL(2,INDEX(Main[ردیف],1):Main[[#This Row],[ردیف]])</f>
        <v>111</v>
      </c>
      <c r="C1210" s="32" t="s">
        <v>632</v>
      </c>
      <c r="D1210" s="32" t="str">
        <f>_xlfn.CONCAT("14",Main[[#This Row],[تاريخ]])</f>
        <v>1400/05/06</v>
      </c>
      <c r="E1210" s="33">
        <v>44405</v>
      </c>
      <c r="F1210" s="32">
        <v>30004</v>
      </c>
      <c r="G1210" s="5" t="str">
        <f>INDEX(customer[عنوان],MATCH(Main[[#This Row],[کد ردیابی]],customer[کد],0))</f>
        <v>تولیدی صنعتی صفاشیر پارس</v>
      </c>
      <c r="H1210">
        <v>2559</v>
      </c>
      <c r="I1210" s="6">
        <f ca="1">-Main[[#This Row],[بدهی تسویه شده (کیلوگرم)]]+Main[[#This Row],[بستانکار (کیلوگرم)]]</f>
        <v>2559</v>
      </c>
      <c r="J1210" s="6">
        <f>IF(Main[[#This Row],[مقدار (کیلوگرم)]]&gt;0,Main[[#This Row],[مقدار (کیلوگرم)]],0)</f>
        <v>2559</v>
      </c>
      <c r="K1210" s="6">
        <f>-IF(Main[[#This Row],[مقدار (کیلوگرم)]]&lt;0,Main[[#This Row],[مقدار (کیلوگرم)]],0)</f>
        <v>0</v>
      </c>
      <c r="L12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0" s="7">
        <f>-IF(AND(Main[[#This Row],[مقدار (کیلوگرم)]]&lt;0,Main[[#This Row],[تاريخ میلادی]]&gt;44276),Main[[#This Row],[مقدار (کیلوگرم)]],0)</f>
        <v>0</v>
      </c>
      <c r="N1210" s="6">
        <f ca="1">Main[[#This Row],[بدهکار (کیلوگرم)]]-Main[[#This Row],[بدهی تسویه نشده (کیلوگرم)]]</f>
        <v>0</v>
      </c>
      <c r="O1210" s="6">
        <f ca="1">Main[[#This Row],[تفکیک]]</f>
        <v>0</v>
      </c>
      <c r="P1210" s="6">
        <f ca="1">IF(Main[[#This Row],[تاخیر از سررسید]]&gt;0,Main[[#This Row],[بدهی تسویه نشده (کیلوگرم)]],0)</f>
        <v>0</v>
      </c>
      <c r="Q1210" s="6">
        <f ca="1">IF(Main[[#This Row],[بدهی تسویه نشده (کیلوگرم)]]&gt;0,'گزارش فردی'!$B$7-Main[[#This Row],[تاريخ میلادی]],0)</f>
        <v>0</v>
      </c>
      <c r="R1210" s="6">
        <f ca="1">IF(Main[[#This Row],[بدهی تسویه نشده (کیلوگرم)]]&gt;0,'گزارش فردی'!$B$7-Main[[#This Row],[تاريخ میلادی]]-'گزارش فردی'!$B$8,0)</f>
        <v>0</v>
      </c>
      <c r="S1210" s="6">
        <f ca="1">Main[[#This Row],[روز از ارسال سفارش]]*Main[[#This Row],[بدهی تسویه نشده (کیلوگرم)]]</f>
        <v>0</v>
      </c>
      <c r="T1210" s="6">
        <f ca="1">Main[[#This Row],[بدهی سررسید شده (کیلوگرم)]]*Main[[#This Row],[روز از ارسال سفارش]]</f>
        <v>0</v>
      </c>
      <c r="U1210" s="6">
        <f>-SUBTOTAL(9,INDEX(Main[مقدار (کیلوگرم)],1):Main[[#This Row],[مقدار (کیلوگرم)]])</f>
        <v>38118</v>
      </c>
      <c r="V121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0" s="6">
        <f>Main[[#This Row],[تعداد کل روزهای بدهکار (روز)]]*Main[[#This Row],[مانده در خط کل (کیلوگرم)]]</f>
        <v>114354</v>
      </c>
      <c r="X1210" s="6">
        <f ca="1">-SUBTOTAL(9,INDEX(Main[مقدار تسویه شده (کیلوگرم)],1):Main[[#This Row],[مقدار تسویه شده (کیلوگرم)]])</f>
        <v>38118</v>
      </c>
      <c r="Y1210" s="6">
        <f ca="1">IF(Main[[#This Row],[مانده در خط تسویه شده (کیلوگرم)]]&lt;&gt;0,Main[[#This Row],[تعداد کل روزهای بدهکار (روز)]],0)</f>
        <v>3</v>
      </c>
      <c r="Z1210" s="6">
        <f ca="1">Main[[#This Row],[تعداد روزهای بدهکار تسویه شده (روز)]]*Main[[#This Row],[مانده در خط تسویه شده (کیلوگرم)]]</f>
        <v>114354</v>
      </c>
      <c r="AA1210" s="6">
        <f ca="1">SUBTOTAL(9,INDEX(Main[بدهی تسویه نشده (کیلوگرم)],1):Main[[#This Row],[بدهی تسویه نشده (کیلوگرم)]])</f>
        <v>0</v>
      </c>
      <c r="AB1210" s="6">
        <f ca="1">IF(Main[[#This Row],[مانده در خط تسویه نشده (کیلوگرم)]]&lt;&gt;0,Main[[#This Row],[تعداد کل روزهای بدهکار (روز)]],0)</f>
        <v>0</v>
      </c>
      <c r="AC1210" s="6">
        <f ca="1">Main[[#This Row],[تعداد روزهای بدهکار  تسویه نشده (روز)]]*Main[[#This Row],[مانده در خط تسویه نشده (کیلوگرم)]]</f>
        <v>0</v>
      </c>
      <c r="AD1210" s="6">
        <f ca="1">SUBTOTAL(9,INDEX(Main[بدهی سررسید شده (کیلوگرم)],1):Main[[#This Row],[بدهی سررسید شده (کیلوگرم)]])</f>
        <v>0</v>
      </c>
      <c r="AE1210" s="6">
        <f ca="1">IF(Main[[#This Row],[مانده در خط سررسید شده (کیلوگرم)]]&lt;&gt;0,Main[[#This Row],[تعداد کل روزهای بدهکار (روز)]],0)</f>
        <v>0</v>
      </c>
      <c r="AF1210" s="6">
        <f ca="1">Main[[#This Row],[تعداد روزهای بدهکار سررسید شده (روز)]]*Main[[#This Row],[مانده در خط سررسید شده (کیلوگرم)]]</f>
        <v>0</v>
      </c>
    </row>
    <row r="1211" spans="1:32" hidden="1" x14ac:dyDescent="0.35">
      <c r="A1211" s="5">
        <f>ROW()-ROW(INDEX(Main[ردیف],1))+1</f>
        <v>1209</v>
      </c>
      <c r="B1211" s="31">
        <f>SUBTOTAL(2,INDEX(Main[ردیف],1):Main[[#This Row],[ردیف]])</f>
        <v>111</v>
      </c>
      <c r="C1211" s="32" t="s">
        <v>632</v>
      </c>
      <c r="D1211" s="32" t="str">
        <f>_xlfn.CONCAT("14",Main[[#This Row],[تاريخ]])</f>
        <v>1400/05/06</v>
      </c>
      <c r="E1211" s="33">
        <v>44405</v>
      </c>
      <c r="F1211" s="32">
        <v>10026</v>
      </c>
      <c r="G1211" s="5" t="str">
        <f>INDEX(customer[عنوان],MATCH(Main[[#This Row],[کد ردیابی]],customer[کد],0))</f>
        <v xml:space="preserve">محسن فیاض بخش </v>
      </c>
      <c r="H1211">
        <v>-1064</v>
      </c>
      <c r="I1211" s="6">
        <f ca="1">-Main[[#This Row],[بدهی تسویه شده (کیلوگرم)]]+Main[[#This Row],[بستانکار (کیلوگرم)]]</f>
        <v>-1064</v>
      </c>
      <c r="J1211" s="6">
        <f>IF(Main[[#This Row],[مقدار (کیلوگرم)]]&gt;0,Main[[#This Row],[مقدار (کیلوگرم)]],0)</f>
        <v>0</v>
      </c>
      <c r="K1211" s="6">
        <f>-IF(Main[[#This Row],[مقدار (کیلوگرم)]]&lt;0,Main[[#This Row],[مقدار (کیلوگرم)]],0)</f>
        <v>1064</v>
      </c>
      <c r="L12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1" s="7">
        <f>-IF(AND(Main[[#This Row],[مقدار (کیلوگرم)]]&lt;0,Main[[#This Row],[تاريخ میلادی]]&gt;44276),Main[[#This Row],[مقدار (کیلوگرم)]],0)</f>
        <v>1064</v>
      </c>
      <c r="N1211" s="6">
        <f ca="1">Main[[#This Row],[بدهکار (کیلوگرم)]]-Main[[#This Row],[بدهی تسویه نشده (کیلوگرم)]]</f>
        <v>1064</v>
      </c>
      <c r="O1211" s="6">
        <f ca="1">Main[[#This Row],[تفکیک]]</f>
        <v>0</v>
      </c>
      <c r="P1211" s="6">
        <f ca="1">IF(Main[[#This Row],[تاخیر از سررسید]]&gt;0,Main[[#This Row],[بدهی تسویه نشده (کیلوگرم)]],0)</f>
        <v>0</v>
      </c>
      <c r="Q1211" s="6">
        <f ca="1">IF(Main[[#This Row],[بدهی تسویه نشده (کیلوگرم)]]&gt;0,'گزارش فردی'!$B$7-Main[[#This Row],[تاريخ میلادی]],0)</f>
        <v>0</v>
      </c>
      <c r="R1211" s="6">
        <f ca="1">IF(Main[[#This Row],[بدهی تسویه نشده (کیلوگرم)]]&gt;0,'گزارش فردی'!$B$7-Main[[#This Row],[تاريخ میلادی]]-'گزارش فردی'!$B$8,0)</f>
        <v>0</v>
      </c>
      <c r="S1211" s="6">
        <f ca="1">Main[[#This Row],[روز از ارسال سفارش]]*Main[[#This Row],[بدهی تسویه نشده (کیلوگرم)]]</f>
        <v>0</v>
      </c>
      <c r="T1211" s="6">
        <f ca="1">Main[[#This Row],[بدهی سررسید شده (کیلوگرم)]]*Main[[#This Row],[روز از ارسال سفارش]]</f>
        <v>0</v>
      </c>
      <c r="U1211" s="6">
        <f>-SUBTOTAL(9,INDEX(Main[مقدار (کیلوگرم)],1):Main[[#This Row],[مقدار (کیلوگرم)]])</f>
        <v>38118</v>
      </c>
      <c r="V121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1" s="6">
        <f>Main[[#This Row],[تعداد کل روزهای بدهکار (روز)]]*Main[[#This Row],[مانده در خط کل (کیلوگرم)]]</f>
        <v>114354</v>
      </c>
      <c r="X1211" s="6">
        <f ca="1">-SUBTOTAL(9,INDEX(Main[مقدار تسویه شده (کیلوگرم)],1):Main[[#This Row],[مقدار تسویه شده (کیلوگرم)]])</f>
        <v>38118</v>
      </c>
      <c r="Y1211" s="6">
        <f ca="1">IF(Main[[#This Row],[مانده در خط تسویه شده (کیلوگرم)]]&lt;&gt;0,Main[[#This Row],[تعداد کل روزهای بدهکار (روز)]],0)</f>
        <v>3</v>
      </c>
      <c r="Z1211" s="6">
        <f ca="1">Main[[#This Row],[تعداد روزهای بدهکار تسویه شده (روز)]]*Main[[#This Row],[مانده در خط تسویه شده (کیلوگرم)]]</f>
        <v>114354</v>
      </c>
      <c r="AA1211" s="6">
        <f ca="1">SUBTOTAL(9,INDEX(Main[بدهی تسویه نشده (کیلوگرم)],1):Main[[#This Row],[بدهی تسویه نشده (کیلوگرم)]])</f>
        <v>0</v>
      </c>
      <c r="AB1211" s="6">
        <f ca="1">IF(Main[[#This Row],[مانده در خط تسویه نشده (کیلوگرم)]]&lt;&gt;0,Main[[#This Row],[تعداد کل روزهای بدهکار (روز)]],0)</f>
        <v>0</v>
      </c>
      <c r="AC1211" s="6">
        <f ca="1">Main[[#This Row],[تعداد روزهای بدهکار  تسویه نشده (روز)]]*Main[[#This Row],[مانده در خط تسویه نشده (کیلوگرم)]]</f>
        <v>0</v>
      </c>
      <c r="AD1211" s="6">
        <f ca="1">SUBTOTAL(9,INDEX(Main[بدهی سررسید شده (کیلوگرم)],1):Main[[#This Row],[بدهی سررسید شده (کیلوگرم)]])</f>
        <v>0</v>
      </c>
      <c r="AE1211" s="6">
        <f ca="1">IF(Main[[#This Row],[مانده در خط سررسید شده (کیلوگرم)]]&lt;&gt;0,Main[[#This Row],[تعداد کل روزهای بدهکار (روز)]],0)</f>
        <v>0</v>
      </c>
      <c r="AF1211" s="6">
        <f ca="1">Main[[#This Row],[تعداد روزهای بدهکار سررسید شده (روز)]]*Main[[#This Row],[مانده در خط سررسید شده (کیلوگرم)]]</f>
        <v>0</v>
      </c>
    </row>
    <row r="1212" spans="1:32" hidden="1" x14ac:dyDescent="0.35">
      <c r="A1212" s="5">
        <f>ROW()-ROW(INDEX(Main[ردیف],1))+1</f>
        <v>1210</v>
      </c>
      <c r="B1212" s="31">
        <f>SUBTOTAL(2,INDEX(Main[ردیف],1):Main[[#This Row],[ردیف]])</f>
        <v>111</v>
      </c>
      <c r="C1212" s="32" t="s">
        <v>632</v>
      </c>
      <c r="D1212" s="32" t="str">
        <f>_xlfn.CONCAT("14",Main[[#This Row],[تاريخ]])</f>
        <v>1400/05/06</v>
      </c>
      <c r="E1212" s="33">
        <v>44405</v>
      </c>
      <c r="F1212" s="32">
        <v>30127</v>
      </c>
      <c r="G1212" s="5" t="str">
        <f>INDEX(customer[عنوان],MATCH(Main[[#This Row],[کد ردیابی]],customer[کد],0))</f>
        <v>شیر گاز آذران</v>
      </c>
      <c r="H1212">
        <v>14852</v>
      </c>
      <c r="I1212" s="6">
        <f ca="1">-Main[[#This Row],[بدهی تسویه شده (کیلوگرم)]]+Main[[#This Row],[بستانکار (کیلوگرم)]]</f>
        <v>14852</v>
      </c>
      <c r="J1212" s="6">
        <f>IF(Main[[#This Row],[مقدار (کیلوگرم)]]&gt;0,Main[[#This Row],[مقدار (کیلوگرم)]],0)</f>
        <v>14852</v>
      </c>
      <c r="K1212" s="6">
        <f>-IF(Main[[#This Row],[مقدار (کیلوگرم)]]&lt;0,Main[[#This Row],[مقدار (کیلوگرم)]],0)</f>
        <v>0</v>
      </c>
      <c r="L12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2" s="7">
        <f>-IF(AND(Main[[#This Row],[مقدار (کیلوگرم)]]&lt;0,Main[[#This Row],[تاريخ میلادی]]&gt;44276),Main[[#This Row],[مقدار (کیلوگرم)]],0)</f>
        <v>0</v>
      </c>
      <c r="N1212" s="6">
        <f ca="1">Main[[#This Row],[بدهکار (کیلوگرم)]]-Main[[#This Row],[بدهی تسویه نشده (کیلوگرم)]]</f>
        <v>0</v>
      </c>
      <c r="O1212" s="6">
        <f ca="1">Main[[#This Row],[تفکیک]]</f>
        <v>0</v>
      </c>
      <c r="P1212" s="6">
        <f ca="1">IF(Main[[#This Row],[تاخیر از سررسید]]&gt;0,Main[[#This Row],[بدهی تسویه نشده (کیلوگرم)]],0)</f>
        <v>0</v>
      </c>
      <c r="Q1212" s="6">
        <f ca="1">IF(Main[[#This Row],[بدهی تسویه نشده (کیلوگرم)]]&gt;0,'گزارش فردی'!$B$7-Main[[#This Row],[تاريخ میلادی]],0)</f>
        <v>0</v>
      </c>
      <c r="R1212" s="6">
        <f ca="1">IF(Main[[#This Row],[بدهی تسویه نشده (کیلوگرم)]]&gt;0,'گزارش فردی'!$B$7-Main[[#This Row],[تاريخ میلادی]]-'گزارش فردی'!$B$8,0)</f>
        <v>0</v>
      </c>
      <c r="S1212" s="6">
        <f ca="1">Main[[#This Row],[روز از ارسال سفارش]]*Main[[#This Row],[بدهی تسویه نشده (کیلوگرم)]]</f>
        <v>0</v>
      </c>
      <c r="T1212" s="6">
        <f ca="1">Main[[#This Row],[بدهی سررسید شده (کیلوگرم)]]*Main[[#This Row],[روز از ارسال سفارش]]</f>
        <v>0</v>
      </c>
      <c r="U1212" s="6">
        <f>-SUBTOTAL(9,INDEX(Main[مقدار (کیلوگرم)],1):Main[[#This Row],[مقدار (کیلوگرم)]])</f>
        <v>38118</v>
      </c>
      <c r="V121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2" s="6">
        <f>Main[[#This Row],[تعداد کل روزهای بدهکار (روز)]]*Main[[#This Row],[مانده در خط کل (کیلوگرم)]]</f>
        <v>114354</v>
      </c>
      <c r="X1212" s="6">
        <f ca="1">-SUBTOTAL(9,INDEX(Main[مقدار تسویه شده (کیلوگرم)],1):Main[[#This Row],[مقدار تسویه شده (کیلوگرم)]])</f>
        <v>38118</v>
      </c>
      <c r="Y1212" s="6">
        <f ca="1">IF(Main[[#This Row],[مانده در خط تسویه شده (کیلوگرم)]]&lt;&gt;0,Main[[#This Row],[تعداد کل روزهای بدهکار (روز)]],0)</f>
        <v>3</v>
      </c>
      <c r="Z1212" s="6">
        <f ca="1">Main[[#This Row],[تعداد روزهای بدهکار تسویه شده (روز)]]*Main[[#This Row],[مانده در خط تسویه شده (کیلوگرم)]]</f>
        <v>114354</v>
      </c>
      <c r="AA1212" s="6">
        <f ca="1">SUBTOTAL(9,INDEX(Main[بدهی تسویه نشده (کیلوگرم)],1):Main[[#This Row],[بدهی تسویه نشده (کیلوگرم)]])</f>
        <v>0</v>
      </c>
      <c r="AB1212" s="6">
        <f ca="1">IF(Main[[#This Row],[مانده در خط تسویه نشده (کیلوگرم)]]&lt;&gt;0,Main[[#This Row],[تعداد کل روزهای بدهکار (روز)]],0)</f>
        <v>0</v>
      </c>
      <c r="AC1212" s="6">
        <f ca="1">Main[[#This Row],[تعداد روزهای بدهکار  تسویه نشده (روز)]]*Main[[#This Row],[مانده در خط تسویه نشده (کیلوگرم)]]</f>
        <v>0</v>
      </c>
      <c r="AD1212" s="6">
        <f ca="1">SUBTOTAL(9,INDEX(Main[بدهی سررسید شده (کیلوگرم)],1):Main[[#This Row],[بدهی سررسید شده (کیلوگرم)]])</f>
        <v>0</v>
      </c>
      <c r="AE1212" s="6">
        <f ca="1">IF(Main[[#This Row],[مانده در خط سررسید شده (کیلوگرم)]]&lt;&gt;0,Main[[#This Row],[تعداد کل روزهای بدهکار (روز)]],0)</f>
        <v>0</v>
      </c>
      <c r="AF1212" s="6">
        <f ca="1">Main[[#This Row],[تعداد روزهای بدهکار سررسید شده (روز)]]*Main[[#This Row],[مانده در خط سررسید شده (کیلوگرم)]]</f>
        <v>0</v>
      </c>
    </row>
    <row r="1213" spans="1:32" hidden="1" x14ac:dyDescent="0.35">
      <c r="A1213" s="5">
        <f>ROW()-ROW(INDEX(Main[ردیف],1))+1</f>
        <v>1211</v>
      </c>
      <c r="B1213" s="31">
        <f>SUBTOTAL(2,INDEX(Main[ردیف],1):Main[[#This Row],[ردیف]])</f>
        <v>111</v>
      </c>
      <c r="C1213" s="32" t="s">
        <v>632</v>
      </c>
      <c r="D1213" s="32" t="str">
        <f>_xlfn.CONCAT("14",Main[[#This Row],[تاريخ]])</f>
        <v>1400/05/06</v>
      </c>
      <c r="E1213" s="33">
        <v>44405</v>
      </c>
      <c r="F1213" s="32">
        <v>10055</v>
      </c>
      <c r="G1213" s="5" t="str">
        <f>INDEX(customer[عنوان],MATCH(Main[[#This Row],[کد ردیابی]],customer[کد],0))</f>
        <v xml:space="preserve">مریم فیض آبادی  </v>
      </c>
      <c r="H1213">
        <v>-4223</v>
      </c>
      <c r="I1213" s="6">
        <f ca="1">-Main[[#This Row],[بدهی تسویه شده (کیلوگرم)]]+Main[[#This Row],[بستانکار (کیلوگرم)]]</f>
        <v>-4223</v>
      </c>
      <c r="J1213" s="6">
        <f>IF(Main[[#This Row],[مقدار (کیلوگرم)]]&gt;0,Main[[#This Row],[مقدار (کیلوگرم)]],0)</f>
        <v>0</v>
      </c>
      <c r="K1213" s="6">
        <f>-IF(Main[[#This Row],[مقدار (کیلوگرم)]]&lt;0,Main[[#This Row],[مقدار (کیلوگرم)]],0)</f>
        <v>4223</v>
      </c>
      <c r="L12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3" s="7">
        <f>-IF(AND(Main[[#This Row],[مقدار (کیلوگرم)]]&lt;0,Main[[#This Row],[تاريخ میلادی]]&gt;44276),Main[[#This Row],[مقدار (کیلوگرم)]],0)</f>
        <v>4223</v>
      </c>
      <c r="N1213" s="6">
        <f ca="1">Main[[#This Row],[بدهکار (کیلوگرم)]]-Main[[#This Row],[بدهی تسویه نشده (کیلوگرم)]]</f>
        <v>4223</v>
      </c>
      <c r="O1213" s="6">
        <f ca="1">Main[[#This Row],[تفکیک]]</f>
        <v>0</v>
      </c>
      <c r="P1213" s="6">
        <f ca="1">IF(Main[[#This Row],[تاخیر از سررسید]]&gt;0,Main[[#This Row],[بدهی تسویه نشده (کیلوگرم)]],0)</f>
        <v>0</v>
      </c>
      <c r="Q1213" s="6">
        <f ca="1">IF(Main[[#This Row],[بدهی تسویه نشده (کیلوگرم)]]&gt;0,'گزارش فردی'!$B$7-Main[[#This Row],[تاريخ میلادی]],0)</f>
        <v>0</v>
      </c>
      <c r="R1213" s="6">
        <f ca="1">IF(Main[[#This Row],[بدهی تسویه نشده (کیلوگرم)]]&gt;0,'گزارش فردی'!$B$7-Main[[#This Row],[تاريخ میلادی]]-'گزارش فردی'!$B$8,0)</f>
        <v>0</v>
      </c>
      <c r="S1213" s="6">
        <f ca="1">Main[[#This Row],[روز از ارسال سفارش]]*Main[[#This Row],[بدهی تسویه نشده (کیلوگرم)]]</f>
        <v>0</v>
      </c>
      <c r="T1213" s="6">
        <f ca="1">Main[[#This Row],[بدهی سررسید شده (کیلوگرم)]]*Main[[#This Row],[روز از ارسال سفارش]]</f>
        <v>0</v>
      </c>
      <c r="U1213" s="6">
        <f>-SUBTOTAL(9,INDEX(Main[مقدار (کیلوگرم)],1):Main[[#This Row],[مقدار (کیلوگرم)]])</f>
        <v>38118</v>
      </c>
      <c r="V121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3" s="6">
        <f>Main[[#This Row],[تعداد کل روزهای بدهکار (روز)]]*Main[[#This Row],[مانده در خط کل (کیلوگرم)]]</f>
        <v>114354</v>
      </c>
      <c r="X1213" s="6">
        <f ca="1">-SUBTOTAL(9,INDEX(Main[مقدار تسویه شده (کیلوگرم)],1):Main[[#This Row],[مقدار تسویه شده (کیلوگرم)]])</f>
        <v>38118</v>
      </c>
      <c r="Y1213" s="6">
        <f ca="1">IF(Main[[#This Row],[مانده در خط تسویه شده (کیلوگرم)]]&lt;&gt;0,Main[[#This Row],[تعداد کل روزهای بدهکار (روز)]],0)</f>
        <v>3</v>
      </c>
      <c r="Z1213" s="6">
        <f ca="1">Main[[#This Row],[تعداد روزهای بدهکار تسویه شده (روز)]]*Main[[#This Row],[مانده در خط تسویه شده (کیلوگرم)]]</f>
        <v>114354</v>
      </c>
      <c r="AA1213" s="6">
        <f ca="1">SUBTOTAL(9,INDEX(Main[بدهی تسویه نشده (کیلوگرم)],1):Main[[#This Row],[بدهی تسویه نشده (کیلوگرم)]])</f>
        <v>0</v>
      </c>
      <c r="AB1213" s="6">
        <f ca="1">IF(Main[[#This Row],[مانده در خط تسویه نشده (کیلوگرم)]]&lt;&gt;0,Main[[#This Row],[تعداد کل روزهای بدهکار (روز)]],0)</f>
        <v>0</v>
      </c>
      <c r="AC1213" s="6">
        <f ca="1">Main[[#This Row],[تعداد روزهای بدهکار  تسویه نشده (روز)]]*Main[[#This Row],[مانده در خط تسویه نشده (کیلوگرم)]]</f>
        <v>0</v>
      </c>
      <c r="AD1213" s="6">
        <f ca="1">SUBTOTAL(9,INDEX(Main[بدهی سررسید شده (کیلوگرم)],1):Main[[#This Row],[بدهی سررسید شده (کیلوگرم)]])</f>
        <v>0</v>
      </c>
      <c r="AE1213" s="6">
        <f ca="1">IF(Main[[#This Row],[مانده در خط سررسید شده (کیلوگرم)]]&lt;&gt;0,Main[[#This Row],[تعداد کل روزهای بدهکار (روز)]],0)</f>
        <v>0</v>
      </c>
      <c r="AF1213" s="6">
        <f ca="1">Main[[#This Row],[تعداد روزهای بدهکار سررسید شده (روز)]]*Main[[#This Row],[مانده در خط سررسید شده (کیلوگرم)]]</f>
        <v>0</v>
      </c>
    </row>
    <row r="1214" spans="1:32" hidden="1" x14ac:dyDescent="0.35">
      <c r="A1214" s="5">
        <f>ROW()-ROW(INDEX(Main[ردیف],1))+1</f>
        <v>1212</v>
      </c>
      <c r="B1214" s="31">
        <f>SUBTOTAL(2,INDEX(Main[ردیف],1):Main[[#This Row],[ردیف]])</f>
        <v>111</v>
      </c>
      <c r="C1214" s="32" t="s">
        <v>632</v>
      </c>
      <c r="D1214" s="32" t="str">
        <f>_xlfn.CONCAT("14",Main[[#This Row],[تاريخ]])</f>
        <v>1400/05/06</v>
      </c>
      <c r="E1214" s="33">
        <v>44405</v>
      </c>
      <c r="F1214" s="32">
        <v>10057</v>
      </c>
      <c r="G1214" s="5" t="str">
        <f>INDEX(customer[عنوان],MATCH(Main[[#This Row],[کد ردیابی]],customer[کد],0))</f>
        <v xml:space="preserve">عبدالله یادگار </v>
      </c>
      <c r="H1214">
        <v>1000</v>
      </c>
      <c r="I1214" s="6">
        <f ca="1">-Main[[#This Row],[بدهی تسویه شده (کیلوگرم)]]+Main[[#This Row],[بستانکار (کیلوگرم)]]</f>
        <v>1000</v>
      </c>
      <c r="J1214" s="6">
        <f>IF(Main[[#This Row],[مقدار (کیلوگرم)]]&gt;0,Main[[#This Row],[مقدار (کیلوگرم)]],0)</f>
        <v>1000</v>
      </c>
      <c r="K1214" s="6">
        <f>-IF(Main[[#This Row],[مقدار (کیلوگرم)]]&lt;0,Main[[#This Row],[مقدار (کیلوگرم)]],0)</f>
        <v>0</v>
      </c>
      <c r="L12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4" s="7">
        <f>-IF(AND(Main[[#This Row],[مقدار (کیلوگرم)]]&lt;0,Main[[#This Row],[تاريخ میلادی]]&gt;44276),Main[[#This Row],[مقدار (کیلوگرم)]],0)</f>
        <v>0</v>
      </c>
      <c r="N1214" s="6">
        <f ca="1">Main[[#This Row],[بدهکار (کیلوگرم)]]-Main[[#This Row],[بدهی تسویه نشده (کیلوگرم)]]</f>
        <v>0</v>
      </c>
      <c r="O1214" s="6">
        <f ca="1">Main[[#This Row],[تفکیک]]</f>
        <v>0</v>
      </c>
      <c r="P1214" s="6">
        <f ca="1">IF(Main[[#This Row],[تاخیر از سررسید]]&gt;0,Main[[#This Row],[بدهی تسویه نشده (کیلوگرم)]],0)</f>
        <v>0</v>
      </c>
      <c r="Q1214" s="6">
        <f ca="1">IF(Main[[#This Row],[بدهی تسویه نشده (کیلوگرم)]]&gt;0,'گزارش فردی'!$B$7-Main[[#This Row],[تاريخ میلادی]],0)</f>
        <v>0</v>
      </c>
      <c r="R1214" s="6">
        <f ca="1">IF(Main[[#This Row],[بدهی تسویه نشده (کیلوگرم)]]&gt;0,'گزارش فردی'!$B$7-Main[[#This Row],[تاريخ میلادی]]-'گزارش فردی'!$B$8,0)</f>
        <v>0</v>
      </c>
      <c r="S1214" s="6">
        <f ca="1">Main[[#This Row],[روز از ارسال سفارش]]*Main[[#This Row],[بدهی تسویه نشده (کیلوگرم)]]</f>
        <v>0</v>
      </c>
      <c r="T1214" s="6">
        <f ca="1">Main[[#This Row],[بدهی سررسید شده (کیلوگرم)]]*Main[[#This Row],[روز از ارسال سفارش]]</f>
        <v>0</v>
      </c>
      <c r="U1214" s="6">
        <f>-SUBTOTAL(9,INDEX(Main[مقدار (کیلوگرم)],1):Main[[#This Row],[مقدار (کیلوگرم)]])</f>
        <v>38118</v>
      </c>
      <c r="V121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4" s="6">
        <f>Main[[#This Row],[تعداد کل روزهای بدهکار (روز)]]*Main[[#This Row],[مانده در خط کل (کیلوگرم)]]</f>
        <v>114354</v>
      </c>
      <c r="X1214" s="6">
        <f ca="1">-SUBTOTAL(9,INDEX(Main[مقدار تسویه شده (کیلوگرم)],1):Main[[#This Row],[مقدار تسویه شده (کیلوگرم)]])</f>
        <v>38118</v>
      </c>
      <c r="Y1214" s="6">
        <f ca="1">IF(Main[[#This Row],[مانده در خط تسویه شده (کیلوگرم)]]&lt;&gt;0,Main[[#This Row],[تعداد کل روزهای بدهکار (روز)]],0)</f>
        <v>3</v>
      </c>
      <c r="Z1214" s="6">
        <f ca="1">Main[[#This Row],[تعداد روزهای بدهکار تسویه شده (روز)]]*Main[[#This Row],[مانده در خط تسویه شده (کیلوگرم)]]</f>
        <v>114354</v>
      </c>
      <c r="AA1214" s="6">
        <f ca="1">SUBTOTAL(9,INDEX(Main[بدهی تسویه نشده (کیلوگرم)],1):Main[[#This Row],[بدهی تسویه نشده (کیلوگرم)]])</f>
        <v>0</v>
      </c>
      <c r="AB1214" s="6">
        <f ca="1">IF(Main[[#This Row],[مانده در خط تسویه نشده (کیلوگرم)]]&lt;&gt;0,Main[[#This Row],[تعداد کل روزهای بدهکار (روز)]],0)</f>
        <v>0</v>
      </c>
      <c r="AC1214" s="6">
        <f ca="1">Main[[#This Row],[تعداد روزهای بدهکار  تسویه نشده (روز)]]*Main[[#This Row],[مانده در خط تسویه نشده (کیلوگرم)]]</f>
        <v>0</v>
      </c>
      <c r="AD1214" s="6">
        <f ca="1">SUBTOTAL(9,INDEX(Main[بدهی سررسید شده (کیلوگرم)],1):Main[[#This Row],[بدهی سررسید شده (کیلوگرم)]])</f>
        <v>0</v>
      </c>
      <c r="AE1214" s="6">
        <f ca="1">IF(Main[[#This Row],[مانده در خط سررسید شده (کیلوگرم)]]&lt;&gt;0,Main[[#This Row],[تعداد کل روزهای بدهکار (روز)]],0)</f>
        <v>0</v>
      </c>
      <c r="AF1214" s="6">
        <f ca="1">Main[[#This Row],[تعداد روزهای بدهکار سررسید شده (روز)]]*Main[[#This Row],[مانده در خط سررسید شده (کیلوگرم)]]</f>
        <v>0</v>
      </c>
    </row>
    <row r="1215" spans="1:32" hidden="1" x14ac:dyDescent="0.35">
      <c r="A1215" s="5">
        <f>ROW()-ROW(INDEX(Main[ردیف],1))+1</f>
        <v>1213</v>
      </c>
      <c r="B1215" s="31">
        <f>SUBTOTAL(2,INDEX(Main[ردیف],1):Main[[#This Row],[ردیف]])</f>
        <v>111</v>
      </c>
      <c r="C1215" s="32" t="s">
        <v>632</v>
      </c>
      <c r="D1215" s="32" t="str">
        <f>_xlfn.CONCAT("14",Main[[#This Row],[تاريخ]])</f>
        <v>1400/05/06</v>
      </c>
      <c r="E1215" s="33">
        <v>44405</v>
      </c>
      <c r="F1215" s="32">
        <v>30022</v>
      </c>
      <c r="G1215" s="5" t="str">
        <f>INDEX(customer[عنوان],MATCH(Main[[#This Row],[کد ردیابی]],customer[کد],0))</f>
        <v xml:space="preserve">کلار پویا </v>
      </c>
      <c r="H1215">
        <v>4858</v>
      </c>
      <c r="I1215" s="6">
        <f ca="1">-Main[[#This Row],[بدهی تسویه شده (کیلوگرم)]]+Main[[#This Row],[بستانکار (کیلوگرم)]]</f>
        <v>4858</v>
      </c>
      <c r="J1215" s="6">
        <f>IF(Main[[#This Row],[مقدار (کیلوگرم)]]&gt;0,Main[[#This Row],[مقدار (کیلوگرم)]],0)</f>
        <v>4858</v>
      </c>
      <c r="K1215" s="6">
        <f>-IF(Main[[#This Row],[مقدار (کیلوگرم)]]&lt;0,Main[[#This Row],[مقدار (کیلوگرم)]],0)</f>
        <v>0</v>
      </c>
      <c r="L12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5" s="7">
        <f>-IF(AND(Main[[#This Row],[مقدار (کیلوگرم)]]&lt;0,Main[[#This Row],[تاريخ میلادی]]&gt;44276),Main[[#This Row],[مقدار (کیلوگرم)]],0)</f>
        <v>0</v>
      </c>
      <c r="N1215" s="6">
        <f ca="1">Main[[#This Row],[بدهکار (کیلوگرم)]]-Main[[#This Row],[بدهی تسویه نشده (کیلوگرم)]]</f>
        <v>0</v>
      </c>
      <c r="O1215" s="6">
        <f ca="1">Main[[#This Row],[تفکیک]]</f>
        <v>0</v>
      </c>
      <c r="P1215" s="6">
        <f ca="1">IF(Main[[#This Row],[تاخیر از سررسید]]&gt;0,Main[[#This Row],[بدهی تسویه نشده (کیلوگرم)]],0)</f>
        <v>0</v>
      </c>
      <c r="Q1215" s="6">
        <f ca="1">IF(Main[[#This Row],[بدهی تسویه نشده (کیلوگرم)]]&gt;0,'گزارش فردی'!$B$7-Main[[#This Row],[تاريخ میلادی]],0)</f>
        <v>0</v>
      </c>
      <c r="R1215" s="6">
        <f ca="1">IF(Main[[#This Row],[بدهی تسویه نشده (کیلوگرم)]]&gt;0,'گزارش فردی'!$B$7-Main[[#This Row],[تاريخ میلادی]]-'گزارش فردی'!$B$8,0)</f>
        <v>0</v>
      </c>
      <c r="S1215" s="6">
        <f ca="1">Main[[#This Row],[روز از ارسال سفارش]]*Main[[#This Row],[بدهی تسویه نشده (کیلوگرم)]]</f>
        <v>0</v>
      </c>
      <c r="T1215" s="6">
        <f ca="1">Main[[#This Row],[بدهی سررسید شده (کیلوگرم)]]*Main[[#This Row],[روز از ارسال سفارش]]</f>
        <v>0</v>
      </c>
      <c r="U1215" s="6">
        <f>-SUBTOTAL(9,INDEX(Main[مقدار (کیلوگرم)],1):Main[[#This Row],[مقدار (کیلوگرم)]])</f>
        <v>38118</v>
      </c>
      <c r="V121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5" s="6">
        <f>Main[[#This Row],[تعداد کل روزهای بدهکار (روز)]]*Main[[#This Row],[مانده در خط کل (کیلوگرم)]]</f>
        <v>114354</v>
      </c>
      <c r="X1215" s="6">
        <f ca="1">-SUBTOTAL(9,INDEX(Main[مقدار تسویه شده (کیلوگرم)],1):Main[[#This Row],[مقدار تسویه شده (کیلوگرم)]])</f>
        <v>38118</v>
      </c>
      <c r="Y1215" s="6">
        <f ca="1">IF(Main[[#This Row],[مانده در خط تسویه شده (کیلوگرم)]]&lt;&gt;0,Main[[#This Row],[تعداد کل روزهای بدهکار (روز)]],0)</f>
        <v>3</v>
      </c>
      <c r="Z1215" s="6">
        <f ca="1">Main[[#This Row],[تعداد روزهای بدهکار تسویه شده (روز)]]*Main[[#This Row],[مانده در خط تسویه شده (کیلوگرم)]]</f>
        <v>114354</v>
      </c>
      <c r="AA1215" s="6">
        <f ca="1">SUBTOTAL(9,INDEX(Main[بدهی تسویه نشده (کیلوگرم)],1):Main[[#This Row],[بدهی تسویه نشده (کیلوگرم)]])</f>
        <v>0</v>
      </c>
      <c r="AB1215" s="6">
        <f ca="1">IF(Main[[#This Row],[مانده در خط تسویه نشده (کیلوگرم)]]&lt;&gt;0,Main[[#This Row],[تعداد کل روزهای بدهکار (روز)]],0)</f>
        <v>0</v>
      </c>
      <c r="AC1215" s="6">
        <f ca="1">Main[[#This Row],[تعداد روزهای بدهکار  تسویه نشده (روز)]]*Main[[#This Row],[مانده در خط تسویه نشده (کیلوگرم)]]</f>
        <v>0</v>
      </c>
      <c r="AD1215" s="6">
        <f ca="1">SUBTOTAL(9,INDEX(Main[بدهی سررسید شده (کیلوگرم)],1):Main[[#This Row],[بدهی سررسید شده (کیلوگرم)]])</f>
        <v>0</v>
      </c>
      <c r="AE1215" s="6">
        <f ca="1">IF(Main[[#This Row],[مانده در خط سررسید شده (کیلوگرم)]]&lt;&gt;0,Main[[#This Row],[تعداد کل روزهای بدهکار (روز)]],0)</f>
        <v>0</v>
      </c>
      <c r="AF1215" s="6">
        <f ca="1">Main[[#This Row],[تعداد روزهای بدهکار سررسید شده (روز)]]*Main[[#This Row],[مانده در خط سررسید شده (کیلوگرم)]]</f>
        <v>0</v>
      </c>
    </row>
    <row r="1216" spans="1:32" hidden="1" x14ac:dyDescent="0.35">
      <c r="A1216" s="5">
        <f>ROW()-ROW(INDEX(Main[ردیف],1))+1</f>
        <v>1214</v>
      </c>
      <c r="B1216" s="31">
        <f>SUBTOTAL(2,INDEX(Main[ردیف],1):Main[[#This Row],[ردیف]])</f>
        <v>111</v>
      </c>
      <c r="C1216" s="32" t="s">
        <v>632</v>
      </c>
      <c r="D1216" s="32" t="str">
        <f>_xlfn.CONCAT("14",Main[[#This Row],[تاريخ]])</f>
        <v>1400/05/06</v>
      </c>
      <c r="E1216" s="33">
        <v>44405</v>
      </c>
      <c r="F1216" s="32">
        <v>30009</v>
      </c>
      <c r="G1216" s="5" t="str">
        <f>INDEX(customer[عنوان],MATCH(Main[[#This Row],[کد ردیابی]],customer[کد],0))</f>
        <v>شرکت ایمن تک پیشرو</v>
      </c>
      <c r="H1216">
        <v>1913</v>
      </c>
      <c r="I1216" s="6">
        <f ca="1">-Main[[#This Row],[بدهی تسویه شده (کیلوگرم)]]+Main[[#This Row],[بستانکار (کیلوگرم)]]</f>
        <v>1913</v>
      </c>
      <c r="J1216" s="6">
        <f>IF(Main[[#This Row],[مقدار (کیلوگرم)]]&gt;0,Main[[#This Row],[مقدار (کیلوگرم)]],0)</f>
        <v>1913</v>
      </c>
      <c r="K1216" s="6">
        <f>-IF(Main[[#This Row],[مقدار (کیلوگرم)]]&lt;0,Main[[#This Row],[مقدار (کیلوگرم)]],0)</f>
        <v>0</v>
      </c>
      <c r="L12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6" s="7">
        <f>-IF(AND(Main[[#This Row],[مقدار (کیلوگرم)]]&lt;0,Main[[#This Row],[تاريخ میلادی]]&gt;44276),Main[[#This Row],[مقدار (کیلوگرم)]],0)</f>
        <v>0</v>
      </c>
      <c r="N1216" s="6">
        <f ca="1">Main[[#This Row],[بدهکار (کیلوگرم)]]-Main[[#This Row],[بدهی تسویه نشده (کیلوگرم)]]</f>
        <v>0</v>
      </c>
      <c r="O1216" s="6">
        <f ca="1">Main[[#This Row],[تفکیک]]</f>
        <v>0</v>
      </c>
      <c r="P1216" s="6">
        <f ca="1">IF(Main[[#This Row],[تاخیر از سررسید]]&gt;0,Main[[#This Row],[بدهی تسویه نشده (کیلوگرم)]],0)</f>
        <v>0</v>
      </c>
      <c r="Q1216" s="6">
        <f ca="1">IF(Main[[#This Row],[بدهی تسویه نشده (کیلوگرم)]]&gt;0,'گزارش فردی'!$B$7-Main[[#This Row],[تاريخ میلادی]],0)</f>
        <v>0</v>
      </c>
      <c r="R1216" s="6">
        <f ca="1">IF(Main[[#This Row],[بدهی تسویه نشده (کیلوگرم)]]&gt;0,'گزارش فردی'!$B$7-Main[[#This Row],[تاريخ میلادی]]-'گزارش فردی'!$B$8,0)</f>
        <v>0</v>
      </c>
      <c r="S1216" s="6">
        <f ca="1">Main[[#This Row],[روز از ارسال سفارش]]*Main[[#This Row],[بدهی تسویه نشده (کیلوگرم)]]</f>
        <v>0</v>
      </c>
      <c r="T1216" s="6">
        <f ca="1">Main[[#This Row],[بدهی سررسید شده (کیلوگرم)]]*Main[[#This Row],[روز از ارسال سفارش]]</f>
        <v>0</v>
      </c>
      <c r="U1216" s="6">
        <f>-SUBTOTAL(9,INDEX(Main[مقدار (کیلوگرم)],1):Main[[#This Row],[مقدار (کیلوگرم)]])</f>
        <v>38118</v>
      </c>
      <c r="V121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6" s="6">
        <f>Main[[#This Row],[تعداد کل روزهای بدهکار (روز)]]*Main[[#This Row],[مانده در خط کل (کیلوگرم)]]</f>
        <v>114354</v>
      </c>
      <c r="X1216" s="6">
        <f ca="1">-SUBTOTAL(9,INDEX(Main[مقدار تسویه شده (کیلوگرم)],1):Main[[#This Row],[مقدار تسویه شده (کیلوگرم)]])</f>
        <v>38118</v>
      </c>
      <c r="Y1216" s="6">
        <f ca="1">IF(Main[[#This Row],[مانده در خط تسویه شده (کیلوگرم)]]&lt;&gt;0,Main[[#This Row],[تعداد کل روزهای بدهکار (روز)]],0)</f>
        <v>3</v>
      </c>
      <c r="Z1216" s="6">
        <f ca="1">Main[[#This Row],[تعداد روزهای بدهکار تسویه شده (روز)]]*Main[[#This Row],[مانده در خط تسویه شده (کیلوگرم)]]</f>
        <v>114354</v>
      </c>
      <c r="AA1216" s="6">
        <f ca="1">SUBTOTAL(9,INDEX(Main[بدهی تسویه نشده (کیلوگرم)],1):Main[[#This Row],[بدهی تسویه نشده (کیلوگرم)]])</f>
        <v>0</v>
      </c>
      <c r="AB1216" s="6">
        <f ca="1">IF(Main[[#This Row],[مانده در خط تسویه نشده (کیلوگرم)]]&lt;&gt;0,Main[[#This Row],[تعداد کل روزهای بدهکار (روز)]],0)</f>
        <v>0</v>
      </c>
      <c r="AC1216" s="6">
        <f ca="1">Main[[#This Row],[تعداد روزهای بدهکار  تسویه نشده (روز)]]*Main[[#This Row],[مانده در خط تسویه نشده (کیلوگرم)]]</f>
        <v>0</v>
      </c>
      <c r="AD1216" s="6">
        <f ca="1">SUBTOTAL(9,INDEX(Main[بدهی سررسید شده (کیلوگرم)],1):Main[[#This Row],[بدهی سررسید شده (کیلوگرم)]])</f>
        <v>0</v>
      </c>
      <c r="AE1216" s="6">
        <f ca="1">IF(Main[[#This Row],[مانده در خط سررسید شده (کیلوگرم)]]&lt;&gt;0,Main[[#This Row],[تعداد کل روزهای بدهکار (روز)]],0)</f>
        <v>0</v>
      </c>
      <c r="AF1216" s="6">
        <f ca="1">Main[[#This Row],[تعداد روزهای بدهکار سررسید شده (روز)]]*Main[[#This Row],[مانده در خط سررسید شده (کیلوگرم)]]</f>
        <v>0</v>
      </c>
    </row>
    <row r="1217" spans="1:32" hidden="1" x14ac:dyDescent="0.35">
      <c r="A1217" s="5">
        <f>ROW()-ROW(INDEX(Main[ردیف],1))+1</f>
        <v>1215</v>
      </c>
      <c r="B1217" s="31">
        <f>SUBTOTAL(2,INDEX(Main[ردیف],1):Main[[#This Row],[ردیف]])</f>
        <v>111</v>
      </c>
      <c r="C1217" s="32" t="s">
        <v>632</v>
      </c>
      <c r="D1217" s="32" t="str">
        <f>_xlfn.CONCAT("14",Main[[#This Row],[تاريخ]])</f>
        <v>1400/05/06</v>
      </c>
      <c r="E1217" s="33">
        <v>44405</v>
      </c>
      <c r="F1217" s="32">
        <v>10069</v>
      </c>
      <c r="G1217" s="5" t="str">
        <f>INDEX(customer[عنوان],MATCH(Main[[#This Row],[کد ردیابی]],customer[کد],0))</f>
        <v xml:space="preserve">جواد عرب </v>
      </c>
      <c r="H1217">
        <v>174</v>
      </c>
      <c r="I1217" s="6">
        <f ca="1">-Main[[#This Row],[بدهی تسویه شده (کیلوگرم)]]+Main[[#This Row],[بستانکار (کیلوگرم)]]</f>
        <v>174</v>
      </c>
      <c r="J1217" s="6">
        <f>IF(Main[[#This Row],[مقدار (کیلوگرم)]]&gt;0,Main[[#This Row],[مقدار (کیلوگرم)]],0)</f>
        <v>174</v>
      </c>
      <c r="K1217" s="6">
        <f>-IF(Main[[#This Row],[مقدار (کیلوگرم)]]&lt;0,Main[[#This Row],[مقدار (کیلوگرم)]],0)</f>
        <v>0</v>
      </c>
      <c r="L12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7" s="7">
        <f>-IF(AND(Main[[#This Row],[مقدار (کیلوگرم)]]&lt;0,Main[[#This Row],[تاريخ میلادی]]&gt;44276),Main[[#This Row],[مقدار (کیلوگرم)]],0)</f>
        <v>0</v>
      </c>
      <c r="N1217" s="6">
        <f ca="1">Main[[#This Row],[بدهکار (کیلوگرم)]]-Main[[#This Row],[بدهی تسویه نشده (کیلوگرم)]]</f>
        <v>0</v>
      </c>
      <c r="O1217" s="6">
        <f ca="1">Main[[#This Row],[تفکیک]]</f>
        <v>0</v>
      </c>
      <c r="P1217" s="6">
        <f ca="1">IF(Main[[#This Row],[تاخیر از سررسید]]&gt;0,Main[[#This Row],[بدهی تسویه نشده (کیلوگرم)]],0)</f>
        <v>0</v>
      </c>
      <c r="Q1217" s="6">
        <f ca="1">IF(Main[[#This Row],[بدهی تسویه نشده (کیلوگرم)]]&gt;0,'گزارش فردی'!$B$7-Main[[#This Row],[تاريخ میلادی]],0)</f>
        <v>0</v>
      </c>
      <c r="R1217" s="6">
        <f ca="1">IF(Main[[#This Row],[بدهی تسویه نشده (کیلوگرم)]]&gt;0,'گزارش فردی'!$B$7-Main[[#This Row],[تاريخ میلادی]]-'گزارش فردی'!$B$8,0)</f>
        <v>0</v>
      </c>
      <c r="S1217" s="6">
        <f ca="1">Main[[#This Row],[روز از ارسال سفارش]]*Main[[#This Row],[بدهی تسویه نشده (کیلوگرم)]]</f>
        <v>0</v>
      </c>
      <c r="T1217" s="6">
        <f ca="1">Main[[#This Row],[بدهی سررسید شده (کیلوگرم)]]*Main[[#This Row],[روز از ارسال سفارش]]</f>
        <v>0</v>
      </c>
      <c r="U1217" s="6">
        <f>-SUBTOTAL(9,INDEX(Main[مقدار (کیلوگرم)],1):Main[[#This Row],[مقدار (کیلوگرم)]])</f>
        <v>38118</v>
      </c>
      <c r="V121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7" s="6">
        <f>Main[[#This Row],[تعداد کل روزهای بدهکار (روز)]]*Main[[#This Row],[مانده در خط کل (کیلوگرم)]]</f>
        <v>114354</v>
      </c>
      <c r="X1217" s="6">
        <f ca="1">-SUBTOTAL(9,INDEX(Main[مقدار تسویه شده (کیلوگرم)],1):Main[[#This Row],[مقدار تسویه شده (کیلوگرم)]])</f>
        <v>38118</v>
      </c>
      <c r="Y1217" s="6">
        <f ca="1">IF(Main[[#This Row],[مانده در خط تسویه شده (کیلوگرم)]]&lt;&gt;0,Main[[#This Row],[تعداد کل روزهای بدهکار (روز)]],0)</f>
        <v>3</v>
      </c>
      <c r="Z1217" s="6">
        <f ca="1">Main[[#This Row],[تعداد روزهای بدهکار تسویه شده (روز)]]*Main[[#This Row],[مانده در خط تسویه شده (کیلوگرم)]]</f>
        <v>114354</v>
      </c>
      <c r="AA1217" s="6">
        <f ca="1">SUBTOTAL(9,INDEX(Main[بدهی تسویه نشده (کیلوگرم)],1):Main[[#This Row],[بدهی تسویه نشده (کیلوگرم)]])</f>
        <v>0</v>
      </c>
      <c r="AB1217" s="6">
        <f ca="1">IF(Main[[#This Row],[مانده در خط تسویه نشده (کیلوگرم)]]&lt;&gt;0,Main[[#This Row],[تعداد کل روزهای بدهکار (روز)]],0)</f>
        <v>0</v>
      </c>
      <c r="AC1217" s="6">
        <f ca="1">Main[[#This Row],[تعداد روزهای بدهکار  تسویه نشده (روز)]]*Main[[#This Row],[مانده در خط تسویه نشده (کیلوگرم)]]</f>
        <v>0</v>
      </c>
      <c r="AD1217" s="6">
        <f ca="1">SUBTOTAL(9,INDEX(Main[بدهی سررسید شده (کیلوگرم)],1):Main[[#This Row],[بدهی سررسید شده (کیلوگرم)]])</f>
        <v>0</v>
      </c>
      <c r="AE1217" s="6">
        <f ca="1">IF(Main[[#This Row],[مانده در خط سررسید شده (کیلوگرم)]]&lt;&gt;0,Main[[#This Row],[تعداد کل روزهای بدهکار (روز)]],0)</f>
        <v>0</v>
      </c>
      <c r="AF1217" s="6">
        <f ca="1">Main[[#This Row],[تعداد روزهای بدهکار سررسید شده (روز)]]*Main[[#This Row],[مانده در خط سررسید شده (کیلوگرم)]]</f>
        <v>0</v>
      </c>
    </row>
    <row r="1218" spans="1:32" hidden="1" x14ac:dyDescent="0.35">
      <c r="A1218" s="5">
        <f>ROW()-ROW(INDEX(Main[ردیف],1))+1</f>
        <v>1216</v>
      </c>
      <c r="B1218" s="31">
        <f>SUBTOTAL(2,INDEX(Main[ردیف],1):Main[[#This Row],[ردیف]])</f>
        <v>111</v>
      </c>
      <c r="C1218" s="32" t="s">
        <v>632</v>
      </c>
      <c r="D1218" s="32" t="str">
        <f>_xlfn.CONCAT("14",Main[[#This Row],[تاريخ]])</f>
        <v>1400/05/06</v>
      </c>
      <c r="E1218" s="33">
        <v>44405</v>
      </c>
      <c r="F1218" s="32">
        <v>10069</v>
      </c>
      <c r="G1218" s="5" t="str">
        <f>INDEX(customer[عنوان],MATCH(Main[[#This Row],[کد ردیابی]],customer[کد],0))</f>
        <v xml:space="preserve">جواد عرب </v>
      </c>
      <c r="H1218">
        <v>1818</v>
      </c>
      <c r="I1218" s="6">
        <f ca="1">-Main[[#This Row],[بدهی تسویه شده (کیلوگرم)]]+Main[[#This Row],[بستانکار (کیلوگرم)]]</f>
        <v>1818</v>
      </c>
      <c r="J1218" s="6">
        <f>IF(Main[[#This Row],[مقدار (کیلوگرم)]]&gt;0,Main[[#This Row],[مقدار (کیلوگرم)]],0)</f>
        <v>1818</v>
      </c>
      <c r="K1218" s="6">
        <f>-IF(Main[[#This Row],[مقدار (کیلوگرم)]]&lt;0,Main[[#This Row],[مقدار (کیلوگرم)]],0)</f>
        <v>0</v>
      </c>
      <c r="L12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8" s="7">
        <f>-IF(AND(Main[[#This Row],[مقدار (کیلوگرم)]]&lt;0,Main[[#This Row],[تاريخ میلادی]]&gt;44276),Main[[#This Row],[مقدار (کیلوگرم)]],0)</f>
        <v>0</v>
      </c>
      <c r="N1218" s="6">
        <f ca="1">Main[[#This Row],[بدهکار (کیلوگرم)]]-Main[[#This Row],[بدهی تسویه نشده (کیلوگرم)]]</f>
        <v>0</v>
      </c>
      <c r="O1218" s="6">
        <f ca="1">Main[[#This Row],[تفکیک]]</f>
        <v>0</v>
      </c>
      <c r="P1218" s="6">
        <f ca="1">IF(Main[[#This Row],[تاخیر از سررسید]]&gt;0,Main[[#This Row],[بدهی تسویه نشده (کیلوگرم)]],0)</f>
        <v>0</v>
      </c>
      <c r="Q1218" s="6">
        <f ca="1">IF(Main[[#This Row],[بدهی تسویه نشده (کیلوگرم)]]&gt;0,'گزارش فردی'!$B$7-Main[[#This Row],[تاريخ میلادی]],0)</f>
        <v>0</v>
      </c>
      <c r="R1218" s="6">
        <f ca="1">IF(Main[[#This Row],[بدهی تسویه نشده (کیلوگرم)]]&gt;0,'گزارش فردی'!$B$7-Main[[#This Row],[تاريخ میلادی]]-'گزارش فردی'!$B$8,0)</f>
        <v>0</v>
      </c>
      <c r="S1218" s="6">
        <f ca="1">Main[[#This Row],[روز از ارسال سفارش]]*Main[[#This Row],[بدهی تسویه نشده (کیلوگرم)]]</f>
        <v>0</v>
      </c>
      <c r="T1218" s="6">
        <f ca="1">Main[[#This Row],[بدهی سررسید شده (کیلوگرم)]]*Main[[#This Row],[روز از ارسال سفارش]]</f>
        <v>0</v>
      </c>
      <c r="U1218" s="6">
        <f>-SUBTOTAL(9,INDEX(Main[مقدار (کیلوگرم)],1):Main[[#This Row],[مقدار (کیلوگرم)]])</f>
        <v>38118</v>
      </c>
      <c r="V121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8" s="6">
        <f>Main[[#This Row],[تعداد کل روزهای بدهکار (روز)]]*Main[[#This Row],[مانده در خط کل (کیلوگرم)]]</f>
        <v>114354</v>
      </c>
      <c r="X1218" s="6">
        <f ca="1">-SUBTOTAL(9,INDEX(Main[مقدار تسویه شده (کیلوگرم)],1):Main[[#This Row],[مقدار تسویه شده (کیلوگرم)]])</f>
        <v>38118</v>
      </c>
      <c r="Y1218" s="6">
        <f ca="1">IF(Main[[#This Row],[مانده در خط تسویه شده (کیلوگرم)]]&lt;&gt;0,Main[[#This Row],[تعداد کل روزهای بدهکار (روز)]],0)</f>
        <v>3</v>
      </c>
      <c r="Z1218" s="6">
        <f ca="1">Main[[#This Row],[تعداد روزهای بدهکار تسویه شده (روز)]]*Main[[#This Row],[مانده در خط تسویه شده (کیلوگرم)]]</f>
        <v>114354</v>
      </c>
      <c r="AA1218" s="6">
        <f ca="1">SUBTOTAL(9,INDEX(Main[بدهی تسویه نشده (کیلوگرم)],1):Main[[#This Row],[بدهی تسویه نشده (کیلوگرم)]])</f>
        <v>0</v>
      </c>
      <c r="AB1218" s="6">
        <f ca="1">IF(Main[[#This Row],[مانده در خط تسویه نشده (کیلوگرم)]]&lt;&gt;0,Main[[#This Row],[تعداد کل روزهای بدهکار (روز)]],0)</f>
        <v>0</v>
      </c>
      <c r="AC1218" s="6">
        <f ca="1">Main[[#This Row],[تعداد روزهای بدهکار  تسویه نشده (روز)]]*Main[[#This Row],[مانده در خط تسویه نشده (کیلوگرم)]]</f>
        <v>0</v>
      </c>
      <c r="AD1218" s="6">
        <f ca="1">SUBTOTAL(9,INDEX(Main[بدهی سررسید شده (کیلوگرم)],1):Main[[#This Row],[بدهی سررسید شده (کیلوگرم)]])</f>
        <v>0</v>
      </c>
      <c r="AE1218" s="6">
        <f ca="1">IF(Main[[#This Row],[مانده در خط سررسید شده (کیلوگرم)]]&lt;&gt;0,Main[[#This Row],[تعداد کل روزهای بدهکار (روز)]],0)</f>
        <v>0</v>
      </c>
      <c r="AF1218" s="6">
        <f ca="1">Main[[#This Row],[تعداد روزهای بدهکار سررسید شده (روز)]]*Main[[#This Row],[مانده در خط سررسید شده (کیلوگرم)]]</f>
        <v>0</v>
      </c>
    </row>
    <row r="1219" spans="1:32" hidden="1" x14ac:dyDescent="0.35">
      <c r="A1219" s="5">
        <f>ROW()-ROW(INDEX(Main[ردیف],1))+1</f>
        <v>1217</v>
      </c>
      <c r="B1219" s="31">
        <f>SUBTOTAL(2,INDEX(Main[ردیف],1):Main[[#This Row],[ردیف]])</f>
        <v>111</v>
      </c>
      <c r="C1219" s="32" t="s">
        <v>633</v>
      </c>
      <c r="D1219" s="32" t="str">
        <f>_xlfn.CONCAT("14",Main[[#This Row],[تاريخ]])</f>
        <v>1400/05/09</v>
      </c>
      <c r="E1219" s="33">
        <v>44408</v>
      </c>
      <c r="F1219" s="32">
        <v>30187</v>
      </c>
      <c r="G1219" s="5" t="str">
        <f>INDEX(customer[عنوان],MATCH(Main[[#This Row],[کد ردیابی]],customer[کد],0))</f>
        <v>شرکت جام جم</v>
      </c>
      <c r="H1219">
        <v>-2443</v>
      </c>
      <c r="I1219" s="6">
        <f ca="1">-Main[[#This Row],[بدهی تسویه شده (کیلوگرم)]]+Main[[#This Row],[بستانکار (کیلوگرم)]]</f>
        <v>-2443</v>
      </c>
      <c r="J1219" s="6">
        <f>IF(Main[[#This Row],[مقدار (کیلوگرم)]]&gt;0,Main[[#This Row],[مقدار (کیلوگرم)]],0)</f>
        <v>0</v>
      </c>
      <c r="K1219" s="6">
        <f>-IF(Main[[#This Row],[مقدار (کیلوگرم)]]&lt;0,Main[[#This Row],[مقدار (کیلوگرم)]],0)</f>
        <v>2443</v>
      </c>
      <c r="L12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9" s="7">
        <f>-IF(AND(Main[[#This Row],[مقدار (کیلوگرم)]]&lt;0,Main[[#This Row],[تاريخ میلادی]]&gt;44276),Main[[#This Row],[مقدار (کیلوگرم)]],0)</f>
        <v>2443</v>
      </c>
      <c r="N1219" s="6">
        <f ca="1">Main[[#This Row],[بدهکار (کیلوگرم)]]-Main[[#This Row],[بدهی تسویه نشده (کیلوگرم)]]</f>
        <v>2443</v>
      </c>
      <c r="O1219" s="6">
        <f ca="1">Main[[#This Row],[تفکیک]]</f>
        <v>0</v>
      </c>
      <c r="P1219" s="6">
        <f ca="1">IF(Main[[#This Row],[تاخیر از سررسید]]&gt;0,Main[[#This Row],[بدهی تسویه نشده (کیلوگرم)]],0)</f>
        <v>0</v>
      </c>
      <c r="Q1219" s="6">
        <f ca="1">IF(Main[[#This Row],[بدهی تسویه نشده (کیلوگرم)]]&gt;0,'گزارش فردی'!$B$7-Main[[#This Row],[تاريخ میلادی]],0)</f>
        <v>0</v>
      </c>
      <c r="R1219" s="6">
        <f ca="1">IF(Main[[#This Row],[بدهی تسویه نشده (کیلوگرم)]]&gt;0,'گزارش فردی'!$B$7-Main[[#This Row],[تاريخ میلادی]]-'گزارش فردی'!$B$8,0)</f>
        <v>0</v>
      </c>
      <c r="S1219" s="6">
        <f ca="1">Main[[#This Row],[روز از ارسال سفارش]]*Main[[#This Row],[بدهی تسویه نشده (کیلوگرم)]]</f>
        <v>0</v>
      </c>
      <c r="T1219" s="6">
        <f ca="1">Main[[#This Row],[بدهی سررسید شده (کیلوگرم)]]*Main[[#This Row],[روز از ارسال سفارش]]</f>
        <v>0</v>
      </c>
      <c r="U1219" s="6">
        <f>-SUBTOTAL(9,INDEX(Main[مقدار (کیلوگرم)],1):Main[[#This Row],[مقدار (کیلوگرم)]])</f>
        <v>38118</v>
      </c>
      <c r="V12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19" s="6">
        <f>Main[[#This Row],[تعداد کل روزهای بدهکار (روز)]]*Main[[#This Row],[مانده در خط کل (کیلوگرم)]]</f>
        <v>0</v>
      </c>
      <c r="X1219" s="6">
        <f ca="1">-SUBTOTAL(9,INDEX(Main[مقدار تسویه شده (کیلوگرم)],1):Main[[#This Row],[مقدار تسویه شده (کیلوگرم)]])</f>
        <v>38118</v>
      </c>
      <c r="Y1219" s="6">
        <f ca="1">IF(Main[[#This Row],[مانده در خط تسویه شده (کیلوگرم)]]&lt;&gt;0,Main[[#This Row],[تعداد کل روزهای بدهکار (روز)]],0)</f>
        <v>0</v>
      </c>
      <c r="Z1219" s="6">
        <f ca="1">Main[[#This Row],[تعداد روزهای بدهکار تسویه شده (روز)]]*Main[[#This Row],[مانده در خط تسویه شده (کیلوگرم)]]</f>
        <v>0</v>
      </c>
      <c r="AA1219" s="6">
        <f ca="1">SUBTOTAL(9,INDEX(Main[بدهی تسویه نشده (کیلوگرم)],1):Main[[#This Row],[بدهی تسویه نشده (کیلوگرم)]])</f>
        <v>0</v>
      </c>
      <c r="AB1219" s="6">
        <f ca="1">IF(Main[[#This Row],[مانده در خط تسویه نشده (کیلوگرم)]]&lt;&gt;0,Main[[#This Row],[تعداد کل روزهای بدهکار (روز)]],0)</f>
        <v>0</v>
      </c>
      <c r="AC1219" s="6">
        <f ca="1">Main[[#This Row],[تعداد روزهای بدهکار  تسویه نشده (روز)]]*Main[[#This Row],[مانده در خط تسویه نشده (کیلوگرم)]]</f>
        <v>0</v>
      </c>
      <c r="AD1219" s="6">
        <f ca="1">SUBTOTAL(9,INDEX(Main[بدهی سررسید شده (کیلوگرم)],1):Main[[#This Row],[بدهی سررسید شده (کیلوگرم)]])</f>
        <v>0</v>
      </c>
      <c r="AE1219" s="6">
        <f ca="1">IF(Main[[#This Row],[مانده در خط سررسید شده (کیلوگرم)]]&lt;&gt;0,Main[[#This Row],[تعداد کل روزهای بدهکار (روز)]],0)</f>
        <v>0</v>
      </c>
      <c r="AF1219" s="6">
        <f ca="1">Main[[#This Row],[تعداد روزهای بدهکار سررسید شده (روز)]]*Main[[#This Row],[مانده در خط سررسید شده (کیلوگرم)]]</f>
        <v>0</v>
      </c>
    </row>
    <row r="1220" spans="1:32" hidden="1" x14ac:dyDescent="0.35">
      <c r="A1220" s="5">
        <f>ROW()-ROW(INDEX(Main[ردیف],1))+1</f>
        <v>1218</v>
      </c>
      <c r="B1220" s="31">
        <f>SUBTOTAL(2,INDEX(Main[ردیف],1):Main[[#This Row],[ردیف]])</f>
        <v>111</v>
      </c>
      <c r="C1220" s="32" t="s">
        <v>633</v>
      </c>
      <c r="D1220" s="32" t="str">
        <f>_xlfn.CONCAT("14",Main[[#This Row],[تاريخ]])</f>
        <v>1400/05/09</v>
      </c>
      <c r="E1220" s="33">
        <v>44408</v>
      </c>
      <c r="F1220" s="32">
        <v>10029</v>
      </c>
      <c r="G1220" s="5" t="str">
        <f>INDEX(customer[عنوان],MATCH(Main[[#This Row],[کد ردیابی]],customer[کد],0))</f>
        <v>رضا شریعتی</v>
      </c>
      <c r="H1220">
        <v>590</v>
      </c>
      <c r="I1220" s="6">
        <f ca="1">-Main[[#This Row],[بدهی تسویه شده (کیلوگرم)]]+Main[[#This Row],[بستانکار (کیلوگرم)]]</f>
        <v>590</v>
      </c>
      <c r="J1220" s="6">
        <f>IF(Main[[#This Row],[مقدار (کیلوگرم)]]&gt;0,Main[[#This Row],[مقدار (کیلوگرم)]],0)</f>
        <v>590</v>
      </c>
      <c r="K1220" s="6">
        <f>-IF(Main[[#This Row],[مقدار (کیلوگرم)]]&lt;0,Main[[#This Row],[مقدار (کیلوگرم)]],0)</f>
        <v>0</v>
      </c>
      <c r="L12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0" s="7">
        <f>-IF(AND(Main[[#This Row],[مقدار (کیلوگرم)]]&lt;0,Main[[#This Row],[تاريخ میلادی]]&gt;44276),Main[[#This Row],[مقدار (کیلوگرم)]],0)</f>
        <v>0</v>
      </c>
      <c r="N1220" s="6">
        <f ca="1">Main[[#This Row],[بدهکار (کیلوگرم)]]-Main[[#This Row],[بدهی تسویه نشده (کیلوگرم)]]</f>
        <v>0</v>
      </c>
      <c r="O1220" s="6">
        <f ca="1">Main[[#This Row],[تفکیک]]</f>
        <v>0</v>
      </c>
      <c r="P1220" s="6">
        <f ca="1">IF(Main[[#This Row],[تاخیر از سررسید]]&gt;0,Main[[#This Row],[بدهی تسویه نشده (کیلوگرم)]],0)</f>
        <v>0</v>
      </c>
      <c r="Q1220" s="6">
        <f ca="1">IF(Main[[#This Row],[بدهی تسویه نشده (کیلوگرم)]]&gt;0,'گزارش فردی'!$B$7-Main[[#This Row],[تاريخ میلادی]],0)</f>
        <v>0</v>
      </c>
      <c r="R1220" s="6">
        <f ca="1">IF(Main[[#This Row],[بدهی تسویه نشده (کیلوگرم)]]&gt;0,'گزارش فردی'!$B$7-Main[[#This Row],[تاريخ میلادی]]-'گزارش فردی'!$B$8,0)</f>
        <v>0</v>
      </c>
      <c r="S1220" s="6">
        <f ca="1">Main[[#This Row],[روز از ارسال سفارش]]*Main[[#This Row],[بدهی تسویه نشده (کیلوگرم)]]</f>
        <v>0</v>
      </c>
      <c r="T1220" s="6">
        <f ca="1">Main[[#This Row],[بدهی سررسید شده (کیلوگرم)]]*Main[[#This Row],[روز از ارسال سفارش]]</f>
        <v>0</v>
      </c>
      <c r="U1220" s="6">
        <f>-SUBTOTAL(9,INDEX(Main[مقدار (کیلوگرم)],1):Main[[#This Row],[مقدار (کیلوگرم)]])</f>
        <v>38118</v>
      </c>
      <c r="V12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0" s="6">
        <f>Main[[#This Row],[تعداد کل روزهای بدهکار (روز)]]*Main[[#This Row],[مانده در خط کل (کیلوگرم)]]</f>
        <v>0</v>
      </c>
      <c r="X1220" s="6">
        <f ca="1">-SUBTOTAL(9,INDEX(Main[مقدار تسویه شده (کیلوگرم)],1):Main[[#This Row],[مقدار تسویه شده (کیلوگرم)]])</f>
        <v>38118</v>
      </c>
      <c r="Y1220" s="6">
        <f ca="1">IF(Main[[#This Row],[مانده در خط تسویه شده (کیلوگرم)]]&lt;&gt;0,Main[[#This Row],[تعداد کل روزهای بدهکار (روز)]],0)</f>
        <v>0</v>
      </c>
      <c r="Z1220" s="6">
        <f ca="1">Main[[#This Row],[تعداد روزهای بدهکار تسویه شده (روز)]]*Main[[#This Row],[مانده در خط تسویه شده (کیلوگرم)]]</f>
        <v>0</v>
      </c>
      <c r="AA1220" s="6">
        <f ca="1">SUBTOTAL(9,INDEX(Main[بدهی تسویه نشده (کیلوگرم)],1):Main[[#This Row],[بدهی تسویه نشده (کیلوگرم)]])</f>
        <v>0</v>
      </c>
      <c r="AB1220" s="6">
        <f ca="1">IF(Main[[#This Row],[مانده در خط تسویه نشده (کیلوگرم)]]&lt;&gt;0,Main[[#This Row],[تعداد کل روزهای بدهکار (روز)]],0)</f>
        <v>0</v>
      </c>
      <c r="AC1220" s="6">
        <f ca="1">Main[[#This Row],[تعداد روزهای بدهکار  تسویه نشده (روز)]]*Main[[#This Row],[مانده در خط تسویه نشده (کیلوگرم)]]</f>
        <v>0</v>
      </c>
      <c r="AD1220" s="6">
        <f ca="1">SUBTOTAL(9,INDEX(Main[بدهی سررسید شده (کیلوگرم)],1):Main[[#This Row],[بدهی سررسید شده (کیلوگرم)]])</f>
        <v>0</v>
      </c>
      <c r="AE1220" s="6">
        <f ca="1">IF(Main[[#This Row],[مانده در خط سررسید شده (کیلوگرم)]]&lt;&gt;0,Main[[#This Row],[تعداد کل روزهای بدهکار (روز)]],0)</f>
        <v>0</v>
      </c>
      <c r="AF1220" s="6">
        <f ca="1">Main[[#This Row],[تعداد روزهای بدهکار سررسید شده (روز)]]*Main[[#This Row],[مانده در خط سررسید شده (کیلوگرم)]]</f>
        <v>0</v>
      </c>
    </row>
    <row r="1221" spans="1:32" hidden="1" x14ac:dyDescent="0.35">
      <c r="A1221" s="5">
        <f>ROW()-ROW(INDEX(Main[ردیف],1))+1</f>
        <v>1219</v>
      </c>
      <c r="B1221" s="31">
        <f>SUBTOTAL(2,INDEX(Main[ردیف],1):Main[[#This Row],[ردیف]])</f>
        <v>111</v>
      </c>
      <c r="C1221" s="32" t="s">
        <v>633</v>
      </c>
      <c r="D1221" s="32" t="str">
        <f>_xlfn.CONCAT("14",Main[[#This Row],[تاريخ]])</f>
        <v>1400/05/09</v>
      </c>
      <c r="E1221" s="33">
        <v>44408</v>
      </c>
      <c r="F1221" s="32">
        <v>30066</v>
      </c>
      <c r="G1221" s="5" t="str">
        <f>INDEX(customer[عنوان],MATCH(Main[[#This Row],[کد ردیابی]],customer[کد],0))</f>
        <v xml:space="preserve">شیر آلات بهداشتی قهرمان </v>
      </c>
      <c r="H1221">
        <v>-5935</v>
      </c>
      <c r="I1221" s="6">
        <f ca="1">-Main[[#This Row],[بدهی تسویه شده (کیلوگرم)]]+Main[[#This Row],[بستانکار (کیلوگرم)]]</f>
        <v>-5935</v>
      </c>
      <c r="J1221" s="6">
        <f>IF(Main[[#This Row],[مقدار (کیلوگرم)]]&gt;0,Main[[#This Row],[مقدار (کیلوگرم)]],0)</f>
        <v>0</v>
      </c>
      <c r="K1221" s="6">
        <f>-IF(Main[[#This Row],[مقدار (کیلوگرم)]]&lt;0,Main[[#This Row],[مقدار (کیلوگرم)]],0)</f>
        <v>5935</v>
      </c>
      <c r="L12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1" s="7">
        <f>-IF(AND(Main[[#This Row],[مقدار (کیلوگرم)]]&lt;0,Main[[#This Row],[تاريخ میلادی]]&gt;44276),Main[[#This Row],[مقدار (کیلوگرم)]],0)</f>
        <v>5935</v>
      </c>
      <c r="N1221" s="6">
        <f ca="1">Main[[#This Row],[بدهکار (کیلوگرم)]]-Main[[#This Row],[بدهی تسویه نشده (کیلوگرم)]]</f>
        <v>5935</v>
      </c>
      <c r="O1221" s="6">
        <f ca="1">Main[[#This Row],[تفکیک]]</f>
        <v>0</v>
      </c>
      <c r="P1221" s="6">
        <f ca="1">IF(Main[[#This Row],[تاخیر از سررسید]]&gt;0,Main[[#This Row],[بدهی تسویه نشده (کیلوگرم)]],0)</f>
        <v>0</v>
      </c>
      <c r="Q1221" s="6">
        <f ca="1">IF(Main[[#This Row],[بدهی تسویه نشده (کیلوگرم)]]&gt;0,'گزارش فردی'!$B$7-Main[[#This Row],[تاريخ میلادی]],0)</f>
        <v>0</v>
      </c>
      <c r="R1221" s="6">
        <f ca="1">IF(Main[[#This Row],[بدهی تسویه نشده (کیلوگرم)]]&gt;0,'گزارش فردی'!$B$7-Main[[#This Row],[تاريخ میلادی]]-'گزارش فردی'!$B$8,0)</f>
        <v>0</v>
      </c>
      <c r="S1221" s="6">
        <f ca="1">Main[[#This Row],[روز از ارسال سفارش]]*Main[[#This Row],[بدهی تسویه نشده (کیلوگرم)]]</f>
        <v>0</v>
      </c>
      <c r="T1221" s="6">
        <f ca="1">Main[[#This Row],[بدهی سررسید شده (کیلوگرم)]]*Main[[#This Row],[روز از ارسال سفارش]]</f>
        <v>0</v>
      </c>
      <c r="U1221" s="6">
        <f>-SUBTOTAL(9,INDEX(Main[مقدار (کیلوگرم)],1):Main[[#This Row],[مقدار (کیلوگرم)]])</f>
        <v>38118</v>
      </c>
      <c r="V12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1" s="6">
        <f>Main[[#This Row],[تعداد کل روزهای بدهکار (روز)]]*Main[[#This Row],[مانده در خط کل (کیلوگرم)]]</f>
        <v>0</v>
      </c>
      <c r="X1221" s="6">
        <f ca="1">-SUBTOTAL(9,INDEX(Main[مقدار تسویه شده (کیلوگرم)],1):Main[[#This Row],[مقدار تسویه شده (کیلوگرم)]])</f>
        <v>38118</v>
      </c>
      <c r="Y1221" s="6">
        <f ca="1">IF(Main[[#This Row],[مانده در خط تسویه شده (کیلوگرم)]]&lt;&gt;0,Main[[#This Row],[تعداد کل روزهای بدهکار (روز)]],0)</f>
        <v>0</v>
      </c>
      <c r="Z1221" s="6">
        <f ca="1">Main[[#This Row],[تعداد روزهای بدهکار تسویه شده (روز)]]*Main[[#This Row],[مانده در خط تسویه شده (کیلوگرم)]]</f>
        <v>0</v>
      </c>
      <c r="AA1221" s="6">
        <f ca="1">SUBTOTAL(9,INDEX(Main[بدهی تسویه نشده (کیلوگرم)],1):Main[[#This Row],[بدهی تسویه نشده (کیلوگرم)]])</f>
        <v>0</v>
      </c>
      <c r="AB1221" s="6">
        <f ca="1">IF(Main[[#This Row],[مانده در خط تسویه نشده (کیلوگرم)]]&lt;&gt;0,Main[[#This Row],[تعداد کل روزهای بدهکار (روز)]],0)</f>
        <v>0</v>
      </c>
      <c r="AC1221" s="6">
        <f ca="1">Main[[#This Row],[تعداد روزهای بدهکار  تسویه نشده (روز)]]*Main[[#This Row],[مانده در خط تسویه نشده (کیلوگرم)]]</f>
        <v>0</v>
      </c>
      <c r="AD1221" s="6">
        <f ca="1">SUBTOTAL(9,INDEX(Main[بدهی سررسید شده (کیلوگرم)],1):Main[[#This Row],[بدهی سررسید شده (کیلوگرم)]])</f>
        <v>0</v>
      </c>
      <c r="AE1221" s="6">
        <f ca="1">IF(Main[[#This Row],[مانده در خط سررسید شده (کیلوگرم)]]&lt;&gt;0,Main[[#This Row],[تعداد کل روزهای بدهکار (روز)]],0)</f>
        <v>0</v>
      </c>
      <c r="AF1221" s="6">
        <f ca="1">Main[[#This Row],[تعداد روزهای بدهکار سررسید شده (روز)]]*Main[[#This Row],[مانده در خط سررسید شده (کیلوگرم)]]</f>
        <v>0</v>
      </c>
    </row>
    <row r="1222" spans="1:32" hidden="1" x14ac:dyDescent="0.35">
      <c r="A1222" s="5">
        <f>ROW()-ROW(INDEX(Main[ردیف],1))+1</f>
        <v>1220</v>
      </c>
      <c r="B1222" s="31">
        <f>SUBTOTAL(2,INDEX(Main[ردیف],1):Main[[#This Row],[ردیف]])</f>
        <v>111</v>
      </c>
      <c r="C1222" s="32" t="s">
        <v>633</v>
      </c>
      <c r="D1222" s="32" t="str">
        <f>_xlfn.CONCAT("14",Main[[#This Row],[تاريخ]])</f>
        <v>1400/05/09</v>
      </c>
      <c r="E1222" s="33">
        <v>44408</v>
      </c>
      <c r="F1222" s="32">
        <v>30124</v>
      </c>
      <c r="G1222" s="5" t="str">
        <f>INDEX(customer[عنوان],MATCH(Main[[#This Row],[کد ردیابی]],customer[کد],0))</f>
        <v>شرکت لنگرمرواریدسبز</v>
      </c>
      <c r="H1222">
        <v>5002</v>
      </c>
      <c r="I1222" s="6">
        <f ca="1">-Main[[#This Row],[بدهی تسویه شده (کیلوگرم)]]+Main[[#This Row],[بستانکار (کیلوگرم)]]</f>
        <v>5002</v>
      </c>
      <c r="J1222" s="6">
        <f>IF(Main[[#This Row],[مقدار (کیلوگرم)]]&gt;0,Main[[#This Row],[مقدار (کیلوگرم)]],0)</f>
        <v>5002</v>
      </c>
      <c r="K1222" s="6">
        <f>-IF(Main[[#This Row],[مقدار (کیلوگرم)]]&lt;0,Main[[#This Row],[مقدار (کیلوگرم)]],0)</f>
        <v>0</v>
      </c>
      <c r="L12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2" s="7">
        <f>-IF(AND(Main[[#This Row],[مقدار (کیلوگرم)]]&lt;0,Main[[#This Row],[تاريخ میلادی]]&gt;44276),Main[[#This Row],[مقدار (کیلوگرم)]],0)</f>
        <v>0</v>
      </c>
      <c r="N1222" s="6">
        <f ca="1">Main[[#This Row],[بدهکار (کیلوگرم)]]-Main[[#This Row],[بدهی تسویه نشده (کیلوگرم)]]</f>
        <v>0</v>
      </c>
      <c r="O1222" s="6">
        <f ca="1">Main[[#This Row],[تفکیک]]</f>
        <v>0</v>
      </c>
      <c r="P1222" s="6">
        <f ca="1">IF(Main[[#This Row],[تاخیر از سررسید]]&gt;0,Main[[#This Row],[بدهی تسویه نشده (کیلوگرم)]],0)</f>
        <v>0</v>
      </c>
      <c r="Q1222" s="6">
        <f ca="1">IF(Main[[#This Row],[بدهی تسویه نشده (کیلوگرم)]]&gt;0,'گزارش فردی'!$B$7-Main[[#This Row],[تاريخ میلادی]],0)</f>
        <v>0</v>
      </c>
      <c r="R1222" s="6">
        <f ca="1">IF(Main[[#This Row],[بدهی تسویه نشده (کیلوگرم)]]&gt;0,'گزارش فردی'!$B$7-Main[[#This Row],[تاريخ میلادی]]-'گزارش فردی'!$B$8,0)</f>
        <v>0</v>
      </c>
      <c r="S1222" s="6">
        <f ca="1">Main[[#This Row],[روز از ارسال سفارش]]*Main[[#This Row],[بدهی تسویه نشده (کیلوگرم)]]</f>
        <v>0</v>
      </c>
      <c r="T1222" s="6">
        <f ca="1">Main[[#This Row],[بدهی سررسید شده (کیلوگرم)]]*Main[[#This Row],[روز از ارسال سفارش]]</f>
        <v>0</v>
      </c>
      <c r="U1222" s="6">
        <f>-SUBTOTAL(9,INDEX(Main[مقدار (کیلوگرم)],1):Main[[#This Row],[مقدار (کیلوگرم)]])</f>
        <v>38118</v>
      </c>
      <c r="V12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2" s="6">
        <f>Main[[#This Row],[تعداد کل روزهای بدهکار (روز)]]*Main[[#This Row],[مانده در خط کل (کیلوگرم)]]</f>
        <v>0</v>
      </c>
      <c r="X1222" s="6">
        <f ca="1">-SUBTOTAL(9,INDEX(Main[مقدار تسویه شده (کیلوگرم)],1):Main[[#This Row],[مقدار تسویه شده (کیلوگرم)]])</f>
        <v>38118</v>
      </c>
      <c r="Y1222" s="6">
        <f ca="1">IF(Main[[#This Row],[مانده در خط تسویه شده (کیلوگرم)]]&lt;&gt;0,Main[[#This Row],[تعداد کل روزهای بدهکار (روز)]],0)</f>
        <v>0</v>
      </c>
      <c r="Z1222" s="6">
        <f ca="1">Main[[#This Row],[تعداد روزهای بدهکار تسویه شده (روز)]]*Main[[#This Row],[مانده در خط تسویه شده (کیلوگرم)]]</f>
        <v>0</v>
      </c>
      <c r="AA1222" s="6">
        <f ca="1">SUBTOTAL(9,INDEX(Main[بدهی تسویه نشده (کیلوگرم)],1):Main[[#This Row],[بدهی تسویه نشده (کیلوگرم)]])</f>
        <v>0</v>
      </c>
      <c r="AB1222" s="6">
        <f ca="1">IF(Main[[#This Row],[مانده در خط تسویه نشده (کیلوگرم)]]&lt;&gt;0,Main[[#This Row],[تعداد کل روزهای بدهکار (روز)]],0)</f>
        <v>0</v>
      </c>
      <c r="AC1222" s="6">
        <f ca="1">Main[[#This Row],[تعداد روزهای بدهکار  تسویه نشده (روز)]]*Main[[#This Row],[مانده در خط تسویه نشده (کیلوگرم)]]</f>
        <v>0</v>
      </c>
      <c r="AD1222" s="6">
        <f ca="1">SUBTOTAL(9,INDEX(Main[بدهی سررسید شده (کیلوگرم)],1):Main[[#This Row],[بدهی سررسید شده (کیلوگرم)]])</f>
        <v>0</v>
      </c>
      <c r="AE1222" s="6">
        <f ca="1">IF(Main[[#This Row],[مانده در خط سررسید شده (کیلوگرم)]]&lt;&gt;0,Main[[#This Row],[تعداد کل روزهای بدهکار (روز)]],0)</f>
        <v>0</v>
      </c>
      <c r="AF1222" s="6">
        <f ca="1">Main[[#This Row],[تعداد روزهای بدهکار سررسید شده (روز)]]*Main[[#This Row],[مانده در خط سررسید شده (کیلوگرم)]]</f>
        <v>0</v>
      </c>
    </row>
    <row r="1223" spans="1:32" hidden="1" x14ac:dyDescent="0.35">
      <c r="A1223" s="5">
        <f>ROW()-ROW(INDEX(Main[ردیف],1))+1</f>
        <v>1221</v>
      </c>
      <c r="B1223" s="31">
        <f>SUBTOTAL(2,INDEX(Main[ردیف],1):Main[[#This Row],[ردیف]])</f>
        <v>111</v>
      </c>
      <c r="C1223" s="32" t="s">
        <v>633</v>
      </c>
      <c r="D1223" s="32" t="str">
        <f>_xlfn.CONCAT("14",Main[[#This Row],[تاريخ]])</f>
        <v>1400/05/09</v>
      </c>
      <c r="E1223" s="33">
        <v>44408</v>
      </c>
      <c r="F1223" s="32">
        <v>30124</v>
      </c>
      <c r="G1223" s="5" t="str">
        <f>INDEX(customer[عنوان],MATCH(Main[[#This Row],[کد ردیابی]],customer[کد],0))</f>
        <v>شرکت لنگرمرواریدسبز</v>
      </c>
      <c r="H1223">
        <v>-4001</v>
      </c>
      <c r="I1223" s="6">
        <f ca="1">-Main[[#This Row],[بدهی تسویه شده (کیلوگرم)]]+Main[[#This Row],[بستانکار (کیلوگرم)]]</f>
        <v>-4001</v>
      </c>
      <c r="J1223" s="6">
        <f>IF(Main[[#This Row],[مقدار (کیلوگرم)]]&gt;0,Main[[#This Row],[مقدار (کیلوگرم)]],0)</f>
        <v>0</v>
      </c>
      <c r="K1223" s="6">
        <f>-IF(Main[[#This Row],[مقدار (کیلوگرم)]]&lt;0,Main[[#This Row],[مقدار (کیلوگرم)]],0)</f>
        <v>4001</v>
      </c>
      <c r="L12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3" s="7">
        <f>-IF(AND(Main[[#This Row],[مقدار (کیلوگرم)]]&lt;0,Main[[#This Row],[تاريخ میلادی]]&gt;44276),Main[[#This Row],[مقدار (کیلوگرم)]],0)</f>
        <v>4001</v>
      </c>
      <c r="N1223" s="6">
        <f ca="1">Main[[#This Row],[بدهکار (کیلوگرم)]]-Main[[#This Row],[بدهی تسویه نشده (کیلوگرم)]]</f>
        <v>4001</v>
      </c>
      <c r="O1223" s="6">
        <f ca="1">Main[[#This Row],[تفکیک]]</f>
        <v>0</v>
      </c>
      <c r="P1223" s="6">
        <f ca="1">IF(Main[[#This Row],[تاخیر از سررسید]]&gt;0,Main[[#This Row],[بدهی تسویه نشده (کیلوگرم)]],0)</f>
        <v>0</v>
      </c>
      <c r="Q1223" s="6">
        <f ca="1">IF(Main[[#This Row],[بدهی تسویه نشده (کیلوگرم)]]&gt;0,'گزارش فردی'!$B$7-Main[[#This Row],[تاريخ میلادی]],0)</f>
        <v>0</v>
      </c>
      <c r="R1223" s="6">
        <f ca="1">IF(Main[[#This Row],[بدهی تسویه نشده (کیلوگرم)]]&gt;0,'گزارش فردی'!$B$7-Main[[#This Row],[تاريخ میلادی]]-'گزارش فردی'!$B$8,0)</f>
        <v>0</v>
      </c>
      <c r="S1223" s="6">
        <f ca="1">Main[[#This Row],[روز از ارسال سفارش]]*Main[[#This Row],[بدهی تسویه نشده (کیلوگرم)]]</f>
        <v>0</v>
      </c>
      <c r="T1223" s="6">
        <f ca="1">Main[[#This Row],[بدهی سررسید شده (کیلوگرم)]]*Main[[#This Row],[روز از ارسال سفارش]]</f>
        <v>0</v>
      </c>
      <c r="U1223" s="6">
        <f>-SUBTOTAL(9,INDEX(Main[مقدار (کیلوگرم)],1):Main[[#This Row],[مقدار (کیلوگرم)]])</f>
        <v>38118</v>
      </c>
      <c r="V12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3" s="6">
        <f>Main[[#This Row],[تعداد کل روزهای بدهکار (روز)]]*Main[[#This Row],[مانده در خط کل (کیلوگرم)]]</f>
        <v>0</v>
      </c>
      <c r="X1223" s="6">
        <f ca="1">-SUBTOTAL(9,INDEX(Main[مقدار تسویه شده (کیلوگرم)],1):Main[[#This Row],[مقدار تسویه شده (کیلوگرم)]])</f>
        <v>38118</v>
      </c>
      <c r="Y1223" s="6">
        <f ca="1">IF(Main[[#This Row],[مانده در خط تسویه شده (کیلوگرم)]]&lt;&gt;0,Main[[#This Row],[تعداد کل روزهای بدهکار (روز)]],0)</f>
        <v>0</v>
      </c>
      <c r="Z1223" s="6">
        <f ca="1">Main[[#This Row],[تعداد روزهای بدهکار تسویه شده (روز)]]*Main[[#This Row],[مانده در خط تسویه شده (کیلوگرم)]]</f>
        <v>0</v>
      </c>
      <c r="AA1223" s="6">
        <f ca="1">SUBTOTAL(9,INDEX(Main[بدهی تسویه نشده (کیلوگرم)],1):Main[[#This Row],[بدهی تسویه نشده (کیلوگرم)]])</f>
        <v>0</v>
      </c>
      <c r="AB1223" s="6">
        <f ca="1">IF(Main[[#This Row],[مانده در خط تسویه نشده (کیلوگرم)]]&lt;&gt;0,Main[[#This Row],[تعداد کل روزهای بدهکار (روز)]],0)</f>
        <v>0</v>
      </c>
      <c r="AC1223" s="6">
        <f ca="1">Main[[#This Row],[تعداد روزهای بدهکار  تسویه نشده (روز)]]*Main[[#This Row],[مانده در خط تسویه نشده (کیلوگرم)]]</f>
        <v>0</v>
      </c>
      <c r="AD1223" s="6">
        <f ca="1">SUBTOTAL(9,INDEX(Main[بدهی سررسید شده (کیلوگرم)],1):Main[[#This Row],[بدهی سررسید شده (کیلوگرم)]])</f>
        <v>0</v>
      </c>
      <c r="AE1223" s="6">
        <f ca="1">IF(Main[[#This Row],[مانده در خط سررسید شده (کیلوگرم)]]&lt;&gt;0,Main[[#This Row],[تعداد کل روزهای بدهکار (روز)]],0)</f>
        <v>0</v>
      </c>
      <c r="AF1223" s="6">
        <f ca="1">Main[[#This Row],[تعداد روزهای بدهکار سررسید شده (روز)]]*Main[[#This Row],[مانده در خط سررسید شده (کیلوگرم)]]</f>
        <v>0</v>
      </c>
    </row>
    <row r="1224" spans="1:32" hidden="1" x14ac:dyDescent="0.35">
      <c r="A1224" s="5">
        <f>ROW()-ROW(INDEX(Main[ردیف],1))+1</f>
        <v>1222</v>
      </c>
      <c r="B1224" s="31">
        <f>SUBTOTAL(2,INDEX(Main[ردیف],1):Main[[#This Row],[ردیف]])</f>
        <v>111</v>
      </c>
      <c r="C1224" s="32" t="s">
        <v>633</v>
      </c>
      <c r="D1224" s="32" t="str">
        <f>_xlfn.CONCAT("14",Main[[#This Row],[تاريخ]])</f>
        <v>1400/05/09</v>
      </c>
      <c r="E1224" s="33">
        <v>44408</v>
      </c>
      <c r="F1224" s="32">
        <v>30187</v>
      </c>
      <c r="G1224" s="5" t="str">
        <f>INDEX(customer[عنوان],MATCH(Main[[#This Row],[کد ردیابی]],customer[کد],0))</f>
        <v>شرکت جام جم</v>
      </c>
      <c r="H1224">
        <v>1564</v>
      </c>
      <c r="I1224" s="6">
        <f ca="1">-Main[[#This Row],[بدهی تسویه شده (کیلوگرم)]]+Main[[#This Row],[بستانکار (کیلوگرم)]]</f>
        <v>1564</v>
      </c>
      <c r="J1224" s="6">
        <f>IF(Main[[#This Row],[مقدار (کیلوگرم)]]&gt;0,Main[[#This Row],[مقدار (کیلوگرم)]],0)</f>
        <v>1564</v>
      </c>
      <c r="K1224" s="6">
        <f>-IF(Main[[#This Row],[مقدار (کیلوگرم)]]&lt;0,Main[[#This Row],[مقدار (کیلوگرم)]],0)</f>
        <v>0</v>
      </c>
      <c r="L12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4" s="7">
        <f>-IF(AND(Main[[#This Row],[مقدار (کیلوگرم)]]&lt;0,Main[[#This Row],[تاريخ میلادی]]&gt;44276),Main[[#This Row],[مقدار (کیلوگرم)]],0)</f>
        <v>0</v>
      </c>
      <c r="N1224" s="6">
        <f ca="1">Main[[#This Row],[بدهکار (کیلوگرم)]]-Main[[#This Row],[بدهی تسویه نشده (کیلوگرم)]]</f>
        <v>0</v>
      </c>
      <c r="O1224" s="6">
        <f ca="1">Main[[#This Row],[تفکیک]]</f>
        <v>0</v>
      </c>
      <c r="P1224" s="6">
        <f ca="1">IF(Main[[#This Row],[تاخیر از سررسید]]&gt;0,Main[[#This Row],[بدهی تسویه نشده (کیلوگرم)]],0)</f>
        <v>0</v>
      </c>
      <c r="Q1224" s="6">
        <f ca="1">IF(Main[[#This Row],[بدهی تسویه نشده (کیلوگرم)]]&gt;0,'گزارش فردی'!$B$7-Main[[#This Row],[تاريخ میلادی]],0)</f>
        <v>0</v>
      </c>
      <c r="R1224" s="6">
        <f ca="1">IF(Main[[#This Row],[بدهی تسویه نشده (کیلوگرم)]]&gt;0,'گزارش فردی'!$B$7-Main[[#This Row],[تاريخ میلادی]]-'گزارش فردی'!$B$8,0)</f>
        <v>0</v>
      </c>
      <c r="S1224" s="6">
        <f ca="1">Main[[#This Row],[روز از ارسال سفارش]]*Main[[#This Row],[بدهی تسویه نشده (کیلوگرم)]]</f>
        <v>0</v>
      </c>
      <c r="T1224" s="6">
        <f ca="1">Main[[#This Row],[بدهی سررسید شده (کیلوگرم)]]*Main[[#This Row],[روز از ارسال سفارش]]</f>
        <v>0</v>
      </c>
      <c r="U1224" s="6">
        <f>-SUBTOTAL(9,INDEX(Main[مقدار (کیلوگرم)],1):Main[[#This Row],[مقدار (کیلوگرم)]])</f>
        <v>38118</v>
      </c>
      <c r="V12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4" s="6">
        <f>Main[[#This Row],[تعداد کل روزهای بدهکار (روز)]]*Main[[#This Row],[مانده در خط کل (کیلوگرم)]]</f>
        <v>0</v>
      </c>
      <c r="X1224" s="6">
        <f ca="1">-SUBTOTAL(9,INDEX(Main[مقدار تسویه شده (کیلوگرم)],1):Main[[#This Row],[مقدار تسویه شده (کیلوگرم)]])</f>
        <v>38118</v>
      </c>
      <c r="Y1224" s="6">
        <f ca="1">IF(Main[[#This Row],[مانده در خط تسویه شده (کیلوگرم)]]&lt;&gt;0,Main[[#This Row],[تعداد کل روزهای بدهکار (روز)]],0)</f>
        <v>0</v>
      </c>
      <c r="Z1224" s="6">
        <f ca="1">Main[[#This Row],[تعداد روزهای بدهکار تسویه شده (روز)]]*Main[[#This Row],[مانده در خط تسویه شده (کیلوگرم)]]</f>
        <v>0</v>
      </c>
      <c r="AA1224" s="6">
        <f ca="1">SUBTOTAL(9,INDEX(Main[بدهی تسویه نشده (کیلوگرم)],1):Main[[#This Row],[بدهی تسویه نشده (کیلوگرم)]])</f>
        <v>0</v>
      </c>
      <c r="AB1224" s="6">
        <f ca="1">IF(Main[[#This Row],[مانده در خط تسویه نشده (کیلوگرم)]]&lt;&gt;0,Main[[#This Row],[تعداد کل روزهای بدهکار (روز)]],0)</f>
        <v>0</v>
      </c>
      <c r="AC1224" s="6">
        <f ca="1">Main[[#This Row],[تعداد روزهای بدهکار  تسویه نشده (روز)]]*Main[[#This Row],[مانده در خط تسویه نشده (کیلوگرم)]]</f>
        <v>0</v>
      </c>
      <c r="AD1224" s="6">
        <f ca="1">SUBTOTAL(9,INDEX(Main[بدهی سررسید شده (کیلوگرم)],1):Main[[#This Row],[بدهی سررسید شده (کیلوگرم)]])</f>
        <v>0</v>
      </c>
      <c r="AE1224" s="6">
        <f ca="1">IF(Main[[#This Row],[مانده در خط سررسید شده (کیلوگرم)]]&lt;&gt;0,Main[[#This Row],[تعداد کل روزهای بدهکار (روز)]],0)</f>
        <v>0</v>
      </c>
      <c r="AF1224" s="6">
        <f ca="1">Main[[#This Row],[تعداد روزهای بدهکار سررسید شده (روز)]]*Main[[#This Row],[مانده در خط سررسید شده (کیلوگرم)]]</f>
        <v>0</v>
      </c>
    </row>
    <row r="1225" spans="1:32" hidden="1" x14ac:dyDescent="0.35">
      <c r="A1225" s="5">
        <f>ROW()-ROW(INDEX(Main[ردیف],1))+1</f>
        <v>1223</v>
      </c>
      <c r="B1225" s="31">
        <f>SUBTOTAL(2,INDEX(Main[ردیف],1):Main[[#This Row],[ردیف]])</f>
        <v>111</v>
      </c>
      <c r="C1225" s="32" t="s">
        <v>633</v>
      </c>
      <c r="D1225" s="32" t="str">
        <f>_xlfn.CONCAT("14",Main[[#This Row],[تاريخ]])</f>
        <v>1400/05/09</v>
      </c>
      <c r="E1225" s="33">
        <v>44408</v>
      </c>
      <c r="F1225" s="32">
        <v>30160</v>
      </c>
      <c r="G1225" s="5" t="str">
        <f>INDEX(customer[عنوان],MATCH(Main[[#This Row],[کد ردیابی]],customer[کد],0))</f>
        <v>کیان صنعت</v>
      </c>
      <c r="H1225">
        <v>-271</v>
      </c>
      <c r="I1225" s="6">
        <f ca="1">-Main[[#This Row],[بدهی تسویه شده (کیلوگرم)]]+Main[[#This Row],[بستانکار (کیلوگرم)]]</f>
        <v>-271</v>
      </c>
      <c r="J1225" s="6">
        <f>IF(Main[[#This Row],[مقدار (کیلوگرم)]]&gt;0,Main[[#This Row],[مقدار (کیلوگرم)]],0)</f>
        <v>0</v>
      </c>
      <c r="K1225" s="6">
        <f>-IF(Main[[#This Row],[مقدار (کیلوگرم)]]&lt;0,Main[[#This Row],[مقدار (کیلوگرم)]],0)</f>
        <v>271</v>
      </c>
      <c r="L12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5" s="7">
        <f>-IF(AND(Main[[#This Row],[مقدار (کیلوگرم)]]&lt;0,Main[[#This Row],[تاريخ میلادی]]&gt;44276),Main[[#This Row],[مقدار (کیلوگرم)]],0)</f>
        <v>271</v>
      </c>
      <c r="N1225" s="6">
        <f ca="1">Main[[#This Row],[بدهکار (کیلوگرم)]]-Main[[#This Row],[بدهی تسویه نشده (کیلوگرم)]]</f>
        <v>271</v>
      </c>
      <c r="O1225" s="6">
        <f ca="1">Main[[#This Row],[تفکیک]]</f>
        <v>0</v>
      </c>
      <c r="P1225" s="6">
        <f ca="1">IF(Main[[#This Row],[تاخیر از سررسید]]&gt;0,Main[[#This Row],[بدهی تسویه نشده (کیلوگرم)]],0)</f>
        <v>0</v>
      </c>
      <c r="Q1225" s="6">
        <f ca="1">IF(Main[[#This Row],[بدهی تسویه نشده (کیلوگرم)]]&gt;0,'گزارش فردی'!$B$7-Main[[#This Row],[تاريخ میلادی]],0)</f>
        <v>0</v>
      </c>
      <c r="R1225" s="6">
        <f ca="1">IF(Main[[#This Row],[بدهی تسویه نشده (کیلوگرم)]]&gt;0,'گزارش فردی'!$B$7-Main[[#This Row],[تاريخ میلادی]]-'گزارش فردی'!$B$8,0)</f>
        <v>0</v>
      </c>
      <c r="S1225" s="6">
        <f ca="1">Main[[#This Row],[روز از ارسال سفارش]]*Main[[#This Row],[بدهی تسویه نشده (کیلوگرم)]]</f>
        <v>0</v>
      </c>
      <c r="T1225" s="6">
        <f ca="1">Main[[#This Row],[بدهی سررسید شده (کیلوگرم)]]*Main[[#This Row],[روز از ارسال سفارش]]</f>
        <v>0</v>
      </c>
      <c r="U1225" s="6">
        <f>-SUBTOTAL(9,INDEX(Main[مقدار (کیلوگرم)],1):Main[[#This Row],[مقدار (کیلوگرم)]])</f>
        <v>38118</v>
      </c>
      <c r="V12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5" s="6">
        <f>Main[[#This Row],[تعداد کل روزهای بدهکار (روز)]]*Main[[#This Row],[مانده در خط کل (کیلوگرم)]]</f>
        <v>0</v>
      </c>
      <c r="X1225" s="6">
        <f ca="1">-SUBTOTAL(9,INDEX(Main[مقدار تسویه شده (کیلوگرم)],1):Main[[#This Row],[مقدار تسویه شده (کیلوگرم)]])</f>
        <v>38118</v>
      </c>
      <c r="Y1225" s="6">
        <f ca="1">IF(Main[[#This Row],[مانده در خط تسویه شده (کیلوگرم)]]&lt;&gt;0,Main[[#This Row],[تعداد کل روزهای بدهکار (روز)]],0)</f>
        <v>0</v>
      </c>
      <c r="Z1225" s="6">
        <f ca="1">Main[[#This Row],[تعداد روزهای بدهکار تسویه شده (روز)]]*Main[[#This Row],[مانده در خط تسویه شده (کیلوگرم)]]</f>
        <v>0</v>
      </c>
      <c r="AA1225" s="6">
        <f ca="1">SUBTOTAL(9,INDEX(Main[بدهی تسویه نشده (کیلوگرم)],1):Main[[#This Row],[بدهی تسویه نشده (کیلوگرم)]])</f>
        <v>0</v>
      </c>
      <c r="AB1225" s="6">
        <f ca="1">IF(Main[[#This Row],[مانده در خط تسویه نشده (کیلوگرم)]]&lt;&gt;0,Main[[#This Row],[تعداد کل روزهای بدهکار (روز)]],0)</f>
        <v>0</v>
      </c>
      <c r="AC1225" s="6">
        <f ca="1">Main[[#This Row],[تعداد روزهای بدهکار  تسویه نشده (روز)]]*Main[[#This Row],[مانده در خط تسویه نشده (کیلوگرم)]]</f>
        <v>0</v>
      </c>
      <c r="AD1225" s="6">
        <f ca="1">SUBTOTAL(9,INDEX(Main[بدهی سررسید شده (کیلوگرم)],1):Main[[#This Row],[بدهی سررسید شده (کیلوگرم)]])</f>
        <v>0</v>
      </c>
      <c r="AE1225" s="6">
        <f ca="1">IF(Main[[#This Row],[مانده در خط سررسید شده (کیلوگرم)]]&lt;&gt;0,Main[[#This Row],[تعداد کل روزهای بدهکار (روز)]],0)</f>
        <v>0</v>
      </c>
      <c r="AF1225" s="6">
        <f ca="1">Main[[#This Row],[تعداد روزهای بدهکار سررسید شده (روز)]]*Main[[#This Row],[مانده در خط سررسید شده (کیلوگرم)]]</f>
        <v>0</v>
      </c>
    </row>
    <row r="1226" spans="1:32" hidden="1" x14ac:dyDescent="0.35">
      <c r="A1226" s="5">
        <f>ROW()-ROW(INDEX(Main[ردیف],1))+1</f>
        <v>1224</v>
      </c>
      <c r="B1226" s="31">
        <f>SUBTOTAL(2,INDEX(Main[ردیف],1):Main[[#This Row],[ردیف]])</f>
        <v>111</v>
      </c>
      <c r="C1226" s="32" t="s">
        <v>633</v>
      </c>
      <c r="D1226" s="32" t="str">
        <f>_xlfn.CONCAT("14",Main[[#This Row],[تاريخ]])</f>
        <v>1400/05/09</v>
      </c>
      <c r="E1226" s="33">
        <v>44408</v>
      </c>
      <c r="F1226" s="32">
        <v>10119</v>
      </c>
      <c r="G1226" s="5" t="str">
        <f>INDEX(customer[عنوان],MATCH(Main[[#This Row],[کد ردیابی]],customer[کد],0))</f>
        <v>سیف الله اکبری</v>
      </c>
      <c r="H1226">
        <v>160</v>
      </c>
      <c r="I1226" s="6">
        <f ca="1">-Main[[#This Row],[بدهی تسویه شده (کیلوگرم)]]+Main[[#This Row],[بستانکار (کیلوگرم)]]</f>
        <v>160</v>
      </c>
      <c r="J1226" s="6">
        <f>IF(Main[[#This Row],[مقدار (کیلوگرم)]]&gt;0,Main[[#This Row],[مقدار (کیلوگرم)]],0)</f>
        <v>160</v>
      </c>
      <c r="K1226" s="6">
        <f>-IF(Main[[#This Row],[مقدار (کیلوگرم)]]&lt;0,Main[[#This Row],[مقدار (کیلوگرم)]],0)</f>
        <v>0</v>
      </c>
      <c r="L12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6" s="7">
        <f>-IF(AND(Main[[#This Row],[مقدار (کیلوگرم)]]&lt;0,Main[[#This Row],[تاريخ میلادی]]&gt;44276),Main[[#This Row],[مقدار (کیلوگرم)]],0)</f>
        <v>0</v>
      </c>
      <c r="N1226" s="6">
        <f ca="1">Main[[#This Row],[بدهکار (کیلوگرم)]]-Main[[#This Row],[بدهی تسویه نشده (کیلوگرم)]]</f>
        <v>0</v>
      </c>
      <c r="O1226" s="6">
        <f ca="1">Main[[#This Row],[تفکیک]]</f>
        <v>0</v>
      </c>
      <c r="P1226" s="6">
        <f ca="1">IF(Main[[#This Row],[تاخیر از سررسید]]&gt;0,Main[[#This Row],[بدهی تسویه نشده (کیلوگرم)]],0)</f>
        <v>0</v>
      </c>
      <c r="Q1226" s="6">
        <f ca="1">IF(Main[[#This Row],[بدهی تسویه نشده (کیلوگرم)]]&gt;0,'گزارش فردی'!$B$7-Main[[#This Row],[تاريخ میلادی]],0)</f>
        <v>0</v>
      </c>
      <c r="R1226" s="6">
        <f ca="1">IF(Main[[#This Row],[بدهی تسویه نشده (کیلوگرم)]]&gt;0,'گزارش فردی'!$B$7-Main[[#This Row],[تاريخ میلادی]]-'گزارش فردی'!$B$8,0)</f>
        <v>0</v>
      </c>
      <c r="S1226" s="6">
        <f ca="1">Main[[#This Row],[روز از ارسال سفارش]]*Main[[#This Row],[بدهی تسویه نشده (کیلوگرم)]]</f>
        <v>0</v>
      </c>
      <c r="T1226" s="6">
        <f ca="1">Main[[#This Row],[بدهی سررسید شده (کیلوگرم)]]*Main[[#This Row],[روز از ارسال سفارش]]</f>
        <v>0</v>
      </c>
      <c r="U1226" s="6">
        <f>-SUBTOTAL(9,INDEX(Main[مقدار (کیلوگرم)],1):Main[[#This Row],[مقدار (کیلوگرم)]])</f>
        <v>38118</v>
      </c>
      <c r="V12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6" s="6">
        <f>Main[[#This Row],[تعداد کل روزهای بدهکار (روز)]]*Main[[#This Row],[مانده در خط کل (کیلوگرم)]]</f>
        <v>0</v>
      </c>
      <c r="X1226" s="6">
        <f ca="1">-SUBTOTAL(9,INDEX(Main[مقدار تسویه شده (کیلوگرم)],1):Main[[#This Row],[مقدار تسویه شده (کیلوگرم)]])</f>
        <v>38118</v>
      </c>
      <c r="Y1226" s="6">
        <f ca="1">IF(Main[[#This Row],[مانده در خط تسویه شده (کیلوگرم)]]&lt;&gt;0,Main[[#This Row],[تعداد کل روزهای بدهکار (روز)]],0)</f>
        <v>0</v>
      </c>
      <c r="Z1226" s="6">
        <f ca="1">Main[[#This Row],[تعداد روزهای بدهکار تسویه شده (روز)]]*Main[[#This Row],[مانده در خط تسویه شده (کیلوگرم)]]</f>
        <v>0</v>
      </c>
      <c r="AA1226" s="6">
        <f ca="1">SUBTOTAL(9,INDEX(Main[بدهی تسویه نشده (کیلوگرم)],1):Main[[#This Row],[بدهی تسویه نشده (کیلوگرم)]])</f>
        <v>0</v>
      </c>
      <c r="AB1226" s="6">
        <f ca="1">IF(Main[[#This Row],[مانده در خط تسویه نشده (کیلوگرم)]]&lt;&gt;0,Main[[#This Row],[تعداد کل روزهای بدهکار (روز)]],0)</f>
        <v>0</v>
      </c>
      <c r="AC1226" s="6">
        <f ca="1">Main[[#This Row],[تعداد روزهای بدهکار  تسویه نشده (روز)]]*Main[[#This Row],[مانده در خط تسویه نشده (کیلوگرم)]]</f>
        <v>0</v>
      </c>
      <c r="AD1226" s="6">
        <f ca="1">SUBTOTAL(9,INDEX(Main[بدهی سررسید شده (کیلوگرم)],1):Main[[#This Row],[بدهی سررسید شده (کیلوگرم)]])</f>
        <v>0</v>
      </c>
      <c r="AE1226" s="6">
        <f ca="1">IF(Main[[#This Row],[مانده در خط سررسید شده (کیلوگرم)]]&lt;&gt;0,Main[[#This Row],[تعداد کل روزهای بدهکار (روز)]],0)</f>
        <v>0</v>
      </c>
      <c r="AF1226" s="6">
        <f ca="1">Main[[#This Row],[تعداد روزهای بدهکار سررسید شده (روز)]]*Main[[#This Row],[مانده در خط سررسید شده (کیلوگرم)]]</f>
        <v>0</v>
      </c>
    </row>
    <row r="1227" spans="1:32" hidden="1" x14ac:dyDescent="0.35">
      <c r="A1227" s="5">
        <f>ROW()-ROW(INDEX(Main[ردیف],1))+1</f>
        <v>1225</v>
      </c>
      <c r="B1227" s="31">
        <f>SUBTOTAL(2,INDEX(Main[ردیف],1):Main[[#This Row],[ردیف]])</f>
        <v>111</v>
      </c>
      <c r="C1227" s="32" t="s">
        <v>633</v>
      </c>
      <c r="D1227" s="32" t="str">
        <f>_xlfn.CONCAT("14",Main[[#This Row],[تاريخ]])</f>
        <v>1400/05/09</v>
      </c>
      <c r="E1227" s="33">
        <v>44408</v>
      </c>
      <c r="F1227" s="32">
        <v>10029</v>
      </c>
      <c r="G1227" s="5" t="str">
        <f>INDEX(customer[عنوان],MATCH(Main[[#This Row],[کد ردیابی]],customer[کد],0))</f>
        <v>رضا شریعتی</v>
      </c>
      <c r="H1227">
        <v>-496</v>
      </c>
      <c r="I1227" s="6">
        <f ca="1">-Main[[#This Row],[بدهی تسویه شده (کیلوگرم)]]+Main[[#This Row],[بستانکار (کیلوگرم)]]</f>
        <v>-496</v>
      </c>
      <c r="J1227" s="6">
        <f>IF(Main[[#This Row],[مقدار (کیلوگرم)]]&gt;0,Main[[#This Row],[مقدار (کیلوگرم)]],0)</f>
        <v>0</v>
      </c>
      <c r="K1227" s="6">
        <f>-IF(Main[[#This Row],[مقدار (کیلوگرم)]]&lt;0,Main[[#This Row],[مقدار (کیلوگرم)]],0)</f>
        <v>496</v>
      </c>
      <c r="L12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7" s="7">
        <f>-IF(AND(Main[[#This Row],[مقدار (کیلوگرم)]]&lt;0,Main[[#This Row],[تاريخ میلادی]]&gt;44276),Main[[#This Row],[مقدار (کیلوگرم)]],0)</f>
        <v>496</v>
      </c>
      <c r="N1227" s="6">
        <f ca="1">Main[[#This Row],[بدهکار (کیلوگرم)]]-Main[[#This Row],[بدهی تسویه نشده (کیلوگرم)]]</f>
        <v>496</v>
      </c>
      <c r="O1227" s="6">
        <f ca="1">Main[[#This Row],[تفکیک]]</f>
        <v>0</v>
      </c>
      <c r="P1227" s="6">
        <f ca="1">IF(Main[[#This Row],[تاخیر از سررسید]]&gt;0,Main[[#This Row],[بدهی تسویه نشده (کیلوگرم)]],0)</f>
        <v>0</v>
      </c>
      <c r="Q1227" s="6">
        <f ca="1">IF(Main[[#This Row],[بدهی تسویه نشده (کیلوگرم)]]&gt;0,'گزارش فردی'!$B$7-Main[[#This Row],[تاريخ میلادی]],0)</f>
        <v>0</v>
      </c>
      <c r="R1227" s="6">
        <f ca="1">IF(Main[[#This Row],[بدهی تسویه نشده (کیلوگرم)]]&gt;0,'گزارش فردی'!$B$7-Main[[#This Row],[تاريخ میلادی]]-'گزارش فردی'!$B$8,0)</f>
        <v>0</v>
      </c>
      <c r="S1227" s="6">
        <f ca="1">Main[[#This Row],[روز از ارسال سفارش]]*Main[[#This Row],[بدهی تسویه نشده (کیلوگرم)]]</f>
        <v>0</v>
      </c>
      <c r="T1227" s="6">
        <f ca="1">Main[[#This Row],[بدهی سررسید شده (کیلوگرم)]]*Main[[#This Row],[روز از ارسال سفارش]]</f>
        <v>0</v>
      </c>
      <c r="U1227" s="6">
        <f>-SUBTOTAL(9,INDEX(Main[مقدار (کیلوگرم)],1):Main[[#This Row],[مقدار (کیلوگرم)]])</f>
        <v>38118</v>
      </c>
      <c r="V12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7" s="6">
        <f>Main[[#This Row],[تعداد کل روزهای بدهکار (روز)]]*Main[[#This Row],[مانده در خط کل (کیلوگرم)]]</f>
        <v>0</v>
      </c>
      <c r="X1227" s="6">
        <f ca="1">-SUBTOTAL(9,INDEX(Main[مقدار تسویه شده (کیلوگرم)],1):Main[[#This Row],[مقدار تسویه شده (کیلوگرم)]])</f>
        <v>38118</v>
      </c>
      <c r="Y1227" s="6">
        <f ca="1">IF(Main[[#This Row],[مانده در خط تسویه شده (کیلوگرم)]]&lt;&gt;0,Main[[#This Row],[تعداد کل روزهای بدهکار (روز)]],0)</f>
        <v>0</v>
      </c>
      <c r="Z1227" s="6">
        <f ca="1">Main[[#This Row],[تعداد روزهای بدهکار تسویه شده (روز)]]*Main[[#This Row],[مانده در خط تسویه شده (کیلوگرم)]]</f>
        <v>0</v>
      </c>
      <c r="AA1227" s="6">
        <f ca="1">SUBTOTAL(9,INDEX(Main[بدهی تسویه نشده (کیلوگرم)],1):Main[[#This Row],[بدهی تسویه نشده (کیلوگرم)]])</f>
        <v>0</v>
      </c>
      <c r="AB1227" s="6">
        <f ca="1">IF(Main[[#This Row],[مانده در خط تسویه نشده (کیلوگرم)]]&lt;&gt;0,Main[[#This Row],[تعداد کل روزهای بدهکار (روز)]],0)</f>
        <v>0</v>
      </c>
      <c r="AC1227" s="6">
        <f ca="1">Main[[#This Row],[تعداد روزهای بدهکار  تسویه نشده (روز)]]*Main[[#This Row],[مانده در خط تسویه نشده (کیلوگرم)]]</f>
        <v>0</v>
      </c>
      <c r="AD1227" s="6">
        <f ca="1">SUBTOTAL(9,INDEX(Main[بدهی سررسید شده (کیلوگرم)],1):Main[[#This Row],[بدهی سررسید شده (کیلوگرم)]])</f>
        <v>0</v>
      </c>
      <c r="AE1227" s="6">
        <f ca="1">IF(Main[[#This Row],[مانده در خط سررسید شده (کیلوگرم)]]&lt;&gt;0,Main[[#This Row],[تعداد کل روزهای بدهکار (روز)]],0)</f>
        <v>0</v>
      </c>
      <c r="AF1227" s="6">
        <f ca="1">Main[[#This Row],[تعداد روزهای بدهکار سررسید شده (روز)]]*Main[[#This Row],[مانده در خط سررسید شده (کیلوگرم)]]</f>
        <v>0</v>
      </c>
    </row>
    <row r="1228" spans="1:32" hidden="1" x14ac:dyDescent="0.35">
      <c r="A1228" s="5">
        <f>ROW()-ROW(INDEX(Main[ردیف],1))+1</f>
        <v>1226</v>
      </c>
      <c r="B1228" s="31">
        <f>SUBTOTAL(2,INDEX(Main[ردیف],1):Main[[#This Row],[ردیف]])</f>
        <v>111</v>
      </c>
      <c r="C1228" s="32" t="s">
        <v>633</v>
      </c>
      <c r="D1228" s="32" t="str">
        <f>_xlfn.CONCAT("14",Main[[#This Row],[تاريخ]])</f>
        <v>1400/05/09</v>
      </c>
      <c r="E1228" s="33">
        <v>44408</v>
      </c>
      <c r="F1228" s="32">
        <v>30160</v>
      </c>
      <c r="G1228" s="5" t="str">
        <f>INDEX(customer[عنوان],MATCH(Main[[#This Row],[کد ردیابی]],customer[کد],0))</f>
        <v>کیان صنعت</v>
      </c>
      <c r="H1228">
        <v>11</v>
      </c>
      <c r="I1228" s="6">
        <f ca="1">-Main[[#This Row],[بدهی تسویه شده (کیلوگرم)]]+Main[[#This Row],[بستانکار (کیلوگرم)]]</f>
        <v>11</v>
      </c>
      <c r="J1228" s="6">
        <f>IF(Main[[#This Row],[مقدار (کیلوگرم)]]&gt;0,Main[[#This Row],[مقدار (کیلوگرم)]],0)</f>
        <v>11</v>
      </c>
      <c r="K1228" s="6">
        <f>-IF(Main[[#This Row],[مقدار (کیلوگرم)]]&lt;0,Main[[#This Row],[مقدار (کیلوگرم)]],0)</f>
        <v>0</v>
      </c>
      <c r="L12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8" s="7">
        <f>-IF(AND(Main[[#This Row],[مقدار (کیلوگرم)]]&lt;0,Main[[#This Row],[تاريخ میلادی]]&gt;44276),Main[[#This Row],[مقدار (کیلوگرم)]],0)</f>
        <v>0</v>
      </c>
      <c r="N1228" s="6">
        <f ca="1">Main[[#This Row],[بدهکار (کیلوگرم)]]-Main[[#This Row],[بدهی تسویه نشده (کیلوگرم)]]</f>
        <v>0</v>
      </c>
      <c r="O1228" s="6">
        <f ca="1">Main[[#This Row],[تفکیک]]</f>
        <v>0</v>
      </c>
      <c r="P1228" s="6">
        <f ca="1">IF(Main[[#This Row],[تاخیر از سررسید]]&gt;0,Main[[#This Row],[بدهی تسویه نشده (کیلوگرم)]],0)</f>
        <v>0</v>
      </c>
      <c r="Q1228" s="6">
        <f ca="1">IF(Main[[#This Row],[بدهی تسویه نشده (کیلوگرم)]]&gt;0,'گزارش فردی'!$B$7-Main[[#This Row],[تاريخ میلادی]],0)</f>
        <v>0</v>
      </c>
      <c r="R1228" s="6">
        <f ca="1">IF(Main[[#This Row],[بدهی تسویه نشده (کیلوگرم)]]&gt;0,'گزارش فردی'!$B$7-Main[[#This Row],[تاريخ میلادی]]-'گزارش فردی'!$B$8,0)</f>
        <v>0</v>
      </c>
      <c r="S1228" s="6">
        <f ca="1">Main[[#This Row],[روز از ارسال سفارش]]*Main[[#This Row],[بدهی تسویه نشده (کیلوگرم)]]</f>
        <v>0</v>
      </c>
      <c r="T1228" s="6">
        <f ca="1">Main[[#This Row],[بدهی سررسید شده (کیلوگرم)]]*Main[[#This Row],[روز از ارسال سفارش]]</f>
        <v>0</v>
      </c>
      <c r="U1228" s="6">
        <f>-SUBTOTAL(9,INDEX(Main[مقدار (کیلوگرم)],1):Main[[#This Row],[مقدار (کیلوگرم)]])</f>
        <v>38118</v>
      </c>
      <c r="V12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8" s="6">
        <f>Main[[#This Row],[تعداد کل روزهای بدهکار (روز)]]*Main[[#This Row],[مانده در خط کل (کیلوگرم)]]</f>
        <v>0</v>
      </c>
      <c r="X1228" s="6">
        <f ca="1">-SUBTOTAL(9,INDEX(Main[مقدار تسویه شده (کیلوگرم)],1):Main[[#This Row],[مقدار تسویه شده (کیلوگرم)]])</f>
        <v>38118</v>
      </c>
      <c r="Y1228" s="6">
        <f ca="1">IF(Main[[#This Row],[مانده در خط تسویه شده (کیلوگرم)]]&lt;&gt;0,Main[[#This Row],[تعداد کل روزهای بدهکار (روز)]],0)</f>
        <v>0</v>
      </c>
      <c r="Z1228" s="6">
        <f ca="1">Main[[#This Row],[تعداد روزهای بدهکار تسویه شده (روز)]]*Main[[#This Row],[مانده در خط تسویه شده (کیلوگرم)]]</f>
        <v>0</v>
      </c>
      <c r="AA1228" s="6">
        <f ca="1">SUBTOTAL(9,INDEX(Main[بدهی تسویه نشده (کیلوگرم)],1):Main[[#This Row],[بدهی تسویه نشده (کیلوگرم)]])</f>
        <v>0</v>
      </c>
      <c r="AB1228" s="6">
        <f ca="1">IF(Main[[#This Row],[مانده در خط تسویه نشده (کیلوگرم)]]&lt;&gt;0,Main[[#This Row],[تعداد کل روزهای بدهکار (روز)]],0)</f>
        <v>0</v>
      </c>
      <c r="AC1228" s="6">
        <f ca="1">Main[[#This Row],[تعداد روزهای بدهکار  تسویه نشده (روز)]]*Main[[#This Row],[مانده در خط تسویه نشده (کیلوگرم)]]</f>
        <v>0</v>
      </c>
      <c r="AD1228" s="6">
        <f ca="1">SUBTOTAL(9,INDEX(Main[بدهی سررسید شده (کیلوگرم)],1):Main[[#This Row],[بدهی سررسید شده (کیلوگرم)]])</f>
        <v>0</v>
      </c>
      <c r="AE1228" s="6">
        <f ca="1">IF(Main[[#This Row],[مانده در خط سررسید شده (کیلوگرم)]]&lt;&gt;0,Main[[#This Row],[تعداد کل روزهای بدهکار (روز)]],0)</f>
        <v>0</v>
      </c>
      <c r="AF1228" s="6">
        <f ca="1">Main[[#This Row],[تعداد روزهای بدهکار سررسید شده (روز)]]*Main[[#This Row],[مانده در خط سررسید شده (کیلوگرم)]]</f>
        <v>0</v>
      </c>
    </row>
    <row r="1229" spans="1:32" hidden="1" x14ac:dyDescent="0.35">
      <c r="A1229" s="5">
        <f>ROW()-ROW(INDEX(Main[ردیف],1))+1</f>
        <v>1227</v>
      </c>
      <c r="B1229" s="31">
        <f>SUBTOTAL(2,INDEX(Main[ردیف],1):Main[[#This Row],[ردیف]])</f>
        <v>111</v>
      </c>
      <c r="C1229" s="32" t="s">
        <v>633</v>
      </c>
      <c r="D1229" s="32" t="str">
        <f>_xlfn.CONCAT("14",Main[[#This Row],[تاريخ]])</f>
        <v>1400/05/09</v>
      </c>
      <c r="E1229" s="33">
        <v>44408</v>
      </c>
      <c r="F1229" s="32">
        <v>30066</v>
      </c>
      <c r="G1229" s="5" t="str">
        <f>INDEX(customer[عنوان],MATCH(Main[[#This Row],[کد ردیابی]],customer[کد],0))</f>
        <v xml:space="preserve">شیر آلات بهداشتی قهرمان </v>
      </c>
      <c r="H1229">
        <v>-3143</v>
      </c>
      <c r="I1229" s="6">
        <f ca="1">-Main[[#This Row],[بدهی تسویه شده (کیلوگرم)]]+Main[[#This Row],[بستانکار (کیلوگرم)]]</f>
        <v>-3143</v>
      </c>
      <c r="J1229" s="6">
        <f>IF(Main[[#This Row],[مقدار (کیلوگرم)]]&gt;0,Main[[#This Row],[مقدار (کیلوگرم)]],0)</f>
        <v>0</v>
      </c>
      <c r="K1229" s="6">
        <f>-IF(Main[[#This Row],[مقدار (کیلوگرم)]]&lt;0,Main[[#This Row],[مقدار (کیلوگرم)]],0)</f>
        <v>3143</v>
      </c>
      <c r="L12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9" s="7">
        <f>-IF(AND(Main[[#This Row],[مقدار (کیلوگرم)]]&lt;0,Main[[#This Row],[تاريخ میلادی]]&gt;44276),Main[[#This Row],[مقدار (کیلوگرم)]],0)</f>
        <v>3143</v>
      </c>
      <c r="N1229" s="6">
        <f ca="1">Main[[#This Row],[بدهکار (کیلوگرم)]]-Main[[#This Row],[بدهی تسویه نشده (کیلوگرم)]]</f>
        <v>3143</v>
      </c>
      <c r="O1229" s="6">
        <f ca="1">Main[[#This Row],[تفکیک]]</f>
        <v>0</v>
      </c>
      <c r="P1229" s="6">
        <f ca="1">IF(Main[[#This Row],[تاخیر از سررسید]]&gt;0,Main[[#This Row],[بدهی تسویه نشده (کیلوگرم)]],0)</f>
        <v>0</v>
      </c>
      <c r="Q1229" s="6">
        <f ca="1">IF(Main[[#This Row],[بدهی تسویه نشده (کیلوگرم)]]&gt;0,'گزارش فردی'!$B$7-Main[[#This Row],[تاريخ میلادی]],0)</f>
        <v>0</v>
      </c>
      <c r="R1229" s="6">
        <f ca="1">IF(Main[[#This Row],[بدهی تسویه نشده (کیلوگرم)]]&gt;0,'گزارش فردی'!$B$7-Main[[#This Row],[تاريخ میلادی]]-'گزارش فردی'!$B$8,0)</f>
        <v>0</v>
      </c>
      <c r="S1229" s="6">
        <f ca="1">Main[[#This Row],[روز از ارسال سفارش]]*Main[[#This Row],[بدهی تسویه نشده (کیلوگرم)]]</f>
        <v>0</v>
      </c>
      <c r="T1229" s="6">
        <f ca="1">Main[[#This Row],[بدهی سررسید شده (کیلوگرم)]]*Main[[#This Row],[روز از ارسال سفارش]]</f>
        <v>0</v>
      </c>
      <c r="U1229" s="6">
        <f>-SUBTOTAL(9,INDEX(Main[مقدار (کیلوگرم)],1):Main[[#This Row],[مقدار (کیلوگرم)]])</f>
        <v>38118</v>
      </c>
      <c r="V12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9" s="6">
        <f>Main[[#This Row],[تعداد کل روزهای بدهکار (روز)]]*Main[[#This Row],[مانده در خط کل (کیلوگرم)]]</f>
        <v>0</v>
      </c>
      <c r="X1229" s="6">
        <f ca="1">-SUBTOTAL(9,INDEX(Main[مقدار تسویه شده (کیلوگرم)],1):Main[[#This Row],[مقدار تسویه شده (کیلوگرم)]])</f>
        <v>38118</v>
      </c>
      <c r="Y1229" s="6">
        <f ca="1">IF(Main[[#This Row],[مانده در خط تسویه شده (کیلوگرم)]]&lt;&gt;0,Main[[#This Row],[تعداد کل روزهای بدهکار (روز)]],0)</f>
        <v>0</v>
      </c>
      <c r="Z1229" s="6">
        <f ca="1">Main[[#This Row],[تعداد روزهای بدهکار تسویه شده (روز)]]*Main[[#This Row],[مانده در خط تسویه شده (کیلوگرم)]]</f>
        <v>0</v>
      </c>
      <c r="AA1229" s="6">
        <f ca="1">SUBTOTAL(9,INDEX(Main[بدهی تسویه نشده (کیلوگرم)],1):Main[[#This Row],[بدهی تسویه نشده (کیلوگرم)]])</f>
        <v>0</v>
      </c>
      <c r="AB1229" s="6">
        <f ca="1">IF(Main[[#This Row],[مانده در خط تسویه نشده (کیلوگرم)]]&lt;&gt;0,Main[[#This Row],[تعداد کل روزهای بدهکار (روز)]],0)</f>
        <v>0</v>
      </c>
      <c r="AC1229" s="6">
        <f ca="1">Main[[#This Row],[تعداد روزهای بدهکار  تسویه نشده (روز)]]*Main[[#This Row],[مانده در خط تسویه نشده (کیلوگرم)]]</f>
        <v>0</v>
      </c>
      <c r="AD1229" s="6">
        <f ca="1">SUBTOTAL(9,INDEX(Main[بدهی سررسید شده (کیلوگرم)],1):Main[[#This Row],[بدهی سررسید شده (کیلوگرم)]])</f>
        <v>0</v>
      </c>
      <c r="AE1229" s="6">
        <f ca="1">IF(Main[[#This Row],[مانده در خط سررسید شده (کیلوگرم)]]&lt;&gt;0,Main[[#This Row],[تعداد کل روزهای بدهکار (روز)]],0)</f>
        <v>0</v>
      </c>
      <c r="AF1229" s="6">
        <f ca="1">Main[[#This Row],[تعداد روزهای بدهکار سررسید شده (روز)]]*Main[[#This Row],[مانده در خط سررسید شده (کیلوگرم)]]</f>
        <v>0</v>
      </c>
    </row>
    <row r="1230" spans="1:32" hidden="1" x14ac:dyDescent="0.35">
      <c r="A1230" s="5">
        <f>ROW()-ROW(INDEX(Main[ردیف],1))+1</f>
        <v>1228</v>
      </c>
      <c r="B1230" s="31">
        <f>SUBTOTAL(2,INDEX(Main[ردیف],1):Main[[#This Row],[ردیف]])</f>
        <v>111</v>
      </c>
      <c r="C1230" s="32" t="s">
        <v>633</v>
      </c>
      <c r="D1230" s="32" t="str">
        <f>_xlfn.CONCAT("14",Main[[#This Row],[تاريخ]])</f>
        <v>1400/05/09</v>
      </c>
      <c r="E1230" s="33">
        <v>44408</v>
      </c>
      <c r="F1230" s="32">
        <v>30160</v>
      </c>
      <c r="G1230" s="5" t="str">
        <f>INDEX(customer[عنوان],MATCH(Main[[#This Row],[کد ردیابی]],customer[کد],0))</f>
        <v>کیان صنعت</v>
      </c>
      <c r="H1230">
        <v>141</v>
      </c>
      <c r="I1230" s="6">
        <f ca="1">-Main[[#This Row],[بدهی تسویه شده (کیلوگرم)]]+Main[[#This Row],[بستانکار (کیلوگرم)]]</f>
        <v>141</v>
      </c>
      <c r="J1230" s="6">
        <f>IF(Main[[#This Row],[مقدار (کیلوگرم)]]&gt;0,Main[[#This Row],[مقدار (کیلوگرم)]],0)</f>
        <v>141</v>
      </c>
      <c r="K1230" s="6">
        <f>-IF(Main[[#This Row],[مقدار (کیلوگرم)]]&lt;0,Main[[#This Row],[مقدار (کیلوگرم)]],0)</f>
        <v>0</v>
      </c>
      <c r="L12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0" s="7">
        <f>-IF(AND(Main[[#This Row],[مقدار (کیلوگرم)]]&lt;0,Main[[#This Row],[تاريخ میلادی]]&gt;44276),Main[[#This Row],[مقدار (کیلوگرم)]],0)</f>
        <v>0</v>
      </c>
      <c r="N1230" s="6">
        <f ca="1">Main[[#This Row],[بدهکار (کیلوگرم)]]-Main[[#This Row],[بدهی تسویه نشده (کیلوگرم)]]</f>
        <v>0</v>
      </c>
      <c r="O1230" s="6">
        <f ca="1">Main[[#This Row],[تفکیک]]</f>
        <v>0</v>
      </c>
      <c r="P1230" s="6">
        <f ca="1">IF(Main[[#This Row],[تاخیر از سررسید]]&gt;0,Main[[#This Row],[بدهی تسویه نشده (کیلوگرم)]],0)</f>
        <v>0</v>
      </c>
      <c r="Q1230" s="6">
        <f ca="1">IF(Main[[#This Row],[بدهی تسویه نشده (کیلوگرم)]]&gt;0,'گزارش فردی'!$B$7-Main[[#This Row],[تاريخ میلادی]],0)</f>
        <v>0</v>
      </c>
      <c r="R1230" s="6">
        <f ca="1">IF(Main[[#This Row],[بدهی تسویه نشده (کیلوگرم)]]&gt;0,'گزارش فردی'!$B$7-Main[[#This Row],[تاريخ میلادی]]-'گزارش فردی'!$B$8,0)</f>
        <v>0</v>
      </c>
      <c r="S1230" s="6">
        <f ca="1">Main[[#This Row],[روز از ارسال سفارش]]*Main[[#This Row],[بدهی تسویه نشده (کیلوگرم)]]</f>
        <v>0</v>
      </c>
      <c r="T1230" s="6">
        <f ca="1">Main[[#This Row],[بدهی سررسید شده (کیلوگرم)]]*Main[[#This Row],[روز از ارسال سفارش]]</f>
        <v>0</v>
      </c>
      <c r="U1230" s="6">
        <f>-SUBTOTAL(9,INDEX(Main[مقدار (کیلوگرم)],1):Main[[#This Row],[مقدار (کیلوگرم)]])</f>
        <v>38118</v>
      </c>
      <c r="V12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0" s="6">
        <f>Main[[#This Row],[تعداد کل روزهای بدهکار (روز)]]*Main[[#This Row],[مانده در خط کل (کیلوگرم)]]</f>
        <v>0</v>
      </c>
      <c r="X1230" s="6">
        <f ca="1">-SUBTOTAL(9,INDEX(Main[مقدار تسویه شده (کیلوگرم)],1):Main[[#This Row],[مقدار تسویه شده (کیلوگرم)]])</f>
        <v>38118</v>
      </c>
      <c r="Y1230" s="6">
        <f ca="1">IF(Main[[#This Row],[مانده در خط تسویه شده (کیلوگرم)]]&lt;&gt;0,Main[[#This Row],[تعداد کل روزهای بدهکار (روز)]],0)</f>
        <v>0</v>
      </c>
      <c r="Z1230" s="6">
        <f ca="1">Main[[#This Row],[تعداد روزهای بدهکار تسویه شده (روز)]]*Main[[#This Row],[مانده در خط تسویه شده (کیلوگرم)]]</f>
        <v>0</v>
      </c>
      <c r="AA1230" s="6">
        <f ca="1">SUBTOTAL(9,INDEX(Main[بدهی تسویه نشده (کیلوگرم)],1):Main[[#This Row],[بدهی تسویه نشده (کیلوگرم)]])</f>
        <v>0</v>
      </c>
      <c r="AB1230" s="6">
        <f ca="1">IF(Main[[#This Row],[مانده در خط تسویه نشده (کیلوگرم)]]&lt;&gt;0,Main[[#This Row],[تعداد کل روزهای بدهکار (روز)]],0)</f>
        <v>0</v>
      </c>
      <c r="AC1230" s="6">
        <f ca="1">Main[[#This Row],[تعداد روزهای بدهکار  تسویه نشده (روز)]]*Main[[#This Row],[مانده در خط تسویه نشده (کیلوگرم)]]</f>
        <v>0</v>
      </c>
      <c r="AD1230" s="6">
        <f ca="1">SUBTOTAL(9,INDEX(Main[بدهی سررسید شده (کیلوگرم)],1):Main[[#This Row],[بدهی سررسید شده (کیلوگرم)]])</f>
        <v>0</v>
      </c>
      <c r="AE1230" s="6">
        <f ca="1">IF(Main[[#This Row],[مانده در خط سررسید شده (کیلوگرم)]]&lt;&gt;0,Main[[#This Row],[تعداد کل روزهای بدهکار (روز)]],0)</f>
        <v>0</v>
      </c>
      <c r="AF1230" s="6">
        <f ca="1">Main[[#This Row],[تعداد روزهای بدهکار سررسید شده (روز)]]*Main[[#This Row],[مانده در خط سررسید شده (کیلوگرم)]]</f>
        <v>0</v>
      </c>
    </row>
    <row r="1231" spans="1:32" hidden="1" x14ac:dyDescent="0.35">
      <c r="A1231" s="5">
        <f>ROW()-ROW(INDEX(Main[ردیف],1))+1</f>
        <v>1229</v>
      </c>
      <c r="B1231" s="31">
        <f>SUBTOTAL(2,INDEX(Main[ردیف],1):Main[[#This Row],[ردیف]])</f>
        <v>111</v>
      </c>
      <c r="C1231" s="32" t="s">
        <v>633</v>
      </c>
      <c r="D1231" s="32" t="str">
        <f>_xlfn.CONCAT("14",Main[[#This Row],[تاريخ]])</f>
        <v>1400/05/09</v>
      </c>
      <c r="E1231" s="33">
        <v>44408</v>
      </c>
      <c r="F1231" s="32">
        <v>30124</v>
      </c>
      <c r="G1231" s="5" t="str">
        <f>INDEX(customer[عنوان],MATCH(Main[[#This Row],[کد ردیابی]],customer[کد],0))</f>
        <v>شرکت لنگرمرواریدسبز</v>
      </c>
      <c r="H1231">
        <v>-1001</v>
      </c>
      <c r="I1231" s="6">
        <f ca="1">-Main[[#This Row],[بدهی تسویه شده (کیلوگرم)]]+Main[[#This Row],[بستانکار (کیلوگرم)]]</f>
        <v>-1001</v>
      </c>
      <c r="J1231" s="6">
        <f>IF(Main[[#This Row],[مقدار (کیلوگرم)]]&gt;0,Main[[#This Row],[مقدار (کیلوگرم)]],0)</f>
        <v>0</v>
      </c>
      <c r="K1231" s="6">
        <f>-IF(Main[[#This Row],[مقدار (کیلوگرم)]]&lt;0,Main[[#This Row],[مقدار (کیلوگرم)]],0)</f>
        <v>1001</v>
      </c>
      <c r="L12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1" s="7">
        <f>-IF(AND(Main[[#This Row],[مقدار (کیلوگرم)]]&lt;0,Main[[#This Row],[تاريخ میلادی]]&gt;44276),Main[[#This Row],[مقدار (کیلوگرم)]],0)</f>
        <v>1001</v>
      </c>
      <c r="N1231" s="6">
        <f ca="1">Main[[#This Row],[بدهکار (کیلوگرم)]]-Main[[#This Row],[بدهی تسویه نشده (کیلوگرم)]]</f>
        <v>1001</v>
      </c>
      <c r="O1231" s="6">
        <f ca="1">Main[[#This Row],[تفکیک]]</f>
        <v>0</v>
      </c>
      <c r="P1231" s="6">
        <f ca="1">IF(Main[[#This Row],[تاخیر از سررسید]]&gt;0,Main[[#This Row],[بدهی تسویه نشده (کیلوگرم)]],0)</f>
        <v>0</v>
      </c>
      <c r="Q1231" s="6">
        <f ca="1">IF(Main[[#This Row],[بدهی تسویه نشده (کیلوگرم)]]&gt;0,'گزارش فردی'!$B$7-Main[[#This Row],[تاريخ میلادی]],0)</f>
        <v>0</v>
      </c>
      <c r="R1231" s="6">
        <f ca="1">IF(Main[[#This Row],[بدهی تسویه نشده (کیلوگرم)]]&gt;0,'گزارش فردی'!$B$7-Main[[#This Row],[تاريخ میلادی]]-'گزارش فردی'!$B$8,0)</f>
        <v>0</v>
      </c>
      <c r="S1231" s="6">
        <f ca="1">Main[[#This Row],[روز از ارسال سفارش]]*Main[[#This Row],[بدهی تسویه نشده (کیلوگرم)]]</f>
        <v>0</v>
      </c>
      <c r="T1231" s="6">
        <f ca="1">Main[[#This Row],[بدهی سررسید شده (کیلوگرم)]]*Main[[#This Row],[روز از ارسال سفارش]]</f>
        <v>0</v>
      </c>
      <c r="U1231" s="6">
        <f>-SUBTOTAL(9,INDEX(Main[مقدار (کیلوگرم)],1):Main[[#This Row],[مقدار (کیلوگرم)]])</f>
        <v>38118</v>
      </c>
      <c r="V12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1" s="6">
        <f>Main[[#This Row],[تعداد کل روزهای بدهکار (روز)]]*Main[[#This Row],[مانده در خط کل (کیلوگرم)]]</f>
        <v>0</v>
      </c>
      <c r="X1231" s="6">
        <f ca="1">-SUBTOTAL(9,INDEX(Main[مقدار تسویه شده (کیلوگرم)],1):Main[[#This Row],[مقدار تسویه شده (کیلوگرم)]])</f>
        <v>38118</v>
      </c>
      <c r="Y1231" s="6">
        <f ca="1">IF(Main[[#This Row],[مانده در خط تسویه شده (کیلوگرم)]]&lt;&gt;0,Main[[#This Row],[تعداد کل روزهای بدهکار (روز)]],0)</f>
        <v>0</v>
      </c>
      <c r="Z1231" s="6">
        <f ca="1">Main[[#This Row],[تعداد روزهای بدهکار تسویه شده (روز)]]*Main[[#This Row],[مانده در خط تسویه شده (کیلوگرم)]]</f>
        <v>0</v>
      </c>
      <c r="AA1231" s="6">
        <f ca="1">SUBTOTAL(9,INDEX(Main[بدهی تسویه نشده (کیلوگرم)],1):Main[[#This Row],[بدهی تسویه نشده (کیلوگرم)]])</f>
        <v>0</v>
      </c>
      <c r="AB1231" s="6">
        <f ca="1">IF(Main[[#This Row],[مانده در خط تسویه نشده (کیلوگرم)]]&lt;&gt;0,Main[[#This Row],[تعداد کل روزهای بدهکار (روز)]],0)</f>
        <v>0</v>
      </c>
      <c r="AC1231" s="6">
        <f ca="1">Main[[#This Row],[تعداد روزهای بدهکار  تسویه نشده (روز)]]*Main[[#This Row],[مانده در خط تسویه نشده (کیلوگرم)]]</f>
        <v>0</v>
      </c>
      <c r="AD1231" s="6">
        <f ca="1">SUBTOTAL(9,INDEX(Main[بدهی سررسید شده (کیلوگرم)],1):Main[[#This Row],[بدهی سررسید شده (کیلوگرم)]])</f>
        <v>0</v>
      </c>
      <c r="AE1231" s="6">
        <f ca="1">IF(Main[[#This Row],[مانده در خط سررسید شده (کیلوگرم)]]&lt;&gt;0,Main[[#This Row],[تعداد کل روزهای بدهکار (روز)]],0)</f>
        <v>0</v>
      </c>
      <c r="AF1231" s="6">
        <f ca="1">Main[[#This Row],[تعداد روزهای بدهکار سررسید شده (روز)]]*Main[[#This Row],[مانده در خط سررسید شده (کیلوگرم)]]</f>
        <v>0</v>
      </c>
    </row>
    <row r="1232" spans="1:32" hidden="1" x14ac:dyDescent="0.35">
      <c r="A1232" s="5">
        <f>ROW()-ROW(INDEX(Main[ردیف],1))+1</f>
        <v>1230</v>
      </c>
      <c r="B1232" s="31">
        <f>SUBTOTAL(2,INDEX(Main[ردیف],1):Main[[#This Row],[ردیف]])</f>
        <v>111</v>
      </c>
      <c r="C1232" s="32" t="s">
        <v>633</v>
      </c>
      <c r="D1232" s="32" t="str">
        <f>_xlfn.CONCAT("14",Main[[#This Row],[تاريخ]])</f>
        <v>1400/05/09</v>
      </c>
      <c r="E1232" s="33">
        <v>44408</v>
      </c>
      <c r="F1232" s="32">
        <v>30009</v>
      </c>
      <c r="G1232" s="5" t="str">
        <f>INDEX(customer[عنوان],MATCH(Main[[#This Row],[کد ردیابی]],customer[کد],0))</f>
        <v>شرکت ایمن تک پیشرو</v>
      </c>
      <c r="H1232">
        <v>1964</v>
      </c>
      <c r="I1232" s="6">
        <f ca="1">-Main[[#This Row],[بدهی تسویه شده (کیلوگرم)]]+Main[[#This Row],[بستانکار (کیلوگرم)]]</f>
        <v>1964</v>
      </c>
      <c r="J1232" s="6">
        <f>IF(Main[[#This Row],[مقدار (کیلوگرم)]]&gt;0,Main[[#This Row],[مقدار (کیلوگرم)]],0)</f>
        <v>1964</v>
      </c>
      <c r="K1232" s="6">
        <f>-IF(Main[[#This Row],[مقدار (کیلوگرم)]]&lt;0,Main[[#This Row],[مقدار (کیلوگرم)]],0)</f>
        <v>0</v>
      </c>
      <c r="L12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2" s="7">
        <f>-IF(AND(Main[[#This Row],[مقدار (کیلوگرم)]]&lt;0,Main[[#This Row],[تاريخ میلادی]]&gt;44276),Main[[#This Row],[مقدار (کیلوگرم)]],0)</f>
        <v>0</v>
      </c>
      <c r="N1232" s="6">
        <f ca="1">Main[[#This Row],[بدهکار (کیلوگرم)]]-Main[[#This Row],[بدهی تسویه نشده (کیلوگرم)]]</f>
        <v>0</v>
      </c>
      <c r="O1232" s="6">
        <f ca="1">Main[[#This Row],[تفکیک]]</f>
        <v>0</v>
      </c>
      <c r="P1232" s="6">
        <f ca="1">IF(Main[[#This Row],[تاخیر از سررسید]]&gt;0,Main[[#This Row],[بدهی تسویه نشده (کیلوگرم)]],0)</f>
        <v>0</v>
      </c>
      <c r="Q1232" s="6">
        <f ca="1">IF(Main[[#This Row],[بدهی تسویه نشده (کیلوگرم)]]&gt;0,'گزارش فردی'!$B$7-Main[[#This Row],[تاريخ میلادی]],0)</f>
        <v>0</v>
      </c>
      <c r="R1232" s="6">
        <f ca="1">IF(Main[[#This Row],[بدهی تسویه نشده (کیلوگرم)]]&gt;0,'گزارش فردی'!$B$7-Main[[#This Row],[تاريخ میلادی]]-'گزارش فردی'!$B$8,0)</f>
        <v>0</v>
      </c>
      <c r="S1232" s="6">
        <f ca="1">Main[[#This Row],[روز از ارسال سفارش]]*Main[[#This Row],[بدهی تسویه نشده (کیلوگرم)]]</f>
        <v>0</v>
      </c>
      <c r="T1232" s="6">
        <f ca="1">Main[[#This Row],[بدهی سررسید شده (کیلوگرم)]]*Main[[#This Row],[روز از ارسال سفارش]]</f>
        <v>0</v>
      </c>
      <c r="U1232" s="6">
        <f>-SUBTOTAL(9,INDEX(Main[مقدار (کیلوگرم)],1):Main[[#This Row],[مقدار (کیلوگرم)]])</f>
        <v>38118</v>
      </c>
      <c r="V12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2" s="6">
        <f>Main[[#This Row],[تعداد کل روزهای بدهکار (روز)]]*Main[[#This Row],[مانده در خط کل (کیلوگرم)]]</f>
        <v>0</v>
      </c>
      <c r="X1232" s="6">
        <f ca="1">-SUBTOTAL(9,INDEX(Main[مقدار تسویه شده (کیلوگرم)],1):Main[[#This Row],[مقدار تسویه شده (کیلوگرم)]])</f>
        <v>38118</v>
      </c>
      <c r="Y1232" s="6">
        <f ca="1">IF(Main[[#This Row],[مانده در خط تسویه شده (کیلوگرم)]]&lt;&gt;0,Main[[#This Row],[تعداد کل روزهای بدهکار (روز)]],0)</f>
        <v>0</v>
      </c>
      <c r="Z1232" s="6">
        <f ca="1">Main[[#This Row],[تعداد روزهای بدهکار تسویه شده (روز)]]*Main[[#This Row],[مانده در خط تسویه شده (کیلوگرم)]]</f>
        <v>0</v>
      </c>
      <c r="AA1232" s="6">
        <f ca="1">SUBTOTAL(9,INDEX(Main[بدهی تسویه نشده (کیلوگرم)],1):Main[[#This Row],[بدهی تسویه نشده (کیلوگرم)]])</f>
        <v>0</v>
      </c>
      <c r="AB1232" s="6">
        <f ca="1">IF(Main[[#This Row],[مانده در خط تسویه نشده (کیلوگرم)]]&lt;&gt;0,Main[[#This Row],[تعداد کل روزهای بدهکار (روز)]],0)</f>
        <v>0</v>
      </c>
      <c r="AC1232" s="6">
        <f ca="1">Main[[#This Row],[تعداد روزهای بدهکار  تسویه نشده (روز)]]*Main[[#This Row],[مانده در خط تسویه نشده (کیلوگرم)]]</f>
        <v>0</v>
      </c>
      <c r="AD1232" s="6">
        <f ca="1">SUBTOTAL(9,INDEX(Main[بدهی سررسید شده (کیلوگرم)],1):Main[[#This Row],[بدهی سررسید شده (کیلوگرم)]])</f>
        <v>0</v>
      </c>
      <c r="AE1232" s="6">
        <f ca="1">IF(Main[[#This Row],[مانده در خط سررسید شده (کیلوگرم)]]&lt;&gt;0,Main[[#This Row],[تعداد کل روزهای بدهکار (روز)]],0)</f>
        <v>0</v>
      </c>
      <c r="AF1232" s="6">
        <f ca="1">Main[[#This Row],[تعداد روزهای بدهکار سررسید شده (روز)]]*Main[[#This Row],[مانده در خط سررسید شده (کیلوگرم)]]</f>
        <v>0</v>
      </c>
    </row>
    <row r="1233" spans="1:32" hidden="1" x14ac:dyDescent="0.35">
      <c r="A1233" s="5">
        <f>ROW()-ROW(INDEX(Main[ردیف],1))+1</f>
        <v>1231</v>
      </c>
      <c r="B1233" s="31">
        <f>SUBTOTAL(2,INDEX(Main[ردیف],1):Main[[#This Row],[ردیف]])</f>
        <v>111</v>
      </c>
      <c r="C1233" s="32" t="s">
        <v>633</v>
      </c>
      <c r="D1233" s="32" t="str">
        <f>_xlfn.CONCAT("14",Main[[#This Row],[تاريخ]])</f>
        <v>1400/05/09</v>
      </c>
      <c r="E1233" s="33">
        <v>44408</v>
      </c>
      <c r="F1233" s="32">
        <v>30140</v>
      </c>
      <c r="G1233" s="5" t="str">
        <f>INDEX(customer[عنوان],MATCH(Main[[#This Row],[کد ردیابی]],customer[کد],0))</f>
        <v>شرکت سیتکو</v>
      </c>
      <c r="H1233">
        <v>1670</v>
      </c>
      <c r="I1233" s="6">
        <f ca="1">-Main[[#This Row],[بدهی تسویه شده (کیلوگرم)]]+Main[[#This Row],[بستانکار (کیلوگرم)]]</f>
        <v>1670</v>
      </c>
      <c r="J1233" s="6">
        <f>IF(Main[[#This Row],[مقدار (کیلوگرم)]]&gt;0,Main[[#This Row],[مقدار (کیلوگرم)]],0)</f>
        <v>1670</v>
      </c>
      <c r="K1233" s="6">
        <f>-IF(Main[[#This Row],[مقدار (کیلوگرم)]]&lt;0,Main[[#This Row],[مقدار (کیلوگرم)]],0)</f>
        <v>0</v>
      </c>
      <c r="L12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3" s="7">
        <f>-IF(AND(Main[[#This Row],[مقدار (کیلوگرم)]]&lt;0,Main[[#This Row],[تاريخ میلادی]]&gt;44276),Main[[#This Row],[مقدار (کیلوگرم)]],0)</f>
        <v>0</v>
      </c>
      <c r="N1233" s="6">
        <f ca="1">Main[[#This Row],[بدهکار (کیلوگرم)]]-Main[[#This Row],[بدهی تسویه نشده (کیلوگرم)]]</f>
        <v>0</v>
      </c>
      <c r="O1233" s="6">
        <f ca="1">Main[[#This Row],[تفکیک]]</f>
        <v>0</v>
      </c>
      <c r="P1233" s="6">
        <f ca="1">IF(Main[[#This Row],[تاخیر از سررسید]]&gt;0,Main[[#This Row],[بدهی تسویه نشده (کیلوگرم)]],0)</f>
        <v>0</v>
      </c>
      <c r="Q1233" s="6">
        <f ca="1">IF(Main[[#This Row],[بدهی تسویه نشده (کیلوگرم)]]&gt;0,'گزارش فردی'!$B$7-Main[[#This Row],[تاريخ میلادی]],0)</f>
        <v>0</v>
      </c>
      <c r="R1233" s="6">
        <f ca="1">IF(Main[[#This Row],[بدهی تسویه نشده (کیلوگرم)]]&gt;0,'گزارش فردی'!$B$7-Main[[#This Row],[تاريخ میلادی]]-'گزارش فردی'!$B$8,0)</f>
        <v>0</v>
      </c>
      <c r="S1233" s="6">
        <f ca="1">Main[[#This Row],[روز از ارسال سفارش]]*Main[[#This Row],[بدهی تسویه نشده (کیلوگرم)]]</f>
        <v>0</v>
      </c>
      <c r="T1233" s="6">
        <f ca="1">Main[[#This Row],[بدهی سررسید شده (کیلوگرم)]]*Main[[#This Row],[روز از ارسال سفارش]]</f>
        <v>0</v>
      </c>
      <c r="U1233" s="6">
        <f>-SUBTOTAL(9,INDEX(Main[مقدار (کیلوگرم)],1):Main[[#This Row],[مقدار (کیلوگرم)]])</f>
        <v>38118</v>
      </c>
      <c r="V12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3" s="6">
        <f>Main[[#This Row],[تعداد کل روزهای بدهکار (روز)]]*Main[[#This Row],[مانده در خط کل (کیلوگرم)]]</f>
        <v>0</v>
      </c>
      <c r="X1233" s="6">
        <f ca="1">-SUBTOTAL(9,INDEX(Main[مقدار تسویه شده (کیلوگرم)],1):Main[[#This Row],[مقدار تسویه شده (کیلوگرم)]])</f>
        <v>38118</v>
      </c>
      <c r="Y1233" s="6">
        <f ca="1">IF(Main[[#This Row],[مانده در خط تسویه شده (کیلوگرم)]]&lt;&gt;0,Main[[#This Row],[تعداد کل روزهای بدهکار (روز)]],0)</f>
        <v>0</v>
      </c>
      <c r="Z1233" s="6">
        <f ca="1">Main[[#This Row],[تعداد روزهای بدهکار تسویه شده (روز)]]*Main[[#This Row],[مانده در خط تسویه شده (کیلوگرم)]]</f>
        <v>0</v>
      </c>
      <c r="AA1233" s="6">
        <f ca="1">SUBTOTAL(9,INDEX(Main[بدهی تسویه نشده (کیلوگرم)],1):Main[[#This Row],[بدهی تسویه نشده (کیلوگرم)]])</f>
        <v>0</v>
      </c>
      <c r="AB1233" s="6">
        <f ca="1">IF(Main[[#This Row],[مانده در خط تسویه نشده (کیلوگرم)]]&lt;&gt;0,Main[[#This Row],[تعداد کل روزهای بدهکار (روز)]],0)</f>
        <v>0</v>
      </c>
      <c r="AC1233" s="6">
        <f ca="1">Main[[#This Row],[تعداد روزهای بدهکار  تسویه نشده (روز)]]*Main[[#This Row],[مانده در خط تسویه نشده (کیلوگرم)]]</f>
        <v>0</v>
      </c>
      <c r="AD1233" s="6">
        <f ca="1">SUBTOTAL(9,INDEX(Main[بدهی سررسید شده (کیلوگرم)],1):Main[[#This Row],[بدهی سررسید شده (کیلوگرم)]])</f>
        <v>0</v>
      </c>
      <c r="AE1233" s="6">
        <f ca="1">IF(Main[[#This Row],[مانده در خط سررسید شده (کیلوگرم)]]&lt;&gt;0,Main[[#This Row],[تعداد کل روزهای بدهکار (روز)]],0)</f>
        <v>0</v>
      </c>
      <c r="AF1233" s="6">
        <f ca="1">Main[[#This Row],[تعداد روزهای بدهکار سررسید شده (روز)]]*Main[[#This Row],[مانده در خط سررسید شده (کیلوگرم)]]</f>
        <v>0</v>
      </c>
    </row>
    <row r="1234" spans="1:32" x14ac:dyDescent="0.35">
      <c r="A1234" s="5">
        <f>ROW()-ROW(INDEX(Main[ردیف],1))+1</f>
        <v>1232</v>
      </c>
      <c r="B1234" s="31">
        <f>SUBTOTAL(2,INDEX(Main[ردیف],1):Main[[#This Row],[ردیف]])</f>
        <v>112</v>
      </c>
      <c r="C1234" s="32" t="s">
        <v>633</v>
      </c>
      <c r="D1234" s="32" t="str">
        <f>_xlfn.CONCAT("14",Main[[#This Row],[تاريخ]])</f>
        <v>1400/05/09</v>
      </c>
      <c r="E1234" s="33">
        <v>44408</v>
      </c>
      <c r="F1234" s="32">
        <v>10003</v>
      </c>
      <c r="G1234" s="5" t="str">
        <f>INDEX(customer[عنوان],MATCH(Main[[#This Row],[کد ردیابی]],customer[کد],0))</f>
        <v>اصغر نورعلی</v>
      </c>
      <c r="H1234">
        <v>2335</v>
      </c>
      <c r="I1234" s="6">
        <f ca="1">-Main[[#This Row],[بدهی تسویه شده (کیلوگرم)]]+Main[[#This Row],[بستانکار (کیلوگرم)]]</f>
        <v>2335</v>
      </c>
      <c r="J1234" s="6">
        <f>IF(Main[[#This Row],[مقدار (کیلوگرم)]]&gt;0,Main[[#This Row],[مقدار (کیلوگرم)]],0)</f>
        <v>2335</v>
      </c>
      <c r="K1234" s="6">
        <f>-IF(Main[[#This Row],[مقدار (کیلوگرم)]]&lt;0,Main[[#This Row],[مقدار (کیلوگرم)]],0)</f>
        <v>0</v>
      </c>
      <c r="L12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4" s="7">
        <f>-IF(AND(Main[[#This Row],[مقدار (کیلوگرم)]]&lt;0,Main[[#This Row],[تاريخ میلادی]]&gt;44276),Main[[#This Row],[مقدار (کیلوگرم)]],0)</f>
        <v>0</v>
      </c>
      <c r="N1234" s="6">
        <f ca="1">Main[[#This Row],[بدهکار (کیلوگرم)]]-Main[[#This Row],[بدهی تسویه نشده (کیلوگرم)]]</f>
        <v>0</v>
      </c>
      <c r="O1234" s="6">
        <f ca="1">Main[[#This Row],[تفکیک]]</f>
        <v>0</v>
      </c>
      <c r="P1234" s="6">
        <f ca="1">IF(Main[[#This Row],[تاخیر از سررسید]]&gt;0,Main[[#This Row],[بدهی تسویه نشده (کیلوگرم)]],0)</f>
        <v>0</v>
      </c>
      <c r="Q1234" s="6">
        <f ca="1">IF(Main[[#This Row],[بدهی تسویه نشده (کیلوگرم)]]&gt;0,'گزارش فردی'!$B$7-Main[[#This Row],[تاريخ میلادی]],0)</f>
        <v>0</v>
      </c>
      <c r="R1234" s="6">
        <f ca="1">IF(Main[[#This Row],[بدهی تسویه نشده (کیلوگرم)]]&gt;0,'گزارش فردی'!$B$7-Main[[#This Row],[تاريخ میلادی]]-'گزارش فردی'!$B$8,0)</f>
        <v>0</v>
      </c>
      <c r="S1234" s="6">
        <f ca="1">Main[[#This Row],[روز از ارسال سفارش]]*Main[[#This Row],[بدهی تسویه نشده (کیلوگرم)]]</f>
        <v>0</v>
      </c>
      <c r="T1234" s="6">
        <f ca="1">Main[[#This Row],[بدهی سررسید شده (کیلوگرم)]]*Main[[#This Row],[روز از ارسال سفارش]]</f>
        <v>0</v>
      </c>
      <c r="U1234" s="6">
        <f>-SUBTOTAL(9,INDEX(Main[مقدار (کیلوگرم)],1):Main[[#This Row],[مقدار (کیلوگرم)]])</f>
        <v>35783</v>
      </c>
      <c r="V123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4" s="6">
        <f>Main[[#This Row],[تعداد کل روزهای بدهکار (روز)]]*Main[[#This Row],[مانده در خط کل (کیلوگرم)]]</f>
        <v>71566</v>
      </c>
      <c r="X1234" s="6">
        <f ca="1">-SUBTOTAL(9,INDEX(Main[مقدار تسویه شده (کیلوگرم)],1):Main[[#This Row],[مقدار تسویه شده (کیلوگرم)]])</f>
        <v>35783</v>
      </c>
      <c r="Y1234" s="6">
        <f ca="1">IF(Main[[#This Row],[مانده در خط تسویه شده (کیلوگرم)]]&lt;&gt;0,Main[[#This Row],[تعداد کل روزهای بدهکار (روز)]],0)</f>
        <v>2</v>
      </c>
      <c r="Z1234" s="6">
        <f ca="1">Main[[#This Row],[تعداد روزهای بدهکار تسویه شده (روز)]]*Main[[#This Row],[مانده در خط تسویه شده (کیلوگرم)]]</f>
        <v>71566</v>
      </c>
      <c r="AA1234" s="6">
        <f ca="1">SUBTOTAL(9,INDEX(Main[بدهی تسویه نشده (کیلوگرم)],1):Main[[#This Row],[بدهی تسویه نشده (کیلوگرم)]])</f>
        <v>0</v>
      </c>
      <c r="AB1234" s="6">
        <f ca="1">IF(Main[[#This Row],[مانده در خط تسویه نشده (کیلوگرم)]]&lt;&gt;0,Main[[#This Row],[تعداد کل روزهای بدهکار (روز)]],0)</f>
        <v>0</v>
      </c>
      <c r="AC1234" s="6">
        <f ca="1">Main[[#This Row],[تعداد روزهای بدهکار  تسویه نشده (روز)]]*Main[[#This Row],[مانده در خط تسویه نشده (کیلوگرم)]]</f>
        <v>0</v>
      </c>
      <c r="AD1234" s="6">
        <f ca="1">SUBTOTAL(9,INDEX(Main[بدهی سررسید شده (کیلوگرم)],1):Main[[#This Row],[بدهی سررسید شده (کیلوگرم)]])</f>
        <v>0</v>
      </c>
      <c r="AE1234" s="6">
        <f ca="1">IF(Main[[#This Row],[مانده در خط سررسید شده (کیلوگرم)]]&lt;&gt;0,Main[[#This Row],[تعداد کل روزهای بدهکار (روز)]],0)</f>
        <v>0</v>
      </c>
      <c r="AF1234" s="6">
        <f ca="1">Main[[#This Row],[تعداد روزهای بدهکار سررسید شده (روز)]]*Main[[#This Row],[مانده در خط سررسید شده (کیلوگرم)]]</f>
        <v>0</v>
      </c>
    </row>
    <row r="1235" spans="1:32" hidden="1" x14ac:dyDescent="0.35">
      <c r="A1235" s="5">
        <f>ROW()-ROW(INDEX(Main[ردیف],1))+1</f>
        <v>1233</v>
      </c>
      <c r="B1235" s="31">
        <f>SUBTOTAL(2,INDEX(Main[ردیف],1):Main[[#This Row],[ردیف]])</f>
        <v>112</v>
      </c>
      <c r="C1235" s="32" t="s">
        <v>633</v>
      </c>
      <c r="D1235" s="32" t="str">
        <f>_xlfn.CONCAT("14",Main[[#This Row],[تاريخ]])</f>
        <v>1400/05/09</v>
      </c>
      <c r="E1235" s="33">
        <v>44408</v>
      </c>
      <c r="F1235" s="32">
        <v>10128</v>
      </c>
      <c r="G1235" s="5" t="str">
        <f>INDEX(customer[عنوان],MATCH(Main[[#This Row],[کد ردیابی]],customer[کد],0))</f>
        <v xml:space="preserve">رویا اصلانی </v>
      </c>
      <c r="H1235">
        <v>136</v>
      </c>
      <c r="I1235" s="6">
        <f ca="1">-Main[[#This Row],[بدهی تسویه شده (کیلوگرم)]]+Main[[#This Row],[بستانکار (کیلوگرم)]]</f>
        <v>136</v>
      </c>
      <c r="J1235" s="6">
        <f>IF(Main[[#This Row],[مقدار (کیلوگرم)]]&gt;0,Main[[#This Row],[مقدار (کیلوگرم)]],0)</f>
        <v>136</v>
      </c>
      <c r="K1235" s="6">
        <f>-IF(Main[[#This Row],[مقدار (کیلوگرم)]]&lt;0,Main[[#This Row],[مقدار (کیلوگرم)]],0)</f>
        <v>0</v>
      </c>
      <c r="L12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5" s="7">
        <f>-IF(AND(Main[[#This Row],[مقدار (کیلوگرم)]]&lt;0,Main[[#This Row],[تاريخ میلادی]]&gt;44276),Main[[#This Row],[مقدار (کیلوگرم)]],0)</f>
        <v>0</v>
      </c>
      <c r="N1235" s="6">
        <f ca="1">Main[[#This Row],[بدهکار (کیلوگرم)]]-Main[[#This Row],[بدهی تسویه نشده (کیلوگرم)]]</f>
        <v>0</v>
      </c>
      <c r="O1235" s="6">
        <f ca="1">Main[[#This Row],[تفکیک]]</f>
        <v>0</v>
      </c>
      <c r="P1235" s="6">
        <f ca="1">IF(Main[[#This Row],[تاخیر از سررسید]]&gt;0,Main[[#This Row],[بدهی تسویه نشده (کیلوگرم)]],0)</f>
        <v>0</v>
      </c>
      <c r="Q1235" s="6">
        <f ca="1">IF(Main[[#This Row],[بدهی تسویه نشده (کیلوگرم)]]&gt;0,'گزارش فردی'!$B$7-Main[[#This Row],[تاريخ میلادی]],0)</f>
        <v>0</v>
      </c>
      <c r="R1235" s="6">
        <f ca="1">IF(Main[[#This Row],[بدهی تسویه نشده (کیلوگرم)]]&gt;0,'گزارش فردی'!$B$7-Main[[#This Row],[تاريخ میلادی]]-'گزارش فردی'!$B$8,0)</f>
        <v>0</v>
      </c>
      <c r="S1235" s="6">
        <f ca="1">Main[[#This Row],[روز از ارسال سفارش]]*Main[[#This Row],[بدهی تسویه نشده (کیلوگرم)]]</f>
        <v>0</v>
      </c>
      <c r="T1235" s="6">
        <f ca="1">Main[[#This Row],[بدهی سررسید شده (کیلوگرم)]]*Main[[#This Row],[روز از ارسال سفارش]]</f>
        <v>0</v>
      </c>
      <c r="U1235" s="6">
        <f>-SUBTOTAL(9,INDEX(Main[مقدار (کیلوگرم)],1):Main[[#This Row],[مقدار (کیلوگرم)]])</f>
        <v>35783</v>
      </c>
      <c r="V123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5" s="6">
        <f>Main[[#This Row],[تعداد کل روزهای بدهکار (روز)]]*Main[[#This Row],[مانده در خط کل (کیلوگرم)]]</f>
        <v>71566</v>
      </c>
      <c r="X1235" s="6">
        <f ca="1">-SUBTOTAL(9,INDEX(Main[مقدار تسویه شده (کیلوگرم)],1):Main[[#This Row],[مقدار تسویه شده (کیلوگرم)]])</f>
        <v>35783</v>
      </c>
      <c r="Y1235" s="6">
        <f ca="1">IF(Main[[#This Row],[مانده در خط تسویه شده (کیلوگرم)]]&lt;&gt;0,Main[[#This Row],[تعداد کل روزهای بدهکار (روز)]],0)</f>
        <v>2</v>
      </c>
      <c r="Z1235" s="6">
        <f ca="1">Main[[#This Row],[تعداد روزهای بدهکار تسویه شده (روز)]]*Main[[#This Row],[مانده در خط تسویه شده (کیلوگرم)]]</f>
        <v>71566</v>
      </c>
      <c r="AA1235" s="6">
        <f ca="1">SUBTOTAL(9,INDEX(Main[بدهی تسویه نشده (کیلوگرم)],1):Main[[#This Row],[بدهی تسویه نشده (کیلوگرم)]])</f>
        <v>0</v>
      </c>
      <c r="AB1235" s="6">
        <f ca="1">IF(Main[[#This Row],[مانده در خط تسویه نشده (کیلوگرم)]]&lt;&gt;0,Main[[#This Row],[تعداد کل روزهای بدهکار (روز)]],0)</f>
        <v>0</v>
      </c>
      <c r="AC1235" s="6">
        <f ca="1">Main[[#This Row],[تعداد روزهای بدهکار  تسویه نشده (روز)]]*Main[[#This Row],[مانده در خط تسویه نشده (کیلوگرم)]]</f>
        <v>0</v>
      </c>
      <c r="AD1235" s="6">
        <f ca="1">SUBTOTAL(9,INDEX(Main[بدهی سررسید شده (کیلوگرم)],1):Main[[#This Row],[بدهی سررسید شده (کیلوگرم)]])</f>
        <v>0</v>
      </c>
      <c r="AE1235" s="6">
        <f ca="1">IF(Main[[#This Row],[مانده در خط سررسید شده (کیلوگرم)]]&lt;&gt;0,Main[[#This Row],[تعداد کل روزهای بدهکار (روز)]],0)</f>
        <v>0</v>
      </c>
      <c r="AF1235" s="6">
        <f ca="1">Main[[#This Row],[تعداد روزهای بدهکار سررسید شده (روز)]]*Main[[#This Row],[مانده در خط سررسید شده (کیلوگرم)]]</f>
        <v>0</v>
      </c>
    </row>
    <row r="1236" spans="1:32" hidden="1" x14ac:dyDescent="0.35">
      <c r="A1236" s="5">
        <f>ROW()-ROW(INDEX(Main[ردیف],1))+1</f>
        <v>1234</v>
      </c>
      <c r="B1236" s="31">
        <f>SUBTOTAL(2,INDEX(Main[ردیف],1):Main[[#This Row],[ردیف]])</f>
        <v>112</v>
      </c>
      <c r="C1236" s="32" t="s">
        <v>633</v>
      </c>
      <c r="D1236" s="32" t="str">
        <f>_xlfn.CONCAT("14",Main[[#This Row],[تاريخ]])</f>
        <v>1400/05/09</v>
      </c>
      <c r="E1236" s="33">
        <v>44408</v>
      </c>
      <c r="F1236" s="32">
        <v>10128</v>
      </c>
      <c r="G1236" s="5" t="str">
        <f>INDEX(customer[عنوان],MATCH(Main[[#This Row],[کد ردیابی]],customer[کد],0))</f>
        <v xml:space="preserve">رویا اصلانی </v>
      </c>
      <c r="H1236">
        <v>84</v>
      </c>
      <c r="I1236" s="6">
        <f ca="1">-Main[[#This Row],[بدهی تسویه شده (کیلوگرم)]]+Main[[#This Row],[بستانکار (کیلوگرم)]]</f>
        <v>84</v>
      </c>
      <c r="J1236" s="6">
        <f>IF(Main[[#This Row],[مقدار (کیلوگرم)]]&gt;0,Main[[#This Row],[مقدار (کیلوگرم)]],0)</f>
        <v>84</v>
      </c>
      <c r="K1236" s="6">
        <f>-IF(Main[[#This Row],[مقدار (کیلوگرم)]]&lt;0,Main[[#This Row],[مقدار (کیلوگرم)]],0)</f>
        <v>0</v>
      </c>
      <c r="L12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6" s="7">
        <f>-IF(AND(Main[[#This Row],[مقدار (کیلوگرم)]]&lt;0,Main[[#This Row],[تاريخ میلادی]]&gt;44276),Main[[#This Row],[مقدار (کیلوگرم)]],0)</f>
        <v>0</v>
      </c>
      <c r="N1236" s="6">
        <f ca="1">Main[[#This Row],[بدهکار (کیلوگرم)]]-Main[[#This Row],[بدهی تسویه نشده (کیلوگرم)]]</f>
        <v>0</v>
      </c>
      <c r="O1236" s="6">
        <f ca="1">Main[[#This Row],[تفکیک]]</f>
        <v>0</v>
      </c>
      <c r="P1236" s="6">
        <f ca="1">IF(Main[[#This Row],[تاخیر از سررسید]]&gt;0,Main[[#This Row],[بدهی تسویه نشده (کیلوگرم)]],0)</f>
        <v>0</v>
      </c>
      <c r="Q1236" s="6">
        <f ca="1">IF(Main[[#This Row],[بدهی تسویه نشده (کیلوگرم)]]&gt;0,'گزارش فردی'!$B$7-Main[[#This Row],[تاريخ میلادی]],0)</f>
        <v>0</v>
      </c>
      <c r="R1236" s="6">
        <f ca="1">IF(Main[[#This Row],[بدهی تسویه نشده (کیلوگرم)]]&gt;0,'گزارش فردی'!$B$7-Main[[#This Row],[تاريخ میلادی]]-'گزارش فردی'!$B$8,0)</f>
        <v>0</v>
      </c>
      <c r="S1236" s="6">
        <f ca="1">Main[[#This Row],[روز از ارسال سفارش]]*Main[[#This Row],[بدهی تسویه نشده (کیلوگرم)]]</f>
        <v>0</v>
      </c>
      <c r="T1236" s="6">
        <f ca="1">Main[[#This Row],[بدهی سررسید شده (کیلوگرم)]]*Main[[#This Row],[روز از ارسال سفارش]]</f>
        <v>0</v>
      </c>
      <c r="U1236" s="6">
        <f>-SUBTOTAL(9,INDEX(Main[مقدار (کیلوگرم)],1):Main[[#This Row],[مقدار (کیلوگرم)]])</f>
        <v>35783</v>
      </c>
      <c r="V123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6" s="6">
        <f>Main[[#This Row],[تعداد کل روزهای بدهکار (روز)]]*Main[[#This Row],[مانده در خط کل (کیلوگرم)]]</f>
        <v>71566</v>
      </c>
      <c r="X1236" s="6">
        <f ca="1">-SUBTOTAL(9,INDEX(Main[مقدار تسویه شده (کیلوگرم)],1):Main[[#This Row],[مقدار تسویه شده (کیلوگرم)]])</f>
        <v>35783</v>
      </c>
      <c r="Y1236" s="6">
        <f ca="1">IF(Main[[#This Row],[مانده در خط تسویه شده (کیلوگرم)]]&lt;&gt;0,Main[[#This Row],[تعداد کل روزهای بدهکار (روز)]],0)</f>
        <v>2</v>
      </c>
      <c r="Z1236" s="6">
        <f ca="1">Main[[#This Row],[تعداد روزهای بدهکار تسویه شده (روز)]]*Main[[#This Row],[مانده در خط تسویه شده (کیلوگرم)]]</f>
        <v>71566</v>
      </c>
      <c r="AA1236" s="6">
        <f ca="1">SUBTOTAL(9,INDEX(Main[بدهی تسویه نشده (کیلوگرم)],1):Main[[#This Row],[بدهی تسویه نشده (کیلوگرم)]])</f>
        <v>0</v>
      </c>
      <c r="AB1236" s="6">
        <f ca="1">IF(Main[[#This Row],[مانده در خط تسویه نشده (کیلوگرم)]]&lt;&gt;0,Main[[#This Row],[تعداد کل روزهای بدهکار (روز)]],0)</f>
        <v>0</v>
      </c>
      <c r="AC1236" s="6">
        <f ca="1">Main[[#This Row],[تعداد روزهای بدهکار  تسویه نشده (روز)]]*Main[[#This Row],[مانده در خط تسویه نشده (کیلوگرم)]]</f>
        <v>0</v>
      </c>
      <c r="AD1236" s="6">
        <f ca="1">SUBTOTAL(9,INDEX(Main[بدهی سررسید شده (کیلوگرم)],1):Main[[#This Row],[بدهی سررسید شده (کیلوگرم)]])</f>
        <v>0</v>
      </c>
      <c r="AE1236" s="6">
        <f ca="1">IF(Main[[#This Row],[مانده در خط سررسید شده (کیلوگرم)]]&lt;&gt;0,Main[[#This Row],[تعداد کل روزهای بدهکار (روز)]],0)</f>
        <v>0</v>
      </c>
      <c r="AF1236" s="6">
        <f ca="1">Main[[#This Row],[تعداد روزهای بدهکار سررسید شده (روز)]]*Main[[#This Row],[مانده در خط سررسید شده (کیلوگرم)]]</f>
        <v>0</v>
      </c>
    </row>
    <row r="1237" spans="1:32" hidden="1" x14ac:dyDescent="0.35">
      <c r="A1237" s="5">
        <f>ROW()-ROW(INDEX(Main[ردیف],1))+1</f>
        <v>1235</v>
      </c>
      <c r="B1237" s="31">
        <f>SUBTOTAL(2,INDEX(Main[ردیف],1):Main[[#This Row],[ردیف]])</f>
        <v>112</v>
      </c>
      <c r="C1237" s="32" t="s">
        <v>633</v>
      </c>
      <c r="D1237" s="32" t="str">
        <f>_xlfn.CONCAT("14",Main[[#This Row],[تاريخ]])</f>
        <v>1400/05/09</v>
      </c>
      <c r="E1237" s="33">
        <v>44408</v>
      </c>
      <c r="F1237" s="32">
        <v>30003</v>
      </c>
      <c r="G1237" s="5" t="str">
        <f>INDEX(customer[عنوان],MATCH(Main[[#This Row],[کد ردیابی]],customer[کد],0))</f>
        <v xml:space="preserve">شهاب گاز سوز </v>
      </c>
      <c r="H1237">
        <v>1457</v>
      </c>
      <c r="I1237" s="6">
        <f ca="1">-Main[[#This Row],[بدهی تسویه شده (کیلوگرم)]]+Main[[#This Row],[بستانکار (کیلوگرم)]]</f>
        <v>1457</v>
      </c>
      <c r="J1237" s="6">
        <f>IF(Main[[#This Row],[مقدار (کیلوگرم)]]&gt;0,Main[[#This Row],[مقدار (کیلوگرم)]],0)</f>
        <v>1457</v>
      </c>
      <c r="K1237" s="6">
        <f>-IF(Main[[#This Row],[مقدار (کیلوگرم)]]&lt;0,Main[[#This Row],[مقدار (کیلوگرم)]],0)</f>
        <v>0</v>
      </c>
      <c r="L12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7" s="7">
        <f>-IF(AND(Main[[#This Row],[مقدار (کیلوگرم)]]&lt;0,Main[[#This Row],[تاريخ میلادی]]&gt;44276),Main[[#This Row],[مقدار (کیلوگرم)]],0)</f>
        <v>0</v>
      </c>
      <c r="N1237" s="6">
        <f ca="1">Main[[#This Row],[بدهکار (کیلوگرم)]]-Main[[#This Row],[بدهی تسویه نشده (کیلوگرم)]]</f>
        <v>0</v>
      </c>
      <c r="O1237" s="6">
        <f ca="1">Main[[#This Row],[تفکیک]]</f>
        <v>0</v>
      </c>
      <c r="P1237" s="6">
        <f ca="1">IF(Main[[#This Row],[تاخیر از سررسید]]&gt;0,Main[[#This Row],[بدهی تسویه نشده (کیلوگرم)]],0)</f>
        <v>0</v>
      </c>
      <c r="Q1237" s="6">
        <f ca="1">IF(Main[[#This Row],[بدهی تسویه نشده (کیلوگرم)]]&gt;0,'گزارش فردی'!$B$7-Main[[#This Row],[تاريخ میلادی]],0)</f>
        <v>0</v>
      </c>
      <c r="R1237" s="6">
        <f ca="1">IF(Main[[#This Row],[بدهی تسویه نشده (کیلوگرم)]]&gt;0,'گزارش فردی'!$B$7-Main[[#This Row],[تاريخ میلادی]]-'گزارش فردی'!$B$8,0)</f>
        <v>0</v>
      </c>
      <c r="S1237" s="6">
        <f ca="1">Main[[#This Row],[روز از ارسال سفارش]]*Main[[#This Row],[بدهی تسویه نشده (کیلوگرم)]]</f>
        <v>0</v>
      </c>
      <c r="T1237" s="6">
        <f ca="1">Main[[#This Row],[بدهی سررسید شده (کیلوگرم)]]*Main[[#This Row],[روز از ارسال سفارش]]</f>
        <v>0</v>
      </c>
      <c r="U1237" s="6">
        <f>-SUBTOTAL(9,INDEX(Main[مقدار (کیلوگرم)],1):Main[[#This Row],[مقدار (کیلوگرم)]])</f>
        <v>35783</v>
      </c>
      <c r="V123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7" s="6">
        <f>Main[[#This Row],[تعداد کل روزهای بدهکار (روز)]]*Main[[#This Row],[مانده در خط کل (کیلوگرم)]]</f>
        <v>71566</v>
      </c>
      <c r="X1237" s="6">
        <f ca="1">-SUBTOTAL(9,INDEX(Main[مقدار تسویه شده (کیلوگرم)],1):Main[[#This Row],[مقدار تسویه شده (کیلوگرم)]])</f>
        <v>35783</v>
      </c>
      <c r="Y1237" s="6">
        <f ca="1">IF(Main[[#This Row],[مانده در خط تسویه شده (کیلوگرم)]]&lt;&gt;0,Main[[#This Row],[تعداد کل روزهای بدهکار (روز)]],0)</f>
        <v>2</v>
      </c>
      <c r="Z1237" s="6">
        <f ca="1">Main[[#This Row],[تعداد روزهای بدهکار تسویه شده (روز)]]*Main[[#This Row],[مانده در خط تسویه شده (کیلوگرم)]]</f>
        <v>71566</v>
      </c>
      <c r="AA1237" s="6">
        <f ca="1">SUBTOTAL(9,INDEX(Main[بدهی تسویه نشده (کیلوگرم)],1):Main[[#This Row],[بدهی تسویه نشده (کیلوگرم)]])</f>
        <v>0</v>
      </c>
      <c r="AB1237" s="6">
        <f ca="1">IF(Main[[#This Row],[مانده در خط تسویه نشده (کیلوگرم)]]&lt;&gt;0,Main[[#This Row],[تعداد کل روزهای بدهکار (روز)]],0)</f>
        <v>0</v>
      </c>
      <c r="AC1237" s="6">
        <f ca="1">Main[[#This Row],[تعداد روزهای بدهکار  تسویه نشده (روز)]]*Main[[#This Row],[مانده در خط تسویه نشده (کیلوگرم)]]</f>
        <v>0</v>
      </c>
      <c r="AD1237" s="6">
        <f ca="1">SUBTOTAL(9,INDEX(Main[بدهی سررسید شده (کیلوگرم)],1):Main[[#This Row],[بدهی سررسید شده (کیلوگرم)]])</f>
        <v>0</v>
      </c>
      <c r="AE1237" s="6">
        <f ca="1">IF(Main[[#This Row],[مانده در خط سررسید شده (کیلوگرم)]]&lt;&gt;0,Main[[#This Row],[تعداد کل روزهای بدهکار (روز)]],0)</f>
        <v>0</v>
      </c>
      <c r="AF1237" s="6">
        <f ca="1">Main[[#This Row],[تعداد روزهای بدهکار سررسید شده (روز)]]*Main[[#This Row],[مانده در خط سررسید شده (کیلوگرم)]]</f>
        <v>0</v>
      </c>
    </row>
    <row r="1238" spans="1:32" hidden="1" x14ac:dyDescent="0.35">
      <c r="A1238" s="5">
        <f>ROW()-ROW(INDEX(Main[ردیف],1))+1</f>
        <v>1236</v>
      </c>
      <c r="B1238" s="31">
        <f>SUBTOTAL(2,INDEX(Main[ردیف],1):Main[[#This Row],[ردیف]])</f>
        <v>112</v>
      </c>
      <c r="C1238" s="32" t="s">
        <v>634</v>
      </c>
      <c r="D1238" s="32" t="str">
        <f>_xlfn.CONCAT("14",Main[[#This Row],[تاريخ]])</f>
        <v>1400/05/10</v>
      </c>
      <c r="E1238" s="33">
        <v>44409</v>
      </c>
      <c r="F1238" s="32">
        <v>30013</v>
      </c>
      <c r="G1238" s="5" t="str">
        <f>INDEX(customer[عنوان],MATCH(Main[[#This Row],[کد ردیابی]],customer[کد],0))</f>
        <v xml:space="preserve">پارا صنعت </v>
      </c>
      <c r="H1238">
        <v>-40</v>
      </c>
      <c r="I1238" s="6">
        <f ca="1">-Main[[#This Row],[بدهی تسویه شده (کیلوگرم)]]+Main[[#This Row],[بستانکار (کیلوگرم)]]</f>
        <v>-40</v>
      </c>
      <c r="J1238" s="6">
        <f>IF(Main[[#This Row],[مقدار (کیلوگرم)]]&gt;0,Main[[#This Row],[مقدار (کیلوگرم)]],0)</f>
        <v>0</v>
      </c>
      <c r="K1238" s="6">
        <f>-IF(Main[[#This Row],[مقدار (کیلوگرم)]]&lt;0,Main[[#This Row],[مقدار (کیلوگرم)]],0)</f>
        <v>40</v>
      </c>
      <c r="L12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8" s="7">
        <f>-IF(AND(Main[[#This Row],[مقدار (کیلوگرم)]]&lt;0,Main[[#This Row],[تاريخ میلادی]]&gt;44276),Main[[#This Row],[مقدار (کیلوگرم)]],0)</f>
        <v>40</v>
      </c>
      <c r="N1238" s="6">
        <f ca="1">Main[[#This Row],[بدهکار (کیلوگرم)]]-Main[[#This Row],[بدهی تسویه نشده (کیلوگرم)]]</f>
        <v>40</v>
      </c>
      <c r="O1238" s="6">
        <f ca="1">Main[[#This Row],[تفکیک]]</f>
        <v>0</v>
      </c>
      <c r="P1238" s="6">
        <f ca="1">IF(Main[[#This Row],[تاخیر از سررسید]]&gt;0,Main[[#This Row],[بدهی تسویه نشده (کیلوگرم)]],0)</f>
        <v>0</v>
      </c>
      <c r="Q1238" s="6">
        <f ca="1">IF(Main[[#This Row],[بدهی تسویه نشده (کیلوگرم)]]&gt;0,'گزارش فردی'!$B$7-Main[[#This Row],[تاريخ میلادی]],0)</f>
        <v>0</v>
      </c>
      <c r="R1238" s="6">
        <f ca="1">IF(Main[[#This Row],[بدهی تسویه نشده (کیلوگرم)]]&gt;0,'گزارش فردی'!$B$7-Main[[#This Row],[تاريخ میلادی]]-'گزارش فردی'!$B$8,0)</f>
        <v>0</v>
      </c>
      <c r="S1238" s="6">
        <f ca="1">Main[[#This Row],[روز از ارسال سفارش]]*Main[[#This Row],[بدهی تسویه نشده (کیلوگرم)]]</f>
        <v>0</v>
      </c>
      <c r="T1238" s="6">
        <f ca="1">Main[[#This Row],[بدهی سررسید شده (کیلوگرم)]]*Main[[#This Row],[روز از ارسال سفارش]]</f>
        <v>0</v>
      </c>
      <c r="U1238" s="6">
        <f>-SUBTOTAL(9,INDEX(Main[مقدار (کیلوگرم)],1):Main[[#This Row],[مقدار (کیلوگرم)]])</f>
        <v>35783</v>
      </c>
      <c r="V12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38" s="6">
        <f>Main[[#This Row],[تعداد کل روزهای بدهکار (روز)]]*Main[[#This Row],[مانده در خط کل (کیلوگرم)]]</f>
        <v>35783</v>
      </c>
      <c r="X1238" s="6">
        <f ca="1">-SUBTOTAL(9,INDEX(Main[مقدار تسویه شده (کیلوگرم)],1):Main[[#This Row],[مقدار تسویه شده (کیلوگرم)]])</f>
        <v>35783</v>
      </c>
      <c r="Y1238" s="6">
        <f ca="1">IF(Main[[#This Row],[مانده در خط تسویه شده (کیلوگرم)]]&lt;&gt;0,Main[[#This Row],[تعداد کل روزهای بدهکار (روز)]],0)</f>
        <v>1</v>
      </c>
      <c r="Z1238" s="6">
        <f ca="1">Main[[#This Row],[تعداد روزهای بدهکار تسویه شده (روز)]]*Main[[#This Row],[مانده در خط تسویه شده (کیلوگرم)]]</f>
        <v>35783</v>
      </c>
      <c r="AA1238" s="6">
        <f ca="1">SUBTOTAL(9,INDEX(Main[بدهی تسویه نشده (کیلوگرم)],1):Main[[#This Row],[بدهی تسویه نشده (کیلوگرم)]])</f>
        <v>0</v>
      </c>
      <c r="AB1238" s="6">
        <f ca="1">IF(Main[[#This Row],[مانده در خط تسویه نشده (کیلوگرم)]]&lt;&gt;0,Main[[#This Row],[تعداد کل روزهای بدهکار (روز)]],0)</f>
        <v>0</v>
      </c>
      <c r="AC1238" s="6">
        <f ca="1">Main[[#This Row],[تعداد روزهای بدهکار  تسویه نشده (روز)]]*Main[[#This Row],[مانده در خط تسویه نشده (کیلوگرم)]]</f>
        <v>0</v>
      </c>
      <c r="AD1238" s="6">
        <f ca="1">SUBTOTAL(9,INDEX(Main[بدهی سررسید شده (کیلوگرم)],1):Main[[#This Row],[بدهی سررسید شده (کیلوگرم)]])</f>
        <v>0</v>
      </c>
      <c r="AE1238" s="6">
        <f ca="1">IF(Main[[#This Row],[مانده در خط سررسید شده (کیلوگرم)]]&lt;&gt;0,Main[[#This Row],[تعداد کل روزهای بدهکار (روز)]],0)</f>
        <v>0</v>
      </c>
      <c r="AF1238" s="6">
        <f ca="1">Main[[#This Row],[تعداد روزهای بدهکار سررسید شده (روز)]]*Main[[#This Row],[مانده در خط سررسید شده (کیلوگرم)]]</f>
        <v>0</v>
      </c>
    </row>
    <row r="1239" spans="1:32" hidden="1" x14ac:dyDescent="0.35">
      <c r="A1239" s="5">
        <f>ROW()-ROW(INDEX(Main[ردیف],1))+1</f>
        <v>1237</v>
      </c>
      <c r="B1239" s="31">
        <f>SUBTOTAL(2,INDEX(Main[ردیف],1):Main[[#This Row],[ردیف]])</f>
        <v>112</v>
      </c>
      <c r="C1239" s="32" t="s">
        <v>634</v>
      </c>
      <c r="D1239" s="32" t="str">
        <f>_xlfn.CONCAT("14",Main[[#This Row],[تاريخ]])</f>
        <v>1400/05/10</v>
      </c>
      <c r="E1239" s="33">
        <v>44409</v>
      </c>
      <c r="F1239" s="32">
        <v>10057</v>
      </c>
      <c r="G1239" s="5" t="str">
        <f>INDEX(customer[عنوان],MATCH(Main[[#This Row],[کد ردیابی]],customer[کد],0))</f>
        <v xml:space="preserve">عبدالله یادگار </v>
      </c>
      <c r="H1239">
        <v>72</v>
      </c>
      <c r="I1239" s="6">
        <f ca="1">-Main[[#This Row],[بدهی تسویه شده (کیلوگرم)]]+Main[[#This Row],[بستانکار (کیلوگرم)]]</f>
        <v>72</v>
      </c>
      <c r="J1239" s="6">
        <f>IF(Main[[#This Row],[مقدار (کیلوگرم)]]&gt;0,Main[[#This Row],[مقدار (کیلوگرم)]],0)</f>
        <v>72</v>
      </c>
      <c r="K1239" s="6">
        <f>-IF(Main[[#This Row],[مقدار (کیلوگرم)]]&lt;0,Main[[#This Row],[مقدار (کیلوگرم)]],0)</f>
        <v>0</v>
      </c>
      <c r="L12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9" s="7">
        <f>-IF(AND(Main[[#This Row],[مقدار (کیلوگرم)]]&lt;0,Main[[#This Row],[تاريخ میلادی]]&gt;44276),Main[[#This Row],[مقدار (کیلوگرم)]],0)</f>
        <v>0</v>
      </c>
      <c r="N1239" s="6">
        <f ca="1">Main[[#This Row],[بدهکار (کیلوگرم)]]-Main[[#This Row],[بدهی تسویه نشده (کیلوگرم)]]</f>
        <v>0</v>
      </c>
      <c r="O1239" s="6">
        <f ca="1">Main[[#This Row],[تفکیک]]</f>
        <v>0</v>
      </c>
      <c r="P1239" s="6">
        <f ca="1">IF(Main[[#This Row],[تاخیر از سررسید]]&gt;0,Main[[#This Row],[بدهی تسویه نشده (کیلوگرم)]],0)</f>
        <v>0</v>
      </c>
      <c r="Q1239" s="6">
        <f ca="1">IF(Main[[#This Row],[بدهی تسویه نشده (کیلوگرم)]]&gt;0,'گزارش فردی'!$B$7-Main[[#This Row],[تاريخ میلادی]],0)</f>
        <v>0</v>
      </c>
      <c r="R1239" s="6">
        <f ca="1">IF(Main[[#This Row],[بدهی تسویه نشده (کیلوگرم)]]&gt;0,'گزارش فردی'!$B$7-Main[[#This Row],[تاريخ میلادی]]-'گزارش فردی'!$B$8,0)</f>
        <v>0</v>
      </c>
      <c r="S1239" s="6">
        <f ca="1">Main[[#This Row],[روز از ارسال سفارش]]*Main[[#This Row],[بدهی تسویه نشده (کیلوگرم)]]</f>
        <v>0</v>
      </c>
      <c r="T1239" s="6">
        <f ca="1">Main[[#This Row],[بدهی سررسید شده (کیلوگرم)]]*Main[[#This Row],[روز از ارسال سفارش]]</f>
        <v>0</v>
      </c>
      <c r="U1239" s="6">
        <f>-SUBTOTAL(9,INDEX(Main[مقدار (کیلوگرم)],1):Main[[#This Row],[مقدار (کیلوگرم)]])</f>
        <v>35783</v>
      </c>
      <c r="V12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39" s="6">
        <f>Main[[#This Row],[تعداد کل روزهای بدهکار (روز)]]*Main[[#This Row],[مانده در خط کل (کیلوگرم)]]</f>
        <v>35783</v>
      </c>
      <c r="X1239" s="6">
        <f ca="1">-SUBTOTAL(9,INDEX(Main[مقدار تسویه شده (کیلوگرم)],1):Main[[#This Row],[مقدار تسویه شده (کیلوگرم)]])</f>
        <v>35783</v>
      </c>
      <c r="Y1239" s="6">
        <f ca="1">IF(Main[[#This Row],[مانده در خط تسویه شده (کیلوگرم)]]&lt;&gt;0,Main[[#This Row],[تعداد کل روزهای بدهکار (روز)]],0)</f>
        <v>1</v>
      </c>
      <c r="Z1239" s="6">
        <f ca="1">Main[[#This Row],[تعداد روزهای بدهکار تسویه شده (روز)]]*Main[[#This Row],[مانده در خط تسویه شده (کیلوگرم)]]</f>
        <v>35783</v>
      </c>
      <c r="AA1239" s="6">
        <f ca="1">SUBTOTAL(9,INDEX(Main[بدهی تسویه نشده (کیلوگرم)],1):Main[[#This Row],[بدهی تسویه نشده (کیلوگرم)]])</f>
        <v>0</v>
      </c>
      <c r="AB1239" s="6">
        <f ca="1">IF(Main[[#This Row],[مانده در خط تسویه نشده (کیلوگرم)]]&lt;&gt;0,Main[[#This Row],[تعداد کل روزهای بدهکار (روز)]],0)</f>
        <v>0</v>
      </c>
      <c r="AC1239" s="6">
        <f ca="1">Main[[#This Row],[تعداد روزهای بدهکار  تسویه نشده (روز)]]*Main[[#This Row],[مانده در خط تسویه نشده (کیلوگرم)]]</f>
        <v>0</v>
      </c>
      <c r="AD1239" s="6">
        <f ca="1">SUBTOTAL(9,INDEX(Main[بدهی سررسید شده (کیلوگرم)],1):Main[[#This Row],[بدهی سررسید شده (کیلوگرم)]])</f>
        <v>0</v>
      </c>
      <c r="AE1239" s="6">
        <f ca="1">IF(Main[[#This Row],[مانده در خط سررسید شده (کیلوگرم)]]&lt;&gt;0,Main[[#This Row],[تعداد کل روزهای بدهکار (روز)]],0)</f>
        <v>0</v>
      </c>
      <c r="AF1239" s="6">
        <f ca="1">Main[[#This Row],[تعداد روزهای بدهکار سررسید شده (روز)]]*Main[[#This Row],[مانده در خط سررسید شده (کیلوگرم)]]</f>
        <v>0</v>
      </c>
    </row>
    <row r="1240" spans="1:32" hidden="1" x14ac:dyDescent="0.35">
      <c r="A1240" s="5">
        <f>ROW()-ROW(INDEX(Main[ردیف],1))+1</f>
        <v>1238</v>
      </c>
      <c r="B1240" s="31">
        <f>SUBTOTAL(2,INDEX(Main[ردیف],1):Main[[#This Row],[ردیف]])</f>
        <v>112</v>
      </c>
      <c r="C1240" s="32" t="s">
        <v>634</v>
      </c>
      <c r="D1240" s="32" t="str">
        <f>_xlfn.CONCAT("14",Main[[#This Row],[تاريخ]])</f>
        <v>1400/05/10</v>
      </c>
      <c r="E1240" s="33">
        <v>44409</v>
      </c>
      <c r="F1240" s="32">
        <v>30066</v>
      </c>
      <c r="G1240" s="5" t="str">
        <f>INDEX(customer[عنوان],MATCH(Main[[#This Row],[کد ردیابی]],customer[کد],0))</f>
        <v xml:space="preserve">شیر آلات بهداشتی قهرمان </v>
      </c>
      <c r="H1240">
        <v>-4814</v>
      </c>
      <c r="I1240" s="6">
        <f ca="1">-Main[[#This Row],[بدهی تسویه شده (کیلوگرم)]]+Main[[#This Row],[بستانکار (کیلوگرم)]]</f>
        <v>-4814</v>
      </c>
      <c r="J1240" s="6">
        <f>IF(Main[[#This Row],[مقدار (کیلوگرم)]]&gt;0,Main[[#This Row],[مقدار (کیلوگرم)]],0)</f>
        <v>0</v>
      </c>
      <c r="K1240" s="6">
        <f>-IF(Main[[#This Row],[مقدار (کیلوگرم)]]&lt;0,Main[[#This Row],[مقدار (کیلوگرم)]],0)</f>
        <v>4814</v>
      </c>
      <c r="L12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0" s="7">
        <f>-IF(AND(Main[[#This Row],[مقدار (کیلوگرم)]]&lt;0,Main[[#This Row],[تاريخ میلادی]]&gt;44276),Main[[#This Row],[مقدار (کیلوگرم)]],0)</f>
        <v>4814</v>
      </c>
      <c r="N1240" s="6">
        <f ca="1">Main[[#This Row],[بدهکار (کیلوگرم)]]-Main[[#This Row],[بدهی تسویه نشده (کیلوگرم)]]</f>
        <v>4814</v>
      </c>
      <c r="O1240" s="6">
        <f ca="1">Main[[#This Row],[تفکیک]]</f>
        <v>0</v>
      </c>
      <c r="P1240" s="6">
        <f ca="1">IF(Main[[#This Row],[تاخیر از سررسید]]&gt;0,Main[[#This Row],[بدهی تسویه نشده (کیلوگرم)]],0)</f>
        <v>0</v>
      </c>
      <c r="Q1240" s="6">
        <f ca="1">IF(Main[[#This Row],[بدهی تسویه نشده (کیلوگرم)]]&gt;0,'گزارش فردی'!$B$7-Main[[#This Row],[تاريخ میلادی]],0)</f>
        <v>0</v>
      </c>
      <c r="R1240" s="6">
        <f ca="1">IF(Main[[#This Row],[بدهی تسویه نشده (کیلوگرم)]]&gt;0,'گزارش فردی'!$B$7-Main[[#This Row],[تاريخ میلادی]]-'گزارش فردی'!$B$8,0)</f>
        <v>0</v>
      </c>
      <c r="S1240" s="6">
        <f ca="1">Main[[#This Row],[روز از ارسال سفارش]]*Main[[#This Row],[بدهی تسویه نشده (کیلوگرم)]]</f>
        <v>0</v>
      </c>
      <c r="T1240" s="6">
        <f ca="1">Main[[#This Row],[بدهی سررسید شده (کیلوگرم)]]*Main[[#This Row],[روز از ارسال سفارش]]</f>
        <v>0</v>
      </c>
      <c r="U1240" s="6">
        <f>-SUBTOTAL(9,INDEX(Main[مقدار (کیلوگرم)],1):Main[[#This Row],[مقدار (کیلوگرم)]])</f>
        <v>35783</v>
      </c>
      <c r="V12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0" s="6">
        <f>Main[[#This Row],[تعداد کل روزهای بدهکار (روز)]]*Main[[#This Row],[مانده در خط کل (کیلوگرم)]]</f>
        <v>35783</v>
      </c>
      <c r="X1240" s="6">
        <f ca="1">-SUBTOTAL(9,INDEX(Main[مقدار تسویه شده (کیلوگرم)],1):Main[[#This Row],[مقدار تسویه شده (کیلوگرم)]])</f>
        <v>35783</v>
      </c>
      <c r="Y1240" s="6">
        <f ca="1">IF(Main[[#This Row],[مانده در خط تسویه شده (کیلوگرم)]]&lt;&gt;0,Main[[#This Row],[تعداد کل روزهای بدهکار (روز)]],0)</f>
        <v>1</v>
      </c>
      <c r="Z1240" s="6">
        <f ca="1">Main[[#This Row],[تعداد روزهای بدهکار تسویه شده (روز)]]*Main[[#This Row],[مانده در خط تسویه شده (کیلوگرم)]]</f>
        <v>35783</v>
      </c>
      <c r="AA1240" s="6">
        <f ca="1">SUBTOTAL(9,INDEX(Main[بدهی تسویه نشده (کیلوگرم)],1):Main[[#This Row],[بدهی تسویه نشده (کیلوگرم)]])</f>
        <v>0</v>
      </c>
      <c r="AB1240" s="6">
        <f ca="1">IF(Main[[#This Row],[مانده در خط تسویه نشده (کیلوگرم)]]&lt;&gt;0,Main[[#This Row],[تعداد کل روزهای بدهکار (روز)]],0)</f>
        <v>0</v>
      </c>
      <c r="AC1240" s="6">
        <f ca="1">Main[[#This Row],[تعداد روزهای بدهکار  تسویه نشده (روز)]]*Main[[#This Row],[مانده در خط تسویه نشده (کیلوگرم)]]</f>
        <v>0</v>
      </c>
      <c r="AD1240" s="6">
        <f ca="1">SUBTOTAL(9,INDEX(Main[بدهی سررسید شده (کیلوگرم)],1):Main[[#This Row],[بدهی سررسید شده (کیلوگرم)]])</f>
        <v>0</v>
      </c>
      <c r="AE1240" s="6">
        <f ca="1">IF(Main[[#This Row],[مانده در خط سررسید شده (کیلوگرم)]]&lt;&gt;0,Main[[#This Row],[تعداد کل روزهای بدهکار (روز)]],0)</f>
        <v>0</v>
      </c>
      <c r="AF1240" s="6">
        <f ca="1">Main[[#This Row],[تعداد روزهای بدهکار سررسید شده (روز)]]*Main[[#This Row],[مانده در خط سررسید شده (کیلوگرم)]]</f>
        <v>0</v>
      </c>
    </row>
    <row r="1241" spans="1:32" hidden="1" x14ac:dyDescent="0.35">
      <c r="A1241" s="5">
        <f>ROW()-ROW(INDEX(Main[ردیف],1))+1</f>
        <v>1239</v>
      </c>
      <c r="B1241" s="31">
        <f>SUBTOTAL(2,INDEX(Main[ردیف],1):Main[[#This Row],[ردیف]])</f>
        <v>112</v>
      </c>
      <c r="C1241" s="32" t="s">
        <v>634</v>
      </c>
      <c r="D1241" s="32" t="str">
        <f>_xlfn.CONCAT("14",Main[[#This Row],[تاريخ]])</f>
        <v>1400/05/10</v>
      </c>
      <c r="E1241" s="33">
        <v>44409</v>
      </c>
      <c r="F1241" s="32">
        <v>10057</v>
      </c>
      <c r="G1241" s="5" t="str">
        <f>INDEX(customer[عنوان],MATCH(Main[[#This Row],[کد ردیابی]],customer[کد],0))</f>
        <v xml:space="preserve">عبدالله یادگار </v>
      </c>
      <c r="H1241">
        <v>169</v>
      </c>
      <c r="I1241" s="6">
        <f ca="1">-Main[[#This Row],[بدهی تسویه شده (کیلوگرم)]]+Main[[#This Row],[بستانکار (کیلوگرم)]]</f>
        <v>169</v>
      </c>
      <c r="J1241" s="6">
        <f>IF(Main[[#This Row],[مقدار (کیلوگرم)]]&gt;0,Main[[#This Row],[مقدار (کیلوگرم)]],0)</f>
        <v>169</v>
      </c>
      <c r="K1241" s="6">
        <f>-IF(Main[[#This Row],[مقدار (کیلوگرم)]]&lt;0,Main[[#This Row],[مقدار (کیلوگرم)]],0)</f>
        <v>0</v>
      </c>
      <c r="L12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1" s="7">
        <f>-IF(AND(Main[[#This Row],[مقدار (کیلوگرم)]]&lt;0,Main[[#This Row],[تاريخ میلادی]]&gt;44276),Main[[#This Row],[مقدار (کیلوگرم)]],0)</f>
        <v>0</v>
      </c>
      <c r="N1241" s="6">
        <f ca="1">Main[[#This Row],[بدهکار (کیلوگرم)]]-Main[[#This Row],[بدهی تسویه نشده (کیلوگرم)]]</f>
        <v>0</v>
      </c>
      <c r="O1241" s="6">
        <f ca="1">Main[[#This Row],[تفکیک]]</f>
        <v>0</v>
      </c>
      <c r="P1241" s="6">
        <f ca="1">IF(Main[[#This Row],[تاخیر از سررسید]]&gt;0,Main[[#This Row],[بدهی تسویه نشده (کیلوگرم)]],0)</f>
        <v>0</v>
      </c>
      <c r="Q1241" s="6">
        <f ca="1">IF(Main[[#This Row],[بدهی تسویه نشده (کیلوگرم)]]&gt;0,'گزارش فردی'!$B$7-Main[[#This Row],[تاريخ میلادی]],0)</f>
        <v>0</v>
      </c>
      <c r="R1241" s="6">
        <f ca="1">IF(Main[[#This Row],[بدهی تسویه نشده (کیلوگرم)]]&gt;0,'گزارش فردی'!$B$7-Main[[#This Row],[تاريخ میلادی]]-'گزارش فردی'!$B$8,0)</f>
        <v>0</v>
      </c>
      <c r="S1241" s="6">
        <f ca="1">Main[[#This Row],[روز از ارسال سفارش]]*Main[[#This Row],[بدهی تسویه نشده (کیلوگرم)]]</f>
        <v>0</v>
      </c>
      <c r="T1241" s="6">
        <f ca="1">Main[[#This Row],[بدهی سررسید شده (کیلوگرم)]]*Main[[#This Row],[روز از ارسال سفارش]]</f>
        <v>0</v>
      </c>
      <c r="U1241" s="6">
        <f>-SUBTOTAL(9,INDEX(Main[مقدار (کیلوگرم)],1):Main[[#This Row],[مقدار (کیلوگرم)]])</f>
        <v>35783</v>
      </c>
      <c r="V12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1" s="6">
        <f>Main[[#This Row],[تعداد کل روزهای بدهکار (روز)]]*Main[[#This Row],[مانده در خط کل (کیلوگرم)]]</f>
        <v>35783</v>
      </c>
      <c r="X1241" s="6">
        <f ca="1">-SUBTOTAL(9,INDEX(Main[مقدار تسویه شده (کیلوگرم)],1):Main[[#This Row],[مقدار تسویه شده (کیلوگرم)]])</f>
        <v>35783</v>
      </c>
      <c r="Y1241" s="6">
        <f ca="1">IF(Main[[#This Row],[مانده در خط تسویه شده (کیلوگرم)]]&lt;&gt;0,Main[[#This Row],[تعداد کل روزهای بدهکار (روز)]],0)</f>
        <v>1</v>
      </c>
      <c r="Z1241" s="6">
        <f ca="1">Main[[#This Row],[تعداد روزهای بدهکار تسویه شده (روز)]]*Main[[#This Row],[مانده در خط تسویه شده (کیلوگرم)]]</f>
        <v>35783</v>
      </c>
      <c r="AA1241" s="6">
        <f ca="1">SUBTOTAL(9,INDEX(Main[بدهی تسویه نشده (کیلوگرم)],1):Main[[#This Row],[بدهی تسویه نشده (کیلوگرم)]])</f>
        <v>0</v>
      </c>
      <c r="AB1241" s="6">
        <f ca="1">IF(Main[[#This Row],[مانده در خط تسویه نشده (کیلوگرم)]]&lt;&gt;0,Main[[#This Row],[تعداد کل روزهای بدهکار (روز)]],0)</f>
        <v>0</v>
      </c>
      <c r="AC1241" s="6">
        <f ca="1">Main[[#This Row],[تعداد روزهای بدهکار  تسویه نشده (روز)]]*Main[[#This Row],[مانده در خط تسویه نشده (کیلوگرم)]]</f>
        <v>0</v>
      </c>
      <c r="AD1241" s="6">
        <f ca="1">SUBTOTAL(9,INDEX(Main[بدهی سررسید شده (کیلوگرم)],1):Main[[#This Row],[بدهی سررسید شده (کیلوگرم)]])</f>
        <v>0</v>
      </c>
      <c r="AE1241" s="6">
        <f ca="1">IF(Main[[#This Row],[مانده در خط سررسید شده (کیلوگرم)]]&lt;&gt;0,Main[[#This Row],[تعداد کل روزهای بدهکار (روز)]],0)</f>
        <v>0</v>
      </c>
      <c r="AF1241" s="6">
        <f ca="1">Main[[#This Row],[تعداد روزهای بدهکار سررسید شده (روز)]]*Main[[#This Row],[مانده در خط سررسید شده (کیلوگرم)]]</f>
        <v>0</v>
      </c>
    </row>
    <row r="1242" spans="1:32" hidden="1" x14ac:dyDescent="0.35">
      <c r="A1242" s="5">
        <f>ROW()-ROW(INDEX(Main[ردیف],1))+1</f>
        <v>1240</v>
      </c>
      <c r="B1242" s="31">
        <f>SUBTOTAL(2,INDEX(Main[ردیف],1):Main[[#This Row],[ردیف]])</f>
        <v>112</v>
      </c>
      <c r="C1242" s="32" t="s">
        <v>634</v>
      </c>
      <c r="D1242" s="32" t="str">
        <f>_xlfn.CONCAT("14",Main[[#This Row],[تاريخ]])</f>
        <v>1400/05/10</v>
      </c>
      <c r="E1242" s="33">
        <v>44409</v>
      </c>
      <c r="F1242" s="32">
        <v>10057</v>
      </c>
      <c r="G1242" s="5" t="str">
        <f>INDEX(customer[عنوان],MATCH(Main[[#This Row],[کد ردیابی]],customer[کد],0))</f>
        <v xml:space="preserve">عبدالله یادگار </v>
      </c>
      <c r="H1242">
        <v>-2276</v>
      </c>
      <c r="I1242" s="6">
        <f ca="1">-Main[[#This Row],[بدهی تسویه شده (کیلوگرم)]]+Main[[#This Row],[بستانکار (کیلوگرم)]]</f>
        <v>-2276</v>
      </c>
      <c r="J1242" s="6">
        <f>IF(Main[[#This Row],[مقدار (کیلوگرم)]]&gt;0,Main[[#This Row],[مقدار (کیلوگرم)]],0)</f>
        <v>0</v>
      </c>
      <c r="K1242" s="6">
        <f>-IF(Main[[#This Row],[مقدار (کیلوگرم)]]&lt;0,Main[[#This Row],[مقدار (کیلوگرم)]],0)</f>
        <v>2276</v>
      </c>
      <c r="L12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2" s="7">
        <f>-IF(AND(Main[[#This Row],[مقدار (کیلوگرم)]]&lt;0,Main[[#This Row],[تاريخ میلادی]]&gt;44276),Main[[#This Row],[مقدار (کیلوگرم)]],0)</f>
        <v>2276</v>
      </c>
      <c r="N1242" s="6">
        <f ca="1">Main[[#This Row],[بدهکار (کیلوگرم)]]-Main[[#This Row],[بدهی تسویه نشده (کیلوگرم)]]</f>
        <v>2276</v>
      </c>
      <c r="O1242" s="6">
        <f ca="1">Main[[#This Row],[تفکیک]]</f>
        <v>0</v>
      </c>
      <c r="P1242" s="6">
        <f ca="1">IF(Main[[#This Row],[تاخیر از سررسید]]&gt;0,Main[[#This Row],[بدهی تسویه نشده (کیلوگرم)]],0)</f>
        <v>0</v>
      </c>
      <c r="Q1242" s="6">
        <f ca="1">IF(Main[[#This Row],[بدهی تسویه نشده (کیلوگرم)]]&gt;0,'گزارش فردی'!$B$7-Main[[#This Row],[تاريخ میلادی]],0)</f>
        <v>0</v>
      </c>
      <c r="R1242" s="6">
        <f ca="1">IF(Main[[#This Row],[بدهی تسویه نشده (کیلوگرم)]]&gt;0,'گزارش فردی'!$B$7-Main[[#This Row],[تاريخ میلادی]]-'گزارش فردی'!$B$8,0)</f>
        <v>0</v>
      </c>
      <c r="S1242" s="6">
        <f ca="1">Main[[#This Row],[روز از ارسال سفارش]]*Main[[#This Row],[بدهی تسویه نشده (کیلوگرم)]]</f>
        <v>0</v>
      </c>
      <c r="T1242" s="6">
        <f ca="1">Main[[#This Row],[بدهی سررسید شده (کیلوگرم)]]*Main[[#This Row],[روز از ارسال سفارش]]</f>
        <v>0</v>
      </c>
      <c r="U1242" s="6">
        <f>-SUBTOTAL(9,INDEX(Main[مقدار (کیلوگرم)],1):Main[[#This Row],[مقدار (کیلوگرم)]])</f>
        <v>35783</v>
      </c>
      <c r="V12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2" s="6">
        <f>Main[[#This Row],[تعداد کل روزهای بدهکار (روز)]]*Main[[#This Row],[مانده در خط کل (کیلوگرم)]]</f>
        <v>35783</v>
      </c>
      <c r="X1242" s="6">
        <f ca="1">-SUBTOTAL(9,INDEX(Main[مقدار تسویه شده (کیلوگرم)],1):Main[[#This Row],[مقدار تسویه شده (کیلوگرم)]])</f>
        <v>35783</v>
      </c>
      <c r="Y1242" s="6">
        <f ca="1">IF(Main[[#This Row],[مانده در خط تسویه شده (کیلوگرم)]]&lt;&gt;0,Main[[#This Row],[تعداد کل روزهای بدهکار (روز)]],0)</f>
        <v>1</v>
      </c>
      <c r="Z1242" s="6">
        <f ca="1">Main[[#This Row],[تعداد روزهای بدهکار تسویه شده (روز)]]*Main[[#This Row],[مانده در خط تسویه شده (کیلوگرم)]]</f>
        <v>35783</v>
      </c>
      <c r="AA1242" s="6">
        <f ca="1">SUBTOTAL(9,INDEX(Main[بدهی تسویه نشده (کیلوگرم)],1):Main[[#This Row],[بدهی تسویه نشده (کیلوگرم)]])</f>
        <v>0</v>
      </c>
      <c r="AB1242" s="6">
        <f ca="1">IF(Main[[#This Row],[مانده در خط تسویه نشده (کیلوگرم)]]&lt;&gt;0,Main[[#This Row],[تعداد کل روزهای بدهکار (روز)]],0)</f>
        <v>0</v>
      </c>
      <c r="AC1242" s="6">
        <f ca="1">Main[[#This Row],[تعداد روزهای بدهکار  تسویه نشده (روز)]]*Main[[#This Row],[مانده در خط تسویه نشده (کیلوگرم)]]</f>
        <v>0</v>
      </c>
      <c r="AD1242" s="6">
        <f ca="1">SUBTOTAL(9,INDEX(Main[بدهی سررسید شده (کیلوگرم)],1):Main[[#This Row],[بدهی سررسید شده (کیلوگرم)]])</f>
        <v>0</v>
      </c>
      <c r="AE1242" s="6">
        <f ca="1">IF(Main[[#This Row],[مانده در خط سررسید شده (کیلوگرم)]]&lt;&gt;0,Main[[#This Row],[تعداد کل روزهای بدهکار (روز)]],0)</f>
        <v>0</v>
      </c>
      <c r="AF1242" s="6">
        <f ca="1">Main[[#This Row],[تعداد روزهای بدهکار سررسید شده (روز)]]*Main[[#This Row],[مانده در خط سررسید شده (کیلوگرم)]]</f>
        <v>0</v>
      </c>
    </row>
    <row r="1243" spans="1:32" hidden="1" x14ac:dyDescent="0.35">
      <c r="A1243" s="5">
        <f>ROW()-ROW(INDEX(Main[ردیف],1))+1</f>
        <v>1241</v>
      </c>
      <c r="B1243" s="31">
        <f>SUBTOTAL(2,INDEX(Main[ردیف],1):Main[[#This Row],[ردیف]])</f>
        <v>112</v>
      </c>
      <c r="C1243" s="32" t="s">
        <v>634</v>
      </c>
      <c r="D1243" s="32" t="str">
        <f>_xlfn.CONCAT("14",Main[[#This Row],[تاريخ]])</f>
        <v>1400/05/10</v>
      </c>
      <c r="E1243" s="33">
        <v>44409</v>
      </c>
      <c r="F1243" s="32">
        <v>10084</v>
      </c>
      <c r="G1243" s="5" t="str">
        <f>INDEX(customer[عنوان],MATCH(Main[[#This Row],[کد ردیابی]],customer[کد],0))</f>
        <v xml:space="preserve">سیدحمید کاظمی </v>
      </c>
      <c r="H1243">
        <v>630</v>
      </c>
      <c r="I1243" s="6">
        <f ca="1">-Main[[#This Row],[بدهی تسویه شده (کیلوگرم)]]+Main[[#This Row],[بستانکار (کیلوگرم)]]</f>
        <v>630</v>
      </c>
      <c r="J1243" s="6">
        <f>IF(Main[[#This Row],[مقدار (کیلوگرم)]]&gt;0,Main[[#This Row],[مقدار (کیلوگرم)]],0)</f>
        <v>630</v>
      </c>
      <c r="K1243" s="6">
        <f>-IF(Main[[#This Row],[مقدار (کیلوگرم)]]&lt;0,Main[[#This Row],[مقدار (کیلوگرم)]],0)</f>
        <v>0</v>
      </c>
      <c r="L12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3" s="7">
        <f>-IF(AND(Main[[#This Row],[مقدار (کیلوگرم)]]&lt;0,Main[[#This Row],[تاريخ میلادی]]&gt;44276),Main[[#This Row],[مقدار (کیلوگرم)]],0)</f>
        <v>0</v>
      </c>
      <c r="N1243" s="6">
        <f ca="1">Main[[#This Row],[بدهکار (کیلوگرم)]]-Main[[#This Row],[بدهی تسویه نشده (کیلوگرم)]]</f>
        <v>0</v>
      </c>
      <c r="O1243" s="6">
        <f ca="1">Main[[#This Row],[تفکیک]]</f>
        <v>0</v>
      </c>
      <c r="P1243" s="6">
        <f ca="1">IF(Main[[#This Row],[تاخیر از سررسید]]&gt;0,Main[[#This Row],[بدهی تسویه نشده (کیلوگرم)]],0)</f>
        <v>0</v>
      </c>
      <c r="Q1243" s="6">
        <f ca="1">IF(Main[[#This Row],[بدهی تسویه نشده (کیلوگرم)]]&gt;0,'گزارش فردی'!$B$7-Main[[#This Row],[تاريخ میلادی]],0)</f>
        <v>0</v>
      </c>
      <c r="R1243" s="6">
        <f ca="1">IF(Main[[#This Row],[بدهی تسویه نشده (کیلوگرم)]]&gt;0,'گزارش فردی'!$B$7-Main[[#This Row],[تاريخ میلادی]]-'گزارش فردی'!$B$8,0)</f>
        <v>0</v>
      </c>
      <c r="S1243" s="6">
        <f ca="1">Main[[#This Row],[روز از ارسال سفارش]]*Main[[#This Row],[بدهی تسویه نشده (کیلوگرم)]]</f>
        <v>0</v>
      </c>
      <c r="T1243" s="6">
        <f ca="1">Main[[#This Row],[بدهی سررسید شده (کیلوگرم)]]*Main[[#This Row],[روز از ارسال سفارش]]</f>
        <v>0</v>
      </c>
      <c r="U1243" s="6">
        <f>-SUBTOTAL(9,INDEX(Main[مقدار (کیلوگرم)],1):Main[[#This Row],[مقدار (کیلوگرم)]])</f>
        <v>35783</v>
      </c>
      <c r="V12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3" s="6">
        <f>Main[[#This Row],[تعداد کل روزهای بدهکار (روز)]]*Main[[#This Row],[مانده در خط کل (کیلوگرم)]]</f>
        <v>35783</v>
      </c>
      <c r="X1243" s="6">
        <f ca="1">-SUBTOTAL(9,INDEX(Main[مقدار تسویه شده (کیلوگرم)],1):Main[[#This Row],[مقدار تسویه شده (کیلوگرم)]])</f>
        <v>35783</v>
      </c>
      <c r="Y1243" s="6">
        <f ca="1">IF(Main[[#This Row],[مانده در خط تسویه شده (کیلوگرم)]]&lt;&gt;0,Main[[#This Row],[تعداد کل روزهای بدهکار (روز)]],0)</f>
        <v>1</v>
      </c>
      <c r="Z1243" s="6">
        <f ca="1">Main[[#This Row],[تعداد روزهای بدهکار تسویه شده (روز)]]*Main[[#This Row],[مانده در خط تسویه شده (کیلوگرم)]]</f>
        <v>35783</v>
      </c>
      <c r="AA1243" s="6">
        <f ca="1">SUBTOTAL(9,INDEX(Main[بدهی تسویه نشده (کیلوگرم)],1):Main[[#This Row],[بدهی تسویه نشده (کیلوگرم)]])</f>
        <v>0</v>
      </c>
      <c r="AB1243" s="6">
        <f ca="1">IF(Main[[#This Row],[مانده در خط تسویه نشده (کیلوگرم)]]&lt;&gt;0,Main[[#This Row],[تعداد کل روزهای بدهکار (روز)]],0)</f>
        <v>0</v>
      </c>
      <c r="AC1243" s="6">
        <f ca="1">Main[[#This Row],[تعداد روزهای بدهکار  تسویه نشده (روز)]]*Main[[#This Row],[مانده در خط تسویه نشده (کیلوگرم)]]</f>
        <v>0</v>
      </c>
      <c r="AD1243" s="6">
        <f ca="1">SUBTOTAL(9,INDEX(Main[بدهی سررسید شده (کیلوگرم)],1):Main[[#This Row],[بدهی سررسید شده (کیلوگرم)]])</f>
        <v>0</v>
      </c>
      <c r="AE1243" s="6">
        <f ca="1">IF(Main[[#This Row],[مانده در خط سررسید شده (کیلوگرم)]]&lt;&gt;0,Main[[#This Row],[تعداد کل روزهای بدهکار (روز)]],0)</f>
        <v>0</v>
      </c>
      <c r="AF1243" s="6">
        <f ca="1">Main[[#This Row],[تعداد روزهای بدهکار سررسید شده (روز)]]*Main[[#This Row],[مانده در خط سررسید شده (کیلوگرم)]]</f>
        <v>0</v>
      </c>
    </row>
    <row r="1244" spans="1:32" hidden="1" x14ac:dyDescent="0.35">
      <c r="A1244" s="5">
        <f>ROW()-ROW(INDEX(Main[ردیف],1))+1</f>
        <v>1242</v>
      </c>
      <c r="B1244" s="31">
        <f>SUBTOTAL(2,INDEX(Main[ردیف],1):Main[[#This Row],[ردیف]])</f>
        <v>112</v>
      </c>
      <c r="C1244" s="32" t="s">
        <v>634</v>
      </c>
      <c r="D1244" s="32" t="str">
        <f>_xlfn.CONCAT("14",Main[[#This Row],[تاريخ]])</f>
        <v>1400/05/10</v>
      </c>
      <c r="E1244" s="33">
        <v>44409</v>
      </c>
      <c r="F1244" s="32">
        <v>10084</v>
      </c>
      <c r="G1244" s="5" t="str">
        <f>INDEX(customer[عنوان],MATCH(Main[[#This Row],[کد ردیابی]],customer[کد],0))</f>
        <v xml:space="preserve">سیدحمید کاظمی </v>
      </c>
      <c r="H1244">
        <v>-1448</v>
      </c>
      <c r="I1244" s="6">
        <f ca="1">-Main[[#This Row],[بدهی تسویه شده (کیلوگرم)]]+Main[[#This Row],[بستانکار (کیلوگرم)]]</f>
        <v>-1448</v>
      </c>
      <c r="J1244" s="6">
        <f>IF(Main[[#This Row],[مقدار (کیلوگرم)]]&gt;0,Main[[#This Row],[مقدار (کیلوگرم)]],0)</f>
        <v>0</v>
      </c>
      <c r="K1244" s="6">
        <f>-IF(Main[[#This Row],[مقدار (کیلوگرم)]]&lt;0,Main[[#This Row],[مقدار (کیلوگرم)]],0)</f>
        <v>1448</v>
      </c>
      <c r="L12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4" s="7">
        <f>-IF(AND(Main[[#This Row],[مقدار (کیلوگرم)]]&lt;0,Main[[#This Row],[تاريخ میلادی]]&gt;44276),Main[[#This Row],[مقدار (کیلوگرم)]],0)</f>
        <v>1448</v>
      </c>
      <c r="N1244" s="6">
        <f ca="1">Main[[#This Row],[بدهکار (کیلوگرم)]]-Main[[#This Row],[بدهی تسویه نشده (کیلوگرم)]]</f>
        <v>1448</v>
      </c>
      <c r="O1244" s="6">
        <f ca="1">Main[[#This Row],[تفکیک]]</f>
        <v>0</v>
      </c>
      <c r="P1244" s="6">
        <f ca="1">IF(Main[[#This Row],[تاخیر از سررسید]]&gt;0,Main[[#This Row],[بدهی تسویه نشده (کیلوگرم)]],0)</f>
        <v>0</v>
      </c>
      <c r="Q1244" s="6">
        <f ca="1">IF(Main[[#This Row],[بدهی تسویه نشده (کیلوگرم)]]&gt;0,'گزارش فردی'!$B$7-Main[[#This Row],[تاريخ میلادی]],0)</f>
        <v>0</v>
      </c>
      <c r="R1244" s="6">
        <f ca="1">IF(Main[[#This Row],[بدهی تسویه نشده (کیلوگرم)]]&gt;0,'گزارش فردی'!$B$7-Main[[#This Row],[تاريخ میلادی]]-'گزارش فردی'!$B$8,0)</f>
        <v>0</v>
      </c>
      <c r="S1244" s="6">
        <f ca="1">Main[[#This Row],[روز از ارسال سفارش]]*Main[[#This Row],[بدهی تسویه نشده (کیلوگرم)]]</f>
        <v>0</v>
      </c>
      <c r="T1244" s="6">
        <f ca="1">Main[[#This Row],[بدهی سررسید شده (کیلوگرم)]]*Main[[#This Row],[روز از ارسال سفارش]]</f>
        <v>0</v>
      </c>
      <c r="U1244" s="6">
        <f>-SUBTOTAL(9,INDEX(Main[مقدار (کیلوگرم)],1):Main[[#This Row],[مقدار (کیلوگرم)]])</f>
        <v>35783</v>
      </c>
      <c r="V12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4" s="6">
        <f>Main[[#This Row],[تعداد کل روزهای بدهکار (روز)]]*Main[[#This Row],[مانده در خط کل (کیلوگرم)]]</f>
        <v>35783</v>
      </c>
      <c r="X1244" s="6">
        <f ca="1">-SUBTOTAL(9,INDEX(Main[مقدار تسویه شده (کیلوگرم)],1):Main[[#This Row],[مقدار تسویه شده (کیلوگرم)]])</f>
        <v>35783</v>
      </c>
      <c r="Y1244" s="6">
        <f ca="1">IF(Main[[#This Row],[مانده در خط تسویه شده (کیلوگرم)]]&lt;&gt;0,Main[[#This Row],[تعداد کل روزهای بدهکار (روز)]],0)</f>
        <v>1</v>
      </c>
      <c r="Z1244" s="6">
        <f ca="1">Main[[#This Row],[تعداد روزهای بدهکار تسویه شده (روز)]]*Main[[#This Row],[مانده در خط تسویه شده (کیلوگرم)]]</f>
        <v>35783</v>
      </c>
      <c r="AA1244" s="6">
        <f ca="1">SUBTOTAL(9,INDEX(Main[بدهی تسویه نشده (کیلوگرم)],1):Main[[#This Row],[بدهی تسویه نشده (کیلوگرم)]])</f>
        <v>0</v>
      </c>
      <c r="AB1244" s="6">
        <f ca="1">IF(Main[[#This Row],[مانده در خط تسویه نشده (کیلوگرم)]]&lt;&gt;0,Main[[#This Row],[تعداد کل روزهای بدهکار (روز)]],0)</f>
        <v>0</v>
      </c>
      <c r="AC1244" s="6">
        <f ca="1">Main[[#This Row],[تعداد روزهای بدهکار  تسویه نشده (روز)]]*Main[[#This Row],[مانده در خط تسویه نشده (کیلوگرم)]]</f>
        <v>0</v>
      </c>
      <c r="AD1244" s="6">
        <f ca="1">SUBTOTAL(9,INDEX(Main[بدهی سررسید شده (کیلوگرم)],1):Main[[#This Row],[بدهی سررسید شده (کیلوگرم)]])</f>
        <v>0</v>
      </c>
      <c r="AE1244" s="6">
        <f ca="1">IF(Main[[#This Row],[مانده در خط سررسید شده (کیلوگرم)]]&lt;&gt;0,Main[[#This Row],[تعداد کل روزهای بدهکار (روز)]],0)</f>
        <v>0</v>
      </c>
      <c r="AF1244" s="6">
        <f ca="1">Main[[#This Row],[تعداد روزهای بدهکار سررسید شده (روز)]]*Main[[#This Row],[مانده در خط سررسید شده (کیلوگرم)]]</f>
        <v>0</v>
      </c>
    </row>
    <row r="1245" spans="1:32" hidden="1" x14ac:dyDescent="0.35">
      <c r="A1245" s="5">
        <f>ROW()-ROW(INDEX(Main[ردیف],1))+1</f>
        <v>1243</v>
      </c>
      <c r="B1245" s="31">
        <f>SUBTOTAL(2,INDEX(Main[ردیف],1):Main[[#This Row],[ردیف]])</f>
        <v>112</v>
      </c>
      <c r="C1245" s="32" t="s">
        <v>634</v>
      </c>
      <c r="D1245" s="32" t="str">
        <f>_xlfn.CONCAT("14",Main[[#This Row],[تاريخ]])</f>
        <v>1400/05/10</v>
      </c>
      <c r="E1245" s="33">
        <v>44409</v>
      </c>
      <c r="F1245" s="32">
        <v>30009</v>
      </c>
      <c r="G1245" s="5" t="str">
        <f>INDEX(customer[عنوان],MATCH(Main[[#This Row],[کد ردیابی]],customer[کد],0))</f>
        <v>شرکت ایمن تک پیشرو</v>
      </c>
      <c r="H1245">
        <v>1859</v>
      </c>
      <c r="I1245" s="6">
        <f ca="1">-Main[[#This Row],[بدهی تسویه شده (کیلوگرم)]]+Main[[#This Row],[بستانکار (کیلوگرم)]]</f>
        <v>1859</v>
      </c>
      <c r="J1245" s="6">
        <f>IF(Main[[#This Row],[مقدار (کیلوگرم)]]&gt;0,Main[[#This Row],[مقدار (کیلوگرم)]],0)</f>
        <v>1859</v>
      </c>
      <c r="K1245" s="6">
        <f>-IF(Main[[#This Row],[مقدار (کیلوگرم)]]&lt;0,Main[[#This Row],[مقدار (کیلوگرم)]],0)</f>
        <v>0</v>
      </c>
      <c r="L12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5" s="7">
        <f>-IF(AND(Main[[#This Row],[مقدار (کیلوگرم)]]&lt;0,Main[[#This Row],[تاريخ میلادی]]&gt;44276),Main[[#This Row],[مقدار (کیلوگرم)]],0)</f>
        <v>0</v>
      </c>
      <c r="N1245" s="6">
        <f ca="1">Main[[#This Row],[بدهکار (کیلوگرم)]]-Main[[#This Row],[بدهی تسویه نشده (کیلوگرم)]]</f>
        <v>0</v>
      </c>
      <c r="O1245" s="6">
        <f ca="1">Main[[#This Row],[تفکیک]]</f>
        <v>0</v>
      </c>
      <c r="P1245" s="6">
        <f ca="1">IF(Main[[#This Row],[تاخیر از سررسید]]&gt;0,Main[[#This Row],[بدهی تسویه نشده (کیلوگرم)]],0)</f>
        <v>0</v>
      </c>
      <c r="Q1245" s="6">
        <f ca="1">IF(Main[[#This Row],[بدهی تسویه نشده (کیلوگرم)]]&gt;0,'گزارش فردی'!$B$7-Main[[#This Row],[تاريخ میلادی]],0)</f>
        <v>0</v>
      </c>
      <c r="R1245" s="6">
        <f ca="1">IF(Main[[#This Row],[بدهی تسویه نشده (کیلوگرم)]]&gt;0,'گزارش فردی'!$B$7-Main[[#This Row],[تاريخ میلادی]]-'گزارش فردی'!$B$8,0)</f>
        <v>0</v>
      </c>
      <c r="S1245" s="6">
        <f ca="1">Main[[#This Row],[روز از ارسال سفارش]]*Main[[#This Row],[بدهی تسویه نشده (کیلوگرم)]]</f>
        <v>0</v>
      </c>
      <c r="T1245" s="6">
        <f ca="1">Main[[#This Row],[بدهی سررسید شده (کیلوگرم)]]*Main[[#This Row],[روز از ارسال سفارش]]</f>
        <v>0</v>
      </c>
      <c r="U1245" s="6">
        <f>-SUBTOTAL(9,INDEX(Main[مقدار (کیلوگرم)],1):Main[[#This Row],[مقدار (کیلوگرم)]])</f>
        <v>35783</v>
      </c>
      <c r="V12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5" s="6">
        <f>Main[[#This Row],[تعداد کل روزهای بدهکار (روز)]]*Main[[#This Row],[مانده در خط کل (کیلوگرم)]]</f>
        <v>35783</v>
      </c>
      <c r="X1245" s="6">
        <f ca="1">-SUBTOTAL(9,INDEX(Main[مقدار تسویه شده (کیلوگرم)],1):Main[[#This Row],[مقدار تسویه شده (کیلوگرم)]])</f>
        <v>35783</v>
      </c>
      <c r="Y1245" s="6">
        <f ca="1">IF(Main[[#This Row],[مانده در خط تسویه شده (کیلوگرم)]]&lt;&gt;0,Main[[#This Row],[تعداد کل روزهای بدهکار (روز)]],0)</f>
        <v>1</v>
      </c>
      <c r="Z1245" s="6">
        <f ca="1">Main[[#This Row],[تعداد روزهای بدهکار تسویه شده (روز)]]*Main[[#This Row],[مانده در خط تسویه شده (کیلوگرم)]]</f>
        <v>35783</v>
      </c>
      <c r="AA1245" s="6">
        <f ca="1">SUBTOTAL(9,INDEX(Main[بدهی تسویه نشده (کیلوگرم)],1):Main[[#This Row],[بدهی تسویه نشده (کیلوگرم)]])</f>
        <v>0</v>
      </c>
      <c r="AB1245" s="6">
        <f ca="1">IF(Main[[#This Row],[مانده در خط تسویه نشده (کیلوگرم)]]&lt;&gt;0,Main[[#This Row],[تعداد کل روزهای بدهکار (روز)]],0)</f>
        <v>0</v>
      </c>
      <c r="AC1245" s="6">
        <f ca="1">Main[[#This Row],[تعداد روزهای بدهکار  تسویه نشده (روز)]]*Main[[#This Row],[مانده در خط تسویه نشده (کیلوگرم)]]</f>
        <v>0</v>
      </c>
      <c r="AD1245" s="6">
        <f ca="1">SUBTOTAL(9,INDEX(Main[بدهی سررسید شده (کیلوگرم)],1):Main[[#This Row],[بدهی سررسید شده (کیلوگرم)]])</f>
        <v>0</v>
      </c>
      <c r="AE1245" s="6">
        <f ca="1">IF(Main[[#This Row],[مانده در خط سررسید شده (کیلوگرم)]]&lt;&gt;0,Main[[#This Row],[تعداد کل روزهای بدهکار (روز)]],0)</f>
        <v>0</v>
      </c>
      <c r="AF1245" s="6">
        <f ca="1">Main[[#This Row],[تعداد روزهای بدهکار سررسید شده (روز)]]*Main[[#This Row],[مانده در خط سررسید شده (کیلوگرم)]]</f>
        <v>0</v>
      </c>
    </row>
    <row r="1246" spans="1:32" hidden="1" x14ac:dyDescent="0.35">
      <c r="A1246" s="5">
        <f>ROW()-ROW(INDEX(Main[ردیف],1))+1</f>
        <v>1244</v>
      </c>
      <c r="B1246" s="31">
        <f>SUBTOTAL(2,INDEX(Main[ردیف],1):Main[[#This Row],[ردیف]])</f>
        <v>112</v>
      </c>
      <c r="C1246" s="32" t="s">
        <v>634</v>
      </c>
      <c r="D1246" s="32" t="str">
        <f>_xlfn.CONCAT("14",Main[[#This Row],[تاريخ]])</f>
        <v>1400/05/10</v>
      </c>
      <c r="E1246" s="33">
        <v>44409</v>
      </c>
      <c r="F1246" s="32">
        <v>30186</v>
      </c>
      <c r="G1246" s="5" t="str">
        <f>INDEX(customer[عنوان],MATCH(Main[[#This Row],[کد ردیابی]],customer[کد],0))</f>
        <v>سارا گاز</v>
      </c>
      <c r="H1246">
        <v>1221</v>
      </c>
      <c r="I1246" s="6">
        <f ca="1">-Main[[#This Row],[بدهی تسویه شده (کیلوگرم)]]+Main[[#This Row],[بستانکار (کیلوگرم)]]</f>
        <v>1221</v>
      </c>
      <c r="J1246" s="6">
        <f>IF(Main[[#This Row],[مقدار (کیلوگرم)]]&gt;0,Main[[#This Row],[مقدار (کیلوگرم)]],0)</f>
        <v>1221</v>
      </c>
      <c r="K1246" s="6">
        <f>-IF(Main[[#This Row],[مقدار (کیلوگرم)]]&lt;0,Main[[#This Row],[مقدار (کیلوگرم)]],0)</f>
        <v>0</v>
      </c>
      <c r="L12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6" s="7">
        <f>-IF(AND(Main[[#This Row],[مقدار (کیلوگرم)]]&lt;0,Main[[#This Row],[تاريخ میلادی]]&gt;44276),Main[[#This Row],[مقدار (کیلوگرم)]],0)</f>
        <v>0</v>
      </c>
      <c r="N1246" s="6">
        <f ca="1">Main[[#This Row],[بدهکار (کیلوگرم)]]-Main[[#This Row],[بدهی تسویه نشده (کیلوگرم)]]</f>
        <v>0</v>
      </c>
      <c r="O1246" s="6">
        <f ca="1">Main[[#This Row],[تفکیک]]</f>
        <v>0</v>
      </c>
      <c r="P1246" s="6">
        <f ca="1">IF(Main[[#This Row],[تاخیر از سررسید]]&gt;0,Main[[#This Row],[بدهی تسویه نشده (کیلوگرم)]],0)</f>
        <v>0</v>
      </c>
      <c r="Q1246" s="6">
        <f ca="1">IF(Main[[#This Row],[بدهی تسویه نشده (کیلوگرم)]]&gt;0,'گزارش فردی'!$B$7-Main[[#This Row],[تاريخ میلادی]],0)</f>
        <v>0</v>
      </c>
      <c r="R1246" s="6">
        <f ca="1">IF(Main[[#This Row],[بدهی تسویه نشده (کیلوگرم)]]&gt;0,'گزارش فردی'!$B$7-Main[[#This Row],[تاريخ میلادی]]-'گزارش فردی'!$B$8,0)</f>
        <v>0</v>
      </c>
      <c r="S1246" s="6">
        <f ca="1">Main[[#This Row],[روز از ارسال سفارش]]*Main[[#This Row],[بدهی تسویه نشده (کیلوگرم)]]</f>
        <v>0</v>
      </c>
      <c r="T1246" s="6">
        <f ca="1">Main[[#This Row],[بدهی سررسید شده (کیلوگرم)]]*Main[[#This Row],[روز از ارسال سفارش]]</f>
        <v>0</v>
      </c>
      <c r="U1246" s="6">
        <f>-SUBTOTAL(9,INDEX(Main[مقدار (کیلوگرم)],1):Main[[#This Row],[مقدار (کیلوگرم)]])</f>
        <v>35783</v>
      </c>
      <c r="V12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6" s="6">
        <f>Main[[#This Row],[تعداد کل روزهای بدهکار (روز)]]*Main[[#This Row],[مانده در خط کل (کیلوگرم)]]</f>
        <v>35783</v>
      </c>
      <c r="X1246" s="6">
        <f ca="1">-SUBTOTAL(9,INDEX(Main[مقدار تسویه شده (کیلوگرم)],1):Main[[#This Row],[مقدار تسویه شده (کیلوگرم)]])</f>
        <v>35783</v>
      </c>
      <c r="Y1246" s="6">
        <f ca="1">IF(Main[[#This Row],[مانده در خط تسویه شده (کیلوگرم)]]&lt;&gt;0,Main[[#This Row],[تعداد کل روزهای بدهکار (روز)]],0)</f>
        <v>1</v>
      </c>
      <c r="Z1246" s="6">
        <f ca="1">Main[[#This Row],[تعداد روزهای بدهکار تسویه شده (روز)]]*Main[[#This Row],[مانده در خط تسویه شده (کیلوگرم)]]</f>
        <v>35783</v>
      </c>
      <c r="AA1246" s="6">
        <f ca="1">SUBTOTAL(9,INDEX(Main[بدهی تسویه نشده (کیلوگرم)],1):Main[[#This Row],[بدهی تسویه نشده (کیلوگرم)]])</f>
        <v>0</v>
      </c>
      <c r="AB1246" s="6">
        <f ca="1">IF(Main[[#This Row],[مانده در خط تسویه نشده (کیلوگرم)]]&lt;&gt;0,Main[[#This Row],[تعداد کل روزهای بدهکار (روز)]],0)</f>
        <v>0</v>
      </c>
      <c r="AC1246" s="6">
        <f ca="1">Main[[#This Row],[تعداد روزهای بدهکار  تسویه نشده (روز)]]*Main[[#This Row],[مانده در خط تسویه نشده (کیلوگرم)]]</f>
        <v>0</v>
      </c>
      <c r="AD1246" s="6">
        <f ca="1">SUBTOTAL(9,INDEX(Main[بدهی سررسید شده (کیلوگرم)],1):Main[[#This Row],[بدهی سررسید شده (کیلوگرم)]])</f>
        <v>0</v>
      </c>
      <c r="AE1246" s="6">
        <f ca="1">IF(Main[[#This Row],[مانده در خط سررسید شده (کیلوگرم)]]&lt;&gt;0,Main[[#This Row],[تعداد کل روزهای بدهکار (روز)]],0)</f>
        <v>0</v>
      </c>
      <c r="AF1246" s="6">
        <f ca="1">Main[[#This Row],[تعداد روزهای بدهکار سررسید شده (روز)]]*Main[[#This Row],[مانده در خط سررسید شده (کیلوگرم)]]</f>
        <v>0</v>
      </c>
    </row>
    <row r="1247" spans="1:32" hidden="1" x14ac:dyDescent="0.35">
      <c r="A1247" s="5">
        <f>ROW()-ROW(INDEX(Main[ردیف],1))+1</f>
        <v>1245</v>
      </c>
      <c r="B1247" s="31">
        <f>SUBTOTAL(2,INDEX(Main[ردیف],1):Main[[#This Row],[ردیف]])</f>
        <v>112</v>
      </c>
      <c r="C1247" s="32" t="s">
        <v>634</v>
      </c>
      <c r="D1247" s="32" t="str">
        <f>_xlfn.CONCAT("14",Main[[#This Row],[تاريخ]])</f>
        <v>1400/05/10</v>
      </c>
      <c r="E1247" s="33">
        <v>44409</v>
      </c>
      <c r="F1247" s="32">
        <v>10057</v>
      </c>
      <c r="G1247" s="5" t="str">
        <f>INDEX(customer[عنوان],MATCH(Main[[#This Row],[کد ردیابی]],customer[کد],0))</f>
        <v xml:space="preserve">عبدالله یادگار </v>
      </c>
      <c r="H1247">
        <v>770</v>
      </c>
      <c r="I1247" s="6">
        <f ca="1">-Main[[#This Row],[بدهی تسویه شده (کیلوگرم)]]+Main[[#This Row],[بستانکار (کیلوگرم)]]</f>
        <v>770</v>
      </c>
      <c r="J1247" s="6">
        <f>IF(Main[[#This Row],[مقدار (کیلوگرم)]]&gt;0,Main[[#This Row],[مقدار (کیلوگرم)]],0)</f>
        <v>770</v>
      </c>
      <c r="K1247" s="6">
        <f>-IF(Main[[#This Row],[مقدار (کیلوگرم)]]&lt;0,Main[[#This Row],[مقدار (کیلوگرم)]],0)</f>
        <v>0</v>
      </c>
      <c r="L12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7" s="7">
        <f>-IF(AND(Main[[#This Row],[مقدار (کیلوگرم)]]&lt;0,Main[[#This Row],[تاريخ میلادی]]&gt;44276),Main[[#This Row],[مقدار (کیلوگرم)]],0)</f>
        <v>0</v>
      </c>
      <c r="N1247" s="6">
        <f ca="1">Main[[#This Row],[بدهکار (کیلوگرم)]]-Main[[#This Row],[بدهی تسویه نشده (کیلوگرم)]]</f>
        <v>0</v>
      </c>
      <c r="O1247" s="6">
        <f ca="1">Main[[#This Row],[تفکیک]]</f>
        <v>0</v>
      </c>
      <c r="P1247" s="6">
        <f ca="1">IF(Main[[#This Row],[تاخیر از سررسید]]&gt;0,Main[[#This Row],[بدهی تسویه نشده (کیلوگرم)]],0)</f>
        <v>0</v>
      </c>
      <c r="Q1247" s="6">
        <f ca="1">IF(Main[[#This Row],[بدهی تسویه نشده (کیلوگرم)]]&gt;0,'گزارش فردی'!$B$7-Main[[#This Row],[تاريخ میلادی]],0)</f>
        <v>0</v>
      </c>
      <c r="R1247" s="6">
        <f ca="1">IF(Main[[#This Row],[بدهی تسویه نشده (کیلوگرم)]]&gt;0,'گزارش فردی'!$B$7-Main[[#This Row],[تاريخ میلادی]]-'گزارش فردی'!$B$8,0)</f>
        <v>0</v>
      </c>
      <c r="S1247" s="6">
        <f ca="1">Main[[#This Row],[روز از ارسال سفارش]]*Main[[#This Row],[بدهی تسویه نشده (کیلوگرم)]]</f>
        <v>0</v>
      </c>
      <c r="T1247" s="6">
        <f ca="1">Main[[#This Row],[بدهی سررسید شده (کیلوگرم)]]*Main[[#This Row],[روز از ارسال سفارش]]</f>
        <v>0</v>
      </c>
      <c r="U1247" s="6">
        <f>-SUBTOTAL(9,INDEX(Main[مقدار (کیلوگرم)],1):Main[[#This Row],[مقدار (کیلوگرم)]])</f>
        <v>35783</v>
      </c>
      <c r="V12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7" s="6">
        <f>Main[[#This Row],[تعداد کل روزهای بدهکار (روز)]]*Main[[#This Row],[مانده در خط کل (کیلوگرم)]]</f>
        <v>35783</v>
      </c>
      <c r="X1247" s="6">
        <f ca="1">-SUBTOTAL(9,INDEX(Main[مقدار تسویه شده (کیلوگرم)],1):Main[[#This Row],[مقدار تسویه شده (کیلوگرم)]])</f>
        <v>35783</v>
      </c>
      <c r="Y1247" s="6">
        <f ca="1">IF(Main[[#This Row],[مانده در خط تسویه شده (کیلوگرم)]]&lt;&gt;0,Main[[#This Row],[تعداد کل روزهای بدهکار (روز)]],0)</f>
        <v>1</v>
      </c>
      <c r="Z1247" s="6">
        <f ca="1">Main[[#This Row],[تعداد روزهای بدهکار تسویه شده (روز)]]*Main[[#This Row],[مانده در خط تسویه شده (کیلوگرم)]]</f>
        <v>35783</v>
      </c>
      <c r="AA1247" s="6">
        <f ca="1">SUBTOTAL(9,INDEX(Main[بدهی تسویه نشده (کیلوگرم)],1):Main[[#This Row],[بدهی تسویه نشده (کیلوگرم)]])</f>
        <v>0</v>
      </c>
      <c r="AB1247" s="6">
        <f ca="1">IF(Main[[#This Row],[مانده در خط تسویه نشده (کیلوگرم)]]&lt;&gt;0,Main[[#This Row],[تعداد کل روزهای بدهکار (روز)]],0)</f>
        <v>0</v>
      </c>
      <c r="AC1247" s="6">
        <f ca="1">Main[[#This Row],[تعداد روزهای بدهکار  تسویه نشده (روز)]]*Main[[#This Row],[مانده در خط تسویه نشده (کیلوگرم)]]</f>
        <v>0</v>
      </c>
      <c r="AD1247" s="6">
        <f ca="1">SUBTOTAL(9,INDEX(Main[بدهی سررسید شده (کیلوگرم)],1):Main[[#This Row],[بدهی سررسید شده (کیلوگرم)]])</f>
        <v>0</v>
      </c>
      <c r="AE1247" s="6">
        <f ca="1">IF(Main[[#This Row],[مانده در خط سررسید شده (کیلوگرم)]]&lt;&gt;0,Main[[#This Row],[تعداد کل روزهای بدهکار (روز)]],0)</f>
        <v>0</v>
      </c>
      <c r="AF1247" s="6">
        <f ca="1">Main[[#This Row],[تعداد روزهای بدهکار سررسید شده (روز)]]*Main[[#This Row],[مانده در خط سررسید شده (کیلوگرم)]]</f>
        <v>0</v>
      </c>
    </row>
    <row r="1248" spans="1:32" hidden="1" x14ac:dyDescent="0.35">
      <c r="A1248" s="5">
        <f>ROW()-ROW(INDEX(Main[ردیف],1))+1</f>
        <v>1246</v>
      </c>
      <c r="B1248" s="31">
        <f>SUBTOTAL(2,INDEX(Main[ردیف],1):Main[[#This Row],[ردیف]])</f>
        <v>112</v>
      </c>
      <c r="C1248" s="32" t="s">
        <v>635</v>
      </c>
      <c r="D1248" s="32" t="str">
        <f>_xlfn.CONCAT("14",Main[[#This Row],[تاريخ]])</f>
        <v>1400/05/11</v>
      </c>
      <c r="E1248" s="33">
        <v>44410</v>
      </c>
      <c r="F1248" s="32">
        <v>30018</v>
      </c>
      <c r="G1248" s="5" t="str">
        <f>INDEX(customer[عنوان],MATCH(Main[[#This Row],[کد ردیابی]],customer[کد],0))</f>
        <v xml:space="preserve">تولیدی شیر سازی غریب پویا </v>
      </c>
      <c r="H1248">
        <v>-1994</v>
      </c>
      <c r="I1248" s="6">
        <f ca="1">-Main[[#This Row],[بدهی تسویه شده (کیلوگرم)]]+Main[[#This Row],[بستانکار (کیلوگرم)]]</f>
        <v>-1994</v>
      </c>
      <c r="J1248" s="6">
        <f>IF(Main[[#This Row],[مقدار (کیلوگرم)]]&gt;0,Main[[#This Row],[مقدار (کیلوگرم)]],0)</f>
        <v>0</v>
      </c>
      <c r="K1248" s="6">
        <f>-IF(Main[[#This Row],[مقدار (کیلوگرم)]]&lt;0,Main[[#This Row],[مقدار (کیلوگرم)]],0)</f>
        <v>1994</v>
      </c>
      <c r="L12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8" s="7">
        <f>-IF(AND(Main[[#This Row],[مقدار (کیلوگرم)]]&lt;0,Main[[#This Row],[تاريخ میلادی]]&gt;44276),Main[[#This Row],[مقدار (کیلوگرم)]],0)</f>
        <v>1994</v>
      </c>
      <c r="N1248" s="6">
        <f ca="1">Main[[#This Row],[بدهکار (کیلوگرم)]]-Main[[#This Row],[بدهی تسویه نشده (کیلوگرم)]]</f>
        <v>1994</v>
      </c>
      <c r="O1248" s="6">
        <f ca="1">Main[[#This Row],[تفکیک]]</f>
        <v>0</v>
      </c>
      <c r="P1248" s="6">
        <f ca="1">IF(Main[[#This Row],[تاخیر از سررسید]]&gt;0,Main[[#This Row],[بدهی تسویه نشده (کیلوگرم)]],0)</f>
        <v>0</v>
      </c>
      <c r="Q1248" s="6">
        <f ca="1">IF(Main[[#This Row],[بدهی تسویه نشده (کیلوگرم)]]&gt;0,'گزارش فردی'!$B$7-Main[[#This Row],[تاريخ میلادی]],0)</f>
        <v>0</v>
      </c>
      <c r="R1248" s="6">
        <f ca="1">IF(Main[[#This Row],[بدهی تسویه نشده (کیلوگرم)]]&gt;0,'گزارش فردی'!$B$7-Main[[#This Row],[تاريخ میلادی]]-'گزارش فردی'!$B$8,0)</f>
        <v>0</v>
      </c>
      <c r="S1248" s="6">
        <f ca="1">Main[[#This Row],[روز از ارسال سفارش]]*Main[[#This Row],[بدهی تسویه نشده (کیلوگرم)]]</f>
        <v>0</v>
      </c>
      <c r="T1248" s="6">
        <f ca="1">Main[[#This Row],[بدهی سررسید شده (کیلوگرم)]]*Main[[#This Row],[روز از ارسال سفارش]]</f>
        <v>0</v>
      </c>
      <c r="U1248" s="6">
        <f>-SUBTOTAL(9,INDEX(Main[مقدار (کیلوگرم)],1):Main[[#This Row],[مقدار (کیلوگرم)]])</f>
        <v>35783</v>
      </c>
      <c r="V12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48" s="6">
        <f>Main[[#This Row],[تعداد کل روزهای بدهکار (روز)]]*Main[[#This Row],[مانده در خط کل (کیلوگرم)]]</f>
        <v>0</v>
      </c>
      <c r="X1248" s="6">
        <f ca="1">-SUBTOTAL(9,INDEX(Main[مقدار تسویه شده (کیلوگرم)],1):Main[[#This Row],[مقدار تسویه شده (کیلوگرم)]])</f>
        <v>35783</v>
      </c>
      <c r="Y1248" s="6">
        <f ca="1">IF(Main[[#This Row],[مانده در خط تسویه شده (کیلوگرم)]]&lt;&gt;0,Main[[#This Row],[تعداد کل روزهای بدهکار (روز)]],0)</f>
        <v>0</v>
      </c>
      <c r="Z1248" s="6">
        <f ca="1">Main[[#This Row],[تعداد روزهای بدهکار تسویه شده (روز)]]*Main[[#This Row],[مانده در خط تسویه شده (کیلوگرم)]]</f>
        <v>0</v>
      </c>
      <c r="AA1248" s="6">
        <f ca="1">SUBTOTAL(9,INDEX(Main[بدهی تسویه نشده (کیلوگرم)],1):Main[[#This Row],[بدهی تسویه نشده (کیلوگرم)]])</f>
        <v>0</v>
      </c>
      <c r="AB1248" s="6">
        <f ca="1">IF(Main[[#This Row],[مانده در خط تسویه نشده (کیلوگرم)]]&lt;&gt;0,Main[[#This Row],[تعداد کل روزهای بدهکار (روز)]],0)</f>
        <v>0</v>
      </c>
      <c r="AC1248" s="6">
        <f ca="1">Main[[#This Row],[تعداد روزهای بدهکار  تسویه نشده (روز)]]*Main[[#This Row],[مانده در خط تسویه نشده (کیلوگرم)]]</f>
        <v>0</v>
      </c>
      <c r="AD1248" s="6">
        <f ca="1">SUBTOTAL(9,INDEX(Main[بدهی سررسید شده (کیلوگرم)],1):Main[[#This Row],[بدهی سررسید شده (کیلوگرم)]])</f>
        <v>0</v>
      </c>
      <c r="AE1248" s="6">
        <f ca="1">IF(Main[[#This Row],[مانده در خط سررسید شده (کیلوگرم)]]&lt;&gt;0,Main[[#This Row],[تعداد کل روزهای بدهکار (روز)]],0)</f>
        <v>0</v>
      </c>
      <c r="AF1248" s="6">
        <f ca="1">Main[[#This Row],[تعداد روزهای بدهکار سررسید شده (روز)]]*Main[[#This Row],[مانده در خط سررسید شده (کیلوگرم)]]</f>
        <v>0</v>
      </c>
    </row>
    <row r="1249" spans="1:32" hidden="1" x14ac:dyDescent="0.35">
      <c r="A1249" s="5">
        <f>ROW()-ROW(INDEX(Main[ردیف],1))+1</f>
        <v>1247</v>
      </c>
      <c r="B1249" s="31">
        <f>SUBTOTAL(2,INDEX(Main[ردیف],1):Main[[#This Row],[ردیف]])</f>
        <v>112</v>
      </c>
      <c r="C1249" s="32" t="s">
        <v>635</v>
      </c>
      <c r="D1249" s="32" t="str">
        <f>_xlfn.CONCAT("14",Main[[#This Row],[تاريخ]])</f>
        <v>1400/05/11</v>
      </c>
      <c r="E1249" s="33">
        <v>44410</v>
      </c>
      <c r="F1249" s="32">
        <v>30018</v>
      </c>
      <c r="G1249" s="5" t="str">
        <f>INDEX(customer[عنوان],MATCH(Main[[#This Row],[کد ردیابی]],customer[کد],0))</f>
        <v xml:space="preserve">تولیدی شیر سازی غریب پویا </v>
      </c>
      <c r="H1249">
        <v>64</v>
      </c>
      <c r="I1249" s="6">
        <f ca="1">-Main[[#This Row],[بدهی تسویه شده (کیلوگرم)]]+Main[[#This Row],[بستانکار (کیلوگرم)]]</f>
        <v>64</v>
      </c>
      <c r="J1249" s="6">
        <f>IF(Main[[#This Row],[مقدار (کیلوگرم)]]&gt;0,Main[[#This Row],[مقدار (کیلوگرم)]],0)</f>
        <v>64</v>
      </c>
      <c r="K1249" s="6">
        <f>-IF(Main[[#This Row],[مقدار (کیلوگرم)]]&lt;0,Main[[#This Row],[مقدار (کیلوگرم)]],0)</f>
        <v>0</v>
      </c>
      <c r="L12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9" s="7">
        <f>-IF(AND(Main[[#This Row],[مقدار (کیلوگرم)]]&lt;0,Main[[#This Row],[تاريخ میلادی]]&gt;44276),Main[[#This Row],[مقدار (کیلوگرم)]],0)</f>
        <v>0</v>
      </c>
      <c r="N1249" s="6">
        <f ca="1">Main[[#This Row],[بدهکار (کیلوگرم)]]-Main[[#This Row],[بدهی تسویه نشده (کیلوگرم)]]</f>
        <v>0</v>
      </c>
      <c r="O1249" s="6">
        <f ca="1">Main[[#This Row],[تفکیک]]</f>
        <v>0</v>
      </c>
      <c r="P1249" s="6">
        <f ca="1">IF(Main[[#This Row],[تاخیر از سررسید]]&gt;0,Main[[#This Row],[بدهی تسویه نشده (کیلوگرم)]],0)</f>
        <v>0</v>
      </c>
      <c r="Q1249" s="6">
        <f ca="1">IF(Main[[#This Row],[بدهی تسویه نشده (کیلوگرم)]]&gt;0,'گزارش فردی'!$B$7-Main[[#This Row],[تاريخ میلادی]],0)</f>
        <v>0</v>
      </c>
      <c r="R1249" s="6">
        <f ca="1">IF(Main[[#This Row],[بدهی تسویه نشده (کیلوگرم)]]&gt;0,'گزارش فردی'!$B$7-Main[[#This Row],[تاريخ میلادی]]-'گزارش فردی'!$B$8,0)</f>
        <v>0</v>
      </c>
      <c r="S1249" s="6">
        <f ca="1">Main[[#This Row],[روز از ارسال سفارش]]*Main[[#This Row],[بدهی تسویه نشده (کیلوگرم)]]</f>
        <v>0</v>
      </c>
      <c r="T1249" s="6">
        <f ca="1">Main[[#This Row],[بدهی سررسید شده (کیلوگرم)]]*Main[[#This Row],[روز از ارسال سفارش]]</f>
        <v>0</v>
      </c>
      <c r="U1249" s="6">
        <f>-SUBTOTAL(9,INDEX(Main[مقدار (کیلوگرم)],1):Main[[#This Row],[مقدار (کیلوگرم)]])</f>
        <v>35783</v>
      </c>
      <c r="V12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49" s="6">
        <f>Main[[#This Row],[تعداد کل روزهای بدهکار (روز)]]*Main[[#This Row],[مانده در خط کل (کیلوگرم)]]</f>
        <v>0</v>
      </c>
      <c r="X1249" s="6">
        <f ca="1">-SUBTOTAL(9,INDEX(Main[مقدار تسویه شده (کیلوگرم)],1):Main[[#This Row],[مقدار تسویه شده (کیلوگرم)]])</f>
        <v>35783</v>
      </c>
      <c r="Y1249" s="6">
        <f ca="1">IF(Main[[#This Row],[مانده در خط تسویه شده (کیلوگرم)]]&lt;&gt;0,Main[[#This Row],[تعداد کل روزهای بدهکار (روز)]],0)</f>
        <v>0</v>
      </c>
      <c r="Z1249" s="6">
        <f ca="1">Main[[#This Row],[تعداد روزهای بدهکار تسویه شده (روز)]]*Main[[#This Row],[مانده در خط تسویه شده (کیلوگرم)]]</f>
        <v>0</v>
      </c>
      <c r="AA1249" s="6">
        <f ca="1">SUBTOTAL(9,INDEX(Main[بدهی تسویه نشده (کیلوگرم)],1):Main[[#This Row],[بدهی تسویه نشده (کیلوگرم)]])</f>
        <v>0</v>
      </c>
      <c r="AB1249" s="6">
        <f ca="1">IF(Main[[#This Row],[مانده در خط تسویه نشده (کیلوگرم)]]&lt;&gt;0,Main[[#This Row],[تعداد کل روزهای بدهکار (روز)]],0)</f>
        <v>0</v>
      </c>
      <c r="AC1249" s="6">
        <f ca="1">Main[[#This Row],[تعداد روزهای بدهکار  تسویه نشده (روز)]]*Main[[#This Row],[مانده در خط تسویه نشده (کیلوگرم)]]</f>
        <v>0</v>
      </c>
      <c r="AD1249" s="6">
        <f ca="1">SUBTOTAL(9,INDEX(Main[بدهی سررسید شده (کیلوگرم)],1):Main[[#This Row],[بدهی سررسید شده (کیلوگرم)]])</f>
        <v>0</v>
      </c>
      <c r="AE1249" s="6">
        <f ca="1">IF(Main[[#This Row],[مانده در خط سررسید شده (کیلوگرم)]]&lt;&gt;0,Main[[#This Row],[تعداد کل روزهای بدهکار (روز)]],0)</f>
        <v>0</v>
      </c>
      <c r="AF1249" s="6">
        <f ca="1">Main[[#This Row],[تعداد روزهای بدهکار سررسید شده (روز)]]*Main[[#This Row],[مانده در خط سررسید شده (کیلوگرم)]]</f>
        <v>0</v>
      </c>
    </row>
    <row r="1250" spans="1:32" hidden="1" x14ac:dyDescent="0.35">
      <c r="A1250" s="5">
        <f>ROW()-ROW(INDEX(Main[ردیف],1))+1</f>
        <v>1248</v>
      </c>
      <c r="B1250" s="31">
        <f>SUBTOTAL(2,INDEX(Main[ردیف],1):Main[[#This Row],[ردیف]])</f>
        <v>112</v>
      </c>
      <c r="C1250" s="32" t="s">
        <v>635</v>
      </c>
      <c r="D1250" s="32" t="str">
        <f>_xlfn.CONCAT("14",Main[[#This Row],[تاريخ]])</f>
        <v>1400/05/11</v>
      </c>
      <c r="E1250" s="33">
        <v>44410</v>
      </c>
      <c r="F1250" s="32">
        <v>30191</v>
      </c>
      <c r="G1250" s="5" t="str">
        <f>INDEX(customer[عنوان],MATCH(Main[[#This Row],[کد ردیابی]],customer[کد],0))</f>
        <v>ایران گرما</v>
      </c>
      <c r="H1250">
        <v>-938</v>
      </c>
      <c r="I1250" s="6">
        <f ca="1">-Main[[#This Row],[بدهی تسویه شده (کیلوگرم)]]+Main[[#This Row],[بستانکار (کیلوگرم)]]</f>
        <v>-938</v>
      </c>
      <c r="J1250" s="6">
        <f>IF(Main[[#This Row],[مقدار (کیلوگرم)]]&gt;0,Main[[#This Row],[مقدار (کیلوگرم)]],0)</f>
        <v>0</v>
      </c>
      <c r="K1250" s="6">
        <f>-IF(Main[[#This Row],[مقدار (کیلوگرم)]]&lt;0,Main[[#This Row],[مقدار (کیلوگرم)]],0)</f>
        <v>938</v>
      </c>
      <c r="L12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0" s="7">
        <f>-IF(AND(Main[[#This Row],[مقدار (کیلوگرم)]]&lt;0,Main[[#This Row],[تاريخ میلادی]]&gt;44276),Main[[#This Row],[مقدار (کیلوگرم)]],0)</f>
        <v>938</v>
      </c>
      <c r="N1250" s="6">
        <f ca="1">Main[[#This Row],[بدهکار (کیلوگرم)]]-Main[[#This Row],[بدهی تسویه نشده (کیلوگرم)]]</f>
        <v>938</v>
      </c>
      <c r="O1250" s="6">
        <f ca="1">Main[[#This Row],[تفکیک]]</f>
        <v>0</v>
      </c>
      <c r="P1250" s="6">
        <f ca="1">IF(Main[[#This Row],[تاخیر از سررسید]]&gt;0,Main[[#This Row],[بدهی تسویه نشده (کیلوگرم)]],0)</f>
        <v>0</v>
      </c>
      <c r="Q1250" s="6">
        <f ca="1">IF(Main[[#This Row],[بدهی تسویه نشده (کیلوگرم)]]&gt;0,'گزارش فردی'!$B$7-Main[[#This Row],[تاريخ میلادی]],0)</f>
        <v>0</v>
      </c>
      <c r="R1250" s="6">
        <f ca="1">IF(Main[[#This Row],[بدهی تسویه نشده (کیلوگرم)]]&gt;0,'گزارش فردی'!$B$7-Main[[#This Row],[تاريخ میلادی]]-'گزارش فردی'!$B$8,0)</f>
        <v>0</v>
      </c>
      <c r="S1250" s="6">
        <f ca="1">Main[[#This Row],[روز از ارسال سفارش]]*Main[[#This Row],[بدهی تسویه نشده (کیلوگرم)]]</f>
        <v>0</v>
      </c>
      <c r="T1250" s="6">
        <f ca="1">Main[[#This Row],[بدهی سررسید شده (کیلوگرم)]]*Main[[#This Row],[روز از ارسال سفارش]]</f>
        <v>0</v>
      </c>
      <c r="U1250" s="6">
        <f>-SUBTOTAL(9,INDEX(Main[مقدار (کیلوگرم)],1):Main[[#This Row],[مقدار (کیلوگرم)]])</f>
        <v>35783</v>
      </c>
      <c r="V12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0" s="6">
        <f>Main[[#This Row],[تعداد کل روزهای بدهکار (روز)]]*Main[[#This Row],[مانده در خط کل (کیلوگرم)]]</f>
        <v>0</v>
      </c>
      <c r="X1250" s="6">
        <f ca="1">-SUBTOTAL(9,INDEX(Main[مقدار تسویه شده (کیلوگرم)],1):Main[[#This Row],[مقدار تسویه شده (کیلوگرم)]])</f>
        <v>35783</v>
      </c>
      <c r="Y1250" s="6">
        <f ca="1">IF(Main[[#This Row],[مانده در خط تسویه شده (کیلوگرم)]]&lt;&gt;0,Main[[#This Row],[تعداد کل روزهای بدهکار (روز)]],0)</f>
        <v>0</v>
      </c>
      <c r="Z1250" s="6">
        <f ca="1">Main[[#This Row],[تعداد روزهای بدهکار تسویه شده (روز)]]*Main[[#This Row],[مانده در خط تسویه شده (کیلوگرم)]]</f>
        <v>0</v>
      </c>
      <c r="AA1250" s="6">
        <f ca="1">SUBTOTAL(9,INDEX(Main[بدهی تسویه نشده (کیلوگرم)],1):Main[[#This Row],[بدهی تسویه نشده (کیلوگرم)]])</f>
        <v>0</v>
      </c>
      <c r="AB1250" s="6">
        <f ca="1">IF(Main[[#This Row],[مانده در خط تسویه نشده (کیلوگرم)]]&lt;&gt;0,Main[[#This Row],[تعداد کل روزهای بدهکار (روز)]],0)</f>
        <v>0</v>
      </c>
      <c r="AC1250" s="6">
        <f ca="1">Main[[#This Row],[تعداد روزهای بدهکار  تسویه نشده (روز)]]*Main[[#This Row],[مانده در خط تسویه نشده (کیلوگرم)]]</f>
        <v>0</v>
      </c>
      <c r="AD1250" s="6">
        <f ca="1">SUBTOTAL(9,INDEX(Main[بدهی سررسید شده (کیلوگرم)],1):Main[[#This Row],[بدهی سررسید شده (کیلوگرم)]])</f>
        <v>0</v>
      </c>
      <c r="AE1250" s="6">
        <f ca="1">IF(Main[[#This Row],[مانده در خط سررسید شده (کیلوگرم)]]&lt;&gt;0,Main[[#This Row],[تعداد کل روزهای بدهکار (روز)]],0)</f>
        <v>0</v>
      </c>
      <c r="AF1250" s="6">
        <f ca="1">Main[[#This Row],[تعداد روزهای بدهکار سررسید شده (روز)]]*Main[[#This Row],[مانده در خط سررسید شده (کیلوگرم)]]</f>
        <v>0</v>
      </c>
    </row>
    <row r="1251" spans="1:32" hidden="1" x14ac:dyDescent="0.35">
      <c r="A1251" s="5">
        <f>ROW()-ROW(INDEX(Main[ردیف],1))+1</f>
        <v>1249</v>
      </c>
      <c r="B1251" s="31">
        <f>SUBTOTAL(2,INDEX(Main[ردیف],1):Main[[#This Row],[ردیف]])</f>
        <v>112</v>
      </c>
      <c r="C1251" s="32" t="s">
        <v>635</v>
      </c>
      <c r="D1251" s="32" t="str">
        <f>_xlfn.CONCAT("14",Main[[#This Row],[تاريخ]])</f>
        <v>1400/05/11</v>
      </c>
      <c r="E1251" s="33">
        <v>44410</v>
      </c>
      <c r="F1251" s="32">
        <v>30018</v>
      </c>
      <c r="G1251" s="5" t="str">
        <f>INDEX(customer[عنوان],MATCH(Main[[#This Row],[کد ردیابی]],customer[کد],0))</f>
        <v xml:space="preserve">تولیدی شیر سازی غریب پویا </v>
      </c>
      <c r="H1251">
        <v>1651</v>
      </c>
      <c r="I1251" s="6">
        <f ca="1">-Main[[#This Row],[بدهی تسویه شده (کیلوگرم)]]+Main[[#This Row],[بستانکار (کیلوگرم)]]</f>
        <v>1651</v>
      </c>
      <c r="J1251" s="6">
        <f>IF(Main[[#This Row],[مقدار (کیلوگرم)]]&gt;0,Main[[#This Row],[مقدار (کیلوگرم)]],0)</f>
        <v>1651</v>
      </c>
      <c r="K1251" s="6">
        <f>-IF(Main[[#This Row],[مقدار (کیلوگرم)]]&lt;0,Main[[#This Row],[مقدار (کیلوگرم)]],0)</f>
        <v>0</v>
      </c>
      <c r="L12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1" s="7">
        <f>-IF(AND(Main[[#This Row],[مقدار (کیلوگرم)]]&lt;0,Main[[#This Row],[تاريخ میلادی]]&gt;44276),Main[[#This Row],[مقدار (کیلوگرم)]],0)</f>
        <v>0</v>
      </c>
      <c r="N1251" s="6">
        <f ca="1">Main[[#This Row],[بدهکار (کیلوگرم)]]-Main[[#This Row],[بدهی تسویه نشده (کیلوگرم)]]</f>
        <v>0</v>
      </c>
      <c r="O1251" s="6">
        <f ca="1">Main[[#This Row],[تفکیک]]</f>
        <v>0</v>
      </c>
      <c r="P1251" s="6">
        <f ca="1">IF(Main[[#This Row],[تاخیر از سررسید]]&gt;0,Main[[#This Row],[بدهی تسویه نشده (کیلوگرم)]],0)</f>
        <v>0</v>
      </c>
      <c r="Q1251" s="6">
        <f ca="1">IF(Main[[#This Row],[بدهی تسویه نشده (کیلوگرم)]]&gt;0,'گزارش فردی'!$B$7-Main[[#This Row],[تاريخ میلادی]],0)</f>
        <v>0</v>
      </c>
      <c r="R1251" s="6">
        <f ca="1">IF(Main[[#This Row],[بدهی تسویه نشده (کیلوگرم)]]&gt;0,'گزارش فردی'!$B$7-Main[[#This Row],[تاريخ میلادی]]-'گزارش فردی'!$B$8,0)</f>
        <v>0</v>
      </c>
      <c r="S1251" s="6">
        <f ca="1">Main[[#This Row],[روز از ارسال سفارش]]*Main[[#This Row],[بدهی تسویه نشده (کیلوگرم)]]</f>
        <v>0</v>
      </c>
      <c r="T1251" s="6">
        <f ca="1">Main[[#This Row],[بدهی سررسید شده (کیلوگرم)]]*Main[[#This Row],[روز از ارسال سفارش]]</f>
        <v>0</v>
      </c>
      <c r="U1251" s="6">
        <f>-SUBTOTAL(9,INDEX(Main[مقدار (کیلوگرم)],1):Main[[#This Row],[مقدار (کیلوگرم)]])</f>
        <v>35783</v>
      </c>
      <c r="V12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1" s="6">
        <f>Main[[#This Row],[تعداد کل روزهای بدهکار (روز)]]*Main[[#This Row],[مانده در خط کل (کیلوگرم)]]</f>
        <v>0</v>
      </c>
      <c r="X1251" s="6">
        <f ca="1">-SUBTOTAL(9,INDEX(Main[مقدار تسویه شده (کیلوگرم)],1):Main[[#This Row],[مقدار تسویه شده (کیلوگرم)]])</f>
        <v>35783</v>
      </c>
      <c r="Y1251" s="6">
        <f ca="1">IF(Main[[#This Row],[مانده در خط تسویه شده (کیلوگرم)]]&lt;&gt;0,Main[[#This Row],[تعداد کل روزهای بدهکار (روز)]],0)</f>
        <v>0</v>
      </c>
      <c r="Z1251" s="6">
        <f ca="1">Main[[#This Row],[تعداد روزهای بدهکار تسویه شده (روز)]]*Main[[#This Row],[مانده در خط تسویه شده (کیلوگرم)]]</f>
        <v>0</v>
      </c>
      <c r="AA1251" s="6">
        <f ca="1">SUBTOTAL(9,INDEX(Main[بدهی تسویه نشده (کیلوگرم)],1):Main[[#This Row],[بدهی تسویه نشده (کیلوگرم)]])</f>
        <v>0</v>
      </c>
      <c r="AB1251" s="6">
        <f ca="1">IF(Main[[#This Row],[مانده در خط تسویه نشده (کیلوگرم)]]&lt;&gt;0,Main[[#This Row],[تعداد کل روزهای بدهکار (روز)]],0)</f>
        <v>0</v>
      </c>
      <c r="AC1251" s="6">
        <f ca="1">Main[[#This Row],[تعداد روزهای بدهکار  تسویه نشده (روز)]]*Main[[#This Row],[مانده در خط تسویه نشده (کیلوگرم)]]</f>
        <v>0</v>
      </c>
      <c r="AD1251" s="6">
        <f ca="1">SUBTOTAL(9,INDEX(Main[بدهی سررسید شده (کیلوگرم)],1):Main[[#This Row],[بدهی سررسید شده (کیلوگرم)]])</f>
        <v>0</v>
      </c>
      <c r="AE1251" s="6">
        <f ca="1">IF(Main[[#This Row],[مانده در خط سررسید شده (کیلوگرم)]]&lt;&gt;0,Main[[#This Row],[تعداد کل روزهای بدهکار (روز)]],0)</f>
        <v>0</v>
      </c>
      <c r="AF1251" s="6">
        <f ca="1">Main[[#This Row],[تعداد روزهای بدهکار سررسید شده (روز)]]*Main[[#This Row],[مانده در خط سررسید شده (کیلوگرم)]]</f>
        <v>0</v>
      </c>
    </row>
    <row r="1252" spans="1:32" x14ac:dyDescent="0.35">
      <c r="A1252" s="5">
        <f>ROW()-ROW(INDEX(Main[ردیف],1))+1</f>
        <v>1250</v>
      </c>
      <c r="B1252" s="31">
        <f>SUBTOTAL(2,INDEX(Main[ردیف],1):Main[[#This Row],[ردیف]])</f>
        <v>113</v>
      </c>
      <c r="C1252" s="32" t="s">
        <v>635</v>
      </c>
      <c r="D1252" s="32" t="str">
        <f>_xlfn.CONCAT("14",Main[[#This Row],[تاريخ]])</f>
        <v>1400/05/11</v>
      </c>
      <c r="E1252" s="33">
        <v>44410</v>
      </c>
      <c r="F1252" s="32">
        <v>10003</v>
      </c>
      <c r="G1252" s="5" t="str">
        <f>INDEX(customer[عنوان],MATCH(Main[[#This Row],[کد ردیابی]],customer[کد],0))</f>
        <v>اصغر نورعلی</v>
      </c>
      <c r="H1252">
        <v>-2734</v>
      </c>
      <c r="I1252" s="6">
        <f ca="1">-Main[[#This Row],[بدهی تسویه شده (کیلوگرم)]]+Main[[#This Row],[بستانکار (کیلوگرم)]]</f>
        <v>-2734</v>
      </c>
      <c r="J1252" s="6">
        <f>IF(Main[[#This Row],[مقدار (کیلوگرم)]]&gt;0,Main[[#This Row],[مقدار (کیلوگرم)]],0)</f>
        <v>0</v>
      </c>
      <c r="K1252" s="6">
        <f>-IF(Main[[#This Row],[مقدار (کیلوگرم)]]&lt;0,Main[[#This Row],[مقدار (کیلوگرم)]],0)</f>
        <v>2734</v>
      </c>
      <c r="L12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2" s="7">
        <f>-IF(AND(Main[[#This Row],[مقدار (کیلوگرم)]]&lt;0,Main[[#This Row],[تاريخ میلادی]]&gt;44276),Main[[#This Row],[مقدار (کیلوگرم)]],0)</f>
        <v>2734</v>
      </c>
      <c r="N1252" s="6">
        <f ca="1">Main[[#This Row],[بدهکار (کیلوگرم)]]-Main[[#This Row],[بدهی تسویه نشده (کیلوگرم)]]</f>
        <v>2734</v>
      </c>
      <c r="O1252" s="6">
        <f ca="1">Main[[#This Row],[تفکیک]]</f>
        <v>0</v>
      </c>
      <c r="P1252" s="6">
        <f ca="1">IF(Main[[#This Row],[تاخیر از سررسید]]&gt;0,Main[[#This Row],[بدهی تسویه نشده (کیلوگرم)]],0)</f>
        <v>0</v>
      </c>
      <c r="Q1252" s="6">
        <f ca="1">IF(Main[[#This Row],[بدهی تسویه نشده (کیلوگرم)]]&gt;0,'گزارش فردی'!$B$7-Main[[#This Row],[تاريخ میلادی]],0)</f>
        <v>0</v>
      </c>
      <c r="R1252" s="6">
        <f ca="1">IF(Main[[#This Row],[بدهی تسویه نشده (کیلوگرم)]]&gt;0,'گزارش فردی'!$B$7-Main[[#This Row],[تاريخ میلادی]]-'گزارش فردی'!$B$8,0)</f>
        <v>0</v>
      </c>
      <c r="S1252" s="6">
        <f ca="1">Main[[#This Row],[روز از ارسال سفارش]]*Main[[#This Row],[بدهی تسویه نشده (کیلوگرم)]]</f>
        <v>0</v>
      </c>
      <c r="T1252" s="6">
        <f ca="1">Main[[#This Row],[بدهی سررسید شده (کیلوگرم)]]*Main[[#This Row],[روز از ارسال سفارش]]</f>
        <v>0</v>
      </c>
      <c r="U1252" s="6">
        <f>-SUBTOTAL(9,INDEX(Main[مقدار (کیلوگرم)],1):Main[[#This Row],[مقدار (کیلوگرم)]])</f>
        <v>38517</v>
      </c>
      <c r="V12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2" s="6">
        <f>Main[[#This Row],[تعداد کل روزهای بدهکار (روز)]]*Main[[#This Row],[مانده در خط کل (کیلوگرم)]]</f>
        <v>38517</v>
      </c>
      <c r="X1252" s="6">
        <f ca="1">-SUBTOTAL(9,INDEX(Main[مقدار تسویه شده (کیلوگرم)],1):Main[[#This Row],[مقدار تسویه شده (کیلوگرم)]])</f>
        <v>38517</v>
      </c>
      <c r="Y1252" s="6">
        <f ca="1">IF(Main[[#This Row],[مانده در خط تسویه شده (کیلوگرم)]]&lt;&gt;0,Main[[#This Row],[تعداد کل روزهای بدهکار (روز)]],0)</f>
        <v>1</v>
      </c>
      <c r="Z1252" s="6">
        <f ca="1">Main[[#This Row],[تعداد روزهای بدهکار تسویه شده (روز)]]*Main[[#This Row],[مانده در خط تسویه شده (کیلوگرم)]]</f>
        <v>38517</v>
      </c>
      <c r="AA1252" s="6">
        <f ca="1">SUBTOTAL(9,INDEX(Main[بدهی تسویه نشده (کیلوگرم)],1):Main[[#This Row],[بدهی تسویه نشده (کیلوگرم)]])</f>
        <v>0</v>
      </c>
      <c r="AB1252" s="6">
        <f ca="1">IF(Main[[#This Row],[مانده در خط تسویه نشده (کیلوگرم)]]&lt;&gt;0,Main[[#This Row],[تعداد کل روزهای بدهکار (روز)]],0)</f>
        <v>0</v>
      </c>
      <c r="AC1252" s="6">
        <f ca="1">Main[[#This Row],[تعداد روزهای بدهکار  تسویه نشده (روز)]]*Main[[#This Row],[مانده در خط تسویه نشده (کیلوگرم)]]</f>
        <v>0</v>
      </c>
      <c r="AD1252" s="6">
        <f ca="1">SUBTOTAL(9,INDEX(Main[بدهی سررسید شده (کیلوگرم)],1):Main[[#This Row],[بدهی سررسید شده (کیلوگرم)]])</f>
        <v>0</v>
      </c>
      <c r="AE1252" s="6">
        <f ca="1">IF(Main[[#This Row],[مانده در خط سررسید شده (کیلوگرم)]]&lt;&gt;0,Main[[#This Row],[تعداد کل روزهای بدهکار (روز)]],0)</f>
        <v>0</v>
      </c>
      <c r="AF1252" s="6">
        <f ca="1">Main[[#This Row],[تعداد روزهای بدهکار سررسید شده (روز)]]*Main[[#This Row],[مانده در خط سررسید شده (کیلوگرم)]]</f>
        <v>0</v>
      </c>
    </row>
    <row r="1253" spans="1:32" hidden="1" x14ac:dyDescent="0.35">
      <c r="A1253" s="5">
        <f>ROW()-ROW(INDEX(Main[ردیف],1))+1</f>
        <v>1251</v>
      </c>
      <c r="B1253" s="31">
        <f>SUBTOTAL(2,INDEX(Main[ردیف],1):Main[[#This Row],[ردیف]])</f>
        <v>113</v>
      </c>
      <c r="C1253" s="32" t="s">
        <v>635</v>
      </c>
      <c r="D1253" s="32" t="str">
        <f>_xlfn.CONCAT("14",Main[[#This Row],[تاريخ]])</f>
        <v>1400/05/11</v>
      </c>
      <c r="E1253" s="33">
        <v>44410</v>
      </c>
      <c r="F1253" s="32">
        <v>10084</v>
      </c>
      <c r="G1253" s="5" t="str">
        <f>INDEX(customer[عنوان],MATCH(Main[[#This Row],[کد ردیابی]],customer[کد],0))</f>
        <v xml:space="preserve">سیدحمید کاظمی </v>
      </c>
      <c r="H1253">
        <v>712</v>
      </c>
      <c r="I1253" s="6">
        <f ca="1">-Main[[#This Row],[بدهی تسویه شده (کیلوگرم)]]+Main[[#This Row],[بستانکار (کیلوگرم)]]</f>
        <v>712</v>
      </c>
      <c r="J1253" s="6">
        <f>IF(Main[[#This Row],[مقدار (کیلوگرم)]]&gt;0,Main[[#This Row],[مقدار (کیلوگرم)]],0)</f>
        <v>712</v>
      </c>
      <c r="K1253" s="6">
        <f>-IF(Main[[#This Row],[مقدار (کیلوگرم)]]&lt;0,Main[[#This Row],[مقدار (کیلوگرم)]],0)</f>
        <v>0</v>
      </c>
      <c r="L12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3" s="7">
        <f>-IF(AND(Main[[#This Row],[مقدار (کیلوگرم)]]&lt;0,Main[[#This Row],[تاريخ میلادی]]&gt;44276),Main[[#This Row],[مقدار (کیلوگرم)]],0)</f>
        <v>0</v>
      </c>
      <c r="N1253" s="6">
        <f ca="1">Main[[#This Row],[بدهکار (کیلوگرم)]]-Main[[#This Row],[بدهی تسویه نشده (کیلوگرم)]]</f>
        <v>0</v>
      </c>
      <c r="O1253" s="6">
        <f ca="1">Main[[#This Row],[تفکیک]]</f>
        <v>0</v>
      </c>
      <c r="P1253" s="6">
        <f ca="1">IF(Main[[#This Row],[تاخیر از سررسید]]&gt;0,Main[[#This Row],[بدهی تسویه نشده (کیلوگرم)]],0)</f>
        <v>0</v>
      </c>
      <c r="Q1253" s="6">
        <f ca="1">IF(Main[[#This Row],[بدهی تسویه نشده (کیلوگرم)]]&gt;0,'گزارش فردی'!$B$7-Main[[#This Row],[تاريخ میلادی]],0)</f>
        <v>0</v>
      </c>
      <c r="R1253" s="6">
        <f ca="1">IF(Main[[#This Row],[بدهی تسویه نشده (کیلوگرم)]]&gt;0,'گزارش فردی'!$B$7-Main[[#This Row],[تاريخ میلادی]]-'گزارش فردی'!$B$8,0)</f>
        <v>0</v>
      </c>
      <c r="S1253" s="6">
        <f ca="1">Main[[#This Row],[روز از ارسال سفارش]]*Main[[#This Row],[بدهی تسویه نشده (کیلوگرم)]]</f>
        <v>0</v>
      </c>
      <c r="T1253" s="6">
        <f ca="1">Main[[#This Row],[بدهی سررسید شده (کیلوگرم)]]*Main[[#This Row],[روز از ارسال سفارش]]</f>
        <v>0</v>
      </c>
      <c r="U1253" s="6">
        <f>-SUBTOTAL(9,INDEX(Main[مقدار (کیلوگرم)],1):Main[[#This Row],[مقدار (کیلوگرم)]])</f>
        <v>38517</v>
      </c>
      <c r="V12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3" s="6">
        <f>Main[[#This Row],[تعداد کل روزهای بدهکار (روز)]]*Main[[#This Row],[مانده در خط کل (کیلوگرم)]]</f>
        <v>38517</v>
      </c>
      <c r="X1253" s="6">
        <f ca="1">-SUBTOTAL(9,INDEX(Main[مقدار تسویه شده (کیلوگرم)],1):Main[[#This Row],[مقدار تسویه شده (کیلوگرم)]])</f>
        <v>38517</v>
      </c>
      <c r="Y1253" s="6">
        <f ca="1">IF(Main[[#This Row],[مانده در خط تسویه شده (کیلوگرم)]]&lt;&gt;0,Main[[#This Row],[تعداد کل روزهای بدهکار (روز)]],0)</f>
        <v>1</v>
      </c>
      <c r="Z1253" s="6">
        <f ca="1">Main[[#This Row],[تعداد روزهای بدهکار تسویه شده (روز)]]*Main[[#This Row],[مانده در خط تسویه شده (کیلوگرم)]]</f>
        <v>38517</v>
      </c>
      <c r="AA1253" s="6">
        <f ca="1">SUBTOTAL(9,INDEX(Main[بدهی تسویه نشده (کیلوگرم)],1):Main[[#This Row],[بدهی تسویه نشده (کیلوگرم)]])</f>
        <v>0</v>
      </c>
      <c r="AB1253" s="6">
        <f ca="1">IF(Main[[#This Row],[مانده در خط تسویه نشده (کیلوگرم)]]&lt;&gt;0,Main[[#This Row],[تعداد کل روزهای بدهکار (روز)]],0)</f>
        <v>0</v>
      </c>
      <c r="AC1253" s="6">
        <f ca="1">Main[[#This Row],[تعداد روزهای بدهکار  تسویه نشده (روز)]]*Main[[#This Row],[مانده در خط تسویه نشده (کیلوگرم)]]</f>
        <v>0</v>
      </c>
      <c r="AD1253" s="6">
        <f ca="1">SUBTOTAL(9,INDEX(Main[بدهی سررسید شده (کیلوگرم)],1):Main[[#This Row],[بدهی سررسید شده (کیلوگرم)]])</f>
        <v>0</v>
      </c>
      <c r="AE1253" s="6">
        <f ca="1">IF(Main[[#This Row],[مانده در خط سررسید شده (کیلوگرم)]]&lt;&gt;0,Main[[#This Row],[تعداد کل روزهای بدهکار (روز)]],0)</f>
        <v>0</v>
      </c>
      <c r="AF1253" s="6">
        <f ca="1">Main[[#This Row],[تعداد روزهای بدهکار سررسید شده (روز)]]*Main[[#This Row],[مانده در خط سررسید شده (کیلوگرم)]]</f>
        <v>0</v>
      </c>
    </row>
    <row r="1254" spans="1:32" hidden="1" x14ac:dyDescent="0.35">
      <c r="A1254" s="5">
        <f>ROW()-ROW(INDEX(Main[ردیف],1))+1</f>
        <v>1252</v>
      </c>
      <c r="B1254" s="31">
        <f>SUBTOTAL(2,INDEX(Main[ردیف],1):Main[[#This Row],[ردیف]])</f>
        <v>113</v>
      </c>
      <c r="C1254" s="32" t="s">
        <v>635</v>
      </c>
      <c r="D1254" s="32" t="str">
        <f>_xlfn.CONCAT("14",Main[[#This Row],[تاريخ]])</f>
        <v>1400/05/11</v>
      </c>
      <c r="E1254" s="33">
        <v>44410</v>
      </c>
      <c r="F1254" s="32">
        <v>10055</v>
      </c>
      <c r="G1254" s="5" t="str">
        <f>INDEX(customer[عنوان],MATCH(Main[[#This Row],[کد ردیابی]],customer[کد],0))</f>
        <v xml:space="preserve">مریم فیض آبادی  </v>
      </c>
      <c r="H1254">
        <v>-5134</v>
      </c>
      <c r="I1254" s="6">
        <f ca="1">-Main[[#This Row],[بدهی تسویه شده (کیلوگرم)]]+Main[[#This Row],[بستانکار (کیلوگرم)]]</f>
        <v>-5134</v>
      </c>
      <c r="J1254" s="6">
        <f>IF(Main[[#This Row],[مقدار (کیلوگرم)]]&gt;0,Main[[#This Row],[مقدار (کیلوگرم)]],0)</f>
        <v>0</v>
      </c>
      <c r="K1254" s="6">
        <f>-IF(Main[[#This Row],[مقدار (کیلوگرم)]]&lt;0,Main[[#This Row],[مقدار (کیلوگرم)]],0)</f>
        <v>5134</v>
      </c>
      <c r="L12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4" s="7">
        <f>-IF(AND(Main[[#This Row],[مقدار (کیلوگرم)]]&lt;0,Main[[#This Row],[تاريخ میلادی]]&gt;44276),Main[[#This Row],[مقدار (کیلوگرم)]],0)</f>
        <v>5134</v>
      </c>
      <c r="N1254" s="6">
        <f ca="1">Main[[#This Row],[بدهکار (کیلوگرم)]]-Main[[#This Row],[بدهی تسویه نشده (کیلوگرم)]]</f>
        <v>5134</v>
      </c>
      <c r="O1254" s="6">
        <f ca="1">Main[[#This Row],[تفکیک]]</f>
        <v>0</v>
      </c>
      <c r="P1254" s="6">
        <f ca="1">IF(Main[[#This Row],[تاخیر از سررسید]]&gt;0,Main[[#This Row],[بدهی تسویه نشده (کیلوگرم)]],0)</f>
        <v>0</v>
      </c>
      <c r="Q1254" s="6">
        <f ca="1">IF(Main[[#This Row],[بدهی تسویه نشده (کیلوگرم)]]&gt;0,'گزارش فردی'!$B$7-Main[[#This Row],[تاريخ میلادی]],0)</f>
        <v>0</v>
      </c>
      <c r="R1254" s="6">
        <f ca="1">IF(Main[[#This Row],[بدهی تسویه نشده (کیلوگرم)]]&gt;0,'گزارش فردی'!$B$7-Main[[#This Row],[تاريخ میلادی]]-'گزارش فردی'!$B$8,0)</f>
        <v>0</v>
      </c>
      <c r="S1254" s="6">
        <f ca="1">Main[[#This Row],[روز از ارسال سفارش]]*Main[[#This Row],[بدهی تسویه نشده (کیلوگرم)]]</f>
        <v>0</v>
      </c>
      <c r="T1254" s="6">
        <f ca="1">Main[[#This Row],[بدهی سررسید شده (کیلوگرم)]]*Main[[#This Row],[روز از ارسال سفارش]]</f>
        <v>0</v>
      </c>
      <c r="U1254" s="6">
        <f>-SUBTOTAL(9,INDEX(Main[مقدار (کیلوگرم)],1):Main[[#This Row],[مقدار (کیلوگرم)]])</f>
        <v>38517</v>
      </c>
      <c r="V12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4" s="6">
        <f>Main[[#This Row],[تعداد کل روزهای بدهکار (روز)]]*Main[[#This Row],[مانده در خط کل (کیلوگرم)]]</f>
        <v>38517</v>
      </c>
      <c r="X1254" s="6">
        <f ca="1">-SUBTOTAL(9,INDEX(Main[مقدار تسویه شده (کیلوگرم)],1):Main[[#This Row],[مقدار تسویه شده (کیلوگرم)]])</f>
        <v>38517</v>
      </c>
      <c r="Y1254" s="6">
        <f ca="1">IF(Main[[#This Row],[مانده در خط تسویه شده (کیلوگرم)]]&lt;&gt;0,Main[[#This Row],[تعداد کل روزهای بدهکار (روز)]],0)</f>
        <v>1</v>
      </c>
      <c r="Z1254" s="6">
        <f ca="1">Main[[#This Row],[تعداد روزهای بدهکار تسویه شده (روز)]]*Main[[#This Row],[مانده در خط تسویه شده (کیلوگرم)]]</f>
        <v>38517</v>
      </c>
      <c r="AA1254" s="6">
        <f ca="1">SUBTOTAL(9,INDEX(Main[بدهی تسویه نشده (کیلوگرم)],1):Main[[#This Row],[بدهی تسویه نشده (کیلوگرم)]])</f>
        <v>0</v>
      </c>
      <c r="AB1254" s="6">
        <f ca="1">IF(Main[[#This Row],[مانده در خط تسویه نشده (کیلوگرم)]]&lt;&gt;0,Main[[#This Row],[تعداد کل روزهای بدهکار (روز)]],0)</f>
        <v>0</v>
      </c>
      <c r="AC1254" s="6">
        <f ca="1">Main[[#This Row],[تعداد روزهای بدهکار  تسویه نشده (روز)]]*Main[[#This Row],[مانده در خط تسویه نشده (کیلوگرم)]]</f>
        <v>0</v>
      </c>
      <c r="AD1254" s="6">
        <f ca="1">SUBTOTAL(9,INDEX(Main[بدهی سررسید شده (کیلوگرم)],1):Main[[#This Row],[بدهی سررسید شده (کیلوگرم)]])</f>
        <v>0</v>
      </c>
      <c r="AE1254" s="6">
        <f ca="1">IF(Main[[#This Row],[مانده در خط سررسید شده (کیلوگرم)]]&lt;&gt;0,Main[[#This Row],[تعداد کل روزهای بدهکار (روز)]],0)</f>
        <v>0</v>
      </c>
      <c r="AF1254" s="6">
        <f ca="1">Main[[#This Row],[تعداد روزهای بدهکار سررسید شده (روز)]]*Main[[#This Row],[مانده در خط سررسید شده (کیلوگرم)]]</f>
        <v>0</v>
      </c>
    </row>
    <row r="1255" spans="1:32" hidden="1" x14ac:dyDescent="0.35">
      <c r="A1255" s="5">
        <f>ROW()-ROW(INDEX(Main[ردیف],1))+1</f>
        <v>1253</v>
      </c>
      <c r="B1255" s="31">
        <f>SUBTOTAL(2,INDEX(Main[ردیف],1):Main[[#This Row],[ردیف]])</f>
        <v>113</v>
      </c>
      <c r="C1255" s="32" t="s">
        <v>635</v>
      </c>
      <c r="D1255" s="32" t="str">
        <f>_xlfn.CONCAT("14",Main[[#This Row],[تاريخ]])</f>
        <v>1400/05/11</v>
      </c>
      <c r="E1255" s="33">
        <v>44410</v>
      </c>
      <c r="F1255" s="32">
        <v>30018</v>
      </c>
      <c r="G1255" s="5" t="str">
        <f>INDEX(customer[عنوان],MATCH(Main[[#This Row],[کد ردیابی]],customer[کد],0))</f>
        <v xml:space="preserve">تولیدی شیر سازی غریب پویا </v>
      </c>
      <c r="H1255">
        <v>138</v>
      </c>
      <c r="I1255" s="6">
        <f ca="1">-Main[[#This Row],[بدهی تسویه شده (کیلوگرم)]]+Main[[#This Row],[بستانکار (کیلوگرم)]]</f>
        <v>138</v>
      </c>
      <c r="J1255" s="6">
        <f>IF(Main[[#This Row],[مقدار (کیلوگرم)]]&gt;0,Main[[#This Row],[مقدار (کیلوگرم)]],0)</f>
        <v>138</v>
      </c>
      <c r="K1255" s="6">
        <f>-IF(Main[[#This Row],[مقدار (کیلوگرم)]]&lt;0,Main[[#This Row],[مقدار (کیلوگرم)]],0)</f>
        <v>0</v>
      </c>
      <c r="L12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5" s="7">
        <f>-IF(AND(Main[[#This Row],[مقدار (کیلوگرم)]]&lt;0,Main[[#This Row],[تاريخ میلادی]]&gt;44276),Main[[#This Row],[مقدار (کیلوگرم)]],0)</f>
        <v>0</v>
      </c>
      <c r="N1255" s="6">
        <f ca="1">Main[[#This Row],[بدهکار (کیلوگرم)]]-Main[[#This Row],[بدهی تسویه نشده (کیلوگرم)]]</f>
        <v>0</v>
      </c>
      <c r="O1255" s="6">
        <f ca="1">Main[[#This Row],[تفکیک]]</f>
        <v>0</v>
      </c>
      <c r="P1255" s="6">
        <f ca="1">IF(Main[[#This Row],[تاخیر از سررسید]]&gt;0,Main[[#This Row],[بدهی تسویه نشده (کیلوگرم)]],0)</f>
        <v>0</v>
      </c>
      <c r="Q1255" s="6">
        <f ca="1">IF(Main[[#This Row],[بدهی تسویه نشده (کیلوگرم)]]&gt;0,'گزارش فردی'!$B$7-Main[[#This Row],[تاريخ میلادی]],0)</f>
        <v>0</v>
      </c>
      <c r="R1255" s="6">
        <f ca="1">IF(Main[[#This Row],[بدهی تسویه نشده (کیلوگرم)]]&gt;0,'گزارش فردی'!$B$7-Main[[#This Row],[تاريخ میلادی]]-'گزارش فردی'!$B$8,0)</f>
        <v>0</v>
      </c>
      <c r="S1255" s="6">
        <f ca="1">Main[[#This Row],[روز از ارسال سفارش]]*Main[[#This Row],[بدهی تسویه نشده (کیلوگرم)]]</f>
        <v>0</v>
      </c>
      <c r="T1255" s="6">
        <f ca="1">Main[[#This Row],[بدهی سررسید شده (کیلوگرم)]]*Main[[#This Row],[روز از ارسال سفارش]]</f>
        <v>0</v>
      </c>
      <c r="U1255" s="6">
        <f>-SUBTOTAL(9,INDEX(Main[مقدار (کیلوگرم)],1):Main[[#This Row],[مقدار (کیلوگرم)]])</f>
        <v>38517</v>
      </c>
      <c r="V12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5" s="6">
        <f>Main[[#This Row],[تعداد کل روزهای بدهکار (روز)]]*Main[[#This Row],[مانده در خط کل (کیلوگرم)]]</f>
        <v>38517</v>
      </c>
      <c r="X1255" s="6">
        <f ca="1">-SUBTOTAL(9,INDEX(Main[مقدار تسویه شده (کیلوگرم)],1):Main[[#This Row],[مقدار تسویه شده (کیلوگرم)]])</f>
        <v>38517</v>
      </c>
      <c r="Y1255" s="6">
        <f ca="1">IF(Main[[#This Row],[مانده در خط تسویه شده (کیلوگرم)]]&lt;&gt;0,Main[[#This Row],[تعداد کل روزهای بدهکار (روز)]],0)</f>
        <v>1</v>
      </c>
      <c r="Z1255" s="6">
        <f ca="1">Main[[#This Row],[تعداد روزهای بدهکار تسویه شده (روز)]]*Main[[#This Row],[مانده در خط تسویه شده (کیلوگرم)]]</f>
        <v>38517</v>
      </c>
      <c r="AA1255" s="6">
        <f ca="1">SUBTOTAL(9,INDEX(Main[بدهی تسویه نشده (کیلوگرم)],1):Main[[#This Row],[بدهی تسویه نشده (کیلوگرم)]])</f>
        <v>0</v>
      </c>
      <c r="AB1255" s="6">
        <f ca="1">IF(Main[[#This Row],[مانده در خط تسویه نشده (کیلوگرم)]]&lt;&gt;0,Main[[#This Row],[تعداد کل روزهای بدهکار (روز)]],0)</f>
        <v>0</v>
      </c>
      <c r="AC1255" s="6">
        <f ca="1">Main[[#This Row],[تعداد روزهای بدهکار  تسویه نشده (روز)]]*Main[[#This Row],[مانده در خط تسویه نشده (کیلوگرم)]]</f>
        <v>0</v>
      </c>
      <c r="AD1255" s="6">
        <f ca="1">SUBTOTAL(9,INDEX(Main[بدهی سررسید شده (کیلوگرم)],1):Main[[#This Row],[بدهی سررسید شده (کیلوگرم)]])</f>
        <v>0</v>
      </c>
      <c r="AE1255" s="6">
        <f ca="1">IF(Main[[#This Row],[مانده در خط سررسید شده (کیلوگرم)]]&lt;&gt;0,Main[[#This Row],[تعداد کل روزهای بدهکار (روز)]],0)</f>
        <v>0</v>
      </c>
      <c r="AF1255" s="6">
        <f ca="1">Main[[#This Row],[تعداد روزهای بدهکار سررسید شده (روز)]]*Main[[#This Row],[مانده در خط سررسید شده (کیلوگرم)]]</f>
        <v>0</v>
      </c>
    </row>
    <row r="1256" spans="1:32" hidden="1" x14ac:dyDescent="0.35">
      <c r="A1256" s="5">
        <f>ROW()-ROW(INDEX(Main[ردیف],1))+1</f>
        <v>1254</v>
      </c>
      <c r="B1256" s="31">
        <f>SUBTOTAL(2,INDEX(Main[ردیف],1):Main[[#This Row],[ردیف]])</f>
        <v>113</v>
      </c>
      <c r="C1256" s="32" t="s">
        <v>636</v>
      </c>
      <c r="D1256" s="32" t="str">
        <f>_xlfn.CONCAT("14",Main[[#This Row],[تاريخ]])</f>
        <v>1400/05/12</v>
      </c>
      <c r="E1256" s="33">
        <v>44411</v>
      </c>
      <c r="F1256" s="32">
        <v>30004</v>
      </c>
      <c r="G1256" s="5" t="str">
        <f>INDEX(customer[عنوان],MATCH(Main[[#This Row],[کد ردیابی]],customer[کد],0))</f>
        <v>تولیدی صنعتی صفاشیر پارس</v>
      </c>
      <c r="H1256">
        <v>-2640</v>
      </c>
      <c r="I1256" s="6">
        <f ca="1">-Main[[#This Row],[بدهی تسویه شده (کیلوگرم)]]+Main[[#This Row],[بستانکار (کیلوگرم)]]</f>
        <v>-2640</v>
      </c>
      <c r="J1256" s="6">
        <f>IF(Main[[#This Row],[مقدار (کیلوگرم)]]&gt;0,Main[[#This Row],[مقدار (کیلوگرم)]],0)</f>
        <v>0</v>
      </c>
      <c r="K1256" s="6">
        <f>-IF(Main[[#This Row],[مقدار (کیلوگرم)]]&lt;0,Main[[#This Row],[مقدار (کیلوگرم)]],0)</f>
        <v>2640</v>
      </c>
      <c r="L12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6" s="7">
        <f>-IF(AND(Main[[#This Row],[مقدار (کیلوگرم)]]&lt;0,Main[[#This Row],[تاريخ میلادی]]&gt;44276),Main[[#This Row],[مقدار (کیلوگرم)]],0)</f>
        <v>2640</v>
      </c>
      <c r="N1256" s="6">
        <f ca="1">Main[[#This Row],[بدهکار (کیلوگرم)]]-Main[[#This Row],[بدهی تسویه نشده (کیلوگرم)]]</f>
        <v>2640</v>
      </c>
      <c r="O1256" s="6">
        <f ca="1">Main[[#This Row],[تفکیک]]</f>
        <v>0</v>
      </c>
      <c r="P1256" s="6">
        <f ca="1">IF(Main[[#This Row],[تاخیر از سررسید]]&gt;0,Main[[#This Row],[بدهی تسویه نشده (کیلوگرم)]],0)</f>
        <v>0</v>
      </c>
      <c r="Q1256" s="6">
        <f ca="1">IF(Main[[#This Row],[بدهی تسویه نشده (کیلوگرم)]]&gt;0,'گزارش فردی'!$B$7-Main[[#This Row],[تاريخ میلادی]],0)</f>
        <v>0</v>
      </c>
      <c r="R1256" s="6">
        <f ca="1">IF(Main[[#This Row],[بدهی تسویه نشده (کیلوگرم)]]&gt;0,'گزارش فردی'!$B$7-Main[[#This Row],[تاريخ میلادی]]-'گزارش فردی'!$B$8,0)</f>
        <v>0</v>
      </c>
      <c r="S1256" s="6">
        <f ca="1">Main[[#This Row],[روز از ارسال سفارش]]*Main[[#This Row],[بدهی تسویه نشده (کیلوگرم)]]</f>
        <v>0</v>
      </c>
      <c r="T1256" s="6">
        <f ca="1">Main[[#This Row],[بدهی سررسید شده (کیلوگرم)]]*Main[[#This Row],[روز از ارسال سفارش]]</f>
        <v>0</v>
      </c>
      <c r="U1256" s="6">
        <f>-SUBTOTAL(9,INDEX(Main[مقدار (کیلوگرم)],1):Main[[#This Row],[مقدار (کیلوگرم)]])</f>
        <v>38517</v>
      </c>
      <c r="V12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6" s="6">
        <f>Main[[#This Row],[تعداد کل روزهای بدهکار (روز)]]*Main[[#This Row],[مانده در خط کل (کیلوگرم)]]</f>
        <v>0</v>
      </c>
      <c r="X1256" s="6">
        <f ca="1">-SUBTOTAL(9,INDEX(Main[مقدار تسویه شده (کیلوگرم)],1):Main[[#This Row],[مقدار تسویه شده (کیلوگرم)]])</f>
        <v>38517</v>
      </c>
      <c r="Y1256" s="6">
        <f ca="1">IF(Main[[#This Row],[مانده در خط تسویه شده (کیلوگرم)]]&lt;&gt;0,Main[[#This Row],[تعداد کل روزهای بدهکار (روز)]],0)</f>
        <v>0</v>
      </c>
      <c r="Z1256" s="6">
        <f ca="1">Main[[#This Row],[تعداد روزهای بدهکار تسویه شده (روز)]]*Main[[#This Row],[مانده در خط تسویه شده (کیلوگرم)]]</f>
        <v>0</v>
      </c>
      <c r="AA1256" s="6">
        <f ca="1">SUBTOTAL(9,INDEX(Main[بدهی تسویه نشده (کیلوگرم)],1):Main[[#This Row],[بدهی تسویه نشده (کیلوگرم)]])</f>
        <v>0</v>
      </c>
      <c r="AB1256" s="6">
        <f ca="1">IF(Main[[#This Row],[مانده در خط تسویه نشده (کیلوگرم)]]&lt;&gt;0,Main[[#This Row],[تعداد کل روزهای بدهکار (روز)]],0)</f>
        <v>0</v>
      </c>
      <c r="AC1256" s="6">
        <f ca="1">Main[[#This Row],[تعداد روزهای بدهکار  تسویه نشده (روز)]]*Main[[#This Row],[مانده در خط تسویه نشده (کیلوگرم)]]</f>
        <v>0</v>
      </c>
      <c r="AD1256" s="6">
        <f ca="1">SUBTOTAL(9,INDEX(Main[بدهی سررسید شده (کیلوگرم)],1):Main[[#This Row],[بدهی سررسید شده (کیلوگرم)]])</f>
        <v>0</v>
      </c>
      <c r="AE1256" s="6">
        <f ca="1">IF(Main[[#This Row],[مانده در خط سررسید شده (کیلوگرم)]]&lt;&gt;0,Main[[#This Row],[تعداد کل روزهای بدهکار (روز)]],0)</f>
        <v>0</v>
      </c>
      <c r="AF1256" s="6">
        <f ca="1">Main[[#This Row],[تعداد روزهای بدهکار سررسید شده (روز)]]*Main[[#This Row],[مانده در خط سررسید شده (کیلوگرم)]]</f>
        <v>0</v>
      </c>
    </row>
    <row r="1257" spans="1:32" hidden="1" x14ac:dyDescent="0.35">
      <c r="A1257" s="5">
        <f>ROW()-ROW(INDEX(Main[ردیف],1))+1</f>
        <v>1255</v>
      </c>
      <c r="B1257" s="31">
        <f>SUBTOTAL(2,INDEX(Main[ردیف],1):Main[[#This Row],[ردیف]])</f>
        <v>113</v>
      </c>
      <c r="C1257" s="32" t="s">
        <v>636</v>
      </c>
      <c r="D1257" s="32" t="str">
        <f>_xlfn.CONCAT("14",Main[[#This Row],[تاريخ]])</f>
        <v>1400/05/12</v>
      </c>
      <c r="E1257" s="33">
        <v>44411</v>
      </c>
      <c r="F1257" s="32">
        <v>30004</v>
      </c>
      <c r="G1257" s="5" t="str">
        <f>INDEX(customer[عنوان],MATCH(Main[[#This Row],[کد ردیابی]],customer[کد],0))</f>
        <v>تولیدی صنعتی صفاشیر پارس</v>
      </c>
      <c r="H1257">
        <v>1652</v>
      </c>
      <c r="I1257" s="6">
        <f ca="1">-Main[[#This Row],[بدهی تسویه شده (کیلوگرم)]]+Main[[#This Row],[بستانکار (کیلوگرم)]]</f>
        <v>1652</v>
      </c>
      <c r="J1257" s="6">
        <f>IF(Main[[#This Row],[مقدار (کیلوگرم)]]&gt;0,Main[[#This Row],[مقدار (کیلوگرم)]],0)</f>
        <v>1652</v>
      </c>
      <c r="K1257" s="6">
        <f>-IF(Main[[#This Row],[مقدار (کیلوگرم)]]&lt;0,Main[[#This Row],[مقدار (کیلوگرم)]],0)</f>
        <v>0</v>
      </c>
      <c r="L12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7" s="7">
        <f>-IF(AND(Main[[#This Row],[مقدار (کیلوگرم)]]&lt;0,Main[[#This Row],[تاريخ میلادی]]&gt;44276),Main[[#This Row],[مقدار (کیلوگرم)]],0)</f>
        <v>0</v>
      </c>
      <c r="N1257" s="6">
        <f ca="1">Main[[#This Row],[بدهکار (کیلوگرم)]]-Main[[#This Row],[بدهی تسویه نشده (کیلوگرم)]]</f>
        <v>0</v>
      </c>
      <c r="O1257" s="6">
        <f ca="1">Main[[#This Row],[تفکیک]]</f>
        <v>0</v>
      </c>
      <c r="P1257" s="6">
        <f ca="1">IF(Main[[#This Row],[تاخیر از سررسید]]&gt;0,Main[[#This Row],[بدهی تسویه نشده (کیلوگرم)]],0)</f>
        <v>0</v>
      </c>
      <c r="Q1257" s="6">
        <f ca="1">IF(Main[[#This Row],[بدهی تسویه نشده (کیلوگرم)]]&gt;0,'گزارش فردی'!$B$7-Main[[#This Row],[تاريخ میلادی]],0)</f>
        <v>0</v>
      </c>
      <c r="R1257" s="6">
        <f ca="1">IF(Main[[#This Row],[بدهی تسویه نشده (کیلوگرم)]]&gt;0,'گزارش فردی'!$B$7-Main[[#This Row],[تاريخ میلادی]]-'گزارش فردی'!$B$8,0)</f>
        <v>0</v>
      </c>
      <c r="S1257" s="6">
        <f ca="1">Main[[#This Row],[روز از ارسال سفارش]]*Main[[#This Row],[بدهی تسویه نشده (کیلوگرم)]]</f>
        <v>0</v>
      </c>
      <c r="T1257" s="6">
        <f ca="1">Main[[#This Row],[بدهی سررسید شده (کیلوگرم)]]*Main[[#This Row],[روز از ارسال سفارش]]</f>
        <v>0</v>
      </c>
      <c r="U1257" s="6">
        <f>-SUBTOTAL(9,INDEX(Main[مقدار (کیلوگرم)],1):Main[[#This Row],[مقدار (کیلوگرم)]])</f>
        <v>38517</v>
      </c>
      <c r="V12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7" s="6">
        <f>Main[[#This Row],[تعداد کل روزهای بدهکار (روز)]]*Main[[#This Row],[مانده در خط کل (کیلوگرم)]]</f>
        <v>0</v>
      </c>
      <c r="X1257" s="6">
        <f ca="1">-SUBTOTAL(9,INDEX(Main[مقدار تسویه شده (کیلوگرم)],1):Main[[#This Row],[مقدار تسویه شده (کیلوگرم)]])</f>
        <v>38517</v>
      </c>
      <c r="Y1257" s="6">
        <f ca="1">IF(Main[[#This Row],[مانده در خط تسویه شده (کیلوگرم)]]&lt;&gt;0,Main[[#This Row],[تعداد کل روزهای بدهکار (روز)]],0)</f>
        <v>0</v>
      </c>
      <c r="Z1257" s="6">
        <f ca="1">Main[[#This Row],[تعداد روزهای بدهکار تسویه شده (روز)]]*Main[[#This Row],[مانده در خط تسویه شده (کیلوگرم)]]</f>
        <v>0</v>
      </c>
      <c r="AA1257" s="6">
        <f ca="1">SUBTOTAL(9,INDEX(Main[بدهی تسویه نشده (کیلوگرم)],1):Main[[#This Row],[بدهی تسویه نشده (کیلوگرم)]])</f>
        <v>0</v>
      </c>
      <c r="AB1257" s="6">
        <f ca="1">IF(Main[[#This Row],[مانده در خط تسویه نشده (کیلوگرم)]]&lt;&gt;0,Main[[#This Row],[تعداد کل روزهای بدهکار (روز)]],0)</f>
        <v>0</v>
      </c>
      <c r="AC1257" s="6">
        <f ca="1">Main[[#This Row],[تعداد روزهای بدهکار  تسویه نشده (روز)]]*Main[[#This Row],[مانده در خط تسویه نشده (کیلوگرم)]]</f>
        <v>0</v>
      </c>
      <c r="AD1257" s="6">
        <f ca="1">SUBTOTAL(9,INDEX(Main[بدهی سررسید شده (کیلوگرم)],1):Main[[#This Row],[بدهی سررسید شده (کیلوگرم)]])</f>
        <v>0</v>
      </c>
      <c r="AE1257" s="6">
        <f ca="1">IF(Main[[#This Row],[مانده در خط سررسید شده (کیلوگرم)]]&lt;&gt;0,Main[[#This Row],[تعداد کل روزهای بدهکار (روز)]],0)</f>
        <v>0</v>
      </c>
      <c r="AF1257" s="6">
        <f ca="1">Main[[#This Row],[تعداد روزهای بدهکار سررسید شده (روز)]]*Main[[#This Row],[مانده در خط سررسید شده (کیلوگرم)]]</f>
        <v>0</v>
      </c>
    </row>
    <row r="1258" spans="1:32" hidden="1" x14ac:dyDescent="0.35">
      <c r="A1258" s="5">
        <f>ROW()-ROW(INDEX(Main[ردیف],1))+1</f>
        <v>1256</v>
      </c>
      <c r="B1258" s="31">
        <f>SUBTOTAL(2,INDEX(Main[ردیف],1):Main[[#This Row],[ردیف]])</f>
        <v>113</v>
      </c>
      <c r="C1258" s="32" t="s">
        <v>636</v>
      </c>
      <c r="D1258" s="32" t="str">
        <f>_xlfn.CONCAT("14",Main[[#This Row],[تاريخ]])</f>
        <v>1400/05/12</v>
      </c>
      <c r="E1258" s="33">
        <v>44411</v>
      </c>
      <c r="F1258" s="32">
        <v>30003</v>
      </c>
      <c r="G1258" s="5" t="str">
        <f>INDEX(customer[عنوان],MATCH(Main[[#This Row],[کد ردیابی]],customer[کد],0))</f>
        <v xml:space="preserve">شهاب گاز سوز </v>
      </c>
      <c r="H1258">
        <v>-2096</v>
      </c>
      <c r="I1258" s="6">
        <f ca="1">-Main[[#This Row],[بدهی تسویه شده (کیلوگرم)]]+Main[[#This Row],[بستانکار (کیلوگرم)]]</f>
        <v>-2096</v>
      </c>
      <c r="J1258" s="6">
        <f>IF(Main[[#This Row],[مقدار (کیلوگرم)]]&gt;0,Main[[#This Row],[مقدار (کیلوگرم)]],0)</f>
        <v>0</v>
      </c>
      <c r="K1258" s="6">
        <f>-IF(Main[[#This Row],[مقدار (کیلوگرم)]]&lt;0,Main[[#This Row],[مقدار (کیلوگرم)]],0)</f>
        <v>2096</v>
      </c>
      <c r="L12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8" s="7">
        <f>-IF(AND(Main[[#This Row],[مقدار (کیلوگرم)]]&lt;0,Main[[#This Row],[تاريخ میلادی]]&gt;44276),Main[[#This Row],[مقدار (کیلوگرم)]],0)</f>
        <v>2096</v>
      </c>
      <c r="N1258" s="6">
        <f ca="1">Main[[#This Row],[بدهکار (کیلوگرم)]]-Main[[#This Row],[بدهی تسویه نشده (کیلوگرم)]]</f>
        <v>2096</v>
      </c>
      <c r="O1258" s="6">
        <f ca="1">Main[[#This Row],[تفکیک]]</f>
        <v>0</v>
      </c>
      <c r="P1258" s="6">
        <f ca="1">IF(Main[[#This Row],[تاخیر از سررسید]]&gt;0,Main[[#This Row],[بدهی تسویه نشده (کیلوگرم)]],0)</f>
        <v>0</v>
      </c>
      <c r="Q1258" s="6">
        <f ca="1">IF(Main[[#This Row],[بدهی تسویه نشده (کیلوگرم)]]&gt;0,'گزارش فردی'!$B$7-Main[[#This Row],[تاريخ میلادی]],0)</f>
        <v>0</v>
      </c>
      <c r="R1258" s="6">
        <f ca="1">IF(Main[[#This Row],[بدهی تسویه نشده (کیلوگرم)]]&gt;0,'گزارش فردی'!$B$7-Main[[#This Row],[تاريخ میلادی]]-'گزارش فردی'!$B$8,0)</f>
        <v>0</v>
      </c>
      <c r="S1258" s="6">
        <f ca="1">Main[[#This Row],[روز از ارسال سفارش]]*Main[[#This Row],[بدهی تسویه نشده (کیلوگرم)]]</f>
        <v>0</v>
      </c>
      <c r="T1258" s="6">
        <f ca="1">Main[[#This Row],[بدهی سررسید شده (کیلوگرم)]]*Main[[#This Row],[روز از ارسال سفارش]]</f>
        <v>0</v>
      </c>
      <c r="U1258" s="6">
        <f>-SUBTOTAL(9,INDEX(Main[مقدار (کیلوگرم)],1):Main[[#This Row],[مقدار (کیلوگرم)]])</f>
        <v>38517</v>
      </c>
      <c r="V12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8" s="6">
        <f>Main[[#This Row],[تعداد کل روزهای بدهکار (روز)]]*Main[[#This Row],[مانده در خط کل (کیلوگرم)]]</f>
        <v>0</v>
      </c>
      <c r="X1258" s="6">
        <f ca="1">-SUBTOTAL(9,INDEX(Main[مقدار تسویه شده (کیلوگرم)],1):Main[[#This Row],[مقدار تسویه شده (کیلوگرم)]])</f>
        <v>38517</v>
      </c>
      <c r="Y1258" s="6">
        <f ca="1">IF(Main[[#This Row],[مانده در خط تسویه شده (کیلوگرم)]]&lt;&gt;0,Main[[#This Row],[تعداد کل روزهای بدهکار (روز)]],0)</f>
        <v>0</v>
      </c>
      <c r="Z1258" s="6">
        <f ca="1">Main[[#This Row],[تعداد روزهای بدهکار تسویه شده (روز)]]*Main[[#This Row],[مانده در خط تسویه شده (کیلوگرم)]]</f>
        <v>0</v>
      </c>
      <c r="AA1258" s="6">
        <f ca="1">SUBTOTAL(9,INDEX(Main[بدهی تسویه نشده (کیلوگرم)],1):Main[[#This Row],[بدهی تسویه نشده (کیلوگرم)]])</f>
        <v>0</v>
      </c>
      <c r="AB1258" s="6">
        <f ca="1">IF(Main[[#This Row],[مانده در خط تسویه نشده (کیلوگرم)]]&lt;&gt;0,Main[[#This Row],[تعداد کل روزهای بدهکار (روز)]],0)</f>
        <v>0</v>
      </c>
      <c r="AC1258" s="6">
        <f ca="1">Main[[#This Row],[تعداد روزهای بدهکار  تسویه نشده (روز)]]*Main[[#This Row],[مانده در خط تسویه نشده (کیلوگرم)]]</f>
        <v>0</v>
      </c>
      <c r="AD1258" s="6">
        <f ca="1">SUBTOTAL(9,INDEX(Main[بدهی سررسید شده (کیلوگرم)],1):Main[[#This Row],[بدهی سررسید شده (کیلوگرم)]])</f>
        <v>0</v>
      </c>
      <c r="AE1258" s="6">
        <f ca="1">IF(Main[[#This Row],[مانده در خط سررسید شده (کیلوگرم)]]&lt;&gt;0,Main[[#This Row],[تعداد کل روزهای بدهکار (روز)]],0)</f>
        <v>0</v>
      </c>
      <c r="AF1258" s="6">
        <f ca="1">Main[[#This Row],[تعداد روزهای بدهکار سررسید شده (روز)]]*Main[[#This Row],[مانده در خط سررسید شده (کیلوگرم)]]</f>
        <v>0</v>
      </c>
    </row>
    <row r="1259" spans="1:32" hidden="1" x14ac:dyDescent="0.35">
      <c r="A1259" s="5">
        <f>ROW()-ROW(INDEX(Main[ردیف],1))+1</f>
        <v>1257</v>
      </c>
      <c r="B1259" s="31">
        <f>SUBTOTAL(2,INDEX(Main[ردیف],1):Main[[#This Row],[ردیف]])</f>
        <v>113</v>
      </c>
      <c r="C1259" s="32" t="s">
        <v>636</v>
      </c>
      <c r="D1259" s="32" t="str">
        <f>_xlfn.CONCAT("14",Main[[#This Row],[تاريخ]])</f>
        <v>1400/05/12</v>
      </c>
      <c r="E1259" s="33">
        <v>44411</v>
      </c>
      <c r="F1259" s="32">
        <v>10055</v>
      </c>
      <c r="G1259" s="5" t="str">
        <f>INDEX(customer[عنوان],MATCH(Main[[#This Row],[کد ردیابی]],customer[کد],0))</f>
        <v xml:space="preserve">مریم فیض آبادی  </v>
      </c>
      <c r="H1259">
        <v>6046</v>
      </c>
      <c r="I1259" s="6">
        <f ca="1">-Main[[#This Row],[بدهی تسویه شده (کیلوگرم)]]+Main[[#This Row],[بستانکار (کیلوگرم)]]</f>
        <v>6046</v>
      </c>
      <c r="J1259" s="6">
        <f>IF(Main[[#This Row],[مقدار (کیلوگرم)]]&gt;0,Main[[#This Row],[مقدار (کیلوگرم)]],0)</f>
        <v>6046</v>
      </c>
      <c r="K1259" s="6">
        <f>-IF(Main[[#This Row],[مقدار (کیلوگرم)]]&lt;0,Main[[#This Row],[مقدار (کیلوگرم)]],0)</f>
        <v>0</v>
      </c>
      <c r="L12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9" s="7">
        <f>-IF(AND(Main[[#This Row],[مقدار (کیلوگرم)]]&lt;0,Main[[#This Row],[تاريخ میلادی]]&gt;44276),Main[[#This Row],[مقدار (کیلوگرم)]],0)</f>
        <v>0</v>
      </c>
      <c r="N1259" s="6">
        <f ca="1">Main[[#This Row],[بدهکار (کیلوگرم)]]-Main[[#This Row],[بدهی تسویه نشده (کیلوگرم)]]</f>
        <v>0</v>
      </c>
      <c r="O1259" s="6">
        <f ca="1">Main[[#This Row],[تفکیک]]</f>
        <v>0</v>
      </c>
      <c r="P1259" s="6">
        <f ca="1">IF(Main[[#This Row],[تاخیر از سررسید]]&gt;0,Main[[#This Row],[بدهی تسویه نشده (کیلوگرم)]],0)</f>
        <v>0</v>
      </c>
      <c r="Q1259" s="6">
        <f ca="1">IF(Main[[#This Row],[بدهی تسویه نشده (کیلوگرم)]]&gt;0,'گزارش فردی'!$B$7-Main[[#This Row],[تاريخ میلادی]],0)</f>
        <v>0</v>
      </c>
      <c r="R1259" s="6">
        <f ca="1">IF(Main[[#This Row],[بدهی تسویه نشده (کیلوگرم)]]&gt;0,'گزارش فردی'!$B$7-Main[[#This Row],[تاريخ میلادی]]-'گزارش فردی'!$B$8,0)</f>
        <v>0</v>
      </c>
      <c r="S1259" s="6">
        <f ca="1">Main[[#This Row],[روز از ارسال سفارش]]*Main[[#This Row],[بدهی تسویه نشده (کیلوگرم)]]</f>
        <v>0</v>
      </c>
      <c r="T1259" s="6">
        <f ca="1">Main[[#This Row],[بدهی سررسید شده (کیلوگرم)]]*Main[[#This Row],[روز از ارسال سفارش]]</f>
        <v>0</v>
      </c>
      <c r="U1259" s="6">
        <f>-SUBTOTAL(9,INDEX(Main[مقدار (کیلوگرم)],1):Main[[#This Row],[مقدار (کیلوگرم)]])</f>
        <v>38517</v>
      </c>
      <c r="V12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9" s="6">
        <f>Main[[#This Row],[تعداد کل روزهای بدهکار (روز)]]*Main[[#This Row],[مانده در خط کل (کیلوگرم)]]</f>
        <v>0</v>
      </c>
      <c r="X1259" s="6">
        <f ca="1">-SUBTOTAL(9,INDEX(Main[مقدار تسویه شده (کیلوگرم)],1):Main[[#This Row],[مقدار تسویه شده (کیلوگرم)]])</f>
        <v>38517</v>
      </c>
      <c r="Y1259" s="6">
        <f ca="1">IF(Main[[#This Row],[مانده در خط تسویه شده (کیلوگرم)]]&lt;&gt;0,Main[[#This Row],[تعداد کل روزهای بدهکار (روز)]],0)</f>
        <v>0</v>
      </c>
      <c r="Z1259" s="6">
        <f ca="1">Main[[#This Row],[تعداد روزهای بدهکار تسویه شده (روز)]]*Main[[#This Row],[مانده در خط تسویه شده (کیلوگرم)]]</f>
        <v>0</v>
      </c>
      <c r="AA1259" s="6">
        <f ca="1">SUBTOTAL(9,INDEX(Main[بدهی تسویه نشده (کیلوگرم)],1):Main[[#This Row],[بدهی تسویه نشده (کیلوگرم)]])</f>
        <v>0</v>
      </c>
      <c r="AB1259" s="6">
        <f ca="1">IF(Main[[#This Row],[مانده در خط تسویه نشده (کیلوگرم)]]&lt;&gt;0,Main[[#This Row],[تعداد کل روزهای بدهکار (روز)]],0)</f>
        <v>0</v>
      </c>
      <c r="AC1259" s="6">
        <f ca="1">Main[[#This Row],[تعداد روزهای بدهکار  تسویه نشده (روز)]]*Main[[#This Row],[مانده در خط تسویه نشده (کیلوگرم)]]</f>
        <v>0</v>
      </c>
      <c r="AD1259" s="6">
        <f ca="1">SUBTOTAL(9,INDEX(Main[بدهی سررسید شده (کیلوگرم)],1):Main[[#This Row],[بدهی سررسید شده (کیلوگرم)]])</f>
        <v>0</v>
      </c>
      <c r="AE1259" s="6">
        <f ca="1">IF(Main[[#This Row],[مانده در خط سررسید شده (کیلوگرم)]]&lt;&gt;0,Main[[#This Row],[تعداد کل روزهای بدهکار (روز)]],0)</f>
        <v>0</v>
      </c>
      <c r="AF1259" s="6">
        <f ca="1">Main[[#This Row],[تعداد روزهای بدهکار سررسید شده (روز)]]*Main[[#This Row],[مانده در خط سررسید شده (کیلوگرم)]]</f>
        <v>0</v>
      </c>
    </row>
    <row r="1260" spans="1:32" x14ac:dyDescent="0.35">
      <c r="A1260" s="5">
        <f>ROW()-ROW(INDEX(Main[ردیف],1))+1</f>
        <v>1258</v>
      </c>
      <c r="B1260" s="31">
        <f>SUBTOTAL(2,INDEX(Main[ردیف],1):Main[[#This Row],[ردیف]])</f>
        <v>114</v>
      </c>
      <c r="C1260" s="32" t="s">
        <v>636</v>
      </c>
      <c r="D1260" s="32" t="str">
        <f>_xlfn.CONCAT("14",Main[[#This Row],[تاريخ]])</f>
        <v>1400/05/12</v>
      </c>
      <c r="E1260" s="33">
        <v>44411</v>
      </c>
      <c r="F1260" s="32">
        <v>10003</v>
      </c>
      <c r="G1260" s="5" t="str">
        <f>INDEX(customer[عنوان],MATCH(Main[[#This Row],[کد ردیابی]],customer[کد],0))</f>
        <v>اصغر نورعلی</v>
      </c>
      <c r="H1260">
        <v>-823</v>
      </c>
      <c r="I1260" s="6">
        <f ca="1">-Main[[#This Row],[بدهی تسویه شده (کیلوگرم)]]+Main[[#This Row],[بستانکار (کیلوگرم)]]</f>
        <v>-823</v>
      </c>
      <c r="J1260" s="6">
        <f>IF(Main[[#This Row],[مقدار (کیلوگرم)]]&gt;0,Main[[#This Row],[مقدار (کیلوگرم)]],0)</f>
        <v>0</v>
      </c>
      <c r="K1260" s="6">
        <f>-IF(Main[[#This Row],[مقدار (کیلوگرم)]]&lt;0,Main[[#This Row],[مقدار (کیلوگرم)]],0)</f>
        <v>823</v>
      </c>
      <c r="L12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0" s="7">
        <f>-IF(AND(Main[[#This Row],[مقدار (کیلوگرم)]]&lt;0,Main[[#This Row],[تاريخ میلادی]]&gt;44276),Main[[#This Row],[مقدار (کیلوگرم)]],0)</f>
        <v>823</v>
      </c>
      <c r="N1260" s="6">
        <f ca="1">Main[[#This Row],[بدهکار (کیلوگرم)]]-Main[[#This Row],[بدهی تسویه نشده (کیلوگرم)]]</f>
        <v>823</v>
      </c>
      <c r="O1260" s="6">
        <f ca="1">Main[[#This Row],[تفکیک]]</f>
        <v>0</v>
      </c>
      <c r="P1260" s="6">
        <f ca="1">IF(Main[[#This Row],[تاخیر از سررسید]]&gt;0,Main[[#This Row],[بدهی تسویه نشده (کیلوگرم)]],0)</f>
        <v>0</v>
      </c>
      <c r="Q1260" s="6">
        <f ca="1">IF(Main[[#This Row],[بدهی تسویه نشده (کیلوگرم)]]&gt;0,'گزارش فردی'!$B$7-Main[[#This Row],[تاريخ میلادی]],0)</f>
        <v>0</v>
      </c>
      <c r="R1260" s="6">
        <f ca="1">IF(Main[[#This Row],[بدهی تسویه نشده (کیلوگرم)]]&gt;0,'گزارش فردی'!$B$7-Main[[#This Row],[تاريخ میلادی]]-'گزارش فردی'!$B$8,0)</f>
        <v>0</v>
      </c>
      <c r="S1260" s="6">
        <f ca="1">Main[[#This Row],[روز از ارسال سفارش]]*Main[[#This Row],[بدهی تسویه نشده (کیلوگرم)]]</f>
        <v>0</v>
      </c>
      <c r="T1260" s="6">
        <f ca="1">Main[[#This Row],[بدهی سررسید شده (کیلوگرم)]]*Main[[#This Row],[روز از ارسال سفارش]]</f>
        <v>0</v>
      </c>
      <c r="U1260" s="6">
        <f>-SUBTOTAL(9,INDEX(Main[مقدار (کیلوگرم)],1):Main[[#This Row],[مقدار (کیلوگرم)]])</f>
        <v>39340</v>
      </c>
      <c r="V12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0" s="6">
        <f>Main[[#This Row],[تعداد کل روزهای بدهکار (روز)]]*Main[[#This Row],[مانده در خط کل (کیلوگرم)]]</f>
        <v>39340</v>
      </c>
      <c r="X1260" s="6">
        <f ca="1">-SUBTOTAL(9,INDEX(Main[مقدار تسویه شده (کیلوگرم)],1):Main[[#This Row],[مقدار تسویه شده (کیلوگرم)]])</f>
        <v>39340</v>
      </c>
      <c r="Y1260" s="6">
        <f ca="1">IF(Main[[#This Row],[مانده در خط تسویه شده (کیلوگرم)]]&lt;&gt;0,Main[[#This Row],[تعداد کل روزهای بدهکار (روز)]],0)</f>
        <v>1</v>
      </c>
      <c r="Z1260" s="6">
        <f ca="1">Main[[#This Row],[تعداد روزهای بدهکار تسویه شده (روز)]]*Main[[#This Row],[مانده در خط تسویه شده (کیلوگرم)]]</f>
        <v>39340</v>
      </c>
      <c r="AA1260" s="6">
        <f ca="1">SUBTOTAL(9,INDEX(Main[بدهی تسویه نشده (کیلوگرم)],1):Main[[#This Row],[بدهی تسویه نشده (کیلوگرم)]])</f>
        <v>0</v>
      </c>
      <c r="AB1260" s="6">
        <f ca="1">IF(Main[[#This Row],[مانده در خط تسویه نشده (کیلوگرم)]]&lt;&gt;0,Main[[#This Row],[تعداد کل روزهای بدهکار (روز)]],0)</f>
        <v>0</v>
      </c>
      <c r="AC1260" s="6">
        <f ca="1">Main[[#This Row],[تعداد روزهای بدهکار  تسویه نشده (روز)]]*Main[[#This Row],[مانده در خط تسویه نشده (کیلوگرم)]]</f>
        <v>0</v>
      </c>
      <c r="AD1260" s="6">
        <f ca="1">SUBTOTAL(9,INDEX(Main[بدهی سررسید شده (کیلوگرم)],1):Main[[#This Row],[بدهی سررسید شده (کیلوگرم)]])</f>
        <v>0</v>
      </c>
      <c r="AE1260" s="6">
        <f ca="1">IF(Main[[#This Row],[مانده در خط سررسید شده (کیلوگرم)]]&lt;&gt;0,Main[[#This Row],[تعداد کل روزهای بدهکار (روز)]],0)</f>
        <v>0</v>
      </c>
      <c r="AF1260" s="6">
        <f ca="1">Main[[#This Row],[تعداد روزهای بدهکار سررسید شده (روز)]]*Main[[#This Row],[مانده در خط سررسید شده (کیلوگرم)]]</f>
        <v>0</v>
      </c>
    </row>
    <row r="1261" spans="1:32" hidden="1" x14ac:dyDescent="0.35">
      <c r="A1261" s="5">
        <f>ROW()-ROW(INDEX(Main[ردیف],1))+1</f>
        <v>1259</v>
      </c>
      <c r="B1261" s="31">
        <f>SUBTOTAL(2,INDEX(Main[ردیف],1):Main[[#This Row],[ردیف]])</f>
        <v>114</v>
      </c>
      <c r="C1261" s="32" t="s">
        <v>636</v>
      </c>
      <c r="D1261" s="32" t="str">
        <f>_xlfn.CONCAT("14",Main[[#This Row],[تاريخ]])</f>
        <v>1400/05/12</v>
      </c>
      <c r="E1261" s="33">
        <v>44411</v>
      </c>
      <c r="F1261" s="32">
        <v>30004</v>
      </c>
      <c r="G1261" s="5" t="str">
        <f>INDEX(customer[عنوان],MATCH(Main[[#This Row],[کد ردیابی]],customer[کد],0))</f>
        <v>تولیدی صنعتی صفاشیر پارس</v>
      </c>
      <c r="H1261">
        <v>422</v>
      </c>
      <c r="I1261" s="6">
        <f ca="1">-Main[[#This Row],[بدهی تسویه شده (کیلوگرم)]]+Main[[#This Row],[بستانکار (کیلوگرم)]]</f>
        <v>422</v>
      </c>
      <c r="J1261" s="6">
        <f>IF(Main[[#This Row],[مقدار (کیلوگرم)]]&gt;0,Main[[#This Row],[مقدار (کیلوگرم)]],0)</f>
        <v>422</v>
      </c>
      <c r="K1261" s="6">
        <f>-IF(Main[[#This Row],[مقدار (کیلوگرم)]]&lt;0,Main[[#This Row],[مقدار (کیلوگرم)]],0)</f>
        <v>0</v>
      </c>
      <c r="L12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1" s="7">
        <f>-IF(AND(Main[[#This Row],[مقدار (کیلوگرم)]]&lt;0,Main[[#This Row],[تاريخ میلادی]]&gt;44276),Main[[#This Row],[مقدار (کیلوگرم)]],0)</f>
        <v>0</v>
      </c>
      <c r="N1261" s="6">
        <f ca="1">Main[[#This Row],[بدهکار (کیلوگرم)]]-Main[[#This Row],[بدهی تسویه نشده (کیلوگرم)]]</f>
        <v>0</v>
      </c>
      <c r="O1261" s="6">
        <f ca="1">Main[[#This Row],[تفکیک]]</f>
        <v>0</v>
      </c>
      <c r="P1261" s="6">
        <f ca="1">IF(Main[[#This Row],[تاخیر از سررسید]]&gt;0,Main[[#This Row],[بدهی تسویه نشده (کیلوگرم)]],0)</f>
        <v>0</v>
      </c>
      <c r="Q1261" s="6">
        <f ca="1">IF(Main[[#This Row],[بدهی تسویه نشده (کیلوگرم)]]&gt;0,'گزارش فردی'!$B$7-Main[[#This Row],[تاريخ میلادی]],0)</f>
        <v>0</v>
      </c>
      <c r="R1261" s="6">
        <f ca="1">IF(Main[[#This Row],[بدهی تسویه نشده (کیلوگرم)]]&gt;0,'گزارش فردی'!$B$7-Main[[#This Row],[تاريخ میلادی]]-'گزارش فردی'!$B$8,0)</f>
        <v>0</v>
      </c>
      <c r="S1261" s="6">
        <f ca="1">Main[[#This Row],[روز از ارسال سفارش]]*Main[[#This Row],[بدهی تسویه نشده (کیلوگرم)]]</f>
        <v>0</v>
      </c>
      <c r="T1261" s="6">
        <f ca="1">Main[[#This Row],[بدهی سررسید شده (کیلوگرم)]]*Main[[#This Row],[روز از ارسال سفارش]]</f>
        <v>0</v>
      </c>
      <c r="U1261" s="6">
        <f>-SUBTOTAL(9,INDEX(Main[مقدار (کیلوگرم)],1):Main[[#This Row],[مقدار (کیلوگرم)]])</f>
        <v>39340</v>
      </c>
      <c r="V12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1" s="6">
        <f>Main[[#This Row],[تعداد کل روزهای بدهکار (روز)]]*Main[[#This Row],[مانده در خط کل (کیلوگرم)]]</f>
        <v>39340</v>
      </c>
      <c r="X1261" s="6">
        <f ca="1">-SUBTOTAL(9,INDEX(Main[مقدار تسویه شده (کیلوگرم)],1):Main[[#This Row],[مقدار تسویه شده (کیلوگرم)]])</f>
        <v>39340</v>
      </c>
      <c r="Y1261" s="6">
        <f ca="1">IF(Main[[#This Row],[مانده در خط تسویه شده (کیلوگرم)]]&lt;&gt;0,Main[[#This Row],[تعداد کل روزهای بدهکار (روز)]],0)</f>
        <v>1</v>
      </c>
      <c r="Z1261" s="6">
        <f ca="1">Main[[#This Row],[تعداد روزهای بدهکار تسویه شده (روز)]]*Main[[#This Row],[مانده در خط تسویه شده (کیلوگرم)]]</f>
        <v>39340</v>
      </c>
      <c r="AA1261" s="6">
        <f ca="1">SUBTOTAL(9,INDEX(Main[بدهی تسویه نشده (کیلوگرم)],1):Main[[#This Row],[بدهی تسویه نشده (کیلوگرم)]])</f>
        <v>0</v>
      </c>
      <c r="AB1261" s="6">
        <f ca="1">IF(Main[[#This Row],[مانده در خط تسویه نشده (کیلوگرم)]]&lt;&gt;0,Main[[#This Row],[تعداد کل روزهای بدهکار (روز)]],0)</f>
        <v>0</v>
      </c>
      <c r="AC1261" s="6">
        <f ca="1">Main[[#This Row],[تعداد روزهای بدهکار  تسویه نشده (روز)]]*Main[[#This Row],[مانده در خط تسویه نشده (کیلوگرم)]]</f>
        <v>0</v>
      </c>
      <c r="AD1261" s="6">
        <f ca="1">SUBTOTAL(9,INDEX(Main[بدهی سررسید شده (کیلوگرم)],1):Main[[#This Row],[بدهی سررسید شده (کیلوگرم)]])</f>
        <v>0</v>
      </c>
      <c r="AE1261" s="6">
        <f ca="1">IF(Main[[#This Row],[مانده در خط سررسید شده (کیلوگرم)]]&lt;&gt;0,Main[[#This Row],[تعداد کل روزهای بدهکار (روز)]],0)</f>
        <v>0</v>
      </c>
      <c r="AF1261" s="6">
        <f ca="1">Main[[#This Row],[تعداد روزهای بدهکار سررسید شده (روز)]]*Main[[#This Row],[مانده در خط سررسید شده (کیلوگرم)]]</f>
        <v>0</v>
      </c>
    </row>
    <row r="1262" spans="1:32" hidden="1" x14ac:dyDescent="0.35">
      <c r="A1262" s="5">
        <f>ROW()-ROW(INDEX(Main[ردیف],1))+1</f>
        <v>1260</v>
      </c>
      <c r="B1262" s="31">
        <f>SUBTOTAL(2,INDEX(Main[ردیف],1):Main[[#This Row],[ردیف]])</f>
        <v>114</v>
      </c>
      <c r="C1262" s="32" t="s">
        <v>636</v>
      </c>
      <c r="D1262" s="32" t="str">
        <f>_xlfn.CONCAT("14",Main[[#This Row],[تاريخ]])</f>
        <v>1400/05/12</v>
      </c>
      <c r="E1262" s="33">
        <v>44411</v>
      </c>
      <c r="F1262" s="32">
        <v>30003</v>
      </c>
      <c r="G1262" s="5" t="str">
        <f>INDEX(customer[عنوان],MATCH(Main[[#This Row],[کد ردیابی]],customer[کد],0))</f>
        <v xml:space="preserve">شهاب گاز سوز </v>
      </c>
      <c r="H1262">
        <v>694</v>
      </c>
      <c r="I1262" s="6">
        <f ca="1">-Main[[#This Row],[بدهی تسویه شده (کیلوگرم)]]+Main[[#This Row],[بستانکار (کیلوگرم)]]</f>
        <v>694</v>
      </c>
      <c r="J1262" s="6">
        <f>IF(Main[[#This Row],[مقدار (کیلوگرم)]]&gt;0,Main[[#This Row],[مقدار (کیلوگرم)]],0)</f>
        <v>694</v>
      </c>
      <c r="K1262" s="6">
        <f>-IF(Main[[#This Row],[مقدار (کیلوگرم)]]&lt;0,Main[[#This Row],[مقدار (کیلوگرم)]],0)</f>
        <v>0</v>
      </c>
      <c r="L12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2" s="7">
        <f>-IF(AND(Main[[#This Row],[مقدار (کیلوگرم)]]&lt;0,Main[[#This Row],[تاريخ میلادی]]&gt;44276),Main[[#This Row],[مقدار (کیلوگرم)]],0)</f>
        <v>0</v>
      </c>
      <c r="N1262" s="6">
        <f ca="1">Main[[#This Row],[بدهکار (کیلوگرم)]]-Main[[#This Row],[بدهی تسویه نشده (کیلوگرم)]]</f>
        <v>0</v>
      </c>
      <c r="O1262" s="6">
        <f ca="1">Main[[#This Row],[تفکیک]]</f>
        <v>0</v>
      </c>
      <c r="P1262" s="6">
        <f ca="1">IF(Main[[#This Row],[تاخیر از سررسید]]&gt;0,Main[[#This Row],[بدهی تسویه نشده (کیلوگرم)]],0)</f>
        <v>0</v>
      </c>
      <c r="Q1262" s="6">
        <f ca="1">IF(Main[[#This Row],[بدهی تسویه نشده (کیلوگرم)]]&gt;0,'گزارش فردی'!$B$7-Main[[#This Row],[تاريخ میلادی]],0)</f>
        <v>0</v>
      </c>
      <c r="R1262" s="6">
        <f ca="1">IF(Main[[#This Row],[بدهی تسویه نشده (کیلوگرم)]]&gt;0,'گزارش فردی'!$B$7-Main[[#This Row],[تاريخ میلادی]]-'گزارش فردی'!$B$8,0)</f>
        <v>0</v>
      </c>
      <c r="S1262" s="6">
        <f ca="1">Main[[#This Row],[روز از ارسال سفارش]]*Main[[#This Row],[بدهی تسویه نشده (کیلوگرم)]]</f>
        <v>0</v>
      </c>
      <c r="T1262" s="6">
        <f ca="1">Main[[#This Row],[بدهی سررسید شده (کیلوگرم)]]*Main[[#This Row],[روز از ارسال سفارش]]</f>
        <v>0</v>
      </c>
      <c r="U1262" s="6">
        <f>-SUBTOTAL(9,INDEX(Main[مقدار (کیلوگرم)],1):Main[[#This Row],[مقدار (کیلوگرم)]])</f>
        <v>39340</v>
      </c>
      <c r="V12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2" s="6">
        <f>Main[[#This Row],[تعداد کل روزهای بدهکار (روز)]]*Main[[#This Row],[مانده در خط کل (کیلوگرم)]]</f>
        <v>39340</v>
      </c>
      <c r="X1262" s="6">
        <f ca="1">-SUBTOTAL(9,INDEX(Main[مقدار تسویه شده (کیلوگرم)],1):Main[[#This Row],[مقدار تسویه شده (کیلوگرم)]])</f>
        <v>39340</v>
      </c>
      <c r="Y1262" s="6">
        <f ca="1">IF(Main[[#This Row],[مانده در خط تسویه شده (کیلوگرم)]]&lt;&gt;0,Main[[#This Row],[تعداد کل روزهای بدهکار (روز)]],0)</f>
        <v>1</v>
      </c>
      <c r="Z1262" s="6">
        <f ca="1">Main[[#This Row],[تعداد روزهای بدهکار تسویه شده (روز)]]*Main[[#This Row],[مانده در خط تسویه شده (کیلوگرم)]]</f>
        <v>39340</v>
      </c>
      <c r="AA1262" s="6">
        <f ca="1">SUBTOTAL(9,INDEX(Main[بدهی تسویه نشده (کیلوگرم)],1):Main[[#This Row],[بدهی تسویه نشده (کیلوگرم)]])</f>
        <v>0</v>
      </c>
      <c r="AB1262" s="6">
        <f ca="1">IF(Main[[#This Row],[مانده در خط تسویه نشده (کیلوگرم)]]&lt;&gt;0,Main[[#This Row],[تعداد کل روزهای بدهکار (روز)]],0)</f>
        <v>0</v>
      </c>
      <c r="AC1262" s="6">
        <f ca="1">Main[[#This Row],[تعداد روزهای بدهکار  تسویه نشده (روز)]]*Main[[#This Row],[مانده در خط تسویه نشده (کیلوگرم)]]</f>
        <v>0</v>
      </c>
      <c r="AD1262" s="6">
        <f ca="1">SUBTOTAL(9,INDEX(Main[بدهی سررسید شده (کیلوگرم)],1):Main[[#This Row],[بدهی سررسید شده (کیلوگرم)]])</f>
        <v>0</v>
      </c>
      <c r="AE1262" s="6">
        <f ca="1">IF(Main[[#This Row],[مانده در خط سررسید شده (کیلوگرم)]]&lt;&gt;0,Main[[#This Row],[تعداد کل روزهای بدهکار (روز)]],0)</f>
        <v>0</v>
      </c>
      <c r="AF1262" s="6">
        <f ca="1">Main[[#This Row],[تعداد روزهای بدهکار سررسید شده (روز)]]*Main[[#This Row],[مانده در خط سررسید شده (کیلوگرم)]]</f>
        <v>0</v>
      </c>
    </row>
    <row r="1263" spans="1:32" hidden="1" x14ac:dyDescent="0.35">
      <c r="A1263" s="5">
        <f>ROW()-ROW(INDEX(Main[ردیف],1))+1</f>
        <v>1261</v>
      </c>
      <c r="B1263" s="31">
        <f>SUBTOTAL(2,INDEX(Main[ردیف],1):Main[[#This Row],[ردیف]])</f>
        <v>114</v>
      </c>
      <c r="C1263" s="32" t="s">
        <v>636</v>
      </c>
      <c r="D1263" s="32" t="str">
        <f>_xlfn.CONCAT("14",Main[[#This Row],[تاريخ]])</f>
        <v>1400/05/12</v>
      </c>
      <c r="E1263" s="33">
        <v>44411</v>
      </c>
      <c r="F1263" s="32">
        <v>10026</v>
      </c>
      <c r="G1263" s="5" t="str">
        <f>INDEX(customer[عنوان],MATCH(Main[[#This Row],[کد ردیابی]],customer[کد],0))</f>
        <v xml:space="preserve">محسن فیاض بخش </v>
      </c>
      <c r="H1263">
        <v>3260</v>
      </c>
      <c r="I1263" s="6">
        <f ca="1">-Main[[#This Row],[بدهی تسویه شده (کیلوگرم)]]+Main[[#This Row],[بستانکار (کیلوگرم)]]</f>
        <v>3260</v>
      </c>
      <c r="J1263" s="6">
        <f>IF(Main[[#This Row],[مقدار (کیلوگرم)]]&gt;0,Main[[#This Row],[مقدار (کیلوگرم)]],0)</f>
        <v>3260</v>
      </c>
      <c r="K1263" s="6">
        <f>-IF(Main[[#This Row],[مقدار (کیلوگرم)]]&lt;0,Main[[#This Row],[مقدار (کیلوگرم)]],0)</f>
        <v>0</v>
      </c>
      <c r="L12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3" s="7">
        <f>-IF(AND(Main[[#This Row],[مقدار (کیلوگرم)]]&lt;0,Main[[#This Row],[تاريخ میلادی]]&gt;44276),Main[[#This Row],[مقدار (کیلوگرم)]],0)</f>
        <v>0</v>
      </c>
      <c r="N1263" s="6">
        <f ca="1">Main[[#This Row],[بدهکار (کیلوگرم)]]-Main[[#This Row],[بدهی تسویه نشده (کیلوگرم)]]</f>
        <v>0</v>
      </c>
      <c r="O1263" s="6">
        <f ca="1">Main[[#This Row],[تفکیک]]</f>
        <v>0</v>
      </c>
      <c r="P1263" s="6">
        <f ca="1">IF(Main[[#This Row],[تاخیر از سررسید]]&gt;0,Main[[#This Row],[بدهی تسویه نشده (کیلوگرم)]],0)</f>
        <v>0</v>
      </c>
      <c r="Q1263" s="6">
        <f ca="1">IF(Main[[#This Row],[بدهی تسویه نشده (کیلوگرم)]]&gt;0,'گزارش فردی'!$B$7-Main[[#This Row],[تاريخ میلادی]],0)</f>
        <v>0</v>
      </c>
      <c r="R1263" s="6">
        <f ca="1">IF(Main[[#This Row],[بدهی تسویه نشده (کیلوگرم)]]&gt;0,'گزارش فردی'!$B$7-Main[[#This Row],[تاريخ میلادی]]-'گزارش فردی'!$B$8,0)</f>
        <v>0</v>
      </c>
      <c r="S1263" s="6">
        <f ca="1">Main[[#This Row],[روز از ارسال سفارش]]*Main[[#This Row],[بدهی تسویه نشده (کیلوگرم)]]</f>
        <v>0</v>
      </c>
      <c r="T1263" s="6">
        <f ca="1">Main[[#This Row],[بدهی سررسید شده (کیلوگرم)]]*Main[[#This Row],[روز از ارسال سفارش]]</f>
        <v>0</v>
      </c>
      <c r="U1263" s="6">
        <f>-SUBTOTAL(9,INDEX(Main[مقدار (کیلوگرم)],1):Main[[#This Row],[مقدار (کیلوگرم)]])</f>
        <v>39340</v>
      </c>
      <c r="V12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3" s="6">
        <f>Main[[#This Row],[تعداد کل روزهای بدهکار (روز)]]*Main[[#This Row],[مانده در خط کل (کیلوگرم)]]</f>
        <v>39340</v>
      </c>
      <c r="X1263" s="6">
        <f ca="1">-SUBTOTAL(9,INDEX(Main[مقدار تسویه شده (کیلوگرم)],1):Main[[#This Row],[مقدار تسویه شده (کیلوگرم)]])</f>
        <v>39340</v>
      </c>
      <c r="Y1263" s="6">
        <f ca="1">IF(Main[[#This Row],[مانده در خط تسویه شده (کیلوگرم)]]&lt;&gt;0,Main[[#This Row],[تعداد کل روزهای بدهکار (روز)]],0)</f>
        <v>1</v>
      </c>
      <c r="Z1263" s="6">
        <f ca="1">Main[[#This Row],[تعداد روزهای بدهکار تسویه شده (روز)]]*Main[[#This Row],[مانده در خط تسویه شده (کیلوگرم)]]</f>
        <v>39340</v>
      </c>
      <c r="AA1263" s="6">
        <f ca="1">SUBTOTAL(9,INDEX(Main[بدهی تسویه نشده (کیلوگرم)],1):Main[[#This Row],[بدهی تسویه نشده (کیلوگرم)]])</f>
        <v>0</v>
      </c>
      <c r="AB1263" s="6">
        <f ca="1">IF(Main[[#This Row],[مانده در خط تسویه نشده (کیلوگرم)]]&lt;&gt;0,Main[[#This Row],[تعداد کل روزهای بدهکار (روز)]],0)</f>
        <v>0</v>
      </c>
      <c r="AC1263" s="6">
        <f ca="1">Main[[#This Row],[تعداد روزهای بدهکار  تسویه نشده (روز)]]*Main[[#This Row],[مانده در خط تسویه نشده (کیلوگرم)]]</f>
        <v>0</v>
      </c>
      <c r="AD1263" s="6">
        <f ca="1">SUBTOTAL(9,INDEX(Main[بدهی سررسید شده (کیلوگرم)],1):Main[[#This Row],[بدهی سررسید شده (کیلوگرم)]])</f>
        <v>0</v>
      </c>
      <c r="AE1263" s="6">
        <f ca="1">IF(Main[[#This Row],[مانده در خط سررسید شده (کیلوگرم)]]&lt;&gt;0,Main[[#This Row],[تعداد کل روزهای بدهکار (روز)]],0)</f>
        <v>0</v>
      </c>
      <c r="AF1263" s="6">
        <f ca="1">Main[[#This Row],[تعداد روزهای بدهکار سررسید شده (روز)]]*Main[[#This Row],[مانده در خط سررسید شده (کیلوگرم)]]</f>
        <v>0</v>
      </c>
    </row>
    <row r="1264" spans="1:32" hidden="1" x14ac:dyDescent="0.35">
      <c r="A1264" s="5">
        <f>ROW()-ROW(INDEX(Main[ردیف],1))+1</f>
        <v>1262</v>
      </c>
      <c r="B1264" s="31">
        <f>SUBTOTAL(2,INDEX(Main[ردیف],1):Main[[#This Row],[ردیف]])</f>
        <v>114</v>
      </c>
      <c r="C1264" s="32" t="s">
        <v>637</v>
      </c>
      <c r="D1264" s="32" t="str">
        <f>_xlfn.CONCAT("14",Main[[#This Row],[تاريخ]])</f>
        <v>1400/05/13</v>
      </c>
      <c r="E1264" s="33">
        <v>44412</v>
      </c>
      <c r="F1264" s="32">
        <v>30066</v>
      </c>
      <c r="G1264" s="5" t="str">
        <f>INDEX(customer[عنوان],MATCH(Main[[#This Row],[کد ردیابی]],customer[کد],0))</f>
        <v xml:space="preserve">شیر آلات بهداشتی قهرمان </v>
      </c>
      <c r="H1264">
        <v>-5617</v>
      </c>
      <c r="I1264" s="6">
        <f ca="1">-Main[[#This Row],[بدهی تسویه شده (کیلوگرم)]]+Main[[#This Row],[بستانکار (کیلوگرم)]]</f>
        <v>-5617</v>
      </c>
      <c r="J1264" s="6">
        <f>IF(Main[[#This Row],[مقدار (کیلوگرم)]]&gt;0,Main[[#This Row],[مقدار (کیلوگرم)]],0)</f>
        <v>0</v>
      </c>
      <c r="K1264" s="6">
        <f>-IF(Main[[#This Row],[مقدار (کیلوگرم)]]&lt;0,Main[[#This Row],[مقدار (کیلوگرم)]],0)</f>
        <v>5617</v>
      </c>
      <c r="L12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4" s="7">
        <f>-IF(AND(Main[[#This Row],[مقدار (کیلوگرم)]]&lt;0,Main[[#This Row],[تاريخ میلادی]]&gt;44276),Main[[#This Row],[مقدار (کیلوگرم)]],0)</f>
        <v>5617</v>
      </c>
      <c r="N1264" s="6">
        <f ca="1">Main[[#This Row],[بدهکار (کیلوگرم)]]-Main[[#This Row],[بدهی تسویه نشده (کیلوگرم)]]</f>
        <v>5617</v>
      </c>
      <c r="O1264" s="6">
        <f ca="1">Main[[#This Row],[تفکیک]]</f>
        <v>0</v>
      </c>
      <c r="P1264" s="6">
        <f ca="1">IF(Main[[#This Row],[تاخیر از سررسید]]&gt;0,Main[[#This Row],[بدهی تسویه نشده (کیلوگرم)]],0)</f>
        <v>0</v>
      </c>
      <c r="Q1264" s="6">
        <f ca="1">IF(Main[[#This Row],[بدهی تسویه نشده (کیلوگرم)]]&gt;0,'گزارش فردی'!$B$7-Main[[#This Row],[تاريخ میلادی]],0)</f>
        <v>0</v>
      </c>
      <c r="R1264" s="6">
        <f ca="1">IF(Main[[#This Row],[بدهی تسویه نشده (کیلوگرم)]]&gt;0,'گزارش فردی'!$B$7-Main[[#This Row],[تاريخ میلادی]]-'گزارش فردی'!$B$8,0)</f>
        <v>0</v>
      </c>
      <c r="S1264" s="6">
        <f ca="1">Main[[#This Row],[روز از ارسال سفارش]]*Main[[#This Row],[بدهی تسویه نشده (کیلوگرم)]]</f>
        <v>0</v>
      </c>
      <c r="T1264" s="6">
        <f ca="1">Main[[#This Row],[بدهی سررسید شده (کیلوگرم)]]*Main[[#This Row],[روز از ارسال سفارش]]</f>
        <v>0</v>
      </c>
      <c r="U1264" s="6">
        <f>-SUBTOTAL(9,INDEX(Main[مقدار (کیلوگرم)],1):Main[[#This Row],[مقدار (کیلوگرم)]])</f>
        <v>39340</v>
      </c>
      <c r="V12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4" s="6">
        <f>Main[[#This Row],[تعداد کل روزهای بدهکار (روز)]]*Main[[#This Row],[مانده در خط کل (کیلوگرم)]]</f>
        <v>0</v>
      </c>
      <c r="X1264" s="6">
        <f ca="1">-SUBTOTAL(9,INDEX(Main[مقدار تسویه شده (کیلوگرم)],1):Main[[#This Row],[مقدار تسویه شده (کیلوگرم)]])</f>
        <v>39340</v>
      </c>
      <c r="Y1264" s="6">
        <f ca="1">IF(Main[[#This Row],[مانده در خط تسویه شده (کیلوگرم)]]&lt;&gt;0,Main[[#This Row],[تعداد کل روزهای بدهکار (روز)]],0)</f>
        <v>0</v>
      </c>
      <c r="Z1264" s="6">
        <f ca="1">Main[[#This Row],[تعداد روزهای بدهکار تسویه شده (روز)]]*Main[[#This Row],[مانده در خط تسویه شده (کیلوگرم)]]</f>
        <v>0</v>
      </c>
      <c r="AA1264" s="6">
        <f ca="1">SUBTOTAL(9,INDEX(Main[بدهی تسویه نشده (کیلوگرم)],1):Main[[#This Row],[بدهی تسویه نشده (کیلوگرم)]])</f>
        <v>0</v>
      </c>
      <c r="AB1264" s="6">
        <f ca="1">IF(Main[[#This Row],[مانده در خط تسویه نشده (کیلوگرم)]]&lt;&gt;0,Main[[#This Row],[تعداد کل روزهای بدهکار (روز)]],0)</f>
        <v>0</v>
      </c>
      <c r="AC1264" s="6">
        <f ca="1">Main[[#This Row],[تعداد روزهای بدهکار  تسویه نشده (روز)]]*Main[[#This Row],[مانده در خط تسویه نشده (کیلوگرم)]]</f>
        <v>0</v>
      </c>
      <c r="AD1264" s="6">
        <f ca="1">SUBTOTAL(9,INDEX(Main[بدهی سررسید شده (کیلوگرم)],1):Main[[#This Row],[بدهی سررسید شده (کیلوگرم)]])</f>
        <v>0</v>
      </c>
      <c r="AE1264" s="6">
        <f ca="1">IF(Main[[#This Row],[مانده در خط سررسید شده (کیلوگرم)]]&lt;&gt;0,Main[[#This Row],[تعداد کل روزهای بدهکار (روز)]],0)</f>
        <v>0</v>
      </c>
      <c r="AF1264" s="6">
        <f ca="1">Main[[#This Row],[تعداد روزهای بدهکار سررسید شده (روز)]]*Main[[#This Row],[مانده در خط سررسید شده (کیلوگرم)]]</f>
        <v>0</v>
      </c>
    </row>
    <row r="1265" spans="1:32" hidden="1" x14ac:dyDescent="0.35">
      <c r="A1265" s="5">
        <f>ROW()-ROW(INDEX(Main[ردیف],1))+1</f>
        <v>1263</v>
      </c>
      <c r="B1265" s="31">
        <f>SUBTOTAL(2,INDEX(Main[ردیف],1):Main[[#This Row],[ردیف]])</f>
        <v>114</v>
      </c>
      <c r="C1265" s="32" t="s">
        <v>637</v>
      </c>
      <c r="D1265" s="32" t="str">
        <f>_xlfn.CONCAT("14",Main[[#This Row],[تاريخ]])</f>
        <v>1400/05/13</v>
      </c>
      <c r="E1265" s="33">
        <v>44412</v>
      </c>
      <c r="F1265" s="32">
        <v>30146</v>
      </c>
      <c r="G1265" s="5" t="str">
        <f>INDEX(customer[عنوان],MATCH(Main[[#This Row],[کد ردیابی]],customer[کد],0))</f>
        <v>شرکت آذرپاد</v>
      </c>
      <c r="H1265">
        <v>692</v>
      </c>
      <c r="I1265" s="6">
        <f ca="1">-Main[[#This Row],[بدهی تسویه شده (کیلوگرم)]]+Main[[#This Row],[بستانکار (کیلوگرم)]]</f>
        <v>692</v>
      </c>
      <c r="J1265" s="6">
        <f>IF(Main[[#This Row],[مقدار (کیلوگرم)]]&gt;0,Main[[#This Row],[مقدار (کیلوگرم)]],0)</f>
        <v>692</v>
      </c>
      <c r="K1265" s="6">
        <f>-IF(Main[[#This Row],[مقدار (کیلوگرم)]]&lt;0,Main[[#This Row],[مقدار (کیلوگرم)]],0)</f>
        <v>0</v>
      </c>
      <c r="L12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5" s="7">
        <f>-IF(AND(Main[[#This Row],[مقدار (کیلوگرم)]]&lt;0,Main[[#This Row],[تاريخ میلادی]]&gt;44276),Main[[#This Row],[مقدار (کیلوگرم)]],0)</f>
        <v>0</v>
      </c>
      <c r="N1265" s="6">
        <f ca="1">Main[[#This Row],[بدهکار (کیلوگرم)]]-Main[[#This Row],[بدهی تسویه نشده (کیلوگرم)]]</f>
        <v>0</v>
      </c>
      <c r="O1265" s="6">
        <f ca="1">Main[[#This Row],[تفکیک]]</f>
        <v>0</v>
      </c>
      <c r="P1265" s="6">
        <f ca="1">IF(Main[[#This Row],[تاخیر از سررسید]]&gt;0,Main[[#This Row],[بدهی تسویه نشده (کیلوگرم)]],0)</f>
        <v>0</v>
      </c>
      <c r="Q1265" s="6">
        <f ca="1">IF(Main[[#This Row],[بدهی تسویه نشده (کیلوگرم)]]&gt;0,'گزارش فردی'!$B$7-Main[[#This Row],[تاريخ میلادی]],0)</f>
        <v>0</v>
      </c>
      <c r="R1265" s="6">
        <f ca="1">IF(Main[[#This Row],[بدهی تسویه نشده (کیلوگرم)]]&gt;0,'گزارش فردی'!$B$7-Main[[#This Row],[تاريخ میلادی]]-'گزارش فردی'!$B$8,0)</f>
        <v>0</v>
      </c>
      <c r="S1265" s="6">
        <f ca="1">Main[[#This Row],[روز از ارسال سفارش]]*Main[[#This Row],[بدهی تسویه نشده (کیلوگرم)]]</f>
        <v>0</v>
      </c>
      <c r="T1265" s="6">
        <f ca="1">Main[[#This Row],[بدهی سررسید شده (کیلوگرم)]]*Main[[#This Row],[روز از ارسال سفارش]]</f>
        <v>0</v>
      </c>
      <c r="U1265" s="6">
        <f>-SUBTOTAL(9,INDEX(Main[مقدار (کیلوگرم)],1):Main[[#This Row],[مقدار (کیلوگرم)]])</f>
        <v>39340</v>
      </c>
      <c r="V12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5" s="6">
        <f>Main[[#This Row],[تعداد کل روزهای بدهکار (روز)]]*Main[[#This Row],[مانده در خط کل (کیلوگرم)]]</f>
        <v>0</v>
      </c>
      <c r="X1265" s="6">
        <f ca="1">-SUBTOTAL(9,INDEX(Main[مقدار تسویه شده (کیلوگرم)],1):Main[[#This Row],[مقدار تسویه شده (کیلوگرم)]])</f>
        <v>39340</v>
      </c>
      <c r="Y1265" s="6">
        <f ca="1">IF(Main[[#This Row],[مانده در خط تسویه شده (کیلوگرم)]]&lt;&gt;0,Main[[#This Row],[تعداد کل روزهای بدهکار (روز)]],0)</f>
        <v>0</v>
      </c>
      <c r="Z1265" s="6">
        <f ca="1">Main[[#This Row],[تعداد روزهای بدهکار تسویه شده (روز)]]*Main[[#This Row],[مانده در خط تسویه شده (کیلوگرم)]]</f>
        <v>0</v>
      </c>
      <c r="AA1265" s="6">
        <f ca="1">SUBTOTAL(9,INDEX(Main[بدهی تسویه نشده (کیلوگرم)],1):Main[[#This Row],[بدهی تسویه نشده (کیلوگرم)]])</f>
        <v>0</v>
      </c>
      <c r="AB1265" s="6">
        <f ca="1">IF(Main[[#This Row],[مانده در خط تسویه نشده (کیلوگرم)]]&lt;&gt;0,Main[[#This Row],[تعداد کل روزهای بدهکار (روز)]],0)</f>
        <v>0</v>
      </c>
      <c r="AC1265" s="6">
        <f ca="1">Main[[#This Row],[تعداد روزهای بدهکار  تسویه نشده (روز)]]*Main[[#This Row],[مانده در خط تسویه نشده (کیلوگرم)]]</f>
        <v>0</v>
      </c>
      <c r="AD1265" s="6">
        <f ca="1">SUBTOTAL(9,INDEX(Main[بدهی سررسید شده (کیلوگرم)],1):Main[[#This Row],[بدهی سررسید شده (کیلوگرم)]])</f>
        <v>0</v>
      </c>
      <c r="AE1265" s="6">
        <f ca="1">IF(Main[[#This Row],[مانده در خط سررسید شده (کیلوگرم)]]&lt;&gt;0,Main[[#This Row],[تعداد کل روزهای بدهکار (روز)]],0)</f>
        <v>0</v>
      </c>
      <c r="AF1265" s="6">
        <f ca="1">Main[[#This Row],[تعداد روزهای بدهکار سررسید شده (روز)]]*Main[[#This Row],[مانده در خط سررسید شده (کیلوگرم)]]</f>
        <v>0</v>
      </c>
    </row>
    <row r="1266" spans="1:32" hidden="1" x14ac:dyDescent="0.35">
      <c r="A1266" s="5">
        <f>ROW()-ROW(INDEX(Main[ردیف],1))+1</f>
        <v>1264</v>
      </c>
      <c r="B1266" s="31">
        <f>SUBTOTAL(2,INDEX(Main[ردیف],1):Main[[#This Row],[ردیف]])</f>
        <v>114</v>
      </c>
      <c r="C1266" s="32" t="s">
        <v>637</v>
      </c>
      <c r="D1266" s="32" t="str">
        <f>_xlfn.CONCAT("14",Main[[#This Row],[تاريخ]])</f>
        <v>1400/05/13</v>
      </c>
      <c r="E1266" s="33">
        <v>44412</v>
      </c>
      <c r="F1266" s="32">
        <v>30146</v>
      </c>
      <c r="G1266" s="5" t="str">
        <f>INDEX(customer[عنوان],MATCH(Main[[#This Row],[کد ردیابی]],customer[کد],0))</f>
        <v>شرکت آذرپاد</v>
      </c>
      <c r="H1266">
        <v>-3235</v>
      </c>
      <c r="I1266" s="6">
        <f ca="1">-Main[[#This Row],[بدهی تسویه شده (کیلوگرم)]]+Main[[#This Row],[بستانکار (کیلوگرم)]]</f>
        <v>-3235</v>
      </c>
      <c r="J1266" s="6">
        <f>IF(Main[[#This Row],[مقدار (کیلوگرم)]]&gt;0,Main[[#This Row],[مقدار (کیلوگرم)]],0)</f>
        <v>0</v>
      </c>
      <c r="K1266" s="6">
        <f>-IF(Main[[#This Row],[مقدار (کیلوگرم)]]&lt;0,Main[[#This Row],[مقدار (کیلوگرم)]],0)</f>
        <v>3235</v>
      </c>
      <c r="L12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6" s="7">
        <f>-IF(AND(Main[[#This Row],[مقدار (کیلوگرم)]]&lt;0,Main[[#This Row],[تاريخ میلادی]]&gt;44276),Main[[#This Row],[مقدار (کیلوگرم)]],0)</f>
        <v>3235</v>
      </c>
      <c r="N1266" s="6">
        <f ca="1">Main[[#This Row],[بدهکار (کیلوگرم)]]-Main[[#This Row],[بدهی تسویه نشده (کیلوگرم)]]</f>
        <v>3235</v>
      </c>
      <c r="O1266" s="6">
        <f ca="1">Main[[#This Row],[تفکیک]]</f>
        <v>0</v>
      </c>
      <c r="P1266" s="6">
        <f ca="1">IF(Main[[#This Row],[تاخیر از سررسید]]&gt;0,Main[[#This Row],[بدهی تسویه نشده (کیلوگرم)]],0)</f>
        <v>0</v>
      </c>
      <c r="Q1266" s="6">
        <f ca="1">IF(Main[[#This Row],[بدهی تسویه نشده (کیلوگرم)]]&gt;0,'گزارش فردی'!$B$7-Main[[#This Row],[تاريخ میلادی]],0)</f>
        <v>0</v>
      </c>
      <c r="R1266" s="6">
        <f ca="1">IF(Main[[#This Row],[بدهی تسویه نشده (کیلوگرم)]]&gt;0,'گزارش فردی'!$B$7-Main[[#This Row],[تاريخ میلادی]]-'گزارش فردی'!$B$8,0)</f>
        <v>0</v>
      </c>
      <c r="S1266" s="6">
        <f ca="1">Main[[#This Row],[روز از ارسال سفارش]]*Main[[#This Row],[بدهی تسویه نشده (کیلوگرم)]]</f>
        <v>0</v>
      </c>
      <c r="T1266" s="6">
        <f ca="1">Main[[#This Row],[بدهی سررسید شده (کیلوگرم)]]*Main[[#This Row],[روز از ارسال سفارش]]</f>
        <v>0</v>
      </c>
      <c r="U1266" s="6">
        <f>-SUBTOTAL(9,INDEX(Main[مقدار (کیلوگرم)],1):Main[[#This Row],[مقدار (کیلوگرم)]])</f>
        <v>39340</v>
      </c>
      <c r="V12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6" s="6">
        <f>Main[[#This Row],[تعداد کل روزهای بدهکار (روز)]]*Main[[#This Row],[مانده در خط کل (کیلوگرم)]]</f>
        <v>0</v>
      </c>
      <c r="X1266" s="6">
        <f ca="1">-SUBTOTAL(9,INDEX(Main[مقدار تسویه شده (کیلوگرم)],1):Main[[#This Row],[مقدار تسویه شده (کیلوگرم)]])</f>
        <v>39340</v>
      </c>
      <c r="Y1266" s="6">
        <f ca="1">IF(Main[[#This Row],[مانده در خط تسویه شده (کیلوگرم)]]&lt;&gt;0,Main[[#This Row],[تعداد کل روزهای بدهکار (روز)]],0)</f>
        <v>0</v>
      </c>
      <c r="Z1266" s="6">
        <f ca="1">Main[[#This Row],[تعداد روزهای بدهکار تسویه شده (روز)]]*Main[[#This Row],[مانده در خط تسویه شده (کیلوگرم)]]</f>
        <v>0</v>
      </c>
      <c r="AA1266" s="6">
        <f ca="1">SUBTOTAL(9,INDEX(Main[بدهی تسویه نشده (کیلوگرم)],1):Main[[#This Row],[بدهی تسویه نشده (کیلوگرم)]])</f>
        <v>0</v>
      </c>
      <c r="AB1266" s="6">
        <f ca="1">IF(Main[[#This Row],[مانده در خط تسویه نشده (کیلوگرم)]]&lt;&gt;0,Main[[#This Row],[تعداد کل روزهای بدهکار (روز)]],0)</f>
        <v>0</v>
      </c>
      <c r="AC1266" s="6">
        <f ca="1">Main[[#This Row],[تعداد روزهای بدهکار  تسویه نشده (روز)]]*Main[[#This Row],[مانده در خط تسویه نشده (کیلوگرم)]]</f>
        <v>0</v>
      </c>
      <c r="AD1266" s="6">
        <f ca="1">SUBTOTAL(9,INDEX(Main[بدهی سررسید شده (کیلوگرم)],1):Main[[#This Row],[بدهی سررسید شده (کیلوگرم)]])</f>
        <v>0</v>
      </c>
      <c r="AE1266" s="6">
        <f ca="1">IF(Main[[#This Row],[مانده در خط سررسید شده (کیلوگرم)]]&lt;&gt;0,Main[[#This Row],[تعداد کل روزهای بدهکار (روز)]],0)</f>
        <v>0</v>
      </c>
      <c r="AF1266" s="6">
        <f ca="1">Main[[#This Row],[تعداد روزهای بدهکار سررسید شده (روز)]]*Main[[#This Row],[مانده در خط سررسید شده (کیلوگرم)]]</f>
        <v>0</v>
      </c>
    </row>
    <row r="1267" spans="1:32" hidden="1" x14ac:dyDescent="0.35">
      <c r="A1267" s="5">
        <f>ROW()-ROW(INDEX(Main[ردیف],1))+1</f>
        <v>1265</v>
      </c>
      <c r="B1267" s="31">
        <f>SUBTOTAL(2,INDEX(Main[ردیف],1):Main[[#This Row],[ردیف]])</f>
        <v>114</v>
      </c>
      <c r="C1267" s="32" t="s">
        <v>637</v>
      </c>
      <c r="D1267" s="32" t="str">
        <f>_xlfn.CONCAT("14",Main[[#This Row],[تاريخ]])</f>
        <v>1400/05/13</v>
      </c>
      <c r="E1267" s="33">
        <v>44412</v>
      </c>
      <c r="F1267" s="32">
        <v>30146</v>
      </c>
      <c r="G1267" s="5" t="str">
        <f>INDEX(customer[عنوان],MATCH(Main[[#This Row],[کد ردیابی]],customer[کد],0))</f>
        <v>شرکت آذرپاد</v>
      </c>
      <c r="H1267">
        <v>165</v>
      </c>
      <c r="I1267" s="6">
        <f ca="1">-Main[[#This Row],[بدهی تسویه شده (کیلوگرم)]]+Main[[#This Row],[بستانکار (کیلوگرم)]]</f>
        <v>165</v>
      </c>
      <c r="J1267" s="6">
        <f>IF(Main[[#This Row],[مقدار (کیلوگرم)]]&gt;0,Main[[#This Row],[مقدار (کیلوگرم)]],0)</f>
        <v>165</v>
      </c>
      <c r="K1267" s="6">
        <f>-IF(Main[[#This Row],[مقدار (کیلوگرم)]]&lt;0,Main[[#This Row],[مقدار (کیلوگرم)]],0)</f>
        <v>0</v>
      </c>
      <c r="L12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7" s="7">
        <f>-IF(AND(Main[[#This Row],[مقدار (کیلوگرم)]]&lt;0,Main[[#This Row],[تاريخ میلادی]]&gt;44276),Main[[#This Row],[مقدار (کیلوگرم)]],0)</f>
        <v>0</v>
      </c>
      <c r="N1267" s="6">
        <f ca="1">Main[[#This Row],[بدهکار (کیلوگرم)]]-Main[[#This Row],[بدهی تسویه نشده (کیلوگرم)]]</f>
        <v>0</v>
      </c>
      <c r="O1267" s="6">
        <f ca="1">Main[[#This Row],[تفکیک]]</f>
        <v>0</v>
      </c>
      <c r="P1267" s="6">
        <f ca="1">IF(Main[[#This Row],[تاخیر از سررسید]]&gt;0,Main[[#This Row],[بدهی تسویه نشده (کیلوگرم)]],0)</f>
        <v>0</v>
      </c>
      <c r="Q1267" s="6">
        <f ca="1">IF(Main[[#This Row],[بدهی تسویه نشده (کیلوگرم)]]&gt;0,'گزارش فردی'!$B$7-Main[[#This Row],[تاريخ میلادی]],0)</f>
        <v>0</v>
      </c>
      <c r="R1267" s="6">
        <f ca="1">IF(Main[[#This Row],[بدهی تسویه نشده (کیلوگرم)]]&gt;0,'گزارش فردی'!$B$7-Main[[#This Row],[تاريخ میلادی]]-'گزارش فردی'!$B$8,0)</f>
        <v>0</v>
      </c>
      <c r="S1267" s="6">
        <f ca="1">Main[[#This Row],[روز از ارسال سفارش]]*Main[[#This Row],[بدهی تسویه نشده (کیلوگرم)]]</f>
        <v>0</v>
      </c>
      <c r="T1267" s="6">
        <f ca="1">Main[[#This Row],[بدهی سررسید شده (کیلوگرم)]]*Main[[#This Row],[روز از ارسال سفارش]]</f>
        <v>0</v>
      </c>
      <c r="U1267" s="6">
        <f>-SUBTOTAL(9,INDEX(Main[مقدار (کیلوگرم)],1):Main[[#This Row],[مقدار (کیلوگرم)]])</f>
        <v>39340</v>
      </c>
      <c r="V12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7" s="6">
        <f>Main[[#This Row],[تعداد کل روزهای بدهکار (روز)]]*Main[[#This Row],[مانده در خط کل (کیلوگرم)]]</f>
        <v>0</v>
      </c>
      <c r="X1267" s="6">
        <f ca="1">-SUBTOTAL(9,INDEX(Main[مقدار تسویه شده (کیلوگرم)],1):Main[[#This Row],[مقدار تسویه شده (کیلوگرم)]])</f>
        <v>39340</v>
      </c>
      <c r="Y1267" s="6">
        <f ca="1">IF(Main[[#This Row],[مانده در خط تسویه شده (کیلوگرم)]]&lt;&gt;0,Main[[#This Row],[تعداد کل روزهای بدهکار (روز)]],0)</f>
        <v>0</v>
      </c>
      <c r="Z1267" s="6">
        <f ca="1">Main[[#This Row],[تعداد روزهای بدهکار تسویه شده (روز)]]*Main[[#This Row],[مانده در خط تسویه شده (کیلوگرم)]]</f>
        <v>0</v>
      </c>
      <c r="AA1267" s="6">
        <f ca="1">SUBTOTAL(9,INDEX(Main[بدهی تسویه نشده (کیلوگرم)],1):Main[[#This Row],[بدهی تسویه نشده (کیلوگرم)]])</f>
        <v>0</v>
      </c>
      <c r="AB1267" s="6">
        <f ca="1">IF(Main[[#This Row],[مانده در خط تسویه نشده (کیلوگرم)]]&lt;&gt;0,Main[[#This Row],[تعداد کل روزهای بدهکار (روز)]],0)</f>
        <v>0</v>
      </c>
      <c r="AC1267" s="6">
        <f ca="1">Main[[#This Row],[تعداد روزهای بدهکار  تسویه نشده (روز)]]*Main[[#This Row],[مانده در خط تسویه نشده (کیلوگرم)]]</f>
        <v>0</v>
      </c>
      <c r="AD1267" s="6">
        <f ca="1">SUBTOTAL(9,INDEX(Main[بدهی سررسید شده (کیلوگرم)],1):Main[[#This Row],[بدهی سررسید شده (کیلوگرم)]])</f>
        <v>0</v>
      </c>
      <c r="AE1267" s="6">
        <f ca="1">IF(Main[[#This Row],[مانده در خط سررسید شده (کیلوگرم)]]&lt;&gt;0,Main[[#This Row],[تعداد کل روزهای بدهکار (روز)]],0)</f>
        <v>0</v>
      </c>
      <c r="AF1267" s="6">
        <f ca="1">Main[[#This Row],[تعداد روزهای بدهکار سررسید شده (روز)]]*Main[[#This Row],[مانده در خط سررسید شده (کیلوگرم)]]</f>
        <v>0</v>
      </c>
    </row>
    <row r="1268" spans="1:32" x14ac:dyDescent="0.35">
      <c r="A1268" s="5">
        <f>ROW()-ROW(INDEX(Main[ردیف],1))+1</f>
        <v>1266</v>
      </c>
      <c r="B1268" s="31">
        <f>SUBTOTAL(2,INDEX(Main[ردیف],1):Main[[#This Row],[ردیف]])</f>
        <v>115</v>
      </c>
      <c r="C1268" s="32" t="s">
        <v>637</v>
      </c>
      <c r="D1268" s="32" t="str">
        <f>_xlfn.CONCAT("14",Main[[#This Row],[تاريخ]])</f>
        <v>1400/05/13</v>
      </c>
      <c r="E1268" s="33">
        <v>44412</v>
      </c>
      <c r="F1268" s="32">
        <v>10003</v>
      </c>
      <c r="G1268" s="5" t="str">
        <f>INDEX(customer[عنوان],MATCH(Main[[#This Row],[کد ردیابی]],customer[کد],0))</f>
        <v>اصغر نورعلی</v>
      </c>
      <c r="H1268">
        <v>-1980</v>
      </c>
      <c r="I1268" s="6">
        <f ca="1">-Main[[#This Row],[بدهی تسویه شده (کیلوگرم)]]+Main[[#This Row],[بستانکار (کیلوگرم)]]</f>
        <v>-1980</v>
      </c>
      <c r="J1268" s="6">
        <f>IF(Main[[#This Row],[مقدار (کیلوگرم)]]&gt;0,Main[[#This Row],[مقدار (کیلوگرم)]],0)</f>
        <v>0</v>
      </c>
      <c r="K1268" s="6">
        <f>-IF(Main[[#This Row],[مقدار (کیلوگرم)]]&lt;0,Main[[#This Row],[مقدار (کیلوگرم)]],0)</f>
        <v>1980</v>
      </c>
      <c r="L12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8" s="7">
        <f>-IF(AND(Main[[#This Row],[مقدار (کیلوگرم)]]&lt;0,Main[[#This Row],[تاريخ میلادی]]&gt;44276),Main[[#This Row],[مقدار (کیلوگرم)]],0)</f>
        <v>1980</v>
      </c>
      <c r="N1268" s="6">
        <f ca="1">Main[[#This Row],[بدهکار (کیلوگرم)]]-Main[[#This Row],[بدهی تسویه نشده (کیلوگرم)]]</f>
        <v>1980</v>
      </c>
      <c r="O1268" s="6">
        <f ca="1">Main[[#This Row],[تفکیک]]</f>
        <v>0</v>
      </c>
      <c r="P1268" s="6">
        <f ca="1">IF(Main[[#This Row],[تاخیر از سررسید]]&gt;0,Main[[#This Row],[بدهی تسویه نشده (کیلوگرم)]],0)</f>
        <v>0</v>
      </c>
      <c r="Q1268" s="6">
        <f ca="1">IF(Main[[#This Row],[بدهی تسویه نشده (کیلوگرم)]]&gt;0,'گزارش فردی'!$B$7-Main[[#This Row],[تاريخ میلادی]],0)</f>
        <v>0</v>
      </c>
      <c r="R1268" s="6">
        <f ca="1">IF(Main[[#This Row],[بدهی تسویه نشده (کیلوگرم)]]&gt;0,'گزارش فردی'!$B$7-Main[[#This Row],[تاريخ میلادی]]-'گزارش فردی'!$B$8,0)</f>
        <v>0</v>
      </c>
      <c r="S1268" s="6">
        <f ca="1">Main[[#This Row],[روز از ارسال سفارش]]*Main[[#This Row],[بدهی تسویه نشده (کیلوگرم)]]</f>
        <v>0</v>
      </c>
      <c r="T1268" s="6">
        <f ca="1">Main[[#This Row],[بدهی سررسید شده (کیلوگرم)]]*Main[[#This Row],[روز از ارسال سفارش]]</f>
        <v>0</v>
      </c>
      <c r="U1268" s="6">
        <f>-SUBTOTAL(9,INDEX(Main[مقدار (کیلوگرم)],1):Main[[#This Row],[مقدار (کیلوگرم)]])</f>
        <v>41320</v>
      </c>
      <c r="V126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68" s="6">
        <f>Main[[#This Row],[تعداد کل روزهای بدهکار (روز)]]*Main[[#This Row],[مانده در خط کل (کیلوگرم)]]</f>
        <v>123960</v>
      </c>
      <c r="X1268" s="6">
        <f ca="1">-SUBTOTAL(9,INDEX(Main[مقدار تسویه شده (کیلوگرم)],1):Main[[#This Row],[مقدار تسویه شده (کیلوگرم)]])</f>
        <v>41320</v>
      </c>
      <c r="Y1268" s="6">
        <f ca="1">IF(Main[[#This Row],[مانده در خط تسویه شده (کیلوگرم)]]&lt;&gt;0,Main[[#This Row],[تعداد کل روزهای بدهکار (روز)]],0)</f>
        <v>3</v>
      </c>
      <c r="Z1268" s="6">
        <f ca="1">Main[[#This Row],[تعداد روزهای بدهکار تسویه شده (روز)]]*Main[[#This Row],[مانده در خط تسویه شده (کیلوگرم)]]</f>
        <v>123960</v>
      </c>
      <c r="AA1268" s="6">
        <f ca="1">SUBTOTAL(9,INDEX(Main[بدهی تسویه نشده (کیلوگرم)],1):Main[[#This Row],[بدهی تسویه نشده (کیلوگرم)]])</f>
        <v>0</v>
      </c>
      <c r="AB1268" s="6">
        <f ca="1">IF(Main[[#This Row],[مانده در خط تسویه نشده (کیلوگرم)]]&lt;&gt;0,Main[[#This Row],[تعداد کل روزهای بدهکار (روز)]],0)</f>
        <v>0</v>
      </c>
      <c r="AC1268" s="6">
        <f ca="1">Main[[#This Row],[تعداد روزهای بدهکار  تسویه نشده (روز)]]*Main[[#This Row],[مانده در خط تسویه نشده (کیلوگرم)]]</f>
        <v>0</v>
      </c>
      <c r="AD1268" s="6">
        <f ca="1">SUBTOTAL(9,INDEX(Main[بدهی سررسید شده (کیلوگرم)],1):Main[[#This Row],[بدهی سررسید شده (کیلوگرم)]])</f>
        <v>0</v>
      </c>
      <c r="AE1268" s="6">
        <f ca="1">IF(Main[[#This Row],[مانده در خط سررسید شده (کیلوگرم)]]&lt;&gt;0,Main[[#This Row],[تعداد کل روزهای بدهکار (روز)]],0)</f>
        <v>0</v>
      </c>
      <c r="AF1268" s="6">
        <f ca="1">Main[[#This Row],[تعداد روزهای بدهکار سررسید شده (روز)]]*Main[[#This Row],[مانده در خط سررسید شده (کیلوگرم)]]</f>
        <v>0</v>
      </c>
    </row>
    <row r="1269" spans="1:32" hidden="1" x14ac:dyDescent="0.35">
      <c r="A1269" s="5">
        <f>ROW()-ROW(INDEX(Main[ردیف],1))+1</f>
        <v>1267</v>
      </c>
      <c r="B1269" s="31">
        <f>SUBTOTAL(2,INDEX(Main[ردیف],1):Main[[#This Row],[ردیف]])</f>
        <v>115</v>
      </c>
      <c r="C1269" s="32" t="s">
        <v>637</v>
      </c>
      <c r="D1269" s="32" t="str">
        <f>_xlfn.CONCAT("14",Main[[#This Row],[تاريخ]])</f>
        <v>1400/05/13</v>
      </c>
      <c r="E1269" s="33">
        <v>44412</v>
      </c>
      <c r="F1269" s="32">
        <v>30146</v>
      </c>
      <c r="G1269" s="5" t="str">
        <f>INDEX(customer[عنوان],MATCH(Main[[#This Row],[کد ردیابی]],customer[کد],0))</f>
        <v>شرکت آذرپاد</v>
      </c>
      <c r="H1269">
        <v>488</v>
      </c>
      <c r="I1269" s="6">
        <f ca="1">-Main[[#This Row],[بدهی تسویه شده (کیلوگرم)]]+Main[[#This Row],[بستانکار (کیلوگرم)]]</f>
        <v>488</v>
      </c>
      <c r="J1269" s="6">
        <f>IF(Main[[#This Row],[مقدار (کیلوگرم)]]&gt;0,Main[[#This Row],[مقدار (کیلوگرم)]],0)</f>
        <v>488</v>
      </c>
      <c r="K1269" s="6">
        <f>-IF(Main[[#This Row],[مقدار (کیلوگرم)]]&lt;0,Main[[#This Row],[مقدار (کیلوگرم)]],0)</f>
        <v>0</v>
      </c>
      <c r="L12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9" s="7">
        <f>-IF(AND(Main[[#This Row],[مقدار (کیلوگرم)]]&lt;0,Main[[#This Row],[تاريخ میلادی]]&gt;44276),Main[[#This Row],[مقدار (کیلوگرم)]],0)</f>
        <v>0</v>
      </c>
      <c r="N1269" s="6">
        <f ca="1">Main[[#This Row],[بدهکار (کیلوگرم)]]-Main[[#This Row],[بدهی تسویه نشده (کیلوگرم)]]</f>
        <v>0</v>
      </c>
      <c r="O1269" s="6">
        <f ca="1">Main[[#This Row],[تفکیک]]</f>
        <v>0</v>
      </c>
      <c r="P1269" s="6">
        <f ca="1">IF(Main[[#This Row],[تاخیر از سررسید]]&gt;0,Main[[#This Row],[بدهی تسویه نشده (کیلوگرم)]],0)</f>
        <v>0</v>
      </c>
      <c r="Q1269" s="6">
        <f ca="1">IF(Main[[#This Row],[بدهی تسویه نشده (کیلوگرم)]]&gt;0,'گزارش فردی'!$B$7-Main[[#This Row],[تاريخ میلادی]],0)</f>
        <v>0</v>
      </c>
      <c r="R1269" s="6">
        <f ca="1">IF(Main[[#This Row],[بدهی تسویه نشده (کیلوگرم)]]&gt;0,'گزارش فردی'!$B$7-Main[[#This Row],[تاريخ میلادی]]-'گزارش فردی'!$B$8,0)</f>
        <v>0</v>
      </c>
      <c r="S1269" s="6">
        <f ca="1">Main[[#This Row],[روز از ارسال سفارش]]*Main[[#This Row],[بدهی تسویه نشده (کیلوگرم)]]</f>
        <v>0</v>
      </c>
      <c r="T1269" s="6">
        <f ca="1">Main[[#This Row],[بدهی سررسید شده (کیلوگرم)]]*Main[[#This Row],[روز از ارسال سفارش]]</f>
        <v>0</v>
      </c>
      <c r="U1269" s="6">
        <f>-SUBTOTAL(9,INDEX(Main[مقدار (کیلوگرم)],1):Main[[#This Row],[مقدار (کیلوگرم)]])</f>
        <v>41320</v>
      </c>
      <c r="V126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69" s="6">
        <f>Main[[#This Row],[تعداد کل روزهای بدهکار (روز)]]*Main[[#This Row],[مانده در خط کل (کیلوگرم)]]</f>
        <v>123960</v>
      </c>
      <c r="X1269" s="6">
        <f ca="1">-SUBTOTAL(9,INDEX(Main[مقدار تسویه شده (کیلوگرم)],1):Main[[#This Row],[مقدار تسویه شده (کیلوگرم)]])</f>
        <v>41320</v>
      </c>
      <c r="Y1269" s="6">
        <f ca="1">IF(Main[[#This Row],[مانده در خط تسویه شده (کیلوگرم)]]&lt;&gt;0,Main[[#This Row],[تعداد کل روزهای بدهکار (روز)]],0)</f>
        <v>3</v>
      </c>
      <c r="Z1269" s="6">
        <f ca="1">Main[[#This Row],[تعداد روزهای بدهکار تسویه شده (روز)]]*Main[[#This Row],[مانده در خط تسویه شده (کیلوگرم)]]</f>
        <v>123960</v>
      </c>
      <c r="AA1269" s="6">
        <f ca="1">SUBTOTAL(9,INDEX(Main[بدهی تسویه نشده (کیلوگرم)],1):Main[[#This Row],[بدهی تسویه نشده (کیلوگرم)]])</f>
        <v>0</v>
      </c>
      <c r="AB1269" s="6">
        <f ca="1">IF(Main[[#This Row],[مانده در خط تسویه نشده (کیلوگرم)]]&lt;&gt;0,Main[[#This Row],[تعداد کل روزهای بدهکار (روز)]],0)</f>
        <v>0</v>
      </c>
      <c r="AC1269" s="6">
        <f ca="1">Main[[#This Row],[تعداد روزهای بدهکار  تسویه نشده (روز)]]*Main[[#This Row],[مانده در خط تسویه نشده (کیلوگرم)]]</f>
        <v>0</v>
      </c>
      <c r="AD1269" s="6">
        <f ca="1">SUBTOTAL(9,INDEX(Main[بدهی سررسید شده (کیلوگرم)],1):Main[[#This Row],[بدهی سررسید شده (کیلوگرم)]])</f>
        <v>0</v>
      </c>
      <c r="AE1269" s="6">
        <f ca="1">IF(Main[[#This Row],[مانده در خط سررسید شده (کیلوگرم)]]&lt;&gt;0,Main[[#This Row],[تعداد کل روزهای بدهکار (روز)]],0)</f>
        <v>0</v>
      </c>
      <c r="AF1269" s="6">
        <f ca="1">Main[[#This Row],[تعداد روزهای بدهکار سررسید شده (روز)]]*Main[[#This Row],[مانده در خط سررسید شده (کیلوگرم)]]</f>
        <v>0</v>
      </c>
    </row>
    <row r="1270" spans="1:32" hidden="1" x14ac:dyDescent="0.35">
      <c r="A1270" s="5">
        <f>ROW()-ROW(INDEX(Main[ردیف],1))+1</f>
        <v>1268</v>
      </c>
      <c r="B1270" s="31">
        <f>SUBTOTAL(2,INDEX(Main[ردیف],1):Main[[#This Row],[ردیف]])</f>
        <v>115</v>
      </c>
      <c r="C1270" s="32" t="s">
        <v>637</v>
      </c>
      <c r="D1270" s="32" t="str">
        <f>_xlfn.CONCAT("14",Main[[#This Row],[تاريخ]])</f>
        <v>1400/05/13</v>
      </c>
      <c r="E1270" s="33">
        <v>44412</v>
      </c>
      <c r="F1270" s="32">
        <v>10055</v>
      </c>
      <c r="G1270" s="5" t="str">
        <f>INDEX(customer[عنوان],MATCH(Main[[#This Row],[کد ردیابی]],customer[کد],0))</f>
        <v xml:space="preserve">مریم فیض آبادی  </v>
      </c>
      <c r="H1270">
        <v>-4994</v>
      </c>
      <c r="I1270" s="6">
        <f ca="1">-Main[[#This Row],[بدهی تسویه شده (کیلوگرم)]]+Main[[#This Row],[بستانکار (کیلوگرم)]]</f>
        <v>-4994</v>
      </c>
      <c r="J1270" s="6">
        <f>IF(Main[[#This Row],[مقدار (کیلوگرم)]]&gt;0,Main[[#This Row],[مقدار (کیلوگرم)]],0)</f>
        <v>0</v>
      </c>
      <c r="K1270" s="6">
        <f>-IF(Main[[#This Row],[مقدار (کیلوگرم)]]&lt;0,Main[[#This Row],[مقدار (کیلوگرم)]],0)</f>
        <v>4994</v>
      </c>
      <c r="L12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0" s="7">
        <f>-IF(AND(Main[[#This Row],[مقدار (کیلوگرم)]]&lt;0,Main[[#This Row],[تاريخ میلادی]]&gt;44276),Main[[#This Row],[مقدار (کیلوگرم)]],0)</f>
        <v>4994</v>
      </c>
      <c r="N1270" s="6">
        <f ca="1">Main[[#This Row],[بدهکار (کیلوگرم)]]-Main[[#This Row],[بدهی تسویه نشده (کیلوگرم)]]</f>
        <v>4994</v>
      </c>
      <c r="O1270" s="6">
        <f ca="1">Main[[#This Row],[تفکیک]]</f>
        <v>0</v>
      </c>
      <c r="P1270" s="6">
        <f ca="1">IF(Main[[#This Row],[تاخیر از سررسید]]&gt;0,Main[[#This Row],[بدهی تسویه نشده (کیلوگرم)]],0)</f>
        <v>0</v>
      </c>
      <c r="Q1270" s="6">
        <f ca="1">IF(Main[[#This Row],[بدهی تسویه نشده (کیلوگرم)]]&gt;0,'گزارش فردی'!$B$7-Main[[#This Row],[تاريخ میلادی]],0)</f>
        <v>0</v>
      </c>
      <c r="R1270" s="6">
        <f ca="1">IF(Main[[#This Row],[بدهی تسویه نشده (کیلوگرم)]]&gt;0,'گزارش فردی'!$B$7-Main[[#This Row],[تاريخ میلادی]]-'گزارش فردی'!$B$8,0)</f>
        <v>0</v>
      </c>
      <c r="S1270" s="6">
        <f ca="1">Main[[#This Row],[روز از ارسال سفارش]]*Main[[#This Row],[بدهی تسویه نشده (کیلوگرم)]]</f>
        <v>0</v>
      </c>
      <c r="T1270" s="6">
        <f ca="1">Main[[#This Row],[بدهی سررسید شده (کیلوگرم)]]*Main[[#This Row],[روز از ارسال سفارش]]</f>
        <v>0</v>
      </c>
      <c r="U1270" s="6">
        <f>-SUBTOTAL(9,INDEX(Main[مقدار (کیلوگرم)],1):Main[[#This Row],[مقدار (کیلوگرم)]])</f>
        <v>41320</v>
      </c>
      <c r="V127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0" s="6">
        <f>Main[[#This Row],[تعداد کل روزهای بدهکار (روز)]]*Main[[#This Row],[مانده در خط کل (کیلوگرم)]]</f>
        <v>123960</v>
      </c>
      <c r="X1270" s="6">
        <f ca="1">-SUBTOTAL(9,INDEX(Main[مقدار تسویه شده (کیلوگرم)],1):Main[[#This Row],[مقدار تسویه شده (کیلوگرم)]])</f>
        <v>41320</v>
      </c>
      <c r="Y1270" s="6">
        <f ca="1">IF(Main[[#This Row],[مانده در خط تسویه شده (کیلوگرم)]]&lt;&gt;0,Main[[#This Row],[تعداد کل روزهای بدهکار (روز)]],0)</f>
        <v>3</v>
      </c>
      <c r="Z1270" s="6">
        <f ca="1">Main[[#This Row],[تعداد روزهای بدهکار تسویه شده (روز)]]*Main[[#This Row],[مانده در خط تسویه شده (کیلوگرم)]]</f>
        <v>123960</v>
      </c>
      <c r="AA1270" s="6">
        <f ca="1">SUBTOTAL(9,INDEX(Main[بدهی تسویه نشده (کیلوگرم)],1):Main[[#This Row],[بدهی تسویه نشده (کیلوگرم)]])</f>
        <v>0</v>
      </c>
      <c r="AB1270" s="6">
        <f ca="1">IF(Main[[#This Row],[مانده در خط تسویه نشده (کیلوگرم)]]&lt;&gt;0,Main[[#This Row],[تعداد کل روزهای بدهکار (روز)]],0)</f>
        <v>0</v>
      </c>
      <c r="AC1270" s="6">
        <f ca="1">Main[[#This Row],[تعداد روزهای بدهکار  تسویه نشده (روز)]]*Main[[#This Row],[مانده در خط تسویه نشده (کیلوگرم)]]</f>
        <v>0</v>
      </c>
      <c r="AD1270" s="6">
        <f ca="1">SUBTOTAL(9,INDEX(Main[بدهی سررسید شده (کیلوگرم)],1):Main[[#This Row],[بدهی سررسید شده (کیلوگرم)]])</f>
        <v>0</v>
      </c>
      <c r="AE1270" s="6">
        <f ca="1">IF(Main[[#This Row],[مانده در خط سررسید شده (کیلوگرم)]]&lt;&gt;0,Main[[#This Row],[تعداد کل روزهای بدهکار (روز)]],0)</f>
        <v>0</v>
      </c>
      <c r="AF1270" s="6">
        <f ca="1">Main[[#This Row],[تعداد روزهای بدهکار سررسید شده (روز)]]*Main[[#This Row],[مانده در خط سررسید شده (کیلوگرم)]]</f>
        <v>0</v>
      </c>
    </row>
    <row r="1271" spans="1:32" hidden="1" x14ac:dyDescent="0.35">
      <c r="A1271" s="5">
        <f>ROW()-ROW(INDEX(Main[ردیف],1))+1</f>
        <v>1269</v>
      </c>
      <c r="B1271" s="31">
        <f>SUBTOTAL(2,INDEX(Main[ردیف],1):Main[[#This Row],[ردیف]])</f>
        <v>115</v>
      </c>
      <c r="C1271" s="32" t="s">
        <v>637</v>
      </c>
      <c r="D1271" s="32" t="str">
        <f>_xlfn.CONCAT("14",Main[[#This Row],[تاريخ]])</f>
        <v>1400/05/13</v>
      </c>
      <c r="E1271" s="33">
        <v>44412</v>
      </c>
      <c r="F1271" s="32">
        <v>30066</v>
      </c>
      <c r="G1271" s="5" t="str">
        <f>INDEX(customer[عنوان],MATCH(Main[[#This Row],[کد ردیابی]],customer[کد],0))</f>
        <v xml:space="preserve">شیر آلات بهداشتی قهرمان </v>
      </c>
      <c r="H1271">
        <v>3667</v>
      </c>
      <c r="I1271" s="6">
        <f ca="1">-Main[[#This Row],[بدهی تسویه شده (کیلوگرم)]]+Main[[#This Row],[بستانکار (کیلوگرم)]]</f>
        <v>3667</v>
      </c>
      <c r="J1271" s="6">
        <f>IF(Main[[#This Row],[مقدار (کیلوگرم)]]&gt;0,Main[[#This Row],[مقدار (کیلوگرم)]],0)</f>
        <v>3667</v>
      </c>
      <c r="K1271" s="6">
        <f>-IF(Main[[#This Row],[مقدار (کیلوگرم)]]&lt;0,Main[[#This Row],[مقدار (کیلوگرم)]],0)</f>
        <v>0</v>
      </c>
      <c r="L12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1" s="7">
        <f>-IF(AND(Main[[#This Row],[مقدار (کیلوگرم)]]&lt;0,Main[[#This Row],[تاريخ میلادی]]&gt;44276),Main[[#This Row],[مقدار (کیلوگرم)]],0)</f>
        <v>0</v>
      </c>
      <c r="N1271" s="6">
        <f ca="1">Main[[#This Row],[بدهکار (کیلوگرم)]]-Main[[#This Row],[بدهی تسویه نشده (کیلوگرم)]]</f>
        <v>0</v>
      </c>
      <c r="O1271" s="6">
        <f ca="1">Main[[#This Row],[تفکیک]]</f>
        <v>0</v>
      </c>
      <c r="P1271" s="6">
        <f ca="1">IF(Main[[#This Row],[تاخیر از سررسید]]&gt;0,Main[[#This Row],[بدهی تسویه نشده (کیلوگرم)]],0)</f>
        <v>0</v>
      </c>
      <c r="Q1271" s="6">
        <f ca="1">IF(Main[[#This Row],[بدهی تسویه نشده (کیلوگرم)]]&gt;0,'گزارش فردی'!$B$7-Main[[#This Row],[تاريخ میلادی]],0)</f>
        <v>0</v>
      </c>
      <c r="R1271" s="6">
        <f ca="1">IF(Main[[#This Row],[بدهی تسویه نشده (کیلوگرم)]]&gt;0,'گزارش فردی'!$B$7-Main[[#This Row],[تاريخ میلادی]]-'گزارش فردی'!$B$8,0)</f>
        <v>0</v>
      </c>
      <c r="S1271" s="6">
        <f ca="1">Main[[#This Row],[روز از ارسال سفارش]]*Main[[#This Row],[بدهی تسویه نشده (کیلوگرم)]]</f>
        <v>0</v>
      </c>
      <c r="T1271" s="6">
        <f ca="1">Main[[#This Row],[بدهی سررسید شده (کیلوگرم)]]*Main[[#This Row],[روز از ارسال سفارش]]</f>
        <v>0</v>
      </c>
      <c r="U1271" s="6">
        <f>-SUBTOTAL(9,INDEX(Main[مقدار (کیلوگرم)],1):Main[[#This Row],[مقدار (کیلوگرم)]])</f>
        <v>41320</v>
      </c>
      <c r="V127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1" s="6">
        <f>Main[[#This Row],[تعداد کل روزهای بدهکار (روز)]]*Main[[#This Row],[مانده در خط کل (کیلوگرم)]]</f>
        <v>123960</v>
      </c>
      <c r="X1271" s="6">
        <f ca="1">-SUBTOTAL(9,INDEX(Main[مقدار تسویه شده (کیلوگرم)],1):Main[[#This Row],[مقدار تسویه شده (کیلوگرم)]])</f>
        <v>41320</v>
      </c>
      <c r="Y1271" s="6">
        <f ca="1">IF(Main[[#This Row],[مانده در خط تسویه شده (کیلوگرم)]]&lt;&gt;0,Main[[#This Row],[تعداد کل روزهای بدهکار (روز)]],0)</f>
        <v>3</v>
      </c>
      <c r="Z1271" s="6">
        <f ca="1">Main[[#This Row],[تعداد روزهای بدهکار تسویه شده (روز)]]*Main[[#This Row],[مانده در خط تسویه شده (کیلوگرم)]]</f>
        <v>123960</v>
      </c>
      <c r="AA1271" s="6">
        <f ca="1">SUBTOTAL(9,INDEX(Main[بدهی تسویه نشده (کیلوگرم)],1):Main[[#This Row],[بدهی تسویه نشده (کیلوگرم)]])</f>
        <v>0</v>
      </c>
      <c r="AB1271" s="6">
        <f ca="1">IF(Main[[#This Row],[مانده در خط تسویه نشده (کیلوگرم)]]&lt;&gt;0,Main[[#This Row],[تعداد کل روزهای بدهکار (روز)]],0)</f>
        <v>0</v>
      </c>
      <c r="AC1271" s="6">
        <f ca="1">Main[[#This Row],[تعداد روزهای بدهکار  تسویه نشده (روز)]]*Main[[#This Row],[مانده در خط تسویه نشده (کیلوگرم)]]</f>
        <v>0</v>
      </c>
      <c r="AD1271" s="6">
        <f ca="1">SUBTOTAL(9,INDEX(Main[بدهی سررسید شده (کیلوگرم)],1):Main[[#This Row],[بدهی سررسید شده (کیلوگرم)]])</f>
        <v>0</v>
      </c>
      <c r="AE1271" s="6">
        <f ca="1">IF(Main[[#This Row],[مانده در خط سررسید شده (کیلوگرم)]]&lt;&gt;0,Main[[#This Row],[تعداد کل روزهای بدهکار (روز)]],0)</f>
        <v>0</v>
      </c>
      <c r="AF1271" s="6">
        <f ca="1">Main[[#This Row],[تعداد روزهای بدهکار سررسید شده (روز)]]*Main[[#This Row],[مانده در خط سررسید شده (کیلوگرم)]]</f>
        <v>0</v>
      </c>
    </row>
    <row r="1272" spans="1:32" hidden="1" x14ac:dyDescent="0.35">
      <c r="A1272" s="5">
        <f>ROW()-ROW(INDEX(Main[ردیف],1))+1</f>
        <v>1270</v>
      </c>
      <c r="B1272" s="31">
        <f>SUBTOTAL(2,INDEX(Main[ردیف],1):Main[[#This Row],[ردیف]])</f>
        <v>115</v>
      </c>
      <c r="C1272" s="32" t="s">
        <v>637</v>
      </c>
      <c r="D1272" s="32" t="str">
        <f>_xlfn.CONCAT("14",Main[[#This Row],[تاريخ]])</f>
        <v>1400/05/13</v>
      </c>
      <c r="E1272" s="33">
        <v>44412</v>
      </c>
      <c r="F1272" s="32">
        <v>30017</v>
      </c>
      <c r="G1272" s="5" t="str">
        <f>INDEX(customer[عنوان],MATCH(Main[[#This Row],[کد ردیابی]],customer[کد],0))</f>
        <v xml:space="preserve">البرز یدک </v>
      </c>
      <c r="H1272">
        <v>292</v>
      </c>
      <c r="I1272" s="6">
        <f ca="1">-Main[[#This Row],[بدهی تسویه شده (کیلوگرم)]]+Main[[#This Row],[بستانکار (کیلوگرم)]]</f>
        <v>292</v>
      </c>
      <c r="J1272" s="6">
        <f>IF(Main[[#This Row],[مقدار (کیلوگرم)]]&gt;0,Main[[#This Row],[مقدار (کیلوگرم)]],0)</f>
        <v>292</v>
      </c>
      <c r="K1272" s="6">
        <f>-IF(Main[[#This Row],[مقدار (کیلوگرم)]]&lt;0,Main[[#This Row],[مقدار (کیلوگرم)]],0)</f>
        <v>0</v>
      </c>
      <c r="L12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2" s="7">
        <f>-IF(AND(Main[[#This Row],[مقدار (کیلوگرم)]]&lt;0,Main[[#This Row],[تاريخ میلادی]]&gt;44276),Main[[#This Row],[مقدار (کیلوگرم)]],0)</f>
        <v>0</v>
      </c>
      <c r="N1272" s="6">
        <f ca="1">Main[[#This Row],[بدهکار (کیلوگرم)]]-Main[[#This Row],[بدهی تسویه نشده (کیلوگرم)]]</f>
        <v>0</v>
      </c>
      <c r="O1272" s="6">
        <f ca="1">Main[[#This Row],[تفکیک]]</f>
        <v>0</v>
      </c>
      <c r="P1272" s="6">
        <f ca="1">IF(Main[[#This Row],[تاخیر از سررسید]]&gt;0,Main[[#This Row],[بدهی تسویه نشده (کیلوگرم)]],0)</f>
        <v>0</v>
      </c>
      <c r="Q1272" s="6">
        <f ca="1">IF(Main[[#This Row],[بدهی تسویه نشده (کیلوگرم)]]&gt;0,'گزارش فردی'!$B$7-Main[[#This Row],[تاريخ میلادی]],0)</f>
        <v>0</v>
      </c>
      <c r="R1272" s="6">
        <f ca="1">IF(Main[[#This Row],[بدهی تسویه نشده (کیلوگرم)]]&gt;0,'گزارش فردی'!$B$7-Main[[#This Row],[تاريخ میلادی]]-'گزارش فردی'!$B$8,0)</f>
        <v>0</v>
      </c>
      <c r="S1272" s="6">
        <f ca="1">Main[[#This Row],[روز از ارسال سفارش]]*Main[[#This Row],[بدهی تسویه نشده (کیلوگرم)]]</f>
        <v>0</v>
      </c>
      <c r="T1272" s="6">
        <f ca="1">Main[[#This Row],[بدهی سررسید شده (کیلوگرم)]]*Main[[#This Row],[روز از ارسال سفارش]]</f>
        <v>0</v>
      </c>
      <c r="U1272" s="6">
        <f>-SUBTOTAL(9,INDEX(Main[مقدار (کیلوگرم)],1):Main[[#This Row],[مقدار (کیلوگرم)]])</f>
        <v>41320</v>
      </c>
      <c r="V127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2" s="6">
        <f>Main[[#This Row],[تعداد کل روزهای بدهکار (روز)]]*Main[[#This Row],[مانده در خط کل (کیلوگرم)]]</f>
        <v>123960</v>
      </c>
      <c r="X1272" s="6">
        <f ca="1">-SUBTOTAL(9,INDEX(Main[مقدار تسویه شده (کیلوگرم)],1):Main[[#This Row],[مقدار تسویه شده (کیلوگرم)]])</f>
        <v>41320</v>
      </c>
      <c r="Y1272" s="6">
        <f ca="1">IF(Main[[#This Row],[مانده در خط تسویه شده (کیلوگرم)]]&lt;&gt;0,Main[[#This Row],[تعداد کل روزهای بدهکار (روز)]],0)</f>
        <v>3</v>
      </c>
      <c r="Z1272" s="6">
        <f ca="1">Main[[#This Row],[تعداد روزهای بدهکار تسویه شده (روز)]]*Main[[#This Row],[مانده در خط تسویه شده (کیلوگرم)]]</f>
        <v>123960</v>
      </c>
      <c r="AA1272" s="6">
        <f ca="1">SUBTOTAL(9,INDEX(Main[بدهی تسویه نشده (کیلوگرم)],1):Main[[#This Row],[بدهی تسویه نشده (کیلوگرم)]])</f>
        <v>0</v>
      </c>
      <c r="AB1272" s="6">
        <f ca="1">IF(Main[[#This Row],[مانده در خط تسویه نشده (کیلوگرم)]]&lt;&gt;0,Main[[#This Row],[تعداد کل روزهای بدهکار (روز)]],0)</f>
        <v>0</v>
      </c>
      <c r="AC1272" s="6">
        <f ca="1">Main[[#This Row],[تعداد روزهای بدهکار  تسویه نشده (روز)]]*Main[[#This Row],[مانده در خط تسویه نشده (کیلوگرم)]]</f>
        <v>0</v>
      </c>
      <c r="AD1272" s="6">
        <f ca="1">SUBTOTAL(9,INDEX(Main[بدهی سررسید شده (کیلوگرم)],1):Main[[#This Row],[بدهی سررسید شده (کیلوگرم)]])</f>
        <v>0</v>
      </c>
      <c r="AE1272" s="6">
        <f ca="1">IF(Main[[#This Row],[مانده در خط سررسید شده (کیلوگرم)]]&lt;&gt;0,Main[[#This Row],[تعداد کل روزهای بدهکار (روز)]],0)</f>
        <v>0</v>
      </c>
      <c r="AF1272" s="6">
        <f ca="1">Main[[#This Row],[تعداد روزهای بدهکار سررسید شده (روز)]]*Main[[#This Row],[مانده در خط سررسید شده (کیلوگرم)]]</f>
        <v>0</v>
      </c>
    </row>
    <row r="1273" spans="1:32" hidden="1" x14ac:dyDescent="0.35">
      <c r="A1273" s="5">
        <f>ROW()-ROW(INDEX(Main[ردیف],1))+1</f>
        <v>1271</v>
      </c>
      <c r="B1273" s="31">
        <f>SUBTOTAL(2,INDEX(Main[ردیف],1):Main[[#This Row],[ردیف]])</f>
        <v>115</v>
      </c>
      <c r="C1273" s="32" t="s">
        <v>637</v>
      </c>
      <c r="D1273" s="32" t="str">
        <f>_xlfn.CONCAT("14",Main[[#This Row],[تاريخ]])</f>
        <v>1400/05/13</v>
      </c>
      <c r="E1273" s="33">
        <v>44412</v>
      </c>
      <c r="F1273" s="32">
        <v>30017</v>
      </c>
      <c r="G1273" s="5" t="str">
        <f>INDEX(customer[عنوان],MATCH(Main[[#This Row],[کد ردیابی]],customer[کد],0))</f>
        <v xml:space="preserve">البرز یدک </v>
      </c>
      <c r="H1273">
        <v>2142</v>
      </c>
      <c r="I1273" s="6">
        <f ca="1">-Main[[#This Row],[بدهی تسویه شده (کیلوگرم)]]+Main[[#This Row],[بستانکار (کیلوگرم)]]</f>
        <v>2142</v>
      </c>
      <c r="J1273" s="6">
        <f>IF(Main[[#This Row],[مقدار (کیلوگرم)]]&gt;0,Main[[#This Row],[مقدار (کیلوگرم)]],0)</f>
        <v>2142</v>
      </c>
      <c r="K1273" s="6">
        <f>-IF(Main[[#This Row],[مقدار (کیلوگرم)]]&lt;0,Main[[#This Row],[مقدار (کیلوگرم)]],0)</f>
        <v>0</v>
      </c>
      <c r="L12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3" s="7">
        <f>-IF(AND(Main[[#This Row],[مقدار (کیلوگرم)]]&lt;0,Main[[#This Row],[تاريخ میلادی]]&gt;44276),Main[[#This Row],[مقدار (کیلوگرم)]],0)</f>
        <v>0</v>
      </c>
      <c r="N1273" s="6">
        <f ca="1">Main[[#This Row],[بدهکار (کیلوگرم)]]-Main[[#This Row],[بدهی تسویه نشده (کیلوگرم)]]</f>
        <v>0</v>
      </c>
      <c r="O1273" s="6">
        <f ca="1">Main[[#This Row],[تفکیک]]</f>
        <v>0</v>
      </c>
      <c r="P1273" s="6">
        <f ca="1">IF(Main[[#This Row],[تاخیر از سررسید]]&gt;0,Main[[#This Row],[بدهی تسویه نشده (کیلوگرم)]],0)</f>
        <v>0</v>
      </c>
      <c r="Q1273" s="6">
        <f ca="1">IF(Main[[#This Row],[بدهی تسویه نشده (کیلوگرم)]]&gt;0,'گزارش فردی'!$B$7-Main[[#This Row],[تاريخ میلادی]],0)</f>
        <v>0</v>
      </c>
      <c r="R1273" s="6">
        <f ca="1">IF(Main[[#This Row],[بدهی تسویه نشده (کیلوگرم)]]&gt;0,'گزارش فردی'!$B$7-Main[[#This Row],[تاريخ میلادی]]-'گزارش فردی'!$B$8,0)</f>
        <v>0</v>
      </c>
      <c r="S1273" s="6">
        <f ca="1">Main[[#This Row],[روز از ارسال سفارش]]*Main[[#This Row],[بدهی تسویه نشده (کیلوگرم)]]</f>
        <v>0</v>
      </c>
      <c r="T1273" s="6">
        <f ca="1">Main[[#This Row],[بدهی سررسید شده (کیلوگرم)]]*Main[[#This Row],[روز از ارسال سفارش]]</f>
        <v>0</v>
      </c>
      <c r="U1273" s="6">
        <f>-SUBTOTAL(9,INDEX(Main[مقدار (کیلوگرم)],1):Main[[#This Row],[مقدار (کیلوگرم)]])</f>
        <v>41320</v>
      </c>
      <c r="V127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3" s="6">
        <f>Main[[#This Row],[تعداد کل روزهای بدهکار (روز)]]*Main[[#This Row],[مانده در خط کل (کیلوگرم)]]</f>
        <v>123960</v>
      </c>
      <c r="X1273" s="6">
        <f ca="1">-SUBTOTAL(9,INDEX(Main[مقدار تسویه شده (کیلوگرم)],1):Main[[#This Row],[مقدار تسویه شده (کیلوگرم)]])</f>
        <v>41320</v>
      </c>
      <c r="Y1273" s="6">
        <f ca="1">IF(Main[[#This Row],[مانده در خط تسویه شده (کیلوگرم)]]&lt;&gt;0,Main[[#This Row],[تعداد کل روزهای بدهکار (روز)]],0)</f>
        <v>3</v>
      </c>
      <c r="Z1273" s="6">
        <f ca="1">Main[[#This Row],[تعداد روزهای بدهکار تسویه شده (روز)]]*Main[[#This Row],[مانده در خط تسویه شده (کیلوگرم)]]</f>
        <v>123960</v>
      </c>
      <c r="AA1273" s="6">
        <f ca="1">SUBTOTAL(9,INDEX(Main[بدهی تسویه نشده (کیلوگرم)],1):Main[[#This Row],[بدهی تسویه نشده (کیلوگرم)]])</f>
        <v>0</v>
      </c>
      <c r="AB1273" s="6">
        <f ca="1">IF(Main[[#This Row],[مانده در خط تسویه نشده (کیلوگرم)]]&lt;&gt;0,Main[[#This Row],[تعداد کل روزهای بدهکار (روز)]],0)</f>
        <v>0</v>
      </c>
      <c r="AC1273" s="6">
        <f ca="1">Main[[#This Row],[تعداد روزهای بدهکار  تسویه نشده (روز)]]*Main[[#This Row],[مانده در خط تسویه نشده (کیلوگرم)]]</f>
        <v>0</v>
      </c>
      <c r="AD1273" s="6">
        <f ca="1">SUBTOTAL(9,INDEX(Main[بدهی سررسید شده (کیلوگرم)],1):Main[[#This Row],[بدهی سررسید شده (کیلوگرم)]])</f>
        <v>0</v>
      </c>
      <c r="AE1273" s="6">
        <f ca="1">IF(Main[[#This Row],[مانده در خط سررسید شده (کیلوگرم)]]&lt;&gt;0,Main[[#This Row],[تعداد کل روزهای بدهکار (روز)]],0)</f>
        <v>0</v>
      </c>
      <c r="AF1273" s="6">
        <f ca="1">Main[[#This Row],[تعداد روزهای بدهکار سررسید شده (روز)]]*Main[[#This Row],[مانده در خط سررسید شده (کیلوگرم)]]</f>
        <v>0</v>
      </c>
    </row>
    <row r="1274" spans="1:32" hidden="1" x14ac:dyDescent="0.35">
      <c r="A1274" s="5">
        <f>ROW()-ROW(INDEX(Main[ردیف],1))+1</f>
        <v>1272</v>
      </c>
      <c r="B1274" s="31">
        <f>SUBTOTAL(2,INDEX(Main[ردیف],1):Main[[#This Row],[ردیف]])</f>
        <v>115</v>
      </c>
      <c r="C1274" s="32" t="s">
        <v>637</v>
      </c>
      <c r="D1274" s="32" t="str">
        <f>_xlfn.CONCAT("14",Main[[#This Row],[تاريخ]])</f>
        <v>1400/05/13</v>
      </c>
      <c r="E1274" s="33">
        <v>44412</v>
      </c>
      <c r="F1274" s="32">
        <v>30191</v>
      </c>
      <c r="G1274" s="5" t="str">
        <f>INDEX(customer[عنوان],MATCH(Main[[#This Row],[کد ردیابی]],customer[کد],0))</f>
        <v>ایران گرما</v>
      </c>
      <c r="H1274">
        <v>920</v>
      </c>
      <c r="I1274" s="6">
        <f ca="1">-Main[[#This Row],[بدهی تسویه شده (کیلوگرم)]]+Main[[#This Row],[بستانکار (کیلوگرم)]]</f>
        <v>920</v>
      </c>
      <c r="J1274" s="6">
        <f>IF(Main[[#This Row],[مقدار (کیلوگرم)]]&gt;0,Main[[#This Row],[مقدار (کیلوگرم)]],0)</f>
        <v>920</v>
      </c>
      <c r="K1274" s="6">
        <f>-IF(Main[[#This Row],[مقدار (کیلوگرم)]]&lt;0,Main[[#This Row],[مقدار (کیلوگرم)]],0)</f>
        <v>0</v>
      </c>
      <c r="L12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4" s="7">
        <f>-IF(AND(Main[[#This Row],[مقدار (کیلوگرم)]]&lt;0,Main[[#This Row],[تاريخ میلادی]]&gt;44276),Main[[#This Row],[مقدار (کیلوگرم)]],0)</f>
        <v>0</v>
      </c>
      <c r="N1274" s="6">
        <f ca="1">Main[[#This Row],[بدهکار (کیلوگرم)]]-Main[[#This Row],[بدهی تسویه نشده (کیلوگرم)]]</f>
        <v>0</v>
      </c>
      <c r="O1274" s="6">
        <f ca="1">Main[[#This Row],[تفکیک]]</f>
        <v>0</v>
      </c>
      <c r="P1274" s="6">
        <f ca="1">IF(Main[[#This Row],[تاخیر از سررسید]]&gt;0,Main[[#This Row],[بدهی تسویه نشده (کیلوگرم)]],0)</f>
        <v>0</v>
      </c>
      <c r="Q1274" s="6">
        <f ca="1">IF(Main[[#This Row],[بدهی تسویه نشده (کیلوگرم)]]&gt;0,'گزارش فردی'!$B$7-Main[[#This Row],[تاريخ میلادی]],0)</f>
        <v>0</v>
      </c>
      <c r="R1274" s="6">
        <f ca="1">IF(Main[[#This Row],[بدهی تسویه نشده (کیلوگرم)]]&gt;0,'گزارش فردی'!$B$7-Main[[#This Row],[تاريخ میلادی]]-'گزارش فردی'!$B$8,0)</f>
        <v>0</v>
      </c>
      <c r="S1274" s="6">
        <f ca="1">Main[[#This Row],[روز از ارسال سفارش]]*Main[[#This Row],[بدهی تسویه نشده (کیلوگرم)]]</f>
        <v>0</v>
      </c>
      <c r="T1274" s="6">
        <f ca="1">Main[[#This Row],[بدهی سررسید شده (کیلوگرم)]]*Main[[#This Row],[روز از ارسال سفارش]]</f>
        <v>0</v>
      </c>
      <c r="U1274" s="6">
        <f>-SUBTOTAL(9,INDEX(Main[مقدار (کیلوگرم)],1):Main[[#This Row],[مقدار (کیلوگرم)]])</f>
        <v>41320</v>
      </c>
      <c r="V127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4" s="6">
        <f>Main[[#This Row],[تعداد کل روزهای بدهکار (روز)]]*Main[[#This Row],[مانده در خط کل (کیلوگرم)]]</f>
        <v>123960</v>
      </c>
      <c r="X1274" s="6">
        <f ca="1">-SUBTOTAL(9,INDEX(Main[مقدار تسویه شده (کیلوگرم)],1):Main[[#This Row],[مقدار تسویه شده (کیلوگرم)]])</f>
        <v>41320</v>
      </c>
      <c r="Y1274" s="6">
        <f ca="1">IF(Main[[#This Row],[مانده در خط تسویه شده (کیلوگرم)]]&lt;&gt;0,Main[[#This Row],[تعداد کل روزهای بدهکار (روز)]],0)</f>
        <v>3</v>
      </c>
      <c r="Z1274" s="6">
        <f ca="1">Main[[#This Row],[تعداد روزهای بدهکار تسویه شده (روز)]]*Main[[#This Row],[مانده در خط تسویه شده (کیلوگرم)]]</f>
        <v>123960</v>
      </c>
      <c r="AA1274" s="6">
        <f ca="1">SUBTOTAL(9,INDEX(Main[بدهی تسویه نشده (کیلوگرم)],1):Main[[#This Row],[بدهی تسویه نشده (کیلوگرم)]])</f>
        <v>0</v>
      </c>
      <c r="AB1274" s="6">
        <f ca="1">IF(Main[[#This Row],[مانده در خط تسویه نشده (کیلوگرم)]]&lt;&gt;0,Main[[#This Row],[تعداد کل روزهای بدهکار (روز)]],0)</f>
        <v>0</v>
      </c>
      <c r="AC1274" s="6">
        <f ca="1">Main[[#This Row],[تعداد روزهای بدهکار  تسویه نشده (روز)]]*Main[[#This Row],[مانده در خط تسویه نشده (کیلوگرم)]]</f>
        <v>0</v>
      </c>
      <c r="AD1274" s="6">
        <f ca="1">SUBTOTAL(9,INDEX(Main[بدهی سررسید شده (کیلوگرم)],1):Main[[#This Row],[بدهی سررسید شده (کیلوگرم)]])</f>
        <v>0</v>
      </c>
      <c r="AE1274" s="6">
        <f ca="1">IF(Main[[#This Row],[مانده در خط سررسید شده (کیلوگرم)]]&lt;&gt;0,Main[[#This Row],[تعداد کل روزهای بدهکار (روز)]],0)</f>
        <v>0</v>
      </c>
      <c r="AF1274" s="6">
        <f ca="1">Main[[#This Row],[تعداد روزهای بدهکار سررسید شده (روز)]]*Main[[#This Row],[مانده در خط سررسید شده (کیلوگرم)]]</f>
        <v>0</v>
      </c>
    </row>
    <row r="1275" spans="1:32" hidden="1" x14ac:dyDescent="0.35">
      <c r="A1275" s="5">
        <f>ROW()-ROW(INDEX(Main[ردیف],1))+1</f>
        <v>1273</v>
      </c>
      <c r="B1275" s="31">
        <f>SUBTOTAL(2,INDEX(Main[ردیف],1):Main[[#This Row],[ردیف]])</f>
        <v>115</v>
      </c>
      <c r="C1275" s="32" t="s">
        <v>638</v>
      </c>
      <c r="D1275" s="32" t="str">
        <f>_xlfn.CONCAT("14",Main[[#This Row],[تاريخ]])</f>
        <v>1400/05/14</v>
      </c>
      <c r="E1275" s="33">
        <v>44413</v>
      </c>
      <c r="F1275" s="32">
        <v>30014</v>
      </c>
      <c r="G1275" s="5" t="str">
        <f>INDEX(customer[عنوان],MATCH(Main[[#This Row],[کد ردیابی]],customer[کد],0))</f>
        <v>کلون</v>
      </c>
      <c r="H1275">
        <v>-998</v>
      </c>
      <c r="I1275" s="6">
        <f ca="1">-Main[[#This Row],[بدهی تسویه شده (کیلوگرم)]]+Main[[#This Row],[بستانکار (کیلوگرم)]]</f>
        <v>-998</v>
      </c>
      <c r="J1275" s="6">
        <f>IF(Main[[#This Row],[مقدار (کیلوگرم)]]&gt;0,Main[[#This Row],[مقدار (کیلوگرم)]],0)</f>
        <v>0</v>
      </c>
      <c r="K1275" s="6">
        <f>-IF(Main[[#This Row],[مقدار (کیلوگرم)]]&lt;0,Main[[#This Row],[مقدار (کیلوگرم)]],0)</f>
        <v>998</v>
      </c>
      <c r="L12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5" s="7">
        <f>-IF(AND(Main[[#This Row],[مقدار (کیلوگرم)]]&lt;0,Main[[#This Row],[تاريخ میلادی]]&gt;44276),Main[[#This Row],[مقدار (کیلوگرم)]],0)</f>
        <v>998</v>
      </c>
      <c r="N1275" s="6">
        <f ca="1">Main[[#This Row],[بدهکار (کیلوگرم)]]-Main[[#This Row],[بدهی تسویه نشده (کیلوگرم)]]</f>
        <v>998</v>
      </c>
      <c r="O1275" s="6">
        <f ca="1">Main[[#This Row],[تفکیک]]</f>
        <v>0</v>
      </c>
      <c r="P1275" s="6">
        <f ca="1">IF(Main[[#This Row],[تاخیر از سررسید]]&gt;0,Main[[#This Row],[بدهی تسویه نشده (کیلوگرم)]],0)</f>
        <v>0</v>
      </c>
      <c r="Q1275" s="6">
        <f ca="1">IF(Main[[#This Row],[بدهی تسویه نشده (کیلوگرم)]]&gt;0,'گزارش فردی'!$B$7-Main[[#This Row],[تاريخ میلادی]],0)</f>
        <v>0</v>
      </c>
      <c r="R1275" s="6">
        <f ca="1">IF(Main[[#This Row],[بدهی تسویه نشده (کیلوگرم)]]&gt;0,'گزارش فردی'!$B$7-Main[[#This Row],[تاريخ میلادی]]-'گزارش فردی'!$B$8,0)</f>
        <v>0</v>
      </c>
      <c r="S1275" s="6">
        <f ca="1">Main[[#This Row],[روز از ارسال سفارش]]*Main[[#This Row],[بدهی تسویه نشده (کیلوگرم)]]</f>
        <v>0</v>
      </c>
      <c r="T1275" s="6">
        <f ca="1">Main[[#This Row],[بدهی سررسید شده (کیلوگرم)]]*Main[[#This Row],[روز از ارسال سفارش]]</f>
        <v>0</v>
      </c>
      <c r="U1275" s="6">
        <f>-SUBTOTAL(9,INDEX(Main[مقدار (کیلوگرم)],1):Main[[#This Row],[مقدار (کیلوگرم)]])</f>
        <v>41320</v>
      </c>
      <c r="V12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5" s="6">
        <f>Main[[#This Row],[تعداد کل روزهای بدهکار (روز)]]*Main[[#This Row],[مانده در خط کل (کیلوگرم)]]</f>
        <v>82640</v>
      </c>
      <c r="X1275" s="6">
        <f ca="1">-SUBTOTAL(9,INDEX(Main[مقدار تسویه شده (کیلوگرم)],1):Main[[#This Row],[مقدار تسویه شده (کیلوگرم)]])</f>
        <v>41320</v>
      </c>
      <c r="Y1275" s="6">
        <f ca="1">IF(Main[[#This Row],[مانده در خط تسویه شده (کیلوگرم)]]&lt;&gt;0,Main[[#This Row],[تعداد کل روزهای بدهکار (روز)]],0)</f>
        <v>2</v>
      </c>
      <c r="Z1275" s="6">
        <f ca="1">Main[[#This Row],[تعداد روزهای بدهکار تسویه شده (روز)]]*Main[[#This Row],[مانده در خط تسویه شده (کیلوگرم)]]</f>
        <v>82640</v>
      </c>
      <c r="AA1275" s="6">
        <f ca="1">SUBTOTAL(9,INDEX(Main[بدهی تسویه نشده (کیلوگرم)],1):Main[[#This Row],[بدهی تسویه نشده (کیلوگرم)]])</f>
        <v>0</v>
      </c>
      <c r="AB1275" s="6">
        <f ca="1">IF(Main[[#This Row],[مانده در خط تسویه نشده (کیلوگرم)]]&lt;&gt;0,Main[[#This Row],[تعداد کل روزهای بدهکار (روز)]],0)</f>
        <v>0</v>
      </c>
      <c r="AC1275" s="6">
        <f ca="1">Main[[#This Row],[تعداد روزهای بدهکار  تسویه نشده (روز)]]*Main[[#This Row],[مانده در خط تسویه نشده (کیلوگرم)]]</f>
        <v>0</v>
      </c>
      <c r="AD1275" s="6">
        <f ca="1">SUBTOTAL(9,INDEX(Main[بدهی سررسید شده (کیلوگرم)],1):Main[[#This Row],[بدهی سررسید شده (کیلوگرم)]])</f>
        <v>0</v>
      </c>
      <c r="AE1275" s="6">
        <f ca="1">IF(Main[[#This Row],[مانده در خط سررسید شده (کیلوگرم)]]&lt;&gt;0,Main[[#This Row],[تعداد کل روزهای بدهکار (روز)]],0)</f>
        <v>0</v>
      </c>
      <c r="AF1275" s="6">
        <f ca="1">Main[[#This Row],[تعداد روزهای بدهکار سررسید شده (روز)]]*Main[[#This Row],[مانده در خط سررسید شده (کیلوگرم)]]</f>
        <v>0</v>
      </c>
    </row>
    <row r="1276" spans="1:32" hidden="1" x14ac:dyDescent="0.35">
      <c r="A1276" s="5">
        <f>ROW()-ROW(INDEX(Main[ردیف],1))+1</f>
        <v>1274</v>
      </c>
      <c r="B1276" s="31">
        <f>SUBTOTAL(2,INDEX(Main[ردیف],1):Main[[#This Row],[ردیف]])</f>
        <v>115</v>
      </c>
      <c r="C1276" s="32" t="s">
        <v>638</v>
      </c>
      <c r="D1276" s="32" t="str">
        <f>_xlfn.CONCAT("14",Main[[#This Row],[تاريخ]])</f>
        <v>1400/05/14</v>
      </c>
      <c r="E1276" s="33">
        <v>44413</v>
      </c>
      <c r="F1276" s="32">
        <v>30127</v>
      </c>
      <c r="G1276" s="5" t="str">
        <f>INDEX(customer[عنوان],MATCH(Main[[#This Row],[کد ردیابی]],customer[کد],0))</f>
        <v>شیر گاز آذران</v>
      </c>
      <c r="H1276">
        <v>520</v>
      </c>
      <c r="I1276" s="6">
        <f ca="1">-Main[[#This Row],[بدهی تسویه شده (کیلوگرم)]]+Main[[#This Row],[بستانکار (کیلوگرم)]]</f>
        <v>520</v>
      </c>
      <c r="J1276" s="6">
        <f>IF(Main[[#This Row],[مقدار (کیلوگرم)]]&gt;0,Main[[#This Row],[مقدار (کیلوگرم)]],0)</f>
        <v>520</v>
      </c>
      <c r="K1276" s="6">
        <f>-IF(Main[[#This Row],[مقدار (کیلوگرم)]]&lt;0,Main[[#This Row],[مقدار (کیلوگرم)]],0)</f>
        <v>0</v>
      </c>
      <c r="L12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6" s="7">
        <f>-IF(AND(Main[[#This Row],[مقدار (کیلوگرم)]]&lt;0,Main[[#This Row],[تاريخ میلادی]]&gt;44276),Main[[#This Row],[مقدار (کیلوگرم)]],0)</f>
        <v>0</v>
      </c>
      <c r="N1276" s="6">
        <f ca="1">Main[[#This Row],[بدهکار (کیلوگرم)]]-Main[[#This Row],[بدهی تسویه نشده (کیلوگرم)]]</f>
        <v>0</v>
      </c>
      <c r="O1276" s="6">
        <f ca="1">Main[[#This Row],[تفکیک]]</f>
        <v>0</v>
      </c>
      <c r="P1276" s="6">
        <f ca="1">IF(Main[[#This Row],[تاخیر از سررسید]]&gt;0,Main[[#This Row],[بدهی تسویه نشده (کیلوگرم)]],0)</f>
        <v>0</v>
      </c>
      <c r="Q1276" s="6">
        <f ca="1">IF(Main[[#This Row],[بدهی تسویه نشده (کیلوگرم)]]&gt;0,'گزارش فردی'!$B$7-Main[[#This Row],[تاريخ میلادی]],0)</f>
        <v>0</v>
      </c>
      <c r="R1276" s="6">
        <f ca="1">IF(Main[[#This Row],[بدهی تسویه نشده (کیلوگرم)]]&gt;0,'گزارش فردی'!$B$7-Main[[#This Row],[تاريخ میلادی]]-'گزارش فردی'!$B$8,0)</f>
        <v>0</v>
      </c>
      <c r="S1276" s="6">
        <f ca="1">Main[[#This Row],[روز از ارسال سفارش]]*Main[[#This Row],[بدهی تسویه نشده (کیلوگرم)]]</f>
        <v>0</v>
      </c>
      <c r="T1276" s="6">
        <f ca="1">Main[[#This Row],[بدهی سررسید شده (کیلوگرم)]]*Main[[#This Row],[روز از ارسال سفارش]]</f>
        <v>0</v>
      </c>
      <c r="U1276" s="6">
        <f>-SUBTOTAL(9,INDEX(Main[مقدار (کیلوگرم)],1):Main[[#This Row],[مقدار (کیلوگرم)]])</f>
        <v>41320</v>
      </c>
      <c r="V127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6" s="6">
        <f>Main[[#This Row],[تعداد کل روزهای بدهکار (روز)]]*Main[[#This Row],[مانده در خط کل (کیلوگرم)]]</f>
        <v>82640</v>
      </c>
      <c r="X1276" s="6">
        <f ca="1">-SUBTOTAL(9,INDEX(Main[مقدار تسویه شده (کیلوگرم)],1):Main[[#This Row],[مقدار تسویه شده (کیلوگرم)]])</f>
        <v>41320</v>
      </c>
      <c r="Y1276" s="6">
        <f ca="1">IF(Main[[#This Row],[مانده در خط تسویه شده (کیلوگرم)]]&lt;&gt;0,Main[[#This Row],[تعداد کل روزهای بدهکار (روز)]],0)</f>
        <v>2</v>
      </c>
      <c r="Z1276" s="6">
        <f ca="1">Main[[#This Row],[تعداد روزهای بدهکار تسویه شده (روز)]]*Main[[#This Row],[مانده در خط تسویه شده (کیلوگرم)]]</f>
        <v>82640</v>
      </c>
      <c r="AA1276" s="6">
        <f ca="1">SUBTOTAL(9,INDEX(Main[بدهی تسویه نشده (کیلوگرم)],1):Main[[#This Row],[بدهی تسویه نشده (کیلوگرم)]])</f>
        <v>0</v>
      </c>
      <c r="AB1276" s="6">
        <f ca="1">IF(Main[[#This Row],[مانده در خط تسویه نشده (کیلوگرم)]]&lt;&gt;0,Main[[#This Row],[تعداد کل روزهای بدهکار (روز)]],0)</f>
        <v>0</v>
      </c>
      <c r="AC1276" s="6">
        <f ca="1">Main[[#This Row],[تعداد روزهای بدهکار  تسویه نشده (روز)]]*Main[[#This Row],[مانده در خط تسویه نشده (کیلوگرم)]]</f>
        <v>0</v>
      </c>
      <c r="AD1276" s="6">
        <f ca="1">SUBTOTAL(9,INDEX(Main[بدهی سررسید شده (کیلوگرم)],1):Main[[#This Row],[بدهی سررسید شده (کیلوگرم)]])</f>
        <v>0</v>
      </c>
      <c r="AE1276" s="6">
        <f ca="1">IF(Main[[#This Row],[مانده در خط سررسید شده (کیلوگرم)]]&lt;&gt;0,Main[[#This Row],[تعداد کل روزهای بدهکار (روز)]],0)</f>
        <v>0</v>
      </c>
      <c r="AF1276" s="6">
        <f ca="1">Main[[#This Row],[تعداد روزهای بدهکار سررسید شده (روز)]]*Main[[#This Row],[مانده در خط سررسید شده (کیلوگرم)]]</f>
        <v>0</v>
      </c>
    </row>
    <row r="1277" spans="1:32" hidden="1" x14ac:dyDescent="0.35">
      <c r="A1277" s="5">
        <f>ROW()-ROW(INDEX(Main[ردیف],1))+1</f>
        <v>1275</v>
      </c>
      <c r="B1277" s="31">
        <f>SUBTOTAL(2,INDEX(Main[ردیف],1):Main[[#This Row],[ردیف]])</f>
        <v>115</v>
      </c>
      <c r="C1277" s="32" t="s">
        <v>638</v>
      </c>
      <c r="D1277" s="32" t="str">
        <f>_xlfn.CONCAT("14",Main[[#This Row],[تاريخ]])</f>
        <v>1400/05/14</v>
      </c>
      <c r="E1277" s="33">
        <v>44413</v>
      </c>
      <c r="F1277" s="32">
        <v>30137</v>
      </c>
      <c r="G1277" s="5" t="str">
        <f>INDEX(customer[عنوان],MATCH(Main[[#This Row],[کد ردیابی]],customer[کد],0))</f>
        <v>شرکت آفتابگردان</v>
      </c>
      <c r="H1277">
        <v>-37</v>
      </c>
      <c r="I1277" s="6">
        <f ca="1">-Main[[#This Row],[بدهی تسویه شده (کیلوگرم)]]+Main[[#This Row],[بستانکار (کیلوگرم)]]</f>
        <v>-37</v>
      </c>
      <c r="J1277" s="6">
        <f>IF(Main[[#This Row],[مقدار (کیلوگرم)]]&gt;0,Main[[#This Row],[مقدار (کیلوگرم)]],0)</f>
        <v>0</v>
      </c>
      <c r="K1277" s="6">
        <f>-IF(Main[[#This Row],[مقدار (کیلوگرم)]]&lt;0,Main[[#This Row],[مقدار (کیلوگرم)]],0)</f>
        <v>37</v>
      </c>
      <c r="L12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7" s="7">
        <f>-IF(AND(Main[[#This Row],[مقدار (کیلوگرم)]]&lt;0,Main[[#This Row],[تاريخ میلادی]]&gt;44276),Main[[#This Row],[مقدار (کیلوگرم)]],0)</f>
        <v>37</v>
      </c>
      <c r="N1277" s="6">
        <f ca="1">Main[[#This Row],[بدهکار (کیلوگرم)]]-Main[[#This Row],[بدهی تسویه نشده (کیلوگرم)]]</f>
        <v>37</v>
      </c>
      <c r="O1277" s="6">
        <f ca="1">Main[[#This Row],[تفکیک]]</f>
        <v>0</v>
      </c>
      <c r="P1277" s="6">
        <f ca="1">IF(Main[[#This Row],[تاخیر از سررسید]]&gt;0,Main[[#This Row],[بدهی تسویه نشده (کیلوگرم)]],0)</f>
        <v>0</v>
      </c>
      <c r="Q1277" s="6">
        <f ca="1">IF(Main[[#This Row],[بدهی تسویه نشده (کیلوگرم)]]&gt;0,'گزارش فردی'!$B$7-Main[[#This Row],[تاريخ میلادی]],0)</f>
        <v>0</v>
      </c>
      <c r="R1277" s="6">
        <f ca="1">IF(Main[[#This Row],[بدهی تسویه نشده (کیلوگرم)]]&gt;0,'گزارش فردی'!$B$7-Main[[#This Row],[تاريخ میلادی]]-'گزارش فردی'!$B$8,0)</f>
        <v>0</v>
      </c>
      <c r="S1277" s="6">
        <f ca="1">Main[[#This Row],[روز از ارسال سفارش]]*Main[[#This Row],[بدهی تسویه نشده (کیلوگرم)]]</f>
        <v>0</v>
      </c>
      <c r="T1277" s="6">
        <f ca="1">Main[[#This Row],[بدهی سررسید شده (کیلوگرم)]]*Main[[#This Row],[روز از ارسال سفارش]]</f>
        <v>0</v>
      </c>
      <c r="U1277" s="6">
        <f>-SUBTOTAL(9,INDEX(Main[مقدار (کیلوگرم)],1):Main[[#This Row],[مقدار (کیلوگرم)]])</f>
        <v>41320</v>
      </c>
      <c r="V127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7" s="6">
        <f>Main[[#This Row],[تعداد کل روزهای بدهکار (روز)]]*Main[[#This Row],[مانده در خط کل (کیلوگرم)]]</f>
        <v>82640</v>
      </c>
      <c r="X1277" s="6">
        <f ca="1">-SUBTOTAL(9,INDEX(Main[مقدار تسویه شده (کیلوگرم)],1):Main[[#This Row],[مقدار تسویه شده (کیلوگرم)]])</f>
        <v>41320</v>
      </c>
      <c r="Y1277" s="6">
        <f ca="1">IF(Main[[#This Row],[مانده در خط تسویه شده (کیلوگرم)]]&lt;&gt;0,Main[[#This Row],[تعداد کل روزهای بدهکار (روز)]],0)</f>
        <v>2</v>
      </c>
      <c r="Z1277" s="6">
        <f ca="1">Main[[#This Row],[تعداد روزهای بدهکار تسویه شده (روز)]]*Main[[#This Row],[مانده در خط تسویه شده (کیلوگرم)]]</f>
        <v>82640</v>
      </c>
      <c r="AA1277" s="6">
        <f ca="1">SUBTOTAL(9,INDEX(Main[بدهی تسویه نشده (کیلوگرم)],1):Main[[#This Row],[بدهی تسویه نشده (کیلوگرم)]])</f>
        <v>0</v>
      </c>
      <c r="AB1277" s="6">
        <f ca="1">IF(Main[[#This Row],[مانده در خط تسویه نشده (کیلوگرم)]]&lt;&gt;0,Main[[#This Row],[تعداد کل روزهای بدهکار (روز)]],0)</f>
        <v>0</v>
      </c>
      <c r="AC1277" s="6">
        <f ca="1">Main[[#This Row],[تعداد روزهای بدهکار  تسویه نشده (روز)]]*Main[[#This Row],[مانده در خط تسویه نشده (کیلوگرم)]]</f>
        <v>0</v>
      </c>
      <c r="AD1277" s="6">
        <f ca="1">SUBTOTAL(9,INDEX(Main[بدهی سررسید شده (کیلوگرم)],1):Main[[#This Row],[بدهی سررسید شده (کیلوگرم)]])</f>
        <v>0</v>
      </c>
      <c r="AE1277" s="6">
        <f ca="1">IF(Main[[#This Row],[مانده در خط سررسید شده (کیلوگرم)]]&lt;&gt;0,Main[[#This Row],[تعداد کل روزهای بدهکار (روز)]],0)</f>
        <v>0</v>
      </c>
      <c r="AF1277" s="6">
        <f ca="1">Main[[#This Row],[تعداد روزهای بدهکار سررسید شده (روز)]]*Main[[#This Row],[مانده در خط سررسید شده (کیلوگرم)]]</f>
        <v>0</v>
      </c>
    </row>
    <row r="1278" spans="1:32" hidden="1" x14ac:dyDescent="0.35">
      <c r="A1278" s="5">
        <f>ROW()-ROW(INDEX(Main[ردیف],1))+1</f>
        <v>1276</v>
      </c>
      <c r="B1278" s="31">
        <f>SUBTOTAL(2,INDEX(Main[ردیف],1):Main[[#This Row],[ردیف]])</f>
        <v>115</v>
      </c>
      <c r="C1278" s="32" t="s">
        <v>638</v>
      </c>
      <c r="D1278" s="32" t="str">
        <f>_xlfn.CONCAT("14",Main[[#This Row],[تاريخ]])</f>
        <v>1400/05/14</v>
      </c>
      <c r="E1278" s="33">
        <v>44413</v>
      </c>
      <c r="F1278" s="32">
        <v>30014</v>
      </c>
      <c r="G1278" s="5" t="str">
        <f>INDEX(customer[عنوان],MATCH(Main[[#This Row],[کد ردیابی]],customer[کد],0))</f>
        <v>کلون</v>
      </c>
      <c r="H1278">
        <v>3218</v>
      </c>
      <c r="I1278" s="6">
        <f ca="1">-Main[[#This Row],[بدهی تسویه شده (کیلوگرم)]]+Main[[#This Row],[بستانکار (کیلوگرم)]]</f>
        <v>3218</v>
      </c>
      <c r="J1278" s="6">
        <f>IF(Main[[#This Row],[مقدار (کیلوگرم)]]&gt;0,Main[[#This Row],[مقدار (کیلوگرم)]],0)</f>
        <v>3218</v>
      </c>
      <c r="K1278" s="6">
        <f>-IF(Main[[#This Row],[مقدار (کیلوگرم)]]&lt;0,Main[[#This Row],[مقدار (کیلوگرم)]],0)</f>
        <v>0</v>
      </c>
      <c r="L12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8" s="7">
        <f>-IF(AND(Main[[#This Row],[مقدار (کیلوگرم)]]&lt;0,Main[[#This Row],[تاريخ میلادی]]&gt;44276),Main[[#This Row],[مقدار (کیلوگرم)]],0)</f>
        <v>0</v>
      </c>
      <c r="N1278" s="6">
        <f ca="1">Main[[#This Row],[بدهکار (کیلوگرم)]]-Main[[#This Row],[بدهی تسویه نشده (کیلوگرم)]]</f>
        <v>0</v>
      </c>
      <c r="O1278" s="6">
        <f ca="1">Main[[#This Row],[تفکیک]]</f>
        <v>0</v>
      </c>
      <c r="P1278" s="6">
        <f ca="1">IF(Main[[#This Row],[تاخیر از سررسید]]&gt;0,Main[[#This Row],[بدهی تسویه نشده (کیلوگرم)]],0)</f>
        <v>0</v>
      </c>
      <c r="Q1278" s="6">
        <f ca="1">IF(Main[[#This Row],[بدهی تسویه نشده (کیلوگرم)]]&gt;0,'گزارش فردی'!$B$7-Main[[#This Row],[تاريخ میلادی]],0)</f>
        <v>0</v>
      </c>
      <c r="R1278" s="6">
        <f ca="1">IF(Main[[#This Row],[بدهی تسویه نشده (کیلوگرم)]]&gt;0,'گزارش فردی'!$B$7-Main[[#This Row],[تاريخ میلادی]]-'گزارش فردی'!$B$8,0)</f>
        <v>0</v>
      </c>
      <c r="S1278" s="6">
        <f ca="1">Main[[#This Row],[روز از ارسال سفارش]]*Main[[#This Row],[بدهی تسویه نشده (کیلوگرم)]]</f>
        <v>0</v>
      </c>
      <c r="T1278" s="6">
        <f ca="1">Main[[#This Row],[بدهی سررسید شده (کیلوگرم)]]*Main[[#This Row],[روز از ارسال سفارش]]</f>
        <v>0</v>
      </c>
      <c r="U1278" s="6">
        <f>-SUBTOTAL(9,INDEX(Main[مقدار (کیلوگرم)],1):Main[[#This Row],[مقدار (کیلوگرم)]])</f>
        <v>41320</v>
      </c>
      <c r="V127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8" s="6">
        <f>Main[[#This Row],[تعداد کل روزهای بدهکار (روز)]]*Main[[#This Row],[مانده در خط کل (کیلوگرم)]]</f>
        <v>82640</v>
      </c>
      <c r="X1278" s="6">
        <f ca="1">-SUBTOTAL(9,INDEX(Main[مقدار تسویه شده (کیلوگرم)],1):Main[[#This Row],[مقدار تسویه شده (کیلوگرم)]])</f>
        <v>41320</v>
      </c>
      <c r="Y1278" s="6">
        <f ca="1">IF(Main[[#This Row],[مانده در خط تسویه شده (کیلوگرم)]]&lt;&gt;0,Main[[#This Row],[تعداد کل روزهای بدهکار (روز)]],0)</f>
        <v>2</v>
      </c>
      <c r="Z1278" s="6">
        <f ca="1">Main[[#This Row],[تعداد روزهای بدهکار تسویه شده (روز)]]*Main[[#This Row],[مانده در خط تسویه شده (کیلوگرم)]]</f>
        <v>82640</v>
      </c>
      <c r="AA1278" s="6">
        <f ca="1">SUBTOTAL(9,INDEX(Main[بدهی تسویه نشده (کیلوگرم)],1):Main[[#This Row],[بدهی تسویه نشده (کیلوگرم)]])</f>
        <v>0</v>
      </c>
      <c r="AB1278" s="6">
        <f ca="1">IF(Main[[#This Row],[مانده در خط تسویه نشده (کیلوگرم)]]&lt;&gt;0,Main[[#This Row],[تعداد کل روزهای بدهکار (روز)]],0)</f>
        <v>0</v>
      </c>
      <c r="AC1278" s="6">
        <f ca="1">Main[[#This Row],[تعداد روزهای بدهکار  تسویه نشده (روز)]]*Main[[#This Row],[مانده در خط تسویه نشده (کیلوگرم)]]</f>
        <v>0</v>
      </c>
      <c r="AD1278" s="6">
        <f ca="1">SUBTOTAL(9,INDEX(Main[بدهی سررسید شده (کیلوگرم)],1):Main[[#This Row],[بدهی سررسید شده (کیلوگرم)]])</f>
        <v>0</v>
      </c>
      <c r="AE1278" s="6">
        <f ca="1">IF(Main[[#This Row],[مانده در خط سررسید شده (کیلوگرم)]]&lt;&gt;0,Main[[#This Row],[تعداد کل روزهای بدهکار (روز)]],0)</f>
        <v>0</v>
      </c>
      <c r="AF1278" s="6">
        <f ca="1">Main[[#This Row],[تعداد روزهای بدهکار سررسید شده (روز)]]*Main[[#This Row],[مانده در خط سررسید شده (کیلوگرم)]]</f>
        <v>0</v>
      </c>
    </row>
    <row r="1279" spans="1:32" hidden="1" x14ac:dyDescent="0.35">
      <c r="A1279" s="5">
        <f>ROW()-ROW(INDEX(Main[ردیف],1))+1</f>
        <v>1277</v>
      </c>
      <c r="B1279" s="31">
        <f>SUBTOTAL(2,INDEX(Main[ردیف],1):Main[[#This Row],[ردیف]])</f>
        <v>115</v>
      </c>
      <c r="C1279" s="32" t="s">
        <v>638</v>
      </c>
      <c r="D1279" s="32" t="str">
        <f>_xlfn.CONCAT("14",Main[[#This Row],[تاريخ]])</f>
        <v>1400/05/14</v>
      </c>
      <c r="E1279" s="33">
        <v>44413</v>
      </c>
      <c r="F1279" s="32">
        <v>30009</v>
      </c>
      <c r="G1279" s="5" t="str">
        <f>INDEX(customer[عنوان],MATCH(Main[[#This Row],[کد ردیابی]],customer[کد],0))</f>
        <v>شرکت ایمن تک پیشرو</v>
      </c>
      <c r="H1279">
        <v>-493</v>
      </c>
      <c r="I1279" s="6">
        <f ca="1">-Main[[#This Row],[بدهی تسویه شده (کیلوگرم)]]+Main[[#This Row],[بستانکار (کیلوگرم)]]</f>
        <v>-493</v>
      </c>
      <c r="J1279" s="6">
        <f>IF(Main[[#This Row],[مقدار (کیلوگرم)]]&gt;0,Main[[#This Row],[مقدار (کیلوگرم)]],0)</f>
        <v>0</v>
      </c>
      <c r="K1279" s="6">
        <f>-IF(Main[[#This Row],[مقدار (کیلوگرم)]]&lt;0,Main[[#This Row],[مقدار (کیلوگرم)]],0)</f>
        <v>493</v>
      </c>
      <c r="L12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9" s="7">
        <f>-IF(AND(Main[[#This Row],[مقدار (کیلوگرم)]]&lt;0,Main[[#This Row],[تاريخ میلادی]]&gt;44276),Main[[#This Row],[مقدار (کیلوگرم)]],0)</f>
        <v>493</v>
      </c>
      <c r="N1279" s="6">
        <f ca="1">Main[[#This Row],[بدهکار (کیلوگرم)]]-Main[[#This Row],[بدهی تسویه نشده (کیلوگرم)]]</f>
        <v>493</v>
      </c>
      <c r="O1279" s="6">
        <f ca="1">Main[[#This Row],[تفکیک]]</f>
        <v>0</v>
      </c>
      <c r="P1279" s="6">
        <f ca="1">IF(Main[[#This Row],[تاخیر از سررسید]]&gt;0,Main[[#This Row],[بدهی تسویه نشده (کیلوگرم)]],0)</f>
        <v>0</v>
      </c>
      <c r="Q1279" s="6">
        <f ca="1">IF(Main[[#This Row],[بدهی تسویه نشده (کیلوگرم)]]&gt;0,'گزارش فردی'!$B$7-Main[[#This Row],[تاريخ میلادی]],0)</f>
        <v>0</v>
      </c>
      <c r="R1279" s="6">
        <f ca="1">IF(Main[[#This Row],[بدهی تسویه نشده (کیلوگرم)]]&gt;0,'گزارش فردی'!$B$7-Main[[#This Row],[تاريخ میلادی]]-'گزارش فردی'!$B$8,0)</f>
        <v>0</v>
      </c>
      <c r="S1279" s="6">
        <f ca="1">Main[[#This Row],[روز از ارسال سفارش]]*Main[[#This Row],[بدهی تسویه نشده (کیلوگرم)]]</f>
        <v>0</v>
      </c>
      <c r="T1279" s="6">
        <f ca="1">Main[[#This Row],[بدهی سررسید شده (کیلوگرم)]]*Main[[#This Row],[روز از ارسال سفارش]]</f>
        <v>0</v>
      </c>
      <c r="U1279" s="6">
        <f>-SUBTOTAL(9,INDEX(Main[مقدار (کیلوگرم)],1):Main[[#This Row],[مقدار (کیلوگرم)]])</f>
        <v>41320</v>
      </c>
      <c r="V127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9" s="6">
        <f>Main[[#This Row],[تعداد کل روزهای بدهکار (روز)]]*Main[[#This Row],[مانده در خط کل (کیلوگرم)]]</f>
        <v>82640</v>
      </c>
      <c r="X1279" s="6">
        <f ca="1">-SUBTOTAL(9,INDEX(Main[مقدار تسویه شده (کیلوگرم)],1):Main[[#This Row],[مقدار تسویه شده (کیلوگرم)]])</f>
        <v>41320</v>
      </c>
      <c r="Y1279" s="6">
        <f ca="1">IF(Main[[#This Row],[مانده در خط تسویه شده (کیلوگرم)]]&lt;&gt;0,Main[[#This Row],[تعداد کل روزهای بدهکار (روز)]],0)</f>
        <v>2</v>
      </c>
      <c r="Z1279" s="6">
        <f ca="1">Main[[#This Row],[تعداد روزهای بدهکار تسویه شده (روز)]]*Main[[#This Row],[مانده در خط تسویه شده (کیلوگرم)]]</f>
        <v>82640</v>
      </c>
      <c r="AA1279" s="6">
        <f ca="1">SUBTOTAL(9,INDEX(Main[بدهی تسویه نشده (کیلوگرم)],1):Main[[#This Row],[بدهی تسویه نشده (کیلوگرم)]])</f>
        <v>0</v>
      </c>
      <c r="AB1279" s="6">
        <f ca="1">IF(Main[[#This Row],[مانده در خط تسویه نشده (کیلوگرم)]]&lt;&gt;0,Main[[#This Row],[تعداد کل روزهای بدهکار (روز)]],0)</f>
        <v>0</v>
      </c>
      <c r="AC1279" s="6">
        <f ca="1">Main[[#This Row],[تعداد روزهای بدهکار  تسویه نشده (روز)]]*Main[[#This Row],[مانده در خط تسویه نشده (کیلوگرم)]]</f>
        <v>0</v>
      </c>
      <c r="AD1279" s="6">
        <f ca="1">SUBTOTAL(9,INDEX(Main[بدهی سررسید شده (کیلوگرم)],1):Main[[#This Row],[بدهی سررسید شده (کیلوگرم)]])</f>
        <v>0</v>
      </c>
      <c r="AE1279" s="6">
        <f ca="1">IF(Main[[#This Row],[مانده در خط سررسید شده (کیلوگرم)]]&lt;&gt;0,Main[[#This Row],[تعداد کل روزهای بدهکار (روز)]],0)</f>
        <v>0</v>
      </c>
      <c r="AF1279" s="6">
        <f ca="1">Main[[#This Row],[تعداد روزهای بدهکار سررسید شده (روز)]]*Main[[#This Row],[مانده در خط سررسید شده (کیلوگرم)]]</f>
        <v>0</v>
      </c>
    </row>
    <row r="1280" spans="1:32" hidden="1" x14ac:dyDescent="0.35">
      <c r="A1280" s="5">
        <f>ROW()-ROW(INDEX(Main[ردیف],1))+1</f>
        <v>1278</v>
      </c>
      <c r="B1280" s="31">
        <f>SUBTOTAL(2,INDEX(Main[ردیف],1):Main[[#This Row],[ردیف]])</f>
        <v>115</v>
      </c>
      <c r="C1280" s="32" t="s">
        <v>638</v>
      </c>
      <c r="D1280" s="32" t="str">
        <f>_xlfn.CONCAT("14",Main[[#This Row],[تاريخ]])</f>
        <v>1400/05/14</v>
      </c>
      <c r="E1280" s="33">
        <v>44413</v>
      </c>
      <c r="F1280" s="32">
        <v>30014</v>
      </c>
      <c r="G1280" s="5" t="str">
        <f>INDEX(customer[عنوان],MATCH(Main[[#This Row],[کد ردیابی]],customer[کد],0))</f>
        <v>کلون</v>
      </c>
      <c r="H1280">
        <v>696</v>
      </c>
      <c r="I1280" s="6">
        <f ca="1">-Main[[#This Row],[بدهی تسویه شده (کیلوگرم)]]+Main[[#This Row],[بستانکار (کیلوگرم)]]</f>
        <v>696</v>
      </c>
      <c r="J1280" s="6">
        <f>IF(Main[[#This Row],[مقدار (کیلوگرم)]]&gt;0,Main[[#This Row],[مقدار (کیلوگرم)]],0)</f>
        <v>696</v>
      </c>
      <c r="K1280" s="6">
        <f>-IF(Main[[#This Row],[مقدار (کیلوگرم)]]&lt;0,Main[[#This Row],[مقدار (کیلوگرم)]],0)</f>
        <v>0</v>
      </c>
      <c r="L12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0" s="7">
        <f>-IF(AND(Main[[#This Row],[مقدار (کیلوگرم)]]&lt;0,Main[[#This Row],[تاريخ میلادی]]&gt;44276),Main[[#This Row],[مقدار (کیلوگرم)]],0)</f>
        <v>0</v>
      </c>
      <c r="N1280" s="6">
        <f ca="1">Main[[#This Row],[بدهکار (کیلوگرم)]]-Main[[#This Row],[بدهی تسویه نشده (کیلوگرم)]]</f>
        <v>0</v>
      </c>
      <c r="O1280" s="6">
        <f ca="1">Main[[#This Row],[تفکیک]]</f>
        <v>0</v>
      </c>
      <c r="P1280" s="6">
        <f ca="1">IF(Main[[#This Row],[تاخیر از سررسید]]&gt;0,Main[[#This Row],[بدهی تسویه نشده (کیلوگرم)]],0)</f>
        <v>0</v>
      </c>
      <c r="Q1280" s="6">
        <f ca="1">IF(Main[[#This Row],[بدهی تسویه نشده (کیلوگرم)]]&gt;0,'گزارش فردی'!$B$7-Main[[#This Row],[تاريخ میلادی]],0)</f>
        <v>0</v>
      </c>
      <c r="R1280" s="6">
        <f ca="1">IF(Main[[#This Row],[بدهی تسویه نشده (کیلوگرم)]]&gt;0,'گزارش فردی'!$B$7-Main[[#This Row],[تاريخ میلادی]]-'گزارش فردی'!$B$8,0)</f>
        <v>0</v>
      </c>
      <c r="S1280" s="6">
        <f ca="1">Main[[#This Row],[روز از ارسال سفارش]]*Main[[#This Row],[بدهی تسویه نشده (کیلوگرم)]]</f>
        <v>0</v>
      </c>
      <c r="T1280" s="6">
        <f ca="1">Main[[#This Row],[بدهی سررسید شده (کیلوگرم)]]*Main[[#This Row],[روز از ارسال سفارش]]</f>
        <v>0</v>
      </c>
      <c r="U1280" s="6">
        <f>-SUBTOTAL(9,INDEX(Main[مقدار (کیلوگرم)],1):Main[[#This Row],[مقدار (کیلوگرم)]])</f>
        <v>41320</v>
      </c>
      <c r="V128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0" s="6">
        <f>Main[[#This Row],[تعداد کل روزهای بدهکار (روز)]]*Main[[#This Row],[مانده در خط کل (کیلوگرم)]]</f>
        <v>82640</v>
      </c>
      <c r="X1280" s="6">
        <f ca="1">-SUBTOTAL(9,INDEX(Main[مقدار تسویه شده (کیلوگرم)],1):Main[[#This Row],[مقدار تسویه شده (کیلوگرم)]])</f>
        <v>41320</v>
      </c>
      <c r="Y1280" s="6">
        <f ca="1">IF(Main[[#This Row],[مانده در خط تسویه شده (کیلوگرم)]]&lt;&gt;0,Main[[#This Row],[تعداد کل روزهای بدهکار (روز)]],0)</f>
        <v>2</v>
      </c>
      <c r="Z1280" s="6">
        <f ca="1">Main[[#This Row],[تعداد روزهای بدهکار تسویه شده (روز)]]*Main[[#This Row],[مانده در خط تسویه شده (کیلوگرم)]]</f>
        <v>82640</v>
      </c>
      <c r="AA1280" s="6">
        <f ca="1">SUBTOTAL(9,INDEX(Main[بدهی تسویه نشده (کیلوگرم)],1):Main[[#This Row],[بدهی تسویه نشده (کیلوگرم)]])</f>
        <v>0</v>
      </c>
      <c r="AB1280" s="6">
        <f ca="1">IF(Main[[#This Row],[مانده در خط تسویه نشده (کیلوگرم)]]&lt;&gt;0,Main[[#This Row],[تعداد کل روزهای بدهکار (روز)]],0)</f>
        <v>0</v>
      </c>
      <c r="AC1280" s="6">
        <f ca="1">Main[[#This Row],[تعداد روزهای بدهکار  تسویه نشده (روز)]]*Main[[#This Row],[مانده در خط تسویه نشده (کیلوگرم)]]</f>
        <v>0</v>
      </c>
      <c r="AD1280" s="6">
        <f ca="1">SUBTOTAL(9,INDEX(Main[بدهی سررسید شده (کیلوگرم)],1):Main[[#This Row],[بدهی سررسید شده (کیلوگرم)]])</f>
        <v>0</v>
      </c>
      <c r="AE1280" s="6">
        <f ca="1">IF(Main[[#This Row],[مانده در خط سررسید شده (کیلوگرم)]]&lt;&gt;0,Main[[#This Row],[تعداد کل روزهای بدهکار (روز)]],0)</f>
        <v>0</v>
      </c>
      <c r="AF1280" s="6">
        <f ca="1">Main[[#This Row],[تعداد روزهای بدهکار سررسید شده (روز)]]*Main[[#This Row],[مانده در خط سررسید شده (کیلوگرم)]]</f>
        <v>0</v>
      </c>
    </row>
    <row r="1281" spans="1:32" hidden="1" x14ac:dyDescent="0.35">
      <c r="A1281" s="5">
        <f>ROW()-ROW(INDEX(Main[ردیف],1))+1</f>
        <v>1279</v>
      </c>
      <c r="B1281" s="31">
        <f>SUBTOTAL(2,INDEX(Main[ردیف],1):Main[[#This Row],[ردیف]])</f>
        <v>115</v>
      </c>
      <c r="C1281" s="32" t="s">
        <v>638</v>
      </c>
      <c r="D1281" s="32" t="str">
        <f>_xlfn.CONCAT("14",Main[[#This Row],[تاريخ]])</f>
        <v>1400/05/14</v>
      </c>
      <c r="E1281" s="33">
        <v>44413</v>
      </c>
      <c r="F1281" s="32">
        <v>30009</v>
      </c>
      <c r="G1281" s="5" t="str">
        <f>INDEX(customer[عنوان],MATCH(Main[[#This Row],[کد ردیابی]],customer[کد],0))</f>
        <v>شرکت ایمن تک پیشرو</v>
      </c>
      <c r="H1281">
        <v>1593</v>
      </c>
      <c r="I1281" s="6">
        <f ca="1">-Main[[#This Row],[بدهی تسویه شده (کیلوگرم)]]+Main[[#This Row],[بستانکار (کیلوگرم)]]</f>
        <v>1593</v>
      </c>
      <c r="J1281" s="6">
        <f>IF(Main[[#This Row],[مقدار (کیلوگرم)]]&gt;0,Main[[#This Row],[مقدار (کیلوگرم)]],0)</f>
        <v>1593</v>
      </c>
      <c r="K1281" s="6">
        <f>-IF(Main[[#This Row],[مقدار (کیلوگرم)]]&lt;0,Main[[#This Row],[مقدار (کیلوگرم)]],0)</f>
        <v>0</v>
      </c>
      <c r="L12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1" s="7">
        <f>-IF(AND(Main[[#This Row],[مقدار (کیلوگرم)]]&lt;0,Main[[#This Row],[تاريخ میلادی]]&gt;44276),Main[[#This Row],[مقدار (کیلوگرم)]],0)</f>
        <v>0</v>
      </c>
      <c r="N1281" s="6">
        <f ca="1">Main[[#This Row],[بدهکار (کیلوگرم)]]-Main[[#This Row],[بدهی تسویه نشده (کیلوگرم)]]</f>
        <v>0</v>
      </c>
      <c r="O1281" s="6">
        <f ca="1">Main[[#This Row],[تفکیک]]</f>
        <v>0</v>
      </c>
      <c r="P1281" s="6">
        <f ca="1">IF(Main[[#This Row],[تاخیر از سررسید]]&gt;0,Main[[#This Row],[بدهی تسویه نشده (کیلوگرم)]],0)</f>
        <v>0</v>
      </c>
      <c r="Q1281" s="6">
        <f ca="1">IF(Main[[#This Row],[بدهی تسویه نشده (کیلوگرم)]]&gt;0,'گزارش فردی'!$B$7-Main[[#This Row],[تاريخ میلادی]],0)</f>
        <v>0</v>
      </c>
      <c r="R1281" s="6">
        <f ca="1">IF(Main[[#This Row],[بدهی تسویه نشده (کیلوگرم)]]&gt;0,'گزارش فردی'!$B$7-Main[[#This Row],[تاريخ میلادی]]-'گزارش فردی'!$B$8,0)</f>
        <v>0</v>
      </c>
      <c r="S1281" s="6">
        <f ca="1">Main[[#This Row],[روز از ارسال سفارش]]*Main[[#This Row],[بدهی تسویه نشده (کیلوگرم)]]</f>
        <v>0</v>
      </c>
      <c r="T1281" s="6">
        <f ca="1">Main[[#This Row],[بدهی سررسید شده (کیلوگرم)]]*Main[[#This Row],[روز از ارسال سفارش]]</f>
        <v>0</v>
      </c>
      <c r="U1281" s="6">
        <f>-SUBTOTAL(9,INDEX(Main[مقدار (کیلوگرم)],1):Main[[#This Row],[مقدار (کیلوگرم)]])</f>
        <v>41320</v>
      </c>
      <c r="V128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1" s="6">
        <f>Main[[#This Row],[تعداد کل روزهای بدهکار (روز)]]*Main[[#This Row],[مانده در خط کل (کیلوگرم)]]</f>
        <v>82640</v>
      </c>
      <c r="X1281" s="6">
        <f ca="1">-SUBTOTAL(9,INDEX(Main[مقدار تسویه شده (کیلوگرم)],1):Main[[#This Row],[مقدار تسویه شده (کیلوگرم)]])</f>
        <v>41320</v>
      </c>
      <c r="Y1281" s="6">
        <f ca="1">IF(Main[[#This Row],[مانده در خط تسویه شده (کیلوگرم)]]&lt;&gt;0,Main[[#This Row],[تعداد کل روزهای بدهکار (روز)]],0)</f>
        <v>2</v>
      </c>
      <c r="Z1281" s="6">
        <f ca="1">Main[[#This Row],[تعداد روزهای بدهکار تسویه شده (روز)]]*Main[[#This Row],[مانده در خط تسویه شده (کیلوگرم)]]</f>
        <v>82640</v>
      </c>
      <c r="AA1281" s="6">
        <f ca="1">SUBTOTAL(9,INDEX(Main[بدهی تسویه نشده (کیلوگرم)],1):Main[[#This Row],[بدهی تسویه نشده (کیلوگرم)]])</f>
        <v>0</v>
      </c>
      <c r="AB1281" s="6">
        <f ca="1">IF(Main[[#This Row],[مانده در خط تسویه نشده (کیلوگرم)]]&lt;&gt;0,Main[[#This Row],[تعداد کل روزهای بدهکار (روز)]],0)</f>
        <v>0</v>
      </c>
      <c r="AC1281" s="6">
        <f ca="1">Main[[#This Row],[تعداد روزهای بدهکار  تسویه نشده (روز)]]*Main[[#This Row],[مانده در خط تسویه نشده (کیلوگرم)]]</f>
        <v>0</v>
      </c>
      <c r="AD1281" s="6">
        <f ca="1">SUBTOTAL(9,INDEX(Main[بدهی سررسید شده (کیلوگرم)],1):Main[[#This Row],[بدهی سررسید شده (کیلوگرم)]])</f>
        <v>0</v>
      </c>
      <c r="AE1281" s="6">
        <f ca="1">IF(Main[[#This Row],[مانده در خط سررسید شده (کیلوگرم)]]&lt;&gt;0,Main[[#This Row],[تعداد کل روزهای بدهکار (روز)]],0)</f>
        <v>0</v>
      </c>
      <c r="AF1281" s="6">
        <f ca="1">Main[[#This Row],[تعداد روزهای بدهکار سررسید شده (روز)]]*Main[[#This Row],[مانده در خط سررسید شده (کیلوگرم)]]</f>
        <v>0</v>
      </c>
    </row>
    <row r="1282" spans="1:32" hidden="1" x14ac:dyDescent="0.35">
      <c r="A1282" s="5">
        <f>ROW()-ROW(INDEX(Main[ردیف],1))+1</f>
        <v>1280</v>
      </c>
      <c r="B1282" s="31">
        <f>SUBTOTAL(2,INDEX(Main[ردیف],1):Main[[#This Row],[ردیف]])</f>
        <v>115</v>
      </c>
      <c r="C1282" s="32" t="s">
        <v>638</v>
      </c>
      <c r="D1282" s="32" t="str">
        <f>_xlfn.CONCAT("14",Main[[#This Row],[تاريخ]])</f>
        <v>1400/05/14</v>
      </c>
      <c r="E1282" s="33">
        <v>44413</v>
      </c>
      <c r="F1282" s="32">
        <v>30127</v>
      </c>
      <c r="G1282" s="5" t="str">
        <f>INDEX(customer[عنوان],MATCH(Main[[#This Row],[کد ردیابی]],customer[کد],0))</f>
        <v>شیر گاز آذران</v>
      </c>
      <c r="H1282">
        <v>1832</v>
      </c>
      <c r="I1282" s="6">
        <f ca="1">-Main[[#This Row],[بدهی تسویه شده (کیلوگرم)]]+Main[[#This Row],[بستانکار (کیلوگرم)]]</f>
        <v>1832</v>
      </c>
      <c r="J1282" s="6">
        <f>IF(Main[[#This Row],[مقدار (کیلوگرم)]]&gt;0,Main[[#This Row],[مقدار (کیلوگرم)]],0)</f>
        <v>1832</v>
      </c>
      <c r="K1282" s="6">
        <f>-IF(Main[[#This Row],[مقدار (کیلوگرم)]]&lt;0,Main[[#This Row],[مقدار (کیلوگرم)]],0)</f>
        <v>0</v>
      </c>
      <c r="L12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2" s="7">
        <f>-IF(AND(Main[[#This Row],[مقدار (کیلوگرم)]]&lt;0,Main[[#This Row],[تاريخ میلادی]]&gt;44276),Main[[#This Row],[مقدار (کیلوگرم)]],0)</f>
        <v>0</v>
      </c>
      <c r="N1282" s="6">
        <f ca="1">Main[[#This Row],[بدهکار (کیلوگرم)]]-Main[[#This Row],[بدهی تسویه نشده (کیلوگرم)]]</f>
        <v>0</v>
      </c>
      <c r="O1282" s="6">
        <f ca="1">Main[[#This Row],[تفکیک]]</f>
        <v>0</v>
      </c>
      <c r="P1282" s="6">
        <f ca="1">IF(Main[[#This Row],[تاخیر از سررسید]]&gt;0,Main[[#This Row],[بدهی تسویه نشده (کیلوگرم)]],0)</f>
        <v>0</v>
      </c>
      <c r="Q1282" s="6">
        <f ca="1">IF(Main[[#This Row],[بدهی تسویه نشده (کیلوگرم)]]&gt;0,'گزارش فردی'!$B$7-Main[[#This Row],[تاريخ میلادی]],0)</f>
        <v>0</v>
      </c>
      <c r="R1282" s="6">
        <f ca="1">IF(Main[[#This Row],[بدهی تسویه نشده (کیلوگرم)]]&gt;0,'گزارش فردی'!$B$7-Main[[#This Row],[تاريخ میلادی]]-'گزارش فردی'!$B$8,0)</f>
        <v>0</v>
      </c>
      <c r="S1282" s="6">
        <f ca="1">Main[[#This Row],[روز از ارسال سفارش]]*Main[[#This Row],[بدهی تسویه نشده (کیلوگرم)]]</f>
        <v>0</v>
      </c>
      <c r="T1282" s="6">
        <f ca="1">Main[[#This Row],[بدهی سررسید شده (کیلوگرم)]]*Main[[#This Row],[روز از ارسال سفارش]]</f>
        <v>0</v>
      </c>
      <c r="U1282" s="6">
        <f>-SUBTOTAL(9,INDEX(Main[مقدار (کیلوگرم)],1):Main[[#This Row],[مقدار (کیلوگرم)]])</f>
        <v>41320</v>
      </c>
      <c r="V128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2" s="6">
        <f>Main[[#This Row],[تعداد کل روزهای بدهکار (روز)]]*Main[[#This Row],[مانده در خط کل (کیلوگرم)]]</f>
        <v>82640</v>
      </c>
      <c r="X1282" s="6">
        <f ca="1">-SUBTOTAL(9,INDEX(Main[مقدار تسویه شده (کیلوگرم)],1):Main[[#This Row],[مقدار تسویه شده (کیلوگرم)]])</f>
        <v>41320</v>
      </c>
      <c r="Y1282" s="6">
        <f ca="1">IF(Main[[#This Row],[مانده در خط تسویه شده (کیلوگرم)]]&lt;&gt;0,Main[[#This Row],[تعداد کل روزهای بدهکار (روز)]],0)</f>
        <v>2</v>
      </c>
      <c r="Z1282" s="6">
        <f ca="1">Main[[#This Row],[تعداد روزهای بدهکار تسویه شده (روز)]]*Main[[#This Row],[مانده در خط تسویه شده (کیلوگرم)]]</f>
        <v>82640</v>
      </c>
      <c r="AA1282" s="6">
        <f ca="1">SUBTOTAL(9,INDEX(Main[بدهی تسویه نشده (کیلوگرم)],1):Main[[#This Row],[بدهی تسویه نشده (کیلوگرم)]])</f>
        <v>0</v>
      </c>
      <c r="AB1282" s="6">
        <f ca="1">IF(Main[[#This Row],[مانده در خط تسویه نشده (کیلوگرم)]]&lt;&gt;0,Main[[#This Row],[تعداد کل روزهای بدهکار (روز)]],0)</f>
        <v>0</v>
      </c>
      <c r="AC1282" s="6">
        <f ca="1">Main[[#This Row],[تعداد روزهای بدهکار  تسویه نشده (روز)]]*Main[[#This Row],[مانده در خط تسویه نشده (کیلوگرم)]]</f>
        <v>0</v>
      </c>
      <c r="AD1282" s="6">
        <f ca="1">SUBTOTAL(9,INDEX(Main[بدهی سررسید شده (کیلوگرم)],1):Main[[#This Row],[بدهی سررسید شده (کیلوگرم)]])</f>
        <v>0</v>
      </c>
      <c r="AE1282" s="6">
        <f ca="1">IF(Main[[#This Row],[مانده در خط سررسید شده (کیلوگرم)]]&lt;&gt;0,Main[[#This Row],[تعداد کل روزهای بدهکار (روز)]],0)</f>
        <v>0</v>
      </c>
      <c r="AF1282" s="6">
        <f ca="1">Main[[#This Row],[تعداد روزهای بدهکار سررسید شده (روز)]]*Main[[#This Row],[مانده در خط سررسید شده (کیلوگرم)]]</f>
        <v>0</v>
      </c>
    </row>
    <row r="1283" spans="1:32" hidden="1" x14ac:dyDescent="0.35">
      <c r="A1283" s="5">
        <f>ROW()-ROW(INDEX(Main[ردیف],1))+1</f>
        <v>1281</v>
      </c>
      <c r="B1283" s="31">
        <f>SUBTOTAL(2,INDEX(Main[ردیف],1):Main[[#This Row],[ردیف]])</f>
        <v>115</v>
      </c>
      <c r="C1283" s="32" t="s">
        <v>638</v>
      </c>
      <c r="D1283" s="32" t="str">
        <f>_xlfn.CONCAT("14",Main[[#This Row],[تاريخ]])</f>
        <v>1400/05/14</v>
      </c>
      <c r="E1283" s="33">
        <v>44413</v>
      </c>
      <c r="F1283" s="32">
        <v>30186</v>
      </c>
      <c r="G1283" s="5" t="str">
        <f>INDEX(customer[عنوان],MATCH(Main[[#This Row],[کد ردیابی]],customer[کد],0))</f>
        <v>سارا گاز</v>
      </c>
      <c r="H1283">
        <v>1731</v>
      </c>
      <c r="I1283" s="6">
        <f ca="1">-Main[[#This Row],[بدهی تسویه شده (کیلوگرم)]]+Main[[#This Row],[بستانکار (کیلوگرم)]]</f>
        <v>1731</v>
      </c>
      <c r="J1283" s="6">
        <f>IF(Main[[#This Row],[مقدار (کیلوگرم)]]&gt;0,Main[[#This Row],[مقدار (کیلوگرم)]],0)</f>
        <v>1731</v>
      </c>
      <c r="K1283" s="6">
        <f>-IF(Main[[#This Row],[مقدار (کیلوگرم)]]&lt;0,Main[[#This Row],[مقدار (کیلوگرم)]],0)</f>
        <v>0</v>
      </c>
      <c r="L12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3" s="7">
        <f>-IF(AND(Main[[#This Row],[مقدار (کیلوگرم)]]&lt;0,Main[[#This Row],[تاريخ میلادی]]&gt;44276),Main[[#This Row],[مقدار (کیلوگرم)]],0)</f>
        <v>0</v>
      </c>
      <c r="N1283" s="6">
        <f ca="1">Main[[#This Row],[بدهکار (کیلوگرم)]]-Main[[#This Row],[بدهی تسویه نشده (کیلوگرم)]]</f>
        <v>0</v>
      </c>
      <c r="O1283" s="6">
        <f ca="1">Main[[#This Row],[تفکیک]]</f>
        <v>0</v>
      </c>
      <c r="P1283" s="6">
        <f ca="1">IF(Main[[#This Row],[تاخیر از سررسید]]&gt;0,Main[[#This Row],[بدهی تسویه نشده (کیلوگرم)]],0)</f>
        <v>0</v>
      </c>
      <c r="Q1283" s="6">
        <f ca="1">IF(Main[[#This Row],[بدهی تسویه نشده (کیلوگرم)]]&gt;0,'گزارش فردی'!$B$7-Main[[#This Row],[تاريخ میلادی]],0)</f>
        <v>0</v>
      </c>
      <c r="R1283" s="6">
        <f ca="1">IF(Main[[#This Row],[بدهی تسویه نشده (کیلوگرم)]]&gt;0,'گزارش فردی'!$B$7-Main[[#This Row],[تاريخ میلادی]]-'گزارش فردی'!$B$8,0)</f>
        <v>0</v>
      </c>
      <c r="S1283" s="6">
        <f ca="1">Main[[#This Row],[روز از ارسال سفارش]]*Main[[#This Row],[بدهی تسویه نشده (کیلوگرم)]]</f>
        <v>0</v>
      </c>
      <c r="T1283" s="6">
        <f ca="1">Main[[#This Row],[بدهی سررسید شده (کیلوگرم)]]*Main[[#This Row],[روز از ارسال سفارش]]</f>
        <v>0</v>
      </c>
      <c r="U1283" s="6">
        <f>-SUBTOTAL(9,INDEX(Main[مقدار (کیلوگرم)],1):Main[[#This Row],[مقدار (کیلوگرم)]])</f>
        <v>41320</v>
      </c>
      <c r="V128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3" s="6">
        <f>Main[[#This Row],[تعداد کل روزهای بدهکار (روز)]]*Main[[#This Row],[مانده در خط کل (کیلوگرم)]]</f>
        <v>82640</v>
      </c>
      <c r="X1283" s="6">
        <f ca="1">-SUBTOTAL(9,INDEX(Main[مقدار تسویه شده (کیلوگرم)],1):Main[[#This Row],[مقدار تسویه شده (کیلوگرم)]])</f>
        <v>41320</v>
      </c>
      <c r="Y1283" s="6">
        <f ca="1">IF(Main[[#This Row],[مانده در خط تسویه شده (کیلوگرم)]]&lt;&gt;0,Main[[#This Row],[تعداد کل روزهای بدهکار (روز)]],0)</f>
        <v>2</v>
      </c>
      <c r="Z1283" s="6">
        <f ca="1">Main[[#This Row],[تعداد روزهای بدهکار تسویه شده (روز)]]*Main[[#This Row],[مانده در خط تسویه شده (کیلوگرم)]]</f>
        <v>82640</v>
      </c>
      <c r="AA1283" s="6">
        <f ca="1">SUBTOTAL(9,INDEX(Main[بدهی تسویه نشده (کیلوگرم)],1):Main[[#This Row],[بدهی تسویه نشده (کیلوگرم)]])</f>
        <v>0</v>
      </c>
      <c r="AB1283" s="6">
        <f ca="1">IF(Main[[#This Row],[مانده در خط تسویه نشده (کیلوگرم)]]&lt;&gt;0,Main[[#This Row],[تعداد کل روزهای بدهکار (روز)]],0)</f>
        <v>0</v>
      </c>
      <c r="AC1283" s="6">
        <f ca="1">Main[[#This Row],[تعداد روزهای بدهکار  تسویه نشده (روز)]]*Main[[#This Row],[مانده در خط تسویه نشده (کیلوگرم)]]</f>
        <v>0</v>
      </c>
      <c r="AD1283" s="6">
        <f ca="1">SUBTOTAL(9,INDEX(Main[بدهی سررسید شده (کیلوگرم)],1):Main[[#This Row],[بدهی سررسید شده (کیلوگرم)]])</f>
        <v>0</v>
      </c>
      <c r="AE1283" s="6">
        <f ca="1">IF(Main[[#This Row],[مانده در خط سررسید شده (کیلوگرم)]]&lt;&gt;0,Main[[#This Row],[تعداد کل روزهای بدهکار (روز)]],0)</f>
        <v>0</v>
      </c>
      <c r="AF1283" s="6">
        <f ca="1">Main[[#This Row],[تعداد روزهای بدهکار سررسید شده (روز)]]*Main[[#This Row],[مانده در خط سررسید شده (کیلوگرم)]]</f>
        <v>0</v>
      </c>
    </row>
    <row r="1284" spans="1:32" hidden="1" x14ac:dyDescent="0.35">
      <c r="A1284" s="5">
        <f>ROW()-ROW(INDEX(Main[ردیف],1))+1</f>
        <v>1282</v>
      </c>
      <c r="B1284" s="31">
        <f>SUBTOTAL(2,INDEX(Main[ردیف],1):Main[[#This Row],[ردیف]])</f>
        <v>115</v>
      </c>
      <c r="C1284" s="32" t="s">
        <v>638</v>
      </c>
      <c r="D1284" s="32" t="str">
        <f>_xlfn.CONCAT("14",Main[[#This Row],[تاريخ]])</f>
        <v>1400/05/14</v>
      </c>
      <c r="E1284" s="33">
        <v>44413</v>
      </c>
      <c r="F1284" s="32">
        <v>30066</v>
      </c>
      <c r="G1284" s="5" t="str">
        <f>INDEX(customer[عنوان],MATCH(Main[[#This Row],[کد ردیابی]],customer[کد],0))</f>
        <v xml:space="preserve">شیر آلات بهداشتی قهرمان </v>
      </c>
      <c r="H1284">
        <v>3270</v>
      </c>
      <c r="I1284" s="6">
        <f ca="1">-Main[[#This Row],[بدهی تسویه شده (کیلوگرم)]]+Main[[#This Row],[بستانکار (کیلوگرم)]]</f>
        <v>3270</v>
      </c>
      <c r="J1284" s="6">
        <f>IF(Main[[#This Row],[مقدار (کیلوگرم)]]&gt;0,Main[[#This Row],[مقدار (کیلوگرم)]],0)</f>
        <v>3270</v>
      </c>
      <c r="K1284" s="6">
        <f>-IF(Main[[#This Row],[مقدار (کیلوگرم)]]&lt;0,Main[[#This Row],[مقدار (کیلوگرم)]],0)</f>
        <v>0</v>
      </c>
      <c r="L12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4" s="7">
        <f>-IF(AND(Main[[#This Row],[مقدار (کیلوگرم)]]&lt;0,Main[[#This Row],[تاريخ میلادی]]&gt;44276),Main[[#This Row],[مقدار (کیلوگرم)]],0)</f>
        <v>0</v>
      </c>
      <c r="N1284" s="6">
        <f ca="1">Main[[#This Row],[بدهکار (کیلوگرم)]]-Main[[#This Row],[بدهی تسویه نشده (کیلوگرم)]]</f>
        <v>0</v>
      </c>
      <c r="O1284" s="6">
        <f ca="1">Main[[#This Row],[تفکیک]]</f>
        <v>0</v>
      </c>
      <c r="P1284" s="6">
        <f ca="1">IF(Main[[#This Row],[تاخیر از سررسید]]&gt;0,Main[[#This Row],[بدهی تسویه نشده (کیلوگرم)]],0)</f>
        <v>0</v>
      </c>
      <c r="Q1284" s="6">
        <f ca="1">IF(Main[[#This Row],[بدهی تسویه نشده (کیلوگرم)]]&gt;0,'گزارش فردی'!$B$7-Main[[#This Row],[تاريخ میلادی]],0)</f>
        <v>0</v>
      </c>
      <c r="R1284" s="6">
        <f ca="1">IF(Main[[#This Row],[بدهی تسویه نشده (کیلوگرم)]]&gt;0,'گزارش فردی'!$B$7-Main[[#This Row],[تاريخ میلادی]]-'گزارش فردی'!$B$8,0)</f>
        <v>0</v>
      </c>
      <c r="S1284" s="6">
        <f ca="1">Main[[#This Row],[روز از ارسال سفارش]]*Main[[#This Row],[بدهی تسویه نشده (کیلوگرم)]]</f>
        <v>0</v>
      </c>
      <c r="T1284" s="6">
        <f ca="1">Main[[#This Row],[بدهی سررسید شده (کیلوگرم)]]*Main[[#This Row],[روز از ارسال سفارش]]</f>
        <v>0</v>
      </c>
      <c r="U1284" s="6">
        <f>-SUBTOTAL(9,INDEX(Main[مقدار (کیلوگرم)],1):Main[[#This Row],[مقدار (کیلوگرم)]])</f>
        <v>41320</v>
      </c>
      <c r="V128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4" s="6">
        <f>Main[[#This Row],[تعداد کل روزهای بدهکار (روز)]]*Main[[#This Row],[مانده در خط کل (کیلوگرم)]]</f>
        <v>82640</v>
      </c>
      <c r="X1284" s="6">
        <f ca="1">-SUBTOTAL(9,INDEX(Main[مقدار تسویه شده (کیلوگرم)],1):Main[[#This Row],[مقدار تسویه شده (کیلوگرم)]])</f>
        <v>41320</v>
      </c>
      <c r="Y1284" s="6">
        <f ca="1">IF(Main[[#This Row],[مانده در خط تسویه شده (کیلوگرم)]]&lt;&gt;0,Main[[#This Row],[تعداد کل روزهای بدهکار (روز)]],0)</f>
        <v>2</v>
      </c>
      <c r="Z1284" s="6">
        <f ca="1">Main[[#This Row],[تعداد روزهای بدهکار تسویه شده (روز)]]*Main[[#This Row],[مانده در خط تسویه شده (کیلوگرم)]]</f>
        <v>82640</v>
      </c>
      <c r="AA1284" s="6">
        <f ca="1">SUBTOTAL(9,INDEX(Main[بدهی تسویه نشده (کیلوگرم)],1):Main[[#This Row],[بدهی تسویه نشده (کیلوگرم)]])</f>
        <v>0</v>
      </c>
      <c r="AB1284" s="6">
        <f ca="1">IF(Main[[#This Row],[مانده در خط تسویه نشده (کیلوگرم)]]&lt;&gt;0,Main[[#This Row],[تعداد کل روزهای بدهکار (روز)]],0)</f>
        <v>0</v>
      </c>
      <c r="AC1284" s="6">
        <f ca="1">Main[[#This Row],[تعداد روزهای بدهکار  تسویه نشده (روز)]]*Main[[#This Row],[مانده در خط تسویه نشده (کیلوگرم)]]</f>
        <v>0</v>
      </c>
      <c r="AD1284" s="6">
        <f ca="1">SUBTOTAL(9,INDEX(Main[بدهی سررسید شده (کیلوگرم)],1):Main[[#This Row],[بدهی سررسید شده (کیلوگرم)]])</f>
        <v>0</v>
      </c>
      <c r="AE1284" s="6">
        <f ca="1">IF(Main[[#This Row],[مانده در خط سررسید شده (کیلوگرم)]]&lt;&gt;0,Main[[#This Row],[تعداد کل روزهای بدهکار (روز)]],0)</f>
        <v>0</v>
      </c>
      <c r="AF1284" s="6">
        <f ca="1">Main[[#This Row],[تعداد روزهای بدهکار سررسید شده (روز)]]*Main[[#This Row],[مانده در خط سررسید شده (کیلوگرم)]]</f>
        <v>0</v>
      </c>
    </row>
    <row r="1285" spans="1:32" hidden="1" x14ac:dyDescent="0.35">
      <c r="A1285" s="5">
        <f>ROW()-ROW(INDEX(Main[ردیف],1))+1</f>
        <v>1283</v>
      </c>
      <c r="B1285" s="31">
        <f>SUBTOTAL(2,INDEX(Main[ردیف],1):Main[[#This Row],[ردیف]])</f>
        <v>115</v>
      </c>
      <c r="C1285" s="32" t="s">
        <v>639</v>
      </c>
      <c r="D1285" s="32" t="str">
        <f>_xlfn.CONCAT("14",Main[[#This Row],[تاريخ]])</f>
        <v>1400/05/16</v>
      </c>
      <c r="E1285" s="33">
        <v>44415</v>
      </c>
      <c r="F1285" s="32">
        <v>30004</v>
      </c>
      <c r="G1285" s="5" t="str">
        <f>INDEX(customer[عنوان],MATCH(Main[[#This Row],[کد ردیابی]],customer[کد],0))</f>
        <v>تولیدی صنعتی صفاشیر پارس</v>
      </c>
      <c r="H1285">
        <v>-4440</v>
      </c>
      <c r="I1285" s="6">
        <f ca="1">-Main[[#This Row],[بدهی تسویه شده (کیلوگرم)]]+Main[[#This Row],[بستانکار (کیلوگرم)]]</f>
        <v>-4440</v>
      </c>
      <c r="J1285" s="6">
        <f>IF(Main[[#This Row],[مقدار (کیلوگرم)]]&gt;0,Main[[#This Row],[مقدار (کیلوگرم)]],0)</f>
        <v>0</v>
      </c>
      <c r="K1285" s="6">
        <f>-IF(Main[[#This Row],[مقدار (کیلوگرم)]]&lt;0,Main[[#This Row],[مقدار (کیلوگرم)]],0)</f>
        <v>4440</v>
      </c>
      <c r="L12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5" s="7">
        <f>-IF(AND(Main[[#This Row],[مقدار (کیلوگرم)]]&lt;0,Main[[#This Row],[تاريخ میلادی]]&gt;44276),Main[[#This Row],[مقدار (کیلوگرم)]],0)</f>
        <v>4440</v>
      </c>
      <c r="N1285" s="6">
        <f ca="1">Main[[#This Row],[بدهکار (کیلوگرم)]]-Main[[#This Row],[بدهی تسویه نشده (کیلوگرم)]]</f>
        <v>4440</v>
      </c>
      <c r="O1285" s="6">
        <f ca="1">Main[[#This Row],[تفکیک]]</f>
        <v>0</v>
      </c>
      <c r="P1285" s="6">
        <f ca="1">IF(Main[[#This Row],[تاخیر از سررسید]]&gt;0,Main[[#This Row],[بدهی تسویه نشده (کیلوگرم)]],0)</f>
        <v>0</v>
      </c>
      <c r="Q1285" s="6">
        <f ca="1">IF(Main[[#This Row],[بدهی تسویه نشده (کیلوگرم)]]&gt;0,'گزارش فردی'!$B$7-Main[[#This Row],[تاريخ میلادی]],0)</f>
        <v>0</v>
      </c>
      <c r="R1285" s="6">
        <f ca="1">IF(Main[[#This Row],[بدهی تسویه نشده (کیلوگرم)]]&gt;0,'گزارش فردی'!$B$7-Main[[#This Row],[تاريخ میلادی]]-'گزارش فردی'!$B$8,0)</f>
        <v>0</v>
      </c>
      <c r="S1285" s="6">
        <f ca="1">Main[[#This Row],[روز از ارسال سفارش]]*Main[[#This Row],[بدهی تسویه نشده (کیلوگرم)]]</f>
        <v>0</v>
      </c>
      <c r="T1285" s="6">
        <f ca="1">Main[[#This Row],[بدهی سررسید شده (کیلوگرم)]]*Main[[#This Row],[روز از ارسال سفارش]]</f>
        <v>0</v>
      </c>
      <c r="U1285" s="6">
        <f>-SUBTOTAL(9,INDEX(Main[مقدار (کیلوگرم)],1):Main[[#This Row],[مقدار (کیلوگرم)]])</f>
        <v>41320</v>
      </c>
      <c r="V12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5" s="6">
        <f>Main[[#This Row],[تعداد کل روزهای بدهکار (روز)]]*Main[[#This Row],[مانده در خط کل (کیلوگرم)]]</f>
        <v>0</v>
      </c>
      <c r="X1285" s="6">
        <f ca="1">-SUBTOTAL(9,INDEX(Main[مقدار تسویه شده (کیلوگرم)],1):Main[[#This Row],[مقدار تسویه شده (کیلوگرم)]])</f>
        <v>41320</v>
      </c>
      <c r="Y1285" s="6">
        <f ca="1">IF(Main[[#This Row],[مانده در خط تسویه شده (کیلوگرم)]]&lt;&gt;0,Main[[#This Row],[تعداد کل روزهای بدهکار (روز)]],0)</f>
        <v>0</v>
      </c>
      <c r="Z1285" s="6">
        <f ca="1">Main[[#This Row],[تعداد روزهای بدهکار تسویه شده (روز)]]*Main[[#This Row],[مانده در خط تسویه شده (کیلوگرم)]]</f>
        <v>0</v>
      </c>
      <c r="AA1285" s="6">
        <f ca="1">SUBTOTAL(9,INDEX(Main[بدهی تسویه نشده (کیلوگرم)],1):Main[[#This Row],[بدهی تسویه نشده (کیلوگرم)]])</f>
        <v>0</v>
      </c>
      <c r="AB1285" s="6">
        <f ca="1">IF(Main[[#This Row],[مانده در خط تسویه نشده (کیلوگرم)]]&lt;&gt;0,Main[[#This Row],[تعداد کل روزهای بدهکار (روز)]],0)</f>
        <v>0</v>
      </c>
      <c r="AC1285" s="6">
        <f ca="1">Main[[#This Row],[تعداد روزهای بدهکار  تسویه نشده (روز)]]*Main[[#This Row],[مانده در خط تسویه نشده (کیلوگرم)]]</f>
        <v>0</v>
      </c>
      <c r="AD1285" s="6">
        <f ca="1">SUBTOTAL(9,INDEX(Main[بدهی سررسید شده (کیلوگرم)],1):Main[[#This Row],[بدهی سررسید شده (کیلوگرم)]])</f>
        <v>0</v>
      </c>
      <c r="AE1285" s="6">
        <f ca="1">IF(Main[[#This Row],[مانده در خط سررسید شده (کیلوگرم)]]&lt;&gt;0,Main[[#This Row],[تعداد کل روزهای بدهکار (روز)]],0)</f>
        <v>0</v>
      </c>
      <c r="AF1285" s="6">
        <f ca="1">Main[[#This Row],[تعداد روزهای بدهکار سررسید شده (روز)]]*Main[[#This Row],[مانده در خط سررسید شده (کیلوگرم)]]</f>
        <v>0</v>
      </c>
    </row>
    <row r="1286" spans="1:32" hidden="1" x14ac:dyDescent="0.35">
      <c r="A1286" s="5">
        <f>ROW()-ROW(INDEX(Main[ردیف],1))+1</f>
        <v>1284</v>
      </c>
      <c r="B1286" s="31">
        <f>SUBTOTAL(2,INDEX(Main[ردیف],1):Main[[#This Row],[ردیف]])</f>
        <v>115</v>
      </c>
      <c r="C1286" s="32" t="s">
        <v>639</v>
      </c>
      <c r="D1286" s="32" t="str">
        <f>_xlfn.CONCAT("14",Main[[#This Row],[تاريخ]])</f>
        <v>1400/05/16</v>
      </c>
      <c r="E1286" s="33">
        <v>44415</v>
      </c>
      <c r="F1286" s="32">
        <v>30066</v>
      </c>
      <c r="G1286" s="5" t="str">
        <f>INDEX(customer[عنوان],MATCH(Main[[#This Row],[کد ردیابی]],customer[کد],0))</f>
        <v xml:space="preserve">شیر آلات بهداشتی قهرمان </v>
      </c>
      <c r="H1286">
        <v>4191</v>
      </c>
      <c r="I1286" s="6">
        <f ca="1">-Main[[#This Row],[بدهی تسویه شده (کیلوگرم)]]+Main[[#This Row],[بستانکار (کیلوگرم)]]</f>
        <v>4191</v>
      </c>
      <c r="J1286" s="6">
        <f>IF(Main[[#This Row],[مقدار (کیلوگرم)]]&gt;0,Main[[#This Row],[مقدار (کیلوگرم)]],0)</f>
        <v>4191</v>
      </c>
      <c r="K1286" s="6">
        <f>-IF(Main[[#This Row],[مقدار (کیلوگرم)]]&lt;0,Main[[#This Row],[مقدار (کیلوگرم)]],0)</f>
        <v>0</v>
      </c>
      <c r="L12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6" s="7">
        <f>-IF(AND(Main[[#This Row],[مقدار (کیلوگرم)]]&lt;0,Main[[#This Row],[تاريخ میلادی]]&gt;44276),Main[[#This Row],[مقدار (کیلوگرم)]],0)</f>
        <v>0</v>
      </c>
      <c r="N1286" s="6">
        <f ca="1">Main[[#This Row],[بدهکار (کیلوگرم)]]-Main[[#This Row],[بدهی تسویه نشده (کیلوگرم)]]</f>
        <v>0</v>
      </c>
      <c r="O1286" s="6">
        <f ca="1">Main[[#This Row],[تفکیک]]</f>
        <v>0</v>
      </c>
      <c r="P1286" s="6">
        <f ca="1">IF(Main[[#This Row],[تاخیر از سررسید]]&gt;0,Main[[#This Row],[بدهی تسویه نشده (کیلوگرم)]],0)</f>
        <v>0</v>
      </c>
      <c r="Q1286" s="6">
        <f ca="1">IF(Main[[#This Row],[بدهی تسویه نشده (کیلوگرم)]]&gt;0,'گزارش فردی'!$B$7-Main[[#This Row],[تاريخ میلادی]],0)</f>
        <v>0</v>
      </c>
      <c r="R1286" s="6">
        <f ca="1">IF(Main[[#This Row],[بدهی تسویه نشده (کیلوگرم)]]&gt;0,'گزارش فردی'!$B$7-Main[[#This Row],[تاريخ میلادی]]-'گزارش فردی'!$B$8,0)</f>
        <v>0</v>
      </c>
      <c r="S1286" s="6">
        <f ca="1">Main[[#This Row],[روز از ارسال سفارش]]*Main[[#This Row],[بدهی تسویه نشده (کیلوگرم)]]</f>
        <v>0</v>
      </c>
      <c r="T1286" s="6">
        <f ca="1">Main[[#This Row],[بدهی سررسید شده (کیلوگرم)]]*Main[[#This Row],[روز از ارسال سفارش]]</f>
        <v>0</v>
      </c>
      <c r="U1286" s="6">
        <f>-SUBTOTAL(9,INDEX(Main[مقدار (کیلوگرم)],1):Main[[#This Row],[مقدار (کیلوگرم)]])</f>
        <v>41320</v>
      </c>
      <c r="V12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6" s="6">
        <f>Main[[#This Row],[تعداد کل روزهای بدهکار (روز)]]*Main[[#This Row],[مانده در خط کل (کیلوگرم)]]</f>
        <v>0</v>
      </c>
      <c r="X1286" s="6">
        <f ca="1">-SUBTOTAL(9,INDEX(Main[مقدار تسویه شده (کیلوگرم)],1):Main[[#This Row],[مقدار تسویه شده (کیلوگرم)]])</f>
        <v>41320</v>
      </c>
      <c r="Y1286" s="6">
        <f ca="1">IF(Main[[#This Row],[مانده در خط تسویه شده (کیلوگرم)]]&lt;&gt;0,Main[[#This Row],[تعداد کل روزهای بدهکار (روز)]],0)</f>
        <v>0</v>
      </c>
      <c r="Z1286" s="6">
        <f ca="1">Main[[#This Row],[تعداد روزهای بدهکار تسویه شده (روز)]]*Main[[#This Row],[مانده در خط تسویه شده (کیلوگرم)]]</f>
        <v>0</v>
      </c>
      <c r="AA1286" s="6">
        <f ca="1">SUBTOTAL(9,INDEX(Main[بدهی تسویه نشده (کیلوگرم)],1):Main[[#This Row],[بدهی تسویه نشده (کیلوگرم)]])</f>
        <v>0</v>
      </c>
      <c r="AB1286" s="6">
        <f ca="1">IF(Main[[#This Row],[مانده در خط تسویه نشده (کیلوگرم)]]&lt;&gt;0,Main[[#This Row],[تعداد کل روزهای بدهکار (روز)]],0)</f>
        <v>0</v>
      </c>
      <c r="AC1286" s="6">
        <f ca="1">Main[[#This Row],[تعداد روزهای بدهکار  تسویه نشده (روز)]]*Main[[#This Row],[مانده در خط تسویه نشده (کیلوگرم)]]</f>
        <v>0</v>
      </c>
      <c r="AD1286" s="6">
        <f ca="1">SUBTOTAL(9,INDEX(Main[بدهی سررسید شده (کیلوگرم)],1):Main[[#This Row],[بدهی سررسید شده (کیلوگرم)]])</f>
        <v>0</v>
      </c>
      <c r="AE1286" s="6">
        <f ca="1">IF(Main[[#This Row],[مانده در خط سررسید شده (کیلوگرم)]]&lt;&gt;0,Main[[#This Row],[تعداد کل روزهای بدهکار (روز)]],0)</f>
        <v>0</v>
      </c>
      <c r="AF1286" s="6">
        <f ca="1">Main[[#This Row],[تعداد روزهای بدهکار سررسید شده (روز)]]*Main[[#This Row],[مانده در خط سررسید شده (کیلوگرم)]]</f>
        <v>0</v>
      </c>
    </row>
    <row r="1287" spans="1:32" hidden="1" x14ac:dyDescent="0.35">
      <c r="A1287" s="5">
        <f>ROW()-ROW(INDEX(Main[ردیف],1))+1</f>
        <v>1285</v>
      </c>
      <c r="B1287" s="31">
        <f>SUBTOTAL(2,INDEX(Main[ردیف],1):Main[[#This Row],[ردیف]])</f>
        <v>115</v>
      </c>
      <c r="C1287" s="32" t="s">
        <v>639</v>
      </c>
      <c r="D1287" s="32" t="str">
        <f>_xlfn.CONCAT("14",Main[[#This Row],[تاريخ]])</f>
        <v>1400/05/16</v>
      </c>
      <c r="E1287" s="33">
        <v>44415</v>
      </c>
      <c r="F1287" s="32">
        <v>30009</v>
      </c>
      <c r="G1287" s="5" t="str">
        <f>INDEX(customer[عنوان],MATCH(Main[[#This Row],[کد ردیابی]],customer[کد],0))</f>
        <v>شرکت ایمن تک پیشرو</v>
      </c>
      <c r="H1287">
        <v>-2064</v>
      </c>
      <c r="I1287" s="6">
        <f ca="1">-Main[[#This Row],[بدهی تسویه شده (کیلوگرم)]]+Main[[#This Row],[بستانکار (کیلوگرم)]]</f>
        <v>-2064</v>
      </c>
      <c r="J1287" s="6">
        <f>IF(Main[[#This Row],[مقدار (کیلوگرم)]]&gt;0,Main[[#This Row],[مقدار (کیلوگرم)]],0)</f>
        <v>0</v>
      </c>
      <c r="K1287" s="6">
        <f>-IF(Main[[#This Row],[مقدار (کیلوگرم)]]&lt;0,Main[[#This Row],[مقدار (کیلوگرم)]],0)</f>
        <v>2064</v>
      </c>
      <c r="L12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7" s="7">
        <f>-IF(AND(Main[[#This Row],[مقدار (کیلوگرم)]]&lt;0,Main[[#This Row],[تاريخ میلادی]]&gt;44276),Main[[#This Row],[مقدار (کیلوگرم)]],0)</f>
        <v>2064</v>
      </c>
      <c r="N1287" s="6">
        <f ca="1">Main[[#This Row],[بدهکار (کیلوگرم)]]-Main[[#This Row],[بدهی تسویه نشده (کیلوگرم)]]</f>
        <v>2064</v>
      </c>
      <c r="O1287" s="6">
        <f ca="1">Main[[#This Row],[تفکیک]]</f>
        <v>0</v>
      </c>
      <c r="P1287" s="6">
        <f ca="1">IF(Main[[#This Row],[تاخیر از سررسید]]&gt;0,Main[[#This Row],[بدهی تسویه نشده (کیلوگرم)]],0)</f>
        <v>0</v>
      </c>
      <c r="Q1287" s="6">
        <f ca="1">IF(Main[[#This Row],[بدهی تسویه نشده (کیلوگرم)]]&gt;0,'گزارش فردی'!$B$7-Main[[#This Row],[تاريخ میلادی]],0)</f>
        <v>0</v>
      </c>
      <c r="R1287" s="6">
        <f ca="1">IF(Main[[#This Row],[بدهی تسویه نشده (کیلوگرم)]]&gt;0,'گزارش فردی'!$B$7-Main[[#This Row],[تاريخ میلادی]]-'گزارش فردی'!$B$8,0)</f>
        <v>0</v>
      </c>
      <c r="S1287" s="6">
        <f ca="1">Main[[#This Row],[روز از ارسال سفارش]]*Main[[#This Row],[بدهی تسویه نشده (کیلوگرم)]]</f>
        <v>0</v>
      </c>
      <c r="T1287" s="6">
        <f ca="1">Main[[#This Row],[بدهی سررسید شده (کیلوگرم)]]*Main[[#This Row],[روز از ارسال سفارش]]</f>
        <v>0</v>
      </c>
      <c r="U1287" s="6">
        <f>-SUBTOTAL(9,INDEX(Main[مقدار (کیلوگرم)],1):Main[[#This Row],[مقدار (کیلوگرم)]])</f>
        <v>41320</v>
      </c>
      <c r="V12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7" s="6">
        <f>Main[[#This Row],[تعداد کل روزهای بدهکار (روز)]]*Main[[#This Row],[مانده در خط کل (کیلوگرم)]]</f>
        <v>0</v>
      </c>
      <c r="X1287" s="6">
        <f ca="1">-SUBTOTAL(9,INDEX(Main[مقدار تسویه شده (کیلوگرم)],1):Main[[#This Row],[مقدار تسویه شده (کیلوگرم)]])</f>
        <v>41320</v>
      </c>
      <c r="Y1287" s="6">
        <f ca="1">IF(Main[[#This Row],[مانده در خط تسویه شده (کیلوگرم)]]&lt;&gt;0,Main[[#This Row],[تعداد کل روزهای بدهکار (روز)]],0)</f>
        <v>0</v>
      </c>
      <c r="Z1287" s="6">
        <f ca="1">Main[[#This Row],[تعداد روزهای بدهکار تسویه شده (روز)]]*Main[[#This Row],[مانده در خط تسویه شده (کیلوگرم)]]</f>
        <v>0</v>
      </c>
      <c r="AA1287" s="6">
        <f ca="1">SUBTOTAL(9,INDEX(Main[بدهی تسویه نشده (کیلوگرم)],1):Main[[#This Row],[بدهی تسویه نشده (کیلوگرم)]])</f>
        <v>0</v>
      </c>
      <c r="AB1287" s="6">
        <f ca="1">IF(Main[[#This Row],[مانده در خط تسویه نشده (کیلوگرم)]]&lt;&gt;0,Main[[#This Row],[تعداد کل روزهای بدهکار (روز)]],0)</f>
        <v>0</v>
      </c>
      <c r="AC1287" s="6">
        <f ca="1">Main[[#This Row],[تعداد روزهای بدهکار  تسویه نشده (روز)]]*Main[[#This Row],[مانده در خط تسویه نشده (کیلوگرم)]]</f>
        <v>0</v>
      </c>
      <c r="AD1287" s="6">
        <f ca="1">SUBTOTAL(9,INDEX(Main[بدهی سررسید شده (کیلوگرم)],1):Main[[#This Row],[بدهی سررسید شده (کیلوگرم)]])</f>
        <v>0</v>
      </c>
      <c r="AE1287" s="6">
        <f ca="1">IF(Main[[#This Row],[مانده در خط سررسید شده (کیلوگرم)]]&lt;&gt;0,Main[[#This Row],[تعداد کل روزهای بدهکار (روز)]],0)</f>
        <v>0</v>
      </c>
      <c r="AF1287" s="6">
        <f ca="1">Main[[#This Row],[تعداد روزهای بدهکار سررسید شده (روز)]]*Main[[#This Row],[مانده در خط سررسید شده (کیلوگرم)]]</f>
        <v>0</v>
      </c>
    </row>
    <row r="1288" spans="1:32" hidden="1" x14ac:dyDescent="0.35">
      <c r="A1288" s="5">
        <f>ROW()-ROW(INDEX(Main[ردیف],1))+1</f>
        <v>1286</v>
      </c>
      <c r="B1288" s="31">
        <f>SUBTOTAL(2,INDEX(Main[ردیف],1):Main[[#This Row],[ردیف]])</f>
        <v>115</v>
      </c>
      <c r="C1288" s="32" t="s">
        <v>639</v>
      </c>
      <c r="D1288" s="32" t="str">
        <f>_xlfn.CONCAT("14",Main[[#This Row],[تاريخ]])</f>
        <v>1400/05/16</v>
      </c>
      <c r="E1288" s="33">
        <v>44415</v>
      </c>
      <c r="F1288" s="32">
        <v>30004</v>
      </c>
      <c r="G1288" s="5" t="str">
        <f>INDEX(customer[عنوان],MATCH(Main[[#This Row],[کد ردیابی]],customer[کد],0))</f>
        <v>تولیدی صنعتی صفاشیر پارس</v>
      </c>
      <c r="H1288">
        <v>10000</v>
      </c>
      <c r="I1288" s="6">
        <f ca="1">-Main[[#This Row],[بدهی تسویه شده (کیلوگرم)]]+Main[[#This Row],[بستانکار (کیلوگرم)]]</f>
        <v>10000</v>
      </c>
      <c r="J1288" s="6">
        <f>IF(Main[[#This Row],[مقدار (کیلوگرم)]]&gt;0,Main[[#This Row],[مقدار (کیلوگرم)]],0)</f>
        <v>10000</v>
      </c>
      <c r="K1288" s="6">
        <f>-IF(Main[[#This Row],[مقدار (کیلوگرم)]]&lt;0,Main[[#This Row],[مقدار (کیلوگرم)]],0)</f>
        <v>0</v>
      </c>
      <c r="L12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8" s="7">
        <f>-IF(AND(Main[[#This Row],[مقدار (کیلوگرم)]]&lt;0,Main[[#This Row],[تاريخ میلادی]]&gt;44276),Main[[#This Row],[مقدار (کیلوگرم)]],0)</f>
        <v>0</v>
      </c>
      <c r="N1288" s="6">
        <f ca="1">Main[[#This Row],[بدهکار (کیلوگرم)]]-Main[[#This Row],[بدهی تسویه نشده (کیلوگرم)]]</f>
        <v>0</v>
      </c>
      <c r="O1288" s="6">
        <f ca="1">Main[[#This Row],[تفکیک]]</f>
        <v>0</v>
      </c>
      <c r="P1288" s="6">
        <f ca="1">IF(Main[[#This Row],[تاخیر از سررسید]]&gt;0,Main[[#This Row],[بدهی تسویه نشده (کیلوگرم)]],0)</f>
        <v>0</v>
      </c>
      <c r="Q1288" s="6">
        <f ca="1">IF(Main[[#This Row],[بدهی تسویه نشده (کیلوگرم)]]&gt;0,'گزارش فردی'!$B$7-Main[[#This Row],[تاريخ میلادی]],0)</f>
        <v>0</v>
      </c>
      <c r="R1288" s="6">
        <f ca="1">IF(Main[[#This Row],[بدهی تسویه نشده (کیلوگرم)]]&gt;0,'گزارش فردی'!$B$7-Main[[#This Row],[تاريخ میلادی]]-'گزارش فردی'!$B$8,0)</f>
        <v>0</v>
      </c>
      <c r="S1288" s="6">
        <f ca="1">Main[[#This Row],[روز از ارسال سفارش]]*Main[[#This Row],[بدهی تسویه نشده (کیلوگرم)]]</f>
        <v>0</v>
      </c>
      <c r="T1288" s="6">
        <f ca="1">Main[[#This Row],[بدهی سررسید شده (کیلوگرم)]]*Main[[#This Row],[روز از ارسال سفارش]]</f>
        <v>0</v>
      </c>
      <c r="U1288" s="6">
        <f>-SUBTOTAL(9,INDEX(Main[مقدار (کیلوگرم)],1):Main[[#This Row],[مقدار (کیلوگرم)]])</f>
        <v>41320</v>
      </c>
      <c r="V12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8" s="6">
        <f>Main[[#This Row],[تعداد کل روزهای بدهکار (روز)]]*Main[[#This Row],[مانده در خط کل (کیلوگرم)]]</f>
        <v>0</v>
      </c>
      <c r="X1288" s="6">
        <f ca="1">-SUBTOTAL(9,INDEX(Main[مقدار تسویه شده (کیلوگرم)],1):Main[[#This Row],[مقدار تسویه شده (کیلوگرم)]])</f>
        <v>41320</v>
      </c>
      <c r="Y1288" s="6">
        <f ca="1">IF(Main[[#This Row],[مانده در خط تسویه شده (کیلوگرم)]]&lt;&gt;0,Main[[#This Row],[تعداد کل روزهای بدهکار (روز)]],0)</f>
        <v>0</v>
      </c>
      <c r="Z1288" s="6">
        <f ca="1">Main[[#This Row],[تعداد روزهای بدهکار تسویه شده (روز)]]*Main[[#This Row],[مانده در خط تسویه شده (کیلوگرم)]]</f>
        <v>0</v>
      </c>
      <c r="AA1288" s="6">
        <f ca="1">SUBTOTAL(9,INDEX(Main[بدهی تسویه نشده (کیلوگرم)],1):Main[[#This Row],[بدهی تسویه نشده (کیلوگرم)]])</f>
        <v>0</v>
      </c>
      <c r="AB1288" s="6">
        <f ca="1">IF(Main[[#This Row],[مانده در خط تسویه نشده (کیلوگرم)]]&lt;&gt;0,Main[[#This Row],[تعداد کل روزهای بدهکار (روز)]],0)</f>
        <v>0</v>
      </c>
      <c r="AC1288" s="6">
        <f ca="1">Main[[#This Row],[تعداد روزهای بدهکار  تسویه نشده (روز)]]*Main[[#This Row],[مانده در خط تسویه نشده (کیلوگرم)]]</f>
        <v>0</v>
      </c>
      <c r="AD1288" s="6">
        <f ca="1">SUBTOTAL(9,INDEX(Main[بدهی سررسید شده (کیلوگرم)],1):Main[[#This Row],[بدهی سررسید شده (کیلوگرم)]])</f>
        <v>0</v>
      </c>
      <c r="AE1288" s="6">
        <f ca="1">IF(Main[[#This Row],[مانده در خط سررسید شده (کیلوگرم)]]&lt;&gt;0,Main[[#This Row],[تعداد کل روزهای بدهکار (روز)]],0)</f>
        <v>0</v>
      </c>
      <c r="AF1288" s="6">
        <f ca="1">Main[[#This Row],[تعداد روزهای بدهکار سررسید شده (روز)]]*Main[[#This Row],[مانده در خط سررسید شده (کیلوگرم)]]</f>
        <v>0</v>
      </c>
    </row>
    <row r="1289" spans="1:32" hidden="1" x14ac:dyDescent="0.35">
      <c r="A1289" s="5">
        <f>ROW()-ROW(INDEX(Main[ردیف],1))+1</f>
        <v>1287</v>
      </c>
      <c r="B1289" s="31">
        <f>SUBTOTAL(2,INDEX(Main[ردیف],1):Main[[#This Row],[ردیف]])</f>
        <v>115</v>
      </c>
      <c r="C1289" s="32" t="s">
        <v>639</v>
      </c>
      <c r="D1289" s="32" t="str">
        <f>_xlfn.CONCAT("14",Main[[#This Row],[تاريخ]])</f>
        <v>1400/05/16</v>
      </c>
      <c r="E1289" s="33">
        <v>44415</v>
      </c>
      <c r="F1289" s="32">
        <v>30131</v>
      </c>
      <c r="G1289" s="5" t="str">
        <f>INDEX(customer[عنوان],MATCH(Main[[#This Row],[کد ردیابی]],customer[کد],0))</f>
        <v>ادهم مس تبریز</v>
      </c>
      <c r="H1289">
        <v>-5503</v>
      </c>
      <c r="I1289" s="6">
        <f ca="1">-Main[[#This Row],[بدهی تسویه شده (کیلوگرم)]]+Main[[#This Row],[بستانکار (کیلوگرم)]]</f>
        <v>-5503</v>
      </c>
      <c r="J1289" s="6">
        <f>IF(Main[[#This Row],[مقدار (کیلوگرم)]]&gt;0,Main[[#This Row],[مقدار (کیلوگرم)]],0)</f>
        <v>0</v>
      </c>
      <c r="K1289" s="6">
        <f>-IF(Main[[#This Row],[مقدار (کیلوگرم)]]&lt;0,Main[[#This Row],[مقدار (کیلوگرم)]],0)</f>
        <v>5503</v>
      </c>
      <c r="L12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9" s="7">
        <f>-IF(AND(Main[[#This Row],[مقدار (کیلوگرم)]]&lt;0,Main[[#This Row],[تاريخ میلادی]]&gt;44276),Main[[#This Row],[مقدار (کیلوگرم)]],0)</f>
        <v>5503</v>
      </c>
      <c r="N1289" s="6">
        <f ca="1">Main[[#This Row],[بدهکار (کیلوگرم)]]-Main[[#This Row],[بدهی تسویه نشده (کیلوگرم)]]</f>
        <v>5503</v>
      </c>
      <c r="O1289" s="6">
        <f ca="1">Main[[#This Row],[تفکیک]]</f>
        <v>0</v>
      </c>
      <c r="P1289" s="6">
        <f ca="1">IF(Main[[#This Row],[تاخیر از سررسید]]&gt;0,Main[[#This Row],[بدهی تسویه نشده (کیلوگرم)]],0)</f>
        <v>0</v>
      </c>
      <c r="Q1289" s="6">
        <f ca="1">IF(Main[[#This Row],[بدهی تسویه نشده (کیلوگرم)]]&gt;0,'گزارش فردی'!$B$7-Main[[#This Row],[تاريخ میلادی]],0)</f>
        <v>0</v>
      </c>
      <c r="R1289" s="6">
        <f ca="1">IF(Main[[#This Row],[بدهی تسویه نشده (کیلوگرم)]]&gt;0,'گزارش فردی'!$B$7-Main[[#This Row],[تاريخ میلادی]]-'گزارش فردی'!$B$8,0)</f>
        <v>0</v>
      </c>
      <c r="S1289" s="6">
        <f ca="1">Main[[#This Row],[روز از ارسال سفارش]]*Main[[#This Row],[بدهی تسویه نشده (کیلوگرم)]]</f>
        <v>0</v>
      </c>
      <c r="T1289" s="6">
        <f ca="1">Main[[#This Row],[بدهی سررسید شده (کیلوگرم)]]*Main[[#This Row],[روز از ارسال سفارش]]</f>
        <v>0</v>
      </c>
      <c r="U1289" s="6">
        <f>-SUBTOTAL(9,INDEX(Main[مقدار (کیلوگرم)],1):Main[[#This Row],[مقدار (کیلوگرم)]])</f>
        <v>41320</v>
      </c>
      <c r="V12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9" s="6">
        <f>Main[[#This Row],[تعداد کل روزهای بدهکار (روز)]]*Main[[#This Row],[مانده در خط کل (کیلوگرم)]]</f>
        <v>0</v>
      </c>
      <c r="X1289" s="6">
        <f ca="1">-SUBTOTAL(9,INDEX(Main[مقدار تسویه شده (کیلوگرم)],1):Main[[#This Row],[مقدار تسویه شده (کیلوگرم)]])</f>
        <v>41320</v>
      </c>
      <c r="Y1289" s="6">
        <f ca="1">IF(Main[[#This Row],[مانده در خط تسویه شده (کیلوگرم)]]&lt;&gt;0,Main[[#This Row],[تعداد کل روزهای بدهکار (روز)]],0)</f>
        <v>0</v>
      </c>
      <c r="Z1289" s="6">
        <f ca="1">Main[[#This Row],[تعداد روزهای بدهکار تسویه شده (روز)]]*Main[[#This Row],[مانده در خط تسویه شده (کیلوگرم)]]</f>
        <v>0</v>
      </c>
      <c r="AA1289" s="6">
        <f ca="1">SUBTOTAL(9,INDEX(Main[بدهی تسویه نشده (کیلوگرم)],1):Main[[#This Row],[بدهی تسویه نشده (کیلوگرم)]])</f>
        <v>0</v>
      </c>
      <c r="AB1289" s="6">
        <f ca="1">IF(Main[[#This Row],[مانده در خط تسویه نشده (کیلوگرم)]]&lt;&gt;0,Main[[#This Row],[تعداد کل روزهای بدهکار (روز)]],0)</f>
        <v>0</v>
      </c>
      <c r="AC1289" s="6">
        <f ca="1">Main[[#This Row],[تعداد روزهای بدهکار  تسویه نشده (روز)]]*Main[[#This Row],[مانده در خط تسویه نشده (کیلوگرم)]]</f>
        <v>0</v>
      </c>
      <c r="AD1289" s="6">
        <f ca="1">SUBTOTAL(9,INDEX(Main[بدهی سررسید شده (کیلوگرم)],1):Main[[#This Row],[بدهی سررسید شده (کیلوگرم)]])</f>
        <v>0</v>
      </c>
      <c r="AE1289" s="6">
        <f ca="1">IF(Main[[#This Row],[مانده در خط سررسید شده (کیلوگرم)]]&lt;&gt;0,Main[[#This Row],[تعداد کل روزهای بدهکار (روز)]],0)</f>
        <v>0</v>
      </c>
      <c r="AF1289" s="6">
        <f ca="1">Main[[#This Row],[تعداد روزهای بدهکار سررسید شده (روز)]]*Main[[#This Row],[مانده در خط سررسید شده (کیلوگرم)]]</f>
        <v>0</v>
      </c>
    </row>
    <row r="1290" spans="1:32" hidden="1" x14ac:dyDescent="0.35">
      <c r="A1290" s="5">
        <f>ROW()-ROW(INDEX(Main[ردیف],1))+1</f>
        <v>1288</v>
      </c>
      <c r="B1290" s="31">
        <f>SUBTOTAL(2,INDEX(Main[ردیف],1):Main[[#This Row],[ردیف]])</f>
        <v>115</v>
      </c>
      <c r="C1290" s="32" t="s">
        <v>639</v>
      </c>
      <c r="D1290" s="32" t="str">
        <f>_xlfn.CONCAT("14",Main[[#This Row],[تاريخ]])</f>
        <v>1400/05/16</v>
      </c>
      <c r="E1290" s="33">
        <v>44415</v>
      </c>
      <c r="F1290" s="32">
        <v>30004</v>
      </c>
      <c r="G1290" s="5" t="str">
        <f>INDEX(customer[عنوان],MATCH(Main[[#This Row],[کد ردیابی]],customer[کد],0))</f>
        <v>تولیدی صنعتی صفاشیر پارس</v>
      </c>
      <c r="H1290">
        <v>728</v>
      </c>
      <c r="I1290" s="6">
        <f ca="1">-Main[[#This Row],[بدهی تسویه شده (کیلوگرم)]]+Main[[#This Row],[بستانکار (کیلوگرم)]]</f>
        <v>728</v>
      </c>
      <c r="J1290" s="6">
        <f>IF(Main[[#This Row],[مقدار (کیلوگرم)]]&gt;0,Main[[#This Row],[مقدار (کیلوگرم)]],0)</f>
        <v>728</v>
      </c>
      <c r="K1290" s="6">
        <f>-IF(Main[[#This Row],[مقدار (کیلوگرم)]]&lt;0,Main[[#This Row],[مقدار (کیلوگرم)]],0)</f>
        <v>0</v>
      </c>
      <c r="L12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0" s="7">
        <f>-IF(AND(Main[[#This Row],[مقدار (کیلوگرم)]]&lt;0,Main[[#This Row],[تاريخ میلادی]]&gt;44276),Main[[#This Row],[مقدار (کیلوگرم)]],0)</f>
        <v>0</v>
      </c>
      <c r="N1290" s="6">
        <f ca="1">Main[[#This Row],[بدهکار (کیلوگرم)]]-Main[[#This Row],[بدهی تسویه نشده (کیلوگرم)]]</f>
        <v>0</v>
      </c>
      <c r="O1290" s="6">
        <f ca="1">Main[[#This Row],[تفکیک]]</f>
        <v>0</v>
      </c>
      <c r="P1290" s="6">
        <f ca="1">IF(Main[[#This Row],[تاخیر از سررسید]]&gt;0,Main[[#This Row],[بدهی تسویه نشده (کیلوگرم)]],0)</f>
        <v>0</v>
      </c>
      <c r="Q1290" s="6">
        <f ca="1">IF(Main[[#This Row],[بدهی تسویه نشده (کیلوگرم)]]&gt;0,'گزارش فردی'!$B$7-Main[[#This Row],[تاريخ میلادی]],0)</f>
        <v>0</v>
      </c>
      <c r="R1290" s="6">
        <f ca="1">IF(Main[[#This Row],[بدهی تسویه نشده (کیلوگرم)]]&gt;0,'گزارش فردی'!$B$7-Main[[#This Row],[تاريخ میلادی]]-'گزارش فردی'!$B$8,0)</f>
        <v>0</v>
      </c>
      <c r="S1290" s="6">
        <f ca="1">Main[[#This Row],[روز از ارسال سفارش]]*Main[[#This Row],[بدهی تسویه نشده (کیلوگرم)]]</f>
        <v>0</v>
      </c>
      <c r="T1290" s="6">
        <f ca="1">Main[[#This Row],[بدهی سررسید شده (کیلوگرم)]]*Main[[#This Row],[روز از ارسال سفارش]]</f>
        <v>0</v>
      </c>
      <c r="U1290" s="6">
        <f>-SUBTOTAL(9,INDEX(Main[مقدار (کیلوگرم)],1):Main[[#This Row],[مقدار (کیلوگرم)]])</f>
        <v>41320</v>
      </c>
      <c r="V12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0" s="6">
        <f>Main[[#This Row],[تعداد کل روزهای بدهکار (روز)]]*Main[[#This Row],[مانده در خط کل (کیلوگرم)]]</f>
        <v>0</v>
      </c>
      <c r="X1290" s="6">
        <f ca="1">-SUBTOTAL(9,INDEX(Main[مقدار تسویه شده (کیلوگرم)],1):Main[[#This Row],[مقدار تسویه شده (کیلوگرم)]])</f>
        <v>41320</v>
      </c>
      <c r="Y1290" s="6">
        <f ca="1">IF(Main[[#This Row],[مانده در خط تسویه شده (کیلوگرم)]]&lt;&gt;0,Main[[#This Row],[تعداد کل روزهای بدهکار (روز)]],0)</f>
        <v>0</v>
      </c>
      <c r="Z1290" s="6">
        <f ca="1">Main[[#This Row],[تعداد روزهای بدهکار تسویه شده (روز)]]*Main[[#This Row],[مانده در خط تسویه شده (کیلوگرم)]]</f>
        <v>0</v>
      </c>
      <c r="AA1290" s="6">
        <f ca="1">SUBTOTAL(9,INDEX(Main[بدهی تسویه نشده (کیلوگرم)],1):Main[[#This Row],[بدهی تسویه نشده (کیلوگرم)]])</f>
        <v>0</v>
      </c>
      <c r="AB1290" s="6">
        <f ca="1">IF(Main[[#This Row],[مانده در خط تسویه نشده (کیلوگرم)]]&lt;&gt;0,Main[[#This Row],[تعداد کل روزهای بدهکار (روز)]],0)</f>
        <v>0</v>
      </c>
      <c r="AC1290" s="6">
        <f ca="1">Main[[#This Row],[تعداد روزهای بدهکار  تسویه نشده (روز)]]*Main[[#This Row],[مانده در خط تسویه نشده (کیلوگرم)]]</f>
        <v>0</v>
      </c>
      <c r="AD1290" s="6">
        <f ca="1">SUBTOTAL(9,INDEX(Main[بدهی سررسید شده (کیلوگرم)],1):Main[[#This Row],[بدهی سررسید شده (کیلوگرم)]])</f>
        <v>0</v>
      </c>
      <c r="AE1290" s="6">
        <f ca="1">IF(Main[[#This Row],[مانده در خط سررسید شده (کیلوگرم)]]&lt;&gt;0,Main[[#This Row],[تعداد کل روزهای بدهکار (روز)]],0)</f>
        <v>0</v>
      </c>
      <c r="AF1290" s="6">
        <f ca="1">Main[[#This Row],[تعداد روزهای بدهکار سررسید شده (روز)]]*Main[[#This Row],[مانده در خط سررسید شده (کیلوگرم)]]</f>
        <v>0</v>
      </c>
    </row>
    <row r="1291" spans="1:32" x14ac:dyDescent="0.35">
      <c r="A1291" s="5">
        <f>ROW()-ROW(INDEX(Main[ردیف],1))+1</f>
        <v>1289</v>
      </c>
      <c r="B1291" s="31">
        <f>SUBTOTAL(2,INDEX(Main[ردیف],1):Main[[#This Row],[ردیف]])</f>
        <v>116</v>
      </c>
      <c r="C1291" s="32" t="s">
        <v>639</v>
      </c>
      <c r="D1291" s="32" t="str">
        <f>_xlfn.CONCAT("14",Main[[#This Row],[تاريخ]])</f>
        <v>1400/05/16</v>
      </c>
      <c r="E1291" s="33">
        <v>44415</v>
      </c>
      <c r="F1291" s="32">
        <v>10003</v>
      </c>
      <c r="G1291" s="5" t="str">
        <f>INDEX(customer[عنوان],MATCH(Main[[#This Row],[کد ردیابی]],customer[کد],0))</f>
        <v>اصغر نورعلی</v>
      </c>
      <c r="H1291">
        <v>-2052</v>
      </c>
      <c r="I1291" s="6">
        <f ca="1">-Main[[#This Row],[بدهی تسویه شده (کیلوگرم)]]+Main[[#This Row],[بستانکار (کیلوگرم)]]</f>
        <v>-2052</v>
      </c>
      <c r="J1291" s="6">
        <f>IF(Main[[#This Row],[مقدار (کیلوگرم)]]&gt;0,Main[[#This Row],[مقدار (کیلوگرم)]],0)</f>
        <v>0</v>
      </c>
      <c r="K1291" s="6">
        <f>-IF(Main[[#This Row],[مقدار (کیلوگرم)]]&lt;0,Main[[#This Row],[مقدار (کیلوگرم)]],0)</f>
        <v>2052</v>
      </c>
      <c r="L12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1" s="7">
        <f>-IF(AND(Main[[#This Row],[مقدار (کیلوگرم)]]&lt;0,Main[[#This Row],[تاريخ میلادی]]&gt;44276),Main[[#This Row],[مقدار (کیلوگرم)]],0)</f>
        <v>2052</v>
      </c>
      <c r="N1291" s="6">
        <f ca="1">Main[[#This Row],[بدهکار (کیلوگرم)]]-Main[[#This Row],[بدهی تسویه نشده (کیلوگرم)]]</f>
        <v>2052</v>
      </c>
      <c r="O1291" s="6">
        <f ca="1">Main[[#This Row],[تفکیک]]</f>
        <v>0</v>
      </c>
      <c r="P1291" s="6">
        <f ca="1">IF(Main[[#This Row],[تاخیر از سررسید]]&gt;0,Main[[#This Row],[بدهی تسویه نشده (کیلوگرم)]],0)</f>
        <v>0</v>
      </c>
      <c r="Q1291" s="6">
        <f ca="1">IF(Main[[#This Row],[بدهی تسویه نشده (کیلوگرم)]]&gt;0,'گزارش فردی'!$B$7-Main[[#This Row],[تاريخ میلادی]],0)</f>
        <v>0</v>
      </c>
      <c r="R1291" s="6">
        <f ca="1">IF(Main[[#This Row],[بدهی تسویه نشده (کیلوگرم)]]&gt;0,'گزارش فردی'!$B$7-Main[[#This Row],[تاريخ میلادی]]-'گزارش فردی'!$B$8,0)</f>
        <v>0</v>
      </c>
      <c r="S1291" s="6">
        <f ca="1">Main[[#This Row],[روز از ارسال سفارش]]*Main[[#This Row],[بدهی تسویه نشده (کیلوگرم)]]</f>
        <v>0</v>
      </c>
      <c r="T1291" s="6">
        <f ca="1">Main[[#This Row],[بدهی سررسید شده (کیلوگرم)]]*Main[[#This Row],[روز از ارسال سفارش]]</f>
        <v>0</v>
      </c>
      <c r="U1291" s="6">
        <f>-SUBTOTAL(9,INDEX(Main[مقدار (کیلوگرم)],1):Main[[#This Row],[مقدار (کیلوگرم)]])</f>
        <v>43372</v>
      </c>
      <c r="V12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1" s="6">
        <f>Main[[#This Row],[تعداد کل روزهای بدهکار (روز)]]*Main[[#This Row],[مانده در خط کل (کیلوگرم)]]</f>
        <v>0</v>
      </c>
      <c r="X1291" s="6">
        <f ca="1">-SUBTOTAL(9,INDEX(Main[مقدار تسویه شده (کیلوگرم)],1):Main[[#This Row],[مقدار تسویه شده (کیلوگرم)]])</f>
        <v>43372</v>
      </c>
      <c r="Y1291" s="6">
        <f ca="1">IF(Main[[#This Row],[مانده در خط تسویه شده (کیلوگرم)]]&lt;&gt;0,Main[[#This Row],[تعداد کل روزهای بدهکار (روز)]],0)</f>
        <v>0</v>
      </c>
      <c r="Z1291" s="6">
        <f ca="1">Main[[#This Row],[تعداد روزهای بدهکار تسویه شده (روز)]]*Main[[#This Row],[مانده در خط تسویه شده (کیلوگرم)]]</f>
        <v>0</v>
      </c>
      <c r="AA1291" s="6">
        <f ca="1">SUBTOTAL(9,INDEX(Main[بدهی تسویه نشده (کیلوگرم)],1):Main[[#This Row],[بدهی تسویه نشده (کیلوگرم)]])</f>
        <v>0</v>
      </c>
      <c r="AB1291" s="6">
        <f ca="1">IF(Main[[#This Row],[مانده در خط تسویه نشده (کیلوگرم)]]&lt;&gt;0,Main[[#This Row],[تعداد کل روزهای بدهکار (روز)]],0)</f>
        <v>0</v>
      </c>
      <c r="AC1291" s="6">
        <f ca="1">Main[[#This Row],[تعداد روزهای بدهکار  تسویه نشده (روز)]]*Main[[#This Row],[مانده در خط تسویه نشده (کیلوگرم)]]</f>
        <v>0</v>
      </c>
      <c r="AD1291" s="6">
        <f ca="1">SUBTOTAL(9,INDEX(Main[بدهی سررسید شده (کیلوگرم)],1):Main[[#This Row],[بدهی سررسید شده (کیلوگرم)]])</f>
        <v>0</v>
      </c>
      <c r="AE1291" s="6">
        <f ca="1">IF(Main[[#This Row],[مانده در خط سررسید شده (کیلوگرم)]]&lt;&gt;0,Main[[#This Row],[تعداد کل روزهای بدهکار (روز)]],0)</f>
        <v>0</v>
      </c>
      <c r="AF1291" s="6">
        <f ca="1">Main[[#This Row],[تعداد روزهای بدهکار سررسید شده (روز)]]*Main[[#This Row],[مانده در خط سررسید شده (کیلوگرم)]]</f>
        <v>0</v>
      </c>
    </row>
    <row r="1292" spans="1:32" hidden="1" x14ac:dyDescent="0.35">
      <c r="A1292" s="5">
        <f>ROW()-ROW(INDEX(Main[ردیف],1))+1</f>
        <v>1290</v>
      </c>
      <c r="B1292" s="31">
        <f>SUBTOTAL(2,INDEX(Main[ردیف],1):Main[[#This Row],[ردیف]])</f>
        <v>116</v>
      </c>
      <c r="C1292" s="32" t="s">
        <v>639</v>
      </c>
      <c r="D1292" s="32" t="str">
        <f>_xlfn.CONCAT("14",Main[[#This Row],[تاريخ]])</f>
        <v>1400/05/16</v>
      </c>
      <c r="E1292" s="33">
        <v>44415</v>
      </c>
      <c r="F1292" s="32">
        <v>30004</v>
      </c>
      <c r="G1292" s="5" t="str">
        <f>INDEX(customer[عنوان],MATCH(Main[[#This Row],[کد ردیابی]],customer[کد],0))</f>
        <v>تولیدی صنعتی صفاشیر پارس</v>
      </c>
      <c r="H1292">
        <v>2770</v>
      </c>
      <c r="I1292" s="6">
        <f ca="1">-Main[[#This Row],[بدهی تسویه شده (کیلوگرم)]]+Main[[#This Row],[بستانکار (کیلوگرم)]]</f>
        <v>2770</v>
      </c>
      <c r="J1292" s="6">
        <f>IF(Main[[#This Row],[مقدار (کیلوگرم)]]&gt;0,Main[[#This Row],[مقدار (کیلوگرم)]],0)</f>
        <v>2770</v>
      </c>
      <c r="K1292" s="6">
        <f>-IF(Main[[#This Row],[مقدار (کیلوگرم)]]&lt;0,Main[[#This Row],[مقدار (کیلوگرم)]],0)</f>
        <v>0</v>
      </c>
      <c r="L12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2" s="7">
        <f>-IF(AND(Main[[#This Row],[مقدار (کیلوگرم)]]&lt;0,Main[[#This Row],[تاريخ میلادی]]&gt;44276),Main[[#This Row],[مقدار (کیلوگرم)]],0)</f>
        <v>0</v>
      </c>
      <c r="N1292" s="6">
        <f ca="1">Main[[#This Row],[بدهکار (کیلوگرم)]]-Main[[#This Row],[بدهی تسویه نشده (کیلوگرم)]]</f>
        <v>0</v>
      </c>
      <c r="O1292" s="6">
        <f ca="1">Main[[#This Row],[تفکیک]]</f>
        <v>0</v>
      </c>
      <c r="P1292" s="6">
        <f ca="1">IF(Main[[#This Row],[تاخیر از سررسید]]&gt;0,Main[[#This Row],[بدهی تسویه نشده (کیلوگرم)]],0)</f>
        <v>0</v>
      </c>
      <c r="Q1292" s="6">
        <f ca="1">IF(Main[[#This Row],[بدهی تسویه نشده (کیلوگرم)]]&gt;0,'گزارش فردی'!$B$7-Main[[#This Row],[تاريخ میلادی]],0)</f>
        <v>0</v>
      </c>
      <c r="R1292" s="6">
        <f ca="1">IF(Main[[#This Row],[بدهی تسویه نشده (کیلوگرم)]]&gt;0,'گزارش فردی'!$B$7-Main[[#This Row],[تاريخ میلادی]]-'گزارش فردی'!$B$8,0)</f>
        <v>0</v>
      </c>
      <c r="S1292" s="6">
        <f ca="1">Main[[#This Row],[روز از ارسال سفارش]]*Main[[#This Row],[بدهی تسویه نشده (کیلوگرم)]]</f>
        <v>0</v>
      </c>
      <c r="T1292" s="6">
        <f ca="1">Main[[#This Row],[بدهی سررسید شده (کیلوگرم)]]*Main[[#This Row],[روز از ارسال سفارش]]</f>
        <v>0</v>
      </c>
      <c r="U1292" s="6">
        <f>-SUBTOTAL(9,INDEX(Main[مقدار (کیلوگرم)],1):Main[[#This Row],[مقدار (کیلوگرم)]])</f>
        <v>43372</v>
      </c>
      <c r="V12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2" s="6">
        <f>Main[[#This Row],[تعداد کل روزهای بدهکار (روز)]]*Main[[#This Row],[مانده در خط کل (کیلوگرم)]]</f>
        <v>0</v>
      </c>
      <c r="X1292" s="6">
        <f ca="1">-SUBTOTAL(9,INDEX(Main[مقدار تسویه شده (کیلوگرم)],1):Main[[#This Row],[مقدار تسویه شده (کیلوگرم)]])</f>
        <v>43372</v>
      </c>
      <c r="Y1292" s="6">
        <f ca="1">IF(Main[[#This Row],[مانده در خط تسویه شده (کیلوگرم)]]&lt;&gt;0,Main[[#This Row],[تعداد کل روزهای بدهکار (روز)]],0)</f>
        <v>0</v>
      </c>
      <c r="Z1292" s="6">
        <f ca="1">Main[[#This Row],[تعداد روزهای بدهکار تسویه شده (روز)]]*Main[[#This Row],[مانده در خط تسویه شده (کیلوگرم)]]</f>
        <v>0</v>
      </c>
      <c r="AA1292" s="6">
        <f ca="1">SUBTOTAL(9,INDEX(Main[بدهی تسویه نشده (کیلوگرم)],1):Main[[#This Row],[بدهی تسویه نشده (کیلوگرم)]])</f>
        <v>0</v>
      </c>
      <c r="AB1292" s="6">
        <f ca="1">IF(Main[[#This Row],[مانده در خط تسویه نشده (کیلوگرم)]]&lt;&gt;0,Main[[#This Row],[تعداد کل روزهای بدهکار (روز)]],0)</f>
        <v>0</v>
      </c>
      <c r="AC1292" s="6">
        <f ca="1">Main[[#This Row],[تعداد روزهای بدهکار  تسویه نشده (روز)]]*Main[[#This Row],[مانده در خط تسویه نشده (کیلوگرم)]]</f>
        <v>0</v>
      </c>
      <c r="AD1292" s="6">
        <f ca="1">SUBTOTAL(9,INDEX(Main[بدهی سررسید شده (کیلوگرم)],1):Main[[#This Row],[بدهی سررسید شده (کیلوگرم)]])</f>
        <v>0</v>
      </c>
      <c r="AE1292" s="6">
        <f ca="1">IF(Main[[#This Row],[مانده در خط سررسید شده (کیلوگرم)]]&lt;&gt;0,Main[[#This Row],[تعداد کل روزهای بدهکار (روز)]],0)</f>
        <v>0</v>
      </c>
      <c r="AF1292" s="6">
        <f ca="1">Main[[#This Row],[تعداد روزهای بدهکار سررسید شده (روز)]]*Main[[#This Row],[مانده در خط سررسید شده (کیلوگرم)]]</f>
        <v>0</v>
      </c>
    </row>
    <row r="1293" spans="1:32" hidden="1" x14ac:dyDescent="0.35">
      <c r="A1293" s="5">
        <f>ROW()-ROW(INDEX(Main[ردیف],1))+1</f>
        <v>1291</v>
      </c>
      <c r="B1293" s="31">
        <f>SUBTOTAL(2,INDEX(Main[ردیف],1):Main[[#This Row],[ردیف]])</f>
        <v>116</v>
      </c>
      <c r="C1293" s="32" t="s">
        <v>639</v>
      </c>
      <c r="D1293" s="32" t="str">
        <f>_xlfn.CONCAT("14",Main[[#This Row],[تاريخ]])</f>
        <v>1400/05/16</v>
      </c>
      <c r="E1293" s="33">
        <v>44415</v>
      </c>
      <c r="F1293" s="32">
        <v>10026</v>
      </c>
      <c r="G1293" s="5" t="str">
        <f>INDEX(customer[عنوان],MATCH(Main[[#This Row],[کد ردیابی]],customer[کد],0))</f>
        <v xml:space="preserve">محسن فیاض بخش </v>
      </c>
      <c r="H1293">
        <v>-1186</v>
      </c>
      <c r="I1293" s="6">
        <f ca="1">-Main[[#This Row],[بدهی تسویه شده (کیلوگرم)]]+Main[[#This Row],[بستانکار (کیلوگرم)]]</f>
        <v>-1186</v>
      </c>
      <c r="J1293" s="6">
        <f>IF(Main[[#This Row],[مقدار (کیلوگرم)]]&gt;0,Main[[#This Row],[مقدار (کیلوگرم)]],0)</f>
        <v>0</v>
      </c>
      <c r="K1293" s="6">
        <f>-IF(Main[[#This Row],[مقدار (کیلوگرم)]]&lt;0,Main[[#This Row],[مقدار (کیلوگرم)]],0)</f>
        <v>1186</v>
      </c>
      <c r="L12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3" s="7">
        <f>-IF(AND(Main[[#This Row],[مقدار (کیلوگرم)]]&lt;0,Main[[#This Row],[تاريخ میلادی]]&gt;44276),Main[[#This Row],[مقدار (کیلوگرم)]],0)</f>
        <v>1186</v>
      </c>
      <c r="N1293" s="6">
        <f ca="1">Main[[#This Row],[بدهکار (کیلوگرم)]]-Main[[#This Row],[بدهی تسویه نشده (کیلوگرم)]]</f>
        <v>1186</v>
      </c>
      <c r="O1293" s="6">
        <f ca="1">Main[[#This Row],[تفکیک]]</f>
        <v>0</v>
      </c>
      <c r="P1293" s="6">
        <f ca="1">IF(Main[[#This Row],[تاخیر از سررسید]]&gt;0,Main[[#This Row],[بدهی تسویه نشده (کیلوگرم)]],0)</f>
        <v>0</v>
      </c>
      <c r="Q1293" s="6">
        <f ca="1">IF(Main[[#This Row],[بدهی تسویه نشده (کیلوگرم)]]&gt;0,'گزارش فردی'!$B$7-Main[[#This Row],[تاريخ میلادی]],0)</f>
        <v>0</v>
      </c>
      <c r="R1293" s="6">
        <f ca="1">IF(Main[[#This Row],[بدهی تسویه نشده (کیلوگرم)]]&gt;0,'گزارش فردی'!$B$7-Main[[#This Row],[تاريخ میلادی]]-'گزارش فردی'!$B$8,0)</f>
        <v>0</v>
      </c>
      <c r="S1293" s="6">
        <f ca="1">Main[[#This Row],[روز از ارسال سفارش]]*Main[[#This Row],[بدهی تسویه نشده (کیلوگرم)]]</f>
        <v>0</v>
      </c>
      <c r="T1293" s="6">
        <f ca="1">Main[[#This Row],[بدهی سررسید شده (کیلوگرم)]]*Main[[#This Row],[روز از ارسال سفارش]]</f>
        <v>0</v>
      </c>
      <c r="U1293" s="6">
        <f>-SUBTOTAL(9,INDEX(Main[مقدار (کیلوگرم)],1):Main[[#This Row],[مقدار (کیلوگرم)]])</f>
        <v>43372</v>
      </c>
      <c r="V12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3" s="6">
        <f>Main[[#This Row],[تعداد کل روزهای بدهکار (روز)]]*Main[[#This Row],[مانده در خط کل (کیلوگرم)]]</f>
        <v>0</v>
      </c>
      <c r="X1293" s="6">
        <f ca="1">-SUBTOTAL(9,INDEX(Main[مقدار تسویه شده (کیلوگرم)],1):Main[[#This Row],[مقدار تسویه شده (کیلوگرم)]])</f>
        <v>43372</v>
      </c>
      <c r="Y1293" s="6">
        <f ca="1">IF(Main[[#This Row],[مانده در خط تسویه شده (کیلوگرم)]]&lt;&gt;0,Main[[#This Row],[تعداد کل روزهای بدهکار (روز)]],0)</f>
        <v>0</v>
      </c>
      <c r="Z1293" s="6">
        <f ca="1">Main[[#This Row],[تعداد روزهای بدهکار تسویه شده (روز)]]*Main[[#This Row],[مانده در خط تسویه شده (کیلوگرم)]]</f>
        <v>0</v>
      </c>
      <c r="AA1293" s="6">
        <f ca="1">SUBTOTAL(9,INDEX(Main[بدهی تسویه نشده (کیلوگرم)],1):Main[[#This Row],[بدهی تسویه نشده (کیلوگرم)]])</f>
        <v>0</v>
      </c>
      <c r="AB1293" s="6">
        <f ca="1">IF(Main[[#This Row],[مانده در خط تسویه نشده (کیلوگرم)]]&lt;&gt;0,Main[[#This Row],[تعداد کل روزهای بدهکار (روز)]],0)</f>
        <v>0</v>
      </c>
      <c r="AC1293" s="6">
        <f ca="1">Main[[#This Row],[تعداد روزهای بدهکار  تسویه نشده (روز)]]*Main[[#This Row],[مانده در خط تسویه نشده (کیلوگرم)]]</f>
        <v>0</v>
      </c>
      <c r="AD1293" s="6">
        <f ca="1">SUBTOTAL(9,INDEX(Main[بدهی سررسید شده (کیلوگرم)],1):Main[[#This Row],[بدهی سررسید شده (کیلوگرم)]])</f>
        <v>0</v>
      </c>
      <c r="AE1293" s="6">
        <f ca="1">IF(Main[[#This Row],[مانده در خط سررسید شده (کیلوگرم)]]&lt;&gt;0,Main[[#This Row],[تعداد کل روزهای بدهکار (روز)]],0)</f>
        <v>0</v>
      </c>
      <c r="AF1293" s="6">
        <f ca="1">Main[[#This Row],[تعداد روزهای بدهکار سررسید شده (روز)]]*Main[[#This Row],[مانده در خط سررسید شده (کیلوگرم)]]</f>
        <v>0</v>
      </c>
    </row>
    <row r="1294" spans="1:32" x14ac:dyDescent="0.35">
      <c r="A1294" s="5">
        <f>ROW()-ROW(INDEX(Main[ردیف],1))+1</f>
        <v>1292</v>
      </c>
      <c r="B1294" s="31">
        <f>SUBTOTAL(2,INDEX(Main[ردیف],1):Main[[#This Row],[ردیف]])</f>
        <v>117</v>
      </c>
      <c r="C1294" s="32" t="s">
        <v>639</v>
      </c>
      <c r="D1294" s="32" t="str">
        <f>_xlfn.CONCAT("14",Main[[#This Row],[تاريخ]])</f>
        <v>1400/05/16</v>
      </c>
      <c r="E1294" s="33">
        <v>44415</v>
      </c>
      <c r="F1294" s="32">
        <v>10003</v>
      </c>
      <c r="G1294" s="5" t="str">
        <f>INDEX(customer[عنوان],MATCH(Main[[#This Row],[کد ردیابی]],customer[کد],0))</f>
        <v>اصغر نورعلی</v>
      </c>
      <c r="H1294">
        <v>2247</v>
      </c>
      <c r="I1294" s="6">
        <f ca="1">-Main[[#This Row],[بدهی تسویه شده (کیلوگرم)]]+Main[[#This Row],[بستانکار (کیلوگرم)]]</f>
        <v>2247</v>
      </c>
      <c r="J1294" s="6">
        <f>IF(Main[[#This Row],[مقدار (کیلوگرم)]]&gt;0,Main[[#This Row],[مقدار (کیلوگرم)]],0)</f>
        <v>2247</v>
      </c>
      <c r="K1294" s="6">
        <f>-IF(Main[[#This Row],[مقدار (کیلوگرم)]]&lt;0,Main[[#This Row],[مقدار (کیلوگرم)]],0)</f>
        <v>0</v>
      </c>
      <c r="L12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4" s="7">
        <f>-IF(AND(Main[[#This Row],[مقدار (کیلوگرم)]]&lt;0,Main[[#This Row],[تاريخ میلادی]]&gt;44276),Main[[#This Row],[مقدار (کیلوگرم)]],0)</f>
        <v>0</v>
      </c>
      <c r="N1294" s="6">
        <f ca="1">Main[[#This Row],[بدهکار (کیلوگرم)]]-Main[[#This Row],[بدهی تسویه نشده (کیلوگرم)]]</f>
        <v>0</v>
      </c>
      <c r="O1294" s="6">
        <f ca="1">Main[[#This Row],[تفکیک]]</f>
        <v>0</v>
      </c>
      <c r="P1294" s="6">
        <f ca="1">IF(Main[[#This Row],[تاخیر از سررسید]]&gt;0,Main[[#This Row],[بدهی تسویه نشده (کیلوگرم)]],0)</f>
        <v>0</v>
      </c>
      <c r="Q1294" s="6">
        <f ca="1">IF(Main[[#This Row],[بدهی تسویه نشده (کیلوگرم)]]&gt;0,'گزارش فردی'!$B$7-Main[[#This Row],[تاريخ میلادی]],0)</f>
        <v>0</v>
      </c>
      <c r="R1294" s="6">
        <f ca="1">IF(Main[[#This Row],[بدهی تسویه نشده (کیلوگرم)]]&gt;0,'گزارش فردی'!$B$7-Main[[#This Row],[تاريخ میلادی]]-'گزارش فردی'!$B$8,0)</f>
        <v>0</v>
      </c>
      <c r="S1294" s="6">
        <f ca="1">Main[[#This Row],[روز از ارسال سفارش]]*Main[[#This Row],[بدهی تسویه نشده (کیلوگرم)]]</f>
        <v>0</v>
      </c>
      <c r="T1294" s="6">
        <f ca="1">Main[[#This Row],[بدهی سررسید شده (کیلوگرم)]]*Main[[#This Row],[روز از ارسال سفارش]]</f>
        <v>0</v>
      </c>
      <c r="U1294" s="6">
        <f>-SUBTOTAL(9,INDEX(Main[مقدار (کیلوگرم)],1):Main[[#This Row],[مقدار (کیلوگرم)]])</f>
        <v>41125</v>
      </c>
      <c r="V12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4" s="6">
        <f>Main[[#This Row],[تعداد کل روزهای بدهکار (روز)]]*Main[[#This Row],[مانده در خط کل (کیلوگرم)]]</f>
        <v>41125</v>
      </c>
      <c r="X1294" s="6">
        <f ca="1">-SUBTOTAL(9,INDEX(Main[مقدار تسویه شده (کیلوگرم)],1):Main[[#This Row],[مقدار تسویه شده (کیلوگرم)]])</f>
        <v>41125</v>
      </c>
      <c r="Y1294" s="6">
        <f ca="1">IF(Main[[#This Row],[مانده در خط تسویه شده (کیلوگرم)]]&lt;&gt;0,Main[[#This Row],[تعداد کل روزهای بدهکار (روز)]],0)</f>
        <v>1</v>
      </c>
      <c r="Z1294" s="6">
        <f ca="1">Main[[#This Row],[تعداد روزهای بدهکار تسویه شده (روز)]]*Main[[#This Row],[مانده در خط تسویه شده (کیلوگرم)]]</f>
        <v>41125</v>
      </c>
      <c r="AA1294" s="6">
        <f ca="1">SUBTOTAL(9,INDEX(Main[بدهی تسویه نشده (کیلوگرم)],1):Main[[#This Row],[بدهی تسویه نشده (کیلوگرم)]])</f>
        <v>0</v>
      </c>
      <c r="AB1294" s="6">
        <f ca="1">IF(Main[[#This Row],[مانده در خط تسویه نشده (کیلوگرم)]]&lt;&gt;0,Main[[#This Row],[تعداد کل روزهای بدهکار (روز)]],0)</f>
        <v>0</v>
      </c>
      <c r="AC1294" s="6">
        <f ca="1">Main[[#This Row],[تعداد روزهای بدهکار  تسویه نشده (روز)]]*Main[[#This Row],[مانده در خط تسویه نشده (کیلوگرم)]]</f>
        <v>0</v>
      </c>
      <c r="AD1294" s="6">
        <f ca="1">SUBTOTAL(9,INDEX(Main[بدهی سررسید شده (کیلوگرم)],1):Main[[#This Row],[بدهی سررسید شده (کیلوگرم)]])</f>
        <v>0</v>
      </c>
      <c r="AE1294" s="6">
        <f ca="1">IF(Main[[#This Row],[مانده در خط سررسید شده (کیلوگرم)]]&lt;&gt;0,Main[[#This Row],[تعداد کل روزهای بدهکار (روز)]],0)</f>
        <v>0</v>
      </c>
      <c r="AF1294" s="6">
        <f ca="1">Main[[#This Row],[تعداد روزهای بدهکار سررسید شده (روز)]]*Main[[#This Row],[مانده در خط سررسید شده (کیلوگرم)]]</f>
        <v>0</v>
      </c>
    </row>
    <row r="1295" spans="1:32" hidden="1" x14ac:dyDescent="0.35">
      <c r="A1295" s="5">
        <f>ROW()-ROW(INDEX(Main[ردیف],1))+1</f>
        <v>1293</v>
      </c>
      <c r="B1295" s="31">
        <f>SUBTOTAL(2,INDEX(Main[ردیف],1):Main[[#This Row],[ردیف]])</f>
        <v>117</v>
      </c>
      <c r="C1295" s="32" t="s">
        <v>639</v>
      </c>
      <c r="D1295" s="32" t="str">
        <f>_xlfn.CONCAT("14",Main[[#This Row],[تاريخ]])</f>
        <v>1400/05/16</v>
      </c>
      <c r="E1295" s="33">
        <v>44415</v>
      </c>
      <c r="F1295" s="32">
        <v>10104</v>
      </c>
      <c r="G1295" s="5" t="str">
        <f>INDEX(customer[عنوان],MATCH(Main[[#This Row],[کد ردیابی]],customer[کد],0))</f>
        <v>بهزادی فر اصغر</v>
      </c>
      <c r="H1295">
        <v>-278</v>
      </c>
      <c r="I1295" s="6">
        <f ca="1">-Main[[#This Row],[بدهی تسویه شده (کیلوگرم)]]+Main[[#This Row],[بستانکار (کیلوگرم)]]</f>
        <v>-278</v>
      </c>
      <c r="J1295" s="6">
        <f>IF(Main[[#This Row],[مقدار (کیلوگرم)]]&gt;0,Main[[#This Row],[مقدار (کیلوگرم)]],0)</f>
        <v>0</v>
      </c>
      <c r="K1295" s="6">
        <f>-IF(Main[[#This Row],[مقدار (کیلوگرم)]]&lt;0,Main[[#This Row],[مقدار (کیلوگرم)]],0)</f>
        <v>278</v>
      </c>
      <c r="L12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5" s="7">
        <f>-IF(AND(Main[[#This Row],[مقدار (کیلوگرم)]]&lt;0,Main[[#This Row],[تاريخ میلادی]]&gt;44276),Main[[#This Row],[مقدار (کیلوگرم)]],0)</f>
        <v>278</v>
      </c>
      <c r="N1295" s="6">
        <f ca="1">Main[[#This Row],[بدهکار (کیلوگرم)]]-Main[[#This Row],[بدهی تسویه نشده (کیلوگرم)]]</f>
        <v>278</v>
      </c>
      <c r="O1295" s="6">
        <f ca="1">Main[[#This Row],[تفکیک]]</f>
        <v>0</v>
      </c>
      <c r="P1295" s="6">
        <f ca="1">IF(Main[[#This Row],[تاخیر از سررسید]]&gt;0,Main[[#This Row],[بدهی تسویه نشده (کیلوگرم)]],0)</f>
        <v>0</v>
      </c>
      <c r="Q1295" s="6">
        <f ca="1">IF(Main[[#This Row],[بدهی تسویه نشده (کیلوگرم)]]&gt;0,'گزارش فردی'!$B$7-Main[[#This Row],[تاريخ میلادی]],0)</f>
        <v>0</v>
      </c>
      <c r="R1295" s="6">
        <f ca="1">IF(Main[[#This Row],[بدهی تسویه نشده (کیلوگرم)]]&gt;0,'گزارش فردی'!$B$7-Main[[#This Row],[تاريخ میلادی]]-'گزارش فردی'!$B$8,0)</f>
        <v>0</v>
      </c>
      <c r="S1295" s="6">
        <f ca="1">Main[[#This Row],[روز از ارسال سفارش]]*Main[[#This Row],[بدهی تسویه نشده (کیلوگرم)]]</f>
        <v>0</v>
      </c>
      <c r="T1295" s="6">
        <f ca="1">Main[[#This Row],[بدهی سررسید شده (کیلوگرم)]]*Main[[#This Row],[روز از ارسال سفارش]]</f>
        <v>0</v>
      </c>
      <c r="U1295" s="6">
        <f>-SUBTOTAL(9,INDEX(Main[مقدار (کیلوگرم)],1):Main[[#This Row],[مقدار (کیلوگرم)]])</f>
        <v>41125</v>
      </c>
      <c r="V12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5" s="6">
        <f>Main[[#This Row],[تعداد کل روزهای بدهکار (روز)]]*Main[[#This Row],[مانده در خط کل (کیلوگرم)]]</f>
        <v>41125</v>
      </c>
      <c r="X1295" s="6">
        <f ca="1">-SUBTOTAL(9,INDEX(Main[مقدار تسویه شده (کیلوگرم)],1):Main[[#This Row],[مقدار تسویه شده (کیلوگرم)]])</f>
        <v>41125</v>
      </c>
      <c r="Y1295" s="6">
        <f ca="1">IF(Main[[#This Row],[مانده در خط تسویه شده (کیلوگرم)]]&lt;&gt;0,Main[[#This Row],[تعداد کل روزهای بدهکار (روز)]],0)</f>
        <v>1</v>
      </c>
      <c r="Z1295" s="6">
        <f ca="1">Main[[#This Row],[تعداد روزهای بدهکار تسویه شده (روز)]]*Main[[#This Row],[مانده در خط تسویه شده (کیلوگرم)]]</f>
        <v>41125</v>
      </c>
      <c r="AA1295" s="6">
        <f ca="1">SUBTOTAL(9,INDEX(Main[بدهی تسویه نشده (کیلوگرم)],1):Main[[#This Row],[بدهی تسویه نشده (کیلوگرم)]])</f>
        <v>0</v>
      </c>
      <c r="AB1295" s="6">
        <f ca="1">IF(Main[[#This Row],[مانده در خط تسویه نشده (کیلوگرم)]]&lt;&gt;0,Main[[#This Row],[تعداد کل روزهای بدهکار (روز)]],0)</f>
        <v>0</v>
      </c>
      <c r="AC1295" s="6">
        <f ca="1">Main[[#This Row],[تعداد روزهای بدهکار  تسویه نشده (روز)]]*Main[[#This Row],[مانده در خط تسویه نشده (کیلوگرم)]]</f>
        <v>0</v>
      </c>
      <c r="AD1295" s="6">
        <f ca="1">SUBTOTAL(9,INDEX(Main[بدهی سررسید شده (کیلوگرم)],1):Main[[#This Row],[بدهی سررسید شده (کیلوگرم)]])</f>
        <v>0</v>
      </c>
      <c r="AE1295" s="6">
        <f ca="1">IF(Main[[#This Row],[مانده در خط سررسید شده (کیلوگرم)]]&lt;&gt;0,Main[[#This Row],[تعداد کل روزهای بدهکار (روز)]],0)</f>
        <v>0</v>
      </c>
      <c r="AF1295" s="6">
        <f ca="1">Main[[#This Row],[تعداد روزهای بدهکار سررسید شده (روز)]]*Main[[#This Row],[مانده در خط سررسید شده (کیلوگرم)]]</f>
        <v>0</v>
      </c>
    </row>
    <row r="1296" spans="1:32" hidden="1" x14ac:dyDescent="0.35">
      <c r="A1296" s="5">
        <f>ROW()-ROW(INDEX(Main[ردیف],1))+1</f>
        <v>1294</v>
      </c>
      <c r="B1296" s="31">
        <f>SUBTOTAL(2,INDEX(Main[ردیف],1):Main[[#This Row],[ردیف]])</f>
        <v>117</v>
      </c>
      <c r="C1296" s="32" t="s">
        <v>639</v>
      </c>
      <c r="D1296" s="32" t="str">
        <f>_xlfn.CONCAT("14",Main[[#This Row],[تاريخ]])</f>
        <v>1400/05/16</v>
      </c>
      <c r="E1296" s="33">
        <v>44415</v>
      </c>
      <c r="F1296" s="32">
        <v>30131</v>
      </c>
      <c r="G1296" s="5" t="str">
        <f>INDEX(customer[عنوان],MATCH(Main[[#This Row],[کد ردیابی]],customer[کد],0))</f>
        <v>ادهم مس تبریز</v>
      </c>
      <c r="H1296">
        <v>490</v>
      </c>
      <c r="I1296" s="6">
        <f ca="1">-Main[[#This Row],[بدهی تسویه شده (کیلوگرم)]]+Main[[#This Row],[بستانکار (کیلوگرم)]]</f>
        <v>490</v>
      </c>
      <c r="J1296" s="6">
        <f>IF(Main[[#This Row],[مقدار (کیلوگرم)]]&gt;0,Main[[#This Row],[مقدار (کیلوگرم)]],0)</f>
        <v>490</v>
      </c>
      <c r="K1296" s="6">
        <f>-IF(Main[[#This Row],[مقدار (کیلوگرم)]]&lt;0,Main[[#This Row],[مقدار (کیلوگرم)]],0)</f>
        <v>0</v>
      </c>
      <c r="L12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6" s="7">
        <f>-IF(AND(Main[[#This Row],[مقدار (کیلوگرم)]]&lt;0,Main[[#This Row],[تاريخ میلادی]]&gt;44276),Main[[#This Row],[مقدار (کیلوگرم)]],0)</f>
        <v>0</v>
      </c>
      <c r="N1296" s="6">
        <f ca="1">Main[[#This Row],[بدهکار (کیلوگرم)]]-Main[[#This Row],[بدهی تسویه نشده (کیلوگرم)]]</f>
        <v>0</v>
      </c>
      <c r="O1296" s="6">
        <f ca="1">Main[[#This Row],[تفکیک]]</f>
        <v>0</v>
      </c>
      <c r="P1296" s="6">
        <f ca="1">IF(Main[[#This Row],[تاخیر از سررسید]]&gt;0,Main[[#This Row],[بدهی تسویه نشده (کیلوگرم)]],0)</f>
        <v>0</v>
      </c>
      <c r="Q1296" s="6">
        <f ca="1">IF(Main[[#This Row],[بدهی تسویه نشده (کیلوگرم)]]&gt;0,'گزارش فردی'!$B$7-Main[[#This Row],[تاريخ میلادی]],0)</f>
        <v>0</v>
      </c>
      <c r="R1296" s="6">
        <f ca="1">IF(Main[[#This Row],[بدهی تسویه نشده (کیلوگرم)]]&gt;0,'گزارش فردی'!$B$7-Main[[#This Row],[تاريخ میلادی]]-'گزارش فردی'!$B$8,0)</f>
        <v>0</v>
      </c>
      <c r="S1296" s="6">
        <f ca="1">Main[[#This Row],[روز از ارسال سفارش]]*Main[[#This Row],[بدهی تسویه نشده (کیلوگرم)]]</f>
        <v>0</v>
      </c>
      <c r="T1296" s="6">
        <f ca="1">Main[[#This Row],[بدهی سررسید شده (کیلوگرم)]]*Main[[#This Row],[روز از ارسال سفارش]]</f>
        <v>0</v>
      </c>
      <c r="U1296" s="6">
        <f>-SUBTOTAL(9,INDEX(Main[مقدار (کیلوگرم)],1):Main[[#This Row],[مقدار (کیلوگرم)]])</f>
        <v>41125</v>
      </c>
      <c r="V12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6" s="6">
        <f>Main[[#This Row],[تعداد کل روزهای بدهکار (روز)]]*Main[[#This Row],[مانده در خط کل (کیلوگرم)]]</f>
        <v>41125</v>
      </c>
      <c r="X1296" s="6">
        <f ca="1">-SUBTOTAL(9,INDEX(Main[مقدار تسویه شده (کیلوگرم)],1):Main[[#This Row],[مقدار تسویه شده (کیلوگرم)]])</f>
        <v>41125</v>
      </c>
      <c r="Y1296" s="6">
        <f ca="1">IF(Main[[#This Row],[مانده در خط تسویه شده (کیلوگرم)]]&lt;&gt;0,Main[[#This Row],[تعداد کل روزهای بدهکار (روز)]],0)</f>
        <v>1</v>
      </c>
      <c r="Z1296" s="6">
        <f ca="1">Main[[#This Row],[تعداد روزهای بدهکار تسویه شده (روز)]]*Main[[#This Row],[مانده در خط تسویه شده (کیلوگرم)]]</f>
        <v>41125</v>
      </c>
      <c r="AA1296" s="6">
        <f ca="1">SUBTOTAL(9,INDEX(Main[بدهی تسویه نشده (کیلوگرم)],1):Main[[#This Row],[بدهی تسویه نشده (کیلوگرم)]])</f>
        <v>0</v>
      </c>
      <c r="AB1296" s="6">
        <f ca="1">IF(Main[[#This Row],[مانده در خط تسویه نشده (کیلوگرم)]]&lt;&gt;0,Main[[#This Row],[تعداد کل روزهای بدهکار (روز)]],0)</f>
        <v>0</v>
      </c>
      <c r="AC1296" s="6">
        <f ca="1">Main[[#This Row],[تعداد روزهای بدهکار  تسویه نشده (روز)]]*Main[[#This Row],[مانده در خط تسویه نشده (کیلوگرم)]]</f>
        <v>0</v>
      </c>
      <c r="AD1296" s="6">
        <f ca="1">SUBTOTAL(9,INDEX(Main[بدهی سررسید شده (کیلوگرم)],1):Main[[#This Row],[بدهی سررسید شده (کیلوگرم)]])</f>
        <v>0</v>
      </c>
      <c r="AE1296" s="6">
        <f ca="1">IF(Main[[#This Row],[مانده در خط سررسید شده (کیلوگرم)]]&lt;&gt;0,Main[[#This Row],[تعداد کل روزهای بدهکار (روز)]],0)</f>
        <v>0</v>
      </c>
      <c r="AF1296" s="6">
        <f ca="1">Main[[#This Row],[تعداد روزهای بدهکار سررسید شده (روز)]]*Main[[#This Row],[مانده در خط سررسید شده (کیلوگرم)]]</f>
        <v>0</v>
      </c>
    </row>
    <row r="1297" spans="1:32" hidden="1" x14ac:dyDescent="0.35">
      <c r="A1297" s="5">
        <f>ROW()-ROW(INDEX(Main[ردیف],1))+1</f>
        <v>1295</v>
      </c>
      <c r="B1297" s="31">
        <f>SUBTOTAL(2,INDEX(Main[ردیف],1):Main[[#This Row],[ردیف]])</f>
        <v>117</v>
      </c>
      <c r="C1297" s="32" t="s">
        <v>639</v>
      </c>
      <c r="D1297" s="32" t="str">
        <f>_xlfn.CONCAT("14",Main[[#This Row],[تاريخ]])</f>
        <v>1400/05/16</v>
      </c>
      <c r="E1297" s="33">
        <v>44415</v>
      </c>
      <c r="F1297" s="32">
        <v>30131</v>
      </c>
      <c r="G1297" s="5" t="str">
        <f>INDEX(customer[عنوان],MATCH(Main[[#This Row],[کد ردیابی]],customer[کد],0))</f>
        <v>ادهم مس تبریز</v>
      </c>
      <c r="H1297">
        <v>3990</v>
      </c>
      <c r="I1297" s="6">
        <f ca="1">-Main[[#This Row],[بدهی تسویه شده (کیلوگرم)]]+Main[[#This Row],[بستانکار (کیلوگرم)]]</f>
        <v>3990</v>
      </c>
      <c r="J1297" s="6">
        <f>IF(Main[[#This Row],[مقدار (کیلوگرم)]]&gt;0,Main[[#This Row],[مقدار (کیلوگرم)]],0)</f>
        <v>3990</v>
      </c>
      <c r="K1297" s="6">
        <f>-IF(Main[[#This Row],[مقدار (کیلوگرم)]]&lt;0,Main[[#This Row],[مقدار (کیلوگرم)]],0)</f>
        <v>0</v>
      </c>
      <c r="L12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7" s="7">
        <f>-IF(AND(Main[[#This Row],[مقدار (کیلوگرم)]]&lt;0,Main[[#This Row],[تاريخ میلادی]]&gt;44276),Main[[#This Row],[مقدار (کیلوگرم)]],0)</f>
        <v>0</v>
      </c>
      <c r="N1297" s="6">
        <f ca="1">Main[[#This Row],[بدهکار (کیلوگرم)]]-Main[[#This Row],[بدهی تسویه نشده (کیلوگرم)]]</f>
        <v>0</v>
      </c>
      <c r="O1297" s="6">
        <f ca="1">Main[[#This Row],[تفکیک]]</f>
        <v>0</v>
      </c>
      <c r="P1297" s="6">
        <f ca="1">IF(Main[[#This Row],[تاخیر از سررسید]]&gt;0,Main[[#This Row],[بدهی تسویه نشده (کیلوگرم)]],0)</f>
        <v>0</v>
      </c>
      <c r="Q1297" s="6">
        <f ca="1">IF(Main[[#This Row],[بدهی تسویه نشده (کیلوگرم)]]&gt;0,'گزارش فردی'!$B$7-Main[[#This Row],[تاريخ میلادی]],0)</f>
        <v>0</v>
      </c>
      <c r="R1297" s="6">
        <f ca="1">IF(Main[[#This Row],[بدهی تسویه نشده (کیلوگرم)]]&gt;0,'گزارش فردی'!$B$7-Main[[#This Row],[تاريخ میلادی]]-'گزارش فردی'!$B$8,0)</f>
        <v>0</v>
      </c>
      <c r="S1297" s="6">
        <f ca="1">Main[[#This Row],[روز از ارسال سفارش]]*Main[[#This Row],[بدهی تسویه نشده (کیلوگرم)]]</f>
        <v>0</v>
      </c>
      <c r="T1297" s="6">
        <f ca="1">Main[[#This Row],[بدهی سررسید شده (کیلوگرم)]]*Main[[#This Row],[روز از ارسال سفارش]]</f>
        <v>0</v>
      </c>
      <c r="U1297" s="6">
        <f>-SUBTOTAL(9,INDEX(Main[مقدار (کیلوگرم)],1):Main[[#This Row],[مقدار (کیلوگرم)]])</f>
        <v>41125</v>
      </c>
      <c r="V12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7" s="6">
        <f>Main[[#This Row],[تعداد کل روزهای بدهکار (روز)]]*Main[[#This Row],[مانده در خط کل (کیلوگرم)]]</f>
        <v>41125</v>
      </c>
      <c r="X1297" s="6">
        <f ca="1">-SUBTOTAL(9,INDEX(Main[مقدار تسویه شده (کیلوگرم)],1):Main[[#This Row],[مقدار تسویه شده (کیلوگرم)]])</f>
        <v>41125</v>
      </c>
      <c r="Y1297" s="6">
        <f ca="1">IF(Main[[#This Row],[مانده در خط تسویه شده (کیلوگرم)]]&lt;&gt;0,Main[[#This Row],[تعداد کل روزهای بدهکار (روز)]],0)</f>
        <v>1</v>
      </c>
      <c r="Z1297" s="6">
        <f ca="1">Main[[#This Row],[تعداد روزهای بدهکار تسویه شده (روز)]]*Main[[#This Row],[مانده در خط تسویه شده (کیلوگرم)]]</f>
        <v>41125</v>
      </c>
      <c r="AA1297" s="6">
        <f ca="1">SUBTOTAL(9,INDEX(Main[بدهی تسویه نشده (کیلوگرم)],1):Main[[#This Row],[بدهی تسویه نشده (کیلوگرم)]])</f>
        <v>0</v>
      </c>
      <c r="AB1297" s="6">
        <f ca="1">IF(Main[[#This Row],[مانده در خط تسویه نشده (کیلوگرم)]]&lt;&gt;0,Main[[#This Row],[تعداد کل روزهای بدهکار (روز)]],0)</f>
        <v>0</v>
      </c>
      <c r="AC1297" s="6">
        <f ca="1">Main[[#This Row],[تعداد روزهای بدهکار  تسویه نشده (روز)]]*Main[[#This Row],[مانده در خط تسویه نشده (کیلوگرم)]]</f>
        <v>0</v>
      </c>
      <c r="AD1297" s="6">
        <f ca="1">SUBTOTAL(9,INDEX(Main[بدهی سررسید شده (کیلوگرم)],1):Main[[#This Row],[بدهی سررسید شده (کیلوگرم)]])</f>
        <v>0</v>
      </c>
      <c r="AE1297" s="6">
        <f ca="1">IF(Main[[#This Row],[مانده در خط سررسید شده (کیلوگرم)]]&lt;&gt;0,Main[[#This Row],[تعداد کل روزهای بدهکار (روز)]],0)</f>
        <v>0</v>
      </c>
      <c r="AF1297" s="6">
        <f ca="1">Main[[#This Row],[تعداد روزهای بدهکار سررسید شده (روز)]]*Main[[#This Row],[مانده در خط سررسید شده (کیلوگرم)]]</f>
        <v>0</v>
      </c>
    </row>
    <row r="1298" spans="1:32" hidden="1" x14ac:dyDescent="0.35">
      <c r="A1298" s="5">
        <f>ROW()-ROW(INDEX(Main[ردیف],1))+1</f>
        <v>1296</v>
      </c>
      <c r="B1298" s="31">
        <f>SUBTOTAL(2,INDEX(Main[ردیف],1):Main[[#This Row],[ردیف]])</f>
        <v>117</v>
      </c>
      <c r="C1298" s="32" t="s">
        <v>639</v>
      </c>
      <c r="D1298" s="32" t="str">
        <f>_xlfn.CONCAT("14",Main[[#This Row],[تاريخ]])</f>
        <v>1400/05/16</v>
      </c>
      <c r="E1298" s="33">
        <v>44415</v>
      </c>
      <c r="F1298" s="32">
        <v>30009</v>
      </c>
      <c r="G1298" s="5" t="str">
        <f>INDEX(customer[عنوان],MATCH(Main[[#This Row],[کد ردیابی]],customer[کد],0))</f>
        <v>شرکت ایمن تک پیشرو</v>
      </c>
      <c r="H1298">
        <v>2020</v>
      </c>
      <c r="I1298" s="6">
        <f ca="1">-Main[[#This Row],[بدهی تسویه شده (کیلوگرم)]]+Main[[#This Row],[بستانکار (کیلوگرم)]]</f>
        <v>2020</v>
      </c>
      <c r="J1298" s="6">
        <f>IF(Main[[#This Row],[مقدار (کیلوگرم)]]&gt;0,Main[[#This Row],[مقدار (کیلوگرم)]],0)</f>
        <v>2020</v>
      </c>
      <c r="K1298" s="6">
        <f>-IF(Main[[#This Row],[مقدار (کیلوگرم)]]&lt;0,Main[[#This Row],[مقدار (کیلوگرم)]],0)</f>
        <v>0</v>
      </c>
      <c r="L12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8" s="7">
        <f>-IF(AND(Main[[#This Row],[مقدار (کیلوگرم)]]&lt;0,Main[[#This Row],[تاريخ میلادی]]&gt;44276),Main[[#This Row],[مقدار (کیلوگرم)]],0)</f>
        <v>0</v>
      </c>
      <c r="N1298" s="6">
        <f ca="1">Main[[#This Row],[بدهکار (کیلوگرم)]]-Main[[#This Row],[بدهی تسویه نشده (کیلوگرم)]]</f>
        <v>0</v>
      </c>
      <c r="O1298" s="6">
        <f ca="1">Main[[#This Row],[تفکیک]]</f>
        <v>0</v>
      </c>
      <c r="P1298" s="6">
        <f ca="1">IF(Main[[#This Row],[تاخیر از سررسید]]&gt;0,Main[[#This Row],[بدهی تسویه نشده (کیلوگرم)]],0)</f>
        <v>0</v>
      </c>
      <c r="Q1298" s="6">
        <f ca="1">IF(Main[[#This Row],[بدهی تسویه نشده (کیلوگرم)]]&gt;0,'گزارش فردی'!$B$7-Main[[#This Row],[تاريخ میلادی]],0)</f>
        <v>0</v>
      </c>
      <c r="R1298" s="6">
        <f ca="1">IF(Main[[#This Row],[بدهی تسویه نشده (کیلوگرم)]]&gt;0,'گزارش فردی'!$B$7-Main[[#This Row],[تاريخ میلادی]]-'گزارش فردی'!$B$8,0)</f>
        <v>0</v>
      </c>
      <c r="S1298" s="6">
        <f ca="1">Main[[#This Row],[روز از ارسال سفارش]]*Main[[#This Row],[بدهی تسویه نشده (کیلوگرم)]]</f>
        <v>0</v>
      </c>
      <c r="T1298" s="6">
        <f ca="1">Main[[#This Row],[بدهی سررسید شده (کیلوگرم)]]*Main[[#This Row],[روز از ارسال سفارش]]</f>
        <v>0</v>
      </c>
      <c r="U1298" s="6">
        <f>-SUBTOTAL(9,INDEX(Main[مقدار (کیلوگرم)],1):Main[[#This Row],[مقدار (کیلوگرم)]])</f>
        <v>41125</v>
      </c>
      <c r="V12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8" s="6">
        <f>Main[[#This Row],[تعداد کل روزهای بدهکار (روز)]]*Main[[#This Row],[مانده در خط کل (کیلوگرم)]]</f>
        <v>41125</v>
      </c>
      <c r="X1298" s="6">
        <f ca="1">-SUBTOTAL(9,INDEX(Main[مقدار تسویه شده (کیلوگرم)],1):Main[[#This Row],[مقدار تسویه شده (کیلوگرم)]])</f>
        <v>41125</v>
      </c>
      <c r="Y1298" s="6">
        <f ca="1">IF(Main[[#This Row],[مانده در خط تسویه شده (کیلوگرم)]]&lt;&gt;0,Main[[#This Row],[تعداد کل روزهای بدهکار (روز)]],0)</f>
        <v>1</v>
      </c>
      <c r="Z1298" s="6">
        <f ca="1">Main[[#This Row],[تعداد روزهای بدهکار تسویه شده (روز)]]*Main[[#This Row],[مانده در خط تسویه شده (کیلوگرم)]]</f>
        <v>41125</v>
      </c>
      <c r="AA1298" s="6">
        <f ca="1">SUBTOTAL(9,INDEX(Main[بدهی تسویه نشده (کیلوگرم)],1):Main[[#This Row],[بدهی تسویه نشده (کیلوگرم)]])</f>
        <v>0</v>
      </c>
      <c r="AB1298" s="6">
        <f ca="1">IF(Main[[#This Row],[مانده در خط تسویه نشده (کیلوگرم)]]&lt;&gt;0,Main[[#This Row],[تعداد کل روزهای بدهکار (روز)]],0)</f>
        <v>0</v>
      </c>
      <c r="AC1298" s="6">
        <f ca="1">Main[[#This Row],[تعداد روزهای بدهکار  تسویه نشده (روز)]]*Main[[#This Row],[مانده در خط تسویه نشده (کیلوگرم)]]</f>
        <v>0</v>
      </c>
      <c r="AD1298" s="6">
        <f ca="1">SUBTOTAL(9,INDEX(Main[بدهی سررسید شده (کیلوگرم)],1):Main[[#This Row],[بدهی سررسید شده (کیلوگرم)]])</f>
        <v>0</v>
      </c>
      <c r="AE1298" s="6">
        <f ca="1">IF(Main[[#This Row],[مانده در خط سررسید شده (کیلوگرم)]]&lt;&gt;0,Main[[#This Row],[تعداد کل روزهای بدهکار (روز)]],0)</f>
        <v>0</v>
      </c>
      <c r="AF1298" s="6">
        <f ca="1">Main[[#This Row],[تعداد روزهای بدهکار سررسید شده (روز)]]*Main[[#This Row],[مانده در خط سررسید شده (کیلوگرم)]]</f>
        <v>0</v>
      </c>
    </row>
    <row r="1299" spans="1:32" hidden="1" x14ac:dyDescent="0.35">
      <c r="A1299" s="5">
        <f>ROW()-ROW(INDEX(Main[ردیف],1))+1</f>
        <v>1297</v>
      </c>
      <c r="B1299" s="31">
        <f>SUBTOTAL(2,INDEX(Main[ردیف],1):Main[[#This Row],[ردیف]])</f>
        <v>117</v>
      </c>
      <c r="C1299" s="32" t="s">
        <v>639</v>
      </c>
      <c r="D1299" s="32" t="str">
        <f>_xlfn.CONCAT("14",Main[[#This Row],[تاريخ]])</f>
        <v>1400/05/16</v>
      </c>
      <c r="E1299" s="33">
        <v>44415</v>
      </c>
      <c r="F1299" s="32">
        <v>30131</v>
      </c>
      <c r="G1299" s="5" t="str">
        <f>INDEX(customer[عنوان],MATCH(Main[[#This Row],[کد ردیابی]],customer[کد],0))</f>
        <v>ادهم مس تبریز</v>
      </c>
      <c r="H1299">
        <v>712</v>
      </c>
      <c r="I1299" s="6">
        <f ca="1">-Main[[#This Row],[بدهی تسویه شده (کیلوگرم)]]+Main[[#This Row],[بستانکار (کیلوگرم)]]</f>
        <v>712</v>
      </c>
      <c r="J1299" s="6">
        <f>IF(Main[[#This Row],[مقدار (کیلوگرم)]]&gt;0,Main[[#This Row],[مقدار (کیلوگرم)]],0)</f>
        <v>712</v>
      </c>
      <c r="K1299" s="6">
        <f>-IF(Main[[#This Row],[مقدار (کیلوگرم)]]&lt;0,Main[[#This Row],[مقدار (کیلوگرم)]],0)</f>
        <v>0</v>
      </c>
      <c r="L12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9" s="7">
        <f>-IF(AND(Main[[#This Row],[مقدار (کیلوگرم)]]&lt;0,Main[[#This Row],[تاريخ میلادی]]&gt;44276),Main[[#This Row],[مقدار (کیلوگرم)]],0)</f>
        <v>0</v>
      </c>
      <c r="N1299" s="6">
        <f ca="1">Main[[#This Row],[بدهکار (کیلوگرم)]]-Main[[#This Row],[بدهی تسویه نشده (کیلوگرم)]]</f>
        <v>0</v>
      </c>
      <c r="O1299" s="6">
        <f ca="1">Main[[#This Row],[تفکیک]]</f>
        <v>0</v>
      </c>
      <c r="P1299" s="6">
        <f ca="1">IF(Main[[#This Row],[تاخیر از سررسید]]&gt;0,Main[[#This Row],[بدهی تسویه نشده (کیلوگرم)]],0)</f>
        <v>0</v>
      </c>
      <c r="Q1299" s="6">
        <f ca="1">IF(Main[[#This Row],[بدهی تسویه نشده (کیلوگرم)]]&gt;0,'گزارش فردی'!$B$7-Main[[#This Row],[تاريخ میلادی]],0)</f>
        <v>0</v>
      </c>
      <c r="R1299" s="6">
        <f ca="1">IF(Main[[#This Row],[بدهی تسویه نشده (کیلوگرم)]]&gt;0,'گزارش فردی'!$B$7-Main[[#This Row],[تاريخ میلادی]]-'گزارش فردی'!$B$8,0)</f>
        <v>0</v>
      </c>
      <c r="S1299" s="6">
        <f ca="1">Main[[#This Row],[روز از ارسال سفارش]]*Main[[#This Row],[بدهی تسویه نشده (کیلوگرم)]]</f>
        <v>0</v>
      </c>
      <c r="T1299" s="6">
        <f ca="1">Main[[#This Row],[بدهی سررسید شده (کیلوگرم)]]*Main[[#This Row],[روز از ارسال سفارش]]</f>
        <v>0</v>
      </c>
      <c r="U1299" s="6">
        <f>-SUBTOTAL(9,INDEX(Main[مقدار (کیلوگرم)],1):Main[[#This Row],[مقدار (کیلوگرم)]])</f>
        <v>41125</v>
      </c>
      <c r="V12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9" s="6">
        <f>Main[[#This Row],[تعداد کل روزهای بدهکار (روز)]]*Main[[#This Row],[مانده در خط کل (کیلوگرم)]]</f>
        <v>41125</v>
      </c>
      <c r="X1299" s="6">
        <f ca="1">-SUBTOTAL(9,INDEX(Main[مقدار تسویه شده (کیلوگرم)],1):Main[[#This Row],[مقدار تسویه شده (کیلوگرم)]])</f>
        <v>41125</v>
      </c>
      <c r="Y1299" s="6">
        <f ca="1">IF(Main[[#This Row],[مانده در خط تسویه شده (کیلوگرم)]]&lt;&gt;0,Main[[#This Row],[تعداد کل روزهای بدهکار (روز)]],0)</f>
        <v>1</v>
      </c>
      <c r="Z1299" s="6">
        <f ca="1">Main[[#This Row],[تعداد روزهای بدهکار تسویه شده (روز)]]*Main[[#This Row],[مانده در خط تسویه شده (کیلوگرم)]]</f>
        <v>41125</v>
      </c>
      <c r="AA1299" s="6">
        <f ca="1">SUBTOTAL(9,INDEX(Main[بدهی تسویه نشده (کیلوگرم)],1):Main[[#This Row],[بدهی تسویه نشده (کیلوگرم)]])</f>
        <v>0</v>
      </c>
      <c r="AB1299" s="6">
        <f ca="1">IF(Main[[#This Row],[مانده در خط تسویه نشده (کیلوگرم)]]&lt;&gt;0,Main[[#This Row],[تعداد کل روزهای بدهکار (روز)]],0)</f>
        <v>0</v>
      </c>
      <c r="AC1299" s="6">
        <f ca="1">Main[[#This Row],[تعداد روزهای بدهکار  تسویه نشده (روز)]]*Main[[#This Row],[مانده در خط تسویه نشده (کیلوگرم)]]</f>
        <v>0</v>
      </c>
      <c r="AD1299" s="6">
        <f ca="1">SUBTOTAL(9,INDEX(Main[بدهی سررسید شده (کیلوگرم)],1):Main[[#This Row],[بدهی سررسید شده (کیلوگرم)]])</f>
        <v>0</v>
      </c>
      <c r="AE1299" s="6">
        <f ca="1">IF(Main[[#This Row],[مانده در خط سررسید شده (کیلوگرم)]]&lt;&gt;0,Main[[#This Row],[تعداد کل روزهای بدهکار (روز)]],0)</f>
        <v>0</v>
      </c>
      <c r="AF1299" s="6">
        <f ca="1">Main[[#This Row],[تعداد روزهای بدهکار سررسید شده (روز)]]*Main[[#This Row],[مانده در خط سررسید شده (کیلوگرم)]]</f>
        <v>0</v>
      </c>
    </row>
    <row r="1300" spans="1:32" hidden="1" x14ac:dyDescent="0.35">
      <c r="A1300" s="5">
        <f>ROW()-ROW(INDEX(Main[ردیف],1))+1</f>
        <v>1298</v>
      </c>
      <c r="B1300" s="31">
        <f>SUBTOTAL(2,INDEX(Main[ردیف],1):Main[[#This Row],[ردیف]])</f>
        <v>117</v>
      </c>
      <c r="C1300" s="32" t="s">
        <v>640</v>
      </c>
      <c r="D1300" s="32" t="str">
        <f>_xlfn.CONCAT("14",Main[[#This Row],[تاريخ]])</f>
        <v>1400/05/17</v>
      </c>
      <c r="E1300" s="33">
        <v>44416</v>
      </c>
      <c r="F1300" s="32">
        <v>30022</v>
      </c>
      <c r="G1300" s="5" t="str">
        <f>INDEX(customer[عنوان],MATCH(Main[[#This Row],[کد ردیابی]],customer[کد],0))</f>
        <v xml:space="preserve">کلار پویا </v>
      </c>
      <c r="H1300">
        <v>-5202</v>
      </c>
      <c r="I1300" s="6">
        <f ca="1">-Main[[#This Row],[بدهی تسویه شده (کیلوگرم)]]+Main[[#This Row],[بستانکار (کیلوگرم)]]</f>
        <v>-5202</v>
      </c>
      <c r="J1300" s="6">
        <f>IF(Main[[#This Row],[مقدار (کیلوگرم)]]&gt;0,Main[[#This Row],[مقدار (کیلوگرم)]],0)</f>
        <v>0</v>
      </c>
      <c r="K1300" s="6">
        <f>-IF(Main[[#This Row],[مقدار (کیلوگرم)]]&lt;0,Main[[#This Row],[مقدار (کیلوگرم)]],0)</f>
        <v>5202</v>
      </c>
      <c r="L13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0" s="7">
        <f>-IF(AND(Main[[#This Row],[مقدار (کیلوگرم)]]&lt;0,Main[[#This Row],[تاريخ میلادی]]&gt;44276),Main[[#This Row],[مقدار (کیلوگرم)]],0)</f>
        <v>5202</v>
      </c>
      <c r="N1300" s="6">
        <f ca="1">Main[[#This Row],[بدهکار (کیلوگرم)]]-Main[[#This Row],[بدهی تسویه نشده (کیلوگرم)]]</f>
        <v>5202</v>
      </c>
      <c r="O1300" s="6">
        <f ca="1">Main[[#This Row],[تفکیک]]</f>
        <v>0</v>
      </c>
      <c r="P1300" s="6">
        <f ca="1">IF(Main[[#This Row],[تاخیر از سررسید]]&gt;0,Main[[#This Row],[بدهی تسویه نشده (کیلوگرم)]],0)</f>
        <v>0</v>
      </c>
      <c r="Q1300" s="6">
        <f ca="1">IF(Main[[#This Row],[بدهی تسویه نشده (کیلوگرم)]]&gt;0,'گزارش فردی'!$B$7-Main[[#This Row],[تاريخ میلادی]],0)</f>
        <v>0</v>
      </c>
      <c r="R1300" s="6">
        <f ca="1">IF(Main[[#This Row],[بدهی تسویه نشده (کیلوگرم)]]&gt;0,'گزارش فردی'!$B$7-Main[[#This Row],[تاريخ میلادی]]-'گزارش فردی'!$B$8,0)</f>
        <v>0</v>
      </c>
      <c r="S1300" s="6">
        <f ca="1">Main[[#This Row],[روز از ارسال سفارش]]*Main[[#This Row],[بدهی تسویه نشده (کیلوگرم)]]</f>
        <v>0</v>
      </c>
      <c r="T1300" s="6">
        <f ca="1">Main[[#This Row],[بدهی سررسید شده (کیلوگرم)]]*Main[[#This Row],[روز از ارسال سفارش]]</f>
        <v>0</v>
      </c>
      <c r="U1300" s="6">
        <f>-SUBTOTAL(9,INDEX(Main[مقدار (کیلوگرم)],1):Main[[#This Row],[مقدار (کیلوگرم)]])</f>
        <v>41125</v>
      </c>
      <c r="V13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0" s="6">
        <f>Main[[#This Row],[تعداد کل روزهای بدهکار (روز)]]*Main[[#This Row],[مانده در خط کل (کیلوگرم)]]</f>
        <v>0</v>
      </c>
      <c r="X1300" s="6">
        <f ca="1">-SUBTOTAL(9,INDEX(Main[مقدار تسویه شده (کیلوگرم)],1):Main[[#This Row],[مقدار تسویه شده (کیلوگرم)]])</f>
        <v>41125</v>
      </c>
      <c r="Y1300" s="6">
        <f ca="1">IF(Main[[#This Row],[مانده در خط تسویه شده (کیلوگرم)]]&lt;&gt;0,Main[[#This Row],[تعداد کل روزهای بدهکار (روز)]],0)</f>
        <v>0</v>
      </c>
      <c r="Z1300" s="6">
        <f ca="1">Main[[#This Row],[تعداد روزهای بدهکار تسویه شده (روز)]]*Main[[#This Row],[مانده در خط تسویه شده (کیلوگرم)]]</f>
        <v>0</v>
      </c>
      <c r="AA1300" s="6">
        <f ca="1">SUBTOTAL(9,INDEX(Main[بدهی تسویه نشده (کیلوگرم)],1):Main[[#This Row],[بدهی تسویه نشده (کیلوگرم)]])</f>
        <v>0</v>
      </c>
      <c r="AB1300" s="6">
        <f ca="1">IF(Main[[#This Row],[مانده در خط تسویه نشده (کیلوگرم)]]&lt;&gt;0,Main[[#This Row],[تعداد کل روزهای بدهکار (روز)]],0)</f>
        <v>0</v>
      </c>
      <c r="AC1300" s="6">
        <f ca="1">Main[[#This Row],[تعداد روزهای بدهکار  تسویه نشده (روز)]]*Main[[#This Row],[مانده در خط تسویه نشده (کیلوگرم)]]</f>
        <v>0</v>
      </c>
      <c r="AD1300" s="6">
        <f ca="1">SUBTOTAL(9,INDEX(Main[بدهی سررسید شده (کیلوگرم)],1):Main[[#This Row],[بدهی سررسید شده (کیلوگرم)]])</f>
        <v>0</v>
      </c>
      <c r="AE1300" s="6">
        <f ca="1">IF(Main[[#This Row],[مانده در خط سررسید شده (کیلوگرم)]]&lt;&gt;0,Main[[#This Row],[تعداد کل روزهای بدهکار (روز)]],0)</f>
        <v>0</v>
      </c>
      <c r="AF1300" s="6">
        <f ca="1">Main[[#This Row],[تعداد روزهای بدهکار سررسید شده (روز)]]*Main[[#This Row],[مانده در خط سررسید شده (کیلوگرم)]]</f>
        <v>0</v>
      </c>
    </row>
    <row r="1301" spans="1:32" hidden="1" x14ac:dyDescent="0.35">
      <c r="A1301" s="5">
        <f>ROW()-ROW(INDEX(Main[ردیف],1))+1</f>
        <v>1299</v>
      </c>
      <c r="B1301" s="31">
        <f>SUBTOTAL(2,INDEX(Main[ردیف],1):Main[[#This Row],[ردیف]])</f>
        <v>117</v>
      </c>
      <c r="C1301" s="32" t="s">
        <v>640</v>
      </c>
      <c r="D1301" s="32" t="str">
        <f>_xlfn.CONCAT("14",Main[[#This Row],[تاريخ]])</f>
        <v>1400/05/17</v>
      </c>
      <c r="E1301" s="33">
        <v>44416</v>
      </c>
      <c r="F1301" s="32">
        <v>30022</v>
      </c>
      <c r="G1301" s="5" t="str">
        <f>INDEX(customer[عنوان],MATCH(Main[[#This Row],[کد ردیابی]],customer[کد],0))</f>
        <v xml:space="preserve">کلار پویا </v>
      </c>
      <c r="H1301">
        <v>4386</v>
      </c>
      <c r="I1301" s="6">
        <f ca="1">-Main[[#This Row],[بدهی تسویه شده (کیلوگرم)]]+Main[[#This Row],[بستانکار (کیلوگرم)]]</f>
        <v>4386</v>
      </c>
      <c r="J1301" s="6">
        <f>IF(Main[[#This Row],[مقدار (کیلوگرم)]]&gt;0,Main[[#This Row],[مقدار (کیلوگرم)]],0)</f>
        <v>4386</v>
      </c>
      <c r="K1301" s="6">
        <f>-IF(Main[[#This Row],[مقدار (کیلوگرم)]]&lt;0,Main[[#This Row],[مقدار (کیلوگرم)]],0)</f>
        <v>0</v>
      </c>
      <c r="L13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1" s="7">
        <f>-IF(AND(Main[[#This Row],[مقدار (کیلوگرم)]]&lt;0,Main[[#This Row],[تاريخ میلادی]]&gt;44276),Main[[#This Row],[مقدار (کیلوگرم)]],0)</f>
        <v>0</v>
      </c>
      <c r="N1301" s="6">
        <f ca="1">Main[[#This Row],[بدهکار (کیلوگرم)]]-Main[[#This Row],[بدهی تسویه نشده (کیلوگرم)]]</f>
        <v>0</v>
      </c>
      <c r="O1301" s="6">
        <f ca="1">Main[[#This Row],[تفکیک]]</f>
        <v>0</v>
      </c>
      <c r="P1301" s="6">
        <f ca="1">IF(Main[[#This Row],[تاخیر از سررسید]]&gt;0,Main[[#This Row],[بدهی تسویه نشده (کیلوگرم)]],0)</f>
        <v>0</v>
      </c>
      <c r="Q1301" s="6">
        <f ca="1">IF(Main[[#This Row],[بدهی تسویه نشده (کیلوگرم)]]&gt;0,'گزارش فردی'!$B$7-Main[[#This Row],[تاريخ میلادی]],0)</f>
        <v>0</v>
      </c>
      <c r="R1301" s="6">
        <f ca="1">IF(Main[[#This Row],[بدهی تسویه نشده (کیلوگرم)]]&gt;0,'گزارش فردی'!$B$7-Main[[#This Row],[تاريخ میلادی]]-'گزارش فردی'!$B$8,0)</f>
        <v>0</v>
      </c>
      <c r="S1301" s="6">
        <f ca="1">Main[[#This Row],[روز از ارسال سفارش]]*Main[[#This Row],[بدهی تسویه نشده (کیلوگرم)]]</f>
        <v>0</v>
      </c>
      <c r="T1301" s="6">
        <f ca="1">Main[[#This Row],[بدهی سررسید شده (کیلوگرم)]]*Main[[#This Row],[روز از ارسال سفارش]]</f>
        <v>0</v>
      </c>
      <c r="U1301" s="6">
        <f>-SUBTOTAL(9,INDEX(Main[مقدار (کیلوگرم)],1):Main[[#This Row],[مقدار (کیلوگرم)]])</f>
        <v>41125</v>
      </c>
      <c r="V13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1" s="6">
        <f>Main[[#This Row],[تعداد کل روزهای بدهکار (روز)]]*Main[[#This Row],[مانده در خط کل (کیلوگرم)]]</f>
        <v>0</v>
      </c>
      <c r="X1301" s="6">
        <f ca="1">-SUBTOTAL(9,INDEX(Main[مقدار تسویه شده (کیلوگرم)],1):Main[[#This Row],[مقدار تسویه شده (کیلوگرم)]])</f>
        <v>41125</v>
      </c>
      <c r="Y1301" s="6">
        <f ca="1">IF(Main[[#This Row],[مانده در خط تسویه شده (کیلوگرم)]]&lt;&gt;0,Main[[#This Row],[تعداد کل روزهای بدهکار (روز)]],0)</f>
        <v>0</v>
      </c>
      <c r="Z1301" s="6">
        <f ca="1">Main[[#This Row],[تعداد روزهای بدهکار تسویه شده (روز)]]*Main[[#This Row],[مانده در خط تسویه شده (کیلوگرم)]]</f>
        <v>0</v>
      </c>
      <c r="AA1301" s="6">
        <f ca="1">SUBTOTAL(9,INDEX(Main[بدهی تسویه نشده (کیلوگرم)],1):Main[[#This Row],[بدهی تسویه نشده (کیلوگرم)]])</f>
        <v>0</v>
      </c>
      <c r="AB1301" s="6">
        <f ca="1">IF(Main[[#This Row],[مانده در خط تسویه نشده (کیلوگرم)]]&lt;&gt;0,Main[[#This Row],[تعداد کل روزهای بدهکار (روز)]],0)</f>
        <v>0</v>
      </c>
      <c r="AC1301" s="6">
        <f ca="1">Main[[#This Row],[تعداد روزهای بدهکار  تسویه نشده (روز)]]*Main[[#This Row],[مانده در خط تسویه نشده (کیلوگرم)]]</f>
        <v>0</v>
      </c>
      <c r="AD1301" s="6">
        <f ca="1">SUBTOTAL(9,INDEX(Main[بدهی سررسید شده (کیلوگرم)],1):Main[[#This Row],[بدهی سررسید شده (کیلوگرم)]])</f>
        <v>0</v>
      </c>
      <c r="AE1301" s="6">
        <f ca="1">IF(Main[[#This Row],[مانده در خط سررسید شده (کیلوگرم)]]&lt;&gt;0,Main[[#This Row],[تعداد کل روزهای بدهکار (روز)]],0)</f>
        <v>0</v>
      </c>
      <c r="AF1301" s="6">
        <f ca="1">Main[[#This Row],[تعداد روزهای بدهکار سررسید شده (روز)]]*Main[[#This Row],[مانده در خط سررسید شده (کیلوگرم)]]</f>
        <v>0</v>
      </c>
    </row>
    <row r="1302" spans="1:32" hidden="1" x14ac:dyDescent="0.35">
      <c r="A1302" s="5">
        <f>ROW()-ROW(INDEX(Main[ردیف],1))+1</f>
        <v>1300</v>
      </c>
      <c r="B1302" s="31">
        <f>SUBTOTAL(2,INDEX(Main[ردیف],1):Main[[#This Row],[ردیف]])</f>
        <v>117</v>
      </c>
      <c r="C1302" s="32" t="s">
        <v>640</v>
      </c>
      <c r="D1302" s="32" t="str">
        <f>_xlfn.CONCAT("14",Main[[#This Row],[تاريخ]])</f>
        <v>1400/05/17</v>
      </c>
      <c r="E1302" s="33">
        <v>44416</v>
      </c>
      <c r="F1302" s="32">
        <v>30081</v>
      </c>
      <c r="G1302" s="5" t="str">
        <f>INDEX(customer[عنوان],MATCH(Main[[#This Row],[کد ردیابی]],customer[کد],0))</f>
        <v xml:space="preserve">شیرآلات بهداشتی راسان </v>
      </c>
      <c r="H1302">
        <v>-1982</v>
      </c>
      <c r="I1302" s="6">
        <f ca="1">-Main[[#This Row],[بدهی تسویه شده (کیلوگرم)]]+Main[[#This Row],[بستانکار (کیلوگرم)]]</f>
        <v>-1982</v>
      </c>
      <c r="J1302" s="6">
        <f>IF(Main[[#This Row],[مقدار (کیلوگرم)]]&gt;0,Main[[#This Row],[مقدار (کیلوگرم)]],0)</f>
        <v>0</v>
      </c>
      <c r="K1302" s="6">
        <f>-IF(Main[[#This Row],[مقدار (کیلوگرم)]]&lt;0,Main[[#This Row],[مقدار (کیلوگرم)]],0)</f>
        <v>1982</v>
      </c>
      <c r="L13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2" s="7">
        <f>-IF(AND(Main[[#This Row],[مقدار (کیلوگرم)]]&lt;0,Main[[#This Row],[تاريخ میلادی]]&gt;44276),Main[[#This Row],[مقدار (کیلوگرم)]],0)</f>
        <v>1982</v>
      </c>
      <c r="N1302" s="6">
        <f ca="1">Main[[#This Row],[بدهکار (کیلوگرم)]]-Main[[#This Row],[بدهی تسویه نشده (کیلوگرم)]]</f>
        <v>1982</v>
      </c>
      <c r="O1302" s="6">
        <f ca="1">Main[[#This Row],[تفکیک]]</f>
        <v>0</v>
      </c>
      <c r="P1302" s="6">
        <f ca="1">IF(Main[[#This Row],[تاخیر از سررسید]]&gt;0,Main[[#This Row],[بدهی تسویه نشده (کیلوگرم)]],0)</f>
        <v>0</v>
      </c>
      <c r="Q1302" s="6">
        <f ca="1">IF(Main[[#This Row],[بدهی تسویه نشده (کیلوگرم)]]&gt;0,'گزارش فردی'!$B$7-Main[[#This Row],[تاريخ میلادی]],0)</f>
        <v>0</v>
      </c>
      <c r="R1302" s="6">
        <f ca="1">IF(Main[[#This Row],[بدهی تسویه نشده (کیلوگرم)]]&gt;0,'گزارش فردی'!$B$7-Main[[#This Row],[تاريخ میلادی]]-'گزارش فردی'!$B$8,0)</f>
        <v>0</v>
      </c>
      <c r="S1302" s="6">
        <f ca="1">Main[[#This Row],[روز از ارسال سفارش]]*Main[[#This Row],[بدهی تسویه نشده (کیلوگرم)]]</f>
        <v>0</v>
      </c>
      <c r="T1302" s="6">
        <f ca="1">Main[[#This Row],[بدهی سررسید شده (کیلوگرم)]]*Main[[#This Row],[روز از ارسال سفارش]]</f>
        <v>0</v>
      </c>
      <c r="U1302" s="6">
        <f>-SUBTOTAL(9,INDEX(Main[مقدار (کیلوگرم)],1):Main[[#This Row],[مقدار (کیلوگرم)]])</f>
        <v>41125</v>
      </c>
      <c r="V13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2" s="6">
        <f>Main[[#This Row],[تعداد کل روزهای بدهکار (روز)]]*Main[[#This Row],[مانده در خط کل (کیلوگرم)]]</f>
        <v>0</v>
      </c>
      <c r="X1302" s="6">
        <f ca="1">-SUBTOTAL(9,INDEX(Main[مقدار تسویه شده (کیلوگرم)],1):Main[[#This Row],[مقدار تسویه شده (کیلوگرم)]])</f>
        <v>41125</v>
      </c>
      <c r="Y1302" s="6">
        <f ca="1">IF(Main[[#This Row],[مانده در خط تسویه شده (کیلوگرم)]]&lt;&gt;0,Main[[#This Row],[تعداد کل روزهای بدهکار (روز)]],0)</f>
        <v>0</v>
      </c>
      <c r="Z1302" s="6">
        <f ca="1">Main[[#This Row],[تعداد روزهای بدهکار تسویه شده (روز)]]*Main[[#This Row],[مانده در خط تسویه شده (کیلوگرم)]]</f>
        <v>0</v>
      </c>
      <c r="AA1302" s="6">
        <f ca="1">SUBTOTAL(9,INDEX(Main[بدهی تسویه نشده (کیلوگرم)],1):Main[[#This Row],[بدهی تسویه نشده (کیلوگرم)]])</f>
        <v>0</v>
      </c>
      <c r="AB1302" s="6">
        <f ca="1">IF(Main[[#This Row],[مانده در خط تسویه نشده (کیلوگرم)]]&lt;&gt;0,Main[[#This Row],[تعداد کل روزهای بدهکار (روز)]],0)</f>
        <v>0</v>
      </c>
      <c r="AC1302" s="6">
        <f ca="1">Main[[#This Row],[تعداد روزهای بدهکار  تسویه نشده (روز)]]*Main[[#This Row],[مانده در خط تسویه نشده (کیلوگرم)]]</f>
        <v>0</v>
      </c>
      <c r="AD1302" s="6">
        <f ca="1">SUBTOTAL(9,INDEX(Main[بدهی سررسید شده (کیلوگرم)],1):Main[[#This Row],[بدهی سررسید شده (کیلوگرم)]])</f>
        <v>0</v>
      </c>
      <c r="AE1302" s="6">
        <f ca="1">IF(Main[[#This Row],[مانده در خط سررسید شده (کیلوگرم)]]&lt;&gt;0,Main[[#This Row],[تعداد کل روزهای بدهکار (روز)]],0)</f>
        <v>0</v>
      </c>
      <c r="AF1302" s="6">
        <f ca="1">Main[[#This Row],[تعداد روزهای بدهکار سررسید شده (روز)]]*Main[[#This Row],[مانده در خط سررسید شده (کیلوگرم)]]</f>
        <v>0</v>
      </c>
    </row>
    <row r="1303" spans="1:32" hidden="1" x14ac:dyDescent="0.35">
      <c r="A1303" s="5">
        <f>ROW()-ROW(INDEX(Main[ردیف],1))+1</f>
        <v>1301</v>
      </c>
      <c r="B1303" s="31">
        <f>SUBTOTAL(2,INDEX(Main[ردیف],1):Main[[#This Row],[ردیف]])</f>
        <v>117</v>
      </c>
      <c r="C1303" s="32" t="s">
        <v>640</v>
      </c>
      <c r="D1303" s="32" t="str">
        <f>_xlfn.CONCAT("14",Main[[#This Row],[تاريخ]])</f>
        <v>1400/05/17</v>
      </c>
      <c r="E1303" s="33">
        <v>44416</v>
      </c>
      <c r="F1303" s="32">
        <v>10026</v>
      </c>
      <c r="G1303" s="5" t="str">
        <f>INDEX(customer[عنوان],MATCH(Main[[#This Row],[کد ردیابی]],customer[کد],0))</f>
        <v xml:space="preserve">محسن فیاض بخش </v>
      </c>
      <c r="H1303">
        <v>2949</v>
      </c>
      <c r="I1303" s="6">
        <f ca="1">-Main[[#This Row],[بدهی تسویه شده (کیلوگرم)]]+Main[[#This Row],[بستانکار (کیلوگرم)]]</f>
        <v>2949</v>
      </c>
      <c r="J1303" s="6">
        <f>IF(Main[[#This Row],[مقدار (کیلوگرم)]]&gt;0,Main[[#This Row],[مقدار (کیلوگرم)]],0)</f>
        <v>2949</v>
      </c>
      <c r="K1303" s="6">
        <f>-IF(Main[[#This Row],[مقدار (کیلوگرم)]]&lt;0,Main[[#This Row],[مقدار (کیلوگرم)]],0)</f>
        <v>0</v>
      </c>
      <c r="L13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3" s="7">
        <f>-IF(AND(Main[[#This Row],[مقدار (کیلوگرم)]]&lt;0,Main[[#This Row],[تاريخ میلادی]]&gt;44276),Main[[#This Row],[مقدار (کیلوگرم)]],0)</f>
        <v>0</v>
      </c>
      <c r="N1303" s="6">
        <f ca="1">Main[[#This Row],[بدهکار (کیلوگرم)]]-Main[[#This Row],[بدهی تسویه نشده (کیلوگرم)]]</f>
        <v>0</v>
      </c>
      <c r="O1303" s="6">
        <f ca="1">Main[[#This Row],[تفکیک]]</f>
        <v>0</v>
      </c>
      <c r="P1303" s="6">
        <f ca="1">IF(Main[[#This Row],[تاخیر از سررسید]]&gt;0,Main[[#This Row],[بدهی تسویه نشده (کیلوگرم)]],0)</f>
        <v>0</v>
      </c>
      <c r="Q1303" s="6">
        <f ca="1">IF(Main[[#This Row],[بدهی تسویه نشده (کیلوگرم)]]&gt;0,'گزارش فردی'!$B$7-Main[[#This Row],[تاريخ میلادی]],0)</f>
        <v>0</v>
      </c>
      <c r="R1303" s="6">
        <f ca="1">IF(Main[[#This Row],[بدهی تسویه نشده (کیلوگرم)]]&gt;0,'گزارش فردی'!$B$7-Main[[#This Row],[تاريخ میلادی]]-'گزارش فردی'!$B$8,0)</f>
        <v>0</v>
      </c>
      <c r="S1303" s="6">
        <f ca="1">Main[[#This Row],[روز از ارسال سفارش]]*Main[[#This Row],[بدهی تسویه نشده (کیلوگرم)]]</f>
        <v>0</v>
      </c>
      <c r="T1303" s="6">
        <f ca="1">Main[[#This Row],[بدهی سررسید شده (کیلوگرم)]]*Main[[#This Row],[روز از ارسال سفارش]]</f>
        <v>0</v>
      </c>
      <c r="U1303" s="6">
        <f>-SUBTOTAL(9,INDEX(Main[مقدار (کیلوگرم)],1):Main[[#This Row],[مقدار (کیلوگرم)]])</f>
        <v>41125</v>
      </c>
      <c r="V13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3" s="6">
        <f>Main[[#This Row],[تعداد کل روزهای بدهکار (روز)]]*Main[[#This Row],[مانده در خط کل (کیلوگرم)]]</f>
        <v>0</v>
      </c>
      <c r="X1303" s="6">
        <f ca="1">-SUBTOTAL(9,INDEX(Main[مقدار تسویه شده (کیلوگرم)],1):Main[[#This Row],[مقدار تسویه شده (کیلوگرم)]])</f>
        <v>41125</v>
      </c>
      <c r="Y1303" s="6">
        <f ca="1">IF(Main[[#This Row],[مانده در خط تسویه شده (کیلوگرم)]]&lt;&gt;0,Main[[#This Row],[تعداد کل روزهای بدهکار (روز)]],0)</f>
        <v>0</v>
      </c>
      <c r="Z1303" s="6">
        <f ca="1">Main[[#This Row],[تعداد روزهای بدهکار تسویه شده (روز)]]*Main[[#This Row],[مانده در خط تسویه شده (کیلوگرم)]]</f>
        <v>0</v>
      </c>
      <c r="AA1303" s="6">
        <f ca="1">SUBTOTAL(9,INDEX(Main[بدهی تسویه نشده (کیلوگرم)],1):Main[[#This Row],[بدهی تسویه نشده (کیلوگرم)]])</f>
        <v>0</v>
      </c>
      <c r="AB1303" s="6">
        <f ca="1">IF(Main[[#This Row],[مانده در خط تسویه نشده (کیلوگرم)]]&lt;&gt;0,Main[[#This Row],[تعداد کل روزهای بدهکار (روز)]],0)</f>
        <v>0</v>
      </c>
      <c r="AC1303" s="6">
        <f ca="1">Main[[#This Row],[تعداد روزهای بدهکار  تسویه نشده (روز)]]*Main[[#This Row],[مانده در خط تسویه نشده (کیلوگرم)]]</f>
        <v>0</v>
      </c>
      <c r="AD1303" s="6">
        <f ca="1">SUBTOTAL(9,INDEX(Main[بدهی سررسید شده (کیلوگرم)],1):Main[[#This Row],[بدهی سررسید شده (کیلوگرم)]])</f>
        <v>0</v>
      </c>
      <c r="AE1303" s="6">
        <f ca="1">IF(Main[[#This Row],[مانده در خط سررسید شده (کیلوگرم)]]&lt;&gt;0,Main[[#This Row],[تعداد کل روزهای بدهکار (روز)]],0)</f>
        <v>0</v>
      </c>
      <c r="AF1303" s="6">
        <f ca="1">Main[[#This Row],[تعداد روزهای بدهکار سررسید شده (روز)]]*Main[[#This Row],[مانده در خط سررسید شده (کیلوگرم)]]</f>
        <v>0</v>
      </c>
    </row>
    <row r="1304" spans="1:32" hidden="1" x14ac:dyDescent="0.35">
      <c r="A1304" s="5">
        <f>ROW()-ROW(INDEX(Main[ردیف],1))+1</f>
        <v>1302</v>
      </c>
      <c r="B1304" s="31">
        <f>SUBTOTAL(2,INDEX(Main[ردیف],1):Main[[#This Row],[ردیف]])</f>
        <v>117</v>
      </c>
      <c r="C1304" s="32" t="s">
        <v>640</v>
      </c>
      <c r="D1304" s="32" t="str">
        <f>_xlfn.CONCAT("14",Main[[#This Row],[تاريخ]])</f>
        <v>1400/05/17</v>
      </c>
      <c r="E1304" s="33">
        <v>44416</v>
      </c>
      <c r="F1304" s="32">
        <v>30186</v>
      </c>
      <c r="G1304" s="5" t="str">
        <f>INDEX(customer[عنوان],MATCH(Main[[#This Row],[کد ردیابی]],customer[کد],0))</f>
        <v>سارا گاز</v>
      </c>
      <c r="H1304">
        <v>-999</v>
      </c>
      <c r="I1304" s="6">
        <f ca="1">-Main[[#This Row],[بدهی تسویه شده (کیلوگرم)]]+Main[[#This Row],[بستانکار (کیلوگرم)]]</f>
        <v>-999</v>
      </c>
      <c r="J1304" s="6">
        <f>IF(Main[[#This Row],[مقدار (کیلوگرم)]]&gt;0,Main[[#This Row],[مقدار (کیلوگرم)]],0)</f>
        <v>0</v>
      </c>
      <c r="K1304" s="6">
        <f>-IF(Main[[#This Row],[مقدار (کیلوگرم)]]&lt;0,Main[[#This Row],[مقدار (کیلوگرم)]],0)</f>
        <v>999</v>
      </c>
      <c r="L13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4" s="7">
        <f>-IF(AND(Main[[#This Row],[مقدار (کیلوگرم)]]&lt;0,Main[[#This Row],[تاريخ میلادی]]&gt;44276),Main[[#This Row],[مقدار (کیلوگرم)]],0)</f>
        <v>999</v>
      </c>
      <c r="N1304" s="6">
        <f ca="1">Main[[#This Row],[بدهکار (کیلوگرم)]]-Main[[#This Row],[بدهی تسویه نشده (کیلوگرم)]]</f>
        <v>999</v>
      </c>
      <c r="O1304" s="6">
        <f ca="1">Main[[#This Row],[تفکیک]]</f>
        <v>0</v>
      </c>
      <c r="P1304" s="6">
        <f ca="1">IF(Main[[#This Row],[تاخیر از سررسید]]&gt;0,Main[[#This Row],[بدهی تسویه نشده (کیلوگرم)]],0)</f>
        <v>0</v>
      </c>
      <c r="Q1304" s="6">
        <f ca="1">IF(Main[[#This Row],[بدهی تسویه نشده (کیلوگرم)]]&gt;0,'گزارش فردی'!$B$7-Main[[#This Row],[تاريخ میلادی]],0)</f>
        <v>0</v>
      </c>
      <c r="R1304" s="6">
        <f ca="1">IF(Main[[#This Row],[بدهی تسویه نشده (کیلوگرم)]]&gt;0,'گزارش فردی'!$B$7-Main[[#This Row],[تاريخ میلادی]]-'گزارش فردی'!$B$8,0)</f>
        <v>0</v>
      </c>
      <c r="S1304" s="6">
        <f ca="1">Main[[#This Row],[روز از ارسال سفارش]]*Main[[#This Row],[بدهی تسویه نشده (کیلوگرم)]]</f>
        <v>0</v>
      </c>
      <c r="T1304" s="6">
        <f ca="1">Main[[#This Row],[بدهی سررسید شده (کیلوگرم)]]*Main[[#This Row],[روز از ارسال سفارش]]</f>
        <v>0</v>
      </c>
      <c r="U1304" s="6">
        <f>-SUBTOTAL(9,INDEX(Main[مقدار (کیلوگرم)],1):Main[[#This Row],[مقدار (کیلوگرم)]])</f>
        <v>41125</v>
      </c>
      <c r="V13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4" s="6">
        <f>Main[[#This Row],[تعداد کل روزهای بدهکار (روز)]]*Main[[#This Row],[مانده در خط کل (کیلوگرم)]]</f>
        <v>0</v>
      </c>
      <c r="X1304" s="6">
        <f ca="1">-SUBTOTAL(9,INDEX(Main[مقدار تسویه شده (کیلوگرم)],1):Main[[#This Row],[مقدار تسویه شده (کیلوگرم)]])</f>
        <v>41125</v>
      </c>
      <c r="Y1304" s="6">
        <f ca="1">IF(Main[[#This Row],[مانده در خط تسویه شده (کیلوگرم)]]&lt;&gt;0,Main[[#This Row],[تعداد کل روزهای بدهکار (روز)]],0)</f>
        <v>0</v>
      </c>
      <c r="Z1304" s="6">
        <f ca="1">Main[[#This Row],[تعداد روزهای بدهکار تسویه شده (روز)]]*Main[[#This Row],[مانده در خط تسویه شده (کیلوگرم)]]</f>
        <v>0</v>
      </c>
      <c r="AA1304" s="6">
        <f ca="1">SUBTOTAL(9,INDEX(Main[بدهی تسویه نشده (کیلوگرم)],1):Main[[#This Row],[بدهی تسویه نشده (کیلوگرم)]])</f>
        <v>0</v>
      </c>
      <c r="AB1304" s="6">
        <f ca="1">IF(Main[[#This Row],[مانده در خط تسویه نشده (کیلوگرم)]]&lt;&gt;0,Main[[#This Row],[تعداد کل روزهای بدهکار (روز)]],0)</f>
        <v>0</v>
      </c>
      <c r="AC1304" s="6">
        <f ca="1">Main[[#This Row],[تعداد روزهای بدهکار  تسویه نشده (روز)]]*Main[[#This Row],[مانده در خط تسویه نشده (کیلوگرم)]]</f>
        <v>0</v>
      </c>
      <c r="AD1304" s="6">
        <f ca="1">SUBTOTAL(9,INDEX(Main[بدهی سررسید شده (کیلوگرم)],1):Main[[#This Row],[بدهی سررسید شده (کیلوگرم)]])</f>
        <v>0</v>
      </c>
      <c r="AE1304" s="6">
        <f ca="1">IF(Main[[#This Row],[مانده در خط سررسید شده (کیلوگرم)]]&lt;&gt;0,Main[[#This Row],[تعداد کل روزهای بدهکار (روز)]],0)</f>
        <v>0</v>
      </c>
      <c r="AF1304" s="6">
        <f ca="1">Main[[#This Row],[تعداد روزهای بدهکار سررسید شده (روز)]]*Main[[#This Row],[مانده در خط سررسید شده (کیلوگرم)]]</f>
        <v>0</v>
      </c>
    </row>
    <row r="1305" spans="1:32" hidden="1" x14ac:dyDescent="0.35">
      <c r="A1305" s="5">
        <f>ROW()-ROW(INDEX(Main[ردیف],1))+1</f>
        <v>1303</v>
      </c>
      <c r="B1305" s="31">
        <f>SUBTOTAL(2,INDEX(Main[ردیف],1):Main[[#This Row],[ردیف]])</f>
        <v>117</v>
      </c>
      <c r="C1305" s="32" t="s">
        <v>640</v>
      </c>
      <c r="D1305" s="32" t="str">
        <f>_xlfn.CONCAT("14",Main[[#This Row],[تاريخ]])</f>
        <v>1400/05/17</v>
      </c>
      <c r="E1305" s="33">
        <v>44416</v>
      </c>
      <c r="F1305" s="32">
        <v>30009</v>
      </c>
      <c r="G1305" s="5" t="str">
        <f>INDEX(customer[عنوان],MATCH(Main[[#This Row],[کد ردیابی]],customer[کد],0))</f>
        <v>شرکت ایمن تک پیشرو</v>
      </c>
      <c r="H1305">
        <v>1877</v>
      </c>
      <c r="I1305" s="6">
        <f ca="1">-Main[[#This Row],[بدهی تسویه شده (کیلوگرم)]]+Main[[#This Row],[بستانکار (کیلوگرم)]]</f>
        <v>1877</v>
      </c>
      <c r="J1305" s="6">
        <f>IF(Main[[#This Row],[مقدار (کیلوگرم)]]&gt;0,Main[[#This Row],[مقدار (کیلوگرم)]],0)</f>
        <v>1877</v>
      </c>
      <c r="K1305" s="6">
        <f>-IF(Main[[#This Row],[مقدار (کیلوگرم)]]&lt;0,Main[[#This Row],[مقدار (کیلوگرم)]],0)</f>
        <v>0</v>
      </c>
      <c r="L13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5" s="7">
        <f>-IF(AND(Main[[#This Row],[مقدار (کیلوگرم)]]&lt;0,Main[[#This Row],[تاريخ میلادی]]&gt;44276),Main[[#This Row],[مقدار (کیلوگرم)]],0)</f>
        <v>0</v>
      </c>
      <c r="N1305" s="6">
        <f ca="1">Main[[#This Row],[بدهکار (کیلوگرم)]]-Main[[#This Row],[بدهی تسویه نشده (کیلوگرم)]]</f>
        <v>0</v>
      </c>
      <c r="O1305" s="6">
        <f ca="1">Main[[#This Row],[تفکیک]]</f>
        <v>0</v>
      </c>
      <c r="P1305" s="6">
        <f ca="1">IF(Main[[#This Row],[تاخیر از سررسید]]&gt;0,Main[[#This Row],[بدهی تسویه نشده (کیلوگرم)]],0)</f>
        <v>0</v>
      </c>
      <c r="Q1305" s="6">
        <f ca="1">IF(Main[[#This Row],[بدهی تسویه نشده (کیلوگرم)]]&gt;0,'گزارش فردی'!$B$7-Main[[#This Row],[تاريخ میلادی]],0)</f>
        <v>0</v>
      </c>
      <c r="R1305" s="6">
        <f ca="1">IF(Main[[#This Row],[بدهی تسویه نشده (کیلوگرم)]]&gt;0,'گزارش فردی'!$B$7-Main[[#This Row],[تاريخ میلادی]]-'گزارش فردی'!$B$8,0)</f>
        <v>0</v>
      </c>
      <c r="S1305" s="6">
        <f ca="1">Main[[#This Row],[روز از ارسال سفارش]]*Main[[#This Row],[بدهی تسویه نشده (کیلوگرم)]]</f>
        <v>0</v>
      </c>
      <c r="T1305" s="6">
        <f ca="1">Main[[#This Row],[بدهی سررسید شده (کیلوگرم)]]*Main[[#This Row],[روز از ارسال سفارش]]</f>
        <v>0</v>
      </c>
      <c r="U1305" s="6">
        <f>-SUBTOTAL(9,INDEX(Main[مقدار (کیلوگرم)],1):Main[[#This Row],[مقدار (کیلوگرم)]])</f>
        <v>41125</v>
      </c>
      <c r="V13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5" s="6">
        <f>Main[[#This Row],[تعداد کل روزهای بدهکار (روز)]]*Main[[#This Row],[مانده در خط کل (کیلوگرم)]]</f>
        <v>0</v>
      </c>
      <c r="X1305" s="6">
        <f ca="1">-SUBTOTAL(9,INDEX(Main[مقدار تسویه شده (کیلوگرم)],1):Main[[#This Row],[مقدار تسویه شده (کیلوگرم)]])</f>
        <v>41125</v>
      </c>
      <c r="Y1305" s="6">
        <f ca="1">IF(Main[[#This Row],[مانده در خط تسویه شده (کیلوگرم)]]&lt;&gt;0,Main[[#This Row],[تعداد کل روزهای بدهکار (روز)]],0)</f>
        <v>0</v>
      </c>
      <c r="Z1305" s="6">
        <f ca="1">Main[[#This Row],[تعداد روزهای بدهکار تسویه شده (روز)]]*Main[[#This Row],[مانده در خط تسویه شده (کیلوگرم)]]</f>
        <v>0</v>
      </c>
      <c r="AA1305" s="6">
        <f ca="1">SUBTOTAL(9,INDEX(Main[بدهی تسویه نشده (کیلوگرم)],1):Main[[#This Row],[بدهی تسویه نشده (کیلوگرم)]])</f>
        <v>0</v>
      </c>
      <c r="AB1305" s="6">
        <f ca="1">IF(Main[[#This Row],[مانده در خط تسویه نشده (کیلوگرم)]]&lt;&gt;0,Main[[#This Row],[تعداد کل روزهای بدهکار (روز)]],0)</f>
        <v>0</v>
      </c>
      <c r="AC1305" s="6">
        <f ca="1">Main[[#This Row],[تعداد روزهای بدهکار  تسویه نشده (روز)]]*Main[[#This Row],[مانده در خط تسویه نشده (کیلوگرم)]]</f>
        <v>0</v>
      </c>
      <c r="AD1305" s="6">
        <f ca="1">SUBTOTAL(9,INDEX(Main[بدهی سررسید شده (کیلوگرم)],1):Main[[#This Row],[بدهی سررسید شده (کیلوگرم)]])</f>
        <v>0</v>
      </c>
      <c r="AE1305" s="6">
        <f ca="1">IF(Main[[#This Row],[مانده در خط سررسید شده (کیلوگرم)]]&lt;&gt;0,Main[[#This Row],[تعداد کل روزهای بدهکار (روز)]],0)</f>
        <v>0</v>
      </c>
      <c r="AF1305" s="6">
        <f ca="1">Main[[#This Row],[تعداد روزهای بدهکار سررسید شده (روز)]]*Main[[#This Row],[مانده در خط سررسید شده (کیلوگرم)]]</f>
        <v>0</v>
      </c>
    </row>
    <row r="1306" spans="1:32" hidden="1" x14ac:dyDescent="0.35">
      <c r="A1306" s="5">
        <f>ROW()-ROW(INDEX(Main[ردیف],1))+1</f>
        <v>1304</v>
      </c>
      <c r="B1306" s="31">
        <f>SUBTOTAL(2,INDEX(Main[ردیف],1):Main[[#This Row],[ردیف]])</f>
        <v>117</v>
      </c>
      <c r="C1306" s="32" t="s">
        <v>640</v>
      </c>
      <c r="D1306" s="32" t="str">
        <f>_xlfn.CONCAT("14",Main[[#This Row],[تاريخ]])</f>
        <v>1400/05/17</v>
      </c>
      <c r="E1306" s="33">
        <v>44416</v>
      </c>
      <c r="F1306" s="32">
        <v>30009</v>
      </c>
      <c r="G1306" s="5" t="str">
        <f>INDEX(customer[عنوان],MATCH(Main[[#This Row],[کد ردیابی]],customer[کد],0))</f>
        <v>شرکت ایمن تک پیشرو</v>
      </c>
      <c r="H1306">
        <v>-2052</v>
      </c>
      <c r="I1306" s="6">
        <f ca="1">-Main[[#This Row],[بدهی تسویه شده (کیلوگرم)]]+Main[[#This Row],[بستانکار (کیلوگرم)]]</f>
        <v>-2052</v>
      </c>
      <c r="J1306" s="6">
        <f>IF(Main[[#This Row],[مقدار (کیلوگرم)]]&gt;0,Main[[#This Row],[مقدار (کیلوگرم)]],0)</f>
        <v>0</v>
      </c>
      <c r="K1306" s="6">
        <f>-IF(Main[[#This Row],[مقدار (کیلوگرم)]]&lt;0,Main[[#This Row],[مقدار (کیلوگرم)]],0)</f>
        <v>2052</v>
      </c>
      <c r="L13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6" s="7">
        <f>-IF(AND(Main[[#This Row],[مقدار (کیلوگرم)]]&lt;0,Main[[#This Row],[تاريخ میلادی]]&gt;44276),Main[[#This Row],[مقدار (کیلوگرم)]],0)</f>
        <v>2052</v>
      </c>
      <c r="N1306" s="6">
        <f ca="1">Main[[#This Row],[بدهکار (کیلوگرم)]]-Main[[#This Row],[بدهی تسویه نشده (کیلوگرم)]]</f>
        <v>2052</v>
      </c>
      <c r="O1306" s="6">
        <f ca="1">Main[[#This Row],[تفکیک]]</f>
        <v>0</v>
      </c>
      <c r="P1306" s="6">
        <f ca="1">IF(Main[[#This Row],[تاخیر از سررسید]]&gt;0,Main[[#This Row],[بدهی تسویه نشده (کیلوگرم)]],0)</f>
        <v>0</v>
      </c>
      <c r="Q1306" s="6">
        <f ca="1">IF(Main[[#This Row],[بدهی تسویه نشده (کیلوگرم)]]&gt;0,'گزارش فردی'!$B$7-Main[[#This Row],[تاريخ میلادی]],0)</f>
        <v>0</v>
      </c>
      <c r="R1306" s="6">
        <f ca="1">IF(Main[[#This Row],[بدهی تسویه نشده (کیلوگرم)]]&gt;0,'گزارش فردی'!$B$7-Main[[#This Row],[تاريخ میلادی]]-'گزارش فردی'!$B$8,0)</f>
        <v>0</v>
      </c>
      <c r="S1306" s="6">
        <f ca="1">Main[[#This Row],[روز از ارسال سفارش]]*Main[[#This Row],[بدهی تسویه نشده (کیلوگرم)]]</f>
        <v>0</v>
      </c>
      <c r="T1306" s="6">
        <f ca="1">Main[[#This Row],[بدهی سررسید شده (کیلوگرم)]]*Main[[#This Row],[روز از ارسال سفارش]]</f>
        <v>0</v>
      </c>
      <c r="U1306" s="6">
        <f>-SUBTOTAL(9,INDEX(Main[مقدار (کیلوگرم)],1):Main[[#This Row],[مقدار (کیلوگرم)]])</f>
        <v>41125</v>
      </c>
      <c r="V13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6" s="6">
        <f>Main[[#This Row],[تعداد کل روزهای بدهکار (روز)]]*Main[[#This Row],[مانده در خط کل (کیلوگرم)]]</f>
        <v>0</v>
      </c>
      <c r="X1306" s="6">
        <f ca="1">-SUBTOTAL(9,INDEX(Main[مقدار تسویه شده (کیلوگرم)],1):Main[[#This Row],[مقدار تسویه شده (کیلوگرم)]])</f>
        <v>41125</v>
      </c>
      <c r="Y1306" s="6">
        <f ca="1">IF(Main[[#This Row],[مانده در خط تسویه شده (کیلوگرم)]]&lt;&gt;0,Main[[#This Row],[تعداد کل روزهای بدهکار (روز)]],0)</f>
        <v>0</v>
      </c>
      <c r="Z1306" s="6">
        <f ca="1">Main[[#This Row],[تعداد روزهای بدهکار تسویه شده (روز)]]*Main[[#This Row],[مانده در خط تسویه شده (کیلوگرم)]]</f>
        <v>0</v>
      </c>
      <c r="AA1306" s="6">
        <f ca="1">SUBTOTAL(9,INDEX(Main[بدهی تسویه نشده (کیلوگرم)],1):Main[[#This Row],[بدهی تسویه نشده (کیلوگرم)]])</f>
        <v>0</v>
      </c>
      <c r="AB1306" s="6">
        <f ca="1">IF(Main[[#This Row],[مانده در خط تسویه نشده (کیلوگرم)]]&lt;&gt;0,Main[[#This Row],[تعداد کل روزهای بدهکار (روز)]],0)</f>
        <v>0</v>
      </c>
      <c r="AC1306" s="6">
        <f ca="1">Main[[#This Row],[تعداد روزهای بدهکار  تسویه نشده (روز)]]*Main[[#This Row],[مانده در خط تسویه نشده (کیلوگرم)]]</f>
        <v>0</v>
      </c>
      <c r="AD1306" s="6">
        <f ca="1">SUBTOTAL(9,INDEX(Main[بدهی سررسید شده (کیلوگرم)],1):Main[[#This Row],[بدهی سررسید شده (کیلوگرم)]])</f>
        <v>0</v>
      </c>
      <c r="AE1306" s="6">
        <f ca="1">IF(Main[[#This Row],[مانده در خط سررسید شده (کیلوگرم)]]&lt;&gt;0,Main[[#This Row],[تعداد کل روزهای بدهکار (روز)]],0)</f>
        <v>0</v>
      </c>
      <c r="AF1306" s="6">
        <f ca="1">Main[[#This Row],[تعداد روزهای بدهکار سررسید شده (روز)]]*Main[[#This Row],[مانده در خط سررسید شده (کیلوگرم)]]</f>
        <v>0</v>
      </c>
    </row>
    <row r="1307" spans="1:32" hidden="1" x14ac:dyDescent="0.35">
      <c r="A1307" s="5">
        <f>ROW()-ROW(INDEX(Main[ردیف],1))+1</f>
        <v>1305</v>
      </c>
      <c r="B1307" s="31">
        <f>SUBTOTAL(2,INDEX(Main[ردیف],1):Main[[#This Row],[ردیف]])</f>
        <v>117</v>
      </c>
      <c r="C1307" s="32" t="s">
        <v>640</v>
      </c>
      <c r="D1307" s="32" t="str">
        <f>_xlfn.CONCAT("14",Main[[#This Row],[تاريخ]])</f>
        <v>1400/05/17</v>
      </c>
      <c r="E1307" s="33">
        <v>44416</v>
      </c>
      <c r="F1307" s="32">
        <v>30186</v>
      </c>
      <c r="G1307" s="5" t="str">
        <f>INDEX(customer[عنوان],MATCH(Main[[#This Row],[کد ردیابی]],customer[کد],0))</f>
        <v>سارا گاز</v>
      </c>
      <c r="H1307">
        <v>1866</v>
      </c>
      <c r="I1307" s="6">
        <f ca="1">-Main[[#This Row],[بدهی تسویه شده (کیلوگرم)]]+Main[[#This Row],[بستانکار (کیلوگرم)]]</f>
        <v>1866</v>
      </c>
      <c r="J1307" s="6">
        <f>IF(Main[[#This Row],[مقدار (کیلوگرم)]]&gt;0,Main[[#This Row],[مقدار (کیلوگرم)]],0)</f>
        <v>1866</v>
      </c>
      <c r="K1307" s="6">
        <f>-IF(Main[[#This Row],[مقدار (کیلوگرم)]]&lt;0,Main[[#This Row],[مقدار (کیلوگرم)]],0)</f>
        <v>0</v>
      </c>
      <c r="L13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7" s="7">
        <f>-IF(AND(Main[[#This Row],[مقدار (کیلوگرم)]]&lt;0,Main[[#This Row],[تاريخ میلادی]]&gt;44276),Main[[#This Row],[مقدار (کیلوگرم)]],0)</f>
        <v>0</v>
      </c>
      <c r="N1307" s="6">
        <f ca="1">Main[[#This Row],[بدهکار (کیلوگرم)]]-Main[[#This Row],[بدهی تسویه نشده (کیلوگرم)]]</f>
        <v>0</v>
      </c>
      <c r="O1307" s="6">
        <f ca="1">Main[[#This Row],[تفکیک]]</f>
        <v>0</v>
      </c>
      <c r="P1307" s="6">
        <f ca="1">IF(Main[[#This Row],[تاخیر از سررسید]]&gt;0,Main[[#This Row],[بدهی تسویه نشده (کیلوگرم)]],0)</f>
        <v>0</v>
      </c>
      <c r="Q1307" s="6">
        <f ca="1">IF(Main[[#This Row],[بدهی تسویه نشده (کیلوگرم)]]&gt;0,'گزارش فردی'!$B$7-Main[[#This Row],[تاريخ میلادی]],0)</f>
        <v>0</v>
      </c>
      <c r="R1307" s="6">
        <f ca="1">IF(Main[[#This Row],[بدهی تسویه نشده (کیلوگرم)]]&gt;0,'گزارش فردی'!$B$7-Main[[#This Row],[تاريخ میلادی]]-'گزارش فردی'!$B$8,0)</f>
        <v>0</v>
      </c>
      <c r="S1307" s="6">
        <f ca="1">Main[[#This Row],[روز از ارسال سفارش]]*Main[[#This Row],[بدهی تسویه نشده (کیلوگرم)]]</f>
        <v>0</v>
      </c>
      <c r="T1307" s="6">
        <f ca="1">Main[[#This Row],[بدهی سررسید شده (کیلوگرم)]]*Main[[#This Row],[روز از ارسال سفارش]]</f>
        <v>0</v>
      </c>
      <c r="U1307" s="6">
        <f>-SUBTOTAL(9,INDEX(Main[مقدار (کیلوگرم)],1):Main[[#This Row],[مقدار (کیلوگرم)]])</f>
        <v>41125</v>
      </c>
      <c r="V13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7" s="6">
        <f>Main[[#This Row],[تعداد کل روزهای بدهکار (روز)]]*Main[[#This Row],[مانده در خط کل (کیلوگرم)]]</f>
        <v>0</v>
      </c>
      <c r="X1307" s="6">
        <f ca="1">-SUBTOTAL(9,INDEX(Main[مقدار تسویه شده (کیلوگرم)],1):Main[[#This Row],[مقدار تسویه شده (کیلوگرم)]])</f>
        <v>41125</v>
      </c>
      <c r="Y1307" s="6">
        <f ca="1">IF(Main[[#This Row],[مانده در خط تسویه شده (کیلوگرم)]]&lt;&gt;0,Main[[#This Row],[تعداد کل روزهای بدهکار (روز)]],0)</f>
        <v>0</v>
      </c>
      <c r="Z1307" s="6">
        <f ca="1">Main[[#This Row],[تعداد روزهای بدهکار تسویه شده (روز)]]*Main[[#This Row],[مانده در خط تسویه شده (کیلوگرم)]]</f>
        <v>0</v>
      </c>
      <c r="AA1307" s="6">
        <f ca="1">SUBTOTAL(9,INDEX(Main[بدهی تسویه نشده (کیلوگرم)],1):Main[[#This Row],[بدهی تسویه نشده (کیلوگرم)]])</f>
        <v>0</v>
      </c>
      <c r="AB1307" s="6">
        <f ca="1">IF(Main[[#This Row],[مانده در خط تسویه نشده (کیلوگرم)]]&lt;&gt;0,Main[[#This Row],[تعداد کل روزهای بدهکار (روز)]],0)</f>
        <v>0</v>
      </c>
      <c r="AC1307" s="6">
        <f ca="1">Main[[#This Row],[تعداد روزهای بدهکار  تسویه نشده (روز)]]*Main[[#This Row],[مانده در خط تسویه نشده (کیلوگرم)]]</f>
        <v>0</v>
      </c>
      <c r="AD1307" s="6">
        <f ca="1">SUBTOTAL(9,INDEX(Main[بدهی سررسید شده (کیلوگرم)],1):Main[[#This Row],[بدهی سررسید شده (کیلوگرم)]])</f>
        <v>0</v>
      </c>
      <c r="AE1307" s="6">
        <f ca="1">IF(Main[[#This Row],[مانده در خط سررسید شده (کیلوگرم)]]&lt;&gt;0,Main[[#This Row],[تعداد کل روزهای بدهکار (روز)]],0)</f>
        <v>0</v>
      </c>
      <c r="AF1307" s="6">
        <f ca="1">Main[[#This Row],[تعداد روزهای بدهکار سررسید شده (روز)]]*Main[[#This Row],[مانده در خط سررسید شده (کیلوگرم)]]</f>
        <v>0</v>
      </c>
    </row>
    <row r="1308" spans="1:32" x14ac:dyDescent="0.35">
      <c r="A1308" s="5">
        <f>ROW()-ROW(INDEX(Main[ردیف],1))+1</f>
        <v>1306</v>
      </c>
      <c r="B1308" s="31">
        <f>SUBTOTAL(2,INDEX(Main[ردیف],1):Main[[#This Row],[ردیف]])</f>
        <v>118</v>
      </c>
      <c r="C1308" s="32" t="s">
        <v>640</v>
      </c>
      <c r="D1308" s="32" t="str">
        <f>_xlfn.CONCAT("14",Main[[#This Row],[تاريخ]])</f>
        <v>1400/05/17</v>
      </c>
      <c r="E1308" s="33">
        <v>44416</v>
      </c>
      <c r="F1308" s="32">
        <v>10003</v>
      </c>
      <c r="G1308" s="5" t="str">
        <f>INDEX(customer[عنوان],MATCH(Main[[#This Row],[کد ردیابی]],customer[کد],0))</f>
        <v>اصغر نورعلی</v>
      </c>
      <c r="H1308">
        <v>-1025</v>
      </c>
      <c r="I1308" s="6">
        <f ca="1">-Main[[#This Row],[بدهی تسویه شده (کیلوگرم)]]+Main[[#This Row],[بستانکار (کیلوگرم)]]</f>
        <v>-1025</v>
      </c>
      <c r="J1308" s="6">
        <f>IF(Main[[#This Row],[مقدار (کیلوگرم)]]&gt;0,Main[[#This Row],[مقدار (کیلوگرم)]],0)</f>
        <v>0</v>
      </c>
      <c r="K1308" s="6">
        <f>-IF(Main[[#This Row],[مقدار (کیلوگرم)]]&lt;0,Main[[#This Row],[مقدار (کیلوگرم)]],0)</f>
        <v>1025</v>
      </c>
      <c r="L13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8" s="7">
        <f>-IF(AND(Main[[#This Row],[مقدار (کیلوگرم)]]&lt;0,Main[[#This Row],[تاريخ میلادی]]&gt;44276),Main[[#This Row],[مقدار (کیلوگرم)]],0)</f>
        <v>1025</v>
      </c>
      <c r="N1308" s="6">
        <f ca="1">Main[[#This Row],[بدهکار (کیلوگرم)]]-Main[[#This Row],[بدهی تسویه نشده (کیلوگرم)]]</f>
        <v>1025</v>
      </c>
      <c r="O1308" s="6">
        <f ca="1">Main[[#This Row],[تفکیک]]</f>
        <v>0</v>
      </c>
      <c r="P1308" s="6">
        <f ca="1">IF(Main[[#This Row],[تاخیر از سررسید]]&gt;0,Main[[#This Row],[بدهی تسویه نشده (کیلوگرم)]],0)</f>
        <v>0</v>
      </c>
      <c r="Q1308" s="6">
        <f ca="1">IF(Main[[#This Row],[بدهی تسویه نشده (کیلوگرم)]]&gt;0,'گزارش فردی'!$B$7-Main[[#This Row],[تاريخ میلادی]],0)</f>
        <v>0</v>
      </c>
      <c r="R1308" s="6">
        <f ca="1">IF(Main[[#This Row],[بدهی تسویه نشده (کیلوگرم)]]&gt;0,'گزارش فردی'!$B$7-Main[[#This Row],[تاريخ میلادی]]-'گزارش فردی'!$B$8,0)</f>
        <v>0</v>
      </c>
      <c r="S1308" s="6">
        <f ca="1">Main[[#This Row],[روز از ارسال سفارش]]*Main[[#This Row],[بدهی تسویه نشده (کیلوگرم)]]</f>
        <v>0</v>
      </c>
      <c r="T1308" s="6">
        <f ca="1">Main[[#This Row],[بدهی سررسید شده (کیلوگرم)]]*Main[[#This Row],[روز از ارسال سفارش]]</f>
        <v>0</v>
      </c>
      <c r="U1308" s="6">
        <f>-SUBTOTAL(9,INDEX(Main[مقدار (کیلوگرم)],1):Main[[#This Row],[مقدار (کیلوگرم)]])</f>
        <v>42150</v>
      </c>
      <c r="V130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308" s="6">
        <f>Main[[#This Row],[تعداد کل روزهای بدهکار (روز)]]*Main[[#This Row],[مانده در خط کل (کیلوگرم)]]</f>
        <v>126450</v>
      </c>
      <c r="X1308" s="6">
        <f ca="1">-SUBTOTAL(9,INDEX(Main[مقدار تسویه شده (کیلوگرم)],1):Main[[#This Row],[مقدار تسویه شده (کیلوگرم)]])</f>
        <v>42150</v>
      </c>
      <c r="Y1308" s="6">
        <f ca="1">IF(Main[[#This Row],[مانده در خط تسویه شده (کیلوگرم)]]&lt;&gt;0,Main[[#This Row],[تعداد کل روزهای بدهکار (روز)]],0)</f>
        <v>3</v>
      </c>
      <c r="Z1308" s="6">
        <f ca="1">Main[[#This Row],[تعداد روزهای بدهکار تسویه شده (روز)]]*Main[[#This Row],[مانده در خط تسویه شده (کیلوگرم)]]</f>
        <v>126450</v>
      </c>
      <c r="AA1308" s="6">
        <f ca="1">SUBTOTAL(9,INDEX(Main[بدهی تسویه نشده (کیلوگرم)],1):Main[[#This Row],[بدهی تسویه نشده (کیلوگرم)]])</f>
        <v>0</v>
      </c>
      <c r="AB1308" s="6">
        <f ca="1">IF(Main[[#This Row],[مانده در خط تسویه نشده (کیلوگرم)]]&lt;&gt;0,Main[[#This Row],[تعداد کل روزهای بدهکار (روز)]],0)</f>
        <v>0</v>
      </c>
      <c r="AC1308" s="6">
        <f ca="1">Main[[#This Row],[تعداد روزهای بدهکار  تسویه نشده (روز)]]*Main[[#This Row],[مانده در خط تسویه نشده (کیلوگرم)]]</f>
        <v>0</v>
      </c>
      <c r="AD1308" s="6">
        <f ca="1">SUBTOTAL(9,INDEX(Main[بدهی سررسید شده (کیلوگرم)],1):Main[[#This Row],[بدهی سررسید شده (کیلوگرم)]])</f>
        <v>0</v>
      </c>
      <c r="AE1308" s="6">
        <f ca="1">IF(Main[[#This Row],[مانده در خط سررسید شده (کیلوگرم)]]&lt;&gt;0,Main[[#This Row],[تعداد کل روزهای بدهکار (روز)]],0)</f>
        <v>0</v>
      </c>
      <c r="AF1308" s="6">
        <f ca="1">Main[[#This Row],[تعداد روزهای بدهکار سررسید شده (روز)]]*Main[[#This Row],[مانده در خط سررسید شده (کیلوگرم)]]</f>
        <v>0</v>
      </c>
    </row>
    <row r="1309" spans="1:32" hidden="1" x14ac:dyDescent="0.35">
      <c r="A1309" s="5">
        <f>ROW()-ROW(INDEX(Main[ردیف],1))+1</f>
        <v>1307</v>
      </c>
      <c r="B1309" s="31">
        <f>SUBTOTAL(2,INDEX(Main[ردیف],1):Main[[#This Row],[ردیف]])</f>
        <v>118</v>
      </c>
      <c r="C1309" s="32" t="s">
        <v>640</v>
      </c>
      <c r="D1309" s="32" t="str">
        <f>_xlfn.CONCAT("14",Main[[#This Row],[تاريخ]])</f>
        <v>1400/05/17</v>
      </c>
      <c r="E1309" s="33">
        <v>44416</v>
      </c>
      <c r="F1309" s="32">
        <v>10026</v>
      </c>
      <c r="G1309" s="5" t="str">
        <f>INDEX(customer[عنوان],MATCH(Main[[#This Row],[کد ردیابی]],customer[کد],0))</f>
        <v xml:space="preserve">محسن فیاض بخش </v>
      </c>
      <c r="H1309">
        <v>-1867</v>
      </c>
      <c r="I1309" s="6">
        <f ca="1">-Main[[#This Row],[بدهی تسویه شده (کیلوگرم)]]+Main[[#This Row],[بستانکار (کیلوگرم)]]</f>
        <v>-1867</v>
      </c>
      <c r="J1309" s="6">
        <f>IF(Main[[#This Row],[مقدار (کیلوگرم)]]&gt;0,Main[[#This Row],[مقدار (کیلوگرم)]],0)</f>
        <v>0</v>
      </c>
      <c r="K1309" s="6">
        <f>-IF(Main[[#This Row],[مقدار (کیلوگرم)]]&lt;0,Main[[#This Row],[مقدار (کیلوگرم)]],0)</f>
        <v>1867</v>
      </c>
      <c r="L13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9" s="7">
        <f>-IF(AND(Main[[#This Row],[مقدار (کیلوگرم)]]&lt;0,Main[[#This Row],[تاريخ میلادی]]&gt;44276),Main[[#This Row],[مقدار (کیلوگرم)]],0)</f>
        <v>1867</v>
      </c>
      <c r="N1309" s="6">
        <f ca="1">Main[[#This Row],[بدهکار (کیلوگرم)]]-Main[[#This Row],[بدهی تسویه نشده (کیلوگرم)]]</f>
        <v>1867</v>
      </c>
      <c r="O1309" s="6">
        <f ca="1">Main[[#This Row],[تفکیک]]</f>
        <v>0</v>
      </c>
      <c r="P1309" s="6">
        <f ca="1">IF(Main[[#This Row],[تاخیر از سررسید]]&gt;0,Main[[#This Row],[بدهی تسویه نشده (کیلوگرم)]],0)</f>
        <v>0</v>
      </c>
      <c r="Q1309" s="6">
        <f ca="1">IF(Main[[#This Row],[بدهی تسویه نشده (کیلوگرم)]]&gt;0,'گزارش فردی'!$B$7-Main[[#This Row],[تاريخ میلادی]],0)</f>
        <v>0</v>
      </c>
      <c r="R1309" s="6">
        <f ca="1">IF(Main[[#This Row],[بدهی تسویه نشده (کیلوگرم)]]&gt;0,'گزارش فردی'!$B$7-Main[[#This Row],[تاريخ میلادی]]-'گزارش فردی'!$B$8,0)</f>
        <v>0</v>
      </c>
      <c r="S1309" s="6">
        <f ca="1">Main[[#This Row],[روز از ارسال سفارش]]*Main[[#This Row],[بدهی تسویه نشده (کیلوگرم)]]</f>
        <v>0</v>
      </c>
      <c r="T1309" s="6">
        <f ca="1">Main[[#This Row],[بدهی سررسید شده (کیلوگرم)]]*Main[[#This Row],[روز از ارسال سفارش]]</f>
        <v>0</v>
      </c>
      <c r="U1309" s="6">
        <f>-SUBTOTAL(9,INDEX(Main[مقدار (کیلوگرم)],1):Main[[#This Row],[مقدار (کیلوگرم)]])</f>
        <v>42150</v>
      </c>
      <c r="V130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309" s="6">
        <f>Main[[#This Row],[تعداد کل روزهای بدهکار (روز)]]*Main[[#This Row],[مانده در خط کل (کیلوگرم)]]</f>
        <v>126450</v>
      </c>
      <c r="X1309" s="6">
        <f ca="1">-SUBTOTAL(9,INDEX(Main[مقدار تسویه شده (کیلوگرم)],1):Main[[#This Row],[مقدار تسویه شده (کیلوگرم)]])</f>
        <v>42150</v>
      </c>
      <c r="Y1309" s="6">
        <f ca="1">IF(Main[[#This Row],[مانده در خط تسویه شده (کیلوگرم)]]&lt;&gt;0,Main[[#This Row],[تعداد کل روزهای بدهکار (روز)]],0)</f>
        <v>3</v>
      </c>
      <c r="Z1309" s="6">
        <f ca="1">Main[[#This Row],[تعداد روزهای بدهکار تسویه شده (روز)]]*Main[[#This Row],[مانده در خط تسویه شده (کیلوگرم)]]</f>
        <v>126450</v>
      </c>
      <c r="AA1309" s="6">
        <f ca="1">SUBTOTAL(9,INDEX(Main[بدهی تسویه نشده (کیلوگرم)],1):Main[[#This Row],[بدهی تسویه نشده (کیلوگرم)]])</f>
        <v>0</v>
      </c>
      <c r="AB1309" s="6">
        <f ca="1">IF(Main[[#This Row],[مانده در خط تسویه نشده (کیلوگرم)]]&lt;&gt;0,Main[[#This Row],[تعداد کل روزهای بدهکار (روز)]],0)</f>
        <v>0</v>
      </c>
      <c r="AC1309" s="6">
        <f ca="1">Main[[#This Row],[تعداد روزهای بدهکار  تسویه نشده (روز)]]*Main[[#This Row],[مانده در خط تسویه نشده (کیلوگرم)]]</f>
        <v>0</v>
      </c>
      <c r="AD1309" s="6">
        <f ca="1">SUBTOTAL(9,INDEX(Main[بدهی سررسید شده (کیلوگرم)],1):Main[[#This Row],[بدهی سررسید شده (کیلوگرم)]])</f>
        <v>0</v>
      </c>
      <c r="AE1309" s="6">
        <f ca="1">IF(Main[[#This Row],[مانده در خط سررسید شده (کیلوگرم)]]&lt;&gt;0,Main[[#This Row],[تعداد کل روزهای بدهکار (روز)]],0)</f>
        <v>0</v>
      </c>
      <c r="AF1309" s="6">
        <f ca="1">Main[[#This Row],[تعداد روزهای بدهکار سررسید شده (روز)]]*Main[[#This Row],[مانده در خط سررسید شده (کیلوگرم)]]</f>
        <v>0</v>
      </c>
    </row>
    <row r="1310" spans="1:32" hidden="1" x14ac:dyDescent="0.35">
      <c r="A1310" s="5">
        <f>ROW()-ROW(INDEX(Main[ردیف],1))+1</f>
        <v>1308</v>
      </c>
      <c r="B1310" s="31">
        <f>SUBTOTAL(2,INDEX(Main[ردیف],1):Main[[#This Row],[ردیف]])</f>
        <v>118</v>
      </c>
      <c r="C1310" s="32" t="s">
        <v>640</v>
      </c>
      <c r="D1310" s="32" t="str">
        <f>_xlfn.CONCAT("14",Main[[#This Row],[تاريخ]])</f>
        <v>1400/05/17</v>
      </c>
      <c r="E1310" s="33">
        <v>44416</v>
      </c>
      <c r="F1310" s="32">
        <v>10055</v>
      </c>
      <c r="G1310" s="5" t="str">
        <f>INDEX(customer[عنوان],MATCH(Main[[#This Row],[کد ردیابی]],customer[کد],0))</f>
        <v xml:space="preserve">مریم فیض آبادی  </v>
      </c>
      <c r="H1310">
        <v>-4820</v>
      </c>
      <c r="I1310" s="6">
        <f ca="1">-Main[[#This Row],[بدهی تسویه شده (کیلوگرم)]]+Main[[#This Row],[بستانکار (کیلوگرم)]]</f>
        <v>-4820</v>
      </c>
      <c r="J1310" s="6">
        <f>IF(Main[[#This Row],[مقدار (کیلوگرم)]]&gt;0,Main[[#This Row],[مقدار (کیلوگرم)]],0)</f>
        <v>0</v>
      </c>
      <c r="K1310" s="6">
        <f>-IF(Main[[#This Row],[مقدار (کیلوگرم)]]&lt;0,Main[[#This Row],[مقدار (کیلوگرم)]],0)</f>
        <v>4820</v>
      </c>
      <c r="L13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0" s="7">
        <f>-IF(AND(Main[[#This Row],[مقدار (کیلوگرم)]]&lt;0,Main[[#This Row],[تاريخ میلادی]]&gt;44276),Main[[#This Row],[مقدار (کیلوگرم)]],0)</f>
        <v>4820</v>
      </c>
      <c r="N1310" s="6">
        <f ca="1">Main[[#This Row],[بدهکار (کیلوگرم)]]-Main[[#This Row],[بدهی تسویه نشده (کیلوگرم)]]</f>
        <v>4820</v>
      </c>
      <c r="O1310" s="6">
        <f ca="1">Main[[#This Row],[تفکیک]]</f>
        <v>0</v>
      </c>
      <c r="P1310" s="6">
        <f ca="1">IF(Main[[#This Row],[تاخیر از سررسید]]&gt;0,Main[[#This Row],[بدهی تسویه نشده (کیلوگرم)]],0)</f>
        <v>0</v>
      </c>
      <c r="Q1310" s="6">
        <f ca="1">IF(Main[[#This Row],[بدهی تسویه نشده (کیلوگرم)]]&gt;0,'گزارش فردی'!$B$7-Main[[#This Row],[تاريخ میلادی]],0)</f>
        <v>0</v>
      </c>
      <c r="R1310" s="6">
        <f ca="1">IF(Main[[#This Row],[بدهی تسویه نشده (کیلوگرم)]]&gt;0,'گزارش فردی'!$B$7-Main[[#This Row],[تاريخ میلادی]]-'گزارش فردی'!$B$8,0)</f>
        <v>0</v>
      </c>
      <c r="S1310" s="6">
        <f ca="1">Main[[#This Row],[روز از ارسال سفارش]]*Main[[#This Row],[بدهی تسویه نشده (کیلوگرم)]]</f>
        <v>0</v>
      </c>
      <c r="T1310" s="6">
        <f ca="1">Main[[#This Row],[بدهی سررسید شده (کیلوگرم)]]*Main[[#This Row],[روز از ارسال سفارش]]</f>
        <v>0</v>
      </c>
      <c r="U1310" s="6">
        <f>-SUBTOTAL(9,INDEX(Main[مقدار (کیلوگرم)],1):Main[[#This Row],[مقدار (کیلوگرم)]])</f>
        <v>42150</v>
      </c>
      <c r="V131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310" s="6">
        <f>Main[[#This Row],[تعداد کل روزهای بدهکار (روز)]]*Main[[#This Row],[مانده در خط کل (کیلوگرم)]]</f>
        <v>126450</v>
      </c>
      <c r="X1310" s="6">
        <f ca="1">-SUBTOTAL(9,INDEX(Main[مقدار تسویه شده (کیلوگرم)],1):Main[[#This Row],[مقدار تسویه شده (کیلوگرم)]])</f>
        <v>42150</v>
      </c>
      <c r="Y1310" s="6">
        <f ca="1">IF(Main[[#This Row],[مانده در خط تسویه شده (کیلوگرم)]]&lt;&gt;0,Main[[#This Row],[تعداد کل روزهای بدهکار (روز)]],0)</f>
        <v>3</v>
      </c>
      <c r="Z1310" s="6">
        <f ca="1">Main[[#This Row],[تعداد روزهای بدهکار تسویه شده (روز)]]*Main[[#This Row],[مانده در خط تسویه شده (کیلوگرم)]]</f>
        <v>126450</v>
      </c>
      <c r="AA1310" s="6">
        <f ca="1">SUBTOTAL(9,INDEX(Main[بدهی تسویه نشده (کیلوگرم)],1):Main[[#This Row],[بدهی تسویه نشده (کیلوگرم)]])</f>
        <v>0</v>
      </c>
      <c r="AB1310" s="6">
        <f ca="1">IF(Main[[#This Row],[مانده در خط تسویه نشده (کیلوگرم)]]&lt;&gt;0,Main[[#This Row],[تعداد کل روزهای بدهکار (روز)]],0)</f>
        <v>0</v>
      </c>
      <c r="AC1310" s="6">
        <f ca="1">Main[[#This Row],[تعداد روزهای بدهکار  تسویه نشده (روز)]]*Main[[#This Row],[مانده در خط تسویه نشده (کیلوگرم)]]</f>
        <v>0</v>
      </c>
      <c r="AD1310" s="6">
        <f ca="1">SUBTOTAL(9,INDEX(Main[بدهی سررسید شده (کیلوگرم)],1):Main[[#This Row],[بدهی سررسید شده (کیلوگرم)]])</f>
        <v>0</v>
      </c>
      <c r="AE1310" s="6">
        <f ca="1">IF(Main[[#This Row],[مانده در خط سررسید شده (کیلوگرم)]]&lt;&gt;0,Main[[#This Row],[تعداد کل روزهای بدهکار (روز)]],0)</f>
        <v>0</v>
      </c>
      <c r="AF1310" s="6">
        <f ca="1">Main[[#This Row],[تعداد روزهای بدهکار سررسید شده (روز)]]*Main[[#This Row],[مانده در خط سررسید شده (کیلوگرم)]]</f>
        <v>0</v>
      </c>
    </row>
    <row r="1311" spans="1:32" hidden="1" x14ac:dyDescent="0.35">
      <c r="A1311" s="5">
        <f>ROW()-ROW(INDEX(Main[ردیف],1))+1</f>
        <v>1309</v>
      </c>
      <c r="B1311" s="31">
        <f>SUBTOTAL(2,INDEX(Main[ردیف],1):Main[[#This Row],[ردیف]])</f>
        <v>118</v>
      </c>
      <c r="C1311" s="32" t="s">
        <v>641</v>
      </c>
      <c r="D1311" s="32" t="str">
        <f>_xlfn.CONCAT("14",Main[[#This Row],[تاريخ]])</f>
        <v>1400/05/18</v>
      </c>
      <c r="E1311" s="33">
        <v>44417</v>
      </c>
      <c r="F1311" s="32">
        <v>30004</v>
      </c>
      <c r="G1311" s="5" t="str">
        <f>INDEX(customer[عنوان],MATCH(Main[[#This Row],[کد ردیابی]],customer[کد],0))</f>
        <v>تولیدی صنعتی صفاشیر پارس</v>
      </c>
      <c r="H1311">
        <v>2024</v>
      </c>
      <c r="I1311" s="6">
        <f ca="1">-Main[[#This Row],[بدهی تسویه شده (کیلوگرم)]]+Main[[#This Row],[بستانکار (کیلوگرم)]]</f>
        <v>2024</v>
      </c>
      <c r="J1311" s="6">
        <f>IF(Main[[#This Row],[مقدار (کیلوگرم)]]&gt;0,Main[[#This Row],[مقدار (کیلوگرم)]],0)</f>
        <v>2024</v>
      </c>
      <c r="K1311" s="6">
        <f>-IF(Main[[#This Row],[مقدار (کیلوگرم)]]&lt;0,Main[[#This Row],[مقدار (کیلوگرم)]],0)</f>
        <v>0</v>
      </c>
      <c r="L13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1" s="7">
        <f>-IF(AND(Main[[#This Row],[مقدار (کیلوگرم)]]&lt;0,Main[[#This Row],[تاريخ میلادی]]&gt;44276),Main[[#This Row],[مقدار (کیلوگرم)]],0)</f>
        <v>0</v>
      </c>
      <c r="N1311" s="6">
        <f ca="1">Main[[#This Row],[بدهکار (کیلوگرم)]]-Main[[#This Row],[بدهی تسویه نشده (کیلوگرم)]]</f>
        <v>0</v>
      </c>
      <c r="O1311" s="6">
        <f ca="1">Main[[#This Row],[تفکیک]]</f>
        <v>0</v>
      </c>
      <c r="P1311" s="6">
        <f ca="1">IF(Main[[#This Row],[تاخیر از سررسید]]&gt;0,Main[[#This Row],[بدهی تسویه نشده (کیلوگرم)]],0)</f>
        <v>0</v>
      </c>
      <c r="Q1311" s="6">
        <f ca="1">IF(Main[[#This Row],[بدهی تسویه نشده (کیلوگرم)]]&gt;0,'گزارش فردی'!$B$7-Main[[#This Row],[تاريخ میلادی]],0)</f>
        <v>0</v>
      </c>
      <c r="R1311" s="6">
        <f ca="1">IF(Main[[#This Row],[بدهی تسویه نشده (کیلوگرم)]]&gt;0,'گزارش فردی'!$B$7-Main[[#This Row],[تاريخ میلادی]]-'گزارش فردی'!$B$8,0)</f>
        <v>0</v>
      </c>
      <c r="S1311" s="6">
        <f ca="1">Main[[#This Row],[روز از ارسال سفارش]]*Main[[#This Row],[بدهی تسویه نشده (کیلوگرم)]]</f>
        <v>0</v>
      </c>
      <c r="T1311" s="6">
        <f ca="1">Main[[#This Row],[بدهی سررسید شده (کیلوگرم)]]*Main[[#This Row],[روز از ارسال سفارش]]</f>
        <v>0</v>
      </c>
      <c r="U1311" s="6">
        <f>-SUBTOTAL(9,INDEX(Main[مقدار (کیلوگرم)],1):Main[[#This Row],[مقدار (کیلوگرم)]])</f>
        <v>42150</v>
      </c>
      <c r="V13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1" s="6">
        <f>Main[[#This Row],[تعداد کل روزهای بدهکار (روز)]]*Main[[#This Row],[مانده در خط کل (کیلوگرم)]]</f>
        <v>84300</v>
      </c>
      <c r="X1311" s="6">
        <f ca="1">-SUBTOTAL(9,INDEX(Main[مقدار تسویه شده (کیلوگرم)],1):Main[[#This Row],[مقدار تسویه شده (کیلوگرم)]])</f>
        <v>42150</v>
      </c>
      <c r="Y1311" s="6">
        <f ca="1">IF(Main[[#This Row],[مانده در خط تسویه شده (کیلوگرم)]]&lt;&gt;0,Main[[#This Row],[تعداد کل روزهای بدهکار (روز)]],0)</f>
        <v>2</v>
      </c>
      <c r="Z1311" s="6">
        <f ca="1">Main[[#This Row],[تعداد روزهای بدهکار تسویه شده (روز)]]*Main[[#This Row],[مانده در خط تسویه شده (کیلوگرم)]]</f>
        <v>84300</v>
      </c>
      <c r="AA1311" s="6">
        <f ca="1">SUBTOTAL(9,INDEX(Main[بدهی تسویه نشده (کیلوگرم)],1):Main[[#This Row],[بدهی تسویه نشده (کیلوگرم)]])</f>
        <v>0</v>
      </c>
      <c r="AB1311" s="6">
        <f ca="1">IF(Main[[#This Row],[مانده در خط تسویه نشده (کیلوگرم)]]&lt;&gt;0,Main[[#This Row],[تعداد کل روزهای بدهکار (روز)]],0)</f>
        <v>0</v>
      </c>
      <c r="AC1311" s="6">
        <f ca="1">Main[[#This Row],[تعداد روزهای بدهکار  تسویه نشده (روز)]]*Main[[#This Row],[مانده در خط تسویه نشده (کیلوگرم)]]</f>
        <v>0</v>
      </c>
      <c r="AD1311" s="6">
        <f ca="1">SUBTOTAL(9,INDEX(Main[بدهی سررسید شده (کیلوگرم)],1):Main[[#This Row],[بدهی سررسید شده (کیلوگرم)]])</f>
        <v>0</v>
      </c>
      <c r="AE1311" s="6">
        <f ca="1">IF(Main[[#This Row],[مانده در خط سررسید شده (کیلوگرم)]]&lt;&gt;0,Main[[#This Row],[تعداد کل روزهای بدهکار (روز)]],0)</f>
        <v>0</v>
      </c>
      <c r="AF1311" s="6">
        <f ca="1">Main[[#This Row],[تعداد روزهای بدهکار سررسید شده (روز)]]*Main[[#This Row],[مانده در خط سررسید شده (کیلوگرم)]]</f>
        <v>0</v>
      </c>
    </row>
    <row r="1312" spans="1:32" hidden="1" x14ac:dyDescent="0.35">
      <c r="A1312" s="5">
        <f>ROW()-ROW(INDEX(Main[ردیف],1))+1</f>
        <v>1310</v>
      </c>
      <c r="B1312" s="31">
        <f>SUBTOTAL(2,INDEX(Main[ردیف],1):Main[[#This Row],[ردیف]])</f>
        <v>118</v>
      </c>
      <c r="C1312" s="32" t="s">
        <v>641</v>
      </c>
      <c r="D1312" s="32" t="str">
        <f>_xlfn.CONCAT("14",Main[[#This Row],[تاريخ]])</f>
        <v>1400/05/18</v>
      </c>
      <c r="E1312" s="33">
        <v>44417</v>
      </c>
      <c r="F1312" s="32">
        <v>30081</v>
      </c>
      <c r="G1312" s="5" t="str">
        <f>INDEX(customer[عنوان],MATCH(Main[[#This Row],[کد ردیابی]],customer[کد],0))</f>
        <v xml:space="preserve">شیرآلات بهداشتی راسان </v>
      </c>
      <c r="H1312">
        <v>-3771</v>
      </c>
      <c r="I1312" s="6">
        <f ca="1">-Main[[#This Row],[بدهی تسویه شده (کیلوگرم)]]+Main[[#This Row],[بستانکار (کیلوگرم)]]</f>
        <v>-3771</v>
      </c>
      <c r="J1312" s="6">
        <f>IF(Main[[#This Row],[مقدار (کیلوگرم)]]&gt;0,Main[[#This Row],[مقدار (کیلوگرم)]],0)</f>
        <v>0</v>
      </c>
      <c r="K1312" s="6">
        <f>-IF(Main[[#This Row],[مقدار (کیلوگرم)]]&lt;0,Main[[#This Row],[مقدار (کیلوگرم)]],0)</f>
        <v>3771</v>
      </c>
      <c r="L13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2" s="7">
        <f>-IF(AND(Main[[#This Row],[مقدار (کیلوگرم)]]&lt;0,Main[[#This Row],[تاريخ میلادی]]&gt;44276),Main[[#This Row],[مقدار (کیلوگرم)]],0)</f>
        <v>3771</v>
      </c>
      <c r="N1312" s="6">
        <f ca="1">Main[[#This Row],[بدهکار (کیلوگرم)]]-Main[[#This Row],[بدهی تسویه نشده (کیلوگرم)]]</f>
        <v>3771</v>
      </c>
      <c r="O1312" s="6">
        <f ca="1">Main[[#This Row],[تفکیک]]</f>
        <v>0</v>
      </c>
      <c r="P1312" s="6">
        <f ca="1">IF(Main[[#This Row],[تاخیر از سررسید]]&gt;0,Main[[#This Row],[بدهی تسویه نشده (کیلوگرم)]],0)</f>
        <v>0</v>
      </c>
      <c r="Q1312" s="6">
        <f ca="1">IF(Main[[#This Row],[بدهی تسویه نشده (کیلوگرم)]]&gt;0,'گزارش فردی'!$B$7-Main[[#This Row],[تاريخ میلادی]],0)</f>
        <v>0</v>
      </c>
      <c r="R1312" s="6">
        <f ca="1">IF(Main[[#This Row],[بدهی تسویه نشده (کیلوگرم)]]&gt;0,'گزارش فردی'!$B$7-Main[[#This Row],[تاريخ میلادی]]-'گزارش فردی'!$B$8,0)</f>
        <v>0</v>
      </c>
      <c r="S1312" s="6">
        <f ca="1">Main[[#This Row],[روز از ارسال سفارش]]*Main[[#This Row],[بدهی تسویه نشده (کیلوگرم)]]</f>
        <v>0</v>
      </c>
      <c r="T1312" s="6">
        <f ca="1">Main[[#This Row],[بدهی سررسید شده (کیلوگرم)]]*Main[[#This Row],[روز از ارسال سفارش]]</f>
        <v>0</v>
      </c>
      <c r="U1312" s="6">
        <f>-SUBTOTAL(9,INDEX(Main[مقدار (کیلوگرم)],1):Main[[#This Row],[مقدار (کیلوگرم)]])</f>
        <v>42150</v>
      </c>
      <c r="V13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2" s="6">
        <f>Main[[#This Row],[تعداد کل روزهای بدهکار (روز)]]*Main[[#This Row],[مانده در خط کل (کیلوگرم)]]</f>
        <v>84300</v>
      </c>
      <c r="X1312" s="6">
        <f ca="1">-SUBTOTAL(9,INDEX(Main[مقدار تسویه شده (کیلوگرم)],1):Main[[#This Row],[مقدار تسویه شده (کیلوگرم)]])</f>
        <v>42150</v>
      </c>
      <c r="Y1312" s="6">
        <f ca="1">IF(Main[[#This Row],[مانده در خط تسویه شده (کیلوگرم)]]&lt;&gt;0,Main[[#This Row],[تعداد کل روزهای بدهکار (روز)]],0)</f>
        <v>2</v>
      </c>
      <c r="Z1312" s="6">
        <f ca="1">Main[[#This Row],[تعداد روزهای بدهکار تسویه شده (روز)]]*Main[[#This Row],[مانده در خط تسویه شده (کیلوگرم)]]</f>
        <v>84300</v>
      </c>
      <c r="AA1312" s="6">
        <f ca="1">SUBTOTAL(9,INDEX(Main[بدهی تسویه نشده (کیلوگرم)],1):Main[[#This Row],[بدهی تسویه نشده (کیلوگرم)]])</f>
        <v>0</v>
      </c>
      <c r="AB1312" s="6">
        <f ca="1">IF(Main[[#This Row],[مانده در خط تسویه نشده (کیلوگرم)]]&lt;&gt;0,Main[[#This Row],[تعداد کل روزهای بدهکار (روز)]],0)</f>
        <v>0</v>
      </c>
      <c r="AC1312" s="6">
        <f ca="1">Main[[#This Row],[تعداد روزهای بدهکار  تسویه نشده (روز)]]*Main[[#This Row],[مانده در خط تسویه نشده (کیلوگرم)]]</f>
        <v>0</v>
      </c>
      <c r="AD1312" s="6">
        <f ca="1">SUBTOTAL(9,INDEX(Main[بدهی سررسید شده (کیلوگرم)],1):Main[[#This Row],[بدهی سررسید شده (کیلوگرم)]])</f>
        <v>0</v>
      </c>
      <c r="AE1312" s="6">
        <f ca="1">IF(Main[[#This Row],[مانده در خط سررسید شده (کیلوگرم)]]&lt;&gt;0,Main[[#This Row],[تعداد کل روزهای بدهکار (روز)]],0)</f>
        <v>0</v>
      </c>
      <c r="AF1312" s="6">
        <f ca="1">Main[[#This Row],[تعداد روزهای بدهکار سررسید شده (روز)]]*Main[[#This Row],[مانده در خط سررسید شده (کیلوگرم)]]</f>
        <v>0</v>
      </c>
    </row>
    <row r="1313" spans="1:32" hidden="1" x14ac:dyDescent="0.35">
      <c r="A1313" s="5">
        <f>ROW()-ROW(INDEX(Main[ردیف],1))+1</f>
        <v>1311</v>
      </c>
      <c r="B1313" s="31">
        <f>SUBTOTAL(2,INDEX(Main[ردیف],1):Main[[#This Row],[ردیف]])</f>
        <v>118</v>
      </c>
      <c r="C1313" s="32" t="s">
        <v>641</v>
      </c>
      <c r="D1313" s="32" t="str">
        <f>_xlfn.CONCAT("14",Main[[#This Row],[تاريخ]])</f>
        <v>1400/05/18</v>
      </c>
      <c r="E1313" s="33">
        <v>44417</v>
      </c>
      <c r="F1313" s="32">
        <v>30146</v>
      </c>
      <c r="G1313" s="5" t="str">
        <f>INDEX(customer[عنوان],MATCH(Main[[#This Row],[کد ردیابی]],customer[کد],0))</f>
        <v>شرکت آذرپاد</v>
      </c>
      <c r="H1313">
        <v>2764</v>
      </c>
      <c r="I1313" s="6">
        <f ca="1">-Main[[#This Row],[بدهی تسویه شده (کیلوگرم)]]+Main[[#This Row],[بستانکار (کیلوگرم)]]</f>
        <v>2764</v>
      </c>
      <c r="J1313" s="6">
        <f>IF(Main[[#This Row],[مقدار (کیلوگرم)]]&gt;0,Main[[#This Row],[مقدار (کیلوگرم)]],0)</f>
        <v>2764</v>
      </c>
      <c r="K1313" s="6">
        <f>-IF(Main[[#This Row],[مقدار (کیلوگرم)]]&lt;0,Main[[#This Row],[مقدار (کیلوگرم)]],0)</f>
        <v>0</v>
      </c>
      <c r="L13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3" s="7">
        <f>-IF(AND(Main[[#This Row],[مقدار (کیلوگرم)]]&lt;0,Main[[#This Row],[تاريخ میلادی]]&gt;44276),Main[[#This Row],[مقدار (کیلوگرم)]],0)</f>
        <v>0</v>
      </c>
      <c r="N1313" s="6">
        <f ca="1">Main[[#This Row],[بدهکار (کیلوگرم)]]-Main[[#This Row],[بدهی تسویه نشده (کیلوگرم)]]</f>
        <v>0</v>
      </c>
      <c r="O1313" s="6">
        <f ca="1">Main[[#This Row],[تفکیک]]</f>
        <v>0</v>
      </c>
      <c r="P1313" s="6">
        <f ca="1">IF(Main[[#This Row],[تاخیر از سررسید]]&gt;0,Main[[#This Row],[بدهی تسویه نشده (کیلوگرم)]],0)</f>
        <v>0</v>
      </c>
      <c r="Q1313" s="6">
        <f ca="1">IF(Main[[#This Row],[بدهی تسویه نشده (کیلوگرم)]]&gt;0,'گزارش فردی'!$B$7-Main[[#This Row],[تاريخ میلادی]],0)</f>
        <v>0</v>
      </c>
      <c r="R1313" s="6">
        <f ca="1">IF(Main[[#This Row],[بدهی تسویه نشده (کیلوگرم)]]&gt;0,'گزارش فردی'!$B$7-Main[[#This Row],[تاريخ میلادی]]-'گزارش فردی'!$B$8,0)</f>
        <v>0</v>
      </c>
      <c r="S1313" s="6">
        <f ca="1">Main[[#This Row],[روز از ارسال سفارش]]*Main[[#This Row],[بدهی تسویه نشده (کیلوگرم)]]</f>
        <v>0</v>
      </c>
      <c r="T1313" s="6">
        <f ca="1">Main[[#This Row],[بدهی سررسید شده (کیلوگرم)]]*Main[[#This Row],[روز از ارسال سفارش]]</f>
        <v>0</v>
      </c>
      <c r="U1313" s="6">
        <f>-SUBTOTAL(9,INDEX(Main[مقدار (کیلوگرم)],1):Main[[#This Row],[مقدار (کیلوگرم)]])</f>
        <v>42150</v>
      </c>
      <c r="V13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3" s="6">
        <f>Main[[#This Row],[تعداد کل روزهای بدهکار (روز)]]*Main[[#This Row],[مانده در خط کل (کیلوگرم)]]</f>
        <v>84300</v>
      </c>
      <c r="X1313" s="6">
        <f ca="1">-SUBTOTAL(9,INDEX(Main[مقدار تسویه شده (کیلوگرم)],1):Main[[#This Row],[مقدار تسویه شده (کیلوگرم)]])</f>
        <v>42150</v>
      </c>
      <c r="Y1313" s="6">
        <f ca="1">IF(Main[[#This Row],[مانده در خط تسویه شده (کیلوگرم)]]&lt;&gt;0,Main[[#This Row],[تعداد کل روزهای بدهکار (روز)]],0)</f>
        <v>2</v>
      </c>
      <c r="Z1313" s="6">
        <f ca="1">Main[[#This Row],[تعداد روزهای بدهکار تسویه شده (روز)]]*Main[[#This Row],[مانده در خط تسویه شده (کیلوگرم)]]</f>
        <v>84300</v>
      </c>
      <c r="AA1313" s="6">
        <f ca="1">SUBTOTAL(9,INDEX(Main[بدهی تسویه نشده (کیلوگرم)],1):Main[[#This Row],[بدهی تسویه نشده (کیلوگرم)]])</f>
        <v>0</v>
      </c>
      <c r="AB1313" s="6">
        <f ca="1">IF(Main[[#This Row],[مانده در خط تسویه نشده (کیلوگرم)]]&lt;&gt;0,Main[[#This Row],[تعداد کل روزهای بدهکار (روز)]],0)</f>
        <v>0</v>
      </c>
      <c r="AC1313" s="6">
        <f ca="1">Main[[#This Row],[تعداد روزهای بدهکار  تسویه نشده (روز)]]*Main[[#This Row],[مانده در خط تسویه نشده (کیلوگرم)]]</f>
        <v>0</v>
      </c>
      <c r="AD1313" s="6">
        <f ca="1">SUBTOTAL(9,INDEX(Main[بدهی سررسید شده (کیلوگرم)],1):Main[[#This Row],[بدهی سررسید شده (کیلوگرم)]])</f>
        <v>0</v>
      </c>
      <c r="AE1313" s="6">
        <f ca="1">IF(Main[[#This Row],[مانده در خط سررسید شده (کیلوگرم)]]&lt;&gt;0,Main[[#This Row],[تعداد کل روزهای بدهکار (روز)]],0)</f>
        <v>0</v>
      </c>
      <c r="AF1313" s="6">
        <f ca="1">Main[[#This Row],[تعداد روزهای بدهکار سررسید شده (روز)]]*Main[[#This Row],[مانده در خط سررسید شده (کیلوگرم)]]</f>
        <v>0</v>
      </c>
    </row>
    <row r="1314" spans="1:32" hidden="1" x14ac:dyDescent="0.35">
      <c r="A1314" s="5">
        <f>ROW()-ROW(INDEX(Main[ردیف],1))+1</f>
        <v>1312</v>
      </c>
      <c r="B1314" s="31">
        <f>SUBTOTAL(2,INDEX(Main[ردیف],1):Main[[#This Row],[ردیف]])</f>
        <v>118</v>
      </c>
      <c r="C1314" s="32" t="s">
        <v>641</v>
      </c>
      <c r="D1314" s="32" t="str">
        <f>_xlfn.CONCAT("14",Main[[#This Row],[تاريخ]])</f>
        <v>1400/05/18</v>
      </c>
      <c r="E1314" s="33">
        <v>44417</v>
      </c>
      <c r="F1314" s="32">
        <v>30066</v>
      </c>
      <c r="G1314" s="5" t="str">
        <f>INDEX(customer[عنوان],MATCH(Main[[#This Row],[کد ردیابی]],customer[کد],0))</f>
        <v xml:space="preserve">شیر آلات بهداشتی قهرمان </v>
      </c>
      <c r="H1314">
        <v>-4428</v>
      </c>
      <c r="I1314" s="6">
        <f ca="1">-Main[[#This Row],[بدهی تسویه شده (کیلوگرم)]]+Main[[#This Row],[بستانکار (کیلوگرم)]]</f>
        <v>-4428</v>
      </c>
      <c r="J1314" s="6">
        <f>IF(Main[[#This Row],[مقدار (کیلوگرم)]]&gt;0,Main[[#This Row],[مقدار (کیلوگرم)]],0)</f>
        <v>0</v>
      </c>
      <c r="K1314" s="6">
        <f>-IF(Main[[#This Row],[مقدار (کیلوگرم)]]&lt;0,Main[[#This Row],[مقدار (کیلوگرم)]],0)</f>
        <v>4428</v>
      </c>
      <c r="L13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4" s="7">
        <f>-IF(AND(Main[[#This Row],[مقدار (کیلوگرم)]]&lt;0,Main[[#This Row],[تاريخ میلادی]]&gt;44276),Main[[#This Row],[مقدار (کیلوگرم)]],0)</f>
        <v>4428</v>
      </c>
      <c r="N1314" s="6">
        <f ca="1">Main[[#This Row],[بدهکار (کیلوگرم)]]-Main[[#This Row],[بدهی تسویه نشده (کیلوگرم)]]</f>
        <v>4428</v>
      </c>
      <c r="O1314" s="6">
        <f ca="1">Main[[#This Row],[تفکیک]]</f>
        <v>0</v>
      </c>
      <c r="P1314" s="6">
        <f ca="1">IF(Main[[#This Row],[تاخیر از سررسید]]&gt;0,Main[[#This Row],[بدهی تسویه نشده (کیلوگرم)]],0)</f>
        <v>0</v>
      </c>
      <c r="Q1314" s="6">
        <f ca="1">IF(Main[[#This Row],[بدهی تسویه نشده (کیلوگرم)]]&gt;0,'گزارش فردی'!$B$7-Main[[#This Row],[تاريخ میلادی]],0)</f>
        <v>0</v>
      </c>
      <c r="R1314" s="6">
        <f ca="1">IF(Main[[#This Row],[بدهی تسویه نشده (کیلوگرم)]]&gt;0,'گزارش فردی'!$B$7-Main[[#This Row],[تاريخ میلادی]]-'گزارش فردی'!$B$8,0)</f>
        <v>0</v>
      </c>
      <c r="S1314" s="6">
        <f ca="1">Main[[#This Row],[روز از ارسال سفارش]]*Main[[#This Row],[بدهی تسویه نشده (کیلوگرم)]]</f>
        <v>0</v>
      </c>
      <c r="T1314" s="6">
        <f ca="1">Main[[#This Row],[بدهی سررسید شده (کیلوگرم)]]*Main[[#This Row],[روز از ارسال سفارش]]</f>
        <v>0</v>
      </c>
      <c r="U1314" s="6">
        <f>-SUBTOTAL(9,INDEX(Main[مقدار (کیلوگرم)],1):Main[[#This Row],[مقدار (کیلوگرم)]])</f>
        <v>42150</v>
      </c>
      <c r="V13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4" s="6">
        <f>Main[[#This Row],[تعداد کل روزهای بدهکار (روز)]]*Main[[#This Row],[مانده در خط کل (کیلوگرم)]]</f>
        <v>84300</v>
      </c>
      <c r="X1314" s="6">
        <f ca="1">-SUBTOTAL(9,INDEX(Main[مقدار تسویه شده (کیلوگرم)],1):Main[[#This Row],[مقدار تسویه شده (کیلوگرم)]])</f>
        <v>42150</v>
      </c>
      <c r="Y1314" s="6">
        <f ca="1">IF(Main[[#This Row],[مانده در خط تسویه شده (کیلوگرم)]]&lt;&gt;0,Main[[#This Row],[تعداد کل روزهای بدهکار (روز)]],0)</f>
        <v>2</v>
      </c>
      <c r="Z1314" s="6">
        <f ca="1">Main[[#This Row],[تعداد روزهای بدهکار تسویه شده (روز)]]*Main[[#This Row],[مانده در خط تسویه شده (کیلوگرم)]]</f>
        <v>84300</v>
      </c>
      <c r="AA1314" s="6">
        <f ca="1">SUBTOTAL(9,INDEX(Main[بدهی تسویه نشده (کیلوگرم)],1):Main[[#This Row],[بدهی تسویه نشده (کیلوگرم)]])</f>
        <v>0</v>
      </c>
      <c r="AB1314" s="6">
        <f ca="1">IF(Main[[#This Row],[مانده در خط تسویه نشده (کیلوگرم)]]&lt;&gt;0,Main[[#This Row],[تعداد کل روزهای بدهکار (روز)]],0)</f>
        <v>0</v>
      </c>
      <c r="AC1314" s="6">
        <f ca="1">Main[[#This Row],[تعداد روزهای بدهکار  تسویه نشده (روز)]]*Main[[#This Row],[مانده در خط تسویه نشده (کیلوگرم)]]</f>
        <v>0</v>
      </c>
      <c r="AD1314" s="6">
        <f ca="1">SUBTOTAL(9,INDEX(Main[بدهی سررسید شده (کیلوگرم)],1):Main[[#This Row],[بدهی سررسید شده (کیلوگرم)]])</f>
        <v>0</v>
      </c>
      <c r="AE1314" s="6">
        <f ca="1">IF(Main[[#This Row],[مانده در خط سررسید شده (کیلوگرم)]]&lt;&gt;0,Main[[#This Row],[تعداد کل روزهای بدهکار (روز)]],0)</f>
        <v>0</v>
      </c>
      <c r="AF1314" s="6">
        <f ca="1">Main[[#This Row],[تعداد روزهای بدهکار سررسید شده (روز)]]*Main[[#This Row],[مانده در خط سررسید شده (کیلوگرم)]]</f>
        <v>0</v>
      </c>
    </row>
    <row r="1315" spans="1:32" hidden="1" x14ac:dyDescent="0.35">
      <c r="A1315" s="5">
        <f>ROW()-ROW(INDEX(Main[ردیف],1))+1</f>
        <v>1313</v>
      </c>
      <c r="B1315" s="31">
        <f>SUBTOTAL(2,INDEX(Main[ردیف],1):Main[[#This Row],[ردیف]])</f>
        <v>118</v>
      </c>
      <c r="C1315" s="32" t="s">
        <v>641</v>
      </c>
      <c r="D1315" s="32" t="str">
        <f>_xlfn.CONCAT("14",Main[[#This Row],[تاريخ]])</f>
        <v>1400/05/18</v>
      </c>
      <c r="E1315" s="33">
        <v>44417</v>
      </c>
      <c r="F1315" s="32">
        <v>30066</v>
      </c>
      <c r="G1315" s="5" t="str">
        <f>INDEX(customer[عنوان],MATCH(Main[[#This Row],[کد ردیابی]],customer[کد],0))</f>
        <v xml:space="preserve">شیر آلات بهداشتی قهرمان </v>
      </c>
      <c r="H1315">
        <v>3122</v>
      </c>
      <c r="I1315" s="6">
        <f ca="1">-Main[[#This Row],[بدهی تسویه شده (کیلوگرم)]]+Main[[#This Row],[بستانکار (کیلوگرم)]]</f>
        <v>3122</v>
      </c>
      <c r="J1315" s="6">
        <f>IF(Main[[#This Row],[مقدار (کیلوگرم)]]&gt;0,Main[[#This Row],[مقدار (کیلوگرم)]],0)</f>
        <v>3122</v>
      </c>
      <c r="K1315" s="6">
        <f>-IF(Main[[#This Row],[مقدار (کیلوگرم)]]&lt;0,Main[[#This Row],[مقدار (کیلوگرم)]],0)</f>
        <v>0</v>
      </c>
      <c r="L13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5" s="7">
        <f>-IF(AND(Main[[#This Row],[مقدار (کیلوگرم)]]&lt;0,Main[[#This Row],[تاريخ میلادی]]&gt;44276),Main[[#This Row],[مقدار (کیلوگرم)]],0)</f>
        <v>0</v>
      </c>
      <c r="N1315" s="6">
        <f ca="1">Main[[#This Row],[بدهکار (کیلوگرم)]]-Main[[#This Row],[بدهی تسویه نشده (کیلوگرم)]]</f>
        <v>0</v>
      </c>
      <c r="O1315" s="6">
        <f ca="1">Main[[#This Row],[تفکیک]]</f>
        <v>0</v>
      </c>
      <c r="P1315" s="6">
        <f ca="1">IF(Main[[#This Row],[تاخیر از سررسید]]&gt;0,Main[[#This Row],[بدهی تسویه نشده (کیلوگرم)]],0)</f>
        <v>0</v>
      </c>
      <c r="Q1315" s="6">
        <f ca="1">IF(Main[[#This Row],[بدهی تسویه نشده (کیلوگرم)]]&gt;0,'گزارش فردی'!$B$7-Main[[#This Row],[تاريخ میلادی]],0)</f>
        <v>0</v>
      </c>
      <c r="R1315" s="6">
        <f ca="1">IF(Main[[#This Row],[بدهی تسویه نشده (کیلوگرم)]]&gt;0,'گزارش فردی'!$B$7-Main[[#This Row],[تاريخ میلادی]]-'گزارش فردی'!$B$8,0)</f>
        <v>0</v>
      </c>
      <c r="S1315" s="6">
        <f ca="1">Main[[#This Row],[روز از ارسال سفارش]]*Main[[#This Row],[بدهی تسویه نشده (کیلوگرم)]]</f>
        <v>0</v>
      </c>
      <c r="T1315" s="6">
        <f ca="1">Main[[#This Row],[بدهی سررسید شده (کیلوگرم)]]*Main[[#This Row],[روز از ارسال سفارش]]</f>
        <v>0</v>
      </c>
      <c r="U1315" s="6">
        <f>-SUBTOTAL(9,INDEX(Main[مقدار (کیلوگرم)],1):Main[[#This Row],[مقدار (کیلوگرم)]])</f>
        <v>42150</v>
      </c>
      <c r="V13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5" s="6">
        <f>Main[[#This Row],[تعداد کل روزهای بدهکار (روز)]]*Main[[#This Row],[مانده در خط کل (کیلوگرم)]]</f>
        <v>84300</v>
      </c>
      <c r="X1315" s="6">
        <f ca="1">-SUBTOTAL(9,INDEX(Main[مقدار تسویه شده (کیلوگرم)],1):Main[[#This Row],[مقدار تسویه شده (کیلوگرم)]])</f>
        <v>42150</v>
      </c>
      <c r="Y1315" s="6">
        <f ca="1">IF(Main[[#This Row],[مانده در خط تسویه شده (کیلوگرم)]]&lt;&gt;0,Main[[#This Row],[تعداد کل روزهای بدهکار (روز)]],0)</f>
        <v>2</v>
      </c>
      <c r="Z1315" s="6">
        <f ca="1">Main[[#This Row],[تعداد روزهای بدهکار تسویه شده (روز)]]*Main[[#This Row],[مانده در خط تسویه شده (کیلوگرم)]]</f>
        <v>84300</v>
      </c>
      <c r="AA1315" s="6">
        <f ca="1">SUBTOTAL(9,INDEX(Main[بدهی تسویه نشده (کیلوگرم)],1):Main[[#This Row],[بدهی تسویه نشده (کیلوگرم)]])</f>
        <v>0</v>
      </c>
      <c r="AB1315" s="6">
        <f ca="1">IF(Main[[#This Row],[مانده در خط تسویه نشده (کیلوگرم)]]&lt;&gt;0,Main[[#This Row],[تعداد کل روزهای بدهکار (روز)]],0)</f>
        <v>0</v>
      </c>
      <c r="AC1315" s="6">
        <f ca="1">Main[[#This Row],[تعداد روزهای بدهکار  تسویه نشده (روز)]]*Main[[#This Row],[مانده در خط تسویه نشده (کیلوگرم)]]</f>
        <v>0</v>
      </c>
      <c r="AD1315" s="6">
        <f ca="1">SUBTOTAL(9,INDEX(Main[بدهی سررسید شده (کیلوگرم)],1):Main[[#This Row],[بدهی سررسید شده (کیلوگرم)]])</f>
        <v>0</v>
      </c>
      <c r="AE1315" s="6">
        <f ca="1">IF(Main[[#This Row],[مانده در خط سررسید شده (کیلوگرم)]]&lt;&gt;0,Main[[#This Row],[تعداد کل روزهای بدهکار (روز)]],0)</f>
        <v>0</v>
      </c>
      <c r="AF1315" s="6">
        <f ca="1">Main[[#This Row],[تعداد روزهای بدهکار سررسید شده (روز)]]*Main[[#This Row],[مانده در خط سررسید شده (کیلوگرم)]]</f>
        <v>0</v>
      </c>
    </row>
    <row r="1316" spans="1:32" hidden="1" x14ac:dyDescent="0.35">
      <c r="A1316" s="5">
        <f>ROW()-ROW(INDEX(Main[ردیف],1))+1</f>
        <v>1314</v>
      </c>
      <c r="B1316" s="31">
        <f>SUBTOTAL(2,INDEX(Main[ردیف],1):Main[[#This Row],[ردیف]])</f>
        <v>118</v>
      </c>
      <c r="C1316" s="32" t="s">
        <v>641</v>
      </c>
      <c r="D1316" s="32" t="str">
        <f>_xlfn.CONCAT("14",Main[[#This Row],[تاريخ]])</f>
        <v>1400/05/18</v>
      </c>
      <c r="E1316" s="33">
        <v>44417</v>
      </c>
      <c r="F1316" s="32">
        <v>10026</v>
      </c>
      <c r="G1316" s="5" t="str">
        <f>INDEX(customer[عنوان],MATCH(Main[[#This Row],[کد ردیابی]],customer[کد],0))</f>
        <v xml:space="preserve">محسن فیاض بخش </v>
      </c>
      <c r="H1316">
        <v>-4018</v>
      </c>
      <c r="I1316" s="6">
        <f ca="1">-Main[[#This Row],[بدهی تسویه شده (کیلوگرم)]]+Main[[#This Row],[بستانکار (کیلوگرم)]]</f>
        <v>-4018</v>
      </c>
      <c r="J1316" s="6">
        <f>IF(Main[[#This Row],[مقدار (کیلوگرم)]]&gt;0,Main[[#This Row],[مقدار (کیلوگرم)]],0)</f>
        <v>0</v>
      </c>
      <c r="K1316" s="6">
        <f>-IF(Main[[#This Row],[مقدار (کیلوگرم)]]&lt;0,Main[[#This Row],[مقدار (کیلوگرم)]],0)</f>
        <v>4018</v>
      </c>
      <c r="L13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6" s="7">
        <f>-IF(AND(Main[[#This Row],[مقدار (کیلوگرم)]]&lt;0,Main[[#This Row],[تاريخ میلادی]]&gt;44276),Main[[#This Row],[مقدار (کیلوگرم)]],0)</f>
        <v>4018</v>
      </c>
      <c r="N1316" s="6">
        <f ca="1">Main[[#This Row],[بدهکار (کیلوگرم)]]-Main[[#This Row],[بدهی تسویه نشده (کیلوگرم)]]</f>
        <v>4018</v>
      </c>
      <c r="O1316" s="6">
        <f ca="1">Main[[#This Row],[تفکیک]]</f>
        <v>0</v>
      </c>
      <c r="P1316" s="6">
        <f ca="1">IF(Main[[#This Row],[تاخیر از سررسید]]&gt;0,Main[[#This Row],[بدهی تسویه نشده (کیلوگرم)]],0)</f>
        <v>0</v>
      </c>
      <c r="Q1316" s="6">
        <f ca="1">IF(Main[[#This Row],[بدهی تسویه نشده (کیلوگرم)]]&gt;0,'گزارش فردی'!$B$7-Main[[#This Row],[تاريخ میلادی]],0)</f>
        <v>0</v>
      </c>
      <c r="R1316" s="6">
        <f ca="1">IF(Main[[#This Row],[بدهی تسویه نشده (کیلوگرم)]]&gt;0,'گزارش فردی'!$B$7-Main[[#This Row],[تاريخ میلادی]]-'گزارش فردی'!$B$8,0)</f>
        <v>0</v>
      </c>
      <c r="S1316" s="6">
        <f ca="1">Main[[#This Row],[روز از ارسال سفارش]]*Main[[#This Row],[بدهی تسویه نشده (کیلوگرم)]]</f>
        <v>0</v>
      </c>
      <c r="T1316" s="6">
        <f ca="1">Main[[#This Row],[بدهی سررسید شده (کیلوگرم)]]*Main[[#This Row],[روز از ارسال سفارش]]</f>
        <v>0</v>
      </c>
      <c r="U1316" s="6">
        <f>-SUBTOTAL(9,INDEX(Main[مقدار (کیلوگرم)],1):Main[[#This Row],[مقدار (کیلوگرم)]])</f>
        <v>42150</v>
      </c>
      <c r="V13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6" s="6">
        <f>Main[[#This Row],[تعداد کل روزهای بدهکار (روز)]]*Main[[#This Row],[مانده در خط کل (کیلوگرم)]]</f>
        <v>84300</v>
      </c>
      <c r="X1316" s="6">
        <f ca="1">-SUBTOTAL(9,INDEX(Main[مقدار تسویه شده (کیلوگرم)],1):Main[[#This Row],[مقدار تسویه شده (کیلوگرم)]])</f>
        <v>42150</v>
      </c>
      <c r="Y1316" s="6">
        <f ca="1">IF(Main[[#This Row],[مانده در خط تسویه شده (کیلوگرم)]]&lt;&gt;0,Main[[#This Row],[تعداد کل روزهای بدهکار (روز)]],0)</f>
        <v>2</v>
      </c>
      <c r="Z1316" s="6">
        <f ca="1">Main[[#This Row],[تعداد روزهای بدهکار تسویه شده (روز)]]*Main[[#This Row],[مانده در خط تسویه شده (کیلوگرم)]]</f>
        <v>84300</v>
      </c>
      <c r="AA1316" s="6">
        <f ca="1">SUBTOTAL(9,INDEX(Main[بدهی تسویه نشده (کیلوگرم)],1):Main[[#This Row],[بدهی تسویه نشده (کیلوگرم)]])</f>
        <v>0</v>
      </c>
      <c r="AB1316" s="6">
        <f ca="1">IF(Main[[#This Row],[مانده در خط تسویه نشده (کیلوگرم)]]&lt;&gt;0,Main[[#This Row],[تعداد کل روزهای بدهکار (روز)]],0)</f>
        <v>0</v>
      </c>
      <c r="AC1316" s="6">
        <f ca="1">Main[[#This Row],[تعداد روزهای بدهکار  تسویه نشده (روز)]]*Main[[#This Row],[مانده در خط تسویه نشده (کیلوگرم)]]</f>
        <v>0</v>
      </c>
      <c r="AD1316" s="6">
        <f ca="1">SUBTOTAL(9,INDEX(Main[بدهی سررسید شده (کیلوگرم)],1):Main[[#This Row],[بدهی سررسید شده (کیلوگرم)]])</f>
        <v>0</v>
      </c>
      <c r="AE1316" s="6">
        <f ca="1">IF(Main[[#This Row],[مانده در خط سررسید شده (کیلوگرم)]]&lt;&gt;0,Main[[#This Row],[تعداد کل روزهای بدهکار (روز)]],0)</f>
        <v>0</v>
      </c>
      <c r="AF1316" s="6">
        <f ca="1">Main[[#This Row],[تعداد روزهای بدهکار سررسید شده (روز)]]*Main[[#This Row],[مانده در خط سررسید شده (کیلوگرم)]]</f>
        <v>0</v>
      </c>
    </row>
    <row r="1317" spans="1:32" hidden="1" x14ac:dyDescent="0.35">
      <c r="A1317" s="5">
        <f>ROW()-ROW(INDEX(Main[ردیف],1))+1</f>
        <v>1315</v>
      </c>
      <c r="B1317" s="31">
        <f>SUBTOTAL(2,INDEX(Main[ردیف],1):Main[[#This Row],[ردیف]])</f>
        <v>118</v>
      </c>
      <c r="C1317" s="32" t="s">
        <v>641</v>
      </c>
      <c r="D1317" s="32" t="str">
        <f>_xlfn.CONCAT("14",Main[[#This Row],[تاريخ]])</f>
        <v>1400/05/18</v>
      </c>
      <c r="E1317" s="33">
        <v>44417</v>
      </c>
      <c r="F1317" s="32">
        <v>10055</v>
      </c>
      <c r="G1317" s="5" t="str">
        <f>INDEX(customer[عنوان],MATCH(Main[[#This Row],[کد ردیابی]],customer[کد],0))</f>
        <v xml:space="preserve">مریم فیض آبادی  </v>
      </c>
      <c r="H1317">
        <v>4519</v>
      </c>
      <c r="I1317" s="6">
        <f ca="1">-Main[[#This Row],[بدهی تسویه شده (کیلوگرم)]]+Main[[#This Row],[بستانکار (کیلوگرم)]]</f>
        <v>4519</v>
      </c>
      <c r="J1317" s="6">
        <f>IF(Main[[#This Row],[مقدار (کیلوگرم)]]&gt;0,Main[[#This Row],[مقدار (کیلوگرم)]],0)</f>
        <v>4519</v>
      </c>
      <c r="K1317" s="6">
        <f>-IF(Main[[#This Row],[مقدار (کیلوگرم)]]&lt;0,Main[[#This Row],[مقدار (کیلوگرم)]],0)</f>
        <v>0</v>
      </c>
      <c r="L13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7" s="7">
        <f>-IF(AND(Main[[#This Row],[مقدار (کیلوگرم)]]&lt;0,Main[[#This Row],[تاريخ میلادی]]&gt;44276),Main[[#This Row],[مقدار (کیلوگرم)]],0)</f>
        <v>0</v>
      </c>
      <c r="N1317" s="6">
        <f ca="1">Main[[#This Row],[بدهکار (کیلوگرم)]]-Main[[#This Row],[بدهی تسویه نشده (کیلوگرم)]]</f>
        <v>0</v>
      </c>
      <c r="O1317" s="6">
        <f ca="1">Main[[#This Row],[تفکیک]]</f>
        <v>0</v>
      </c>
      <c r="P1317" s="6">
        <f ca="1">IF(Main[[#This Row],[تاخیر از سررسید]]&gt;0,Main[[#This Row],[بدهی تسویه نشده (کیلوگرم)]],0)</f>
        <v>0</v>
      </c>
      <c r="Q1317" s="6">
        <f ca="1">IF(Main[[#This Row],[بدهی تسویه نشده (کیلوگرم)]]&gt;0,'گزارش فردی'!$B$7-Main[[#This Row],[تاريخ میلادی]],0)</f>
        <v>0</v>
      </c>
      <c r="R1317" s="6">
        <f ca="1">IF(Main[[#This Row],[بدهی تسویه نشده (کیلوگرم)]]&gt;0,'گزارش فردی'!$B$7-Main[[#This Row],[تاريخ میلادی]]-'گزارش فردی'!$B$8,0)</f>
        <v>0</v>
      </c>
      <c r="S1317" s="6">
        <f ca="1">Main[[#This Row],[روز از ارسال سفارش]]*Main[[#This Row],[بدهی تسویه نشده (کیلوگرم)]]</f>
        <v>0</v>
      </c>
      <c r="T1317" s="6">
        <f ca="1">Main[[#This Row],[بدهی سررسید شده (کیلوگرم)]]*Main[[#This Row],[روز از ارسال سفارش]]</f>
        <v>0</v>
      </c>
      <c r="U1317" s="6">
        <f>-SUBTOTAL(9,INDEX(Main[مقدار (کیلوگرم)],1):Main[[#This Row],[مقدار (کیلوگرم)]])</f>
        <v>42150</v>
      </c>
      <c r="V13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7" s="6">
        <f>Main[[#This Row],[تعداد کل روزهای بدهکار (روز)]]*Main[[#This Row],[مانده در خط کل (کیلوگرم)]]</f>
        <v>84300</v>
      </c>
      <c r="X1317" s="6">
        <f ca="1">-SUBTOTAL(9,INDEX(Main[مقدار تسویه شده (کیلوگرم)],1):Main[[#This Row],[مقدار تسویه شده (کیلوگرم)]])</f>
        <v>42150</v>
      </c>
      <c r="Y1317" s="6">
        <f ca="1">IF(Main[[#This Row],[مانده در خط تسویه شده (کیلوگرم)]]&lt;&gt;0,Main[[#This Row],[تعداد کل روزهای بدهکار (روز)]],0)</f>
        <v>2</v>
      </c>
      <c r="Z1317" s="6">
        <f ca="1">Main[[#This Row],[تعداد روزهای بدهکار تسویه شده (روز)]]*Main[[#This Row],[مانده در خط تسویه شده (کیلوگرم)]]</f>
        <v>84300</v>
      </c>
      <c r="AA1317" s="6">
        <f ca="1">SUBTOTAL(9,INDEX(Main[بدهی تسویه نشده (کیلوگرم)],1):Main[[#This Row],[بدهی تسویه نشده (کیلوگرم)]])</f>
        <v>0</v>
      </c>
      <c r="AB1317" s="6">
        <f ca="1">IF(Main[[#This Row],[مانده در خط تسویه نشده (کیلوگرم)]]&lt;&gt;0,Main[[#This Row],[تعداد کل روزهای بدهکار (روز)]],0)</f>
        <v>0</v>
      </c>
      <c r="AC1317" s="6">
        <f ca="1">Main[[#This Row],[تعداد روزهای بدهکار  تسویه نشده (روز)]]*Main[[#This Row],[مانده در خط تسویه نشده (کیلوگرم)]]</f>
        <v>0</v>
      </c>
      <c r="AD1317" s="6">
        <f ca="1">SUBTOTAL(9,INDEX(Main[بدهی سررسید شده (کیلوگرم)],1):Main[[#This Row],[بدهی سررسید شده (کیلوگرم)]])</f>
        <v>0</v>
      </c>
      <c r="AE1317" s="6">
        <f ca="1">IF(Main[[#This Row],[مانده در خط سررسید شده (کیلوگرم)]]&lt;&gt;0,Main[[#This Row],[تعداد کل روزهای بدهکار (روز)]],0)</f>
        <v>0</v>
      </c>
      <c r="AF1317" s="6">
        <f ca="1">Main[[#This Row],[تعداد روزهای بدهکار سررسید شده (روز)]]*Main[[#This Row],[مانده در خط سررسید شده (کیلوگرم)]]</f>
        <v>0</v>
      </c>
    </row>
    <row r="1318" spans="1:32" hidden="1" x14ac:dyDescent="0.35">
      <c r="A1318" s="5">
        <f>ROW()-ROW(INDEX(Main[ردیف],1))+1</f>
        <v>1316</v>
      </c>
      <c r="B1318" s="31">
        <f>SUBTOTAL(2,INDEX(Main[ردیف],1):Main[[#This Row],[ردیف]])</f>
        <v>118</v>
      </c>
      <c r="C1318" s="32" t="s">
        <v>641</v>
      </c>
      <c r="D1318" s="32" t="str">
        <f>_xlfn.CONCAT("14",Main[[#This Row],[تاريخ]])</f>
        <v>1400/05/18</v>
      </c>
      <c r="E1318" s="33">
        <v>44417</v>
      </c>
      <c r="F1318" s="32">
        <v>30022</v>
      </c>
      <c r="G1318" s="5" t="str">
        <f>INDEX(customer[عنوان],MATCH(Main[[#This Row],[کد ردیابی]],customer[کد],0))</f>
        <v xml:space="preserve">کلار پویا </v>
      </c>
      <c r="H1318">
        <v>-5253</v>
      </c>
      <c r="I1318" s="6">
        <f ca="1">-Main[[#This Row],[بدهی تسویه شده (کیلوگرم)]]+Main[[#This Row],[بستانکار (کیلوگرم)]]</f>
        <v>-5253</v>
      </c>
      <c r="J1318" s="6">
        <f>IF(Main[[#This Row],[مقدار (کیلوگرم)]]&gt;0,Main[[#This Row],[مقدار (کیلوگرم)]],0)</f>
        <v>0</v>
      </c>
      <c r="K1318" s="6">
        <f>-IF(Main[[#This Row],[مقدار (کیلوگرم)]]&lt;0,Main[[#This Row],[مقدار (کیلوگرم)]],0)</f>
        <v>5253</v>
      </c>
      <c r="L13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8" s="7">
        <f>-IF(AND(Main[[#This Row],[مقدار (کیلوگرم)]]&lt;0,Main[[#This Row],[تاريخ میلادی]]&gt;44276),Main[[#This Row],[مقدار (کیلوگرم)]],0)</f>
        <v>5253</v>
      </c>
      <c r="N1318" s="6">
        <f ca="1">Main[[#This Row],[بدهکار (کیلوگرم)]]-Main[[#This Row],[بدهی تسویه نشده (کیلوگرم)]]</f>
        <v>5253</v>
      </c>
      <c r="O1318" s="6">
        <f ca="1">Main[[#This Row],[تفکیک]]</f>
        <v>0</v>
      </c>
      <c r="P1318" s="6">
        <f ca="1">IF(Main[[#This Row],[تاخیر از سررسید]]&gt;0,Main[[#This Row],[بدهی تسویه نشده (کیلوگرم)]],0)</f>
        <v>0</v>
      </c>
      <c r="Q1318" s="6">
        <f ca="1">IF(Main[[#This Row],[بدهی تسویه نشده (کیلوگرم)]]&gt;0,'گزارش فردی'!$B$7-Main[[#This Row],[تاريخ میلادی]],0)</f>
        <v>0</v>
      </c>
      <c r="R1318" s="6">
        <f ca="1">IF(Main[[#This Row],[بدهی تسویه نشده (کیلوگرم)]]&gt;0,'گزارش فردی'!$B$7-Main[[#This Row],[تاريخ میلادی]]-'گزارش فردی'!$B$8,0)</f>
        <v>0</v>
      </c>
      <c r="S1318" s="6">
        <f ca="1">Main[[#This Row],[روز از ارسال سفارش]]*Main[[#This Row],[بدهی تسویه نشده (کیلوگرم)]]</f>
        <v>0</v>
      </c>
      <c r="T1318" s="6">
        <f ca="1">Main[[#This Row],[بدهی سررسید شده (کیلوگرم)]]*Main[[#This Row],[روز از ارسال سفارش]]</f>
        <v>0</v>
      </c>
      <c r="U1318" s="6">
        <f>-SUBTOTAL(9,INDEX(Main[مقدار (کیلوگرم)],1):Main[[#This Row],[مقدار (کیلوگرم)]])</f>
        <v>42150</v>
      </c>
      <c r="V131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8" s="6">
        <f>Main[[#This Row],[تعداد کل روزهای بدهکار (روز)]]*Main[[#This Row],[مانده در خط کل (کیلوگرم)]]</f>
        <v>84300</v>
      </c>
      <c r="X1318" s="6">
        <f ca="1">-SUBTOTAL(9,INDEX(Main[مقدار تسویه شده (کیلوگرم)],1):Main[[#This Row],[مقدار تسویه شده (کیلوگرم)]])</f>
        <v>42150</v>
      </c>
      <c r="Y1318" s="6">
        <f ca="1">IF(Main[[#This Row],[مانده در خط تسویه شده (کیلوگرم)]]&lt;&gt;0,Main[[#This Row],[تعداد کل روزهای بدهکار (روز)]],0)</f>
        <v>2</v>
      </c>
      <c r="Z1318" s="6">
        <f ca="1">Main[[#This Row],[تعداد روزهای بدهکار تسویه شده (روز)]]*Main[[#This Row],[مانده در خط تسویه شده (کیلوگرم)]]</f>
        <v>84300</v>
      </c>
      <c r="AA1318" s="6">
        <f ca="1">SUBTOTAL(9,INDEX(Main[بدهی تسویه نشده (کیلوگرم)],1):Main[[#This Row],[بدهی تسویه نشده (کیلوگرم)]])</f>
        <v>0</v>
      </c>
      <c r="AB1318" s="6">
        <f ca="1">IF(Main[[#This Row],[مانده در خط تسویه نشده (کیلوگرم)]]&lt;&gt;0,Main[[#This Row],[تعداد کل روزهای بدهکار (روز)]],0)</f>
        <v>0</v>
      </c>
      <c r="AC1318" s="6">
        <f ca="1">Main[[#This Row],[تعداد روزهای بدهکار  تسویه نشده (روز)]]*Main[[#This Row],[مانده در خط تسویه نشده (کیلوگرم)]]</f>
        <v>0</v>
      </c>
      <c r="AD1318" s="6">
        <f ca="1">SUBTOTAL(9,INDEX(Main[بدهی سررسید شده (کیلوگرم)],1):Main[[#This Row],[بدهی سررسید شده (کیلوگرم)]])</f>
        <v>0</v>
      </c>
      <c r="AE1318" s="6">
        <f ca="1">IF(Main[[#This Row],[مانده در خط سررسید شده (کیلوگرم)]]&lt;&gt;0,Main[[#This Row],[تعداد کل روزهای بدهکار (روز)]],0)</f>
        <v>0</v>
      </c>
      <c r="AF1318" s="6">
        <f ca="1">Main[[#This Row],[تعداد روزهای بدهکار سررسید شده (روز)]]*Main[[#This Row],[مانده در خط سررسید شده (کیلوگرم)]]</f>
        <v>0</v>
      </c>
    </row>
    <row r="1319" spans="1:32" hidden="1" x14ac:dyDescent="0.35">
      <c r="A1319" s="5">
        <f>ROW()-ROW(INDEX(Main[ردیف],1))+1</f>
        <v>1317</v>
      </c>
      <c r="B1319" s="31">
        <f>SUBTOTAL(2,INDEX(Main[ردیف],1):Main[[#This Row],[ردیف]])</f>
        <v>118</v>
      </c>
      <c r="C1319" s="32" t="s">
        <v>641</v>
      </c>
      <c r="D1319" s="32" t="str">
        <f>_xlfn.CONCAT("14",Main[[#This Row],[تاريخ]])</f>
        <v>1400/05/18</v>
      </c>
      <c r="E1319" s="33">
        <v>44417</v>
      </c>
      <c r="F1319" s="32">
        <v>30131</v>
      </c>
      <c r="G1319" s="5" t="str">
        <f>INDEX(customer[عنوان],MATCH(Main[[#This Row],[کد ردیابی]],customer[کد],0))</f>
        <v>ادهم مس تبریز</v>
      </c>
      <c r="H1319">
        <v>214</v>
      </c>
      <c r="I1319" s="6">
        <f ca="1">-Main[[#This Row],[بدهی تسویه شده (کیلوگرم)]]+Main[[#This Row],[بستانکار (کیلوگرم)]]</f>
        <v>214</v>
      </c>
      <c r="J1319" s="6">
        <f>IF(Main[[#This Row],[مقدار (کیلوگرم)]]&gt;0,Main[[#This Row],[مقدار (کیلوگرم)]],0)</f>
        <v>214</v>
      </c>
      <c r="K1319" s="6">
        <f>-IF(Main[[#This Row],[مقدار (کیلوگرم)]]&lt;0,Main[[#This Row],[مقدار (کیلوگرم)]],0)</f>
        <v>0</v>
      </c>
      <c r="L13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9" s="7">
        <f>-IF(AND(Main[[#This Row],[مقدار (کیلوگرم)]]&lt;0,Main[[#This Row],[تاريخ میلادی]]&gt;44276),Main[[#This Row],[مقدار (کیلوگرم)]],0)</f>
        <v>0</v>
      </c>
      <c r="N1319" s="6">
        <f ca="1">Main[[#This Row],[بدهکار (کیلوگرم)]]-Main[[#This Row],[بدهی تسویه نشده (کیلوگرم)]]</f>
        <v>0</v>
      </c>
      <c r="O1319" s="6">
        <f ca="1">Main[[#This Row],[تفکیک]]</f>
        <v>0</v>
      </c>
      <c r="P1319" s="6">
        <f ca="1">IF(Main[[#This Row],[تاخیر از سررسید]]&gt;0,Main[[#This Row],[بدهی تسویه نشده (کیلوگرم)]],0)</f>
        <v>0</v>
      </c>
      <c r="Q1319" s="6">
        <f ca="1">IF(Main[[#This Row],[بدهی تسویه نشده (کیلوگرم)]]&gt;0,'گزارش فردی'!$B$7-Main[[#This Row],[تاريخ میلادی]],0)</f>
        <v>0</v>
      </c>
      <c r="R1319" s="6">
        <f ca="1">IF(Main[[#This Row],[بدهی تسویه نشده (کیلوگرم)]]&gt;0,'گزارش فردی'!$B$7-Main[[#This Row],[تاريخ میلادی]]-'گزارش فردی'!$B$8,0)</f>
        <v>0</v>
      </c>
      <c r="S1319" s="6">
        <f ca="1">Main[[#This Row],[روز از ارسال سفارش]]*Main[[#This Row],[بدهی تسویه نشده (کیلوگرم)]]</f>
        <v>0</v>
      </c>
      <c r="T1319" s="6">
        <f ca="1">Main[[#This Row],[بدهی سررسید شده (کیلوگرم)]]*Main[[#This Row],[روز از ارسال سفارش]]</f>
        <v>0</v>
      </c>
      <c r="U1319" s="6">
        <f>-SUBTOTAL(9,INDEX(Main[مقدار (کیلوگرم)],1):Main[[#This Row],[مقدار (کیلوگرم)]])</f>
        <v>42150</v>
      </c>
      <c r="V131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9" s="6">
        <f>Main[[#This Row],[تعداد کل روزهای بدهکار (روز)]]*Main[[#This Row],[مانده در خط کل (کیلوگرم)]]</f>
        <v>84300</v>
      </c>
      <c r="X1319" s="6">
        <f ca="1">-SUBTOTAL(9,INDEX(Main[مقدار تسویه شده (کیلوگرم)],1):Main[[#This Row],[مقدار تسویه شده (کیلوگرم)]])</f>
        <v>42150</v>
      </c>
      <c r="Y1319" s="6">
        <f ca="1">IF(Main[[#This Row],[مانده در خط تسویه شده (کیلوگرم)]]&lt;&gt;0,Main[[#This Row],[تعداد کل روزهای بدهکار (روز)]],0)</f>
        <v>2</v>
      </c>
      <c r="Z1319" s="6">
        <f ca="1">Main[[#This Row],[تعداد روزهای بدهکار تسویه شده (روز)]]*Main[[#This Row],[مانده در خط تسویه شده (کیلوگرم)]]</f>
        <v>84300</v>
      </c>
      <c r="AA1319" s="6">
        <f ca="1">SUBTOTAL(9,INDEX(Main[بدهی تسویه نشده (کیلوگرم)],1):Main[[#This Row],[بدهی تسویه نشده (کیلوگرم)]])</f>
        <v>0</v>
      </c>
      <c r="AB1319" s="6">
        <f ca="1">IF(Main[[#This Row],[مانده در خط تسویه نشده (کیلوگرم)]]&lt;&gt;0,Main[[#This Row],[تعداد کل روزهای بدهکار (روز)]],0)</f>
        <v>0</v>
      </c>
      <c r="AC1319" s="6">
        <f ca="1">Main[[#This Row],[تعداد روزهای بدهکار  تسویه نشده (روز)]]*Main[[#This Row],[مانده در خط تسویه نشده (کیلوگرم)]]</f>
        <v>0</v>
      </c>
      <c r="AD1319" s="6">
        <f ca="1">SUBTOTAL(9,INDEX(Main[بدهی سررسید شده (کیلوگرم)],1):Main[[#This Row],[بدهی سررسید شده (کیلوگرم)]])</f>
        <v>0</v>
      </c>
      <c r="AE1319" s="6">
        <f ca="1">IF(Main[[#This Row],[مانده در خط سررسید شده (کیلوگرم)]]&lt;&gt;0,Main[[#This Row],[تعداد کل روزهای بدهکار (روز)]],0)</f>
        <v>0</v>
      </c>
      <c r="AF1319" s="6">
        <f ca="1">Main[[#This Row],[تعداد روزهای بدهکار سررسید شده (روز)]]*Main[[#This Row],[مانده در خط سررسید شده (کیلوگرم)]]</f>
        <v>0</v>
      </c>
    </row>
    <row r="1320" spans="1:32" hidden="1" x14ac:dyDescent="0.35">
      <c r="A1320" s="5">
        <f>ROW()-ROW(INDEX(Main[ردیف],1))+1</f>
        <v>1318</v>
      </c>
      <c r="B1320" s="31">
        <f>SUBTOTAL(2,INDEX(Main[ردیف],1):Main[[#This Row],[ردیف]])</f>
        <v>118</v>
      </c>
      <c r="C1320" s="32" t="s">
        <v>642</v>
      </c>
      <c r="D1320" s="32" t="str">
        <f>_xlfn.CONCAT("14",Main[[#This Row],[تاريخ]])</f>
        <v>1400/05/19</v>
      </c>
      <c r="E1320" s="33">
        <v>44418</v>
      </c>
      <c r="F1320" s="32">
        <v>30081</v>
      </c>
      <c r="G1320" s="5" t="str">
        <f>INDEX(customer[عنوان],MATCH(Main[[#This Row],[کد ردیابی]],customer[کد],0))</f>
        <v xml:space="preserve">شیرآلات بهداشتی راسان </v>
      </c>
      <c r="H1320">
        <v>-1821</v>
      </c>
      <c r="I1320" s="6">
        <f ca="1">-Main[[#This Row],[بدهی تسویه شده (کیلوگرم)]]+Main[[#This Row],[بستانکار (کیلوگرم)]]</f>
        <v>-1821</v>
      </c>
      <c r="J1320" s="6">
        <f>IF(Main[[#This Row],[مقدار (کیلوگرم)]]&gt;0,Main[[#This Row],[مقدار (کیلوگرم)]],0)</f>
        <v>0</v>
      </c>
      <c r="K1320" s="6">
        <f>-IF(Main[[#This Row],[مقدار (کیلوگرم)]]&lt;0,Main[[#This Row],[مقدار (کیلوگرم)]],0)</f>
        <v>1821</v>
      </c>
      <c r="L13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0" s="7">
        <f>-IF(AND(Main[[#This Row],[مقدار (کیلوگرم)]]&lt;0,Main[[#This Row],[تاريخ میلادی]]&gt;44276),Main[[#This Row],[مقدار (کیلوگرم)]],0)</f>
        <v>1821</v>
      </c>
      <c r="N1320" s="6">
        <f ca="1">Main[[#This Row],[بدهکار (کیلوگرم)]]-Main[[#This Row],[بدهی تسویه نشده (کیلوگرم)]]</f>
        <v>1821</v>
      </c>
      <c r="O1320" s="6">
        <f ca="1">Main[[#This Row],[تفکیک]]</f>
        <v>0</v>
      </c>
      <c r="P1320" s="6">
        <f ca="1">IF(Main[[#This Row],[تاخیر از سررسید]]&gt;0,Main[[#This Row],[بدهی تسویه نشده (کیلوگرم)]],0)</f>
        <v>0</v>
      </c>
      <c r="Q1320" s="6">
        <f ca="1">IF(Main[[#This Row],[بدهی تسویه نشده (کیلوگرم)]]&gt;0,'گزارش فردی'!$B$7-Main[[#This Row],[تاريخ میلادی]],0)</f>
        <v>0</v>
      </c>
      <c r="R1320" s="6">
        <f ca="1">IF(Main[[#This Row],[بدهی تسویه نشده (کیلوگرم)]]&gt;0,'گزارش فردی'!$B$7-Main[[#This Row],[تاريخ میلادی]]-'گزارش فردی'!$B$8,0)</f>
        <v>0</v>
      </c>
      <c r="S1320" s="6">
        <f ca="1">Main[[#This Row],[روز از ارسال سفارش]]*Main[[#This Row],[بدهی تسویه نشده (کیلوگرم)]]</f>
        <v>0</v>
      </c>
      <c r="T1320" s="6">
        <f ca="1">Main[[#This Row],[بدهی سررسید شده (کیلوگرم)]]*Main[[#This Row],[روز از ارسال سفارش]]</f>
        <v>0</v>
      </c>
      <c r="U1320" s="6">
        <f>-SUBTOTAL(9,INDEX(Main[مقدار (کیلوگرم)],1):Main[[#This Row],[مقدار (کیلوگرم)]])</f>
        <v>42150</v>
      </c>
      <c r="V13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0" s="6">
        <f>Main[[#This Row],[تعداد کل روزهای بدهکار (روز)]]*Main[[#This Row],[مانده در خط کل (کیلوگرم)]]</f>
        <v>42150</v>
      </c>
      <c r="X1320" s="6">
        <f ca="1">-SUBTOTAL(9,INDEX(Main[مقدار تسویه شده (کیلوگرم)],1):Main[[#This Row],[مقدار تسویه شده (کیلوگرم)]])</f>
        <v>42150</v>
      </c>
      <c r="Y1320" s="6">
        <f ca="1">IF(Main[[#This Row],[مانده در خط تسویه شده (کیلوگرم)]]&lt;&gt;0,Main[[#This Row],[تعداد کل روزهای بدهکار (روز)]],0)</f>
        <v>1</v>
      </c>
      <c r="Z1320" s="6">
        <f ca="1">Main[[#This Row],[تعداد روزهای بدهکار تسویه شده (روز)]]*Main[[#This Row],[مانده در خط تسویه شده (کیلوگرم)]]</f>
        <v>42150</v>
      </c>
      <c r="AA1320" s="6">
        <f ca="1">SUBTOTAL(9,INDEX(Main[بدهی تسویه نشده (کیلوگرم)],1):Main[[#This Row],[بدهی تسویه نشده (کیلوگرم)]])</f>
        <v>0</v>
      </c>
      <c r="AB1320" s="6">
        <f ca="1">IF(Main[[#This Row],[مانده در خط تسویه نشده (کیلوگرم)]]&lt;&gt;0,Main[[#This Row],[تعداد کل روزهای بدهکار (روز)]],0)</f>
        <v>0</v>
      </c>
      <c r="AC1320" s="6">
        <f ca="1">Main[[#This Row],[تعداد روزهای بدهکار  تسویه نشده (روز)]]*Main[[#This Row],[مانده در خط تسویه نشده (کیلوگرم)]]</f>
        <v>0</v>
      </c>
      <c r="AD1320" s="6">
        <f ca="1">SUBTOTAL(9,INDEX(Main[بدهی سررسید شده (کیلوگرم)],1):Main[[#This Row],[بدهی سررسید شده (کیلوگرم)]])</f>
        <v>0</v>
      </c>
      <c r="AE1320" s="6">
        <f ca="1">IF(Main[[#This Row],[مانده در خط سررسید شده (کیلوگرم)]]&lt;&gt;0,Main[[#This Row],[تعداد کل روزهای بدهکار (روز)]],0)</f>
        <v>0</v>
      </c>
      <c r="AF1320" s="6">
        <f ca="1">Main[[#This Row],[تعداد روزهای بدهکار سررسید شده (روز)]]*Main[[#This Row],[مانده در خط سررسید شده (کیلوگرم)]]</f>
        <v>0</v>
      </c>
    </row>
    <row r="1321" spans="1:32" hidden="1" x14ac:dyDescent="0.35">
      <c r="A1321" s="5">
        <f>ROW()-ROW(INDEX(Main[ردیف],1))+1</f>
        <v>1319</v>
      </c>
      <c r="B1321" s="31">
        <f>SUBTOTAL(2,INDEX(Main[ردیف],1):Main[[#This Row],[ردیف]])</f>
        <v>118</v>
      </c>
      <c r="C1321" s="32" t="s">
        <v>642</v>
      </c>
      <c r="D1321" s="32" t="str">
        <f>_xlfn.CONCAT("14",Main[[#This Row],[تاريخ]])</f>
        <v>1400/05/19</v>
      </c>
      <c r="E1321" s="33">
        <v>44418</v>
      </c>
      <c r="F1321" s="32">
        <v>10004</v>
      </c>
      <c r="G1321" s="5" t="str">
        <f>INDEX(customer[عنوان],MATCH(Main[[#This Row],[کد ردیابی]],customer[کد],0))</f>
        <v xml:space="preserve">محمد عباسی </v>
      </c>
      <c r="H1321">
        <v>1286</v>
      </c>
      <c r="I1321" s="6">
        <f ca="1">-Main[[#This Row],[بدهی تسویه شده (کیلوگرم)]]+Main[[#This Row],[بستانکار (کیلوگرم)]]</f>
        <v>1286</v>
      </c>
      <c r="J1321" s="6">
        <f>IF(Main[[#This Row],[مقدار (کیلوگرم)]]&gt;0,Main[[#This Row],[مقدار (کیلوگرم)]],0)</f>
        <v>1286</v>
      </c>
      <c r="K1321" s="6">
        <f>-IF(Main[[#This Row],[مقدار (کیلوگرم)]]&lt;0,Main[[#This Row],[مقدار (کیلوگرم)]],0)</f>
        <v>0</v>
      </c>
      <c r="L13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1" s="7">
        <f>-IF(AND(Main[[#This Row],[مقدار (کیلوگرم)]]&lt;0,Main[[#This Row],[تاريخ میلادی]]&gt;44276),Main[[#This Row],[مقدار (کیلوگرم)]],0)</f>
        <v>0</v>
      </c>
      <c r="N1321" s="6">
        <f ca="1">Main[[#This Row],[بدهکار (کیلوگرم)]]-Main[[#This Row],[بدهی تسویه نشده (کیلوگرم)]]</f>
        <v>0</v>
      </c>
      <c r="O1321" s="6">
        <f ca="1">Main[[#This Row],[تفکیک]]</f>
        <v>0</v>
      </c>
      <c r="P1321" s="6">
        <f ca="1">IF(Main[[#This Row],[تاخیر از سررسید]]&gt;0,Main[[#This Row],[بدهی تسویه نشده (کیلوگرم)]],0)</f>
        <v>0</v>
      </c>
      <c r="Q1321" s="6">
        <f ca="1">IF(Main[[#This Row],[بدهی تسویه نشده (کیلوگرم)]]&gt;0,'گزارش فردی'!$B$7-Main[[#This Row],[تاريخ میلادی]],0)</f>
        <v>0</v>
      </c>
      <c r="R1321" s="6">
        <f ca="1">IF(Main[[#This Row],[بدهی تسویه نشده (کیلوگرم)]]&gt;0,'گزارش فردی'!$B$7-Main[[#This Row],[تاريخ میلادی]]-'گزارش فردی'!$B$8,0)</f>
        <v>0</v>
      </c>
      <c r="S1321" s="6">
        <f ca="1">Main[[#This Row],[روز از ارسال سفارش]]*Main[[#This Row],[بدهی تسویه نشده (کیلوگرم)]]</f>
        <v>0</v>
      </c>
      <c r="T1321" s="6">
        <f ca="1">Main[[#This Row],[بدهی سررسید شده (کیلوگرم)]]*Main[[#This Row],[روز از ارسال سفارش]]</f>
        <v>0</v>
      </c>
      <c r="U1321" s="6">
        <f>-SUBTOTAL(9,INDEX(Main[مقدار (کیلوگرم)],1):Main[[#This Row],[مقدار (کیلوگرم)]])</f>
        <v>42150</v>
      </c>
      <c r="V13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1" s="6">
        <f>Main[[#This Row],[تعداد کل روزهای بدهکار (روز)]]*Main[[#This Row],[مانده در خط کل (کیلوگرم)]]</f>
        <v>42150</v>
      </c>
      <c r="X1321" s="6">
        <f ca="1">-SUBTOTAL(9,INDEX(Main[مقدار تسویه شده (کیلوگرم)],1):Main[[#This Row],[مقدار تسویه شده (کیلوگرم)]])</f>
        <v>42150</v>
      </c>
      <c r="Y1321" s="6">
        <f ca="1">IF(Main[[#This Row],[مانده در خط تسویه شده (کیلوگرم)]]&lt;&gt;0,Main[[#This Row],[تعداد کل روزهای بدهکار (روز)]],0)</f>
        <v>1</v>
      </c>
      <c r="Z1321" s="6">
        <f ca="1">Main[[#This Row],[تعداد روزهای بدهکار تسویه شده (روز)]]*Main[[#This Row],[مانده در خط تسویه شده (کیلوگرم)]]</f>
        <v>42150</v>
      </c>
      <c r="AA1321" s="6">
        <f ca="1">SUBTOTAL(9,INDEX(Main[بدهی تسویه نشده (کیلوگرم)],1):Main[[#This Row],[بدهی تسویه نشده (کیلوگرم)]])</f>
        <v>0</v>
      </c>
      <c r="AB1321" s="6">
        <f ca="1">IF(Main[[#This Row],[مانده در خط تسویه نشده (کیلوگرم)]]&lt;&gt;0,Main[[#This Row],[تعداد کل روزهای بدهکار (روز)]],0)</f>
        <v>0</v>
      </c>
      <c r="AC1321" s="6">
        <f ca="1">Main[[#This Row],[تعداد روزهای بدهکار  تسویه نشده (روز)]]*Main[[#This Row],[مانده در خط تسویه نشده (کیلوگرم)]]</f>
        <v>0</v>
      </c>
      <c r="AD1321" s="6">
        <f ca="1">SUBTOTAL(9,INDEX(Main[بدهی سررسید شده (کیلوگرم)],1):Main[[#This Row],[بدهی سررسید شده (کیلوگرم)]])</f>
        <v>0</v>
      </c>
      <c r="AE1321" s="6">
        <f ca="1">IF(Main[[#This Row],[مانده در خط سررسید شده (کیلوگرم)]]&lt;&gt;0,Main[[#This Row],[تعداد کل روزهای بدهکار (روز)]],0)</f>
        <v>0</v>
      </c>
      <c r="AF1321" s="6">
        <f ca="1">Main[[#This Row],[تعداد روزهای بدهکار سررسید شده (روز)]]*Main[[#This Row],[مانده در خط سررسید شده (کیلوگرم)]]</f>
        <v>0</v>
      </c>
    </row>
    <row r="1322" spans="1:32" hidden="1" x14ac:dyDescent="0.35">
      <c r="A1322" s="5">
        <f>ROW()-ROW(INDEX(Main[ردیف],1))+1</f>
        <v>1320</v>
      </c>
      <c r="B1322" s="31">
        <f>SUBTOTAL(2,INDEX(Main[ردیف],1):Main[[#This Row],[ردیف]])</f>
        <v>118</v>
      </c>
      <c r="C1322" s="32" t="s">
        <v>642</v>
      </c>
      <c r="D1322" s="32" t="str">
        <f>_xlfn.CONCAT("14",Main[[#This Row],[تاريخ]])</f>
        <v>1400/05/19</v>
      </c>
      <c r="E1322" s="33">
        <v>44418</v>
      </c>
      <c r="F1322" s="32">
        <v>30009</v>
      </c>
      <c r="G1322" s="5" t="str">
        <f>INDEX(customer[عنوان],MATCH(Main[[#This Row],[کد ردیابی]],customer[کد],0))</f>
        <v>شرکت ایمن تک پیشرو</v>
      </c>
      <c r="H1322">
        <v>-1030</v>
      </c>
      <c r="I1322" s="6">
        <f ca="1">-Main[[#This Row],[بدهی تسویه شده (کیلوگرم)]]+Main[[#This Row],[بستانکار (کیلوگرم)]]</f>
        <v>-1030</v>
      </c>
      <c r="J1322" s="6">
        <f>IF(Main[[#This Row],[مقدار (کیلوگرم)]]&gt;0,Main[[#This Row],[مقدار (کیلوگرم)]],0)</f>
        <v>0</v>
      </c>
      <c r="K1322" s="6">
        <f>-IF(Main[[#This Row],[مقدار (کیلوگرم)]]&lt;0,Main[[#This Row],[مقدار (کیلوگرم)]],0)</f>
        <v>1030</v>
      </c>
      <c r="L13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2" s="7">
        <f>-IF(AND(Main[[#This Row],[مقدار (کیلوگرم)]]&lt;0,Main[[#This Row],[تاريخ میلادی]]&gt;44276),Main[[#This Row],[مقدار (کیلوگرم)]],0)</f>
        <v>1030</v>
      </c>
      <c r="N1322" s="6">
        <f ca="1">Main[[#This Row],[بدهکار (کیلوگرم)]]-Main[[#This Row],[بدهی تسویه نشده (کیلوگرم)]]</f>
        <v>1030</v>
      </c>
      <c r="O1322" s="6">
        <f ca="1">Main[[#This Row],[تفکیک]]</f>
        <v>0</v>
      </c>
      <c r="P1322" s="6">
        <f ca="1">IF(Main[[#This Row],[تاخیر از سررسید]]&gt;0,Main[[#This Row],[بدهی تسویه نشده (کیلوگرم)]],0)</f>
        <v>0</v>
      </c>
      <c r="Q1322" s="6">
        <f ca="1">IF(Main[[#This Row],[بدهی تسویه نشده (کیلوگرم)]]&gt;0,'گزارش فردی'!$B$7-Main[[#This Row],[تاريخ میلادی]],0)</f>
        <v>0</v>
      </c>
      <c r="R1322" s="6">
        <f ca="1">IF(Main[[#This Row],[بدهی تسویه نشده (کیلوگرم)]]&gt;0,'گزارش فردی'!$B$7-Main[[#This Row],[تاريخ میلادی]]-'گزارش فردی'!$B$8,0)</f>
        <v>0</v>
      </c>
      <c r="S1322" s="6">
        <f ca="1">Main[[#This Row],[روز از ارسال سفارش]]*Main[[#This Row],[بدهی تسویه نشده (کیلوگرم)]]</f>
        <v>0</v>
      </c>
      <c r="T1322" s="6">
        <f ca="1">Main[[#This Row],[بدهی سررسید شده (کیلوگرم)]]*Main[[#This Row],[روز از ارسال سفارش]]</f>
        <v>0</v>
      </c>
      <c r="U1322" s="6">
        <f>-SUBTOTAL(9,INDEX(Main[مقدار (کیلوگرم)],1):Main[[#This Row],[مقدار (کیلوگرم)]])</f>
        <v>42150</v>
      </c>
      <c r="V13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2" s="6">
        <f>Main[[#This Row],[تعداد کل روزهای بدهکار (روز)]]*Main[[#This Row],[مانده در خط کل (کیلوگرم)]]</f>
        <v>42150</v>
      </c>
      <c r="X1322" s="6">
        <f ca="1">-SUBTOTAL(9,INDEX(Main[مقدار تسویه شده (کیلوگرم)],1):Main[[#This Row],[مقدار تسویه شده (کیلوگرم)]])</f>
        <v>42150</v>
      </c>
      <c r="Y1322" s="6">
        <f ca="1">IF(Main[[#This Row],[مانده در خط تسویه شده (کیلوگرم)]]&lt;&gt;0,Main[[#This Row],[تعداد کل روزهای بدهکار (روز)]],0)</f>
        <v>1</v>
      </c>
      <c r="Z1322" s="6">
        <f ca="1">Main[[#This Row],[تعداد روزهای بدهکار تسویه شده (روز)]]*Main[[#This Row],[مانده در خط تسویه شده (کیلوگرم)]]</f>
        <v>42150</v>
      </c>
      <c r="AA1322" s="6">
        <f ca="1">SUBTOTAL(9,INDEX(Main[بدهی تسویه نشده (کیلوگرم)],1):Main[[#This Row],[بدهی تسویه نشده (کیلوگرم)]])</f>
        <v>0</v>
      </c>
      <c r="AB1322" s="6">
        <f ca="1">IF(Main[[#This Row],[مانده در خط تسویه نشده (کیلوگرم)]]&lt;&gt;0,Main[[#This Row],[تعداد کل روزهای بدهکار (روز)]],0)</f>
        <v>0</v>
      </c>
      <c r="AC1322" s="6">
        <f ca="1">Main[[#This Row],[تعداد روزهای بدهکار  تسویه نشده (روز)]]*Main[[#This Row],[مانده در خط تسویه نشده (کیلوگرم)]]</f>
        <v>0</v>
      </c>
      <c r="AD1322" s="6">
        <f ca="1">SUBTOTAL(9,INDEX(Main[بدهی سررسید شده (کیلوگرم)],1):Main[[#This Row],[بدهی سررسید شده (کیلوگرم)]])</f>
        <v>0</v>
      </c>
      <c r="AE1322" s="6">
        <f ca="1">IF(Main[[#This Row],[مانده در خط سررسید شده (کیلوگرم)]]&lt;&gt;0,Main[[#This Row],[تعداد کل روزهای بدهکار (روز)]],0)</f>
        <v>0</v>
      </c>
      <c r="AF1322" s="6">
        <f ca="1">Main[[#This Row],[تعداد روزهای بدهکار سررسید شده (روز)]]*Main[[#This Row],[مانده در خط سررسید شده (کیلوگرم)]]</f>
        <v>0</v>
      </c>
    </row>
    <row r="1323" spans="1:32" hidden="1" x14ac:dyDescent="0.35">
      <c r="A1323" s="5">
        <f>ROW()-ROW(INDEX(Main[ردیف],1))+1</f>
        <v>1321</v>
      </c>
      <c r="B1323" s="31">
        <f>SUBTOTAL(2,INDEX(Main[ردیف],1):Main[[#This Row],[ردیف]])</f>
        <v>118</v>
      </c>
      <c r="C1323" s="32" t="s">
        <v>642</v>
      </c>
      <c r="D1323" s="32" t="str">
        <f>_xlfn.CONCAT("14",Main[[#This Row],[تاريخ]])</f>
        <v>1400/05/19</v>
      </c>
      <c r="E1323" s="33">
        <v>44418</v>
      </c>
      <c r="F1323" s="32">
        <v>10026</v>
      </c>
      <c r="G1323" s="5" t="str">
        <f>INDEX(customer[عنوان],MATCH(Main[[#This Row],[کد ردیابی]],customer[کد],0))</f>
        <v xml:space="preserve">محسن فیاض بخش </v>
      </c>
      <c r="H1323">
        <v>15000</v>
      </c>
      <c r="I1323" s="6">
        <f ca="1">-Main[[#This Row],[بدهی تسویه شده (کیلوگرم)]]+Main[[#This Row],[بستانکار (کیلوگرم)]]</f>
        <v>15000</v>
      </c>
      <c r="J1323" s="6">
        <f>IF(Main[[#This Row],[مقدار (کیلوگرم)]]&gt;0,Main[[#This Row],[مقدار (کیلوگرم)]],0)</f>
        <v>15000</v>
      </c>
      <c r="K1323" s="6">
        <f>-IF(Main[[#This Row],[مقدار (کیلوگرم)]]&lt;0,Main[[#This Row],[مقدار (کیلوگرم)]],0)</f>
        <v>0</v>
      </c>
      <c r="L13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3" s="7">
        <f>-IF(AND(Main[[#This Row],[مقدار (کیلوگرم)]]&lt;0,Main[[#This Row],[تاريخ میلادی]]&gt;44276),Main[[#This Row],[مقدار (کیلوگرم)]],0)</f>
        <v>0</v>
      </c>
      <c r="N1323" s="6">
        <f ca="1">Main[[#This Row],[بدهکار (کیلوگرم)]]-Main[[#This Row],[بدهی تسویه نشده (کیلوگرم)]]</f>
        <v>0</v>
      </c>
      <c r="O1323" s="6">
        <f ca="1">Main[[#This Row],[تفکیک]]</f>
        <v>0</v>
      </c>
      <c r="P1323" s="6">
        <f ca="1">IF(Main[[#This Row],[تاخیر از سررسید]]&gt;0,Main[[#This Row],[بدهی تسویه نشده (کیلوگرم)]],0)</f>
        <v>0</v>
      </c>
      <c r="Q1323" s="6">
        <f ca="1">IF(Main[[#This Row],[بدهی تسویه نشده (کیلوگرم)]]&gt;0,'گزارش فردی'!$B$7-Main[[#This Row],[تاريخ میلادی]],0)</f>
        <v>0</v>
      </c>
      <c r="R1323" s="6">
        <f ca="1">IF(Main[[#This Row],[بدهی تسویه نشده (کیلوگرم)]]&gt;0,'گزارش فردی'!$B$7-Main[[#This Row],[تاريخ میلادی]]-'گزارش فردی'!$B$8,0)</f>
        <v>0</v>
      </c>
      <c r="S1323" s="6">
        <f ca="1">Main[[#This Row],[روز از ارسال سفارش]]*Main[[#This Row],[بدهی تسویه نشده (کیلوگرم)]]</f>
        <v>0</v>
      </c>
      <c r="T1323" s="6">
        <f ca="1">Main[[#This Row],[بدهی سررسید شده (کیلوگرم)]]*Main[[#This Row],[روز از ارسال سفارش]]</f>
        <v>0</v>
      </c>
      <c r="U1323" s="6">
        <f>-SUBTOTAL(9,INDEX(Main[مقدار (کیلوگرم)],1):Main[[#This Row],[مقدار (کیلوگرم)]])</f>
        <v>42150</v>
      </c>
      <c r="V13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3" s="6">
        <f>Main[[#This Row],[تعداد کل روزهای بدهکار (روز)]]*Main[[#This Row],[مانده در خط کل (کیلوگرم)]]</f>
        <v>42150</v>
      </c>
      <c r="X1323" s="6">
        <f ca="1">-SUBTOTAL(9,INDEX(Main[مقدار تسویه شده (کیلوگرم)],1):Main[[#This Row],[مقدار تسویه شده (کیلوگرم)]])</f>
        <v>42150</v>
      </c>
      <c r="Y1323" s="6">
        <f ca="1">IF(Main[[#This Row],[مانده در خط تسویه شده (کیلوگرم)]]&lt;&gt;0,Main[[#This Row],[تعداد کل روزهای بدهکار (روز)]],0)</f>
        <v>1</v>
      </c>
      <c r="Z1323" s="6">
        <f ca="1">Main[[#This Row],[تعداد روزهای بدهکار تسویه شده (روز)]]*Main[[#This Row],[مانده در خط تسویه شده (کیلوگرم)]]</f>
        <v>42150</v>
      </c>
      <c r="AA1323" s="6">
        <f ca="1">SUBTOTAL(9,INDEX(Main[بدهی تسویه نشده (کیلوگرم)],1):Main[[#This Row],[بدهی تسویه نشده (کیلوگرم)]])</f>
        <v>0</v>
      </c>
      <c r="AB1323" s="6">
        <f ca="1">IF(Main[[#This Row],[مانده در خط تسویه نشده (کیلوگرم)]]&lt;&gt;0,Main[[#This Row],[تعداد کل روزهای بدهکار (روز)]],0)</f>
        <v>0</v>
      </c>
      <c r="AC1323" s="6">
        <f ca="1">Main[[#This Row],[تعداد روزهای بدهکار  تسویه نشده (روز)]]*Main[[#This Row],[مانده در خط تسویه نشده (کیلوگرم)]]</f>
        <v>0</v>
      </c>
      <c r="AD1323" s="6">
        <f ca="1">SUBTOTAL(9,INDEX(Main[بدهی سررسید شده (کیلوگرم)],1):Main[[#This Row],[بدهی سررسید شده (کیلوگرم)]])</f>
        <v>0</v>
      </c>
      <c r="AE1323" s="6">
        <f ca="1">IF(Main[[#This Row],[مانده در خط سررسید شده (کیلوگرم)]]&lt;&gt;0,Main[[#This Row],[تعداد کل روزهای بدهکار (روز)]],0)</f>
        <v>0</v>
      </c>
      <c r="AF1323" s="6">
        <f ca="1">Main[[#This Row],[تعداد روزهای بدهکار سررسید شده (روز)]]*Main[[#This Row],[مانده در خط سررسید شده (کیلوگرم)]]</f>
        <v>0</v>
      </c>
    </row>
    <row r="1324" spans="1:32" hidden="1" x14ac:dyDescent="0.35">
      <c r="A1324" s="5">
        <f>ROW()-ROW(INDEX(Main[ردیف],1))+1</f>
        <v>1322</v>
      </c>
      <c r="B1324" s="31">
        <f>SUBTOTAL(2,INDEX(Main[ردیف],1):Main[[#This Row],[ردیف]])</f>
        <v>118</v>
      </c>
      <c r="C1324" s="32" t="s">
        <v>642</v>
      </c>
      <c r="D1324" s="32" t="str">
        <f>_xlfn.CONCAT("14",Main[[#This Row],[تاريخ]])</f>
        <v>1400/05/19</v>
      </c>
      <c r="E1324" s="33">
        <v>44418</v>
      </c>
      <c r="F1324" s="32">
        <v>10026</v>
      </c>
      <c r="G1324" s="5" t="str">
        <f>INDEX(customer[عنوان],MATCH(Main[[#This Row],[کد ردیابی]],customer[کد],0))</f>
        <v xml:space="preserve">محسن فیاض بخش </v>
      </c>
      <c r="H1324">
        <v>-1894</v>
      </c>
      <c r="I1324" s="6">
        <f ca="1">-Main[[#This Row],[بدهی تسویه شده (کیلوگرم)]]+Main[[#This Row],[بستانکار (کیلوگرم)]]</f>
        <v>-1894</v>
      </c>
      <c r="J1324" s="6">
        <f>IF(Main[[#This Row],[مقدار (کیلوگرم)]]&gt;0,Main[[#This Row],[مقدار (کیلوگرم)]],0)</f>
        <v>0</v>
      </c>
      <c r="K1324" s="6">
        <f>-IF(Main[[#This Row],[مقدار (کیلوگرم)]]&lt;0,Main[[#This Row],[مقدار (کیلوگرم)]],0)</f>
        <v>1894</v>
      </c>
      <c r="L13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4" s="7">
        <f>-IF(AND(Main[[#This Row],[مقدار (کیلوگرم)]]&lt;0,Main[[#This Row],[تاريخ میلادی]]&gt;44276),Main[[#This Row],[مقدار (کیلوگرم)]],0)</f>
        <v>1894</v>
      </c>
      <c r="N1324" s="6">
        <f ca="1">Main[[#This Row],[بدهکار (کیلوگرم)]]-Main[[#This Row],[بدهی تسویه نشده (کیلوگرم)]]</f>
        <v>1894</v>
      </c>
      <c r="O1324" s="6">
        <f ca="1">Main[[#This Row],[تفکیک]]</f>
        <v>0</v>
      </c>
      <c r="P1324" s="6">
        <f ca="1">IF(Main[[#This Row],[تاخیر از سررسید]]&gt;0,Main[[#This Row],[بدهی تسویه نشده (کیلوگرم)]],0)</f>
        <v>0</v>
      </c>
      <c r="Q1324" s="6">
        <f ca="1">IF(Main[[#This Row],[بدهی تسویه نشده (کیلوگرم)]]&gt;0,'گزارش فردی'!$B$7-Main[[#This Row],[تاريخ میلادی]],0)</f>
        <v>0</v>
      </c>
      <c r="R1324" s="6">
        <f ca="1">IF(Main[[#This Row],[بدهی تسویه نشده (کیلوگرم)]]&gt;0,'گزارش فردی'!$B$7-Main[[#This Row],[تاريخ میلادی]]-'گزارش فردی'!$B$8,0)</f>
        <v>0</v>
      </c>
      <c r="S1324" s="6">
        <f ca="1">Main[[#This Row],[روز از ارسال سفارش]]*Main[[#This Row],[بدهی تسویه نشده (کیلوگرم)]]</f>
        <v>0</v>
      </c>
      <c r="T1324" s="6">
        <f ca="1">Main[[#This Row],[بدهی سررسید شده (کیلوگرم)]]*Main[[#This Row],[روز از ارسال سفارش]]</f>
        <v>0</v>
      </c>
      <c r="U1324" s="6">
        <f>-SUBTOTAL(9,INDEX(Main[مقدار (کیلوگرم)],1):Main[[#This Row],[مقدار (کیلوگرم)]])</f>
        <v>42150</v>
      </c>
      <c r="V13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4" s="6">
        <f>Main[[#This Row],[تعداد کل روزهای بدهکار (روز)]]*Main[[#This Row],[مانده در خط کل (کیلوگرم)]]</f>
        <v>42150</v>
      </c>
      <c r="X1324" s="6">
        <f ca="1">-SUBTOTAL(9,INDEX(Main[مقدار تسویه شده (کیلوگرم)],1):Main[[#This Row],[مقدار تسویه شده (کیلوگرم)]])</f>
        <v>42150</v>
      </c>
      <c r="Y1324" s="6">
        <f ca="1">IF(Main[[#This Row],[مانده در خط تسویه شده (کیلوگرم)]]&lt;&gt;0,Main[[#This Row],[تعداد کل روزهای بدهکار (روز)]],0)</f>
        <v>1</v>
      </c>
      <c r="Z1324" s="6">
        <f ca="1">Main[[#This Row],[تعداد روزهای بدهکار تسویه شده (روز)]]*Main[[#This Row],[مانده در خط تسویه شده (کیلوگرم)]]</f>
        <v>42150</v>
      </c>
      <c r="AA1324" s="6">
        <f ca="1">SUBTOTAL(9,INDEX(Main[بدهی تسویه نشده (کیلوگرم)],1):Main[[#This Row],[بدهی تسویه نشده (کیلوگرم)]])</f>
        <v>0</v>
      </c>
      <c r="AB1324" s="6">
        <f ca="1">IF(Main[[#This Row],[مانده در خط تسویه نشده (کیلوگرم)]]&lt;&gt;0,Main[[#This Row],[تعداد کل روزهای بدهکار (روز)]],0)</f>
        <v>0</v>
      </c>
      <c r="AC1324" s="6">
        <f ca="1">Main[[#This Row],[تعداد روزهای بدهکار  تسویه نشده (روز)]]*Main[[#This Row],[مانده در خط تسویه نشده (کیلوگرم)]]</f>
        <v>0</v>
      </c>
      <c r="AD1324" s="6">
        <f ca="1">SUBTOTAL(9,INDEX(Main[بدهی سررسید شده (کیلوگرم)],1):Main[[#This Row],[بدهی سررسید شده (کیلوگرم)]])</f>
        <v>0</v>
      </c>
      <c r="AE1324" s="6">
        <f ca="1">IF(Main[[#This Row],[مانده در خط سررسید شده (کیلوگرم)]]&lt;&gt;0,Main[[#This Row],[تعداد کل روزهای بدهکار (روز)]],0)</f>
        <v>0</v>
      </c>
      <c r="AF1324" s="6">
        <f ca="1">Main[[#This Row],[تعداد روزهای بدهکار سررسید شده (روز)]]*Main[[#This Row],[مانده در خط سررسید شده (کیلوگرم)]]</f>
        <v>0</v>
      </c>
    </row>
    <row r="1325" spans="1:32" hidden="1" x14ac:dyDescent="0.35">
      <c r="A1325" s="5">
        <f>ROW()-ROW(INDEX(Main[ردیف],1))+1</f>
        <v>1323</v>
      </c>
      <c r="B1325" s="31">
        <f>SUBTOTAL(2,INDEX(Main[ردیف],1):Main[[#This Row],[ردیف]])</f>
        <v>118</v>
      </c>
      <c r="C1325" s="32" t="s">
        <v>642</v>
      </c>
      <c r="D1325" s="32" t="str">
        <f>_xlfn.CONCAT("14",Main[[#This Row],[تاريخ]])</f>
        <v>1400/05/19</v>
      </c>
      <c r="E1325" s="33">
        <v>44418</v>
      </c>
      <c r="F1325" s="32">
        <v>30009</v>
      </c>
      <c r="G1325" s="5" t="str">
        <f>INDEX(customer[عنوان],MATCH(Main[[#This Row],[کد ردیابی]],customer[کد],0))</f>
        <v>شرکت ایمن تک پیشرو</v>
      </c>
      <c r="H1325">
        <v>1836</v>
      </c>
      <c r="I1325" s="6">
        <f ca="1">-Main[[#This Row],[بدهی تسویه شده (کیلوگرم)]]+Main[[#This Row],[بستانکار (کیلوگرم)]]</f>
        <v>1836</v>
      </c>
      <c r="J1325" s="6">
        <f>IF(Main[[#This Row],[مقدار (کیلوگرم)]]&gt;0,Main[[#This Row],[مقدار (کیلوگرم)]],0)</f>
        <v>1836</v>
      </c>
      <c r="K1325" s="6">
        <f>-IF(Main[[#This Row],[مقدار (کیلوگرم)]]&lt;0,Main[[#This Row],[مقدار (کیلوگرم)]],0)</f>
        <v>0</v>
      </c>
      <c r="L13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5" s="7">
        <f>-IF(AND(Main[[#This Row],[مقدار (کیلوگرم)]]&lt;0,Main[[#This Row],[تاريخ میلادی]]&gt;44276),Main[[#This Row],[مقدار (کیلوگرم)]],0)</f>
        <v>0</v>
      </c>
      <c r="N1325" s="6">
        <f ca="1">Main[[#This Row],[بدهکار (کیلوگرم)]]-Main[[#This Row],[بدهی تسویه نشده (کیلوگرم)]]</f>
        <v>0</v>
      </c>
      <c r="O1325" s="6">
        <f ca="1">Main[[#This Row],[تفکیک]]</f>
        <v>0</v>
      </c>
      <c r="P1325" s="6">
        <f ca="1">IF(Main[[#This Row],[تاخیر از سررسید]]&gt;0,Main[[#This Row],[بدهی تسویه نشده (کیلوگرم)]],0)</f>
        <v>0</v>
      </c>
      <c r="Q1325" s="6">
        <f ca="1">IF(Main[[#This Row],[بدهی تسویه نشده (کیلوگرم)]]&gt;0,'گزارش فردی'!$B$7-Main[[#This Row],[تاريخ میلادی]],0)</f>
        <v>0</v>
      </c>
      <c r="R1325" s="6">
        <f ca="1">IF(Main[[#This Row],[بدهی تسویه نشده (کیلوگرم)]]&gt;0,'گزارش فردی'!$B$7-Main[[#This Row],[تاريخ میلادی]]-'گزارش فردی'!$B$8,0)</f>
        <v>0</v>
      </c>
      <c r="S1325" s="6">
        <f ca="1">Main[[#This Row],[روز از ارسال سفارش]]*Main[[#This Row],[بدهی تسویه نشده (کیلوگرم)]]</f>
        <v>0</v>
      </c>
      <c r="T1325" s="6">
        <f ca="1">Main[[#This Row],[بدهی سررسید شده (کیلوگرم)]]*Main[[#This Row],[روز از ارسال سفارش]]</f>
        <v>0</v>
      </c>
      <c r="U1325" s="6">
        <f>-SUBTOTAL(9,INDEX(Main[مقدار (کیلوگرم)],1):Main[[#This Row],[مقدار (کیلوگرم)]])</f>
        <v>42150</v>
      </c>
      <c r="V13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5" s="6">
        <f>Main[[#This Row],[تعداد کل روزهای بدهکار (روز)]]*Main[[#This Row],[مانده در خط کل (کیلوگرم)]]</f>
        <v>42150</v>
      </c>
      <c r="X1325" s="6">
        <f ca="1">-SUBTOTAL(9,INDEX(Main[مقدار تسویه شده (کیلوگرم)],1):Main[[#This Row],[مقدار تسویه شده (کیلوگرم)]])</f>
        <v>42150</v>
      </c>
      <c r="Y1325" s="6">
        <f ca="1">IF(Main[[#This Row],[مانده در خط تسویه شده (کیلوگرم)]]&lt;&gt;0,Main[[#This Row],[تعداد کل روزهای بدهکار (روز)]],0)</f>
        <v>1</v>
      </c>
      <c r="Z1325" s="6">
        <f ca="1">Main[[#This Row],[تعداد روزهای بدهکار تسویه شده (روز)]]*Main[[#This Row],[مانده در خط تسویه شده (کیلوگرم)]]</f>
        <v>42150</v>
      </c>
      <c r="AA1325" s="6">
        <f ca="1">SUBTOTAL(9,INDEX(Main[بدهی تسویه نشده (کیلوگرم)],1):Main[[#This Row],[بدهی تسویه نشده (کیلوگرم)]])</f>
        <v>0</v>
      </c>
      <c r="AB1325" s="6">
        <f ca="1">IF(Main[[#This Row],[مانده در خط تسویه نشده (کیلوگرم)]]&lt;&gt;0,Main[[#This Row],[تعداد کل روزهای بدهکار (روز)]],0)</f>
        <v>0</v>
      </c>
      <c r="AC1325" s="6">
        <f ca="1">Main[[#This Row],[تعداد روزهای بدهکار  تسویه نشده (روز)]]*Main[[#This Row],[مانده در خط تسویه نشده (کیلوگرم)]]</f>
        <v>0</v>
      </c>
      <c r="AD1325" s="6">
        <f ca="1">SUBTOTAL(9,INDEX(Main[بدهی سررسید شده (کیلوگرم)],1):Main[[#This Row],[بدهی سررسید شده (کیلوگرم)]])</f>
        <v>0</v>
      </c>
      <c r="AE1325" s="6">
        <f ca="1">IF(Main[[#This Row],[مانده در خط سررسید شده (کیلوگرم)]]&lt;&gt;0,Main[[#This Row],[تعداد کل روزهای بدهکار (روز)]],0)</f>
        <v>0</v>
      </c>
      <c r="AF1325" s="6">
        <f ca="1">Main[[#This Row],[تعداد روزهای بدهکار سررسید شده (روز)]]*Main[[#This Row],[مانده در خط سررسید شده (کیلوگرم)]]</f>
        <v>0</v>
      </c>
    </row>
    <row r="1326" spans="1:32" hidden="1" x14ac:dyDescent="0.35">
      <c r="A1326" s="5">
        <f>ROW()-ROW(INDEX(Main[ردیف],1))+1</f>
        <v>1324</v>
      </c>
      <c r="B1326" s="31">
        <f>SUBTOTAL(2,INDEX(Main[ردیف],1):Main[[#This Row],[ردیف]])</f>
        <v>118</v>
      </c>
      <c r="C1326" s="32" t="s">
        <v>642</v>
      </c>
      <c r="D1326" s="32" t="str">
        <f>_xlfn.CONCAT("14",Main[[#This Row],[تاريخ]])</f>
        <v>1400/05/19</v>
      </c>
      <c r="E1326" s="33">
        <v>44418</v>
      </c>
      <c r="F1326" s="32">
        <v>10002</v>
      </c>
      <c r="G1326" s="5" t="str">
        <f>INDEX(customer[عنوان],MATCH(Main[[#This Row],[کد ردیابی]],customer[کد],0))</f>
        <v xml:space="preserve">موسوی اصفهان </v>
      </c>
      <c r="H1326">
        <v>-1502</v>
      </c>
      <c r="I1326" s="6">
        <f ca="1">-Main[[#This Row],[بدهی تسویه شده (کیلوگرم)]]+Main[[#This Row],[بستانکار (کیلوگرم)]]</f>
        <v>-1502</v>
      </c>
      <c r="J1326" s="6">
        <f>IF(Main[[#This Row],[مقدار (کیلوگرم)]]&gt;0,Main[[#This Row],[مقدار (کیلوگرم)]],0)</f>
        <v>0</v>
      </c>
      <c r="K1326" s="6">
        <f>-IF(Main[[#This Row],[مقدار (کیلوگرم)]]&lt;0,Main[[#This Row],[مقدار (کیلوگرم)]],0)</f>
        <v>1502</v>
      </c>
      <c r="L13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6" s="7">
        <f>-IF(AND(Main[[#This Row],[مقدار (کیلوگرم)]]&lt;0,Main[[#This Row],[تاريخ میلادی]]&gt;44276),Main[[#This Row],[مقدار (کیلوگرم)]],0)</f>
        <v>1502</v>
      </c>
      <c r="N1326" s="6">
        <f ca="1">Main[[#This Row],[بدهکار (کیلوگرم)]]-Main[[#This Row],[بدهی تسویه نشده (کیلوگرم)]]</f>
        <v>1502</v>
      </c>
      <c r="O1326" s="6">
        <f ca="1">Main[[#This Row],[تفکیک]]</f>
        <v>0</v>
      </c>
      <c r="P1326" s="6">
        <f ca="1">IF(Main[[#This Row],[تاخیر از سررسید]]&gt;0,Main[[#This Row],[بدهی تسویه نشده (کیلوگرم)]],0)</f>
        <v>0</v>
      </c>
      <c r="Q1326" s="6">
        <f ca="1">IF(Main[[#This Row],[بدهی تسویه نشده (کیلوگرم)]]&gt;0,'گزارش فردی'!$B$7-Main[[#This Row],[تاريخ میلادی]],0)</f>
        <v>0</v>
      </c>
      <c r="R1326" s="6">
        <f ca="1">IF(Main[[#This Row],[بدهی تسویه نشده (کیلوگرم)]]&gt;0,'گزارش فردی'!$B$7-Main[[#This Row],[تاريخ میلادی]]-'گزارش فردی'!$B$8,0)</f>
        <v>0</v>
      </c>
      <c r="S1326" s="6">
        <f ca="1">Main[[#This Row],[روز از ارسال سفارش]]*Main[[#This Row],[بدهی تسویه نشده (کیلوگرم)]]</f>
        <v>0</v>
      </c>
      <c r="T1326" s="6">
        <f ca="1">Main[[#This Row],[بدهی سررسید شده (کیلوگرم)]]*Main[[#This Row],[روز از ارسال سفارش]]</f>
        <v>0</v>
      </c>
      <c r="U1326" s="6">
        <f>-SUBTOTAL(9,INDEX(Main[مقدار (کیلوگرم)],1):Main[[#This Row],[مقدار (کیلوگرم)]])</f>
        <v>42150</v>
      </c>
      <c r="V13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6" s="6">
        <f>Main[[#This Row],[تعداد کل روزهای بدهکار (روز)]]*Main[[#This Row],[مانده در خط کل (کیلوگرم)]]</f>
        <v>42150</v>
      </c>
      <c r="X1326" s="6">
        <f ca="1">-SUBTOTAL(9,INDEX(Main[مقدار تسویه شده (کیلوگرم)],1):Main[[#This Row],[مقدار تسویه شده (کیلوگرم)]])</f>
        <v>42150</v>
      </c>
      <c r="Y1326" s="6">
        <f ca="1">IF(Main[[#This Row],[مانده در خط تسویه شده (کیلوگرم)]]&lt;&gt;0,Main[[#This Row],[تعداد کل روزهای بدهکار (روز)]],0)</f>
        <v>1</v>
      </c>
      <c r="Z1326" s="6">
        <f ca="1">Main[[#This Row],[تعداد روزهای بدهکار تسویه شده (روز)]]*Main[[#This Row],[مانده در خط تسویه شده (کیلوگرم)]]</f>
        <v>42150</v>
      </c>
      <c r="AA1326" s="6">
        <f ca="1">SUBTOTAL(9,INDEX(Main[بدهی تسویه نشده (کیلوگرم)],1):Main[[#This Row],[بدهی تسویه نشده (کیلوگرم)]])</f>
        <v>0</v>
      </c>
      <c r="AB1326" s="6">
        <f ca="1">IF(Main[[#This Row],[مانده در خط تسویه نشده (کیلوگرم)]]&lt;&gt;0,Main[[#This Row],[تعداد کل روزهای بدهکار (روز)]],0)</f>
        <v>0</v>
      </c>
      <c r="AC1326" s="6">
        <f ca="1">Main[[#This Row],[تعداد روزهای بدهکار  تسویه نشده (روز)]]*Main[[#This Row],[مانده در خط تسویه نشده (کیلوگرم)]]</f>
        <v>0</v>
      </c>
      <c r="AD1326" s="6">
        <f ca="1">SUBTOTAL(9,INDEX(Main[بدهی سررسید شده (کیلوگرم)],1):Main[[#This Row],[بدهی سررسید شده (کیلوگرم)]])</f>
        <v>0</v>
      </c>
      <c r="AE1326" s="6">
        <f ca="1">IF(Main[[#This Row],[مانده در خط سررسید شده (کیلوگرم)]]&lt;&gt;0,Main[[#This Row],[تعداد کل روزهای بدهکار (روز)]],0)</f>
        <v>0</v>
      </c>
      <c r="AF1326" s="6">
        <f ca="1">Main[[#This Row],[تعداد روزهای بدهکار سررسید شده (روز)]]*Main[[#This Row],[مانده در خط سررسید شده (کیلوگرم)]]</f>
        <v>0</v>
      </c>
    </row>
    <row r="1327" spans="1:32" hidden="1" x14ac:dyDescent="0.35">
      <c r="A1327" s="5">
        <f>ROW()-ROW(INDEX(Main[ردیف],1))+1</f>
        <v>1325</v>
      </c>
      <c r="B1327" s="31">
        <f>SUBTOTAL(2,INDEX(Main[ردیف],1):Main[[#This Row],[ردیف]])</f>
        <v>118</v>
      </c>
      <c r="C1327" s="32" t="s">
        <v>642</v>
      </c>
      <c r="D1327" s="32" t="str">
        <f>_xlfn.CONCAT("14",Main[[#This Row],[تاريخ]])</f>
        <v>1400/05/19</v>
      </c>
      <c r="E1327" s="33">
        <v>44418</v>
      </c>
      <c r="F1327" s="32">
        <v>30127</v>
      </c>
      <c r="G1327" s="5" t="str">
        <f>INDEX(customer[عنوان],MATCH(Main[[#This Row],[کد ردیابی]],customer[کد],0))</f>
        <v>شیر گاز آذران</v>
      </c>
      <c r="H1327">
        <v>13589</v>
      </c>
      <c r="I1327" s="6">
        <f ca="1">-Main[[#This Row],[بدهی تسویه شده (کیلوگرم)]]+Main[[#This Row],[بستانکار (کیلوگرم)]]</f>
        <v>13589</v>
      </c>
      <c r="J1327" s="6">
        <f>IF(Main[[#This Row],[مقدار (کیلوگرم)]]&gt;0,Main[[#This Row],[مقدار (کیلوگرم)]],0)</f>
        <v>13589</v>
      </c>
      <c r="K1327" s="6">
        <f>-IF(Main[[#This Row],[مقدار (کیلوگرم)]]&lt;0,Main[[#This Row],[مقدار (کیلوگرم)]],0)</f>
        <v>0</v>
      </c>
      <c r="L13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7" s="7">
        <f>-IF(AND(Main[[#This Row],[مقدار (کیلوگرم)]]&lt;0,Main[[#This Row],[تاريخ میلادی]]&gt;44276),Main[[#This Row],[مقدار (کیلوگرم)]],0)</f>
        <v>0</v>
      </c>
      <c r="N1327" s="6">
        <f ca="1">Main[[#This Row],[بدهکار (کیلوگرم)]]-Main[[#This Row],[بدهی تسویه نشده (کیلوگرم)]]</f>
        <v>0</v>
      </c>
      <c r="O1327" s="6">
        <f ca="1">Main[[#This Row],[تفکیک]]</f>
        <v>0</v>
      </c>
      <c r="P1327" s="6">
        <f ca="1">IF(Main[[#This Row],[تاخیر از سررسید]]&gt;0,Main[[#This Row],[بدهی تسویه نشده (کیلوگرم)]],0)</f>
        <v>0</v>
      </c>
      <c r="Q1327" s="6">
        <f ca="1">IF(Main[[#This Row],[بدهی تسویه نشده (کیلوگرم)]]&gt;0,'گزارش فردی'!$B$7-Main[[#This Row],[تاريخ میلادی]],0)</f>
        <v>0</v>
      </c>
      <c r="R1327" s="6">
        <f ca="1">IF(Main[[#This Row],[بدهی تسویه نشده (کیلوگرم)]]&gt;0,'گزارش فردی'!$B$7-Main[[#This Row],[تاريخ میلادی]]-'گزارش فردی'!$B$8,0)</f>
        <v>0</v>
      </c>
      <c r="S1327" s="6">
        <f ca="1">Main[[#This Row],[روز از ارسال سفارش]]*Main[[#This Row],[بدهی تسویه نشده (کیلوگرم)]]</f>
        <v>0</v>
      </c>
      <c r="T1327" s="6">
        <f ca="1">Main[[#This Row],[بدهی سررسید شده (کیلوگرم)]]*Main[[#This Row],[روز از ارسال سفارش]]</f>
        <v>0</v>
      </c>
      <c r="U1327" s="6">
        <f>-SUBTOTAL(9,INDEX(Main[مقدار (کیلوگرم)],1):Main[[#This Row],[مقدار (کیلوگرم)]])</f>
        <v>42150</v>
      </c>
      <c r="V13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7" s="6">
        <f>Main[[#This Row],[تعداد کل روزهای بدهکار (روز)]]*Main[[#This Row],[مانده در خط کل (کیلوگرم)]]</f>
        <v>42150</v>
      </c>
      <c r="X1327" s="6">
        <f ca="1">-SUBTOTAL(9,INDEX(Main[مقدار تسویه شده (کیلوگرم)],1):Main[[#This Row],[مقدار تسویه شده (کیلوگرم)]])</f>
        <v>42150</v>
      </c>
      <c r="Y1327" s="6">
        <f ca="1">IF(Main[[#This Row],[مانده در خط تسویه شده (کیلوگرم)]]&lt;&gt;0,Main[[#This Row],[تعداد کل روزهای بدهکار (روز)]],0)</f>
        <v>1</v>
      </c>
      <c r="Z1327" s="6">
        <f ca="1">Main[[#This Row],[تعداد روزهای بدهکار تسویه شده (روز)]]*Main[[#This Row],[مانده در خط تسویه شده (کیلوگرم)]]</f>
        <v>42150</v>
      </c>
      <c r="AA1327" s="6">
        <f ca="1">SUBTOTAL(9,INDEX(Main[بدهی تسویه نشده (کیلوگرم)],1):Main[[#This Row],[بدهی تسویه نشده (کیلوگرم)]])</f>
        <v>0</v>
      </c>
      <c r="AB1327" s="6">
        <f ca="1">IF(Main[[#This Row],[مانده در خط تسویه نشده (کیلوگرم)]]&lt;&gt;0,Main[[#This Row],[تعداد کل روزهای بدهکار (روز)]],0)</f>
        <v>0</v>
      </c>
      <c r="AC1327" s="6">
        <f ca="1">Main[[#This Row],[تعداد روزهای بدهکار  تسویه نشده (روز)]]*Main[[#This Row],[مانده در خط تسویه نشده (کیلوگرم)]]</f>
        <v>0</v>
      </c>
      <c r="AD1327" s="6">
        <f ca="1">SUBTOTAL(9,INDEX(Main[بدهی سررسید شده (کیلوگرم)],1):Main[[#This Row],[بدهی سررسید شده (کیلوگرم)]])</f>
        <v>0</v>
      </c>
      <c r="AE1327" s="6">
        <f ca="1">IF(Main[[#This Row],[مانده در خط سررسید شده (کیلوگرم)]]&lt;&gt;0,Main[[#This Row],[تعداد کل روزهای بدهکار (روز)]],0)</f>
        <v>0</v>
      </c>
      <c r="AF1327" s="6">
        <f ca="1">Main[[#This Row],[تعداد روزهای بدهکار سررسید شده (روز)]]*Main[[#This Row],[مانده در خط سررسید شده (کیلوگرم)]]</f>
        <v>0</v>
      </c>
    </row>
    <row r="1328" spans="1:32" hidden="1" x14ac:dyDescent="0.35">
      <c r="A1328" s="5">
        <f>ROW()-ROW(INDEX(Main[ردیف],1))+1</f>
        <v>1326</v>
      </c>
      <c r="B1328" s="31">
        <f>SUBTOTAL(2,INDEX(Main[ردیف],1):Main[[#This Row],[ردیف]])</f>
        <v>118</v>
      </c>
      <c r="C1328" s="32" t="s">
        <v>642</v>
      </c>
      <c r="D1328" s="32" t="str">
        <f>_xlfn.CONCAT("14",Main[[#This Row],[تاريخ]])</f>
        <v>1400/05/19</v>
      </c>
      <c r="E1328" s="33">
        <v>44418</v>
      </c>
      <c r="F1328" s="32">
        <v>10004</v>
      </c>
      <c r="G1328" s="5" t="str">
        <f>INDEX(customer[عنوان],MATCH(Main[[#This Row],[کد ردیابی]],customer[کد],0))</f>
        <v xml:space="preserve">محمد عباسی </v>
      </c>
      <c r="H1328">
        <v>-1000</v>
      </c>
      <c r="I1328" s="6">
        <f ca="1">-Main[[#This Row],[بدهی تسویه شده (کیلوگرم)]]+Main[[#This Row],[بستانکار (کیلوگرم)]]</f>
        <v>-1000</v>
      </c>
      <c r="J1328" s="6">
        <f>IF(Main[[#This Row],[مقدار (کیلوگرم)]]&gt;0,Main[[#This Row],[مقدار (کیلوگرم)]],0)</f>
        <v>0</v>
      </c>
      <c r="K1328" s="6">
        <f>-IF(Main[[#This Row],[مقدار (کیلوگرم)]]&lt;0,Main[[#This Row],[مقدار (کیلوگرم)]],0)</f>
        <v>1000</v>
      </c>
      <c r="L13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8" s="7">
        <f>-IF(AND(Main[[#This Row],[مقدار (کیلوگرم)]]&lt;0,Main[[#This Row],[تاريخ میلادی]]&gt;44276),Main[[#This Row],[مقدار (کیلوگرم)]],0)</f>
        <v>1000</v>
      </c>
      <c r="N1328" s="6">
        <f ca="1">Main[[#This Row],[بدهکار (کیلوگرم)]]-Main[[#This Row],[بدهی تسویه نشده (کیلوگرم)]]</f>
        <v>1000</v>
      </c>
      <c r="O1328" s="6">
        <f ca="1">Main[[#This Row],[تفکیک]]</f>
        <v>0</v>
      </c>
      <c r="P1328" s="6">
        <f ca="1">IF(Main[[#This Row],[تاخیر از سررسید]]&gt;0,Main[[#This Row],[بدهی تسویه نشده (کیلوگرم)]],0)</f>
        <v>0</v>
      </c>
      <c r="Q1328" s="6">
        <f ca="1">IF(Main[[#This Row],[بدهی تسویه نشده (کیلوگرم)]]&gt;0,'گزارش فردی'!$B$7-Main[[#This Row],[تاريخ میلادی]],0)</f>
        <v>0</v>
      </c>
      <c r="R1328" s="6">
        <f ca="1">IF(Main[[#This Row],[بدهی تسویه نشده (کیلوگرم)]]&gt;0,'گزارش فردی'!$B$7-Main[[#This Row],[تاريخ میلادی]]-'گزارش فردی'!$B$8,0)</f>
        <v>0</v>
      </c>
      <c r="S1328" s="6">
        <f ca="1">Main[[#This Row],[روز از ارسال سفارش]]*Main[[#This Row],[بدهی تسویه نشده (کیلوگرم)]]</f>
        <v>0</v>
      </c>
      <c r="T1328" s="6">
        <f ca="1">Main[[#This Row],[بدهی سررسید شده (کیلوگرم)]]*Main[[#This Row],[روز از ارسال سفارش]]</f>
        <v>0</v>
      </c>
      <c r="U1328" s="6">
        <f>-SUBTOTAL(9,INDEX(Main[مقدار (کیلوگرم)],1):Main[[#This Row],[مقدار (کیلوگرم)]])</f>
        <v>42150</v>
      </c>
      <c r="V13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8" s="6">
        <f>Main[[#This Row],[تعداد کل روزهای بدهکار (روز)]]*Main[[#This Row],[مانده در خط کل (کیلوگرم)]]</f>
        <v>42150</v>
      </c>
      <c r="X1328" s="6">
        <f ca="1">-SUBTOTAL(9,INDEX(Main[مقدار تسویه شده (کیلوگرم)],1):Main[[#This Row],[مقدار تسویه شده (کیلوگرم)]])</f>
        <v>42150</v>
      </c>
      <c r="Y1328" s="6">
        <f ca="1">IF(Main[[#This Row],[مانده در خط تسویه شده (کیلوگرم)]]&lt;&gt;0,Main[[#This Row],[تعداد کل روزهای بدهکار (روز)]],0)</f>
        <v>1</v>
      </c>
      <c r="Z1328" s="6">
        <f ca="1">Main[[#This Row],[تعداد روزهای بدهکار تسویه شده (روز)]]*Main[[#This Row],[مانده در خط تسویه شده (کیلوگرم)]]</f>
        <v>42150</v>
      </c>
      <c r="AA1328" s="6">
        <f ca="1">SUBTOTAL(9,INDEX(Main[بدهی تسویه نشده (کیلوگرم)],1):Main[[#This Row],[بدهی تسویه نشده (کیلوگرم)]])</f>
        <v>0</v>
      </c>
      <c r="AB1328" s="6">
        <f ca="1">IF(Main[[#This Row],[مانده در خط تسویه نشده (کیلوگرم)]]&lt;&gt;0,Main[[#This Row],[تعداد کل روزهای بدهکار (روز)]],0)</f>
        <v>0</v>
      </c>
      <c r="AC1328" s="6">
        <f ca="1">Main[[#This Row],[تعداد روزهای بدهکار  تسویه نشده (روز)]]*Main[[#This Row],[مانده در خط تسویه نشده (کیلوگرم)]]</f>
        <v>0</v>
      </c>
      <c r="AD1328" s="6">
        <f ca="1">SUBTOTAL(9,INDEX(Main[بدهی سررسید شده (کیلوگرم)],1):Main[[#This Row],[بدهی سررسید شده (کیلوگرم)]])</f>
        <v>0</v>
      </c>
      <c r="AE1328" s="6">
        <f ca="1">IF(Main[[#This Row],[مانده در خط سررسید شده (کیلوگرم)]]&lt;&gt;0,Main[[#This Row],[تعداد کل روزهای بدهکار (روز)]],0)</f>
        <v>0</v>
      </c>
      <c r="AF1328" s="6">
        <f ca="1">Main[[#This Row],[تعداد روزهای بدهکار سررسید شده (روز)]]*Main[[#This Row],[مانده در خط سررسید شده (کیلوگرم)]]</f>
        <v>0</v>
      </c>
    </row>
    <row r="1329" spans="1:32" hidden="1" x14ac:dyDescent="0.35">
      <c r="A1329" s="5">
        <f>ROW()-ROW(INDEX(Main[ردیف],1))+1</f>
        <v>1327</v>
      </c>
      <c r="B1329" s="31">
        <f>SUBTOTAL(2,INDEX(Main[ردیف],1):Main[[#This Row],[ردیف]])</f>
        <v>118</v>
      </c>
      <c r="C1329" s="32" t="s">
        <v>642</v>
      </c>
      <c r="D1329" s="32" t="str">
        <f>_xlfn.CONCAT("14",Main[[#This Row],[تاريخ]])</f>
        <v>1400/05/19</v>
      </c>
      <c r="E1329" s="33">
        <v>44418</v>
      </c>
      <c r="F1329" s="32">
        <v>10002</v>
      </c>
      <c r="G1329" s="5" t="str">
        <f>INDEX(customer[عنوان],MATCH(Main[[#This Row],[کد ردیابی]],customer[کد],0))</f>
        <v xml:space="preserve">موسوی اصفهان </v>
      </c>
      <c r="H1329">
        <v>1502</v>
      </c>
      <c r="I1329" s="6">
        <f ca="1">-Main[[#This Row],[بدهی تسویه شده (کیلوگرم)]]+Main[[#This Row],[بستانکار (کیلوگرم)]]</f>
        <v>1502</v>
      </c>
      <c r="J1329" s="6">
        <f>IF(Main[[#This Row],[مقدار (کیلوگرم)]]&gt;0,Main[[#This Row],[مقدار (کیلوگرم)]],0)</f>
        <v>1502</v>
      </c>
      <c r="K1329" s="6">
        <f>-IF(Main[[#This Row],[مقدار (کیلوگرم)]]&lt;0,Main[[#This Row],[مقدار (کیلوگرم)]],0)</f>
        <v>0</v>
      </c>
      <c r="L13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9" s="7">
        <f>-IF(AND(Main[[#This Row],[مقدار (کیلوگرم)]]&lt;0,Main[[#This Row],[تاريخ میلادی]]&gt;44276),Main[[#This Row],[مقدار (کیلوگرم)]],0)</f>
        <v>0</v>
      </c>
      <c r="N1329" s="6">
        <f ca="1">Main[[#This Row],[بدهکار (کیلوگرم)]]-Main[[#This Row],[بدهی تسویه نشده (کیلوگرم)]]</f>
        <v>0</v>
      </c>
      <c r="O1329" s="6">
        <f ca="1">Main[[#This Row],[تفکیک]]</f>
        <v>0</v>
      </c>
      <c r="P1329" s="6">
        <f ca="1">IF(Main[[#This Row],[تاخیر از سررسید]]&gt;0,Main[[#This Row],[بدهی تسویه نشده (کیلوگرم)]],0)</f>
        <v>0</v>
      </c>
      <c r="Q1329" s="6">
        <f ca="1">IF(Main[[#This Row],[بدهی تسویه نشده (کیلوگرم)]]&gt;0,'گزارش فردی'!$B$7-Main[[#This Row],[تاريخ میلادی]],0)</f>
        <v>0</v>
      </c>
      <c r="R1329" s="6">
        <f ca="1">IF(Main[[#This Row],[بدهی تسویه نشده (کیلوگرم)]]&gt;0,'گزارش فردی'!$B$7-Main[[#This Row],[تاريخ میلادی]]-'گزارش فردی'!$B$8,0)</f>
        <v>0</v>
      </c>
      <c r="S1329" s="6">
        <f ca="1">Main[[#This Row],[روز از ارسال سفارش]]*Main[[#This Row],[بدهی تسویه نشده (کیلوگرم)]]</f>
        <v>0</v>
      </c>
      <c r="T1329" s="6">
        <f ca="1">Main[[#This Row],[بدهی سررسید شده (کیلوگرم)]]*Main[[#This Row],[روز از ارسال سفارش]]</f>
        <v>0</v>
      </c>
      <c r="U1329" s="6">
        <f>-SUBTOTAL(9,INDEX(Main[مقدار (کیلوگرم)],1):Main[[#This Row],[مقدار (کیلوگرم)]])</f>
        <v>42150</v>
      </c>
      <c r="V13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9" s="6">
        <f>Main[[#This Row],[تعداد کل روزهای بدهکار (روز)]]*Main[[#This Row],[مانده در خط کل (کیلوگرم)]]</f>
        <v>42150</v>
      </c>
      <c r="X1329" s="6">
        <f ca="1">-SUBTOTAL(9,INDEX(Main[مقدار تسویه شده (کیلوگرم)],1):Main[[#This Row],[مقدار تسویه شده (کیلوگرم)]])</f>
        <v>42150</v>
      </c>
      <c r="Y1329" s="6">
        <f ca="1">IF(Main[[#This Row],[مانده در خط تسویه شده (کیلوگرم)]]&lt;&gt;0,Main[[#This Row],[تعداد کل روزهای بدهکار (روز)]],0)</f>
        <v>1</v>
      </c>
      <c r="Z1329" s="6">
        <f ca="1">Main[[#This Row],[تعداد روزهای بدهکار تسویه شده (روز)]]*Main[[#This Row],[مانده در خط تسویه شده (کیلوگرم)]]</f>
        <v>42150</v>
      </c>
      <c r="AA1329" s="6">
        <f ca="1">SUBTOTAL(9,INDEX(Main[بدهی تسویه نشده (کیلوگرم)],1):Main[[#This Row],[بدهی تسویه نشده (کیلوگرم)]])</f>
        <v>0</v>
      </c>
      <c r="AB1329" s="6">
        <f ca="1">IF(Main[[#This Row],[مانده در خط تسویه نشده (کیلوگرم)]]&lt;&gt;0,Main[[#This Row],[تعداد کل روزهای بدهکار (روز)]],0)</f>
        <v>0</v>
      </c>
      <c r="AC1329" s="6">
        <f ca="1">Main[[#This Row],[تعداد روزهای بدهکار  تسویه نشده (روز)]]*Main[[#This Row],[مانده در خط تسویه نشده (کیلوگرم)]]</f>
        <v>0</v>
      </c>
      <c r="AD1329" s="6">
        <f ca="1">SUBTOTAL(9,INDEX(Main[بدهی سررسید شده (کیلوگرم)],1):Main[[#This Row],[بدهی سررسید شده (کیلوگرم)]])</f>
        <v>0</v>
      </c>
      <c r="AE1329" s="6">
        <f ca="1">IF(Main[[#This Row],[مانده در خط سررسید شده (کیلوگرم)]]&lt;&gt;0,Main[[#This Row],[تعداد کل روزهای بدهکار (روز)]],0)</f>
        <v>0</v>
      </c>
      <c r="AF1329" s="6">
        <f ca="1">Main[[#This Row],[تعداد روزهای بدهکار سررسید شده (روز)]]*Main[[#This Row],[مانده در خط سررسید شده (کیلوگرم)]]</f>
        <v>0</v>
      </c>
    </row>
    <row r="1330" spans="1:32" hidden="1" x14ac:dyDescent="0.35">
      <c r="A1330" s="5">
        <f>ROW()-ROW(INDEX(Main[ردیف],1))+1</f>
        <v>1328</v>
      </c>
      <c r="B1330" s="31">
        <f>SUBTOTAL(2,INDEX(Main[ردیف],1):Main[[#This Row],[ردیف]])</f>
        <v>118</v>
      </c>
      <c r="C1330" s="32" t="s">
        <v>644</v>
      </c>
      <c r="D1330" s="32" t="str">
        <f>_xlfn.CONCAT("14",Main[[#This Row],[تاريخ]])</f>
        <v>1400/05/20</v>
      </c>
      <c r="E1330" s="33">
        <v>44419</v>
      </c>
      <c r="F1330" s="32">
        <v>30004</v>
      </c>
      <c r="G1330" s="5" t="str">
        <f>INDEX(customer[عنوان],MATCH(Main[[#This Row],[کد ردیابی]],customer[کد],0))</f>
        <v>تولیدی صنعتی صفاشیر پارس</v>
      </c>
      <c r="H1330">
        <v>-4238</v>
      </c>
      <c r="I1330" s="6">
        <f ca="1">-Main[[#This Row],[بدهی تسویه شده (کیلوگرم)]]+Main[[#This Row],[بستانکار (کیلوگرم)]]</f>
        <v>-4238</v>
      </c>
      <c r="J1330" s="6">
        <f>IF(Main[[#This Row],[مقدار (کیلوگرم)]]&gt;0,Main[[#This Row],[مقدار (کیلوگرم)]],0)</f>
        <v>0</v>
      </c>
      <c r="K1330" s="6">
        <f>-IF(Main[[#This Row],[مقدار (کیلوگرم)]]&lt;0,Main[[#This Row],[مقدار (کیلوگرم)]],0)</f>
        <v>4238</v>
      </c>
      <c r="L13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0" s="7">
        <f>-IF(AND(Main[[#This Row],[مقدار (کیلوگرم)]]&lt;0,Main[[#This Row],[تاريخ میلادی]]&gt;44276),Main[[#This Row],[مقدار (کیلوگرم)]],0)</f>
        <v>4238</v>
      </c>
      <c r="N1330" s="6">
        <f ca="1">Main[[#This Row],[بدهکار (کیلوگرم)]]-Main[[#This Row],[بدهی تسویه نشده (کیلوگرم)]]</f>
        <v>4238</v>
      </c>
      <c r="O1330" s="6">
        <f ca="1">Main[[#This Row],[تفکیک]]</f>
        <v>0</v>
      </c>
      <c r="P1330" s="6">
        <f ca="1">IF(Main[[#This Row],[تاخیر از سررسید]]&gt;0,Main[[#This Row],[بدهی تسویه نشده (کیلوگرم)]],0)</f>
        <v>0</v>
      </c>
      <c r="Q1330" s="6">
        <f ca="1">IF(Main[[#This Row],[بدهی تسویه نشده (کیلوگرم)]]&gt;0,'گزارش فردی'!$B$7-Main[[#This Row],[تاريخ میلادی]],0)</f>
        <v>0</v>
      </c>
      <c r="R1330" s="6">
        <f ca="1">IF(Main[[#This Row],[بدهی تسویه نشده (کیلوگرم)]]&gt;0,'گزارش فردی'!$B$7-Main[[#This Row],[تاريخ میلادی]]-'گزارش فردی'!$B$8,0)</f>
        <v>0</v>
      </c>
      <c r="S1330" s="6">
        <f ca="1">Main[[#This Row],[روز از ارسال سفارش]]*Main[[#This Row],[بدهی تسویه نشده (کیلوگرم)]]</f>
        <v>0</v>
      </c>
      <c r="T1330" s="6">
        <f ca="1">Main[[#This Row],[بدهی سررسید شده (کیلوگرم)]]*Main[[#This Row],[روز از ارسال سفارش]]</f>
        <v>0</v>
      </c>
      <c r="U1330" s="6">
        <f>-SUBTOTAL(9,INDEX(Main[مقدار (کیلوگرم)],1):Main[[#This Row],[مقدار (کیلوگرم)]])</f>
        <v>42150</v>
      </c>
      <c r="V13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0" s="6">
        <f>Main[[#This Row],[تعداد کل روزهای بدهکار (روز)]]*Main[[#This Row],[مانده در خط کل (کیلوگرم)]]</f>
        <v>0</v>
      </c>
      <c r="X1330" s="6">
        <f ca="1">-SUBTOTAL(9,INDEX(Main[مقدار تسویه شده (کیلوگرم)],1):Main[[#This Row],[مقدار تسویه شده (کیلوگرم)]])</f>
        <v>42150</v>
      </c>
      <c r="Y1330" s="6">
        <f ca="1">IF(Main[[#This Row],[مانده در خط تسویه شده (کیلوگرم)]]&lt;&gt;0,Main[[#This Row],[تعداد کل روزهای بدهکار (روز)]],0)</f>
        <v>0</v>
      </c>
      <c r="Z1330" s="6">
        <f ca="1">Main[[#This Row],[تعداد روزهای بدهکار تسویه شده (روز)]]*Main[[#This Row],[مانده در خط تسویه شده (کیلوگرم)]]</f>
        <v>0</v>
      </c>
      <c r="AA1330" s="6">
        <f ca="1">SUBTOTAL(9,INDEX(Main[بدهی تسویه نشده (کیلوگرم)],1):Main[[#This Row],[بدهی تسویه نشده (کیلوگرم)]])</f>
        <v>0</v>
      </c>
      <c r="AB1330" s="6">
        <f ca="1">IF(Main[[#This Row],[مانده در خط تسویه نشده (کیلوگرم)]]&lt;&gt;0,Main[[#This Row],[تعداد کل روزهای بدهکار (روز)]],0)</f>
        <v>0</v>
      </c>
      <c r="AC1330" s="6">
        <f ca="1">Main[[#This Row],[تعداد روزهای بدهکار  تسویه نشده (روز)]]*Main[[#This Row],[مانده در خط تسویه نشده (کیلوگرم)]]</f>
        <v>0</v>
      </c>
      <c r="AD1330" s="6">
        <f ca="1">SUBTOTAL(9,INDEX(Main[بدهی سررسید شده (کیلوگرم)],1):Main[[#This Row],[بدهی سررسید شده (کیلوگرم)]])</f>
        <v>0</v>
      </c>
      <c r="AE1330" s="6">
        <f ca="1">IF(Main[[#This Row],[مانده در خط سررسید شده (کیلوگرم)]]&lt;&gt;0,Main[[#This Row],[تعداد کل روزهای بدهکار (روز)]],0)</f>
        <v>0</v>
      </c>
      <c r="AF1330" s="6">
        <f ca="1">Main[[#This Row],[تعداد روزهای بدهکار سررسید شده (روز)]]*Main[[#This Row],[مانده در خط سررسید شده (کیلوگرم)]]</f>
        <v>0</v>
      </c>
    </row>
    <row r="1331" spans="1:32" hidden="1" x14ac:dyDescent="0.35">
      <c r="A1331" s="5">
        <f>ROW()-ROW(INDEX(Main[ردیف],1))+1</f>
        <v>1329</v>
      </c>
      <c r="B1331" s="31">
        <f>SUBTOTAL(2,INDEX(Main[ردیف],1):Main[[#This Row],[ردیف]])</f>
        <v>118</v>
      </c>
      <c r="C1331" s="32" t="s">
        <v>644</v>
      </c>
      <c r="D1331" s="32" t="str">
        <f>_xlfn.CONCAT("14",Main[[#This Row],[تاريخ]])</f>
        <v>1400/05/20</v>
      </c>
      <c r="E1331" s="33">
        <v>44419</v>
      </c>
      <c r="F1331" s="32">
        <v>10055</v>
      </c>
      <c r="G1331" s="5" t="str">
        <f>INDEX(customer[عنوان],MATCH(Main[[#This Row],[کد ردیابی]],customer[کد],0))</f>
        <v xml:space="preserve">مریم فیض آبادی  </v>
      </c>
      <c r="H1331">
        <v>5354</v>
      </c>
      <c r="I1331" s="6">
        <f ca="1">-Main[[#This Row],[بدهی تسویه شده (کیلوگرم)]]+Main[[#This Row],[بستانکار (کیلوگرم)]]</f>
        <v>5354</v>
      </c>
      <c r="J1331" s="6">
        <f>IF(Main[[#This Row],[مقدار (کیلوگرم)]]&gt;0,Main[[#This Row],[مقدار (کیلوگرم)]],0)</f>
        <v>5354</v>
      </c>
      <c r="K1331" s="6">
        <f>-IF(Main[[#This Row],[مقدار (کیلوگرم)]]&lt;0,Main[[#This Row],[مقدار (کیلوگرم)]],0)</f>
        <v>0</v>
      </c>
      <c r="L13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1" s="7">
        <f>-IF(AND(Main[[#This Row],[مقدار (کیلوگرم)]]&lt;0,Main[[#This Row],[تاريخ میلادی]]&gt;44276),Main[[#This Row],[مقدار (کیلوگرم)]],0)</f>
        <v>0</v>
      </c>
      <c r="N1331" s="6">
        <f ca="1">Main[[#This Row],[بدهکار (کیلوگرم)]]-Main[[#This Row],[بدهی تسویه نشده (کیلوگرم)]]</f>
        <v>0</v>
      </c>
      <c r="O1331" s="6">
        <f ca="1">Main[[#This Row],[تفکیک]]</f>
        <v>0</v>
      </c>
      <c r="P1331" s="6">
        <f ca="1">IF(Main[[#This Row],[تاخیر از سررسید]]&gt;0,Main[[#This Row],[بدهی تسویه نشده (کیلوگرم)]],0)</f>
        <v>0</v>
      </c>
      <c r="Q1331" s="6">
        <f ca="1">IF(Main[[#This Row],[بدهی تسویه نشده (کیلوگرم)]]&gt;0,'گزارش فردی'!$B$7-Main[[#This Row],[تاريخ میلادی]],0)</f>
        <v>0</v>
      </c>
      <c r="R1331" s="6">
        <f ca="1">IF(Main[[#This Row],[بدهی تسویه نشده (کیلوگرم)]]&gt;0,'گزارش فردی'!$B$7-Main[[#This Row],[تاريخ میلادی]]-'گزارش فردی'!$B$8,0)</f>
        <v>0</v>
      </c>
      <c r="S1331" s="6">
        <f ca="1">Main[[#This Row],[روز از ارسال سفارش]]*Main[[#This Row],[بدهی تسویه نشده (کیلوگرم)]]</f>
        <v>0</v>
      </c>
      <c r="T1331" s="6">
        <f ca="1">Main[[#This Row],[بدهی سررسید شده (کیلوگرم)]]*Main[[#This Row],[روز از ارسال سفارش]]</f>
        <v>0</v>
      </c>
      <c r="U1331" s="6">
        <f>-SUBTOTAL(9,INDEX(Main[مقدار (کیلوگرم)],1):Main[[#This Row],[مقدار (کیلوگرم)]])</f>
        <v>42150</v>
      </c>
      <c r="V13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1" s="6">
        <f>Main[[#This Row],[تعداد کل روزهای بدهکار (روز)]]*Main[[#This Row],[مانده در خط کل (کیلوگرم)]]</f>
        <v>0</v>
      </c>
      <c r="X1331" s="6">
        <f ca="1">-SUBTOTAL(9,INDEX(Main[مقدار تسویه شده (کیلوگرم)],1):Main[[#This Row],[مقدار تسویه شده (کیلوگرم)]])</f>
        <v>42150</v>
      </c>
      <c r="Y1331" s="6">
        <f ca="1">IF(Main[[#This Row],[مانده در خط تسویه شده (کیلوگرم)]]&lt;&gt;0,Main[[#This Row],[تعداد کل روزهای بدهکار (روز)]],0)</f>
        <v>0</v>
      </c>
      <c r="Z1331" s="6">
        <f ca="1">Main[[#This Row],[تعداد روزهای بدهکار تسویه شده (روز)]]*Main[[#This Row],[مانده در خط تسویه شده (کیلوگرم)]]</f>
        <v>0</v>
      </c>
      <c r="AA1331" s="6">
        <f ca="1">SUBTOTAL(9,INDEX(Main[بدهی تسویه نشده (کیلوگرم)],1):Main[[#This Row],[بدهی تسویه نشده (کیلوگرم)]])</f>
        <v>0</v>
      </c>
      <c r="AB1331" s="6">
        <f ca="1">IF(Main[[#This Row],[مانده در خط تسویه نشده (کیلوگرم)]]&lt;&gt;0,Main[[#This Row],[تعداد کل روزهای بدهکار (روز)]],0)</f>
        <v>0</v>
      </c>
      <c r="AC1331" s="6">
        <f ca="1">Main[[#This Row],[تعداد روزهای بدهکار  تسویه نشده (روز)]]*Main[[#This Row],[مانده در خط تسویه نشده (کیلوگرم)]]</f>
        <v>0</v>
      </c>
      <c r="AD1331" s="6">
        <f ca="1">SUBTOTAL(9,INDEX(Main[بدهی سررسید شده (کیلوگرم)],1):Main[[#This Row],[بدهی سررسید شده (کیلوگرم)]])</f>
        <v>0</v>
      </c>
      <c r="AE1331" s="6">
        <f ca="1">IF(Main[[#This Row],[مانده در خط سررسید شده (کیلوگرم)]]&lt;&gt;0,Main[[#This Row],[تعداد کل روزهای بدهکار (روز)]],0)</f>
        <v>0</v>
      </c>
      <c r="AF1331" s="6">
        <f ca="1">Main[[#This Row],[تعداد روزهای بدهکار سررسید شده (روز)]]*Main[[#This Row],[مانده در خط سررسید شده (کیلوگرم)]]</f>
        <v>0</v>
      </c>
    </row>
    <row r="1332" spans="1:32" hidden="1" x14ac:dyDescent="0.35">
      <c r="A1332" s="5">
        <f>ROW()-ROW(INDEX(Main[ردیف],1))+1</f>
        <v>1330</v>
      </c>
      <c r="B1332" s="31">
        <f>SUBTOTAL(2,INDEX(Main[ردیف],1):Main[[#This Row],[ردیف]])</f>
        <v>118</v>
      </c>
      <c r="C1332" s="32" t="s">
        <v>644</v>
      </c>
      <c r="D1332" s="32" t="str">
        <f>_xlfn.CONCAT("14",Main[[#This Row],[تاريخ]])</f>
        <v>1400/05/20</v>
      </c>
      <c r="E1332" s="33">
        <v>44419</v>
      </c>
      <c r="F1332" s="32">
        <v>10128</v>
      </c>
      <c r="G1332" s="5" t="str">
        <f>INDEX(customer[عنوان],MATCH(Main[[#This Row],[کد ردیابی]],customer[کد],0))</f>
        <v xml:space="preserve">رویا اصلانی </v>
      </c>
      <c r="H1332">
        <v>-500</v>
      </c>
      <c r="I1332" s="6">
        <f ca="1">-Main[[#This Row],[بدهی تسویه شده (کیلوگرم)]]+Main[[#This Row],[بستانکار (کیلوگرم)]]</f>
        <v>-500</v>
      </c>
      <c r="J1332" s="6">
        <f>IF(Main[[#This Row],[مقدار (کیلوگرم)]]&gt;0,Main[[#This Row],[مقدار (کیلوگرم)]],0)</f>
        <v>0</v>
      </c>
      <c r="K1332" s="6">
        <f>-IF(Main[[#This Row],[مقدار (کیلوگرم)]]&lt;0,Main[[#This Row],[مقدار (کیلوگرم)]],0)</f>
        <v>500</v>
      </c>
      <c r="L13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2" s="7">
        <f>-IF(AND(Main[[#This Row],[مقدار (کیلوگرم)]]&lt;0,Main[[#This Row],[تاريخ میلادی]]&gt;44276),Main[[#This Row],[مقدار (کیلوگرم)]],0)</f>
        <v>500</v>
      </c>
      <c r="N1332" s="6">
        <f ca="1">Main[[#This Row],[بدهکار (کیلوگرم)]]-Main[[#This Row],[بدهی تسویه نشده (کیلوگرم)]]</f>
        <v>500</v>
      </c>
      <c r="O1332" s="6">
        <f ca="1">Main[[#This Row],[تفکیک]]</f>
        <v>0</v>
      </c>
      <c r="P1332" s="6">
        <f ca="1">IF(Main[[#This Row],[تاخیر از سررسید]]&gt;0,Main[[#This Row],[بدهی تسویه نشده (کیلوگرم)]],0)</f>
        <v>0</v>
      </c>
      <c r="Q1332" s="6">
        <f ca="1">IF(Main[[#This Row],[بدهی تسویه نشده (کیلوگرم)]]&gt;0,'گزارش فردی'!$B$7-Main[[#This Row],[تاريخ میلادی]],0)</f>
        <v>0</v>
      </c>
      <c r="R1332" s="6">
        <f ca="1">IF(Main[[#This Row],[بدهی تسویه نشده (کیلوگرم)]]&gt;0,'گزارش فردی'!$B$7-Main[[#This Row],[تاريخ میلادی]]-'گزارش فردی'!$B$8,0)</f>
        <v>0</v>
      </c>
      <c r="S1332" s="6">
        <f ca="1">Main[[#This Row],[روز از ارسال سفارش]]*Main[[#This Row],[بدهی تسویه نشده (کیلوگرم)]]</f>
        <v>0</v>
      </c>
      <c r="T1332" s="6">
        <f ca="1">Main[[#This Row],[بدهی سررسید شده (کیلوگرم)]]*Main[[#This Row],[روز از ارسال سفارش]]</f>
        <v>0</v>
      </c>
      <c r="U1332" s="6">
        <f>-SUBTOTAL(9,INDEX(Main[مقدار (کیلوگرم)],1):Main[[#This Row],[مقدار (کیلوگرم)]])</f>
        <v>42150</v>
      </c>
      <c r="V13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2" s="6">
        <f>Main[[#This Row],[تعداد کل روزهای بدهکار (روز)]]*Main[[#This Row],[مانده در خط کل (کیلوگرم)]]</f>
        <v>0</v>
      </c>
      <c r="X1332" s="6">
        <f ca="1">-SUBTOTAL(9,INDEX(Main[مقدار تسویه شده (کیلوگرم)],1):Main[[#This Row],[مقدار تسویه شده (کیلوگرم)]])</f>
        <v>42150</v>
      </c>
      <c r="Y1332" s="6">
        <f ca="1">IF(Main[[#This Row],[مانده در خط تسویه شده (کیلوگرم)]]&lt;&gt;0,Main[[#This Row],[تعداد کل روزهای بدهکار (روز)]],0)</f>
        <v>0</v>
      </c>
      <c r="Z1332" s="6">
        <f ca="1">Main[[#This Row],[تعداد روزهای بدهکار تسویه شده (روز)]]*Main[[#This Row],[مانده در خط تسویه شده (کیلوگرم)]]</f>
        <v>0</v>
      </c>
      <c r="AA1332" s="6">
        <f ca="1">SUBTOTAL(9,INDEX(Main[بدهی تسویه نشده (کیلوگرم)],1):Main[[#This Row],[بدهی تسویه نشده (کیلوگرم)]])</f>
        <v>0</v>
      </c>
      <c r="AB1332" s="6">
        <f ca="1">IF(Main[[#This Row],[مانده در خط تسویه نشده (کیلوگرم)]]&lt;&gt;0,Main[[#This Row],[تعداد کل روزهای بدهکار (روز)]],0)</f>
        <v>0</v>
      </c>
      <c r="AC1332" s="6">
        <f ca="1">Main[[#This Row],[تعداد روزهای بدهکار  تسویه نشده (روز)]]*Main[[#This Row],[مانده در خط تسویه نشده (کیلوگرم)]]</f>
        <v>0</v>
      </c>
      <c r="AD1332" s="6">
        <f ca="1">SUBTOTAL(9,INDEX(Main[بدهی سررسید شده (کیلوگرم)],1):Main[[#This Row],[بدهی سررسید شده (کیلوگرم)]])</f>
        <v>0</v>
      </c>
      <c r="AE1332" s="6">
        <f ca="1">IF(Main[[#This Row],[مانده در خط سررسید شده (کیلوگرم)]]&lt;&gt;0,Main[[#This Row],[تعداد کل روزهای بدهکار (روز)]],0)</f>
        <v>0</v>
      </c>
      <c r="AF1332" s="6">
        <f ca="1">Main[[#This Row],[تعداد روزهای بدهکار سررسید شده (روز)]]*Main[[#This Row],[مانده در خط سررسید شده (کیلوگرم)]]</f>
        <v>0</v>
      </c>
    </row>
    <row r="1333" spans="1:32" hidden="1" x14ac:dyDescent="0.35">
      <c r="A1333" s="5">
        <f>ROW()-ROW(INDEX(Main[ردیف],1))+1</f>
        <v>1331</v>
      </c>
      <c r="B1333" s="31">
        <f>SUBTOTAL(2,INDEX(Main[ردیف],1):Main[[#This Row],[ردیف]])</f>
        <v>118</v>
      </c>
      <c r="C1333" s="32" t="s">
        <v>644</v>
      </c>
      <c r="D1333" s="32" t="str">
        <f>_xlfn.CONCAT("14",Main[[#This Row],[تاريخ]])</f>
        <v>1400/05/20</v>
      </c>
      <c r="E1333" s="33">
        <v>44419</v>
      </c>
      <c r="F1333" s="32">
        <v>30009</v>
      </c>
      <c r="G1333" s="5" t="str">
        <f>INDEX(customer[عنوان],MATCH(Main[[#This Row],[کد ردیابی]],customer[کد],0))</f>
        <v>شرکت ایمن تک پیشرو</v>
      </c>
      <c r="H1333">
        <v>1407</v>
      </c>
      <c r="I1333" s="6">
        <f ca="1">-Main[[#This Row],[بدهی تسویه شده (کیلوگرم)]]+Main[[#This Row],[بستانکار (کیلوگرم)]]</f>
        <v>1407</v>
      </c>
      <c r="J1333" s="6">
        <f>IF(Main[[#This Row],[مقدار (کیلوگرم)]]&gt;0,Main[[#This Row],[مقدار (کیلوگرم)]],0)</f>
        <v>1407</v>
      </c>
      <c r="K1333" s="6">
        <f>-IF(Main[[#This Row],[مقدار (کیلوگرم)]]&lt;0,Main[[#This Row],[مقدار (کیلوگرم)]],0)</f>
        <v>0</v>
      </c>
      <c r="L13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3" s="7">
        <f>-IF(AND(Main[[#This Row],[مقدار (کیلوگرم)]]&lt;0,Main[[#This Row],[تاريخ میلادی]]&gt;44276),Main[[#This Row],[مقدار (کیلوگرم)]],0)</f>
        <v>0</v>
      </c>
      <c r="N1333" s="6">
        <f ca="1">Main[[#This Row],[بدهکار (کیلوگرم)]]-Main[[#This Row],[بدهی تسویه نشده (کیلوگرم)]]</f>
        <v>0</v>
      </c>
      <c r="O1333" s="6">
        <f ca="1">Main[[#This Row],[تفکیک]]</f>
        <v>0</v>
      </c>
      <c r="P1333" s="6">
        <f ca="1">IF(Main[[#This Row],[تاخیر از سررسید]]&gt;0,Main[[#This Row],[بدهی تسویه نشده (کیلوگرم)]],0)</f>
        <v>0</v>
      </c>
      <c r="Q1333" s="6">
        <f ca="1">IF(Main[[#This Row],[بدهی تسویه نشده (کیلوگرم)]]&gt;0,'گزارش فردی'!$B$7-Main[[#This Row],[تاريخ میلادی]],0)</f>
        <v>0</v>
      </c>
      <c r="R1333" s="6">
        <f ca="1">IF(Main[[#This Row],[بدهی تسویه نشده (کیلوگرم)]]&gt;0,'گزارش فردی'!$B$7-Main[[#This Row],[تاريخ میلادی]]-'گزارش فردی'!$B$8,0)</f>
        <v>0</v>
      </c>
      <c r="S1333" s="6">
        <f ca="1">Main[[#This Row],[روز از ارسال سفارش]]*Main[[#This Row],[بدهی تسویه نشده (کیلوگرم)]]</f>
        <v>0</v>
      </c>
      <c r="T1333" s="6">
        <f ca="1">Main[[#This Row],[بدهی سررسید شده (کیلوگرم)]]*Main[[#This Row],[روز از ارسال سفارش]]</f>
        <v>0</v>
      </c>
      <c r="U1333" s="6">
        <f>-SUBTOTAL(9,INDEX(Main[مقدار (کیلوگرم)],1):Main[[#This Row],[مقدار (کیلوگرم)]])</f>
        <v>42150</v>
      </c>
      <c r="V13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3" s="6">
        <f>Main[[#This Row],[تعداد کل روزهای بدهکار (روز)]]*Main[[#This Row],[مانده در خط کل (کیلوگرم)]]</f>
        <v>0</v>
      </c>
      <c r="X1333" s="6">
        <f ca="1">-SUBTOTAL(9,INDEX(Main[مقدار تسویه شده (کیلوگرم)],1):Main[[#This Row],[مقدار تسویه شده (کیلوگرم)]])</f>
        <v>42150</v>
      </c>
      <c r="Y1333" s="6">
        <f ca="1">IF(Main[[#This Row],[مانده در خط تسویه شده (کیلوگرم)]]&lt;&gt;0,Main[[#This Row],[تعداد کل روزهای بدهکار (روز)]],0)</f>
        <v>0</v>
      </c>
      <c r="Z1333" s="6">
        <f ca="1">Main[[#This Row],[تعداد روزهای بدهکار تسویه شده (روز)]]*Main[[#This Row],[مانده در خط تسویه شده (کیلوگرم)]]</f>
        <v>0</v>
      </c>
      <c r="AA1333" s="6">
        <f ca="1">SUBTOTAL(9,INDEX(Main[بدهی تسویه نشده (کیلوگرم)],1):Main[[#This Row],[بدهی تسویه نشده (کیلوگرم)]])</f>
        <v>0</v>
      </c>
      <c r="AB1333" s="6">
        <f ca="1">IF(Main[[#This Row],[مانده در خط تسویه نشده (کیلوگرم)]]&lt;&gt;0,Main[[#This Row],[تعداد کل روزهای بدهکار (روز)]],0)</f>
        <v>0</v>
      </c>
      <c r="AC1333" s="6">
        <f ca="1">Main[[#This Row],[تعداد روزهای بدهکار  تسویه نشده (روز)]]*Main[[#This Row],[مانده در خط تسویه نشده (کیلوگرم)]]</f>
        <v>0</v>
      </c>
      <c r="AD1333" s="6">
        <f ca="1">SUBTOTAL(9,INDEX(Main[بدهی سررسید شده (کیلوگرم)],1):Main[[#This Row],[بدهی سررسید شده (کیلوگرم)]])</f>
        <v>0</v>
      </c>
      <c r="AE1333" s="6">
        <f ca="1">IF(Main[[#This Row],[مانده در خط سررسید شده (کیلوگرم)]]&lt;&gt;0,Main[[#This Row],[تعداد کل روزهای بدهکار (روز)]],0)</f>
        <v>0</v>
      </c>
      <c r="AF1333" s="6">
        <f ca="1">Main[[#This Row],[تعداد روزهای بدهکار سررسید شده (روز)]]*Main[[#This Row],[مانده در خط سررسید شده (کیلوگرم)]]</f>
        <v>0</v>
      </c>
    </row>
    <row r="1334" spans="1:32" hidden="1" x14ac:dyDescent="0.35">
      <c r="A1334" s="5">
        <f>ROW()-ROW(INDEX(Main[ردیف],1))+1</f>
        <v>1332</v>
      </c>
      <c r="B1334" s="31">
        <f>SUBTOTAL(2,INDEX(Main[ردیف],1):Main[[#This Row],[ردیف]])</f>
        <v>118</v>
      </c>
      <c r="C1334" s="32" t="s">
        <v>644</v>
      </c>
      <c r="D1334" s="32" t="str">
        <f>_xlfn.CONCAT("14",Main[[#This Row],[تاريخ]])</f>
        <v>1400/05/20</v>
      </c>
      <c r="E1334" s="33">
        <v>44419</v>
      </c>
      <c r="F1334" s="32">
        <v>30009</v>
      </c>
      <c r="G1334" s="5" t="str">
        <f>INDEX(customer[عنوان],MATCH(Main[[#This Row],[کد ردیابی]],customer[کد],0))</f>
        <v>شرکت ایمن تک پیشرو</v>
      </c>
      <c r="H1334">
        <v>-1944</v>
      </c>
      <c r="I1334" s="6">
        <f ca="1">-Main[[#This Row],[بدهی تسویه شده (کیلوگرم)]]+Main[[#This Row],[بستانکار (کیلوگرم)]]</f>
        <v>-1944</v>
      </c>
      <c r="J1334" s="6">
        <f>IF(Main[[#This Row],[مقدار (کیلوگرم)]]&gt;0,Main[[#This Row],[مقدار (کیلوگرم)]],0)</f>
        <v>0</v>
      </c>
      <c r="K1334" s="6">
        <f>-IF(Main[[#This Row],[مقدار (کیلوگرم)]]&lt;0,Main[[#This Row],[مقدار (کیلوگرم)]],0)</f>
        <v>1944</v>
      </c>
      <c r="L13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4" s="7">
        <f>-IF(AND(Main[[#This Row],[مقدار (کیلوگرم)]]&lt;0,Main[[#This Row],[تاريخ میلادی]]&gt;44276),Main[[#This Row],[مقدار (کیلوگرم)]],0)</f>
        <v>1944</v>
      </c>
      <c r="N1334" s="6">
        <f ca="1">Main[[#This Row],[بدهکار (کیلوگرم)]]-Main[[#This Row],[بدهی تسویه نشده (کیلوگرم)]]</f>
        <v>1944</v>
      </c>
      <c r="O1334" s="6">
        <f ca="1">Main[[#This Row],[تفکیک]]</f>
        <v>0</v>
      </c>
      <c r="P1334" s="6">
        <f ca="1">IF(Main[[#This Row],[تاخیر از سررسید]]&gt;0,Main[[#This Row],[بدهی تسویه نشده (کیلوگرم)]],0)</f>
        <v>0</v>
      </c>
      <c r="Q1334" s="6">
        <f ca="1">IF(Main[[#This Row],[بدهی تسویه نشده (کیلوگرم)]]&gt;0,'گزارش فردی'!$B$7-Main[[#This Row],[تاريخ میلادی]],0)</f>
        <v>0</v>
      </c>
      <c r="R1334" s="6">
        <f ca="1">IF(Main[[#This Row],[بدهی تسویه نشده (کیلوگرم)]]&gt;0,'گزارش فردی'!$B$7-Main[[#This Row],[تاريخ میلادی]]-'گزارش فردی'!$B$8,0)</f>
        <v>0</v>
      </c>
      <c r="S1334" s="6">
        <f ca="1">Main[[#This Row],[روز از ارسال سفارش]]*Main[[#This Row],[بدهی تسویه نشده (کیلوگرم)]]</f>
        <v>0</v>
      </c>
      <c r="T1334" s="6">
        <f ca="1">Main[[#This Row],[بدهی سررسید شده (کیلوگرم)]]*Main[[#This Row],[روز از ارسال سفارش]]</f>
        <v>0</v>
      </c>
      <c r="U1334" s="6">
        <f>-SUBTOTAL(9,INDEX(Main[مقدار (کیلوگرم)],1):Main[[#This Row],[مقدار (کیلوگرم)]])</f>
        <v>42150</v>
      </c>
      <c r="V13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4" s="6">
        <f>Main[[#This Row],[تعداد کل روزهای بدهکار (روز)]]*Main[[#This Row],[مانده در خط کل (کیلوگرم)]]</f>
        <v>0</v>
      </c>
      <c r="X1334" s="6">
        <f ca="1">-SUBTOTAL(9,INDEX(Main[مقدار تسویه شده (کیلوگرم)],1):Main[[#This Row],[مقدار تسویه شده (کیلوگرم)]])</f>
        <v>42150</v>
      </c>
      <c r="Y1334" s="6">
        <f ca="1">IF(Main[[#This Row],[مانده در خط تسویه شده (کیلوگرم)]]&lt;&gt;0,Main[[#This Row],[تعداد کل روزهای بدهکار (روز)]],0)</f>
        <v>0</v>
      </c>
      <c r="Z1334" s="6">
        <f ca="1">Main[[#This Row],[تعداد روزهای بدهکار تسویه شده (روز)]]*Main[[#This Row],[مانده در خط تسویه شده (کیلوگرم)]]</f>
        <v>0</v>
      </c>
      <c r="AA1334" s="6">
        <f ca="1">SUBTOTAL(9,INDEX(Main[بدهی تسویه نشده (کیلوگرم)],1):Main[[#This Row],[بدهی تسویه نشده (کیلوگرم)]])</f>
        <v>0</v>
      </c>
      <c r="AB1334" s="6">
        <f ca="1">IF(Main[[#This Row],[مانده در خط تسویه نشده (کیلوگرم)]]&lt;&gt;0,Main[[#This Row],[تعداد کل روزهای بدهکار (روز)]],0)</f>
        <v>0</v>
      </c>
      <c r="AC1334" s="6">
        <f ca="1">Main[[#This Row],[تعداد روزهای بدهکار  تسویه نشده (روز)]]*Main[[#This Row],[مانده در خط تسویه نشده (کیلوگرم)]]</f>
        <v>0</v>
      </c>
      <c r="AD1334" s="6">
        <f ca="1">SUBTOTAL(9,INDEX(Main[بدهی سررسید شده (کیلوگرم)],1):Main[[#This Row],[بدهی سررسید شده (کیلوگرم)]])</f>
        <v>0</v>
      </c>
      <c r="AE1334" s="6">
        <f ca="1">IF(Main[[#This Row],[مانده در خط سررسید شده (کیلوگرم)]]&lt;&gt;0,Main[[#This Row],[تعداد کل روزهای بدهکار (روز)]],0)</f>
        <v>0</v>
      </c>
      <c r="AF1334" s="6">
        <f ca="1">Main[[#This Row],[تعداد روزهای بدهکار سررسید شده (روز)]]*Main[[#This Row],[مانده در خط سررسید شده (کیلوگرم)]]</f>
        <v>0</v>
      </c>
    </row>
    <row r="1335" spans="1:32" hidden="1" x14ac:dyDescent="0.35">
      <c r="A1335" s="5">
        <f>ROW()-ROW(INDEX(Main[ردیف],1))+1</f>
        <v>1333</v>
      </c>
      <c r="B1335" s="31">
        <f>SUBTOTAL(2,INDEX(Main[ردیف],1):Main[[#This Row],[ردیف]])</f>
        <v>118</v>
      </c>
      <c r="C1335" s="32" t="s">
        <v>644</v>
      </c>
      <c r="D1335" s="32" t="str">
        <f>_xlfn.CONCAT("14",Main[[#This Row],[تاريخ]])</f>
        <v>1400/05/20</v>
      </c>
      <c r="E1335" s="33">
        <v>44419</v>
      </c>
      <c r="F1335" s="32">
        <v>10128</v>
      </c>
      <c r="G1335" s="5" t="str">
        <f>INDEX(customer[عنوان],MATCH(Main[[#This Row],[کد ردیابی]],customer[کد],0))</f>
        <v xml:space="preserve">رویا اصلانی </v>
      </c>
      <c r="H1335">
        <v>271</v>
      </c>
      <c r="I1335" s="6">
        <f ca="1">-Main[[#This Row],[بدهی تسویه شده (کیلوگرم)]]+Main[[#This Row],[بستانکار (کیلوگرم)]]</f>
        <v>271</v>
      </c>
      <c r="J1335" s="6">
        <f>IF(Main[[#This Row],[مقدار (کیلوگرم)]]&gt;0,Main[[#This Row],[مقدار (کیلوگرم)]],0)</f>
        <v>271</v>
      </c>
      <c r="K1335" s="6">
        <f>-IF(Main[[#This Row],[مقدار (کیلوگرم)]]&lt;0,Main[[#This Row],[مقدار (کیلوگرم)]],0)</f>
        <v>0</v>
      </c>
      <c r="L13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5" s="7">
        <f>-IF(AND(Main[[#This Row],[مقدار (کیلوگرم)]]&lt;0,Main[[#This Row],[تاريخ میلادی]]&gt;44276),Main[[#This Row],[مقدار (کیلوگرم)]],0)</f>
        <v>0</v>
      </c>
      <c r="N1335" s="6">
        <f ca="1">Main[[#This Row],[بدهکار (کیلوگرم)]]-Main[[#This Row],[بدهی تسویه نشده (کیلوگرم)]]</f>
        <v>0</v>
      </c>
      <c r="O1335" s="6">
        <f ca="1">Main[[#This Row],[تفکیک]]</f>
        <v>0</v>
      </c>
      <c r="P1335" s="6">
        <f ca="1">IF(Main[[#This Row],[تاخیر از سررسید]]&gt;0,Main[[#This Row],[بدهی تسویه نشده (کیلوگرم)]],0)</f>
        <v>0</v>
      </c>
      <c r="Q1335" s="6">
        <f ca="1">IF(Main[[#This Row],[بدهی تسویه نشده (کیلوگرم)]]&gt;0,'گزارش فردی'!$B$7-Main[[#This Row],[تاريخ میلادی]],0)</f>
        <v>0</v>
      </c>
      <c r="R1335" s="6">
        <f ca="1">IF(Main[[#This Row],[بدهی تسویه نشده (کیلوگرم)]]&gt;0,'گزارش فردی'!$B$7-Main[[#This Row],[تاريخ میلادی]]-'گزارش فردی'!$B$8,0)</f>
        <v>0</v>
      </c>
      <c r="S1335" s="6">
        <f ca="1">Main[[#This Row],[روز از ارسال سفارش]]*Main[[#This Row],[بدهی تسویه نشده (کیلوگرم)]]</f>
        <v>0</v>
      </c>
      <c r="T1335" s="6">
        <f ca="1">Main[[#This Row],[بدهی سررسید شده (کیلوگرم)]]*Main[[#This Row],[روز از ارسال سفارش]]</f>
        <v>0</v>
      </c>
      <c r="U1335" s="6">
        <f>-SUBTOTAL(9,INDEX(Main[مقدار (کیلوگرم)],1):Main[[#This Row],[مقدار (کیلوگرم)]])</f>
        <v>42150</v>
      </c>
      <c r="V13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5" s="6">
        <f>Main[[#This Row],[تعداد کل روزهای بدهکار (روز)]]*Main[[#This Row],[مانده در خط کل (کیلوگرم)]]</f>
        <v>0</v>
      </c>
      <c r="X1335" s="6">
        <f ca="1">-SUBTOTAL(9,INDEX(Main[مقدار تسویه شده (کیلوگرم)],1):Main[[#This Row],[مقدار تسویه شده (کیلوگرم)]])</f>
        <v>42150</v>
      </c>
      <c r="Y1335" s="6">
        <f ca="1">IF(Main[[#This Row],[مانده در خط تسویه شده (کیلوگرم)]]&lt;&gt;0,Main[[#This Row],[تعداد کل روزهای بدهکار (روز)]],0)</f>
        <v>0</v>
      </c>
      <c r="Z1335" s="6">
        <f ca="1">Main[[#This Row],[تعداد روزهای بدهکار تسویه شده (روز)]]*Main[[#This Row],[مانده در خط تسویه شده (کیلوگرم)]]</f>
        <v>0</v>
      </c>
      <c r="AA1335" s="6">
        <f ca="1">SUBTOTAL(9,INDEX(Main[بدهی تسویه نشده (کیلوگرم)],1):Main[[#This Row],[بدهی تسویه نشده (کیلوگرم)]])</f>
        <v>0</v>
      </c>
      <c r="AB1335" s="6">
        <f ca="1">IF(Main[[#This Row],[مانده در خط تسویه نشده (کیلوگرم)]]&lt;&gt;0,Main[[#This Row],[تعداد کل روزهای بدهکار (روز)]],0)</f>
        <v>0</v>
      </c>
      <c r="AC1335" s="6">
        <f ca="1">Main[[#This Row],[تعداد روزهای بدهکار  تسویه نشده (روز)]]*Main[[#This Row],[مانده در خط تسویه نشده (کیلوگرم)]]</f>
        <v>0</v>
      </c>
      <c r="AD1335" s="6">
        <f ca="1">SUBTOTAL(9,INDEX(Main[بدهی سررسید شده (کیلوگرم)],1):Main[[#This Row],[بدهی سررسید شده (کیلوگرم)]])</f>
        <v>0</v>
      </c>
      <c r="AE1335" s="6">
        <f ca="1">IF(Main[[#This Row],[مانده در خط سررسید شده (کیلوگرم)]]&lt;&gt;0,Main[[#This Row],[تعداد کل روزهای بدهکار (روز)]],0)</f>
        <v>0</v>
      </c>
      <c r="AF1335" s="6">
        <f ca="1">Main[[#This Row],[تعداد روزهای بدهکار سررسید شده (روز)]]*Main[[#This Row],[مانده در خط سررسید شده (کیلوگرم)]]</f>
        <v>0</v>
      </c>
    </row>
    <row r="1336" spans="1:32" hidden="1" x14ac:dyDescent="0.35">
      <c r="A1336" s="5">
        <f>ROW()-ROW(INDEX(Main[ردیف],1))+1</f>
        <v>1334</v>
      </c>
      <c r="B1336" s="31">
        <f>SUBTOTAL(2,INDEX(Main[ردیف],1):Main[[#This Row],[ردیف]])</f>
        <v>118</v>
      </c>
      <c r="C1336" s="32" t="s">
        <v>644</v>
      </c>
      <c r="D1336" s="32" t="str">
        <f>_xlfn.CONCAT("14",Main[[#This Row],[تاريخ]])</f>
        <v>1400/05/20</v>
      </c>
      <c r="E1336" s="33">
        <v>44419</v>
      </c>
      <c r="F1336" s="32">
        <v>30009</v>
      </c>
      <c r="G1336" s="5" t="str">
        <f>INDEX(customer[عنوان],MATCH(Main[[#This Row],[کد ردیابی]],customer[کد],0))</f>
        <v>شرکت ایمن تک پیشرو</v>
      </c>
      <c r="H1336">
        <v>-322</v>
      </c>
      <c r="I1336" s="6">
        <f ca="1">-Main[[#This Row],[بدهی تسویه شده (کیلوگرم)]]+Main[[#This Row],[بستانکار (کیلوگرم)]]</f>
        <v>-322</v>
      </c>
      <c r="J1336" s="6">
        <f>IF(Main[[#This Row],[مقدار (کیلوگرم)]]&gt;0,Main[[#This Row],[مقدار (کیلوگرم)]],0)</f>
        <v>0</v>
      </c>
      <c r="K1336" s="6">
        <f>-IF(Main[[#This Row],[مقدار (کیلوگرم)]]&lt;0,Main[[#This Row],[مقدار (کیلوگرم)]],0)</f>
        <v>322</v>
      </c>
      <c r="L13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6" s="7">
        <f>-IF(AND(Main[[#This Row],[مقدار (کیلوگرم)]]&lt;0,Main[[#This Row],[تاريخ میلادی]]&gt;44276),Main[[#This Row],[مقدار (کیلوگرم)]],0)</f>
        <v>322</v>
      </c>
      <c r="N1336" s="6">
        <f ca="1">Main[[#This Row],[بدهکار (کیلوگرم)]]-Main[[#This Row],[بدهی تسویه نشده (کیلوگرم)]]</f>
        <v>322</v>
      </c>
      <c r="O1336" s="6">
        <f ca="1">Main[[#This Row],[تفکیک]]</f>
        <v>0</v>
      </c>
      <c r="P1336" s="6">
        <f ca="1">IF(Main[[#This Row],[تاخیر از سررسید]]&gt;0,Main[[#This Row],[بدهی تسویه نشده (کیلوگرم)]],0)</f>
        <v>0</v>
      </c>
      <c r="Q1336" s="6">
        <f ca="1">IF(Main[[#This Row],[بدهی تسویه نشده (کیلوگرم)]]&gt;0,'گزارش فردی'!$B$7-Main[[#This Row],[تاريخ میلادی]],0)</f>
        <v>0</v>
      </c>
      <c r="R1336" s="6">
        <f ca="1">IF(Main[[#This Row],[بدهی تسویه نشده (کیلوگرم)]]&gt;0,'گزارش فردی'!$B$7-Main[[#This Row],[تاريخ میلادی]]-'گزارش فردی'!$B$8,0)</f>
        <v>0</v>
      </c>
      <c r="S1336" s="6">
        <f ca="1">Main[[#This Row],[روز از ارسال سفارش]]*Main[[#This Row],[بدهی تسویه نشده (کیلوگرم)]]</f>
        <v>0</v>
      </c>
      <c r="T1336" s="6">
        <f ca="1">Main[[#This Row],[بدهی سررسید شده (کیلوگرم)]]*Main[[#This Row],[روز از ارسال سفارش]]</f>
        <v>0</v>
      </c>
      <c r="U1336" s="6">
        <f>-SUBTOTAL(9,INDEX(Main[مقدار (کیلوگرم)],1):Main[[#This Row],[مقدار (کیلوگرم)]])</f>
        <v>42150</v>
      </c>
      <c r="V13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6" s="6">
        <f>Main[[#This Row],[تعداد کل روزهای بدهکار (روز)]]*Main[[#This Row],[مانده در خط کل (کیلوگرم)]]</f>
        <v>0</v>
      </c>
      <c r="X1336" s="6">
        <f ca="1">-SUBTOTAL(9,INDEX(Main[مقدار تسویه شده (کیلوگرم)],1):Main[[#This Row],[مقدار تسویه شده (کیلوگرم)]])</f>
        <v>42150</v>
      </c>
      <c r="Y1336" s="6">
        <f ca="1">IF(Main[[#This Row],[مانده در خط تسویه شده (کیلوگرم)]]&lt;&gt;0,Main[[#This Row],[تعداد کل روزهای بدهکار (روز)]],0)</f>
        <v>0</v>
      </c>
      <c r="Z1336" s="6">
        <f ca="1">Main[[#This Row],[تعداد روزهای بدهکار تسویه شده (روز)]]*Main[[#This Row],[مانده در خط تسویه شده (کیلوگرم)]]</f>
        <v>0</v>
      </c>
      <c r="AA1336" s="6">
        <f ca="1">SUBTOTAL(9,INDEX(Main[بدهی تسویه نشده (کیلوگرم)],1):Main[[#This Row],[بدهی تسویه نشده (کیلوگرم)]])</f>
        <v>0</v>
      </c>
      <c r="AB1336" s="6">
        <f ca="1">IF(Main[[#This Row],[مانده در خط تسویه نشده (کیلوگرم)]]&lt;&gt;0,Main[[#This Row],[تعداد کل روزهای بدهکار (روز)]],0)</f>
        <v>0</v>
      </c>
      <c r="AC1336" s="6">
        <f ca="1">Main[[#This Row],[تعداد روزهای بدهکار  تسویه نشده (روز)]]*Main[[#This Row],[مانده در خط تسویه نشده (کیلوگرم)]]</f>
        <v>0</v>
      </c>
      <c r="AD1336" s="6">
        <f ca="1">SUBTOTAL(9,INDEX(Main[بدهی سررسید شده (کیلوگرم)],1):Main[[#This Row],[بدهی سررسید شده (کیلوگرم)]])</f>
        <v>0</v>
      </c>
      <c r="AE1336" s="6">
        <f ca="1">IF(Main[[#This Row],[مانده در خط سررسید شده (کیلوگرم)]]&lt;&gt;0,Main[[#This Row],[تعداد کل روزهای بدهکار (روز)]],0)</f>
        <v>0</v>
      </c>
      <c r="AF1336" s="6">
        <f ca="1">Main[[#This Row],[تعداد روزهای بدهکار سررسید شده (روز)]]*Main[[#This Row],[مانده در خط سررسید شده (کیلوگرم)]]</f>
        <v>0</v>
      </c>
    </row>
    <row r="1337" spans="1:32" x14ac:dyDescent="0.35">
      <c r="A1337" s="5">
        <f>ROW()-ROW(INDEX(Main[ردیف],1))+1</f>
        <v>1335</v>
      </c>
      <c r="B1337" s="31">
        <f>SUBTOTAL(2,INDEX(Main[ردیف],1):Main[[#This Row],[ردیف]])</f>
        <v>119</v>
      </c>
      <c r="C1337" s="32" t="s">
        <v>644</v>
      </c>
      <c r="D1337" s="32" t="str">
        <f>_xlfn.CONCAT("14",Main[[#This Row],[تاريخ]])</f>
        <v>1400/05/20</v>
      </c>
      <c r="E1337" s="33">
        <v>44419</v>
      </c>
      <c r="F1337" s="32">
        <v>10003</v>
      </c>
      <c r="G1337" s="5" t="str">
        <f>INDEX(customer[عنوان],MATCH(Main[[#This Row],[کد ردیابی]],customer[کد],0))</f>
        <v>اصغر نورعلی</v>
      </c>
      <c r="H1337">
        <v>2768</v>
      </c>
      <c r="I1337" s="6">
        <f ca="1">-Main[[#This Row],[بدهی تسویه شده (کیلوگرم)]]+Main[[#This Row],[بستانکار (کیلوگرم)]]</f>
        <v>2768</v>
      </c>
      <c r="J1337" s="6">
        <f>IF(Main[[#This Row],[مقدار (کیلوگرم)]]&gt;0,Main[[#This Row],[مقدار (کیلوگرم)]],0)</f>
        <v>2768</v>
      </c>
      <c r="K1337" s="6">
        <f>-IF(Main[[#This Row],[مقدار (کیلوگرم)]]&lt;0,Main[[#This Row],[مقدار (کیلوگرم)]],0)</f>
        <v>0</v>
      </c>
      <c r="L13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7" s="7">
        <f>-IF(AND(Main[[#This Row],[مقدار (کیلوگرم)]]&lt;0,Main[[#This Row],[تاريخ میلادی]]&gt;44276),Main[[#This Row],[مقدار (کیلوگرم)]],0)</f>
        <v>0</v>
      </c>
      <c r="N1337" s="6">
        <f ca="1">Main[[#This Row],[بدهکار (کیلوگرم)]]-Main[[#This Row],[بدهی تسویه نشده (کیلوگرم)]]</f>
        <v>0</v>
      </c>
      <c r="O1337" s="6">
        <f ca="1">Main[[#This Row],[تفکیک]]</f>
        <v>0</v>
      </c>
      <c r="P1337" s="6">
        <f ca="1">IF(Main[[#This Row],[تاخیر از سررسید]]&gt;0,Main[[#This Row],[بدهی تسویه نشده (کیلوگرم)]],0)</f>
        <v>0</v>
      </c>
      <c r="Q1337" s="6">
        <f ca="1">IF(Main[[#This Row],[بدهی تسویه نشده (کیلوگرم)]]&gt;0,'گزارش فردی'!$B$7-Main[[#This Row],[تاريخ میلادی]],0)</f>
        <v>0</v>
      </c>
      <c r="R1337" s="6">
        <f ca="1">IF(Main[[#This Row],[بدهی تسویه نشده (کیلوگرم)]]&gt;0,'گزارش فردی'!$B$7-Main[[#This Row],[تاريخ میلادی]]-'گزارش فردی'!$B$8,0)</f>
        <v>0</v>
      </c>
      <c r="S1337" s="6">
        <f ca="1">Main[[#This Row],[روز از ارسال سفارش]]*Main[[#This Row],[بدهی تسویه نشده (کیلوگرم)]]</f>
        <v>0</v>
      </c>
      <c r="T1337" s="6">
        <f ca="1">Main[[#This Row],[بدهی سررسید شده (کیلوگرم)]]*Main[[#This Row],[روز از ارسال سفارش]]</f>
        <v>0</v>
      </c>
      <c r="U1337" s="6">
        <f>-SUBTOTAL(9,INDEX(Main[مقدار (کیلوگرم)],1):Main[[#This Row],[مقدار (کیلوگرم)]])</f>
        <v>39382</v>
      </c>
      <c r="V1337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37" s="6">
        <f>Main[[#This Row],[تعداد کل روزهای بدهکار (روز)]]*Main[[#This Row],[مانده در خط کل (کیلوگرم)]]</f>
        <v>433202</v>
      </c>
      <c r="X1337" s="6">
        <f ca="1">-SUBTOTAL(9,INDEX(Main[مقدار تسویه شده (کیلوگرم)],1):Main[[#This Row],[مقدار تسویه شده (کیلوگرم)]])</f>
        <v>39382</v>
      </c>
      <c r="Y1337" s="6">
        <f ca="1">IF(Main[[#This Row],[مانده در خط تسویه شده (کیلوگرم)]]&lt;&gt;0,Main[[#This Row],[تعداد کل روزهای بدهکار (روز)]],0)</f>
        <v>11</v>
      </c>
      <c r="Z1337" s="6">
        <f ca="1">Main[[#This Row],[تعداد روزهای بدهکار تسویه شده (روز)]]*Main[[#This Row],[مانده در خط تسویه شده (کیلوگرم)]]</f>
        <v>433202</v>
      </c>
      <c r="AA1337" s="6">
        <f ca="1">SUBTOTAL(9,INDEX(Main[بدهی تسویه نشده (کیلوگرم)],1):Main[[#This Row],[بدهی تسویه نشده (کیلوگرم)]])</f>
        <v>0</v>
      </c>
      <c r="AB1337" s="6">
        <f ca="1">IF(Main[[#This Row],[مانده در خط تسویه نشده (کیلوگرم)]]&lt;&gt;0,Main[[#This Row],[تعداد کل روزهای بدهکار (روز)]],0)</f>
        <v>0</v>
      </c>
      <c r="AC1337" s="6">
        <f ca="1">Main[[#This Row],[تعداد روزهای بدهکار  تسویه نشده (روز)]]*Main[[#This Row],[مانده در خط تسویه نشده (کیلوگرم)]]</f>
        <v>0</v>
      </c>
      <c r="AD1337" s="6">
        <f ca="1">SUBTOTAL(9,INDEX(Main[بدهی سررسید شده (کیلوگرم)],1):Main[[#This Row],[بدهی سررسید شده (کیلوگرم)]])</f>
        <v>0</v>
      </c>
      <c r="AE1337" s="6">
        <f ca="1">IF(Main[[#This Row],[مانده در خط سررسید شده (کیلوگرم)]]&lt;&gt;0,Main[[#This Row],[تعداد کل روزهای بدهکار (روز)]],0)</f>
        <v>0</v>
      </c>
      <c r="AF1337" s="6">
        <f ca="1">Main[[#This Row],[تعداد روزهای بدهکار سررسید شده (روز)]]*Main[[#This Row],[مانده در خط سررسید شده (کیلوگرم)]]</f>
        <v>0</v>
      </c>
    </row>
    <row r="1338" spans="1:32" hidden="1" x14ac:dyDescent="0.35">
      <c r="A1338" s="5">
        <f>ROW()-ROW(INDEX(Main[ردیف],1))+1</f>
        <v>1336</v>
      </c>
      <c r="B1338" s="31">
        <f>SUBTOTAL(2,INDEX(Main[ردیف],1):Main[[#This Row],[ردیف]])</f>
        <v>119</v>
      </c>
      <c r="C1338" s="32" t="s">
        <v>644</v>
      </c>
      <c r="D1338" s="32" t="str">
        <f>_xlfn.CONCAT("14",Main[[#This Row],[تاريخ]])</f>
        <v>1400/05/20</v>
      </c>
      <c r="E1338" s="33">
        <v>44419</v>
      </c>
      <c r="F1338" s="32">
        <v>10026</v>
      </c>
      <c r="G1338" s="5" t="str">
        <f>INDEX(customer[عنوان],MATCH(Main[[#This Row],[کد ردیابی]],customer[کد],0))</f>
        <v xml:space="preserve">محسن فیاض بخش </v>
      </c>
      <c r="H1338">
        <v>-3696</v>
      </c>
      <c r="I1338" s="6">
        <f ca="1">-Main[[#This Row],[بدهی تسویه شده (کیلوگرم)]]+Main[[#This Row],[بستانکار (کیلوگرم)]]</f>
        <v>-3696</v>
      </c>
      <c r="J1338" s="6">
        <f>IF(Main[[#This Row],[مقدار (کیلوگرم)]]&gt;0,Main[[#This Row],[مقدار (کیلوگرم)]],0)</f>
        <v>0</v>
      </c>
      <c r="K1338" s="6">
        <f>-IF(Main[[#This Row],[مقدار (کیلوگرم)]]&lt;0,Main[[#This Row],[مقدار (کیلوگرم)]],0)</f>
        <v>3696</v>
      </c>
      <c r="L13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8" s="7">
        <f>-IF(AND(Main[[#This Row],[مقدار (کیلوگرم)]]&lt;0,Main[[#This Row],[تاريخ میلادی]]&gt;44276),Main[[#This Row],[مقدار (کیلوگرم)]],0)</f>
        <v>3696</v>
      </c>
      <c r="N1338" s="6">
        <f ca="1">Main[[#This Row],[بدهکار (کیلوگرم)]]-Main[[#This Row],[بدهی تسویه نشده (کیلوگرم)]]</f>
        <v>3696</v>
      </c>
      <c r="O1338" s="6">
        <f ca="1">Main[[#This Row],[تفکیک]]</f>
        <v>0</v>
      </c>
      <c r="P1338" s="6">
        <f ca="1">IF(Main[[#This Row],[تاخیر از سررسید]]&gt;0,Main[[#This Row],[بدهی تسویه نشده (کیلوگرم)]],0)</f>
        <v>0</v>
      </c>
      <c r="Q1338" s="6">
        <f ca="1">IF(Main[[#This Row],[بدهی تسویه نشده (کیلوگرم)]]&gt;0,'گزارش فردی'!$B$7-Main[[#This Row],[تاريخ میلادی]],0)</f>
        <v>0</v>
      </c>
      <c r="R1338" s="6">
        <f ca="1">IF(Main[[#This Row],[بدهی تسویه نشده (کیلوگرم)]]&gt;0,'گزارش فردی'!$B$7-Main[[#This Row],[تاريخ میلادی]]-'گزارش فردی'!$B$8,0)</f>
        <v>0</v>
      </c>
      <c r="S1338" s="6">
        <f ca="1">Main[[#This Row],[روز از ارسال سفارش]]*Main[[#This Row],[بدهی تسویه نشده (کیلوگرم)]]</f>
        <v>0</v>
      </c>
      <c r="T1338" s="6">
        <f ca="1">Main[[#This Row],[بدهی سررسید شده (کیلوگرم)]]*Main[[#This Row],[روز از ارسال سفارش]]</f>
        <v>0</v>
      </c>
      <c r="U1338" s="6">
        <f>-SUBTOTAL(9,INDEX(Main[مقدار (کیلوگرم)],1):Main[[#This Row],[مقدار (کیلوگرم)]])</f>
        <v>39382</v>
      </c>
      <c r="V1338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38" s="6">
        <f>Main[[#This Row],[تعداد کل روزهای بدهکار (روز)]]*Main[[#This Row],[مانده در خط کل (کیلوگرم)]]</f>
        <v>433202</v>
      </c>
      <c r="X1338" s="6">
        <f ca="1">-SUBTOTAL(9,INDEX(Main[مقدار تسویه شده (کیلوگرم)],1):Main[[#This Row],[مقدار تسویه شده (کیلوگرم)]])</f>
        <v>39382</v>
      </c>
      <c r="Y1338" s="6">
        <f ca="1">IF(Main[[#This Row],[مانده در خط تسویه شده (کیلوگرم)]]&lt;&gt;0,Main[[#This Row],[تعداد کل روزهای بدهکار (روز)]],0)</f>
        <v>11</v>
      </c>
      <c r="Z1338" s="6">
        <f ca="1">Main[[#This Row],[تعداد روزهای بدهکار تسویه شده (روز)]]*Main[[#This Row],[مانده در خط تسویه شده (کیلوگرم)]]</f>
        <v>433202</v>
      </c>
      <c r="AA1338" s="6">
        <f ca="1">SUBTOTAL(9,INDEX(Main[بدهی تسویه نشده (کیلوگرم)],1):Main[[#This Row],[بدهی تسویه نشده (کیلوگرم)]])</f>
        <v>0</v>
      </c>
      <c r="AB1338" s="6">
        <f ca="1">IF(Main[[#This Row],[مانده در خط تسویه نشده (کیلوگرم)]]&lt;&gt;0,Main[[#This Row],[تعداد کل روزهای بدهکار (روز)]],0)</f>
        <v>0</v>
      </c>
      <c r="AC1338" s="6">
        <f ca="1">Main[[#This Row],[تعداد روزهای بدهکار  تسویه نشده (روز)]]*Main[[#This Row],[مانده در خط تسویه نشده (کیلوگرم)]]</f>
        <v>0</v>
      </c>
      <c r="AD1338" s="6">
        <f ca="1">SUBTOTAL(9,INDEX(Main[بدهی سررسید شده (کیلوگرم)],1):Main[[#This Row],[بدهی سررسید شده (کیلوگرم)]])</f>
        <v>0</v>
      </c>
      <c r="AE1338" s="6">
        <f ca="1">IF(Main[[#This Row],[مانده در خط سررسید شده (کیلوگرم)]]&lt;&gt;0,Main[[#This Row],[تعداد کل روزهای بدهکار (روز)]],0)</f>
        <v>0</v>
      </c>
      <c r="AF1338" s="6">
        <f ca="1">Main[[#This Row],[تعداد روزهای بدهکار سررسید شده (روز)]]*Main[[#This Row],[مانده در خط سررسید شده (کیلوگرم)]]</f>
        <v>0</v>
      </c>
    </row>
    <row r="1339" spans="1:32" hidden="1" x14ac:dyDescent="0.35">
      <c r="A1339" s="5">
        <f>ROW()-ROW(INDEX(Main[ردیف],1))+1</f>
        <v>1337</v>
      </c>
      <c r="B1339" s="31">
        <f>SUBTOTAL(2,INDEX(Main[ردیف],1):Main[[#This Row],[ردیف]])</f>
        <v>119</v>
      </c>
      <c r="C1339" s="32" t="s">
        <v>644</v>
      </c>
      <c r="D1339" s="32" t="str">
        <f>_xlfn.CONCAT("14",Main[[#This Row],[تاريخ]])</f>
        <v>1400/05/20</v>
      </c>
      <c r="E1339" s="33">
        <v>44419</v>
      </c>
      <c r="F1339" s="32">
        <v>30066</v>
      </c>
      <c r="G1339" s="5" t="str">
        <f>INDEX(customer[عنوان],MATCH(Main[[#This Row],[کد ردیابی]],customer[کد],0))</f>
        <v xml:space="preserve">شیر آلات بهداشتی قهرمان </v>
      </c>
      <c r="H1339">
        <v>4107</v>
      </c>
      <c r="I1339" s="6">
        <f ca="1">-Main[[#This Row],[بدهی تسویه شده (کیلوگرم)]]+Main[[#This Row],[بستانکار (کیلوگرم)]]</f>
        <v>4107</v>
      </c>
      <c r="J1339" s="6">
        <f>IF(Main[[#This Row],[مقدار (کیلوگرم)]]&gt;0,Main[[#This Row],[مقدار (کیلوگرم)]],0)</f>
        <v>4107</v>
      </c>
      <c r="K1339" s="6">
        <f>-IF(Main[[#This Row],[مقدار (کیلوگرم)]]&lt;0,Main[[#This Row],[مقدار (کیلوگرم)]],0)</f>
        <v>0</v>
      </c>
      <c r="L13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9" s="7">
        <f>-IF(AND(Main[[#This Row],[مقدار (کیلوگرم)]]&lt;0,Main[[#This Row],[تاريخ میلادی]]&gt;44276),Main[[#This Row],[مقدار (کیلوگرم)]],0)</f>
        <v>0</v>
      </c>
      <c r="N1339" s="6">
        <f ca="1">Main[[#This Row],[بدهکار (کیلوگرم)]]-Main[[#This Row],[بدهی تسویه نشده (کیلوگرم)]]</f>
        <v>0</v>
      </c>
      <c r="O1339" s="6">
        <f ca="1">Main[[#This Row],[تفکیک]]</f>
        <v>0</v>
      </c>
      <c r="P1339" s="6">
        <f ca="1">IF(Main[[#This Row],[تاخیر از سررسید]]&gt;0,Main[[#This Row],[بدهی تسویه نشده (کیلوگرم)]],0)</f>
        <v>0</v>
      </c>
      <c r="Q1339" s="6">
        <f ca="1">IF(Main[[#This Row],[بدهی تسویه نشده (کیلوگرم)]]&gt;0,'گزارش فردی'!$B$7-Main[[#This Row],[تاريخ میلادی]],0)</f>
        <v>0</v>
      </c>
      <c r="R1339" s="6">
        <f ca="1">IF(Main[[#This Row],[بدهی تسویه نشده (کیلوگرم)]]&gt;0,'گزارش فردی'!$B$7-Main[[#This Row],[تاريخ میلادی]]-'گزارش فردی'!$B$8,0)</f>
        <v>0</v>
      </c>
      <c r="S1339" s="6">
        <f ca="1">Main[[#This Row],[روز از ارسال سفارش]]*Main[[#This Row],[بدهی تسویه نشده (کیلوگرم)]]</f>
        <v>0</v>
      </c>
      <c r="T1339" s="6">
        <f ca="1">Main[[#This Row],[بدهی سررسید شده (کیلوگرم)]]*Main[[#This Row],[روز از ارسال سفارش]]</f>
        <v>0</v>
      </c>
      <c r="U1339" s="6">
        <f>-SUBTOTAL(9,INDEX(Main[مقدار (کیلوگرم)],1):Main[[#This Row],[مقدار (کیلوگرم)]])</f>
        <v>39382</v>
      </c>
      <c r="V1339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39" s="6">
        <f>Main[[#This Row],[تعداد کل روزهای بدهکار (روز)]]*Main[[#This Row],[مانده در خط کل (کیلوگرم)]]</f>
        <v>433202</v>
      </c>
      <c r="X1339" s="6">
        <f ca="1">-SUBTOTAL(9,INDEX(Main[مقدار تسویه شده (کیلوگرم)],1):Main[[#This Row],[مقدار تسویه شده (کیلوگرم)]])</f>
        <v>39382</v>
      </c>
      <c r="Y1339" s="6">
        <f ca="1">IF(Main[[#This Row],[مانده در خط تسویه شده (کیلوگرم)]]&lt;&gt;0,Main[[#This Row],[تعداد کل روزهای بدهکار (روز)]],0)</f>
        <v>11</v>
      </c>
      <c r="Z1339" s="6">
        <f ca="1">Main[[#This Row],[تعداد روزهای بدهکار تسویه شده (روز)]]*Main[[#This Row],[مانده در خط تسویه شده (کیلوگرم)]]</f>
        <v>433202</v>
      </c>
      <c r="AA1339" s="6">
        <f ca="1">SUBTOTAL(9,INDEX(Main[بدهی تسویه نشده (کیلوگرم)],1):Main[[#This Row],[بدهی تسویه نشده (کیلوگرم)]])</f>
        <v>0</v>
      </c>
      <c r="AB1339" s="6">
        <f ca="1">IF(Main[[#This Row],[مانده در خط تسویه نشده (کیلوگرم)]]&lt;&gt;0,Main[[#This Row],[تعداد کل روزهای بدهکار (روز)]],0)</f>
        <v>0</v>
      </c>
      <c r="AC1339" s="6">
        <f ca="1">Main[[#This Row],[تعداد روزهای بدهکار  تسویه نشده (روز)]]*Main[[#This Row],[مانده در خط تسویه نشده (کیلوگرم)]]</f>
        <v>0</v>
      </c>
      <c r="AD1339" s="6">
        <f ca="1">SUBTOTAL(9,INDEX(Main[بدهی سررسید شده (کیلوگرم)],1):Main[[#This Row],[بدهی سررسید شده (کیلوگرم)]])</f>
        <v>0</v>
      </c>
      <c r="AE1339" s="6">
        <f ca="1">IF(Main[[#This Row],[مانده در خط سررسید شده (کیلوگرم)]]&lt;&gt;0,Main[[#This Row],[تعداد کل روزهای بدهکار (روز)]],0)</f>
        <v>0</v>
      </c>
      <c r="AF1339" s="6">
        <f ca="1">Main[[#This Row],[تعداد روزهای بدهکار سررسید شده (روز)]]*Main[[#This Row],[مانده در خط سررسید شده (کیلوگرم)]]</f>
        <v>0</v>
      </c>
    </row>
    <row r="1340" spans="1:32" hidden="1" x14ac:dyDescent="0.35">
      <c r="A1340" s="5">
        <f>ROW()-ROW(INDEX(Main[ردیف],1))+1</f>
        <v>1338</v>
      </c>
      <c r="B1340" s="31">
        <f>SUBTOTAL(2,INDEX(Main[ردیف],1):Main[[#This Row],[ردیف]])</f>
        <v>119</v>
      </c>
      <c r="C1340" s="32" t="s">
        <v>644</v>
      </c>
      <c r="D1340" s="32" t="str">
        <f>_xlfn.CONCAT("14",Main[[#This Row],[تاريخ]])</f>
        <v>1400/05/20</v>
      </c>
      <c r="E1340" s="33">
        <v>44419</v>
      </c>
      <c r="F1340" s="32">
        <v>10020</v>
      </c>
      <c r="G1340" s="5" t="str">
        <f>INDEX(customer[عنوان],MATCH(Main[[#This Row],[کد ردیابی]],customer[کد],0))</f>
        <v>فرزاد اسماعیل زاده</v>
      </c>
      <c r="H1340">
        <v>-1012</v>
      </c>
      <c r="I1340" s="6">
        <f ca="1">-Main[[#This Row],[بدهی تسویه شده (کیلوگرم)]]+Main[[#This Row],[بستانکار (کیلوگرم)]]</f>
        <v>-1012</v>
      </c>
      <c r="J1340" s="6">
        <f>IF(Main[[#This Row],[مقدار (کیلوگرم)]]&gt;0,Main[[#This Row],[مقدار (کیلوگرم)]],0)</f>
        <v>0</v>
      </c>
      <c r="K1340" s="6">
        <f>-IF(Main[[#This Row],[مقدار (کیلوگرم)]]&lt;0,Main[[#This Row],[مقدار (کیلوگرم)]],0)</f>
        <v>1012</v>
      </c>
      <c r="L13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0" s="7">
        <f>-IF(AND(Main[[#This Row],[مقدار (کیلوگرم)]]&lt;0,Main[[#This Row],[تاريخ میلادی]]&gt;44276),Main[[#This Row],[مقدار (کیلوگرم)]],0)</f>
        <v>1012</v>
      </c>
      <c r="N1340" s="6">
        <f ca="1">Main[[#This Row],[بدهکار (کیلوگرم)]]-Main[[#This Row],[بدهی تسویه نشده (کیلوگرم)]]</f>
        <v>1012</v>
      </c>
      <c r="O1340" s="6">
        <f ca="1">Main[[#This Row],[تفکیک]]</f>
        <v>0</v>
      </c>
      <c r="P1340" s="6">
        <f ca="1">IF(Main[[#This Row],[تاخیر از سررسید]]&gt;0,Main[[#This Row],[بدهی تسویه نشده (کیلوگرم)]],0)</f>
        <v>0</v>
      </c>
      <c r="Q1340" s="6">
        <f ca="1">IF(Main[[#This Row],[بدهی تسویه نشده (کیلوگرم)]]&gt;0,'گزارش فردی'!$B$7-Main[[#This Row],[تاريخ میلادی]],0)</f>
        <v>0</v>
      </c>
      <c r="R1340" s="6">
        <f ca="1">IF(Main[[#This Row],[بدهی تسویه نشده (کیلوگرم)]]&gt;0,'گزارش فردی'!$B$7-Main[[#This Row],[تاريخ میلادی]]-'گزارش فردی'!$B$8,0)</f>
        <v>0</v>
      </c>
      <c r="S1340" s="6">
        <f ca="1">Main[[#This Row],[روز از ارسال سفارش]]*Main[[#This Row],[بدهی تسویه نشده (کیلوگرم)]]</f>
        <v>0</v>
      </c>
      <c r="T1340" s="6">
        <f ca="1">Main[[#This Row],[بدهی سررسید شده (کیلوگرم)]]*Main[[#This Row],[روز از ارسال سفارش]]</f>
        <v>0</v>
      </c>
      <c r="U1340" s="6">
        <f>-SUBTOTAL(9,INDEX(Main[مقدار (کیلوگرم)],1):Main[[#This Row],[مقدار (کیلوگرم)]])</f>
        <v>39382</v>
      </c>
      <c r="V1340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0" s="6">
        <f>Main[[#This Row],[تعداد کل روزهای بدهکار (روز)]]*Main[[#This Row],[مانده در خط کل (کیلوگرم)]]</f>
        <v>433202</v>
      </c>
      <c r="X1340" s="6">
        <f ca="1">-SUBTOTAL(9,INDEX(Main[مقدار تسویه شده (کیلوگرم)],1):Main[[#This Row],[مقدار تسویه شده (کیلوگرم)]])</f>
        <v>39382</v>
      </c>
      <c r="Y1340" s="6">
        <f ca="1">IF(Main[[#This Row],[مانده در خط تسویه شده (کیلوگرم)]]&lt;&gt;0,Main[[#This Row],[تعداد کل روزهای بدهکار (روز)]],0)</f>
        <v>11</v>
      </c>
      <c r="Z1340" s="6">
        <f ca="1">Main[[#This Row],[تعداد روزهای بدهکار تسویه شده (روز)]]*Main[[#This Row],[مانده در خط تسویه شده (کیلوگرم)]]</f>
        <v>433202</v>
      </c>
      <c r="AA1340" s="6">
        <f ca="1">SUBTOTAL(9,INDEX(Main[بدهی تسویه نشده (کیلوگرم)],1):Main[[#This Row],[بدهی تسویه نشده (کیلوگرم)]])</f>
        <v>0</v>
      </c>
      <c r="AB1340" s="6">
        <f ca="1">IF(Main[[#This Row],[مانده در خط تسویه نشده (کیلوگرم)]]&lt;&gt;0,Main[[#This Row],[تعداد کل روزهای بدهکار (روز)]],0)</f>
        <v>0</v>
      </c>
      <c r="AC1340" s="6">
        <f ca="1">Main[[#This Row],[تعداد روزهای بدهکار  تسویه نشده (روز)]]*Main[[#This Row],[مانده در خط تسویه نشده (کیلوگرم)]]</f>
        <v>0</v>
      </c>
      <c r="AD1340" s="6">
        <f ca="1">SUBTOTAL(9,INDEX(Main[بدهی سررسید شده (کیلوگرم)],1):Main[[#This Row],[بدهی سررسید شده (کیلوگرم)]])</f>
        <v>0</v>
      </c>
      <c r="AE1340" s="6">
        <f ca="1">IF(Main[[#This Row],[مانده در خط سررسید شده (کیلوگرم)]]&lt;&gt;0,Main[[#This Row],[تعداد کل روزهای بدهکار (روز)]],0)</f>
        <v>0</v>
      </c>
      <c r="AF1340" s="6">
        <f ca="1">Main[[#This Row],[تعداد روزهای بدهکار سررسید شده (روز)]]*Main[[#This Row],[مانده در خط سررسید شده (کیلوگرم)]]</f>
        <v>0</v>
      </c>
    </row>
    <row r="1341" spans="1:32" hidden="1" x14ac:dyDescent="0.35">
      <c r="A1341" s="5">
        <f>ROW()-ROW(INDEX(Main[ردیف],1))+1</f>
        <v>1339</v>
      </c>
      <c r="B1341" s="31">
        <f>SUBTOTAL(2,INDEX(Main[ردیف],1):Main[[#This Row],[ردیف]])</f>
        <v>119</v>
      </c>
      <c r="C1341" s="32" t="s">
        <v>644</v>
      </c>
      <c r="D1341" s="32" t="str">
        <f>_xlfn.CONCAT("14",Main[[#This Row],[تاريخ]])</f>
        <v>1400/05/20</v>
      </c>
      <c r="E1341" s="33">
        <v>44419</v>
      </c>
      <c r="F1341" s="32">
        <v>10127</v>
      </c>
      <c r="G1341" s="5" t="str">
        <f>INDEX(customer[عنوان],MATCH(Main[[#This Row],[کد ردیابی]],customer[کد],0))</f>
        <v xml:space="preserve">عماد هاشمی </v>
      </c>
      <c r="H1341">
        <v>1312</v>
      </c>
      <c r="I1341" s="6">
        <f ca="1">-Main[[#This Row],[بدهی تسویه شده (کیلوگرم)]]+Main[[#This Row],[بستانکار (کیلوگرم)]]</f>
        <v>1312</v>
      </c>
      <c r="J1341" s="6">
        <f>IF(Main[[#This Row],[مقدار (کیلوگرم)]]&gt;0,Main[[#This Row],[مقدار (کیلوگرم)]],0)</f>
        <v>1312</v>
      </c>
      <c r="K1341" s="6">
        <f>-IF(Main[[#This Row],[مقدار (کیلوگرم)]]&lt;0,Main[[#This Row],[مقدار (کیلوگرم)]],0)</f>
        <v>0</v>
      </c>
      <c r="L13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1" s="7">
        <f>-IF(AND(Main[[#This Row],[مقدار (کیلوگرم)]]&lt;0,Main[[#This Row],[تاريخ میلادی]]&gt;44276),Main[[#This Row],[مقدار (کیلوگرم)]],0)</f>
        <v>0</v>
      </c>
      <c r="N1341" s="6">
        <f ca="1">Main[[#This Row],[بدهکار (کیلوگرم)]]-Main[[#This Row],[بدهی تسویه نشده (کیلوگرم)]]</f>
        <v>0</v>
      </c>
      <c r="O1341" s="6">
        <f ca="1">Main[[#This Row],[تفکیک]]</f>
        <v>0</v>
      </c>
      <c r="P1341" s="6">
        <f ca="1">IF(Main[[#This Row],[تاخیر از سررسید]]&gt;0,Main[[#This Row],[بدهی تسویه نشده (کیلوگرم)]],0)</f>
        <v>0</v>
      </c>
      <c r="Q1341" s="6">
        <f ca="1">IF(Main[[#This Row],[بدهی تسویه نشده (کیلوگرم)]]&gt;0,'گزارش فردی'!$B$7-Main[[#This Row],[تاريخ میلادی]],0)</f>
        <v>0</v>
      </c>
      <c r="R1341" s="6">
        <f ca="1">IF(Main[[#This Row],[بدهی تسویه نشده (کیلوگرم)]]&gt;0,'گزارش فردی'!$B$7-Main[[#This Row],[تاريخ میلادی]]-'گزارش فردی'!$B$8,0)</f>
        <v>0</v>
      </c>
      <c r="S1341" s="6">
        <f ca="1">Main[[#This Row],[روز از ارسال سفارش]]*Main[[#This Row],[بدهی تسویه نشده (کیلوگرم)]]</f>
        <v>0</v>
      </c>
      <c r="T1341" s="6">
        <f ca="1">Main[[#This Row],[بدهی سررسید شده (کیلوگرم)]]*Main[[#This Row],[روز از ارسال سفارش]]</f>
        <v>0</v>
      </c>
      <c r="U1341" s="6">
        <f>-SUBTOTAL(9,INDEX(Main[مقدار (کیلوگرم)],1):Main[[#This Row],[مقدار (کیلوگرم)]])</f>
        <v>39382</v>
      </c>
      <c r="V1341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1" s="6">
        <f>Main[[#This Row],[تعداد کل روزهای بدهکار (روز)]]*Main[[#This Row],[مانده در خط کل (کیلوگرم)]]</f>
        <v>433202</v>
      </c>
      <c r="X1341" s="6">
        <f ca="1">-SUBTOTAL(9,INDEX(Main[مقدار تسویه شده (کیلوگرم)],1):Main[[#This Row],[مقدار تسویه شده (کیلوگرم)]])</f>
        <v>39382</v>
      </c>
      <c r="Y1341" s="6">
        <f ca="1">IF(Main[[#This Row],[مانده در خط تسویه شده (کیلوگرم)]]&lt;&gt;0,Main[[#This Row],[تعداد کل روزهای بدهکار (روز)]],0)</f>
        <v>11</v>
      </c>
      <c r="Z1341" s="6">
        <f ca="1">Main[[#This Row],[تعداد روزهای بدهکار تسویه شده (روز)]]*Main[[#This Row],[مانده در خط تسویه شده (کیلوگرم)]]</f>
        <v>433202</v>
      </c>
      <c r="AA1341" s="6">
        <f ca="1">SUBTOTAL(9,INDEX(Main[بدهی تسویه نشده (کیلوگرم)],1):Main[[#This Row],[بدهی تسویه نشده (کیلوگرم)]])</f>
        <v>0</v>
      </c>
      <c r="AB1341" s="6">
        <f ca="1">IF(Main[[#This Row],[مانده در خط تسویه نشده (کیلوگرم)]]&lt;&gt;0,Main[[#This Row],[تعداد کل روزهای بدهکار (روز)]],0)</f>
        <v>0</v>
      </c>
      <c r="AC1341" s="6">
        <f ca="1">Main[[#This Row],[تعداد روزهای بدهکار  تسویه نشده (روز)]]*Main[[#This Row],[مانده در خط تسویه نشده (کیلوگرم)]]</f>
        <v>0</v>
      </c>
      <c r="AD1341" s="6">
        <f ca="1">SUBTOTAL(9,INDEX(Main[بدهی سررسید شده (کیلوگرم)],1):Main[[#This Row],[بدهی سررسید شده (کیلوگرم)]])</f>
        <v>0</v>
      </c>
      <c r="AE1341" s="6">
        <f ca="1">IF(Main[[#This Row],[مانده در خط سررسید شده (کیلوگرم)]]&lt;&gt;0,Main[[#This Row],[تعداد کل روزهای بدهکار (روز)]],0)</f>
        <v>0</v>
      </c>
      <c r="AF1341" s="6">
        <f ca="1">Main[[#This Row],[تعداد روزهای بدهکار سررسید شده (روز)]]*Main[[#This Row],[مانده در خط سررسید شده (کیلوگرم)]]</f>
        <v>0</v>
      </c>
    </row>
    <row r="1342" spans="1:32" hidden="1" x14ac:dyDescent="0.35">
      <c r="A1342" s="5">
        <f>ROW()-ROW(INDEX(Main[ردیف],1))+1</f>
        <v>1340</v>
      </c>
      <c r="B1342" s="31">
        <f>SUBTOTAL(2,INDEX(Main[ردیف],1):Main[[#This Row],[ردیف]])</f>
        <v>119</v>
      </c>
      <c r="C1342" s="32" t="s">
        <v>644</v>
      </c>
      <c r="D1342" s="32" t="str">
        <f>_xlfn.CONCAT("14",Main[[#This Row],[تاريخ]])</f>
        <v>1400/05/20</v>
      </c>
      <c r="E1342" s="33">
        <v>44419</v>
      </c>
      <c r="F1342" s="32">
        <v>30190</v>
      </c>
      <c r="G1342" s="5" t="str">
        <f>INDEX(customer[عنوان],MATCH(Main[[#This Row],[کد ردیابی]],customer[کد],0))</f>
        <v>ایران طلق</v>
      </c>
      <c r="H1342">
        <v>-4047</v>
      </c>
      <c r="I1342" s="6">
        <f ca="1">-Main[[#This Row],[بدهی تسویه شده (کیلوگرم)]]+Main[[#This Row],[بستانکار (کیلوگرم)]]</f>
        <v>-4047</v>
      </c>
      <c r="J1342" s="6">
        <f>IF(Main[[#This Row],[مقدار (کیلوگرم)]]&gt;0,Main[[#This Row],[مقدار (کیلوگرم)]],0)</f>
        <v>0</v>
      </c>
      <c r="K1342" s="6">
        <f>-IF(Main[[#This Row],[مقدار (کیلوگرم)]]&lt;0,Main[[#This Row],[مقدار (کیلوگرم)]],0)</f>
        <v>4047</v>
      </c>
      <c r="L13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2" s="7">
        <f>-IF(AND(Main[[#This Row],[مقدار (کیلوگرم)]]&lt;0,Main[[#This Row],[تاريخ میلادی]]&gt;44276),Main[[#This Row],[مقدار (کیلوگرم)]],0)</f>
        <v>4047</v>
      </c>
      <c r="N1342" s="6">
        <f ca="1">Main[[#This Row],[بدهکار (کیلوگرم)]]-Main[[#This Row],[بدهی تسویه نشده (کیلوگرم)]]</f>
        <v>4047</v>
      </c>
      <c r="O1342" s="6">
        <f ca="1">Main[[#This Row],[تفکیک]]</f>
        <v>0</v>
      </c>
      <c r="P1342" s="6">
        <f ca="1">IF(Main[[#This Row],[تاخیر از سررسید]]&gt;0,Main[[#This Row],[بدهی تسویه نشده (کیلوگرم)]],0)</f>
        <v>0</v>
      </c>
      <c r="Q1342" s="6">
        <f ca="1">IF(Main[[#This Row],[بدهی تسویه نشده (کیلوگرم)]]&gt;0,'گزارش فردی'!$B$7-Main[[#This Row],[تاريخ میلادی]],0)</f>
        <v>0</v>
      </c>
      <c r="R1342" s="6">
        <f ca="1">IF(Main[[#This Row],[بدهی تسویه نشده (کیلوگرم)]]&gt;0,'گزارش فردی'!$B$7-Main[[#This Row],[تاريخ میلادی]]-'گزارش فردی'!$B$8,0)</f>
        <v>0</v>
      </c>
      <c r="S1342" s="6">
        <f ca="1">Main[[#This Row],[روز از ارسال سفارش]]*Main[[#This Row],[بدهی تسویه نشده (کیلوگرم)]]</f>
        <v>0</v>
      </c>
      <c r="T1342" s="6">
        <f ca="1">Main[[#This Row],[بدهی سررسید شده (کیلوگرم)]]*Main[[#This Row],[روز از ارسال سفارش]]</f>
        <v>0</v>
      </c>
      <c r="U1342" s="6">
        <f>-SUBTOTAL(9,INDEX(Main[مقدار (کیلوگرم)],1):Main[[#This Row],[مقدار (کیلوگرم)]])</f>
        <v>39382</v>
      </c>
      <c r="V1342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2" s="6">
        <f>Main[[#This Row],[تعداد کل روزهای بدهکار (روز)]]*Main[[#This Row],[مانده در خط کل (کیلوگرم)]]</f>
        <v>433202</v>
      </c>
      <c r="X1342" s="6">
        <f ca="1">-SUBTOTAL(9,INDEX(Main[مقدار تسویه شده (کیلوگرم)],1):Main[[#This Row],[مقدار تسویه شده (کیلوگرم)]])</f>
        <v>39382</v>
      </c>
      <c r="Y1342" s="6">
        <f ca="1">IF(Main[[#This Row],[مانده در خط تسویه شده (کیلوگرم)]]&lt;&gt;0,Main[[#This Row],[تعداد کل روزهای بدهکار (روز)]],0)</f>
        <v>11</v>
      </c>
      <c r="Z1342" s="6">
        <f ca="1">Main[[#This Row],[تعداد روزهای بدهکار تسویه شده (روز)]]*Main[[#This Row],[مانده در خط تسویه شده (کیلوگرم)]]</f>
        <v>433202</v>
      </c>
      <c r="AA1342" s="6">
        <f ca="1">SUBTOTAL(9,INDEX(Main[بدهی تسویه نشده (کیلوگرم)],1):Main[[#This Row],[بدهی تسویه نشده (کیلوگرم)]])</f>
        <v>0</v>
      </c>
      <c r="AB1342" s="6">
        <f ca="1">IF(Main[[#This Row],[مانده در خط تسویه نشده (کیلوگرم)]]&lt;&gt;0,Main[[#This Row],[تعداد کل روزهای بدهکار (روز)]],0)</f>
        <v>0</v>
      </c>
      <c r="AC1342" s="6">
        <f ca="1">Main[[#This Row],[تعداد روزهای بدهکار  تسویه نشده (روز)]]*Main[[#This Row],[مانده در خط تسویه نشده (کیلوگرم)]]</f>
        <v>0</v>
      </c>
      <c r="AD1342" s="6">
        <f ca="1">SUBTOTAL(9,INDEX(Main[بدهی سررسید شده (کیلوگرم)],1):Main[[#This Row],[بدهی سررسید شده (کیلوگرم)]])</f>
        <v>0</v>
      </c>
      <c r="AE1342" s="6">
        <f ca="1">IF(Main[[#This Row],[مانده در خط سررسید شده (کیلوگرم)]]&lt;&gt;0,Main[[#This Row],[تعداد کل روزهای بدهکار (روز)]],0)</f>
        <v>0</v>
      </c>
      <c r="AF1342" s="6">
        <f ca="1">Main[[#This Row],[تعداد روزهای بدهکار سررسید شده (روز)]]*Main[[#This Row],[مانده در خط سررسید شده (کیلوگرم)]]</f>
        <v>0</v>
      </c>
    </row>
    <row r="1343" spans="1:32" hidden="1" x14ac:dyDescent="0.35">
      <c r="A1343" s="5">
        <f>ROW()-ROW(INDEX(Main[ردیف],1))+1</f>
        <v>1341</v>
      </c>
      <c r="B1343" s="31">
        <f>SUBTOTAL(2,INDEX(Main[ردیف],1):Main[[#This Row],[ردیف]])</f>
        <v>119</v>
      </c>
      <c r="C1343" s="32" t="s">
        <v>644</v>
      </c>
      <c r="D1343" s="32" t="str">
        <f>_xlfn.CONCAT("14",Main[[#This Row],[تاريخ]])</f>
        <v>1400/05/20</v>
      </c>
      <c r="E1343" s="33">
        <v>44419</v>
      </c>
      <c r="F1343" s="32">
        <v>10127</v>
      </c>
      <c r="G1343" s="5" t="str">
        <f>INDEX(customer[عنوان],MATCH(Main[[#This Row],[کد ردیابی]],customer[کد],0))</f>
        <v xml:space="preserve">عماد هاشمی </v>
      </c>
      <c r="H1343">
        <v>286</v>
      </c>
      <c r="I1343" s="6">
        <f ca="1">-Main[[#This Row],[بدهی تسویه شده (کیلوگرم)]]+Main[[#This Row],[بستانکار (کیلوگرم)]]</f>
        <v>286</v>
      </c>
      <c r="J1343" s="6">
        <f>IF(Main[[#This Row],[مقدار (کیلوگرم)]]&gt;0,Main[[#This Row],[مقدار (کیلوگرم)]],0)</f>
        <v>286</v>
      </c>
      <c r="K1343" s="6">
        <f>-IF(Main[[#This Row],[مقدار (کیلوگرم)]]&lt;0,Main[[#This Row],[مقدار (کیلوگرم)]],0)</f>
        <v>0</v>
      </c>
      <c r="L13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3" s="7">
        <f>-IF(AND(Main[[#This Row],[مقدار (کیلوگرم)]]&lt;0,Main[[#This Row],[تاريخ میلادی]]&gt;44276),Main[[#This Row],[مقدار (کیلوگرم)]],0)</f>
        <v>0</v>
      </c>
      <c r="N1343" s="6">
        <f ca="1">Main[[#This Row],[بدهکار (کیلوگرم)]]-Main[[#This Row],[بدهی تسویه نشده (کیلوگرم)]]</f>
        <v>0</v>
      </c>
      <c r="O1343" s="6">
        <f ca="1">Main[[#This Row],[تفکیک]]</f>
        <v>0</v>
      </c>
      <c r="P1343" s="6">
        <f ca="1">IF(Main[[#This Row],[تاخیر از سررسید]]&gt;0,Main[[#This Row],[بدهی تسویه نشده (کیلوگرم)]],0)</f>
        <v>0</v>
      </c>
      <c r="Q1343" s="6">
        <f ca="1">IF(Main[[#This Row],[بدهی تسویه نشده (کیلوگرم)]]&gt;0,'گزارش فردی'!$B$7-Main[[#This Row],[تاريخ میلادی]],0)</f>
        <v>0</v>
      </c>
      <c r="R1343" s="6">
        <f ca="1">IF(Main[[#This Row],[بدهی تسویه نشده (کیلوگرم)]]&gt;0,'گزارش فردی'!$B$7-Main[[#This Row],[تاريخ میلادی]]-'گزارش فردی'!$B$8,0)</f>
        <v>0</v>
      </c>
      <c r="S1343" s="6">
        <f ca="1">Main[[#This Row],[روز از ارسال سفارش]]*Main[[#This Row],[بدهی تسویه نشده (کیلوگرم)]]</f>
        <v>0</v>
      </c>
      <c r="T1343" s="6">
        <f ca="1">Main[[#This Row],[بدهی سررسید شده (کیلوگرم)]]*Main[[#This Row],[روز از ارسال سفارش]]</f>
        <v>0</v>
      </c>
      <c r="U1343" s="6">
        <f>-SUBTOTAL(9,INDEX(Main[مقدار (کیلوگرم)],1):Main[[#This Row],[مقدار (کیلوگرم)]])</f>
        <v>39382</v>
      </c>
      <c r="V1343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3" s="6">
        <f>Main[[#This Row],[تعداد کل روزهای بدهکار (روز)]]*Main[[#This Row],[مانده در خط کل (کیلوگرم)]]</f>
        <v>433202</v>
      </c>
      <c r="X1343" s="6">
        <f ca="1">-SUBTOTAL(9,INDEX(Main[مقدار تسویه شده (کیلوگرم)],1):Main[[#This Row],[مقدار تسویه شده (کیلوگرم)]])</f>
        <v>39382</v>
      </c>
      <c r="Y1343" s="6">
        <f ca="1">IF(Main[[#This Row],[مانده در خط تسویه شده (کیلوگرم)]]&lt;&gt;0,Main[[#This Row],[تعداد کل روزهای بدهکار (روز)]],0)</f>
        <v>11</v>
      </c>
      <c r="Z1343" s="6">
        <f ca="1">Main[[#This Row],[تعداد روزهای بدهکار تسویه شده (روز)]]*Main[[#This Row],[مانده در خط تسویه شده (کیلوگرم)]]</f>
        <v>433202</v>
      </c>
      <c r="AA1343" s="6">
        <f ca="1">SUBTOTAL(9,INDEX(Main[بدهی تسویه نشده (کیلوگرم)],1):Main[[#This Row],[بدهی تسویه نشده (کیلوگرم)]])</f>
        <v>0</v>
      </c>
      <c r="AB1343" s="6">
        <f ca="1">IF(Main[[#This Row],[مانده در خط تسویه نشده (کیلوگرم)]]&lt;&gt;0,Main[[#This Row],[تعداد کل روزهای بدهکار (روز)]],0)</f>
        <v>0</v>
      </c>
      <c r="AC1343" s="6">
        <f ca="1">Main[[#This Row],[تعداد روزهای بدهکار  تسویه نشده (روز)]]*Main[[#This Row],[مانده در خط تسویه نشده (کیلوگرم)]]</f>
        <v>0</v>
      </c>
      <c r="AD1343" s="6">
        <f ca="1">SUBTOTAL(9,INDEX(Main[بدهی سررسید شده (کیلوگرم)],1):Main[[#This Row],[بدهی سررسید شده (کیلوگرم)]])</f>
        <v>0</v>
      </c>
      <c r="AE1343" s="6">
        <f ca="1">IF(Main[[#This Row],[مانده در خط سررسید شده (کیلوگرم)]]&lt;&gt;0,Main[[#This Row],[تعداد کل روزهای بدهکار (روز)]],0)</f>
        <v>0</v>
      </c>
      <c r="AF1343" s="6">
        <f ca="1">Main[[#This Row],[تعداد روزهای بدهکار سررسید شده (روز)]]*Main[[#This Row],[مانده در خط سررسید شده (کیلوگرم)]]</f>
        <v>0</v>
      </c>
    </row>
    <row r="1344" spans="1:32" hidden="1" x14ac:dyDescent="0.35">
      <c r="A1344" s="5">
        <f>ROW()-ROW(INDEX(Main[ردیف],1))+1</f>
        <v>1342</v>
      </c>
      <c r="B1344" s="31">
        <f>SUBTOTAL(2,INDEX(Main[ردیف],1):Main[[#This Row],[ردیف]])</f>
        <v>119</v>
      </c>
      <c r="C1344" s="32" t="s">
        <v>644</v>
      </c>
      <c r="D1344" s="32" t="str">
        <f>_xlfn.CONCAT("14",Main[[#This Row],[تاريخ]])</f>
        <v>1400/05/20</v>
      </c>
      <c r="E1344" s="33">
        <v>44419</v>
      </c>
      <c r="F1344" s="32">
        <v>10119</v>
      </c>
      <c r="G1344" s="5" t="str">
        <f>INDEX(customer[عنوان],MATCH(Main[[#This Row],[کد ردیابی]],customer[کد],0))</f>
        <v>سیف الله اکبری</v>
      </c>
      <c r="H1344">
        <v>-610</v>
      </c>
      <c r="I1344" s="6">
        <f ca="1">-Main[[#This Row],[بدهی تسویه شده (کیلوگرم)]]+Main[[#This Row],[بستانکار (کیلوگرم)]]</f>
        <v>-610</v>
      </c>
      <c r="J1344" s="6">
        <f>IF(Main[[#This Row],[مقدار (کیلوگرم)]]&gt;0,Main[[#This Row],[مقدار (کیلوگرم)]],0)</f>
        <v>0</v>
      </c>
      <c r="K1344" s="6">
        <f>-IF(Main[[#This Row],[مقدار (کیلوگرم)]]&lt;0,Main[[#This Row],[مقدار (کیلوگرم)]],0)</f>
        <v>610</v>
      </c>
      <c r="L13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4" s="7">
        <f>-IF(AND(Main[[#This Row],[مقدار (کیلوگرم)]]&lt;0,Main[[#This Row],[تاريخ میلادی]]&gt;44276),Main[[#This Row],[مقدار (کیلوگرم)]],0)</f>
        <v>610</v>
      </c>
      <c r="N1344" s="6">
        <f ca="1">Main[[#This Row],[بدهکار (کیلوگرم)]]-Main[[#This Row],[بدهی تسویه نشده (کیلوگرم)]]</f>
        <v>610</v>
      </c>
      <c r="O1344" s="6">
        <f ca="1">Main[[#This Row],[تفکیک]]</f>
        <v>0</v>
      </c>
      <c r="P1344" s="6">
        <f ca="1">IF(Main[[#This Row],[تاخیر از سررسید]]&gt;0,Main[[#This Row],[بدهی تسویه نشده (کیلوگرم)]],0)</f>
        <v>0</v>
      </c>
      <c r="Q1344" s="6">
        <f ca="1">IF(Main[[#This Row],[بدهی تسویه نشده (کیلوگرم)]]&gt;0,'گزارش فردی'!$B$7-Main[[#This Row],[تاريخ میلادی]],0)</f>
        <v>0</v>
      </c>
      <c r="R1344" s="6">
        <f ca="1">IF(Main[[#This Row],[بدهی تسویه نشده (کیلوگرم)]]&gt;0,'گزارش فردی'!$B$7-Main[[#This Row],[تاريخ میلادی]]-'گزارش فردی'!$B$8,0)</f>
        <v>0</v>
      </c>
      <c r="S1344" s="6">
        <f ca="1">Main[[#This Row],[روز از ارسال سفارش]]*Main[[#This Row],[بدهی تسویه نشده (کیلوگرم)]]</f>
        <v>0</v>
      </c>
      <c r="T1344" s="6">
        <f ca="1">Main[[#This Row],[بدهی سررسید شده (کیلوگرم)]]*Main[[#This Row],[روز از ارسال سفارش]]</f>
        <v>0</v>
      </c>
      <c r="U1344" s="6">
        <f>-SUBTOTAL(9,INDEX(Main[مقدار (کیلوگرم)],1):Main[[#This Row],[مقدار (کیلوگرم)]])</f>
        <v>39382</v>
      </c>
      <c r="V1344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4" s="6">
        <f>Main[[#This Row],[تعداد کل روزهای بدهکار (روز)]]*Main[[#This Row],[مانده در خط کل (کیلوگرم)]]</f>
        <v>433202</v>
      </c>
      <c r="X1344" s="6">
        <f ca="1">-SUBTOTAL(9,INDEX(Main[مقدار تسویه شده (کیلوگرم)],1):Main[[#This Row],[مقدار تسویه شده (کیلوگرم)]])</f>
        <v>39382</v>
      </c>
      <c r="Y1344" s="6">
        <f ca="1">IF(Main[[#This Row],[مانده در خط تسویه شده (کیلوگرم)]]&lt;&gt;0,Main[[#This Row],[تعداد کل روزهای بدهکار (روز)]],0)</f>
        <v>11</v>
      </c>
      <c r="Z1344" s="6">
        <f ca="1">Main[[#This Row],[تعداد روزهای بدهکار تسویه شده (روز)]]*Main[[#This Row],[مانده در خط تسویه شده (کیلوگرم)]]</f>
        <v>433202</v>
      </c>
      <c r="AA1344" s="6">
        <f ca="1">SUBTOTAL(9,INDEX(Main[بدهی تسویه نشده (کیلوگرم)],1):Main[[#This Row],[بدهی تسویه نشده (کیلوگرم)]])</f>
        <v>0</v>
      </c>
      <c r="AB1344" s="6">
        <f ca="1">IF(Main[[#This Row],[مانده در خط تسویه نشده (کیلوگرم)]]&lt;&gt;0,Main[[#This Row],[تعداد کل روزهای بدهکار (روز)]],0)</f>
        <v>0</v>
      </c>
      <c r="AC1344" s="6">
        <f ca="1">Main[[#This Row],[تعداد روزهای بدهکار  تسویه نشده (روز)]]*Main[[#This Row],[مانده در خط تسویه نشده (کیلوگرم)]]</f>
        <v>0</v>
      </c>
      <c r="AD1344" s="6">
        <f ca="1">SUBTOTAL(9,INDEX(Main[بدهی سررسید شده (کیلوگرم)],1):Main[[#This Row],[بدهی سررسید شده (کیلوگرم)]])</f>
        <v>0</v>
      </c>
      <c r="AE1344" s="6">
        <f ca="1">IF(Main[[#This Row],[مانده در خط سررسید شده (کیلوگرم)]]&lt;&gt;0,Main[[#This Row],[تعداد کل روزهای بدهکار (روز)]],0)</f>
        <v>0</v>
      </c>
      <c r="AF1344" s="6">
        <f ca="1">Main[[#This Row],[تعداد روزهای بدهکار سررسید شده (روز)]]*Main[[#This Row],[مانده در خط سررسید شده (کیلوگرم)]]</f>
        <v>0</v>
      </c>
    </row>
    <row r="1345" spans="1:32" hidden="1" x14ac:dyDescent="0.35">
      <c r="A1345" s="5">
        <f>ROW()-ROW(INDEX(Main[ردیف],1))+1</f>
        <v>1343</v>
      </c>
      <c r="B1345" s="31">
        <f>SUBTOTAL(2,INDEX(Main[ردیف],1):Main[[#This Row],[ردیف]])</f>
        <v>119</v>
      </c>
      <c r="C1345" s="32" t="s">
        <v>645</v>
      </c>
      <c r="D1345" s="32" t="str">
        <f>_xlfn.CONCAT("14",Main[[#This Row],[تاريخ]])</f>
        <v>1400/05/21</v>
      </c>
      <c r="E1345" s="33">
        <v>44420</v>
      </c>
      <c r="F1345" s="32">
        <v>10020</v>
      </c>
      <c r="G1345" s="5" t="str">
        <f>INDEX(customer[عنوان],MATCH(Main[[#This Row],[کد ردیابی]],customer[کد],0))</f>
        <v>فرزاد اسماعیل زاده</v>
      </c>
      <c r="H1345">
        <v>1023</v>
      </c>
      <c r="I1345" s="6">
        <f ca="1">-Main[[#This Row],[بدهی تسویه شده (کیلوگرم)]]+Main[[#This Row],[بستانکار (کیلوگرم)]]</f>
        <v>1023</v>
      </c>
      <c r="J1345" s="6">
        <f>IF(Main[[#This Row],[مقدار (کیلوگرم)]]&gt;0,Main[[#This Row],[مقدار (کیلوگرم)]],0)</f>
        <v>1023</v>
      </c>
      <c r="K1345" s="6">
        <f>-IF(Main[[#This Row],[مقدار (کیلوگرم)]]&lt;0,Main[[#This Row],[مقدار (کیلوگرم)]],0)</f>
        <v>0</v>
      </c>
      <c r="L13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5" s="7">
        <f>-IF(AND(Main[[#This Row],[مقدار (کیلوگرم)]]&lt;0,Main[[#This Row],[تاريخ میلادی]]&gt;44276),Main[[#This Row],[مقدار (کیلوگرم)]],0)</f>
        <v>0</v>
      </c>
      <c r="N1345" s="6">
        <f ca="1">Main[[#This Row],[بدهکار (کیلوگرم)]]-Main[[#This Row],[بدهی تسویه نشده (کیلوگرم)]]</f>
        <v>0</v>
      </c>
      <c r="O1345" s="6">
        <f ca="1">Main[[#This Row],[تفکیک]]</f>
        <v>0</v>
      </c>
      <c r="P1345" s="6">
        <f ca="1">IF(Main[[#This Row],[تاخیر از سررسید]]&gt;0,Main[[#This Row],[بدهی تسویه نشده (کیلوگرم)]],0)</f>
        <v>0</v>
      </c>
      <c r="Q1345" s="6">
        <f ca="1">IF(Main[[#This Row],[بدهی تسویه نشده (کیلوگرم)]]&gt;0,'گزارش فردی'!$B$7-Main[[#This Row],[تاريخ میلادی]],0)</f>
        <v>0</v>
      </c>
      <c r="R1345" s="6">
        <f ca="1">IF(Main[[#This Row],[بدهی تسویه نشده (کیلوگرم)]]&gt;0,'گزارش فردی'!$B$7-Main[[#This Row],[تاريخ میلادی]]-'گزارش فردی'!$B$8,0)</f>
        <v>0</v>
      </c>
      <c r="S1345" s="6">
        <f ca="1">Main[[#This Row],[روز از ارسال سفارش]]*Main[[#This Row],[بدهی تسویه نشده (کیلوگرم)]]</f>
        <v>0</v>
      </c>
      <c r="T1345" s="6">
        <f ca="1">Main[[#This Row],[بدهی سررسید شده (کیلوگرم)]]*Main[[#This Row],[روز از ارسال سفارش]]</f>
        <v>0</v>
      </c>
      <c r="U1345" s="6">
        <f>-SUBTOTAL(9,INDEX(Main[مقدار (کیلوگرم)],1):Main[[#This Row],[مقدار (کیلوگرم)]])</f>
        <v>39382</v>
      </c>
      <c r="V1345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5" s="6">
        <f>Main[[#This Row],[تعداد کل روزهای بدهکار (روز)]]*Main[[#This Row],[مانده در خط کل (کیلوگرم)]]</f>
        <v>393820</v>
      </c>
      <c r="X1345" s="6">
        <f ca="1">-SUBTOTAL(9,INDEX(Main[مقدار تسویه شده (کیلوگرم)],1):Main[[#This Row],[مقدار تسویه شده (کیلوگرم)]])</f>
        <v>39382</v>
      </c>
      <c r="Y1345" s="6">
        <f ca="1">IF(Main[[#This Row],[مانده در خط تسویه شده (کیلوگرم)]]&lt;&gt;0,Main[[#This Row],[تعداد کل روزهای بدهکار (روز)]],0)</f>
        <v>10</v>
      </c>
      <c r="Z1345" s="6">
        <f ca="1">Main[[#This Row],[تعداد روزهای بدهکار تسویه شده (روز)]]*Main[[#This Row],[مانده در خط تسویه شده (کیلوگرم)]]</f>
        <v>393820</v>
      </c>
      <c r="AA1345" s="6">
        <f ca="1">SUBTOTAL(9,INDEX(Main[بدهی تسویه نشده (کیلوگرم)],1):Main[[#This Row],[بدهی تسویه نشده (کیلوگرم)]])</f>
        <v>0</v>
      </c>
      <c r="AB1345" s="6">
        <f ca="1">IF(Main[[#This Row],[مانده در خط تسویه نشده (کیلوگرم)]]&lt;&gt;0,Main[[#This Row],[تعداد کل روزهای بدهکار (روز)]],0)</f>
        <v>0</v>
      </c>
      <c r="AC1345" s="6">
        <f ca="1">Main[[#This Row],[تعداد روزهای بدهکار  تسویه نشده (روز)]]*Main[[#This Row],[مانده در خط تسویه نشده (کیلوگرم)]]</f>
        <v>0</v>
      </c>
      <c r="AD1345" s="6">
        <f ca="1">SUBTOTAL(9,INDEX(Main[بدهی سررسید شده (کیلوگرم)],1):Main[[#This Row],[بدهی سررسید شده (کیلوگرم)]])</f>
        <v>0</v>
      </c>
      <c r="AE1345" s="6">
        <f ca="1">IF(Main[[#This Row],[مانده در خط سررسید شده (کیلوگرم)]]&lt;&gt;0,Main[[#This Row],[تعداد کل روزهای بدهکار (روز)]],0)</f>
        <v>0</v>
      </c>
      <c r="AF1345" s="6">
        <f ca="1">Main[[#This Row],[تعداد روزهای بدهکار سررسید شده (روز)]]*Main[[#This Row],[مانده در خط سررسید شده (کیلوگرم)]]</f>
        <v>0</v>
      </c>
    </row>
    <row r="1346" spans="1:32" hidden="1" x14ac:dyDescent="0.35">
      <c r="A1346" s="5">
        <f>ROW()-ROW(INDEX(Main[ردیف],1))+1</f>
        <v>1344</v>
      </c>
      <c r="B1346" s="31">
        <f>SUBTOTAL(2,INDEX(Main[ردیف],1):Main[[#This Row],[ردیف]])</f>
        <v>119</v>
      </c>
      <c r="C1346" s="32" t="s">
        <v>645</v>
      </c>
      <c r="D1346" s="32" t="str">
        <f>_xlfn.CONCAT("14",Main[[#This Row],[تاريخ]])</f>
        <v>1400/05/21</v>
      </c>
      <c r="E1346" s="33">
        <v>44420</v>
      </c>
      <c r="F1346" s="32">
        <v>30018</v>
      </c>
      <c r="G1346" s="5" t="str">
        <f>INDEX(customer[عنوان],MATCH(Main[[#This Row],[کد ردیابی]],customer[کد],0))</f>
        <v xml:space="preserve">تولیدی شیر سازی غریب پویا </v>
      </c>
      <c r="H1346">
        <v>-760</v>
      </c>
      <c r="I1346" s="6">
        <f ca="1">-Main[[#This Row],[بدهی تسویه شده (کیلوگرم)]]+Main[[#This Row],[بستانکار (کیلوگرم)]]</f>
        <v>-760</v>
      </c>
      <c r="J1346" s="6">
        <f>IF(Main[[#This Row],[مقدار (کیلوگرم)]]&gt;0,Main[[#This Row],[مقدار (کیلوگرم)]],0)</f>
        <v>0</v>
      </c>
      <c r="K1346" s="6">
        <f>-IF(Main[[#This Row],[مقدار (کیلوگرم)]]&lt;0,Main[[#This Row],[مقدار (کیلوگرم)]],0)</f>
        <v>760</v>
      </c>
      <c r="L13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6" s="7">
        <f>-IF(AND(Main[[#This Row],[مقدار (کیلوگرم)]]&lt;0,Main[[#This Row],[تاريخ میلادی]]&gt;44276),Main[[#This Row],[مقدار (کیلوگرم)]],0)</f>
        <v>760</v>
      </c>
      <c r="N1346" s="6">
        <f ca="1">Main[[#This Row],[بدهکار (کیلوگرم)]]-Main[[#This Row],[بدهی تسویه نشده (کیلوگرم)]]</f>
        <v>760</v>
      </c>
      <c r="O1346" s="6">
        <f ca="1">Main[[#This Row],[تفکیک]]</f>
        <v>0</v>
      </c>
      <c r="P1346" s="6">
        <f ca="1">IF(Main[[#This Row],[تاخیر از سررسید]]&gt;0,Main[[#This Row],[بدهی تسویه نشده (کیلوگرم)]],0)</f>
        <v>0</v>
      </c>
      <c r="Q1346" s="6">
        <f ca="1">IF(Main[[#This Row],[بدهی تسویه نشده (کیلوگرم)]]&gt;0,'گزارش فردی'!$B$7-Main[[#This Row],[تاريخ میلادی]],0)</f>
        <v>0</v>
      </c>
      <c r="R1346" s="6">
        <f ca="1">IF(Main[[#This Row],[بدهی تسویه نشده (کیلوگرم)]]&gt;0,'گزارش فردی'!$B$7-Main[[#This Row],[تاريخ میلادی]]-'گزارش فردی'!$B$8,0)</f>
        <v>0</v>
      </c>
      <c r="S1346" s="6">
        <f ca="1">Main[[#This Row],[روز از ارسال سفارش]]*Main[[#This Row],[بدهی تسویه نشده (کیلوگرم)]]</f>
        <v>0</v>
      </c>
      <c r="T1346" s="6">
        <f ca="1">Main[[#This Row],[بدهی سررسید شده (کیلوگرم)]]*Main[[#This Row],[روز از ارسال سفارش]]</f>
        <v>0</v>
      </c>
      <c r="U1346" s="6">
        <f>-SUBTOTAL(9,INDEX(Main[مقدار (کیلوگرم)],1):Main[[#This Row],[مقدار (کیلوگرم)]])</f>
        <v>39382</v>
      </c>
      <c r="V1346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6" s="6">
        <f>Main[[#This Row],[تعداد کل روزهای بدهکار (روز)]]*Main[[#This Row],[مانده در خط کل (کیلوگرم)]]</f>
        <v>393820</v>
      </c>
      <c r="X1346" s="6">
        <f ca="1">-SUBTOTAL(9,INDEX(Main[مقدار تسویه شده (کیلوگرم)],1):Main[[#This Row],[مقدار تسویه شده (کیلوگرم)]])</f>
        <v>39382</v>
      </c>
      <c r="Y1346" s="6">
        <f ca="1">IF(Main[[#This Row],[مانده در خط تسویه شده (کیلوگرم)]]&lt;&gt;0,Main[[#This Row],[تعداد کل روزهای بدهکار (روز)]],0)</f>
        <v>10</v>
      </c>
      <c r="Z1346" s="6">
        <f ca="1">Main[[#This Row],[تعداد روزهای بدهکار تسویه شده (روز)]]*Main[[#This Row],[مانده در خط تسویه شده (کیلوگرم)]]</f>
        <v>393820</v>
      </c>
      <c r="AA1346" s="6">
        <f ca="1">SUBTOTAL(9,INDEX(Main[بدهی تسویه نشده (کیلوگرم)],1):Main[[#This Row],[بدهی تسویه نشده (کیلوگرم)]])</f>
        <v>0</v>
      </c>
      <c r="AB1346" s="6">
        <f ca="1">IF(Main[[#This Row],[مانده در خط تسویه نشده (کیلوگرم)]]&lt;&gt;0,Main[[#This Row],[تعداد کل روزهای بدهکار (روز)]],0)</f>
        <v>0</v>
      </c>
      <c r="AC1346" s="6">
        <f ca="1">Main[[#This Row],[تعداد روزهای بدهکار  تسویه نشده (روز)]]*Main[[#This Row],[مانده در خط تسویه نشده (کیلوگرم)]]</f>
        <v>0</v>
      </c>
      <c r="AD1346" s="6">
        <f ca="1">SUBTOTAL(9,INDEX(Main[بدهی سررسید شده (کیلوگرم)],1):Main[[#This Row],[بدهی سررسید شده (کیلوگرم)]])</f>
        <v>0</v>
      </c>
      <c r="AE1346" s="6">
        <f ca="1">IF(Main[[#This Row],[مانده در خط سررسید شده (کیلوگرم)]]&lt;&gt;0,Main[[#This Row],[تعداد کل روزهای بدهکار (روز)]],0)</f>
        <v>0</v>
      </c>
      <c r="AF1346" s="6">
        <f ca="1">Main[[#This Row],[تعداد روزهای بدهکار سررسید شده (روز)]]*Main[[#This Row],[مانده در خط سررسید شده (کیلوگرم)]]</f>
        <v>0</v>
      </c>
    </row>
    <row r="1347" spans="1:32" hidden="1" x14ac:dyDescent="0.35">
      <c r="A1347" s="5">
        <f>ROW()-ROW(INDEX(Main[ردیف],1))+1</f>
        <v>1345</v>
      </c>
      <c r="B1347" s="31">
        <f>SUBTOTAL(2,INDEX(Main[ردیف],1):Main[[#This Row],[ردیف]])</f>
        <v>119</v>
      </c>
      <c r="C1347" s="32" t="s">
        <v>645</v>
      </c>
      <c r="D1347" s="32" t="str">
        <f>_xlfn.CONCAT("14",Main[[#This Row],[تاريخ]])</f>
        <v>1400/05/21</v>
      </c>
      <c r="E1347" s="33">
        <v>44420</v>
      </c>
      <c r="F1347" s="32">
        <v>10057</v>
      </c>
      <c r="G1347" s="5" t="str">
        <f>INDEX(customer[عنوان],MATCH(Main[[#This Row],[کد ردیابی]],customer[کد],0))</f>
        <v xml:space="preserve">عبدالله یادگار </v>
      </c>
      <c r="H1347">
        <v>1000</v>
      </c>
      <c r="I1347" s="6">
        <f ca="1">-Main[[#This Row],[بدهی تسویه شده (کیلوگرم)]]+Main[[#This Row],[بستانکار (کیلوگرم)]]</f>
        <v>1000</v>
      </c>
      <c r="J1347" s="6">
        <f>IF(Main[[#This Row],[مقدار (کیلوگرم)]]&gt;0,Main[[#This Row],[مقدار (کیلوگرم)]],0)</f>
        <v>1000</v>
      </c>
      <c r="K1347" s="6">
        <f>-IF(Main[[#This Row],[مقدار (کیلوگرم)]]&lt;0,Main[[#This Row],[مقدار (کیلوگرم)]],0)</f>
        <v>0</v>
      </c>
      <c r="L13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7" s="7">
        <f>-IF(AND(Main[[#This Row],[مقدار (کیلوگرم)]]&lt;0,Main[[#This Row],[تاريخ میلادی]]&gt;44276),Main[[#This Row],[مقدار (کیلوگرم)]],0)</f>
        <v>0</v>
      </c>
      <c r="N1347" s="6">
        <f ca="1">Main[[#This Row],[بدهکار (کیلوگرم)]]-Main[[#This Row],[بدهی تسویه نشده (کیلوگرم)]]</f>
        <v>0</v>
      </c>
      <c r="O1347" s="6">
        <f ca="1">Main[[#This Row],[تفکیک]]</f>
        <v>0</v>
      </c>
      <c r="P1347" s="6">
        <f ca="1">IF(Main[[#This Row],[تاخیر از سررسید]]&gt;0,Main[[#This Row],[بدهی تسویه نشده (کیلوگرم)]],0)</f>
        <v>0</v>
      </c>
      <c r="Q1347" s="6">
        <f ca="1">IF(Main[[#This Row],[بدهی تسویه نشده (کیلوگرم)]]&gt;0,'گزارش فردی'!$B$7-Main[[#This Row],[تاريخ میلادی]],0)</f>
        <v>0</v>
      </c>
      <c r="R1347" s="6">
        <f ca="1">IF(Main[[#This Row],[بدهی تسویه نشده (کیلوگرم)]]&gt;0,'گزارش فردی'!$B$7-Main[[#This Row],[تاريخ میلادی]]-'گزارش فردی'!$B$8,0)</f>
        <v>0</v>
      </c>
      <c r="S1347" s="6">
        <f ca="1">Main[[#This Row],[روز از ارسال سفارش]]*Main[[#This Row],[بدهی تسویه نشده (کیلوگرم)]]</f>
        <v>0</v>
      </c>
      <c r="T1347" s="6">
        <f ca="1">Main[[#This Row],[بدهی سررسید شده (کیلوگرم)]]*Main[[#This Row],[روز از ارسال سفارش]]</f>
        <v>0</v>
      </c>
      <c r="U1347" s="6">
        <f>-SUBTOTAL(9,INDEX(Main[مقدار (کیلوگرم)],1):Main[[#This Row],[مقدار (کیلوگرم)]])</f>
        <v>39382</v>
      </c>
      <c r="V1347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7" s="6">
        <f>Main[[#This Row],[تعداد کل روزهای بدهکار (روز)]]*Main[[#This Row],[مانده در خط کل (کیلوگرم)]]</f>
        <v>393820</v>
      </c>
      <c r="X1347" s="6">
        <f ca="1">-SUBTOTAL(9,INDEX(Main[مقدار تسویه شده (کیلوگرم)],1):Main[[#This Row],[مقدار تسویه شده (کیلوگرم)]])</f>
        <v>39382</v>
      </c>
      <c r="Y1347" s="6">
        <f ca="1">IF(Main[[#This Row],[مانده در خط تسویه شده (کیلوگرم)]]&lt;&gt;0,Main[[#This Row],[تعداد کل روزهای بدهکار (روز)]],0)</f>
        <v>10</v>
      </c>
      <c r="Z1347" s="6">
        <f ca="1">Main[[#This Row],[تعداد روزهای بدهکار تسویه شده (روز)]]*Main[[#This Row],[مانده در خط تسویه شده (کیلوگرم)]]</f>
        <v>393820</v>
      </c>
      <c r="AA1347" s="6">
        <f ca="1">SUBTOTAL(9,INDEX(Main[بدهی تسویه نشده (کیلوگرم)],1):Main[[#This Row],[بدهی تسویه نشده (کیلوگرم)]])</f>
        <v>0</v>
      </c>
      <c r="AB1347" s="6">
        <f ca="1">IF(Main[[#This Row],[مانده در خط تسویه نشده (کیلوگرم)]]&lt;&gt;0,Main[[#This Row],[تعداد کل روزهای بدهکار (روز)]],0)</f>
        <v>0</v>
      </c>
      <c r="AC1347" s="6">
        <f ca="1">Main[[#This Row],[تعداد روزهای بدهکار  تسویه نشده (روز)]]*Main[[#This Row],[مانده در خط تسویه نشده (کیلوگرم)]]</f>
        <v>0</v>
      </c>
      <c r="AD1347" s="6">
        <f ca="1">SUBTOTAL(9,INDEX(Main[بدهی سررسید شده (کیلوگرم)],1):Main[[#This Row],[بدهی سررسید شده (کیلوگرم)]])</f>
        <v>0</v>
      </c>
      <c r="AE1347" s="6">
        <f ca="1">IF(Main[[#This Row],[مانده در خط سررسید شده (کیلوگرم)]]&lt;&gt;0,Main[[#This Row],[تعداد کل روزهای بدهکار (روز)]],0)</f>
        <v>0</v>
      </c>
      <c r="AF1347" s="6">
        <f ca="1">Main[[#This Row],[تعداد روزهای بدهکار سررسید شده (روز)]]*Main[[#This Row],[مانده در خط سررسید شده (کیلوگرم)]]</f>
        <v>0</v>
      </c>
    </row>
    <row r="1348" spans="1:32" hidden="1" x14ac:dyDescent="0.35">
      <c r="A1348" s="5">
        <f>ROW()-ROW(INDEX(Main[ردیف],1))+1</f>
        <v>1346</v>
      </c>
      <c r="B1348" s="31">
        <f>SUBTOTAL(2,INDEX(Main[ردیف],1):Main[[#This Row],[ردیف]])</f>
        <v>119</v>
      </c>
      <c r="C1348" s="32" t="s">
        <v>645</v>
      </c>
      <c r="D1348" s="32" t="str">
        <f>_xlfn.CONCAT("14",Main[[#This Row],[تاريخ]])</f>
        <v>1400/05/21</v>
      </c>
      <c r="E1348" s="33">
        <v>44420</v>
      </c>
      <c r="F1348" s="32">
        <v>30064</v>
      </c>
      <c r="G1348" s="5" t="str">
        <f>INDEX(customer[عنوان],MATCH(Main[[#This Row],[کد ردیابی]],customer[کد],0))</f>
        <v>پایپکس</v>
      </c>
      <c r="H1348">
        <v>-1025</v>
      </c>
      <c r="I1348" s="6">
        <f ca="1">-Main[[#This Row],[بدهی تسویه شده (کیلوگرم)]]+Main[[#This Row],[بستانکار (کیلوگرم)]]</f>
        <v>-1025</v>
      </c>
      <c r="J1348" s="6">
        <f>IF(Main[[#This Row],[مقدار (کیلوگرم)]]&gt;0,Main[[#This Row],[مقدار (کیلوگرم)]],0)</f>
        <v>0</v>
      </c>
      <c r="K1348" s="6">
        <f>-IF(Main[[#This Row],[مقدار (کیلوگرم)]]&lt;0,Main[[#This Row],[مقدار (کیلوگرم)]],0)</f>
        <v>1025</v>
      </c>
      <c r="L13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8" s="7">
        <f>-IF(AND(Main[[#This Row],[مقدار (کیلوگرم)]]&lt;0,Main[[#This Row],[تاريخ میلادی]]&gt;44276),Main[[#This Row],[مقدار (کیلوگرم)]],0)</f>
        <v>1025</v>
      </c>
      <c r="N1348" s="6">
        <f ca="1">Main[[#This Row],[بدهکار (کیلوگرم)]]-Main[[#This Row],[بدهی تسویه نشده (کیلوگرم)]]</f>
        <v>1025</v>
      </c>
      <c r="O1348" s="6">
        <f ca="1">Main[[#This Row],[تفکیک]]</f>
        <v>0</v>
      </c>
      <c r="P1348" s="6">
        <f ca="1">IF(Main[[#This Row],[تاخیر از سررسید]]&gt;0,Main[[#This Row],[بدهی تسویه نشده (کیلوگرم)]],0)</f>
        <v>0</v>
      </c>
      <c r="Q1348" s="6">
        <f ca="1">IF(Main[[#This Row],[بدهی تسویه نشده (کیلوگرم)]]&gt;0,'گزارش فردی'!$B$7-Main[[#This Row],[تاريخ میلادی]],0)</f>
        <v>0</v>
      </c>
      <c r="R1348" s="6">
        <f ca="1">IF(Main[[#This Row],[بدهی تسویه نشده (کیلوگرم)]]&gt;0,'گزارش فردی'!$B$7-Main[[#This Row],[تاريخ میلادی]]-'گزارش فردی'!$B$8,0)</f>
        <v>0</v>
      </c>
      <c r="S1348" s="6">
        <f ca="1">Main[[#This Row],[روز از ارسال سفارش]]*Main[[#This Row],[بدهی تسویه نشده (کیلوگرم)]]</f>
        <v>0</v>
      </c>
      <c r="T1348" s="6">
        <f ca="1">Main[[#This Row],[بدهی سررسید شده (کیلوگرم)]]*Main[[#This Row],[روز از ارسال سفارش]]</f>
        <v>0</v>
      </c>
      <c r="U1348" s="6">
        <f>-SUBTOTAL(9,INDEX(Main[مقدار (کیلوگرم)],1):Main[[#This Row],[مقدار (کیلوگرم)]])</f>
        <v>39382</v>
      </c>
      <c r="V1348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8" s="6">
        <f>Main[[#This Row],[تعداد کل روزهای بدهکار (روز)]]*Main[[#This Row],[مانده در خط کل (کیلوگرم)]]</f>
        <v>393820</v>
      </c>
      <c r="X1348" s="6">
        <f ca="1">-SUBTOTAL(9,INDEX(Main[مقدار تسویه شده (کیلوگرم)],1):Main[[#This Row],[مقدار تسویه شده (کیلوگرم)]])</f>
        <v>39382</v>
      </c>
      <c r="Y1348" s="6">
        <f ca="1">IF(Main[[#This Row],[مانده در خط تسویه شده (کیلوگرم)]]&lt;&gt;0,Main[[#This Row],[تعداد کل روزهای بدهکار (روز)]],0)</f>
        <v>10</v>
      </c>
      <c r="Z1348" s="6">
        <f ca="1">Main[[#This Row],[تعداد روزهای بدهکار تسویه شده (روز)]]*Main[[#This Row],[مانده در خط تسویه شده (کیلوگرم)]]</f>
        <v>393820</v>
      </c>
      <c r="AA1348" s="6">
        <f ca="1">SUBTOTAL(9,INDEX(Main[بدهی تسویه نشده (کیلوگرم)],1):Main[[#This Row],[بدهی تسویه نشده (کیلوگرم)]])</f>
        <v>0</v>
      </c>
      <c r="AB1348" s="6">
        <f ca="1">IF(Main[[#This Row],[مانده در خط تسویه نشده (کیلوگرم)]]&lt;&gt;0,Main[[#This Row],[تعداد کل روزهای بدهکار (روز)]],0)</f>
        <v>0</v>
      </c>
      <c r="AC1348" s="6">
        <f ca="1">Main[[#This Row],[تعداد روزهای بدهکار  تسویه نشده (روز)]]*Main[[#This Row],[مانده در خط تسویه نشده (کیلوگرم)]]</f>
        <v>0</v>
      </c>
      <c r="AD1348" s="6">
        <f ca="1">SUBTOTAL(9,INDEX(Main[بدهی سررسید شده (کیلوگرم)],1):Main[[#This Row],[بدهی سررسید شده (کیلوگرم)]])</f>
        <v>0</v>
      </c>
      <c r="AE1348" s="6">
        <f ca="1">IF(Main[[#This Row],[مانده در خط سررسید شده (کیلوگرم)]]&lt;&gt;0,Main[[#This Row],[تعداد کل روزهای بدهکار (روز)]],0)</f>
        <v>0</v>
      </c>
      <c r="AF1348" s="6">
        <f ca="1">Main[[#This Row],[تعداد روزهای بدهکار سررسید شده (روز)]]*Main[[#This Row],[مانده در خط سررسید شده (کیلوگرم)]]</f>
        <v>0</v>
      </c>
    </row>
    <row r="1349" spans="1:32" hidden="1" x14ac:dyDescent="0.35">
      <c r="A1349" s="5">
        <f>ROW()-ROW(INDEX(Main[ردیف],1))+1</f>
        <v>1347</v>
      </c>
      <c r="B1349" s="31">
        <f>SUBTOTAL(2,INDEX(Main[ردیف],1):Main[[#This Row],[ردیف]])</f>
        <v>119</v>
      </c>
      <c r="C1349" s="32" t="s">
        <v>645</v>
      </c>
      <c r="D1349" s="32" t="str">
        <f>_xlfn.CONCAT("14",Main[[#This Row],[تاريخ]])</f>
        <v>1400/05/21</v>
      </c>
      <c r="E1349" s="33">
        <v>44420</v>
      </c>
      <c r="F1349" s="32">
        <v>30127</v>
      </c>
      <c r="G1349" s="5" t="str">
        <f>INDEX(customer[عنوان],MATCH(Main[[#This Row],[کد ردیابی]],customer[کد],0))</f>
        <v>شیر گاز آذران</v>
      </c>
      <c r="H1349">
        <v>2133</v>
      </c>
      <c r="I1349" s="6">
        <f ca="1">-Main[[#This Row],[بدهی تسویه شده (کیلوگرم)]]+Main[[#This Row],[بستانکار (کیلوگرم)]]</f>
        <v>2133</v>
      </c>
      <c r="J1349" s="6">
        <f>IF(Main[[#This Row],[مقدار (کیلوگرم)]]&gt;0,Main[[#This Row],[مقدار (کیلوگرم)]],0)</f>
        <v>2133</v>
      </c>
      <c r="K1349" s="6">
        <f>-IF(Main[[#This Row],[مقدار (کیلوگرم)]]&lt;0,Main[[#This Row],[مقدار (کیلوگرم)]],0)</f>
        <v>0</v>
      </c>
      <c r="L13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9" s="7">
        <f>-IF(AND(Main[[#This Row],[مقدار (کیلوگرم)]]&lt;0,Main[[#This Row],[تاريخ میلادی]]&gt;44276),Main[[#This Row],[مقدار (کیلوگرم)]],0)</f>
        <v>0</v>
      </c>
      <c r="N1349" s="6">
        <f ca="1">Main[[#This Row],[بدهکار (کیلوگرم)]]-Main[[#This Row],[بدهی تسویه نشده (کیلوگرم)]]</f>
        <v>0</v>
      </c>
      <c r="O1349" s="6">
        <f ca="1">Main[[#This Row],[تفکیک]]</f>
        <v>0</v>
      </c>
      <c r="P1349" s="6">
        <f ca="1">IF(Main[[#This Row],[تاخیر از سررسید]]&gt;0,Main[[#This Row],[بدهی تسویه نشده (کیلوگرم)]],0)</f>
        <v>0</v>
      </c>
      <c r="Q1349" s="6">
        <f ca="1">IF(Main[[#This Row],[بدهی تسویه نشده (کیلوگرم)]]&gt;0,'گزارش فردی'!$B$7-Main[[#This Row],[تاريخ میلادی]],0)</f>
        <v>0</v>
      </c>
      <c r="R1349" s="6">
        <f ca="1">IF(Main[[#This Row],[بدهی تسویه نشده (کیلوگرم)]]&gt;0,'گزارش فردی'!$B$7-Main[[#This Row],[تاريخ میلادی]]-'گزارش فردی'!$B$8,0)</f>
        <v>0</v>
      </c>
      <c r="S1349" s="6">
        <f ca="1">Main[[#This Row],[روز از ارسال سفارش]]*Main[[#This Row],[بدهی تسویه نشده (کیلوگرم)]]</f>
        <v>0</v>
      </c>
      <c r="T1349" s="6">
        <f ca="1">Main[[#This Row],[بدهی سررسید شده (کیلوگرم)]]*Main[[#This Row],[روز از ارسال سفارش]]</f>
        <v>0</v>
      </c>
      <c r="U1349" s="6">
        <f>-SUBTOTAL(9,INDEX(Main[مقدار (کیلوگرم)],1):Main[[#This Row],[مقدار (کیلوگرم)]])</f>
        <v>39382</v>
      </c>
      <c r="V1349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9" s="6">
        <f>Main[[#This Row],[تعداد کل روزهای بدهکار (روز)]]*Main[[#This Row],[مانده در خط کل (کیلوگرم)]]</f>
        <v>393820</v>
      </c>
      <c r="X1349" s="6">
        <f ca="1">-SUBTOTAL(9,INDEX(Main[مقدار تسویه شده (کیلوگرم)],1):Main[[#This Row],[مقدار تسویه شده (کیلوگرم)]])</f>
        <v>39382</v>
      </c>
      <c r="Y1349" s="6">
        <f ca="1">IF(Main[[#This Row],[مانده در خط تسویه شده (کیلوگرم)]]&lt;&gt;0,Main[[#This Row],[تعداد کل روزهای بدهکار (روز)]],0)</f>
        <v>10</v>
      </c>
      <c r="Z1349" s="6">
        <f ca="1">Main[[#This Row],[تعداد روزهای بدهکار تسویه شده (روز)]]*Main[[#This Row],[مانده در خط تسویه شده (کیلوگرم)]]</f>
        <v>393820</v>
      </c>
      <c r="AA1349" s="6">
        <f ca="1">SUBTOTAL(9,INDEX(Main[بدهی تسویه نشده (کیلوگرم)],1):Main[[#This Row],[بدهی تسویه نشده (کیلوگرم)]])</f>
        <v>0</v>
      </c>
      <c r="AB1349" s="6">
        <f ca="1">IF(Main[[#This Row],[مانده در خط تسویه نشده (کیلوگرم)]]&lt;&gt;0,Main[[#This Row],[تعداد کل روزهای بدهکار (روز)]],0)</f>
        <v>0</v>
      </c>
      <c r="AC1349" s="6">
        <f ca="1">Main[[#This Row],[تعداد روزهای بدهکار  تسویه نشده (روز)]]*Main[[#This Row],[مانده در خط تسویه نشده (کیلوگرم)]]</f>
        <v>0</v>
      </c>
      <c r="AD1349" s="6">
        <f ca="1">SUBTOTAL(9,INDEX(Main[بدهی سررسید شده (کیلوگرم)],1):Main[[#This Row],[بدهی سررسید شده (کیلوگرم)]])</f>
        <v>0</v>
      </c>
      <c r="AE1349" s="6">
        <f ca="1">IF(Main[[#This Row],[مانده در خط سررسید شده (کیلوگرم)]]&lt;&gt;0,Main[[#This Row],[تعداد کل روزهای بدهکار (روز)]],0)</f>
        <v>0</v>
      </c>
      <c r="AF1349" s="6">
        <f ca="1">Main[[#This Row],[تعداد روزهای بدهکار سررسید شده (روز)]]*Main[[#This Row],[مانده در خط سررسید شده (کیلوگرم)]]</f>
        <v>0</v>
      </c>
    </row>
    <row r="1350" spans="1:32" hidden="1" x14ac:dyDescent="0.35">
      <c r="A1350" s="5">
        <f>ROW()-ROW(INDEX(Main[ردیف],1))+1</f>
        <v>1348</v>
      </c>
      <c r="B1350" s="31">
        <f>SUBTOTAL(2,INDEX(Main[ردیف],1):Main[[#This Row],[ردیف]])</f>
        <v>119</v>
      </c>
      <c r="C1350" s="32" t="s">
        <v>645</v>
      </c>
      <c r="D1350" s="32" t="str">
        <f>_xlfn.CONCAT("14",Main[[#This Row],[تاريخ]])</f>
        <v>1400/05/21</v>
      </c>
      <c r="E1350" s="33">
        <v>44420</v>
      </c>
      <c r="F1350" s="32">
        <v>10127</v>
      </c>
      <c r="G1350" s="5" t="str">
        <f>INDEX(customer[عنوان],MATCH(Main[[#This Row],[کد ردیابی]],customer[کد],0))</f>
        <v xml:space="preserve">عماد هاشمی </v>
      </c>
      <c r="H1350">
        <v>-233</v>
      </c>
      <c r="I1350" s="6">
        <f ca="1">-Main[[#This Row],[بدهی تسویه شده (کیلوگرم)]]+Main[[#This Row],[بستانکار (کیلوگرم)]]</f>
        <v>-233</v>
      </c>
      <c r="J1350" s="6">
        <f>IF(Main[[#This Row],[مقدار (کیلوگرم)]]&gt;0,Main[[#This Row],[مقدار (کیلوگرم)]],0)</f>
        <v>0</v>
      </c>
      <c r="K1350" s="6">
        <f>-IF(Main[[#This Row],[مقدار (کیلوگرم)]]&lt;0,Main[[#This Row],[مقدار (کیلوگرم)]],0)</f>
        <v>233</v>
      </c>
      <c r="L13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0" s="7">
        <f>-IF(AND(Main[[#This Row],[مقدار (کیلوگرم)]]&lt;0,Main[[#This Row],[تاريخ میلادی]]&gt;44276),Main[[#This Row],[مقدار (کیلوگرم)]],0)</f>
        <v>233</v>
      </c>
      <c r="N1350" s="6">
        <f ca="1">Main[[#This Row],[بدهکار (کیلوگرم)]]-Main[[#This Row],[بدهی تسویه نشده (کیلوگرم)]]</f>
        <v>233</v>
      </c>
      <c r="O1350" s="6">
        <f ca="1">Main[[#This Row],[تفکیک]]</f>
        <v>0</v>
      </c>
      <c r="P1350" s="6">
        <f ca="1">IF(Main[[#This Row],[تاخیر از سررسید]]&gt;0,Main[[#This Row],[بدهی تسویه نشده (کیلوگرم)]],0)</f>
        <v>0</v>
      </c>
      <c r="Q1350" s="6">
        <f ca="1">IF(Main[[#This Row],[بدهی تسویه نشده (کیلوگرم)]]&gt;0,'گزارش فردی'!$B$7-Main[[#This Row],[تاريخ میلادی]],0)</f>
        <v>0</v>
      </c>
      <c r="R1350" s="6">
        <f ca="1">IF(Main[[#This Row],[بدهی تسویه نشده (کیلوگرم)]]&gt;0,'گزارش فردی'!$B$7-Main[[#This Row],[تاريخ میلادی]]-'گزارش فردی'!$B$8,0)</f>
        <v>0</v>
      </c>
      <c r="S1350" s="6">
        <f ca="1">Main[[#This Row],[روز از ارسال سفارش]]*Main[[#This Row],[بدهی تسویه نشده (کیلوگرم)]]</f>
        <v>0</v>
      </c>
      <c r="T1350" s="6">
        <f ca="1">Main[[#This Row],[بدهی سررسید شده (کیلوگرم)]]*Main[[#This Row],[روز از ارسال سفارش]]</f>
        <v>0</v>
      </c>
      <c r="U1350" s="6">
        <f>-SUBTOTAL(9,INDEX(Main[مقدار (کیلوگرم)],1):Main[[#This Row],[مقدار (کیلوگرم)]])</f>
        <v>39382</v>
      </c>
      <c r="V1350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0" s="6">
        <f>Main[[#This Row],[تعداد کل روزهای بدهکار (روز)]]*Main[[#This Row],[مانده در خط کل (کیلوگرم)]]</f>
        <v>393820</v>
      </c>
      <c r="X1350" s="6">
        <f ca="1">-SUBTOTAL(9,INDEX(Main[مقدار تسویه شده (کیلوگرم)],1):Main[[#This Row],[مقدار تسویه شده (کیلوگرم)]])</f>
        <v>39382</v>
      </c>
      <c r="Y1350" s="6">
        <f ca="1">IF(Main[[#This Row],[مانده در خط تسویه شده (کیلوگرم)]]&lt;&gt;0,Main[[#This Row],[تعداد کل روزهای بدهکار (روز)]],0)</f>
        <v>10</v>
      </c>
      <c r="Z1350" s="6">
        <f ca="1">Main[[#This Row],[تعداد روزهای بدهکار تسویه شده (روز)]]*Main[[#This Row],[مانده در خط تسویه شده (کیلوگرم)]]</f>
        <v>393820</v>
      </c>
      <c r="AA1350" s="6">
        <f ca="1">SUBTOTAL(9,INDEX(Main[بدهی تسویه نشده (کیلوگرم)],1):Main[[#This Row],[بدهی تسویه نشده (کیلوگرم)]])</f>
        <v>0</v>
      </c>
      <c r="AB1350" s="6">
        <f ca="1">IF(Main[[#This Row],[مانده در خط تسویه نشده (کیلوگرم)]]&lt;&gt;0,Main[[#This Row],[تعداد کل روزهای بدهکار (روز)]],0)</f>
        <v>0</v>
      </c>
      <c r="AC1350" s="6">
        <f ca="1">Main[[#This Row],[تعداد روزهای بدهکار  تسویه نشده (روز)]]*Main[[#This Row],[مانده در خط تسویه نشده (کیلوگرم)]]</f>
        <v>0</v>
      </c>
      <c r="AD1350" s="6">
        <f ca="1">SUBTOTAL(9,INDEX(Main[بدهی سررسید شده (کیلوگرم)],1):Main[[#This Row],[بدهی سررسید شده (کیلوگرم)]])</f>
        <v>0</v>
      </c>
      <c r="AE1350" s="6">
        <f ca="1">IF(Main[[#This Row],[مانده در خط سررسید شده (کیلوگرم)]]&lt;&gt;0,Main[[#This Row],[تعداد کل روزهای بدهکار (روز)]],0)</f>
        <v>0</v>
      </c>
      <c r="AF1350" s="6">
        <f ca="1">Main[[#This Row],[تعداد روزهای بدهکار سررسید شده (روز)]]*Main[[#This Row],[مانده در خط سررسید شده (کیلوگرم)]]</f>
        <v>0</v>
      </c>
    </row>
    <row r="1351" spans="1:32" hidden="1" x14ac:dyDescent="0.35">
      <c r="A1351" s="5">
        <f>ROW()-ROW(INDEX(Main[ردیف],1))+1</f>
        <v>1349</v>
      </c>
      <c r="B1351" s="31">
        <f>SUBTOTAL(2,INDEX(Main[ردیف],1):Main[[#This Row],[ردیف]])</f>
        <v>119</v>
      </c>
      <c r="C1351" s="32" t="s">
        <v>645</v>
      </c>
      <c r="D1351" s="32" t="str">
        <f>_xlfn.CONCAT("14",Main[[#This Row],[تاريخ]])</f>
        <v>1400/05/21</v>
      </c>
      <c r="E1351" s="33">
        <v>44420</v>
      </c>
      <c r="F1351" s="32">
        <v>30127</v>
      </c>
      <c r="G1351" s="5" t="str">
        <f>INDEX(customer[عنوان],MATCH(Main[[#This Row],[کد ردیابی]],customer[کد],0))</f>
        <v>شیر گاز آذران</v>
      </c>
      <c r="H1351">
        <v>2334</v>
      </c>
      <c r="I1351" s="6">
        <f ca="1">-Main[[#This Row],[بدهی تسویه شده (کیلوگرم)]]+Main[[#This Row],[بستانکار (کیلوگرم)]]</f>
        <v>2334</v>
      </c>
      <c r="J1351" s="6">
        <f>IF(Main[[#This Row],[مقدار (کیلوگرم)]]&gt;0,Main[[#This Row],[مقدار (کیلوگرم)]],0)</f>
        <v>2334</v>
      </c>
      <c r="K1351" s="6">
        <f>-IF(Main[[#This Row],[مقدار (کیلوگرم)]]&lt;0,Main[[#This Row],[مقدار (کیلوگرم)]],0)</f>
        <v>0</v>
      </c>
      <c r="L13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1" s="7">
        <f>-IF(AND(Main[[#This Row],[مقدار (کیلوگرم)]]&lt;0,Main[[#This Row],[تاريخ میلادی]]&gt;44276),Main[[#This Row],[مقدار (کیلوگرم)]],0)</f>
        <v>0</v>
      </c>
      <c r="N1351" s="6">
        <f ca="1">Main[[#This Row],[بدهکار (کیلوگرم)]]-Main[[#This Row],[بدهی تسویه نشده (کیلوگرم)]]</f>
        <v>0</v>
      </c>
      <c r="O1351" s="6">
        <f ca="1">Main[[#This Row],[تفکیک]]</f>
        <v>0</v>
      </c>
      <c r="P1351" s="6">
        <f ca="1">IF(Main[[#This Row],[تاخیر از سررسید]]&gt;0,Main[[#This Row],[بدهی تسویه نشده (کیلوگرم)]],0)</f>
        <v>0</v>
      </c>
      <c r="Q1351" s="6">
        <f ca="1">IF(Main[[#This Row],[بدهی تسویه نشده (کیلوگرم)]]&gt;0,'گزارش فردی'!$B$7-Main[[#This Row],[تاريخ میلادی]],0)</f>
        <v>0</v>
      </c>
      <c r="R1351" s="6">
        <f ca="1">IF(Main[[#This Row],[بدهی تسویه نشده (کیلوگرم)]]&gt;0,'گزارش فردی'!$B$7-Main[[#This Row],[تاريخ میلادی]]-'گزارش فردی'!$B$8,0)</f>
        <v>0</v>
      </c>
      <c r="S1351" s="6">
        <f ca="1">Main[[#This Row],[روز از ارسال سفارش]]*Main[[#This Row],[بدهی تسویه نشده (کیلوگرم)]]</f>
        <v>0</v>
      </c>
      <c r="T1351" s="6">
        <f ca="1">Main[[#This Row],[بدهی سررسید شده (کیلوگرم)]]*Main[[#This Row],[روز از ارسال سفارش]]</f>
        <v>0</v>
      </c>
      <c r="U1351" s="6">
        <f>-SUBTOTAL(9,INDEX(Main[مقدار (کیلوگرم)],1):Main[[#This Row],[مقدار (کیلوگرم)]])</f>
        <v>39382</v>
      </c>
      <c r="V1351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1" s="6">
        <f>Main[[#This Row],[تعداد کل روزهای بدهکار (روز)]]*Main[[#This Row],[مانده در خط کل (کیلوگرم)]]</f>
        <v>393820</v>
      </c>
      <c r="X1351" s="6">
        <f ca="1">-SUBTOTAL(9,INDEX(Main[مقدار تسویه شده (کیلوگرم)],1):Main[[#This Row],[مقدار تسویه شده (کیلوگرم)]])</f>
        <v>39382</v>
      </c>
      <c r="Y1351" s="6">
        <f ca="1">IF(Main[[#This Row],[مانده در خط تسویه شده (کیلوگرم)]]&lt;&gt;0,Main[[#This Row],[تعداد کل روزهای بدهکار (روز)]],0)</f>
        <v>10</v>
      </c>
      <c r="Z1351" s="6">
        <f ca="1">Main[[#This Row],[تعداد روزهای بدهکار تسویه شده (روز)]]*Main[[#This Row],[مانده در خط تسویه شده (کیلوگرم)]]</f>
        <v>393820</v>
      </c>
      <c r="AA1351" s="6">
        <f ca="1">SUBTOTAL(9,INDEX(Main[بدهی تسویه نشده (کیلوگرم)],1):Main[[#This Row],[بدهی تسویه نشده (کیلوگرم)]])</f>
        <v>0</v>
      </c>
      <c r="AB1351" s="6">
        <f ca="1">IF(Main[[#This Row],[مانده در خط تسویه نشده (کیلوگرم)]]&lt;&gt;0,Main[[#This Row],[تعداد کل روزهای بدهکار (روز)]],0)</f>
        <v>0</v>
      </c>
      <c r="AC1351" s="6">
        <f ca="1">Main[[#This Row],[تعداد روزهای بدهکار  تسویه نشده (روز)]]*Main[[#This Row],[مانده در خط تسویه نشده (کیلوگرم)]]</f>
        <v>0</v>
      </c>
      <c r="AD1351" s="6">
        <f ca="1">SUBTOTAL(9,INDEX(Main[بدهی سررسید شده (کیلوگرم)],1):Main[[#This Row],[بدهی سررسید شده (کیلوگرم)]])</f>
        <v>0</v>
      </c>
      <c r="AE1351" s="6">
        <f ca="1">IF(Main[[#This Row],[مانده در خط سررسید شده (کیلوگرم)]]&lt;&gt;0,Main[[#This Row],[تعداد کل روزهای بدهکار (روز)]],0)</f>
        <v>0</v>
      </c>
      <c r="AF1351" s="6">
        <f ca="1">Main[[#This Row],[تعداد روزهای بدهکار سررسید شده (روز)]]*Main[[#This Row],[مانده در خط سررسید شده (کیلوگرم)]]</f>
        <v>0</v>
      </c>
    </row>
    <row r="1352" spans="1:32" hidden="1" x14ac:dyDescent="0.35">
      <c r="A1352" s="5">
        <f>ROW()-ROW(INDEX(Main[ردیف],1))+1</f>
        <v>1350</v>
      </c>
      <c r="B1352" s="31">
        <f>SUBTOTAL(2,INDEX(Main[ردیف],1):Main[[#This Row],[ردیف]])</f>
        <v>119</v>
      </c>
      <c r="C1352" s="32" t="s">
        <v>645</v>
      </c>
      <c r="D1352" s="32" t="str">
        <f>_xlfn.CONCAT("14",Main[[#This Row],[تاريخ]])</f>
        <v>1400/05/21</v>
      </c>
      <c r="E1352" s="33">
        <v>44420</v>
      </c>
      <c r="F1352" s="32">
        <v>30003</v>
      </c>
      <c r="G1352" s="5" t="str">
        <f>INDEX(customer[عنوان],MATCH(Main[[#This Row],[کد ردیابی]],customer[کد],0))</f>
        <v xml:space="preserve">شهاب گاز سوز </v>
      </c>
      <c r="H1352">
        <v>-536</v>
      </c>
      <c r="I1352" s="6">
        <f ca="1">-Main[[#This Row],[بدهی تسویه شده (کیلوگرم)]]+Main[[#This Row],[بستانکار (کیلوگرم)]]</f>
        <v>-536</v>
      </c>
      <c r="J1352" s="6">
        <f>IF(Main[[#This Row],[مقدار (کیلوگرم)]]&gt;0,Main[[#This Row],[مقدار (کیلوگرم)]],0)</f>
        <v>0</v>
      </c>
      <c r="K1352" s="6">
        <f>-IF(Main[[#This Row],[مقدار (کیلوگرم)]]&lt;0,Main[[#This Row],[مقدار (کیلوگرم)]],0)</f>
        <v>536</v>
      </c>
      <c r="L13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2" s="7">
        <f>-IF(AND(Main[[#This Row],[مقدار (کیلوگرم)]]&lt;0,Main[[#This Row],[تاريخ میلادی]]&gt;44276),Main[[#This Row],[مقدار (کیلوگرم)]],0)</f>
        <v>536</v>
      </c>
      <c r="N1352" s="6">
        <f ca="1">Main[[#This Row],[بدهکار (کیلوگرم)]]-Main[[#This Row],[بدهی تسویه نشده (کیلوگرم)]]</f>
        <v>536</v>
      </c>
      <c r="O1352" s="6">
        <f ca="1">Main[[#This Row],[تفکیک]]</f>
        <v>0</v>
      </c>
      <c r="P1352" s="6">
        <f ca="1">IF(Main[[#This Row],[تاخیر از سررسید]]&gt;0,Main[[#This Row],[بدهی تسویه نشده (کیلوگرم)]],0)</f>
        <v>0</v>
      </c>
      <c r="Q1352" s="6">
        <f ca="1">IF(Main[[#This Row],[بدهی تسویه نشده (کیلوگرم)]]&gt;0,'گزارش فردی'!$B$7-Main[[#This Row],[تاريخ میلادی]],0)</f>
        <v>0</v>
      </c>
      <c r="R1352" s="6">
        <f ca="1">IF(Main[[#This Row],[بدهی تسویه نشده (کیلوگرم)]]&gt;0,'گزارش فردی'!$B$7-Main[[#This Row],[تاريخ میلادی]]-'گزارش فردی'!$B$8,0)</f>
        <v>0</v>
      </c>
      <c r="S1352" s="6">
        <f ca="1">Main[[#This Row],[روز از ارسال سفارش]]*Main[[#This Row],[بدهی تسویه نشده (کیلوگرم)]]</f>
        <v>0</v>
      </c>
      <c r="T1352" s="6">
        <f ca="1">Main[[#This Row],[بدهی سررسید شده (کیلوگرم)]]*Main[[#This Row],[روز از ارسال سفارش]]</f>
        <v>0</v>
      </c>
      <c r="U1352" s="6">
        <f>-SUBTOTAL(9,INDEX(Main[مقدار (کیلوگرم)],1):Main[[#This Row],[مقدار (کیلوگرم)]])</f>
        <v>39382</v>
      </c>
      <c r="V1352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2" s="6">
        <f>Main[[#This Row],[تعداد کل روزهای بدهکار (روز)]]*Main[[#This Row],[مانده در خط کل (کیلوگرم)]]</f>
        <v>393820</v>
      </c>
      <c r="X1352" s="6">
        <f ca="1">-SUBTOTAL(9,INDEX(Main[مقدار تسویه شده (کیلوگرم)],1):Main[[#This Row],[مقدار تسویه شده (کیلوگرم)]])</f>
        <v>39382</v>
      </c>
      <c r="Y1352" s="6">
        <f ca="1">IF(Main[[#This Row],[مانده در خط تسویه شده (کیلوگرم)]]&lt;&gt;0,Main[[#This Row],[تعداد کل روزهای بدهکار (روز)]],0)</f>
        <v>10</v>
      </c>
      <c r="Z1352" s="6">
        <f ca="1">Main[[#This Row],[تعداد روزهای بدهکار تسویه شده (روز)]]*Main[[#This Row],[مانده در خط تسویه شده (کیلوگرم)]]</f>
        <v>393820</v>
      </c>
      <c r="AA1352" s="6">
        <f ca="1">SUBTOTAL(9,INDEX(Main[بدهی تسویه نشده (کیلوگرم)],1):Main[[#This Row],[بدهی تسویه نشده (کیلوگرم)]])</f>
        <v>0</v>
      </c>
      <c r="AB1352" s="6">
        <f ca="1">IF(Main[[#This Row],[مانده در خط تسویه نشده (کیلوگرم)]]&lt;&gt;0,Main[[#This Row],[تعداد کل روزهای بدهکار (روز)]],0)</f>
        <v>0</v>
      </c>
      <c r="AC1352" s="6">
        <f ca="1">Main[[#This Row],[تعداد روزهای بدهکار  تسویه نشده (روز)]]*Main[[#This Row],[مانده در خط تسویه نشده (کیلوگرم)]]</f>
        <v>0</v>
      </c>
      <c r="AD1352" s="6">
        <f ca="1">SUBTOTAL(9,INDEX(Main[بدهی سررسید شده (کیلوگرم)],1):Main[[#This Row],[بدهی سررسید شده (کیلوگرم)]])</f>
        <v>0</v>
      </c>
      <c r="AE1352" s="6">
        <f ca="1">IF(Main[[#This Row],[مانده در خط سررسید شده (کیلوگرم)]]&lt;&gt;0,Main[[#This Row],[تعداد کل روزهای بدهکار (روز)]],0)</f>
        <v>0</v>
      </c>
      <c r="AF1352" s="6">
        <f ca="1">Main[[#This Row],[تعداد روزهای بدهکار سررسید شده (روز)]]*Main[[#This Row],[مانده در خط سررسید شده (کیلوگرم)]]</f>
        <v>0</v>
      </c>
    </row>
    <row r="1353" spans="1:32" hidden="1" x14ac:dyDescent="0.35">
      <c r="A1353" s="5">
        <f>ROW()-ROW(INDEX(Main[ردیف],1))+1</f>
        <v>1351</v>
      </c>
      <c r="B1353" s="31">
        <f>SUBTOTAL(2,INDEX(Main[ردیف],1):Main[[#This Row],[ردیف]])</f>
        <v>119</v>
      </c>
      <c r="C1353" s="32" t="s">
        <v>645</v>
      </c>
      <c r="D1353" s="32" t="str">
        <f>_xlfn.CONCAT("14",Main[[#This Row],[تاريخ]])</f>
        <v>1400/05/21</v>
      </c>
      <c r="E1353" s="33">
        <v>44420</v>
      </c>
      <c r="F1353" s="32">
        <v>30003</v>
      </c>
      <c r="G1353" s="5" t="str">
        <f>INDEX(customer[عنوان],MATCH(Main[[#This Row],[کد ردیابی]],customer[کد],0))</f>
        <v xml:space="preserve">شهاب گاز سوز </v>
      </c>
      <c r="H1353">
        <v>698</v>
      </c>
      <c r="I1353" s="6">
        <f ca="1">-Main[[#This Row],[بدهی تسویه شده (کیلوگرم)]]+Main[[#This Row],[بستانکار (کیلوگرم)]]</f>
        <v>698</v>
      </c>
      <c r="J1353" s="6">
        <f>IF(Main[[#This Row],[مقدار (کیلوگرم)]]&gt;0,Main[[#This Row],[مقدار (کیلوگرم)]],0)</f>
        <v>698</v>
      </c>
      <c r="K1353" s="6">
        <f>-IF(Main[[#This Row],[مقدار (کیلوگرم)]]&lt;0,Main[[#This Row],[مقدار (کیلوگرم)]],0)</f>
        <v>0</v>
      </c>
      <c r="L13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3" s="7">
        <f>-IF(AND(Main[[#This Row],[مقدار (کیلوگرم)]]&lt;0,Main[[#This Row],[تاريخ میلادی]]&gt;44276),Main[[#This Row],[مقدار (کیلوگرم)]],0)</f>
        <v>0</v>
      </c>
      <c r="N1353" s="6">
        <f ca="1">Main[[#This Row],[بدهکار (کیلوگرم)]]-Main[[#This Row],[بدهی تسویه نشده (کیلوگرم)]]</f>
        <v>0</v>
      </c>
      <c r="O1353" s="6">
        <f ca="1">Main[[#This Row],[تفکیک]]</f>
        <v>0</v>
      </c>
      <c r="P1353" s="6">
        <f ca="1">IF(Main[[#This Row],[تاخیر از سررسید]]&gt;0,Main[[#This Row],[بدهی تسویه نشده (کیلوگرم)]],0)</f>
        <v>0</v>
      </c>
      <c r="Q1353" s="6">
        <f ca="1">IF(Main[[#This Row],[بدهی تسویه نشده (کیلوگرم)]]&gt;0,'گزارش فردی'!$B$7-Main[[#This Row],[تاريخ میلادی]],0)</f>
        <v>0</v>
      </c>
      <c r="R1353" s="6">
        <f ca="1">IF(Main[[#This Row],[بدهی تسویه نشده (کیلوگرم)]]&gt;0,'گزارش فردی'!$B$7-Main[[#This Row],[تاريخ میلادی]]-'گزارش فردی'!$B$8,0)</f>
        <v>0</v>
      </c>
      <c r="S1353" s="6">
        <f ca="1">Main[[#This Row],[روز از ارسال سفارش]]*Main[[#This Row],[بدهی تسویه نشده (کیلوگرم)]]</f>
        <v>0</v>
      </c>
      <c r="T1353" s="6">
        <f ca="1">Main[[#This Row],[بدهی سررسید شده (کیلوگرم)]]*Main[[#This Row],[روز از ارسال سفارش]]</f>
        <v>0</v>
      </c>
      <c r="U1353" s="6">
        <f>-SUBTOTAL(9,INDEX(Main[مقدار (کیلوگرم)],1):Main[[#This Row],[مقدار (کیلوگرم)]])</f>
        <v>39382</v>
      </c>
      <c r="V1353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3" s="6">
        <f>Main[[#This Row],[تعداد کل روزهای بدهکار (روز)]]*Main[[#This Row],[مانده در خط کل (کیلوگرم)]]</f>
        <v>393820</v>
      </c>
      <c r="X1353" s="6">
        <f ca="1">-SUBTOTAL(9,INDEX(Main[مقدار تسویه شده (کیلوگرم)],1):Main[[#This Row],[مقدار تسویه شده (کیلوگرم)]])</f>
        <v>39382</v>
      </c>
      <c r="Y1353" s="6">
        <f ca="1">IF(Main[[#This Row],[مانده در خط تسویه شده (کیلوگرم)]]&lt;&gt;0,Main[[#This Row],[تعداد کل روزهای بدهکار (روز)]],0)</f>
        <v>10</v>
      </c>
      <c r="Z1353" s="6">
        <f ca="1">Main[[#This Row],[تعداد روزهای بدهکار تسویه شده (روز)]]*Main[[#This Row],[مانده در خط تسویه شده (کیلوگرم)]]</f>
        <v>393820</v>
      </c>
      <c r="AA1353" s="6">
        <f ca="1">SUBTOTAL(9,INDEX(Main[بدهی تسویه نشده (کیلوگرم)],1):Main[[#This Row],[بدهی تسویه نشده (کیلوگرم)]])</f>
        <v>0</v>
      </c>
      <c r="AB1353" s="6">
        <f ca="1">IF(Main[[#This Row],[مانده در خط تسویه نشده (کیلوگرم)]]&lt;&gt;0,Main[[#This Row],[تعداد کل روزهای بدهکار (روز)]],0)</f>
        <v>0</v>
      </c>
      <c r="AC1353" s="6">
        <f ca="1">Main[[#This Row],[تعداد روزهای بدهکار  تسویه نشده (روز)]]*Main[[#This Row],[مانده در خط تسویه نشده (کیلوگرم)]]</f>
        <v>0</v>
      </c>
      <c r="AD1353" s="6">
        <f ca="1">SUBTOTAL(9,INDEX(Main[بدهی سررسید شده (کیلوگرم)],1):Main[[#This Row],[بدهی سررسید شده (کیلوگرم)]])</f>
        <v>0</v>
      </c>
      <c r="AE1353" s="6">
        <f ca="1">IF(Main[[#This Row],[مانده در خط سررسید شده (کیلوگرم)]]&lt;&gt;0,Main[[#This Row],[تعداد کل روزهای بدهکار (روز)]],0)</f>
        <v>0</v>
      </c>
      <c r="AF1353" s="6">
        <f ca="1">Main[[#This Row],[تعداد روزهای بدهکار سررسید شده (روز)]]*Main[[#This Row],[مانده در خط سررسید شده (کیلوگرم)]]</f>
        <v>0</v>
      </c>
    </row>
    <row r="1354" spans="1:32" hidden="1" x14ac:dyDescent="0.35">
      <c r="A1354" s="5">
        <f>ROW()-ROW(INDEX(Main[ردیف],1))+1</f>
        <v>1352</v>
      </c>
      <c r="B1354" s="31">
        <f>SUBTOTAL(2,INDEX(Main[ردیف],1):Main[[#This Row],[ردیف]])</f>
        <v>119</v>
      </c>
      <c r="C1354" s="32" t="s">
        <v>645</v>
      </c>
      <c r="D1354" s="32" t="str">
        <f>_xlfn.CONCAT("14",Main[[#This Row],[تاريخ]])</f>
        <v>1400/05/21</v>
      </c>
      <c r="E1354" s="33">
        <v>44420</v>
      </c>
      <c r="F1354" s="32">
        <v>10104</v>
      </c>
      <c r="G1354" s="5" t="str">
        <f>INDEX(customer[عنوان],MATCH(Main[[#This Row],[کد ردیابی]],customer[کد],0))</f>
        <v>بهزادی فر اصغر</v>
      </c>
      <c r="H1354">
        <v>929</v>
      </c>
      <c r="I1354" s="6">
        <f ca="1">-Main[[#This Row],[بدهی تسویه شده (کیلوگرم)]]+Main[[#This Row],[بستانکار (کیلوگرم)]]</f>
        <v>929</v>
      </c>
      <c r="J1354" s="6">
        <f>IF(Main[[#This Row],[مقدار (کیلوگرم)]]&gt;0,Main[[#This Row],[مقدار (کیلوگرم)]],0)</f>
        <v>929</v>
      </c>
      <c r="K1354" s="6">
        <f>-IF(Main[[#This Row],[مقدار (کیلوگرم)]]&lt;0,Main[[#This Row],[مقدار (کیلوگرم)]],0)</f>
        <v>0</v>
      </c>
      <c r="L13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4" s="7">
        <f>-IF(AND(Main[[#This Row],[مقدار (کیلوگرم)]]&lt;0,Main[[#This Row],[تاريخ میلادی]]&gt;44276),Main[[#This Row],[مقدار (کیلوگرم)]],0)</f>
        <v>0</v>
      </c>
      <c r="N1354" s="6">
        <f ca="1">Main[[#This Row],[بدهکار (کیلوگرم)]]-Main[[#This Row],[بدهی تسویه نشده (کیلوگرم)]]</f>
        <v>0</v>
      </c>
      <c r="O1354" s="6">
        <f ca="1">Main[[#This Row],[تفکیک]]</f>
        <v>0</v>
      </c>
      <c r="P1354" s="6">
        <f ca="1">IF(Main[[#This Row],[تاخیر از سررسید]]&gt;0,Main[[#This Row],[بدهی تسویه نشده (کیلوگرم)]],0)</f>
        <v>0</v>
      </c>
      <c r="Q1354" s="6">
        <f ca="1">IF(Main[[#This Row],[بدهی تسویه نشده (کیلوگرم)]]&gt;0,'گزارش فردی'!$B$7-Main[[#This Row],[تاريخ میلادی]],0)</f>
        <v>0</v>
      </c>
      <c r="R1354" s="6">
        <f ca="1">IF(Main[[#This Row],[بدهی تسویه نشده (کیلوگرم)]]&gt;0,'گزارش فردی'!$B$7-Main[[#This Row],[تاريخ میلادی]]-'گزارش فردی'!$B$8,0)</f>
        <v>0</v>
      </c>
      <c r="S1354" s="6">
        <f ca="1">Main[[#This Row],[روز از ارسال سفارش]]*Main[[#This Row],[بدهی تسویه نشده (کیلوگرم)]]</f>
        <v>0</v>
      </c>
      <c r="T1354" s="6">
        <f ca="1">Main[[#This Row],[بدهی سررسید شده (کیلوگرم)]]*Main[[#This Row],[روز از ارسال سفارش]]</f>
        <v>0</v>
      </c>
      <c r="U1354" s="6">
        <f>-SUBTOTAL(9,INDEX(Main[مقدار (کیلوگرم)],1):Main[[#This Row],[مقدار (کیلوگرم)]])</f>
        <v>39382</v>
      </c>
      <c r="V1354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4" s="6">
        <f>Main[[#This Row],[تعداد کل روزهای بدهکار (روز)]]*Main[[#This Row],[مانده در خط کل (کیلوگرم)]]</f>
        <v>393820</v>
      </c>
      <c r="X1354" s="6">
        <f ca="1">-SUBTOTAL(9,INDEX(Main[مقدار تسویه شده (کیلوگرم)],1):Main[[#This Row],[مقدار تسویه شده (کیلوگرم)]])</f>
        <v>39382</v>
      </c>
      <c r="Y1354" s="6">
        <f ca="1">IF(Main[[#This Row],[مانده در خط تسویه شده (کیلوگرم)]]&lt;&gt;0,Main[[#This Row],[تعداد کل روزهای بدهکار (روز)]],0)</f>
        <v>10</v>
      </c>
      <c r="Z1354" s="6">
        <f ca="1">Main[[#This Row],[تعداد روزهای بدهکار تسویه شده (روز)]]*Main[[#This Row],[مانده در خط تسویه شده (کیلوگرم)]]</f>
        <v>393820</v>
      </c>
      <c r="AA1354" s="6">
        <f ca="1">SUBTOTAL(9,INDEX(Main[بدهی تسویه نشده (کیلوگرم)],1):Main[[#This Row],[بدهی تسویه نشده (کیلوگرم)]])</f>
        <v>0</v>
      </c>
      <c r="AB1354" s="6">
        <f ca="1">IF(Main[[#This Row],[مانده در خط تسویه نشده (کیلوگرم)]]&lt;&gt;0,Main[[#This Row],[تعداد کل روزهای بدهکار (روز)]],0)</f>
        <v>0</v>
      </c>
      <c r="AC1354" s="6">
        <f ca="1">Main[[#This Row],[تعداد روزهای بدهکار  تسویه نشده (روز)]]*Main[[#This Row],[مانده در خط تسویه نشده (کیلوگرم)]]</f>
        <v>0</v>
      </c>
      <c r="AD1354" s="6">
        <f ca="1">SUBTOTAL(9,INDEX(Main[بدهی سررسید شده (کیلوگرم)],1):Main[[#This Row],[بدهی سررسید شده (کیلوگرم)]])</f>
        <v>0</v>
      </c>
      <c r="AE1354" s="6">
        <f ca="1">IF(Main[[#This Row],[مانده در خط سررسید شده (کیلوگرم)]]&lt;&gt;0,Main[[#This Row],[تعداد کل روزهای بدهکار (روز)]],0)</f>
        <v>0</v>
      </c>
      <c r="AF1354" s="6">
        <f ca="1">Main[[#This Row],[تعداد روزهای بدهکار سررسید شده (روز)]]*Main[[#This Row],[مانده در خط سررسید شده (کیلوگرم)]]</f>
        <v>0</v>
      </c>
    </row>
    <row r="1355" spans="1:32" hidden="1" x14ac:dyDescent="0.35">
      <c r="A1355" s="5">
        <f>ROW()-ROW(INDEX(Main[ردیف],1))+1</f>
        <v>1353</v>
      </c>
      <c r="B1355" s="31">
        <f>SUBTOTAL(2,INDEX(Main[ردیف],1):Main[[#This Row],[ردیف]])</f>
        <v>119</v>
      </c>
      <c r="C1355" s="32" t="s">
        <v>646</v>
      </c>
      <c r="D1355" s="32" t="str">
        <f>_xlfn.CONCAT("14",Main[[#This Row],[تاريخ]])</f>
        <v>1400/05/22</v>
      </c>
      <c r="E1355" s="33">
        <v>44421</v>
      </c>
      <c r="F1355" s="32">
        <v>30127</v>
      </c>
      <c r="G1355" s="5" t="str">
        <f>INDEX(customer[عنوان],MATCH(Main[[#This Row],[کد ردیابی]],customer[کد],0))</f>
        <v>شیر گاز آذران</v>
      </c>
      <c r="H1355">
        <v>-2824</v>
      </c>
      <c r="I1355" s="6">
        <f ca="1">-Main[[#This Row],[بدهی تسویه شده (کیلوگرم)]]+Main[[#This Row],[بستانکار (کیلوگرم)]]</f>
        <v>-2824</v>
      </c>
      <c r="J1355" s="6">
        <f>IF(Main[[#This Row],[مقدار (کیلوگرم)]]&gt;0,Main[[#This Row],[مقدار (کیلوگرم)]],0)</f>
        <v>0</v>
      </c>
      <c r="K1355" s="6">
        <f>-IF(Main[[#This Row],[مقدار (کیلوگرم)]]&lt;0,Main[[#This Row],[مقدار (کیلوگرم)]],0)</f>
        <v>2824</v>
      </c>
      <c r="L13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5" s="7">
        <f>-IF(AND(Main[[#This Row],[مقدار (کیلوگرم)]]&lt;0,Main[[#This Row],[تاريخ میلادی]]&gt;44276),Main[[#This Row],[مقدار (کیلوگرم)]],0)</f>
        <v>2824</v>
      </c>
      <c r="N1355" s="6">
        <f ca="1">Main[[#This Row],[بدهکار (کیلوگرم)]]-Main[[#This Row],[بدهی تسویه نشده (کیلوگرم)]]</f>
        <v>2824</v>
      </c>
      <c r="O1355" s="6">
        <f ca="1">Main[[#This Row],[تفکیک]]</f>
        <v>0</v>
      </c>
      <c r="P1355" s="6">
        <f ca="1">IF(Main[[#This Row],[تاخیر از سررسید]]&gt;0,Main[[#This Row],[بدهی تسویه نشده (کیلوگرم)]],0)</f>
        <v>0</v>
      </c>
      <c r="Q1355" s="6">
        <f ca="1">IF(Main[[#This Row],[بدهی تسویه نشده (کیلوگرم)]]&gt;0,'گزارش فردی'!$B$7-Main[[#This Row],[تاريخ میلادی]],0)</f>
        <v>0</v>
      </c>
      <c r="R1355" s="6">
        <f ca="1">IF(Main[[#This Row],[بدهی تسویه نشده (کیلوگرم)]]&gt;0,'گزارش فردی'!$B$7-Main[[#This Row],[تاريخ میلادی]]-'گزارش فردی'!$B$8,0)</f>
        <v>0</v>
      </c>
      <c r="S1355" s="6">
        <f ca="1">Main[[#This Row],[روز از ارسال سفارش]]*Main[[#This Row],[بدهی تسویه نشده (کیلوگرم)]]</f>
        <v>0</v>
      </c>
      <c r="T1355" s="6">
        <f ca="1">Main[[#This Row],[بدهی سررسید شده (کیلوگرم)]]*Main[[#This Row],[روز از ارسال سفارش]]</f>
        <v>0</v>
      </c>
      <c r="U1355" s="6">
        <f>-SUBTOTAL(9,INDEX(Main[مقدار (کیلوگرم)],1):Main[[#This Row],[مقدار (کیلوگرم)]])</f>
        <v>39382</v>
      </c>
      <c r="V1355" s="6">
        <f>IFERROR(INDEX(Main[تاريخ میلادی],MATCH(Main[[#This Row],[شمارش]]+1,Main[شمارش],0))-Main[[#This Row],[تاريخ میلادی]],'گزارش فردی'!$B$7-Main[[#This Row],[تاريخ میلادی]])</f>
        <v>9</v>
      </c>
      <c r="W1355" s="6">
        <f>Main[[#This Row],[تعداد کل روزهای بدهکار (روز)]]*Main[[#This Row],[مانده در خط کل (کیلوگرم)]]</f>
        <v>354438</v>
      </c>
      <c r="X1355" s="6">
        <f ca="1">-SUBTOTAL(9,INDEX(Main[مقدار تسویه شده (کیلوگرم)],1):Main[[#This Row],[مقدار تسویه شده (کیلوگرم)]])</f>
        <v>39382</v>
      </c>
      <c r="Y1355" s="6">
        <f ca="1">IF(Main[[#This Row],[مانده در خط تسویه شده (کیلوگرم)]]&lt;&gt;0,Main[[#This Row],[تعداد کل روزهای بدهکار (روز)]],0)</f>
        <v>9</v>
      </c>
      <c r="Z1355" s="6">
        <f ca="1">Main[[#This Row],[تعداد روزهای بدهکار تسویه شده (روز)]]*Main[[#This Row],[مانده در خط تسویه شده (کیلوگرم)]]</f>
        <v>354438</v>
      </c>
      <c r="AA1355" s="6">
        <f ca="1">SUBTOTAL(9,INDEX(Main[بدهی تسویه نشده (کیلوگرم)],1):Main[[#This Row],[بدهی تسویه نشده (کیلوگرم)]])</f>
        <v>0</v>
      </c>
      <c r="AB1355" s="6">
        <f ca="1">IF(Main[[#This Row],[مانده در خط تسویه نشده (کیلوگرم)]]&lt;&gt;0,Main[[#This Row],[تعداد کل روزهای بدهکار (روز)]],0)</f>
        <v>0</v>
      </c>
      <c r="AC1355" s="6">
        <f ca="1">Main[[#This Row],[تعداد روزهای بدهکار  تسویه نشده (روز)]]*Main[[#This Row],[مانده در خط تسویه نشده (کیلوگرم)]]</f>
        <v>0</v>
      </c>
      <c r="AD1355" s="6">
        <f ca="1">SUBTOTAL(9,INDEX(Main[بدهی سررسید شده (کیلوگرم)],1):Main[[#This Row],[بدهی سررسید شده (کیلوگرم)]])</f>
        <v>0</v>
      </c>
      <c r="AE1355" s="6">
        <f ca="1">IF(Main[[#This Row],[مانده در خط سررسید شده (کیلوگرم)]]&lt;&gt;0,Main[[#This Row],[تعداد کل روزهای بدهکار (روز)]],0)</f>
        <v>0</v>
      </c>
      <c r="AF1355" s="6">
        <f ca="1">Main[[#This Row],[تعداد روزهای بدهکار سررسید شده (روز)]]*Main[[#This Row],[مانده در خط سررسید شده (کیلوگرم)]]</f>
        <v>0</v>
      </c>
    </row>
    <row r="1356" spans="1:32" hidden="1" x14ac:dyDescent="0.35">
      <c r="A1356" s="5">
        <f>ROW()-ROW(INDEX(Main[ردیف],1))+1</f>
        <v>1354</v>
      </c>
      <c r="B1356" s="31">
        <f>SUBTOTAL(2,INDEX(Main[ردیف],1):Main[[#This Row],[ردیف]])</f>
        <v>119</v>
      </c>
      <c r="C1356" s="32" t="s">
        <v>646</v>
      </c>
      <c r="D1356" s="32" t="str">
        <f>_xlfn.CONCAT("14",Main[[#This Row],[تاريخ]])</f>
        <v>1400/05/22</v>
      </c>
      <c r="E1356" s="33">
        <v>44421</v>
      </c>
      <c r="F1356" s="32">
        <v>30009</v>
      </c>
      <c r="G1356" s="5" t="str">
        <f>INDEX(customer[عنوان],MATCH(Main[[#This Row],[کد ردیابی]],customer[کد],0))</f>
        <v>شرکت ایمن تک پیشرو</v>
      </c>
      <c r="H1356">
        <v>1223</v>
      </c>
      <c r="I1356" s="6">
        <f ca="1">-Main[[#This Row],[بدهی تسویه شده (کیلوگرم)]]+Main[[#This Row],[بستانکار (کیلوگرم)]]</f>
        <v>1223</v>
      </c>
      <c r="J1356" s="6">
        <f>IF(Main[[#This Row],[مقدار (کیلوگرم)]]&gt;0,Main[[#This Row],[مقدار (کیلوگرم)]],0)</f>
        <v>1223</v>
      </c>
      <c r="K1356" s="6">
        <f>-IF(Main[[#This Row],[مقدار (کیلوگرم)]]&lt;0,Main[[#This Row],[مقدار (کیلوگرم)]],0)</f>
        <v>0</v>
      </c>
      <c r="L13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6" s="7">
        <f>-IF(AND(Main[[#This Row],[مقدار (کیلوگرم)]]&lt;0,Main[[#This Row],[تاريخ میلادی]]&gt;44276),Main[[#This Row],[مقدار (کیلوگرم)]],0)</f>
        <v>0</v>
      </c>
      <c r="N1356" s="6">
        <f ca="1">Main[[#This Row],[بدهکار (کیلوگرم)]]-Main[[#This Row],[بدهی تسویه نشده (کیلوگرم)]]</f>
        <v>0</v>
      </c>
      <c r="O1356" s="6">
        <f ca="1">Main[[#This Row],[تفکیک]]</f>
        <v>0</v>
      </c>
      <c r="P1356" s="6">
        <f ca="1">IF(Main[[#This Row],[تاخیر از سررسید]]&gt;0,Main[[#This Row],[بدهی تسویه نشده (کیلوگرم)]],0)</f>
        <v>0</v>
      </c>
      <c r="Q1356" s="6">
        <f ca="1">IF(Main[[#This Row],[بدهی تسویه نشده (کیلوگرم)]]&gt;0,'گزارش فردی'!$B$7-Main[[#This Row],[تاريخ میلادی]],0)</f>
        <v>0</v>
      </c>
      <c r="R1356" s="6">
        <f ca="1">IF(Main[[#This Row],[بدهی تسویه نشده (کیلوگرم)]]&gt;0,'گزارش فردی'!$B$7-Main[[#This Row],[تاريخ میلادی]]-'گزارش فردی'!$B$8,0)</f>
        <v>0</v>
      </c>
      <c r="S1356" s="6">
        <f ca="1">Main[[#This Row],[روز از ارسال سفارش]]*Main[[#This Row],[بدهی تسویه نشده (کیلوگرم)]]</f>
        <v>0</v>
      </c>
      <c r="T1356" s="6">
        <f ca="1">Main[[#This Row],[بدهی سررسید شده (کیلوگرم)]]*Main[[#This Row],[روز از ارسال سفارش]]</f>
        <v>0</v>
      </c>
      <c r="U1356" s="6">
        <f>-SUBTOTAL(9,INDEX(Main[مقدار (کیلوگرم)],1):Main[[#This Row],[مقدار (کیلوگرم)]])</f>
        <v>39382</v>
      </c>
      <c r="V1356" s="6">
        <f>IFERROR(INDEX(Main[تاريخ میلادی],MATCH(Main[[#This Row],[شمارش]]+1,Main[شمارش],0))-Main[[#This Row],[تاريخ میلادی]],'گزارش فردی'!$B$7-Main[[#This Row],[تاريخ میلادی]])</f>
        <v>9</v>
      </c>
      <c r="W1356" s="6">
        <f>Main[[#This Row],[تعداد کل روزهای بدهکار (روز)]]*Main[[#This Row],[مانده در خط کل (کیلوگرم)]]</f>
        <v>354438</v>
      </c>
      <c r="X1356" s="6">
        <f ca="1">-SUBTOTAL(9,INDEX(Main[مقدار تسویه شده (کیلوگرم)],1):Main[[#This Row],[مقدار تسویه شده (کیلوگرم)]])</f>
        <v>39382</v>
      </c>
      <c r="Y1356" s="6">
        <f ca="1">IF(Main[[#This Row],[مانده در خط تسویه شده (کیلوگرم)]]&lt;&gt;0,Main[[#This Row],[تعداد کل روزهای بدهکار (روز)]],0)</f>
        <v>9</v>
      </c>
      <c r="Z1356" s="6">
        <f ca="1">Main[[#This Row],[تعداد روزهای بدهکار تسویه شده (روز)]]*Main[[#This Row],[مانده در خط تسویه شده (کیلوگرم)]]</f>
        <v>354438</v>
      </c>
      <c r="AA1356" s="6">
        <f ca="1">SUBTOTAL(9,INDEX(Main[بدهی تسویه نشده (کیلوگرم)],1):Main[[#This Row],[بدهی تسویه نشده (کیلوگرم)]])</f>
        <v>0</v>
      </c>
      <c r="AB1356" s="6">
        <f ca="1">IF(Main[[#This Row],[مانده در خط تسویه نشده (کیلوگرم)]]&lt;&gt;0,Main[[#This Row],[تعداد کل روزهای بدهکار (روز)]],0)</f>
        <v>0</v>
      </c>
      <c r="AC1356" s="6">
        <f ca="1">Main[[#This Row],[تعداد روزهای بدهکار  تسویه نشده (روز)]]*Main[[#This Row],[مانده در خط تسویه نشده (کیلوگرم)]]</f>
        <v>0</v>
      </c>
      <c r="AD1356" s="6">
        <f ca="1">SUBTOTAL(9,INDEX(Main[بدهی سررسید شده (کیلوگرم)],1):Main[[#This Row],[بدهی سررسید شده (کیلوگرم)]])</f>
        <v>0</v>
      </c>
      <c r="AE1356" s="6">
        <f ca="1">IF(Main[[#This Row],[مانده در خط سررسید شده (کیلوگرم)]]&lt;&gt;0,Main[[#This Row],[تعداد کل روزهای بدهکار (روز)]],0)</f>
        <v>0</v>
      </c>
      <c r="AF1356" s="6">
        <f ca="1">Main[[#This Row],[تعداد روزهای بدهکار سررسید شده (روز)]]*Main[[#This Row],[مانده در خط سررسید شده (کیلوگرم)]]</f>
        <v>0</v>
      </c>
    </row>
    <row r="1357" spans="1:32" hidden="1" x14ac:dyDescent="0.35">
      <c r="A1357" s="5">
        <f>ROW()-ROW(INDEX(Main[ردیف],1))+1</f>
        <v>1355</v>
      </c>
      <c r="B1357" s="31">
        <f>SUBTOTAL(2,INDEX(Main[ردیف],1):Main[[#This Row],[ردیف]])</f>
        <v>119</v>
      </c>
      <c r="C1357" s="32" t="s">
        <v>647</v>
      </c>
      <c r="D1357" s="32" t="str">
        <f>_xlfn.CONCAT("14",Main[[#This Row],[تاريخ]])</f>
        <v>1400/05/23</v>
      </c>
      <c r="E1357" s="33">
        <v>44422</v>
      </c>
      <c r="F1357" s="32">
        <v>30066</v>
      </c>
      <c r="G1357" s="5" t="str">
        <f>INDEX(customer[عنوان],MATCH(Main[[#This Row],[کد ردیابی]],customer[کد],0))</f>
        <v xml:space="preserve">شیر آلات بهداشتی قهرمان </v>
      </c>
      <c r="H1357">
        <v>-5693</v>
      </c>
      <c r="I1357" s="6">
        <f ca="1">-Main[[#This Row],[بدهی تسویه شده (کیلوگرم)]]+Main[[#This Row],[بستانکار (کیلوگرم)]]</f>
        <v>-5693</v>
      </c>
      <c r="J1357" s="6">
        <f>IF(Main[[#This Row],[مقدار (کیلوگرم)]]&gt;0,Main[[#This Row],[مقدار (کیلوگرم)]],0)</f>
        <v>0</v>
      </c>
      <c r="K1357" s="6">
        <f>-IF(Main[[#This Row],[مقدار (کیلوگرم)]]&lt;0,Main[[#This Row],[مقدار (کیلوگرم)]],0)</f>
        <v>5693</v>
      </c>
      <c r="L13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7" s="7">
        <f>-IF(AND(Main[[#This Row],[مقدار (کیلوگرم)]]&lt;0,Main[[#This Row],[تاريخ میلادی]]&gt;44276),Main[[#This Row],[مقدار (کیلوگرم)]],0)</f>
        <v>5693</v>
      </c>
      <c r="N1357" s="6">
        <f ca="1">Main[[#This Row],[بدهکار (کیلوگرم)]]-Main[[#This Row],[بدهی تسویه نشده (کیلوگرم)]]</f>
        <v>5693</v>
      </c>
      <c r="O1357" s="6">
        <f ca="1">Main[[#This Row],[تفکیک]]</f>
        <v>0</v>
      </c>
      <c r="P1357" s="6">
        <f ca="1">IF(Main[[#This Row],[تاخیر از سررسید]]&gt;0,Main[[#This Row],[بدهی تسویه نشده (کیلوگرم)]],0)</f>
        <v>0</v>
      </c>
      <c r="Q1357" s="6">
        <f ca="1">IF(Main[[#This Row],[بدهی تسویه نشده (کیلوگرم)]]&gt;0,'گزارش فردی'!$B$7-Main[[#This Row],[تاريخ میلادی]],0)</f>
        <v>0</v>
      </c>
      <c r="R1357" s="6">
        <f ca="1">IF(Main[[#This Row],[بدهی تسویه نشده (کیلوگرم)]]&gt;0,'گزارش فردی'!$B$7-Main[[#This Row],[تاريخ میلادی]]-'گزارش فردی'!$B$8,0)</f>
        <v>0</v>
      </c>
      <c r="S1357" s="6">
        <f ca="1">Main[[#This Row],[روز از ارسال سفارش]]*Main[[#This Row],[بدهی تسویه نشده (کیلوگرم)]]</f>
        <v>0</v>
      </c>
      <c r="T1357" s="6">
        <f ca="1">Main[[#This Row],[بدهی سررسید شده (کیلوگرم)]]*Main[[#This Row],[روز از ارسال سفارش]]</f>
        <v>0</v>
      </c>
      <c r="U1357" s="6">
        <f>-SUBTOTAL(9,INDEX(Main[مقدار (کیلوگرم)],1):Main[[#This Row],[مقدار (کیلوگرم)]])</f>
        <v>39382</v>
      </c>
      <c r="V1357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57" s="6">
        <f>Main[[#This Row],[تعداد کل روزهای بدهکار (روز)]]*Main[[#This Row],[مانده در خط کل (کیلوگرم)]]</f>
        <v>315056</v>
      </c>
      <c r="X1357" s="6">
        <f ca="1">-SUBTOTAL(9,INDEX(Main[مقدار تسویه شده (کیلوگرم)],1):Main[[#This Row],[مقدار تسویه شده (کیلوگرم)]])</f>
        <v>39382</v>
      </c>
      <c r="Y1357" s="6">
        <f ca="1">IF(Main[[#This Row],[مانده در خط تسویه شده (کیلوگرم)]]&lt;&gt;0,Main[[#This Row],[تعداد کل روزهای بدهکار (روز)]],0)</f>
        <v>8</v>
      </c>
      <c r="Z1357" s="6">
        <f ca="1">Main[[#This Row],[تعداد روزهای بدهکار تسویه شده (روز)]]*Main[[#This Row],[مانده در خط تسویه شده (کیلوگرم)]]</f>
        <v>315056</v>
      </c>
      <c r="AA1357" s="6">
        <f ca="1">SUBTOTAL(9,INDEX(Main[بدهی تسویه نشده (کیلوگرم)],1):Main[[#This Row],[بدهی تسویه نشده (کیلوگرم)]])</f>
        <v>0</v>
      </c>
      <c r="AB1357" s="6">
        <f ca="1">IF(Main[[#This Row],[مانده در خط تسویه نشده (کیلوگرم)]]&lt;&gt;0,Main[[#This Row],[تعداد کل روزهای بدهکار (روز)]],0)</f>
        <v>0</v>
      </c>
      <c r="AC1357" s="6">
        <f ca="1">Main[[#This Row],[تعداد روزهای بدهکار  تسویه نشده (روز)]]*Main[[#This Row],[مانده در خط تسویه نشده (کیلوگرم)]]</f>
        <v>0</v>
      </c>
      <c r="AD1357" s="6">
        <f ca="1">SUBTOTAL(9,INDEX(Main[بدهی سررسید شده (کیلوگرم)],1):Main[[#This Row],[بدهی سررسید شده (کیلوگرم)]])</f>
        <v>0</v>
      </c>
      <c r="AE1357" s="6">
        <f ca="1">IF(Main[[#This Row],[مانده در خط سررسید شده (کیلوگرم)]]&lt;&gt;0,Main[[#This Row],[تعداد کل روزهای بدهکار (روز)]],0)</f>
        <v>0</v>
      </c>
      <c r="AF1357" s="6">
        <f ca="1">Main[[#This Row],[تعداد روزهای بدهکار سررسید شده (روز)]]*Main[[#This Row],[مانده در خط سررسید شده (کیلوگرم)]]</f>
        <v>0</v>
      </c>
    </row>
    <row r="1358" spans="1:32" hidden="1" x14ac:dyDescent="0.35">
      <c r="A1358" s="5">
        <f>ROW()-ROW(INDEX(Main[ردیف],1))+1</f>
        <v>1356</v>
      </c>
      <c r="B1358" s="31">
        <f>SUBTOTAL(2,INDEX(Main[ردیف],1):Main[[#This Row],[ردیف]])</f>
        <v>119</v>
      </c>
      <c r="C1358" s="32" t="s">
        <v>647</v>
      </c>
      <c r="D1358" s="32" t="str">
        <f>_xlfn.CONCAT("14",Main[[#This Row],[تاريخ]])</f>
        <v>1400/05/23</v>
      </c>
      <c r="E1358" s="33">
        <v>44422</v>
      </c>
      <c r="F1358" s="32">
        <v>10057</v>
      </c>
      <c r="G1358" s="5" t="str">
        <f>INDEX(customer[عنوان],MATCH(Main[[#This Row],[کد ردیابی]],customer[کد],0))</f>
        <v xml:space="preserve">عبدالله یادگار </v>
      </c>
      <c r="H1358">
        <v>47</v>
      </c>
      <c r="I1358" s="6">
        <f ca="1">-Main[[#This Row],[بدهی تسویه شده (کیلوگرم)]]+Main[[#This Row],[بستانکار (کیلوگرم)]]</f>
        <v>47</v>
      </c>
      <c r="J1358" s="6">
        <f>IF(Main[[#This Row],[مقدار (کیلوگرم)]]&gt;0,Main[[#This Row],[مقدار (کیلوگرم)]],0)</f>
        <v>47</v>
      </c>
      <c r="K1358" s="6">
        <f>-IF(Main[[#This Row],[مقدار (کیلوگرم)]]&lt;0,Main[[#This Row],[مقدار (کیلوگرم)]],0)</f>
        <v>0</v>
      </c>
      <c r="L13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8" s="7">
        <f>-IF(AND(Main[[#This Row],[مقدار (کیلوگرم)]]&lt;0,Main[[#This Row],[تاريخ میلادی]]&gt;44276),Main[[#This Row],[مقدار (کیلوگرم)]],0)</f>
        <v>0</v>
      </c>
      <c r="N1358" s="6">
        <f ca="1">Main[[#This Row],[بدهکار (کیلوگرم)]]-Main[[#This Row],[بدهی تسویه نشده (کیلوگرم)]]</f>
        <v>0</v>
      </c>
      <c r="O1358" s="6">
        <f ca="1">Main[[#This Row],[تفکیک]]</f>
        <v>0</v>
      </c>
      <c r="P1358" s="6">
        <f ca="1">IF(Main[[#This Row],[تاخیر از سررسید]]&gt;0,Main[[#This Row],[بدهی تسویه نشده (کیلوگرم)]],0)</f>
        <v>0</v>
      </c>
      <c r="Q1358" s="6">
        <f ca="1">IF(Main[[#This Row],[بدهی تسویه نشده (کیلوگرم)]]&gt;0,'گزارش فردی'!$B$7-Main[[#This Row],[تاريخ میلادی]],0)</f>
        <v>0</v>
      </c>
      <c r="R1358" s="6">
        <f ca="1">IF(Main[[#This Row],[بدهی تسویه نشده (کیلوگرم)]]&gt;0,'گزارش فردی'!$B$7-Main[[#This Row],[تاريخ میلادی]]-'گزارش فردی'!$B$8,0)</f>
        <v>0</v>
      </c>
      <c r="S1358" s="6">
        <f ca="1">Main[[#This Row],[روز از ارسال سفارش]]*Main[[#This Row],[بدهی تسویه نشده (کیلوگرم)]]</f>
        <v>0</v>
      </c>
      <c r="T1358" s="6">
        <f ca="1">Main[[#This Row],[بدهی سررسید شده (کیلوگرم)]]*Main[[#This Row],[روز از ارسال سفارش]]</f>
        <v>0</v>
      </c>
      <c r="U1358" s="6">
        <f>-SUBTOTAL(9,INDEX(Main[مقدار (کیلوگرم)],1):Main[[#This Row],[مقدار (کیلوگرم)]])</f>
        <v>39382</v>
      </c>
      <c r="V1358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58" s="6">
        <f>Main[[#This Row],[تعداد کل روزهای بدهکار (روز)]]*Main[[#This Row],[مانده در خط کل (کیلوگرم)]]</f>
        <v>315056</v>
      </c>
      <c r="X1358" s="6">
        <f ca="1">-SUBTOTAL(9,INDEX(Main[مقدار تسویه شده (کیلوگرم)],1):Main[[#This Row],[مقدار تسویه شده (کیلوگرم)]])</f>
        <v>39382</v>
      </c>
      <c r="Y1358" s="6">
        <f ca="1">IF(Main[[#This Row],[مانده در خط تسویه شده (کیلوگرم)]]&lt;&gt;0,Main[[#This Row],[تعداد کل روزهای بدهکار (روز)]],0)</f>
        <v>8</v>
      </c>
      <c r="Z1358" s="6">
        <f ca="1">Main[[#This Row],[تعداد روزهای بدهکار تسویه شده (روز)]]*Main[[#This Row],[مانده در خط تسویه شده (کیلوگرم)]]</f>
        <v>315056</v>
      </c>
      <c r="AA1358" s="6">
        <f ca="1">SUBTOTAL(9,INDEX(Main[بدهی تسویه نشده (کیلوگرم)],1):Main[[#This Row],[بدهی تسویه نشده (کیلوگرم)]])</f>
        <v>0</v>
      </c>
      <c r="AB1358" s="6">
        <f ca="1">IF(Main[[#This Row],[مانده در خط تسویه نشده (کیلوگرم)]]&lt;&gt;0,Main[[#This Row],[تعداد کل روزهای بدهکار (روز)]],0)</f>
        <v>0</v>
      </c>
      <c r="AC1358" s="6">
        <f ca="1">Main[[#This Row],[تعداد روزهای بدهکار  تسویه نشده (روز)]]*Main[[#This Row],[مانده در خط تسویه نشده (کیلوگرم)]]</f>
        <v>0</v>
      </c>
      <c r="AD1358" s="6">
        <f ca="1">SUBTOTAL(9,INDEX(Main[بدهی سررسید شده (کیلوگرم)],1):Main[[#This Row],[بدهی سررسید شده (کیلوگرم)]])</f>
        <v>0</v>
      </c>
      <c r="AE1358" s="6">
        <f ca="1">IF(Main[[#This Row],[مانده در خط سررسید شده (کیلوگرم)]]&lt;&gt;0,Main[[#This Row],[تعداد کل روزهای بدهکار (روز)]],0)</f>
        <v>0</v>
      </c>
      <c r="AF1358" s="6">
        <f ca="1">Main[[#This Row],[تعداد روزهای بدهکار سررسید شده (روز)]]*Main[[#This Row],[مانده در خط سررسید شده (کیلوگرم)]]</f>
        <v>0</v>
      </c>
    </row>
    <row r="1359" spans="1:32" hidden="1" x14ac:dyDescent="0.35">
      <c r="A1359" s="5">
        <f>ROW()-ROW(INDEX(Main[ردیف],1))+1</f>
        <v>1357</v>
      </c>
      <c r="B1359" s="31">
        <f>SUBTOTAL(2,INDEX(Main[ردیف],1):Main[[#This Row],[ردیف]])</f>
        <v>119</v>
      </c>
      <c r="C1359" s="32" t="s">
        <v>647</v>
      </c>
      <c r="D1359" s="32" t="str">
        <f>_xlfn.CONCAT("14",Main[[#This Row],[تاريخ]])</f>
        <v>1400/05/23</v>
      </c>
      <c r="E1359" s="33">
        <v>44422</v>
      </c>
      <c r="F1359" s="32">
        <v>50016</v>
      </c>
      <c r="G1359" s="5" t="str">
        <f>INDEX(customer[عنوان],MATCH(Main[[#This Row],[کد ردیابی]],customer[کد],0))</f>
        <v xml:space="preserve">مهدی یوسفی  </v>
      </c>
      <c r="H1359">
        <v>-5198</v>
      </c>
      <c r="I1359" s="6">
        <f ca="1">-Main[[#This Row],[بدهی تسویه شده (کیلوگرم)]]+Main[[#This Row],[بستانکار (کیلوگرم)]]</f>
        <v>-5198</v>
      </c>
      <c r="J1359" s="6">
        <f>IF(Main[[#This Row],[مقدار (کیلوگرم)]]&gt;0,Main[[#This Row],[مقدار (کیلوگرم)]],0)</f>
        <v>0</v>
      </c>
      <c r="K1359" s="6">
        <f>-IF(Main[[#This Row],[مقدار (کیلوگرم)]]&lt;0,Main[[#This Row],[مقدار (کیلوگرم)]],0)</f>
        <v>5198</v>
      </c>
      <c r="L13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9" s="7">
        <f>-IF(AND(Main[[#This Row],[مقدار (کیلوگرم)]]&lt;0,Main[[#This Row],[تاريخ میلادی]]&gt;44276),Main[[#This Row],[مقدار (کیلوگرم)]],0)</f>
        <v>5198</v>
      </c>
      <c r="N1359" s="6">
        <f ca="1">Main[[#This Row],[بدهکار (کیلوگرم)]]-Main[[#This Row],[بدهی تسویه نشده (کیلوگرم)]]</f>
        <v>5198</v>
      </c>
      <c r="O1359" s="6">
        <f ca="1">Main[[#This Row],[تفکیک]]</f>
        <v>0</v>
      </c>
      <c r="P1359" s="6">
        <f ca="1">IF(Main[[#This Row],[تاخیر از سررسید]]&gt;0,Main[[#This Row],[بدهی تسویه نشده (کیلوگرم)]],0)</f>
        <v>0</v>
      </c>
      <c r="Q1359" s="6">
        <f ca="1">IF(Main[[#This Row],[بدهی تسویه نشده (کیلوگرم)]]&gt;0,'گزارش فردی'!$B$7-Main[[#This Row],[تاريخ میلادی]],0)</f>
        <v>0</v>
      </c>
      <c r="R1359" s="6">
        <f ca="1">IF(Main[[#This Row],[بدهی تسویه نشده (کیلوگرم)]]&gt;0,'گزارش فردی'!$B$7-Main[[#This Row],[تاريخ میلادی]]-'گزارش فردی'!$B$8,0)</f>
        <v>0</v>
      </c>
      <c r="S1359" s="6">
        <f ca="1">Main[[#This Row],[روز از ارسال سفارش]]*Main[[#This Row],[بدهی تسویه نشده (کیلوگرم)]]</f>
        <v>0</v>
      </c>
      <c r="T1359" s="6">
        <f ca="1">Main[[#This Row],[بدهی سررسید شده (کیلوگرم)]]*Main[[#This Row],[روز از ارسال سفارش]]</f>
        <v>0</v>
      </c>
      <c r="U1359" s="6">
        <f>-SUBTOTAL(9,INDEX(Main[مقدار (کیلوگرم)],1):Main[[#This Row],[مقدار (کیلوگرم)]])</f>
        <v>39382</v>
      </c>
      <c r="V1359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59" s="6">
        <f>Main[[#This Row],[تعداد کل روزهای بدهکار (روز)]]*Main[[#This Row],[مانده در خط کل (کیلوگرم)]]</f>
        <v>315056</v>
      </c>
      <c r="X1359" s="6">
        <f ca="1">-SUBTOTAL(9,INDEX(Main[مقدار تسویه شده (کیلوگرم)],1):Main[[#This Row],[مقدار تسویه شده (کیلوگرم)]])</f>
        <v>39382</v>
      </c>
      <c r="Y1359" s="6">
        <f ca="1">IF(Main[[#This Row],[مانده در خط تسویه شده (کیلوگرم)]]&lt;&gt;0,Main[[#This Row],[تعداد کل روزهای بدهکار (روز)]],0)</f>
        <v>8</v>
      </c>
      <c r="Z1359" s="6">
        <f ca="1">Main[[#This Row],[تعداد روزهای بدهکار تسویه شده (روز)]]*Main[[#This Row],[مانده در خط تسویه شده (کیلوگرم)]]</f>
        <v>315056</v>
      </c>
      <c r="AA1359" s="6">
        <f ca="1">SUBTOTAL(9,INDEX(Main[بدهی تسویه نشده (کیلوگرم)],1):Main[[#This Row],[بدهی تسویه نشده (کیلوگرم)]])</f>
        <v>0</v>
      </c>
      <c r="AB1359" s="6">
        <f ca="1">IF(Main[[#This Row],[مانده در خط تسویه نشده (کیلوگرم)]]&lt;&gt;0,Main[[#This Row],[تعداد کل روزهای بدهکار (روز)]],0)</f>
        <v>0</v>
      </c>
      <c r="AC1359" s="6">
        <f ca="1">Main[[#This Row],[تعداد روزهای بدهکار  تسویه نشده (روز)]]*Main[[#This Row],[مانده در خط تسویه نشده (کیلوگرم)]]</f>
        <v>0</v>
      </c>
      <c r="AD1359" s="6">
        <f ca="1">SUBTOTAL(9,INDEX(Main[بدهی سررسید شده (کیلوگرم)],1):Main[[#This Row],[بدهی سررسید شده (کیلوگرم)]])</f>
        <v>0</v>
      </c>
      <c r="AE1359" s="6">
        <f ca="1">IF(Main[[#This Row],[مانده در خط سررسید شده (کیلوگرم)]]&lt;&gt;0,Main[[#This Row],[تعداد کل روزهای بدهکار (روز)]],0)</f>
        <v>0</v>
      </c>
      <c r="AF1359" s="6">
        <f ca="1">Main[[#This Row],[تعداد روزهای بدهکار سررسید شده (روز)]]*Main[[#This Row],[مانده در خط سررسید شده (کیلوگرم)]]</f>
        <v>0</v>
      </c>
    </row>
    <row r="1360" spans="1:32" hidden="1" x14ac:dyDescent="0.35">
      <c r="A1360" s="5">
        <f>ROW()-ROW(INDEX(Main[ردیف],1))+1</f>
        <v>1358</v>
      </c>
      <c r="B1360" s="31">
        <f>SUBTOTAL(2,INDEX(Main[ردیف],1):Main[[#This Row],[ردیف]])</f>
        <v>119</v>
      </c>
      <c r="C1360" s="32" t="s">
        <v>647</v>
      </c>
      <c r="D1360" s="32" t="str">
        <f>_xlfn.CONCAT("14",Main[[#This Row],[تاريخ]])</f>
        <v>1400/05/23</v>
      </c>
      <c r="E1360" s="33">
        <v>44422</v>
      </c>
      <c r="F1360" s="32">
        <v>10057</v>
      </c>
      <c r="G1360" s="5" t="str">
        <f>INDEX(customer[عنوان],MATCH(Main[[#This Row],[کد ردیابی]],customer[کد],0))</f>
        <v xml:space="preserve">عبدالله یادگار </v>
      </c>
      <c r="H1360">
        <v>689</v>
      </c>
      <c r="I1360" s="6">
        <f ca="1">-Main[[#This Row],[بدهی تسویه شده (کیلوگرم)]]+Main[[#This Row],[بستانکار (کیلوگرم)]]</f>
        <v>689</v>
      </c>
      <c r="J1360" s="6">
        <f>IF(Main[[#This Row],[مقدار (کیلوگرم)]]&gt;0,Main[[#This Row],[مقدار (کیلوگرم)]],0)</f>
        <v>689</v>
      </c>
      <c r="K1360" s="6">
        <f>-IF(Main[[#This Row],[مقدار (کیلوگرم)]]&lt;0,Main[[#This Row],[مقدار (کیلوگرم)]],0)</f>
        <v>0</v>
      </c>
      <c r="L13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0" s="7">
        <f>-IF(AND(Main[[#This Row],[مقدار (کیلوگرم)]]&lt;0,Main[[#This Row],[تاريخ میلادی]]&gt;44276),Main[[#This Row],[مقدار (کیلوگرم)]],0)</f>
        <v>0</v>
      </c>
      <c r="N1360" s="6">
        <f ca="1">Main[[#This Row],[بدهکار (کیلوگرم)]]-Main[[#This Row],[بدهی تسویه نشده (کیلوگرم)]]</f>
        <v>0</v>
      </c>
      <c r="O1360" s="6">
        <f ca="1">Main[[#This Row],[تفکیک]]</f>
        <v>0</v>
      </c>
      <c r="P1360" s="6">
        <f ca="1">IF(Main[[#This Row],[تاخیر از سررسید]]&gt;0,Main[[#This Row],[بدهی تسویه نشده (کیلوگرم)]],0)</f>
        <v>0</v>
      </c>
      <c r="Q1360" s="6">
        <f ca="1">IF(Main[[#This Row],[بدهی تسویه نشده (کیلوگرم)]]&gt;0,'گزارش فردی'!$B$7-Main[[#This Row],[تاريخ میلادی]],0)</f>
        <v>0</v>
      </c>
      <c r="R1360" s="6">
        <f ca="1">IF(Main[[#This Row],[بدهی تسویه نشده (کیلوگرم)]]&gt;0,'گزارش فردی'!$B$7-Main[[#This Row],[تاريخ میلادی]]-'گزارش فردی'!$B$8,0)</f>
        <v>0</v>
      </c>
      <c r="S1360" s="6">
        <f ca="1">Main[[#This Row],[روز از ارسال سفارش]]*Main[[#This Row],[بدهی تسویه نشده (کیلوگرم)]]</f>
        <v>0</v>
      </c>
      <c r="T1360" s="6">
        <f ca="1">Main[[#This Row],[بدهی سررسید شده (کیلوگرم)]]*Main[[#This Row],[روز از ارسال سفارش]]</f>
        <v>0</v>
      </c>
      <c r="U1360" s="6">
        <f>-SUBTOTAL(9,INDEX(Main[مقدار (کیلوگرم)],1):Main[[#This Row],[مقدار (کیلوگرم)]])</f>
        <v>39382</v>
      </c>
      <c r="V1360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0" s="6">
        <f>Main[[#This Row],[تعداد کل روزهای بدهکار (روز)]]*Main[[#This Row],[مانده در خط کل (کیلوگرم)]]</f>
        <v>315056</v>
      </c>
      <c r="X1360" s="6">
        <f ca="1">-SUBTOTAL(9,INDEX(Main[مقدار تسویه شده (کیلوگرم)],1):Main[[#This Row],[مقدار تسویه شده (کیلوگرم)]])</f>
        <v>39382</v>
      </c>
      <c r="Y1360" s="6">
        <f ca="1">IF(Main[[#This Row],[مانده در خط تسویه شده (کیلوگرم)]]&lt;&gt;0,Main[[#This Row],[تعداد کل روزهای بدهکار (روز)]],0)</f>
        <v>8</v>
      </c>
      <c r="Z1360" s="6">
        <f ca="1">Main[[#This Row],[تعداد روزهای بدهکار تسویه شده (روز)]]*Main[[#This Row],[مانده در خط تسویه شده (کیلوگرم)]]</f>
        <v>315056</v>
      </c>
      <c r="AA1360" s="6">
        <f ca="1">SUBTOTAL(9,INDEX(Main[بدهی تسویه نشده (کیلوگرم)],1):Main[[#This Row],[بدهی تسویه نشده (کیلوگرم)]])</f>
        <v>0</v>
      </c>
      <c r="AB1360" s="6">
        <f ca="1">IF(Main[[#This Row],[مانده در خط تسویه نشده (کیلوگرم)]]&lt;&gt;0,Main[[#This Row],[تعداد کل روزهای بدهکار (روز)]],0)</f>
        <v>0</v>
      </c>
      <c r="AC1360" s="6">
        <f ca="1">Main[[#This Row],[تعداد روزهای بدهکار  تسویه نشده (روز)]]*Main[[#This Row],[مانده در خط تسویه نشده (کیلوگرم)]]</f>
        <v>0</v>
      </c>
      <c r="AD1360" s="6">
        <f ca="1">SUBTOTAL(9,INDEX(Main[بدهی سررسید شده (کیلوگرم)],1):Main[[#This Row],[بدهی سررسید شده (کیلوگرم)]])</f>
        <v>0</v>
      </c>
      <c r="AE1360" s="6">
        <f ca="1">IF(Main[[#This Row],[مانده در خط سررسید شده (کیلوگرم)]]&lt;&gt;0,Main[[#This Row],[تعداد کل روزهای بدهکار (روز)]],0)</f>
        <v>0</v>
      </c>
      <c r="AF1360" s="6">
        <f ca="1">Main[[#This Row],[تعداد روزهای بدهکار سررسید شده (روز)]]*Main[[#This Row],[مانده در خط سررسید شده (کیلوگرم)]]</f>
        <v>0</v>
      </c>
    </row>
    <row r="1361" spans="1:32" hidden="1" x14ac:dyDescent="0.35">
      <c r="A1361" s="5">
        <f>ROW()-ROW(INDEX(Main[ردیف],1))+1</f>
        <v>1359</v>
      </c>
      <c r="B1361" s="31">
        <f>SUBTOTAL(2,INDEX(Main[ردیف],1):Main[[#This Row],[ردیف]])</f>
        <v>119</v>
      </c>
      <c r="C1361" s="32" t="s">
        <v>647</v>
      </c>
      <c r="D1361" s="32" t="str">
        <f>_xlfn.CONCAT("14",Main[[#This Row],[تاريخ]])</f>
        <v>1400/05/23</v>
      </c>
      <c r="E1361" s="33">
        <v>44422</v>
      </c>
      <c r="F1361" s="32">
        <v>10127</v>
      </c>
      <c r="G1361" s="5" t="str">
        <f>INDEX(customer[عنوان],MATCH(Main[[#This Row],[کد ردیابی]],customer[کد],0))</f>
        <v xml:space="preserve">عماد هاشمی </v>
      </c>
      <c r="H1361">
        <v>-1014</v>
      </c>
      <c r="I1361" s="6">
        <f ca="1">-Main[[#This Row],[بدهی تسویه شده (کیلوگرم)]]+Main[[#This Row],[بستانکار (کیلوگرم)]]</f>
        <v>-1014</v>
      </c>
      <c r="J1361" s="6">
        <f>IF(Main[[#This Row],[مقدار (کیلوگرم)]]&gt;0,Main[[#This Row],[مقدار (کیلوگرم)]],0)</f>
        <v>0</v>
      </c>
      <c r="K1361" s="6">
        <f>-IF(Main[[#This Row],[مقدار (کیلوگرم)]]&lt;0,Main[[#This Row],[مقدار (کیلوگرم)]],0)</f>
        <v>1014</v>
      </c>
      <c r="L13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1" s="7">
        <f>-IF(AND(Main[[#This Row],[مقدار (کیلوگرم)]]&lt;0,Main[[#This Row],[تاريخ میلادی]]&gt;44276),Main[[#This Row],[مقدار (کیلوگرم)]],0)</f>
        <v>1014</v>
      </c>
      <c r="N1361" s="6">
        <f ca="1">Main[[#This Row],[بدهکار (کیلوگرم)]]-Main[[#This Row],[بدهی تسویه نشده (کیلوگرم)]]</f>
        <v>1014</v>
      </c>
      <c r="O1361" s="6">
        <f ca="1">Main[[#This Row],[تفکیک]]</f>
        <v>0</v>
      </c>
      <c r="P1361" s="6">
        <f ca="1">IF(Main[[#This Row],[تاخیر از سررسید]]&gt;0,Main[[#This Row],[بدهی تسویه نشده (کیلوگرم)]],0)</f>
        <v>0</v>
      </c>
      <c r="Q1361" s="6">
        <f ca="1">IF(Main[[#This Row],[بدهی تسویه نشده (کیلوگرم)]]&gt;0,'گزارش فردی'!$B$7-Main[[#This Row],[تاريخ میلادی]],0)</f>
        <v>0</v>
      </c>
      <c r="R1361" s="6">
        <f ca="1">IF(Main[[#This Row],[بدهی تسویه نشده (کیلوگرم)]]&gt;0,'گزارش فردی'!$B$7-Main[[#This Row],[تاريخ میلادی]]-'گزارش فردی'!$B$8,0)</f>
        <v>0</v>
      </c>
      <c r="S1361" s="6">
        <f ca="1">Main[[#This Row],[روز از ارسال سفارش]]*Main[[#This Row],[بدهی تسویه نشده (کیلوگرم)]]</f>
        <v>0</v>
      </c>
      <c r="T1361" s="6">
        <f ca="1">Main[[#This Row],[بدهی سررسید شده (کیلوگرم)]]*Main[[#This Row],[روز از ارسال سفارش]]</f>
        <v>0</v>
      </c>
      <c r="U1361" s="6">
        <f>-SUBTOTAL(9,INDEX(Main[مقدار (کیلوگرم)],1):Main[[#This Row],[مقدار (کیلوگرم)]])</f>
        <v>39382</v>
      </c>
      <c r="V1361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1" s="6">
        <f>Main[[#This Row],[تعداد کل روزهای بدهکار (روز)]]*Main[[#This Row],[مانده در خط کل (کیلوگرم)]]</f>
        <v>315056</v>
      </c>
      <c r="X1361" s="6">
        <f ca="1">-SUBTOTAL(9,INDEX(Main[مقدار تسویه شده (کیلوگرم)],1):Main[[#This Row],[مقدار تسویه شده (کیلوگرم)]])</f>
        <v>39382</v>
      </c>
      <c r="Y1361" s="6">
        <f ca="1">IF(Main[[#This Row],[مانده در خط تسویه شده (کیلوگرم)]]&lt;&gt;0,Main[[#This Row],[تعداد کل روزهای بدهکار (روز)]],0)</f>
        <v>8</v>
      </c>
      <c r="Z1361" s="6">
        <f ca="1">Main[[#This Row],[تعداد روزهای بدهکار تسویه شده (روز)]]*Main[[#This Row],[مانده در خط تسویه شده (کیلوگرم)]]</f>
        <v>315056</v>
      </c>
      <c r="AA1361" s="6">
        <f ca="1">SUBTOTAL(9,INDEX(Main[بدهی تسویه نشده (کیلوگرم)],1):Main[[#This Row],[بدهی تسویه نشده (کیلوگرم)]])</f>
        <v>0</v>
      </c>
      <c r="AB1361" s="6">
        <f ca="1">IF(Main[[#This Row],[مانده در خط تسویه نشده (کیلوگرم)]]&lt;&gt;0,Main[[#This Row],[تعداد کل روزهای بدهکار (روز)]],0)</f>
        <v>0</v>
      </c>
      <c r="AC1361" s="6">
        <f ca="1">Main[[#This Row],[تعداد روزهای بدهکار  تسویه نشده (روز)]]*Main[[#This Row],[مانده در خط تسویه نشده (کیلوگرم)]]</f>
        <v>0</v>
      </c>
      <c r="AD1361" s="6">
        <f ca="1">SUBTOTAL(9,INDEX(Main[بدهی سررسید شده (کیلوگرم)],1):Main[[#This Row],[بدهی سررسید شده (کیلوگرم)]])</f>
        <v>0</v>
      </c>
      <c r="AE1361" s="6">
        <f ca="1">IF(Main[[#This Row],[مانده در خط سررسید شده (کیلوگرم)]]&lt;&gt;0,Main[[#This Row],[تعداد کل روزهای بدهکار (روز)]],0)</f>
        <v>0</v>
      </c>
      <c r="AF1361" s="6">
        <f ca="1">Main[[#This Row],[تعداد روزهای بدهکار سررسید شده (روز)]]*Main[[#This Row],[مانده در خط سررسید شده (کیلوگرم)]]</f>
        <v>0</v>
      </c>
    </row>
    <row r="1362" spans="1:32" hidden="1" x14ac:dyDescent="0.35">
      <c r="A1362" s="5">
        <f>ROW()-ROW(INDEX(Main[ردیف],1))+1</f>
        <v>1360</v>
      </c>
      <c r="B1362" s="31">
        <f>SUBTOTAL(2,INDEX(Main[ردیف],1):Main[[#This Row],[ردیف]])</f>
        <v>119</v>
      </c>
      <c r="C1362" s="32" t="s">
        <v>647</v>
      </c>
      <c r="D1362" s="32" t="str">
        <f>_xlfn.CONCAT("14",Main[[#This Row],[تاريخ]])</f>
        <v>1400/05/23</v>
      </c>
      <c r="E1362" s="33">
        <v>44422</v>
      </c>
      <c r="F1362" s="32">
        <v>10057</v>
      </c>
      <c r="G1362" s="5" t="str">
        <f>INDEX(customer[عنوان],MATCH(Main[[#This Row],[کد ردیابی]],customer[کد],0))</f>
        <v xml:space="preserve">عبدالله یادگار </v>
      </c>
      <c r="H1362">
        <v>1000</v>
      </c>
      <c r="I1362" s="6">
        <f ca="1">-Main[[#This Row],[بدهی تسویه شده (کیلوگرم)]]+Main[[#This Row],[بستانکار (کیلوگرم)]]</f>
        <v>1000</v>
      </c>
      <c r="J1362" s="6">
        <f>IF(Main[[#This Row],[مقدار (کیلوگرم)]]&gt;0,Main[[#This Row],[مقدار (کیلوگرم)]],0)</f>
        <v>1000</v>
      </c>
      <c r="K1362" s="6">
        <f>-IF(Main[[#This Row],[مقدار (کیلوگرم)]]&lt;0,Main[[#This Row],[مقدار (کیلوگرم)]],0)</f>
        <v>0</v>
      </c>
      <c r="L13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2" s="7">
        <f>-IF(AND(Main[[#This Row],[مقدار (کیلوگرم)]]&lt;0,Main[[#This Row],[تاريخ میلادی]]&gt;44276),Main[[#This Row],[مقدار (کیلوگرم)]],0)</f>
        <v>0</v>
      </c>
      <c r="N1362" s="6">
        <f ca="1">Main[[#This Row],[بدهکار (کیلوگرم)]]-Main[[#This Row],[بدهی تسویه نشده (کیلوگرم)]]</f>
        <v>0</v>
      </c>
      <c r="O1362" s="6">
        <f ca="1">Main[[#This Row],[تفکیک]]</f>
        <v>0</v>
      </c>
      <c r="P1362" s="6">
        <f ca="1">IF(Main[[#This Row],[تاخیر از سررسید]]&gt;0,Main[[#This Row],[بدهی تسویه نشده (کیلوگرم)]],0)</f>
        <v>0</v>
      </c>
      <c r="Q1362" s="6">
        <f ca="1">IF(Main[[#This Row],[بدهی تسویه نشده (کیلوگرم)]]&gt;0,'گزارش فردی'!$B$7-Main[[#This Row],[تاريخ میلادی]],0)</f>
        <v>0</v>
      </c>
      <c r="R1362" s="6">
        <f ca="1">IF(Main[[#This Row],[بدهی تسویه نشده (کیلوگرم)]]&gt;0,'گزارش فردی'!$B$7-Main[[#This Row],[تاريخ میلادی]]-'گزارش فردی'!$B$8,0)</f>
        <v>0</v>
      </c>
      <c r="S1362" s="6">
        <f ca="1">Main[[#This Row],[روز از ارسال سفارش]]*Main[[#This Row],[بدهی تسویه نشده (کیلوگرم)]]</f>
        <v>0</v>
      </c>
      <c r="T1362" s="6">
        <f ca="1">Main[[#This Row],[بدهی سررسید شده (کیلوگرم)]]*Main[[#This Row],[روز از ارسال سفارش]]</f>
        <v>0</v>
      </c>
      <c r="U1362" s="6">
        <f>-SUBTOTAL(9,INDEX(Main[مقدار (کیلوگرم)],1):Main[[#This Row],[مقدار (کیلوگرم)]])</f>
        <v>39382</v>
      </c>
      <c r="V1362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2" s="6">
        <f>Main[[#This Row],[تعداد کل روزهای بدهکار (روز)]]*Main[[#This Row],[مانده در خط کل (کیلوگرم)]]</f>
        <v>315056</v>
      </c>
      <c r="X1362" s="6">
        <f ca="1">-SUBTOTAL(9,INDEX(Main[مقدار تسویه شده (کیلوگرم)],1):Main[[#This Row],[مقدار تسویه شده (کیلوگرم)]])</f>
        <v>39382</v>
      </c>
      <c r="Y1362" s="6">
        <f ca="1">IF(Main[[#This Row],[مانده در خط تسویه شده (کیلوگرم)]]&lt;&gt;0,Main[[#This Row],[تعداد کل روزهای بدهکار (روز)]],0)</f>
        <v>8</v>
      </c>
      <c r="Z1362" s="6">
        <f ca="1">Main[[#This Row],[تعداد روزهای بدهکار تسویه شده (روز)]]*Main[[#This Row],[مانده در خط تسویه شده (کیلوگرم)]]</f>
        <v>315056</v>
      </c>
      <c r="AA1362" s="6">
        <f ca="1">SUBTOTAL(9,INDEX(Main[بدهی تسویه نشده (کیلوگرم)],1):Main[[#This Row],[بدهی تسویه نشده (کیلوگرم)]])</f>
        <v>0</v>
      </c>
      <c r="AB1362" s="6">
        <f ca="1">IF(Main[[#This Row],[مانده در خط تسویه نشده (کیلوگرم)]]&lt;&gt;0,Main[[#This Row],[تعداد کل روزهای بدهکار (روز)]],0)</f>
        <v>0</v>
      </c>
      <c r="AC1362" s="6">
        <f ca="1">Main[[#This Row],[تعداد روزهای بدهکار  تسویه نشده (روز)]]*Main[[#This Row],[مانده در خط تسویه نشده (کیلوگرم)]]</f>
        <v>0</v>
      </c>
      <c r="AD1362" s="6">
        <f ca="1">SUBTOTAL(9,INDEX(Main[بدهی سررسید شده (کیلوگرم)],1):Main[[#This Row],[بدهی سررسید شده (کیلوگرم)]])</f>
        <v>0</v>
      </c>
      <c r="AE1362" s="6">
        <f ca="1">IF(Main[[#This Row],[مانده در خط سررسید شده (کیلوگرم)]]&lt;&gt;0,Main[[#This Row],[تعداد کل روزهای بدهکار (روز)]],0)</f>
        <v>0</v>
      </c>
      <c r="AF1362" s="6">
        <f ca="1">Main[[#This Row],[تعداد روزهای بدهکار سررسید شده (روز)]]*Main[[#This Row],[مانده در خط سررسید شده (کیلوگرم)]]</f>
        <v>0</v>
      </c>
    </row>
    <row r="1363" spans="1:32" hidden="1" x14ac:dyDescent="0.35">
      <c r="A1363" s="5">
        <f>ROW()-ROW(INDEX(Main[ردیف],1))+1</f>
        <v>1361</v>
      </c>
      <c r="B1363" s="31">
        <f>SUBTOTAL(2,INDEX(Main[ردیف],1):Main[[#This Row],[ردیف]])</f>
        <v>119</v>
      </c>
      <c r="C1363" s="32" t="s">
        <v>647</v>
      </c>
      <c r="D1363" s="32" t="str">
        <f>_xlfn.CONCAT("14",Main[[#This Row],[تاريخ]])</f>
        <v>1400/05/23</v>
      </c>
      <c r="E1363" s="33">
        <v>44422</v>
      </c>
      <c r="F1363" s="32">
        <v>10026</v>
      </c>
      <c r="G1363" s="5" t="str">
        <f>INDEX(customer[عنوان],MATCH(Main[[#This Row],[کد ردیابی]],customer[کد],0))</f>
        <v xml:space="preserve">محسن فیاض بخش </v>
      </c>
      <c r="H1363">
        <v>-8146</v>
      </c>
      <c r="I1363" s="6">
        <f ca="1">-Main[[#This Row],[بدهی تسویه شده (کیلوگرم)]]+Main[[#This Row],[بستانکار (کیلوگرم)]]</f>
        <v>-8146</v>
      </c>
      <c r="J1363" s="6">
        <f>IF(Main[[#This Row],[مقدار (کیلوگرم)]]&gt;0,Main[[#This Row],[مقدار (کیلوگرم)]],0)</f>
        <v>0</v>
      </c>
      <c r="K1363" s="6">
        <f>-IF(Main[[#This Row],[مقدار (کیلوگرم)]]&lt;0,Main[[#This Row],[مقدار (کیلوگرم)]],0)</f>
        <v>8146</v>
      </c>
      <c r="L13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3" s="7">
        <f>-IF(AND(Main[[#This Row],[مقدار (کیلوگرم)]]&lt;0,Main[[#This Row],[تاريخ میلادی]]&gt;44276),Main[[#This Row],[مقدار (کیلوگرم)]],0)</f>
        <v>8146</v>
      </c>
      <c r="N1363" s="6">
        <f ca="1">Main[[#This Row],[بدهکار (کیلوگرم)]]-Main[[#This Row],[بدهی تسویه نشده (کیلوگرم)]]</f>
        <v>8146</v>
      </c>
      <c r="O1363" s="6">
        <f ca="1">Main[[#This Row],[تفکیک]]</f>
        <v>0</v>
      </c>
      <c r="P1363" s="6">
        <f ca="1">IF(Main[[#This Row],[تاخیر از سررسید]]&gt;0,Main[[#This Row],[بدهی تسویه نشده (کیلوگرم)]],0)</f>
        <v>0</v>
      </c>
      <c r="Q1363" s="6">
        <f ca="1">IF(Main[[#This Row],[بدهی تسویه نشده (کیلوگرم)]]&gt;0,'گزارش فردی'!$B$7-Main[[#This Row],[تاريخ میلادی]],0)</f>
        <v>0</v>
      </c>
      <c r="R1363" s="6">
        <f ca="1">IF(Main[[#This Row],[بدهی تسویه نشده (کیلوگرم)]]&gt;0,'گزارش فردی'!$B$7-Main[[#This Row],[تاريخ میلادی]]-'گزارش فردی'!$B$8,0)</f>
        <v>0</v>
      </c>
      <c r="S1363" s="6">
        <f ca="1">Main[[#This Row],[روز از ارسال سفارش]]*Main[[#This Row],[بدهی تسویه نشده (کیلوگرم)]]</f>
        <v>0</v>
      </c>
      <c r="T1363" s="6">
        <f ca="1">Main[[#This Row],[بدهی سررسید شده (کیلوگرم)]]*Main[[#This Row],[روز از ارسال سفارش]]</f>
        <v>0</v>
      </c>
      <c r="U1363" s="6">
        <f>-SUBTOTAL(9,INDEX(Main[مقدار (کیلوگرم)],1):Main[[#This Row],[مقدار (کیلوگرم)]])</f>
        <v>39382</v>
      </c>
      <c r="V1363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3" s="6">
        <f>Main[[#This Row],[تعداد کل روزهای بدهکار (روز)]]*Main[[#This Row],[مانده در خط کل (کیلوگرم)]]</f>
        <v>315056</v>
      </c>
      <c r="X1363" s="6">
        <f ca="1">-SUBTOTAL(9,INDEX(Main[مقدار تسویه شده (کیلوگرم)],1):Main[[#This Row],[مقدار تسویه شده (کیلوگرم)]])</f>
        <v>39382</v>
      </c>
      <c r="Y1363" s="6">
        <f ca="1">IF(Main[[#This Row],[مانده در خط تسویه شده (کیلوگرم)]]&lt;&gt;0,Main[[#This Row],[تعداد کل روزهای بدهکار (روز)]],0)</f>
        <v>8</v>
      </c>
      <c r="Z1363" s="6">
        <f ca="1">Main[[#This Row],[تعداد روزهای بدهکار تسویه شده (روز)]]*Main[[#This Row],[مانده در خط تسویه شده (کیلوگرم)]]</f>
        <v>315056</v>
      </c>
      <c r="AA1363" s="6">
        <f ca="1">SUBTOTAL(9,INDEX(Main[بدهی تسویه نشده (کیلوگرم)],1):Main[[#This Row],[بدهی تسویه نشده (کیلوگرم)]])</f>
        <v>0</v>
      </c>
      <c r="AB1363" s="6">
        <f ca="1">IF(Main[[#This Row],[مانده در خط تسویه نشده (کیلوگرم)]]&lt;&gt;0,Main[[#This Row],[تعداد کل روزهای بدهکار (روز)]],0)</f>
        <v>0</v>
      </c>
      <c r="AC1363" s="6">
        <f ca="1">Main[[#This Row],[تعداد روزهای بدهکار  تسویه نشده (روز)]]*Main[[#This Row],[مانده در خط تسویه نشده (کیلوگرم)]]</f>
        <v>0</v>
      </c>
      <c r="AD1363" s="6">
        <f ca="1">SUBTOTAL(9,INDEX(Main[بدهی سررسید شده (کیلوگرم)],1):Main[[#This Row],[بدهی سررسید شده (کیلوگرم)]])</f>
        <v>0</v>
      </c>
      <c r="AE1363" s="6">
        <f ca="1">IF(Main[[#This Row],[مانده در خط سررسید شده (کیلوگرم)]]&lt;&gt;0,Main[[#This Row],[تعداد کل روزهای بدهکار (روز)]],0)</f>
        <v>0</v>
      </c>
      <c r="AF1363" s="6">
        <f ca="1">Main[[#This Row],[تعداد روزهای بدهکار سررسید شده (روز)]]*Main[[#This Row],[مانده در خط سررسید شده (کیلوگرم)]]</f>
        <v>0</v>
      </c>
    </row>
    <row r="1364" spans="1:32" hidden="1" x14ac:dyDescent="0.35">
      <c r="A1364" s="5">
        <f>ROW()-ROW(INDEX(Main[ردیف],1))+1</f>
        <v>1362</v>
      </c>
      <c r="B1364" s="31">
        <f>SUBTOTAL(2,INDEX(Main[ردیف],1):Main[[#This Row],[ردیف]])</f>
        <v>119</v>
      </c>
      <c r="C1364" s="32" t="s">
        <v>647</v>
      </c>
      <c r="D1364" s="32" t="str">
        <f>_xlfn.CONCAT("14",Main[[#This Row],[تاريخ]])</f>
        <v>1400/05/23</v>
      </c>
      <c r="E1364" s="33">
        <v>44422</v>
      </c>
      <c r="F1364" s="32">
        <v>10057</v>
      </c>
      <c r="G1364" s="5" t="str">
        <f>INDEX(customer[عنوان],MATCH(Main[[#This Row],[کد ردیابی]],customer[کد],0))</f>
        <v xml:space="preserve">عبدالله یادگار </v>
      </c>
      <c r="H1364">
        <v>55</v>
      </c>
      <c r="I1364" s="6">
        <f ca="1">-Main[[#This Row],[بدهی تسویه شده (کیلوگرم)]]+Main[[#This Row],[بستانکار (کیلوگرم)]]</f>
        <v>55</v>
      </c>
      <c r="J1364" s="6">
        <f>IF(Main[[#This Row],[مقدار (کیلوگرم)]]&gt;0,Main[[#This Row],[مقدار (کیلوگرم)]],0)</f>
        <v>55</v>
      </c>
      <c r="K1364" s="6">
        <f>-IF(Main[[#This Row],[مقدار (کیلوگرم)]]&lt;0,Main[[#This Row],[مقدار (کیلوگرم)]],0)</f>
        <v>0</v>
      </c>
      <c r="L13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4" s="7">
        <f>-IF(AND(Main[[#This Row],[مقدار (کیلوگرم)]]&lt;0,Main[[#This Row],[تاريخ میلادی]]&gt;44276),Main[[#This Row],[مقدار (کیلوگرم)]],0)</f>
        <v>0</v>
      </c>
      <c r="N1364" s="6">
        <f ca="1">Main[[#This Row],[بدهکار (کیلوگرم)]]-Main[[#This Row],[بدهی تسویه نشده (کیلوگرم)]]</f>
        <v>0</v>
      </c>
      <c r="O1364" s="6">
        <f ca="1">Main[[#This Row],[تفکیک]]</f>
        <v>0</v>
      </c>
      <c r="P1364" s="6">
        <f ca="1">IF(Main[[#This Row],[تاخیر از سررسید]]&gt;0,Main[[#This Row],[بدهی تسویه نشده (کیلوگرم)]],0)</f>
        <v>0</v>
      </c>
      <c r="Q1364" s="6">
        <f ca="1">IF(Main[[#This Row],[بدهی تسویه نشده (کیلوگرم)]]&gt;0,'گزارش فردی'!$B$7-Main[[#This Row],[تاريخ میلادی]],0)</f>
        <v>0</v>
      </c>
      <c r="R1364" s="6">
        <f ca="1">IF(Main[[#This Row],[بدهی تسویه نشده (کیلوگرم)]]&gt;0,'گزارش فردی'!$B$7-Main[[#This Row],[تاريخ میلادی]]-'گزارش فردی'!$B$8,0)</f>
        <v>0</v>
      </c>
      <c r="S1364" s="6">
        <f ca="1">Main[[#This Row],[روز از ارسال سفارش]]*Main[[#This Row],[بدهی تسویه نشده (کیلوگرم)]]</f>
        <v>0</v>
      </c>
      <c r="T1364" s="6">
        <f ca="1">Main[[#This Row],[بدهی سررسید شده (کیلوگرم)]]*Main[[#This Row],[روز از ارسال سفارش]]</f>
        <v>0</v>
      </c>
      <c r="U1364" s="6">
        <f>-SUBTOTAL(9,INDEX(Main[مقدار (کیلوگرم)],1):Main[[#This Row],[مقدار (کیلوگرم)]])</f>
        <v>39382</v>
      </c>
      <c r="V1364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4" s="6">
        <f>Main[[#This Row],[تعداد کل روزهای بدهکار (روز)]]*Main[[#This Row],[مانده در خط کل (کیلوگرم)]]</f>
        <v>315056</v>
      </c>
      <c r="X1364" s="6">
        <f ca="1">-SUBTOTAL(9,INDEX(Main[مقدار تسویه شده (کیلوگرم)],1):Main[[#This Row],[مقدار تسویه شده (کیلوگرم)]])</f>
        <v>39382</v>
      </c>
      <c r="Y1364" s="6">
        <f ca="1">IF(Main[[#This Row],[مانده در خط تسویه شده (کیلوگرم)]]&lt;&gt;0,Main[[#This Row],[تعداد کل روزهای بدهکار (روز)]],0)</f>
        <v>8</v>
      </c>
      <c r="Z1364" s="6">
        <f ca="1">Main[[#This Row],[تعداد روزهای بدهکار تسویه شده (روز)]]*Main[[#This Row],[مانده در خط تسویه شده (کیلوگرم)]]</f>
        <v>315056</v>
      </c>
      <c r="AA1364" s="6">
        <f ca="1">SUBTOTAL(9,INDEX(Main[بدهی تسویه نشده (کیلوگرم)],1):Main[[#This Row],[بدهی تسویه نشده (کیلوگرم)]])</f>
        <v>0</v>
      </c>
      <c r="AB1364" s="6">
        <f ca="1">IF(Main[[#This Row],[مانده در خط تسویه نشده (کیلوگرم)]]&lt;&gt;0,Main[[#This Row],[تعداد کل روزهای بدهکار (روز)]],0)</f>
        <v>0</v>
      </c>
      <c r="AC1364" s="6">
        <f ca="1">Main[[#This Row],[تعداد روزهای بدهکار  تسویه نشده (روز)]]*Main[[#This Row],[مانده در خط تسویه نشده (کیلوگرم)]]</f>
        <v>0</v>
      </c>
      <c r="AD1364" s="6">
        <f ca="1">SUBTOTAL(9,INDEX(Main[بدهی سررسید شده (کیلوگرم)],1):Main[[#This Row],[بدهی سررسید شده (کیلوگرم)]])</f>
        <v>0</v>
      </c>
      <c r="AE1364" s="6">
        <f ca="1">IF(Main[[#This Row],[مانده در خط سررسید شده (کیلوگرم)]]&lt;&gt;0,Main[[#This Row],[تعداد کل روزهای بدهکار (روز)]],0)</f>
        <v>0</v>
      </c>
      <c r="AF1364" s="6">
        <f ca="1">Main[[#This Row],[تعداد روزهای بدهکار سررسید شده (روز)]]*Main[[#This Row],[مانده در خط سررسید شده (کیلوگرم)]]</f>
        <v>0</v>
      </c>
    </row>
    <row r="1365" spans="1:32" hidden="1" x14ac:dyDescent="0.35">
      <c r="A1365" s="5">
        <f>ROW()-ROW(INDEX(Main[ردیف],1))+1</f>
        <v>1363</v>
      </c>
      <c r="B1365" s="31">
        <f>SUBTOTAL(2,INDEX(Main[ردیف],1):Main[[#This Row],[ردیف]])</f>
        <v>119</v>
      </c>
      <c r="C1365" s="32" t="s">
        <v>647</v>
      </c>
      <c r="D1365" s="32" t="str">
        <f>_xlfn.CONCAT("14",Main[[#This Row],[تاريخ]])</f>
        <v>1400/05/23</v>
      </c>
      <c r="E1365" s="33">
        <v>44422</v>
      </c>
      <c r="F1365" s="32">
        <v>10057</v>
      </c>
      <c r="G1365" s="5" t="str">
        <f>INDEX(customer[عنوان],MATCH(Main[[#This Row],[کد ردیابی]],customer[کد],0))</f>
        <v xml:space="preserve">عبدالله یادگار </v>
      </c>
      <c r="H1365">
        <v>-2040</v>
      </c>
      <c r="I1365" s="6">
        <f ca="1">-Main[[#This Row],[بدهی تسویه شده (کیلوگرم)]]+Main[[#This Row],[بستانکار (کیلوگرم)]]</f>
        <v>-2040</v>
      </c>
      <c r="J1365" s="6">
        <f>IF(Main[[#This Row],[مقدار (کیلوگرم)]]&gt;0,Main[[#This Row],[مقدار (کیلوگرم)]],0)</f>
        <v>0</v>
      </c>
      <c r="K1365" s="6">
        <f>-IF(Main[[#This Row],[مقدار (کیلوگرم)]]&lt;0,Main[[#This Row],[مقدار (کیلوگرم)]],0)</f>
        <v>2040</v>
      </c>
      <c r="L13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5" s="7">
        <f>-IF(AND(Main[[#This Row],[مقدار (کیلوگرم)]]&lt;0,Main[[#This Row],[تاريخ میلادی]]&gt;44276),Main[[#This Row],[مقدار (کیلوگرم)]],0)</f>
        <v>2040</v>
      </c>
      <c r="N1365" s="6">
        <f ca="1">Main[[#This Row],[بدهکار (کیلوگرم)]]-Main[[#This Row],[بدهی تسویه نشده (کیلوگرم)]]</f>
        <v>2040</v>
      </c>
      <c r="O1365" s="6">
        <f ca="1">Main[[#This Row],[تفکیک]]</f>
        <v>0</v>
      </c>
      <c r="P1365" s="6">
        <f ca="1">IF(Main[[#This Row],[تاخیر از سررسید]]&gt;0,Main[[#This Row],[بدهی تسویه نشده (کیلوگرم)]],0)</f>
        <v>0</v>
      </c>
      <c r="Q1365" s="6">
        <f ca="1">IF(Main[[#This Row],[بدهی تسویه نشده (کیلوگرم)]]&gt;0,'گزارش فردی'!$B$7-Main[[#This Row],[تاريخ میلادی]],0)</f>
        <v>0</v>
      </c>
      <c r="R1365" s="6">
        <f ca="1">IF(Main[[#This Row],[بدهی تسویه نشده (کیلوگرم)]]&gt;0,'گزارش فردی'!$B$7-Main[[#This Row],[تاريخ میلادی]]-'گزارش فردی'!$B$8,0)</f>
        <v>0</v>
      </c>
      <c r="S1365" s="6">
        <f ca="1">Main[[#This Row],[روز از ارسال سفارش]]*Main[[#This Row],[بدهی تسویه نشده (کیلوگرم)]]</f>
        <v>0</v>
      </c>
      <c r="T1365" s="6">
        <f ca="1">Main[[#This Row],[بدهی سررسید شده (کیلوگرم)]]*Main[[#This Row],[روز از ارسال سفارش]]</f>
        <v>0</v>
      </c>
      <c r="U1365" s="6">
        <f>-SUBTOTAL(9,INDEX(Main[مقدار (کیلوگرم)],1):Main[[#This Row],[مقدار (کیلوگرم)]])</f>
        <v>39382</v>
      </c>
      <c r="V1365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5" s="6">
        <f>Main[[#This Row],[تعداد کل روزهای بدهکار (روز)]]*Main[[#This Row],[مانده در خط کل (کیلوگرم)]]</f>
        <v>315056</v>
      </c>
      <c r="X1365" s="6">
        <f ca="1">-SUBTOTAL(9,INDEX(Main[مقدار تسویه شده (کیلوگرم)],1):Main[[#This Row],[مقدار تسویه شده (کیلوگرم)]])</f>
        <v>39382</v>
      </c>
      <c r="Y1365" s="6">
        <f ca="1">IF(Main[[#This Row],[مانده در خط تسویه شده (کیلوگرم)]]&lt;&gt;0,Main[[#This Row],[تعداد کل روزهای بدهکار (روز)]],0)</f>
        <v>8</v>
      </c>
      <c r="Z1365" s="6">
        <f ca="1">Main[[#This Row],[تعداد روزهای بدهکار تسویه شده (روز)]]*Main[[#This Row],[مانده در خط تسویه شده (کیلوگرم)]]</f>
        <v>315056</v>
      </c>
      <c r="AA1365" s="6">
        <f ca="1">SUBTOTAL(9,INDEX(Main[بدهی تسویه نشده (کیلوگرم)],1):Main[[#This Row],[بدهی تسویه نشده (کیلوگرم)]])</f>
        <v>0</v>
      </c>
      <c r="AB1365" s="6">
        <f ca="1">IF(Main[[#This Row],[مانده در خط تسویه نشده (کیلوگرم)]]&lt;&gt;0,Main[[#This Row],[تعداد کل روزهای بدهکار (روز)]],0)</f>
        <v>0</v>
      </c>
      <c r="AC1365" s="6">
        <f ca="1">Main[[#This Row],[تعداد روزهای بدهکار  تسویه نشده (روز)]]*Main[[#This Row],[مانده در خط تسویه نشده (کیلوگرم)]]</f>
        <v>0</v>
      </c>
      <c r="AD1365" s="6">
        <f ca="1">SUBTOTAL(9,INDEX(Main[بدهی سررسید شده (کیلوگرم)],1):Main[[#This Row],[بدهی سررسید شده (کیلوگرم)]])</f>
        <v>0</v>
      </c>
      <c r="AE1365" s="6">
        <f ca="1">IF(Main[[#This Row],[مانده در خط سررسید شده (کیلوگرم)]]&lt;&gt;0,Main[[#This Row],[تعداد کل روزهای بدهکار (روز)]],0)</f>
        <v>0</v>
      </c>
      <c r="AF1365" s="6">
        <f ca="1">Main[[#This Row],[تعداد روزهای بدهکار سررسید شده (روز)]]*Main[[#This Row],[مانده در خط سررسید شده (کیلوگرم)]]</f>
        <v>0</v>
      </c>
    </row>
    <row r="1366" spans="1:32" hidden="1" x14ac:dyDescent="0.35">
      <c r="A1366" s="5">
        <f>ROW()-ROW(INDEX(Main[ردیف],1))+1</f>
        <v>1364</v>
      </c>
      <c r="B1366" s="31">
        <f>SUBTOTAL(2,INDEX(Main[ردیف],1):Main[[#This Row],[ردیف]])</f>
        <v>119</v>
      </c>
      <c r="C1366" s="32" t="s">
        <v>647</v>
      </c>
      <c r="D1366" s="32" t="str">
        <f>_xlfn.CONCAT("14",Main[[#This Row],[تاريخ]])</f>
        <v>1400/05/23</v>
      </c>
      <c r="E1366" s="33">
        <v>44422</v>
      </c>
      <c r="F1366" s="32">
        <v>30009</v>
      </c>
      <c r="G1366" s="5" t="str">
        <f>INDEX(customer[عنوان],MATCH(Main[[#This Row],[کد ردیابی]],customer[کد],0))</f>
        <v>شرکت ایمن تک پیشرو</v>
      </c>
      <c r="H1366">
        <v>1022</v>
      </c>
      <c r="I1366" s="6">
        <f ca="1">-Main[[#This Row],[بدهی تسویه شده (کیلوگرم)]]+Main[[#This Row],[بستانکار (کیلوگرم)]]</f>
        <v>1022</v>
      </c>
      <c r="J1366" s="6">
        <f>IF(Main[[#This Row],[مقدار (کیلوگرم)]]&gt;0,Main[[#This Row],[مقدار (کیلوگرم)]],0)</f>
        <v>1022</v>
      </c>
      <c r="K1366" s="6">
        <f>-IF(Main[[#This Row],[مقدار (کیلوگرم)]]&lt;0,Main[[#This Row],[مقدار (کیلوگرم)]],0)</f>
        <v>0</v>
      </c>
      <c r="L13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6" s="7">
        <f>-IF(AND(Main[[#This Row],[مقدار (کیلوگرم)]]&lt;0,Main[[#This Row],[تاريخ میلادی]]&gt;44276),Main[[#This Row],[مقدار (کیلوگرم)]],0)</f>
        <v>0</v>
      </c>
      <c r="N1366" s="6">
        <f ca="1">Main[[#This Row],[بدهکار (کیلوگرم)]]-Main[[#This Row],[بدهی تسویه نشده (کیلوگرم)]]</f>
        <v>0</v>
      </c>
      <c r="O1366" s="6">
        <f ca="1">Main[[#This Row],[تفکیک]]</f>
        <v>0</v>
      </c>
      <c r="P1366" s="6">
        <f ca="1">IF(Main[[#This Row],[تاخیر از سررسید]]&gt;0,Main[[#This Row],[بدهی تسویه نشده (کیلوگرم)]],0)</f>
        <v>0</v>
      </c>
      <c r="Q1366" s="6">
        <f ca="1">IF(Main[[#This Row],[بدهی تسویه نشده (کیلوگرم)]]&gt;0,'گزارش فردی'!$B$7-Main[[#This Row],[تاريخ میلادی]],0)</f>
        <v>0</v>
      </c>
      <c r="R1366" s="6">
        <f ca="1">IF(Main[[#This Row],[بدهی تسویه نشده (کیلوگرم)]]&gt;0,'گزارش فردی'!$B$7-Main[[#This Row],[تاريخ میلادی]]-'گزارش فردی'!$B$8,0)</f>
        <v>0</v>
      </c>
      <c r="S1366" s="6">
        <f ca="1">Main[[#This Row],[روز از ارسال سفارش]]*Main[[#This Row],[بدهی تسویه نشده (کیلوگرم)]]</f>
        <v>0</v>
      </c>
      <c r="T1366" s="6">
        <f ca="1">Main[[#This Row],[بدهی سررسید شده (کیلوگرم)]]*Main[[#This Row],[روز از ارسال سفارش]]</f>
        <v>0</v>
      </c>
      <c r="U1366" s="6">
        <f>-SUBTOTAL(9,INDEX(Main[مقدار (کیلوگرم)],1):Main[[#This Row],[مقدار (کیلوگرم)]])</f>
        <v>39382</v>
      </c>
      <c r="V1366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6" s="6">
        <f>Main[[#This Row],[تعداد کل روزهای بدهکار (روز)]]*Main[[#This Row],[مانده در خط کل (کیلوگرم)]]</f>
        <v>315056</v>
      </c>
      <c r="X1366" s="6">
        <f ca="1">-SUBTOTAL(9,INDEX(Main[مقدار تسویه شده (کیلوگرم)],1):Main[[#This Row],[مقدار تسویه شده (کیلوگرم)]])</f>
        <v>39382</v>
      </c>
      <c r="Y1366" s="6">
        <f ca="1">IF(Main[[#This Row],[مانده در خط تسویه شده (کیلوگرم)]]&lt;&gt;0,Main[[#This Row],[تعداد کل روزهای بدهکار (روز)]],0)</f>
        <v>8</v>
      </c>
      <c r="Z1366" s="6">
        <f ca="1">Main[[#This Row],[تعداد روزهای بدهکار تسویه شده (روز)]]*Main[[#This Row],[مانده در خط تسویه شده (کیلوگرم)]]</f>
        <v>315056</v>
      </c>
      <c r="AA1366" s="6">
        <f ca="1">SUBTOTAL(9,INDEX(Main[بدهی تسویه نشده (کیلوگرم)],1):Main[[#This Row],[بدهی تسویه نشده (کیلوگرم)]])</f>
        <v>0</v>
      </c>
      <c r="AB1366" s="6">
        <f ca="1">IF(Main[[#This Row],[مانده در خط تسویه نشده (کیلوگرم)]]&lt;&gt;0,Main[[#This Row],[تعداد کل روزهای بدهکار (روز)]],0)</f>
        <v>0</v>
      </c>
      <c r="AC1366" s="6">
        <f ca="1">Main[[#This Row],[تعداد روزهای بدهکار  تسویه نشده (روز)]]*Main[[#This Row],[مانده در خط تسویه نشده (کیلوگرم)]]</f>
        <v>0</v>
      </c>
      <c r="AD1366" s="6">
        <f ca="1">SUBTOTAL(9,INDEX(Main[بدهی سررسید شده (کیلوگرم)],1):Main[[#This Row],[بدهی سررسید شده (کیلوگرم)]])</f>
        <v>0</v>
      </c>
      <c r="AE1366" s="6">
        <f ca="1">IF(Main[[#This Row],[مانده در خط سررسید شده (کیلوگرم)]]&lt;&gt;0,Main[[#This Row],[تعداد کل روزهای بدهکار (روز)]],0)</f>
        <v>0</v>
      </c>
      <c r="AF1366" s="6">
        <f ca="1">Main[[#This Row],[تعداد روزهای بدهکار سررسید شده (روز)]]*Main[[#This Row],[مانده در خط سررسید شده (کیلوگرم)]]</f>
        <v>0</v>
      </c>
    </row>
    <row r="1367" spans="1:32" hidden="1" x14ac:dyDescent="0.35">
      <c r="A1367" s="5">
        <f>ROW()-ROW(INDEX(Main[ردیف],1))+1</f>
        <v>1365</v>
      </c>
      <c r="B1367" s="31">
        <f>SUBTOTAL(2,INDEX(Main[ردیف],1):Main[[#This Row],[ردیف]])</f>
        <v>119</v>
      </c>
      <c r="C1367" s="32" t="s">
        <v>647</v>
      </c>
      <c r="D1367" s="32" t="str">
        <f>_xlfn.CONCAT("14",Main[[#This Row],[تاريخ]])</f>
        <v>1400/05/23</v>
      </c>
      <c r="E1367" s="33">
        <v>44422</v>
      </c>
      <c r="F1367" s="32">
        <v>10027</v>
      </c>
      <c r="G1367" s="5" t="str">
        <f>INDEX(customer[عنوان],MATCH(Main[[#This Row],[کد ردیابی]],customer[کد],0))</f>
        <v xml:space="preserve">مصطفی نورعلی </v>
      </c>
      <c r="H1367">
        <v>2711</v>
      </c>
      <c r="I1367" s="6">
        <f ca="1">-Main[[#This Row],[بدهی تسویه شده (کیلوگرم)]]+Main[[#This Row],[بستانکار (کیلوگرم)]]</f>
        <v>2711</v>
      </c>
      <c r="J1367" s="6">
        <f>IF(Main[[#This Row],[مقدار (کیلوگرم)]]&gt;0,Main[[#This Row],[مقدار (کیلوگرم)]],0)</f>
        <v>2711</v>
      </c>
      <c r="K1367" s="6">
        <f>-IF(Main[[#This Row],[مقدار (کیلوگرم)]]&lt;0,Main[[#This Row],[مقدار (کیلوگرم)]],0)</f>
        <v>0</v>
      </c>
      <c r="L13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7" s="7">
        <f>-IF(AND(Main[[#This Row],[مقدار (کیلوگرم)]]&lt;0,Main[[#This Row],[تاريخ میلادی]]&gt;44276),Main[[#This Row],[مقدار (کیلوگرم)]],0)</f>
        <v>0</v>
      </c>
      <c r="N1367" s="6">
        <f ca="1">Main[[#This Row],[بدهکار (کیلوگرم)]]-Main[[#This Row],[بدهی تسویه نشده (کیلوگرم)]]</f>
        <v>0</v>
      </c>
      <c r="O1367" s="6">
        <f ca="1">Main[[#This Row],[تفکیک]]</f>
        <v>0</v>
      </c>
      <c r="P1367" s="6">
        <f ca="1">IF(Main[[#This Row],[تاخیر از سررسید]]&gt;0,Main[[#This Row],[بدهی تسویه نشده (کیلوگرم)]],0)</f>
        <v>0</v>
      </c>
      <c r="Q1367" s="6">
        <f ca="1">IF(Main[[#This Row],[بدهی تسویه نشده (کیلوگرم)]]&gt;0,'گزارش فردی'!$B$7-Main[[#This Row],[تاريخ میلادی]],0)</f>
        <v>0</v>
      </c>
      <c r="R1367" s="6">
        <f ca="1">IF(Main[[#This Row],[بدهی تسویه نشده (کیلوگرم)]]&gt;0,'گزارش فردی'!$B$7-Main[[#This Row],[تاريخ میلادی]]-'گزارش فردی'!$B$8,0)</f>
        <v>0</v>
      </c>
      <c r="S1367" s="6">
        <f ca="1">Main[[#This Row],[روز از ارسال سفارش]]*Main[[#This Row],[بدهی تسویه نشده (کیلوگرم)]]</f>
        <v>0</v>
      </c>
      <c r="T1367" s="6">
        <f ca="1">Main[[#This Row],[بدهی سررسید شده (کیلوگرم)]]*Main[[#This Row],[روز از ارسال سفارش]]</f>
        <v>0</v>
      </c>
      <c r="U1367" s="6">
        <f>-SUBTOTAL(9,INDEX(Main[مقدار (کیلوگرم)],1):Main[[#This Row],[مقدار (کیلوگرم)]])</f>
        <v>39382</v>
      </c>
      <c r="V1367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7" s="6">
        <f>Main[[#This Row],[تعداد کل روزهای بدهکار (روز)]]*Main[[#This Row],[مانده در خط کل (کیلوگرم)]]</f>
        <v>315056</v>
      </c>
      <c r="X1367" s="6">
        <f ca="1">-SUBTOTAL(9,INDEX(Main[مقدار تسویه شده (کیلوگرم)],1):Main[[#This Row],[مقدار تسویه شده (کیلوگرم)]])</f>
        <v>39382</v>
      </c>
      <c r="Y1367" s="6">
        <f ca="1">IF(Main[[#This Row],[مانده در خط تسویه شده (کیلوگرم)]]&lt;&gt;0,Main[[#This Row],[تعداد کل روزهای بدهکار (روز)]],0)</f>
        <v>8</v>
      </c>
      <c r="Z1367" s="6">
        <f ca="1">Main[[#This Row],[تعداد روزهای بدهکار تسویه شده (روز)]]*Main[[#This Row],[مانده در خط تسویه شده (کیلوگرم)]]</f>
        <v>315056</v>
      </c>
      <c r="AA1367" s="6">
        <f ca="1">SUBTOTAL(9,INDEX(Main[بدهی تسویه نشده (کیلوگرم)],1):Main[[#This Row],[بدهی تسویه نشده (کیلوگرم)]])</f>
        <v>0</v>
      </c>
      <c r="AB1367" s="6">
        <f ca="1">IF(Main[[#This Row],[مانده در خط تسویه نشده (کیلوگرم)]]&lt;&gt;0,Main[[#This Row],[تعداد کل روزهای بدهکار (روز)]],0)</f>
        <v>0</v>
      </c>
      <c r="AC1367" s="6">
        <f ca="1">Main[[#This Row],[تعداد روزهای بدهکار  تسویه نشده (روز)]]*Main[[#This Row],[مانده در خط تسویه نشده (کیلوگرم)]]</f>
        <v>0</v>
      </c>
      <c r="AD1367" s="6">
        <f ca="1">SUBTOTAL(9,INDEX(Main[بدهی سررسید شده (کیلوگرم)],1):Main[[#This Row],[بدهی سررسید شده (کیلوگرم)]])</f>
        <v>0</v>
      </c>
      <c r="AE1367" s="6">
        <f ca="1">IF(Main[[#This Row],[مانده در خط سررسید شده (کیلوگرم)]]&lt;&gt;0,Main[[#This Row],[تعداد کل روزهای بدهکار (روز)]],0)</f>
        <v>0</v>
      </c>
      <c r="AF1367" s="6">
        <f ca="1">Main[[#This Row],[تعداد روزهای بدهکار سررسید شده (روز)]]*Main[[#This Row],[مانده در خط سررسید شده (کیلوگرم)]]</f>
        <v>0</v>
      </c>
    </row>
    <row r="1368" spans="1:32" hidden="1" x14ac:dyDescent="0.35">
      <c r="A1368" s="5">
        <f>ROW()-ROW(INDEX(Main[ردیف],1))+1</f>
        <v>1366</v>
      </c>
      <c r="B1368" s="31">
        <f>SUBTOTAL(2,INDEX(Main[ردیف],1):Main[[#This Row],[ردیف]])</f>
        <v>119</v>
      </c>
      <c r="C1368" s="32" t="s">
        <v>647</v>
      </c>
      <c r="D1368" s="32" t="str">
        <f>_xlfn.CONCAT("14",Main[[#This Row],[تاريخ]])</f>
        <v>1400/05/23</v>
      </c>
      <c r="E1368" s="33">
        <v>44422</v>
      </c>
      <c r="F1368" s="32">
        <v>10127</v>
      </c>
      <c r="G1368" s="5" t="str">
        <f>INDEX(customer[عنوان],MATCH(Main[[#This Row],[کد ردیابی]],customer[کد],0))</f>
        <v xml:space="preserve">عماد هاشمی </v>
      </c>
      <c r="H1368">
        <v>1118</v>
      </c>
      <c r="I1368" s="6">
        <f ca="1">-Main[[#This Row],[بدهی تسویه شده (کیلوگرم)]]+Main[[#This Row],[بستانکار (کیلوگرم)]]</f>
        <v>1118</v>
      </c>
      <c r="J1368" s="6">
        <f>IF(Main[[#This Row],[مقدار (کیلوگرم)]]&gt;0,Main[[#This Row],[مقدار (کیلوگرم)]],0)</f>
        <v>1118</v>
      </c>
      <c r="K1368" s="6">
        <f>-IF(Main[[#This Row],[مقدار (کیلوگرم)]]&lt;0,Main[[#This Row],[مقدار (کیلوگرم)]],0)</f>
        <v>0</v>
      </c>
      <c r="L13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8" s="7">
        <f>-IF(AND(Main[[#This Row],[مقدار (کیلوگرم)]]&lt;0,Main[[#This Row],[تاريخ میلادی]]&gt;44276),Main[[#This Row],[مقدار (کیلوگرم)]],0)</f>
        <v>0</v>
      </c>
      <c r="N1368" s="6">
        <f ca="1">Main[[#This Row],[بدهکار (کیلوگرم)]]-Main[[#This Row],[بدهی تسویه نشده (کیلوگرم)]]</f>
        <v>0</v>
      </c>
      <c r="O1368" s="6">
        <f ca="1">Main[[#This Row],[تفکیک]]</f>
        <v>0</v>
      </c>
      <c r="P1368" s="6">
        <f ca="1">IF(Main[[#This Row],[تاخیر از سررسید]]&gt;0,Main[[#This Row],[بدهی تسویه نشده (کیلوگرم)]],0)</f>
        <v>0</v>
      </c>
      <c r="Q1368" s="6">
        <f ca="1">IF(Main[[#This Row],[بدهی تسویه نشده (کیلوگرم)]]&gt;0,'گزارش فردی'!$B$7-Main[[#This Row],[تاريخ میلادی]],0)</f>
        <v>0</v>
      </c>
      <c r="R1368" s="6">
        <f ca="1">IF(Main[[#This Row],[بدهی تسویه نشده (کیلوگرم)]]&gt;0,'گزارش فردی'!$B$7-Main[[#This Row],[تاريخ میلادی]]-'گزارش فردی'!$B$8,0)</f>
        <v>0</v>
      </c>
      <c r="S1368" s="6">
        <f ca="1">Main[[#This Row],[روز از ارسال سفارش]]*Main[[#This Row],[بدهی تسویه نشده (کیلوگرم)]]</f>
        <v>0</v>
      </c>
      <c r="T1368" s="6">
        <f ca="1">Main[[#This Row],[بدهی سررسید شده (کیلوگرم)]]*Main[[#This Row],[روز از ارسال سفارش]]</f>
        <v>0</v>
      </c>
      <c r="U1368" s="6">
        <f>-SUBTOTAL(9,INDEX(Main[مقدار (کیلوگرم)],1):Main[[#This Row],[مقدار (کیلوگرم)]])</f>
        <v>39382</v>
      </c>
      <c r="V1368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8" s="6">
        <f>Main[[#This Row],[تعداد کل روزهای بدهکار (روز)]]*Main[[#This Row],[مانده در خط کل (کیلوگرم)]]</f>
        <v>315056</v>
      </c>
      <c r="X1368" s="6">
        <f ca="1">-SUBTOTAL(9,INDEX(Main[مقدار تسویه شده (کیلوگرم)],1):Main[[#This Row],[مقدار تسویه شده (کیلوگرم)]])</f>
        <v>39382</v>
      </c>
      <c r="Y1368" s="6">
        <f ca="1">IF(Main[[#This Row],[مانده در خط تسویه شده (کیلوگرم)]]&lt;&gt;0,Main[[#This Row],[تعداد کل روزهای بدهکار (روز)]],0)</f>
        <v>8</v>
      </c>
      <c r="Z1368" s="6">
        <f ca="1">Main[[#This Row],[تعداد روزهای بدهکار تسویه شده (روز)]]*Main[[#This Row],[مانده در خط تسویه شده (کیلوگرم)]]</f>
        <v>315056</v>
      </c>
      <c r="AA1368" s="6">
        <f ca="1">SUBTOTAL(9,INDEX(Main[بدهی تسویه نشده (کیلوگرم)],1):Main[[#This Row],[بدهی تسویه نشده (کیلوگرم)]])</f>
        <v>0</v>
      </c>
      <c r="AB1368" s="6">
        <f ca="1">IF(Main[[#This Row],[مانده در خط تسویه نشده (کیلوگرم)]]&lt;&gt;0,Main[[#This Row],[تعداد کل روزهای بدهکار (روز)]],0)</f>
        <v>0</v>
      </c>
      <c r="AC1368" s="6">
        <f ca="1">Main[[#This Row],[تعداد روزهای بدهکار  تسویه نشده (روز)]]*Main[[#This Row],[مانده در خط تسویه نشده (کیلوگرم)]]</f>
        <v>0</v>
      </c>
      <c r="AD1368" s="6">
        <f ca="1">SUBTOTAL(9,INDEX(Main[بدهی سررسید شده (کیلوگرم)],1):Main[[#This Row],[بدهی سررسید شده (کیلوگرم)]])</f>
        <v>0</v>
      </c>
      <c r="AE1368" s="6">
        <f ca="1">IF(Main[[#This Row],[مانده در خط سررسید شده (کیلوگرم)]]&lt;&gt;0,Main[[#This Row],[تعداد کل روزهای بدهکار (روز)]],0)</f>
        <v>0</v>
      </c>
      <c r="AF1368" s="6">
        <f ca="1">Main[[#This Row],[تعداد روزهای بدهکار سررسید شده (روز)]]*Main[[#This Row],[مانده در خط سررسید شده (کیلوگرم)]]</f>
        <v>0</v>
      </c>
    </row>
    <row r="1369" spans="1:32" hidden="1" x14ac:dyDescent="0.35">
      <c r="A1369" s="5">
        <f>ROW()-ROW(INDEX(Main[ردیف],1))+1</f>
        <v>1367</v>
      </c>
      <c r="B1369" s="31">
        <f>SUBTOTAL(2,INDEX(Main[ردیف],1):Main[[#This Row],[ردیف]])</f>
        <v>119</v>
      </c>
      <c r="C1369" s="32" t="s">
        <v>648</v>
      </c>
      <c r="D1369" s="32" t="str">
        <f>_xlfn.CONCAT("14",Main[[#This Row],[تاريخ]])</f>
        <v>1400/05/31</v>
      </c>
      <c r="E1369" s="33">
        <v>44430</v>
      </c>
      <c r="F1369" s="32">
        <v>30081</v>
      </c>
      <c r="G1369" s="5" t="str">
        <f>INDEX(customer[عنوان],MATCH(Main[[#This Row],[کد ردیابی]],customer[کد],0))</f>
        <v xml:space="preserve">شیرآلات بهداشتی راسان </v>
      </c>
      <c r="H1369">
        <v>-3959</v>
      </c>
      <c r="I1369" s="6">
        <f ca="1">-Main[[#This Row],[بدهی تسویه شده (کیلوگرم)]]+Main[[#This Row],[بستانکار (کیلوگرم)]]</f>
        <v>-3959</v>
      </c>
      <c r="J1369" s="6">
        <f>IF(Main[[#This Row],[مقدار (کیلوگرم)]]&gt;0,Main[[#This Row],[مقدار (کیلوگرم)]],0)</f>
        <v>0</v>
      </c>
      <c r="K1369" s="6">
        <f>-IF(Main[[#This Row],[مقدار (کیلوگرم)]]&lt;0,Main[[#This Row],[مقدار (کیلوگرم)]],0)</f>
        <v>3959</v>
      </c>
      <c r="L13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9" s="7">
        <f>-IF(AND(Main[[#This Row],[مقدار (کیلوگرم)]]&lt;0,Main[[#This Row],[تاريخ میلادی]]&gt;44276),Main[[#This Row],[مقدار (کیلوگرم)]],0)</f>
        <v>3959</v>
      </c>
      <c r="N1369" s="6">
        <f ca="1">Main[[#This Row],[بدهکار (کیلوگرم)]]-Main[[#This Row],[بدهی تسویه نشده (کیلوگرم)]]</f>
        <v>3959</v>
      </c>
      <c r="O1369" s="6">
        <f ca="1">Main[[#This Row],[تفکیک]]</f>
        <v>0</v>
      </c>
      <c r="P1369" s="6">
        <f ca="1">IF(Main[[#This Row],[تاخیر از سررسید]]&gt;0,Main[[#This Row],[بدهی تسویه نشده (کیلوگرم)]],0)</f>
        <v>0</v>
      </c>
      <c r="Q1369" s="6">
        <f ca="1">IF(Main[[#This Row],[بدهی تسویه نشده (کیلوگرم)]]&gt;0,'گزارش فردی'!$B$7-Main[[#This Row],[تاريخ میلادی]],0)</f>
        <v>0</v>
      </c>
      <c r="R1369" s="6">
        <f ca="1">IF(Main[[#This Row],[بدهی تسویه نشده (کیلوگرم)]]&gt;0,'گزارش فردی'!$B$7-Main[[#This Row],[تاريخ میلادی]]-'گزارش فردی'!$B$8,0)</f>
        <v>0</v>
      </c>
      <c r="S1369" s="6">
        <f ca="1">Main[[#This Row],[روز از ارسال سفارش]]*Main[[#This Row],[بدهی تسویه نشده (کیلوگرم)]]</f>
        <v>0</v>
      </c>
      <c r="T1369" s="6">
        <f ca="1">Main[[#This Row],[بدهی سررسید شده (کیلوگرم)]]*Main[[#This Row],[روز از ارسال سفارش]]</f>
        <v>0</v>
      </c>
      <c r="U1369" s="6">
        <f>-SUBTOTAL(9,INDEX(Main[مقدار (کیلوگرم)],1):Main[[#This Row],[مقدار (کیلوگرم)]])</f>
        <v>39382</v>
      </c>
      <c r="V13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69" s="6">
        <f>Main[[#This Row],[تعداد کل روزهای بدهکار (روز)]]*Main[[#This Row],[مانده در خط کل (کیلوگرم)]]</f>
        <v>0</v>
      </c>
      <c r="X1369" s="6">
        <f ca="1">-SUBTOTAL(9,INDEX(Main[مقدار تسویه شده (کیلوگرم)],1):Main[[#This Row],[مقدار تسویه شده (کیلوگرم)]])</f>
        <v>39382</v>
      </c>
      <c r="Y1369" s="6">
        <f ca="1">IF(Main[[#This Row],[مانده در خط تسویه شده (کیلوگرم)]]&lt;&gt;0,Main[[#This Row],[تعداد کل روزهای بدهکار (روز)]],0)</f>
        <v>0</v>
      </c>
      <c r="Z1369" s="6">
        <f ca="1">Main[[#This Row],[تعداد روزهای بدهکار تسویه شده (روز)]]*Main[[#This Row],[مانده در خط تسویه شده (کیلوگرم)]]</f>
        <v>0</v>
      </c>
      <c r="AA1369" s="6">
        <f ca="1">SUBTOTAL(9,INDEX(Main[بدهی تسویه نشده (کیلوگرم)],1):Main[[#This Row],[بدهی تسویه نشده (کیلوگرم)]])</f>
        <v>0</v>
      </c>
      <c r="AB1369" s="6">
        <f ca="1">IF(Main[[#This Row],[مانده در خط تسویه نشده (کیلوگرم)]]&lt;&gt;0,Main[[#This Row],[تعداد کل روزهای بدهکار (روز)]],0)</f>
        <v>0</v>
      </c>
      <c r="AC1369" s="6">
        <f ca="1">Main[[#This Row],[تعداد روزهای بدهکار  تسویه نشده (روز)]]*Main[[#This Row],[مانده در خط تسویه نشده (کیلوگرم)]]</f>
        <v>0</v>
      </c>
      <c r="AD1369" s="6">
        <f ca="1">SUBTOTAL(9,INDEX(Main[بدهی سررسید شده (کیلوگرم)],1):Main[[#This Row],[بدهی سررسید شده (کیلوگرم)]])</f>
        <v>0</v>
      </c>
      <c r="AE1369" s="6">
        <f ca="1">IF(Main[[#This Row],[مانده در خط سررسید شده (کیلوگرم)]]&lt;&gt;0,Main[[#This Row],[تعداد کل روزهای بدهکار (روز)]],0)</f>
        <v>0</v>
      </c>
      <c r="AF1369" s="6">
        <f ca="1">Main[[#This Row],[تعداد روزهای بدهکار سررسید شده (روز)]]*Main[[#This Row],[مانده در خط سررسید شده (کیلوگرم)]]</f>
        <v>0</v>
      </c>
    </row>
    <row r="1370" spans="1:32" hidden="1" x14ac:dyDescent="0.35">
      <c r="A1370" s="5">
        <f>ROW()-ROW(INDEX(Main[ردیف],1))+1</f>
        <v>1368</v>
      </c>
      <c r="B1370" s="31">
        <f>SUBTOTAL(2,INDEX(Main[ردیف],1):Main[[#This Row],[ردیف]])</f>
        <v>119</v>
      </c>
      <c r="C1370" s="32" t="s">
        <v>648</v>
      </c>
      <c r="D1370" s="32" t="str">
        <f>_xlfn.CONCAT("14",Main[[#This Row],[تاريخ]])</f>
        <v>1400/05/31</v>
      </c>
      <c r="E1370" s="33">
        <v>44430</v>
      </c>
      <c r="F1370" s="32">
        <v>30066</v>
      </c>
      <c r="G1370" s="5" t="str">
        <f>INDEX(customer[عنوان],MATCH(Main[[#This Row],[کد ردیابی]],customer[کد],0))</f>
        <v xml:space="preserve">شیر آلات بهداشتی قهرمان </v>
      </c>
      <c r="H1370">
        <v>10685</v>
      </c>
      <c r="I1370" s="6">
        <f ca="1">-Main[[#This Row],[بدهی تسویه شده (کیلوگرم)]]+Main[[#This Row],[بستانکار (کیلوگرم)]]</f>
        <v>10685</v>
      </c>
      <c r="J1370" s="6">
        <f>IF(Main[[#This Row],[مقدار (کیلوگرم)]]&gt;0,Main[[#This Row],[مقدار (کیلوگرم)]],0)</f>
        <v>10685</v>
      </c>
      <c r="K1370" s="6">
        <f>-IF(Main[[#This Row],[مقدار (کیلوگرم)]]&lt;0,Main[[#This Row],[مقدار (کیلوگرم)]],0)</f>
        <v>0</v>
      </c>
      <c r="L13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0" s="7">
        <f>-IF(AND(Main[[#This Row],[مقدار (کیلوگرم)]]&lt;0,Main[[#This Row],[تاريخ میلادی]]&gt;44276),Main[[#This Row],[مقدار (کیلوگرم)]],0)</f>
        <v>0</v>
      </c>
      <c r="N1370" s="6">
        <f ca="1">Main[[#This Row],[بدهکار (کیلوگرم)]]-Main[[#This Row],[بدهی تسویه نشده (کیلوگرم)]]</f>
        <v>0</v>
      </c>
      <c r="O1370" s="6">
        <f ca="1">Main[[#This Row],[تفکیک]]</f>
        <v>0</v>
      </c>
      <c r="P1370" s="6">
        <f ca="1">IF(Main[[#This Row],[تاخیر از سررسید]]&gt;0,Main[[#This Row],[بدهی تسویه نشده (کیلوگرم)]],0)</f>
        <v>0</v>
      </c>
      <c r="Q1370" s="6">
        <f ca="1">IF(Main[[#This Row],[بدهی تسویه نشده (کیلوگرم)]]&gt;0,'گزارش فردی'!$B$7-Main[[#This Row],[تاريخ میلادی]],0)</f>
        <v>0</v>
      </c>
      <c r="R1370" s="6">
        <f ca="1">IF(Main[[#This Row],[بدهی تسویه نشده (کیلوگرم)]]&gt;0,'گزارش فردی'!$B$7-Main[[#This Row],[تاريخ میلادی]]-'گزارش فردی'!$B$8,0)</f>
        <v>0</v>
      </c>
      <c r="S1370" s="6">
        <f ca="1">Main[[#This Row],[روز از ارسال سفارش]]*Main[[#This Row],[بدهی تسویه نشده (کیلوگرم)]]</f>
        <v>0</v>
      </c>
      <c r="T1370" s="6">
        <f ca="1">Main[[#This Row],[بدهی سررسید شده (کیلوگرم)]]*Main[[#This Row],[روز از ارسال سفارش]]</f>
        <v>0</v>
      </c>
      <c r="U1370" s="6">
        <f>-SUBTOTAL(9,INDEX(Main[مقدار (کیلوگرم)],1):Main[[#This Row],[مقدار (کیلوگرم)]])</f>
        <v>39382</v>
      </c>
      <c r="V13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70" s="6">
        <f>Main[[#This Row],[تعداد کل روزهای بدهکار (روز)]]*Main[[#This Row],[مانده در خط کل (کیلوگرم)]]</f>
        <v>0</v>
      </c>
      <c r="X1370" s="6">
        <f ca="1">-SUBTOTAL(9,INDEX(Main[مقدار تسویه شده (کیلوگرم)],1):Main[[#This Row],[مقدار تسویه شده (کیلوگرم)]])</f>
        <v>39382</v>
      </c>
      <c r="Y1370" s="6">
        <f ca="1">IF(Main[[#This Row],[مانده در خط تسویه شده (کیلوگرم)]]&lt;&gt;0,Main[[#This Row],[تعداد کل روزهای بدهکار (روز)]],0)</f>
        <v>0</v>
      </c>
      <c r="Z1370" s="6">
        <f ca="1">Main[[#This Row],[تعداد روزهای بدهکار تسویه شده (روز)]]*Main[[#This Row],[مانده در خط تسویه شده (کیلوگرم)]]</f>
        <v>0</v>
      </c>
      <c r="AA1370" s="6">
        <f ca="1">SUBTOTAL(9,INDEX(Main[بدهی تسویه نشده (کیلوگرم)],1):Main[[#This Row],[بدهی تسویه نشده (کیلوگرم)]])</f>
        <v>0</v>
      </c>
      <c r="AB1370" s="6">
        <f ca="1">IF(Main[[#This Row],[مانده در خط تسویه نشده (کیلوگرم)]]&lt;&gt;0,Main[[#This Row],[تعداد کل روزهای بدهکار (روز)]],0)</f>
        <v>0</v>
      </c>
      <c r="AC1370" s="6">
        <f ca="1">Main[[#This Row],[تعداد روزهای بدهکار  تسویه نشده (روز)]]*Main[[#This Row],[مانده در خط تسویه نشده (کیلوگرم)]]</f>
        <v>0</v>
      </c>
      <c r="AD1370" s="6">
        <f ca="1">SUBTOTAL(9,INDEX(Main[بدهی سررسید شده (کیلوگرم)],1):Main[[#This Row],[بدهی سررسید شده (کیلوگرم)]])</f>
        <v>0</v>
      </c>
      <c r="AE1370" s="6">
        <f ca="1">IF(Main[[#This Row],[مانده در خط سررسید شده (کیلوگرم)]]&lt;&gt;0,Main[[#This Row],[تعداد کل روزهای بدهکار (روز)]],0)</f>
        <v>0</v>
      </c>
      <c r="AF1370" s="6">
        <f ca="1">Main[[#This Row],[تعداد روزهای بدهکار سررسید شده (روز)]]*Main[[#This Row],[مانده در خط سررسید شده (کیلوگرم)]]</f>
        <v>0</v>
      </c>
    </row>
    <row r="1371" spans="1:32" hidden="1" x14ac:dyDescent="0.35">
      <c r="A1371" s="5">
        <f>ROW()-ROW(INDEX(Main[ردیف],1))+1</f>
        <v>1369</v>
      </c>
      <c r="B1371" s="31">
        <f>SUBTOTAL(2,INDEX(Main[ردیف],1):Main[[#This Row],[ردیف]])</f>
        <v>119</v>
      </c>
      <c r="C1371" s="32" t="s">
        <v>648</v>
      </c>
      <c r="D1371" s="32" t="str">
        <f>_xlfn.CONCAT("14",Main[[#This Row],[تاريخ]])</f>
        <v>1400/05/31</v>
      </c>
      <c r="E1371" s="33">
        <v>44430</v>
      </c>
      <c r="F1371" s="32">
        <v>10027</v>
      </c>
      <c r="G1371" s="5" t="str">
        <f>INDEX(customer[عنوان],MATCH(Main[[#This Row],[کد ردیابی]],customer[کد],0))</f>
        <v xml:space="preserve">مصطفی نورعلی </v>
      </c>
      <c r="H1371">
        <v>-7000</v>
      </c>
      <c r="I1371" s="6">
        <f ca="1">-Main[[#This Row],[بدهی تسویه شده (کیلوگرم)]]+Main[[#This Row],[بستانکار (کیلوگرم)]]</f>
        <v>-7000</v>
      </c>
      <c r="J1371" s="6">
        <f>IF(Main[[#This Row],[مقدار (کیلوگرم)]]&gt;0,Main[[#This Row],[مقدار (کیلوگرم)]],0)</f>
        <v>0</v>
      </c>
      <c r="K1371" s="6">
        <f>-IF(Main[[#This Row],[مقدار (کیلوگرم)]]&lt;0,Main[[#This Row],[مقدار (کیلوگرم)]],0)</f>
        <v>7000</v>
      </c>
      <c r="L13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1" s="7">
        <f>-IF(AND(Main[[#This Row],[مقدار (کیلوگرم)]]&lt;0,Main[[#This Row],[تاريخ میلادی]]&gt;44276),Main[[#This Row],[مقدار (کیلوگرم)]],0)</f>
        <v>7000</v>
      </c>
      <c r="N1371" s="6">
        <f ca="1">Main[[#This Row],[بدهکار (کیلوگرم)]]-Main[[#This Row],[بدهی تسویه نشده (کیلوگرم)]]</f>
        <v>7000</v>
      </c>
      <c r="O1371" s="6">
        <f ca="1">Main[[#This Row],[تفکیک]]</f>
        <v>0</v>
      </c>
      <c r="P1371" s="6">
        <f ca="1">IF(Main[[#This Row],[تاخیر از سررسید]]&gt;0,Main[[#This Row],[بدهی تسویه نشده (کیلوگرم)]],0)</f>
        <v>0</v>
      </c>
      <c r="Q1371" s="6">
        <f ca="1">IF(Main[[#This Row],[بدهی تسویه نشده (کیلوگرم)]]&gt;0,'گزارش فردی'!$B$7-Main[[#This Row],[تاريخ میلادی]],0)</f>
        <v>0</v>
      </c>
      <c r="R1371" s="6">
        <f ca="1">IF(Main[[#This Row],[بدهی تسویه نشده (کیلوگرم)]]&gt;0,'گزارش فردی'!$B$7-Main[[#This Row],[تاريخ میلادی]]-'گزارش فردی'!$B$8,0)</f>
        <v>0</v>
      </c>
      <c r="S1371" s="6">
        <f ca="1">Main[[#This Row],[روز از ارسال سفارش]]*Main[[#This Row],[بدهی تسویه نشده (کیلوگرم)]]</f>
        <v>0</v>
      </c>
      <c r="T1371" s="6">
        <f ca="1">Main[[#This Row],[بدهی سررسید شده (کیلوگرم)]]*Main[[#This Row],[روز از ارسال سفارش]]</f>
        <v>0</v>
      </c>
      <c r="U1371" s="6">
        <f>-SUBTOTAL(9,INDEX(Main[مقدار (کیلوگرم)],1):Main[[#This Row],[مقدار (کیلوگرم)]])</f>
        <v>39382</v>
      </c>
      <c r="V13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71" s="6">
        <f>Main[[#This Row],[تعداد کل روزهای بدهکار (روز)]]*Main[[#This Row],[مانده در خط کل (کیلوگرم)]]</f>
        <v>0</v>
      </c>
      <c r="X1371" s="6">
        <f ca="1">-SUBTOTAL(9,INDEX(Main[مقدار تسویه شده (کیلوگرم)],1):Main[[#This Row],[مقدار تسویه شده (کیلوگرم)]])</f>
        <v>39382</v>
      </c>
      <c r="Y1371" s="6">
        <f ca="1">IF(Main[[#This Row],[مانده در خط تسویه شده (کیلوگرم)]]&lt;&gt;0,Main[[#This Row],[تعداد کل روزهای بدهکار (روز)]],0)</f>
        <v>0</v>
      </c>
      <c r="Z1371" s="6">
        <f ca="1">Main[[#This Row],[تعداد روزهای بدهکار تسویه شده (روز)]]*Main[[#This Row],[مانده در خط تسویه شده (کیلوگرم)]]</f>
        <v>0</v>
      </c>
      <c r="AA1371" s="6">
        <f ca="1">SUBTOTAL(9,INDEX(Main[بدهی تسویه نشده (کیلوگرم)],1):Main[[#This Row],[بدهی تسویه نشده (کیلوگرم)]])</f>
        <v>0</v>
      </c>
      <c r="AB1371" s="6">
        <f ca="1">IF(Main[[#This Row],[مانده در خط تسویه نشده (کیلوگرم)]]&lt;&gt;0,Main[[#This Row],[تعداد کل روزهای بدهکار (روز)]],0)</f>
        <v>0</v>
      </c>
      <c r="AC1371" s="6">
        <f ca="1">Main[[#This Row],[تعداد روزهای بدهکار  تسویه نشده (روز)]]*Main[[#This Row],[مانده در خط تسویه نشده (کیلوگرم)]]</f>
        <v>0</v>
      </c>
      <c r="AD1371" s="6">
        <f ca="1">SUBTOTAL(9,INDEX(Main[بدهی سررسید شده (کیلوگرم)],1):Main[[#This Row],[بدهی سررسید شده (کیلوگرم)]])</f>
        <v>0</v>
      </c>
      <c r="AE1371" s="6">
        <f ca="1">IF(Main[[#This Row],[مانده در خط سررسید شده (کیلوگرم)]]&lt;&gt;0,Main[[#This Row],[تعداد کل روزهای بدهکار (روز)]],0)</f>
        <v>0</v>
      </c>
      <c r="AF1371" s="6">
        <f ca="1">Main[[#This Row],[تعداد روزهای بدهکار سررسید شده (روز)]]*Main[[#This Row],[مانده در خط سررسید شده (کیلوگرم)]]</f>
        <v>0</v>
      </c>
    </row>
    <row r="1372" spans="1:32" x14ac:dyDescent="0.35">
      <c r="A1372" s="5">
        <f>ROW()-ROW(INDEX(Main[ردیف],1))+1</f>
        <v>1370</v>
      </c>
      <c r="B1372" s="31">
        <f>SUBTOTAL(2,INDEX(Main[ردیف],1):Main[[#This Row],[ردیف]])</f>
        <v>120</v>
      </c>
      <c r="C1372" s="32" t="s">
        <v>648</v>
      </c>
      <c r="D1372" s="32" t="str">
        <f>_xlfn.CONCAT("14",Main[[#This Row],[تاريخ]])</f>
        <v>1400/05/31</v>
      </c>
      <c r="E1372" s="33">
        <v>44430</v>
      </c>
      <c r="F1372" s="32">
        <v>10003</v>
      </c>
      <c r="G1372" s="5" t="str">
        <f>INDEX(customer[عنوان],MATCH(Main[[#This Row],[کد ردیابی]],customer[کد],0))</f>
        <v>اصغر نورعلی</v>
      </c>
      <c r="H1372">
        <v>7000</v>
      </c>
      <c r="I1372" s="6">
        <f ca="1">-Main[[#This Row],[بدهی تسویه شده (کیلوگرم)]]+Main[[#This Row],[بستانکار (کیلوگرم)]]</f>
        <v>7000</v>
      </c>
      <c r="J1372" s="6">
        <f>IF(Main[[#This Row],[مقدار (کیلوگرم)]]&gt;0,Main[[#This Row],[مقدار (کیلوگرم)]],0)</f>
        <v>7000</v>
      </c>
      <c r="K1372" s="6">
        <f>-IF(Main[[#This Row],[مقدار (کیلوگرم)]]&lt;0,Main[[#This Row],[مقدار (کیلوگرم)]],0)</f>
        <v>0</v>
      </c>
      <c r="L13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2" s="7">
        <f>-IF(AND(Main[[#This Row],[مقدار (کیلوگرم)]]&lt;0,Main[[#This Row],[تاريخ میلادی]]&gt;44276),Main[[#This Row],[مقدار (کیلوگرم)]],0)</f>
        <v>0</v>
      </c>
      <c r="N1372" s="6">
        <f ca="1">Main[[#This Row],[بدهکار (کیلوگرم)]]-Main[[#This Row],[بدهی تسویه نشده (کیلوگرم)]]</f>
        <v>0</v>
      </c>
      <c r="O1372" s="6">
        <f ca="1">Main[[#This Row],[تفکیک]]</f>
        <v>0</v>
      </c>
      <c r="P1372" s="6">
        <f ca="1">IF(Main[[#This Row],[تاخیر از سررسید]]&gt;0,Main[[#This Row],[بدهی تسویه نشده (کیلوگرم)]],0)</f>
        <v>0</v>
      </c>
      <c r="Q1372" s="6">
        <f ca="1">IF(Main[[#This Row],[بدهی تسویه نشده (کیلوگرم)]]&gt;0,'گزارش فردی'!$B$7-Main[[#This Row],[تاريخ میلادی]],0)</f>
        <v>0</v>
      </c>
      <c r="R1372" s="6">
        <f ca="1">IF(Main[[#This Row],[بدهی تسویه نشده (کیلوگرم)]]&gt;0,'گزارش فردی'!$B$7-Main[[#This Row],[تاريخ میلادی]]-'گزارش فردی'!$B$8,0)</f>
        <v>0</v>
      </c>
      <c r="S1372" s="6">
        <f ca="1">Main[[#This Row],[روز از ارسال سفارش]]*Main[[#This Row],[بدهی تسویه نشده (کیلوگرم)]]</f>
        <v>0</v>
      </c>
      <c r="T1372" s="6">
        <f ca="1">Main[[#This Row],[بدهی سررسید شده (کیلوگرم)]]*Main[[#This Row],[روز از ارسال سفارش]]</f>
        <v>0</v>
      </c>
      <c r="U1372" s="6">
        <f>-SUBTOTAL(9,INDEX(Main[مقدار (کیلوگرم)],1):Main[[#This Row],[مقدار (کیلوگرم)]])</f>
        <v>32382</v>
      </c>
      <c r="V13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2" s="6">
        <f>Main[[#This Row],[تعداد کل روزهای بدهکار (روز)]]*Main[[#This Row],[مانده در خط کل (کیلوگرم)]]</f>
        <v>32382</v>
      </c>
      <c r="X1372" s="6">
        <f ca="1">-SUBTOTAL(9,INDEX(Main[مقدار تسویه شده (کیلوگرم)],1):Main[[#This Row],[مقدار تسویه شده (کیلوگرم)]])</f>
        <v>32382</v>
      </c>
      <c r="Y1372" s="6">
        <f ca="1">IF(Main[[#This Row],[مانده در خط تسویه شده (کیلوگرم)]]&lt;&gt;0,Main[[#This Row],[تعداد کل روزهای بدهکار (روز)]],0)</f>
        <v>1</v>
      </c>
      <c r="Z1372" s="6">
        <f ca="1">Main[[#This Row],[تعداد روزهای بدهکار تسویه شده (روز)]]*Main[[#This Row],[مانده در خط تسویه شده (کیلوگرم)]]</f>
        <v>32382</v>
      </c>
      <c r="AA1372" s="6">
        <f ca="1">SUBTOTAL(9,INDEX(Main[بدهی تسویه نشده (کیلوگرم)],1):Main[[#This Row],[بدهی تسویه نشده (کیلوگرم)]])</f>
        <v>0</v>
      </c>
      <c r="AB1372" s="6">
        <f ca="1">IF(Main[[#This Row],[مانده در خط تسویه نشده (کیلوگرم)]]&lt;&gt;0,Main[[#This Row],[تعداد کل روزهای بدهکار (روز)]],0)</f>
        <v>0</v>
      </c>
      <c r="AC1372" s="6">
        <f ca="1">Main[[#This Row],[تعداد روزهای بدهکار  تسویه نشده (روز)]]*Main[[#This Row],[مانده در خط تسویه نشده (کیلوگرم)]]</f>
        <v>0</v>
      </c>
      <c r="AD1372" s="6">
        <f ca="1">SUBTOTAL(9,INDEX(Main[بدهی سررسید شده (کیلوگرم)],1):Main[[#This Row],[بدهی سررسید شده (کیلوگرم)]])</f>
        <v>0</v>
      </c>
      <c r="AE1372" s="6">
        <f ca="1">IF(Main[[#This Row],[مانده در خط سررسید شده (کیلوگرم)]]&lt;&gt;0,Main[[#This Row],[تعداد کل روزهای بدهکار (روز)]],0)</f>
        <v>0</v>
      </c>
      <c r="AF1372" s="6">
        <f ca="1">Main[[#This Row],[تعداد روزهای بدهکار سررسید شده (روز)]]*Main[[#This Row],[مانده در خط سررسید شده (کیلوگرم)]]</f>
        <v>0</v>
      </c>
    </row>
    <row r="1373" spans="1:32" hidden="1" x14ac:dyDescent="0.35">
      <c r="A1373" s="5">
        <f>ROW()-ROW(INDEX(Main[ردیف],1))+1</f>
        <v>1371</v>
      </c>
      <c r="B1373" s="31">
        <f>SUBTOTAL(2,INDEX(Main[ردیف],1):Main[[#This Row],[ردیف]])</f>
        <v>120</v>
      </c>
      <c r="C1373" s="32" t="s">
        <v>648</v>
      </c>
      <c r="D1373" s="32" t="str">
        <f>_xlfn.CONCAT("14",Main[[#This Row],[تاريخ]])</f>
        <v>1400/05/31</v>
      </c>
      <c r="E1373" s="33">
        <v>44430</v>
      </c>
      <c r="F1373" s="32">
        <v>30066</v>
      </c>
      <c r="G1373" s="5" t="str">
        <f>INDEX(customer[عنوان],MATCH(Main[[#This Row],[کد ردیابی]],customer[کد],0))</f>
        <v xml:space="preserve">شیر آلات بهداشتی قهرمان </v>
      </c>
      <c r="H1373">
        <v>-3828</v>
      </c>
      <c r="I1373" s="6">
        <f ca="1">-Main[[#This Row],[بدهی تسویه شده (کیلوگرم)]]+Main[[#This Row],[بستانکار (کیلوگرم)]]</f>
        <v>-3828</v>
      </c>
      <c r="J1373" s="6">
        <f>IF(Main[[#This Row],[مقدار (کیلوگرم)]]&gt;0,Main[[#This Row],[مقدار (کیلوگرم)]],0)</f>
        <v>0</v>
      </c>
      <c r="K1373" s="6">
        <f>-IF(Main[[#This Row],[مقدار (کیلوگرم)]]&lt;0,Main[[#This Row],[مقدار (کیلوگرم)]],0)</f>
        <v>3828</v>
      </c>
      <c r="L13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3" s="7">
        <f>-IF(AND(Main[[#This Row],[مقدار (کیلوگرم)]]&lt;0,Main[[#This Row],[تاريخ میلادی]]&gt;44276),Main[[#This Row],[مقدار (کیلوگرم)]],0)</f>
        <v>3828</v>
      </c>
      <c r="N1373" s="6">
        <f ca="1">Main[[#This Row],[بدهکار (کیلوگرم)]]-Main[[#This Row],[بدهی تسویه نشده (کیلوگرم)]]</f>
        <v>3828</v>
      </c>
      <c r="O1373" s="6">
        <f ca="1">Main[[#This Row],[تفکیک]]</f>
        <v>0</v>
      </c>
      <c r="P1373" s="6">
        <f ca="1">IF(Main[[#This Row],[تاخیر از سررسید]]&gt;0,Main[[#This Row],[بدهی تسویه نشده (کیلوگرم)]],0)</f>
        <v>0</v>
      </c>
      <c r="Q1373" s="6">
        <f ca="1">IF(Main[[#This Row],[بدهی تسویه نشده (کیلوگرم)]]&gt;0,'گزارش فردی'!$B$7-Main[[#This Row],[تاريخ میلادی]],0)</f>
        <v>0</v>
      </c>
      <c r="R1373" s="6">
        <f ca="1">IF(Main[[#This Row],[بدهی تسویه نشده (کیلوگرم)]]&gt;0,'گزارش فردی'!$B$7-Main[[#This Row],[تاريخ میلادی]]-'گزارش فردی'!$B$8,0)</f>
        <v>0</v>
      </c>
      <c r="S1373" s="6">
        <f ca="1">Main[[#This Row],[روز از ارسال سفارش]]*Main[[#This Row],[بدهی تسویه نشده (کیلوگرم)]]</f>
        <v>0</v>
      </c>
      <c r="T1373" s="6">
        <f ca="1">Main[[#This Row],[بدهی سررسید شده (کیلوگرم)]]*Main[[#This Row],[روز از ارسال سفارش]]</f>
        <v>0</v>
      </c>
      <c r="U1373" s="6">
        <f>-SUBTOTAL(9,INDEX(Main[مقدار (کیلوگرم)],1):Main[[#This Row],[مقدار (کیلوگرم)]])</f>
        <v>32382</v>
      </c>
      <c r="V13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3" s="6">
        <f>Main[[#This Row],[تعداد کل روزهای بدهکار (روز)]]*Main[[#This Row],[مانده در خط کل (کیلوگرم)]]</f>
        <v>32382</v>
      </c>
      <c r="X1373" s="6">
        <f ca="1">-SUBTOTAL(9,INDEX(Main[مقدار تسویه شده (کیلوگرم)],1):Main[[#This Row],[مقدار تسویه شده (کیلوگرم)]])</f>
        <v>32382</v>
      </c>
      <c r="Y1373" s="6">
        <f ca="1">IF(Main[[#This Row],[مانده در خط تسویه شده (کیلوگرم)]]&lt;&gt;0,Main[[#This Row],[تعداد کل روزهای بدهکار (روز)]],0)</f>
        <v>1</v>
      </c>
      <c r="Z1373" s="6">
        <f ca="1">Main[[#This Row],[تعداد روزهای بدهکار تسویه شده (روز)]]*Main[[#This Row],[مانده در خط تسویه شده (کیلوگرم)]]</f>
        <v>32382</v>
      </c>
      <c r="AA1373" s="6">
        <f ca="1">SUBTOTAL(9,INDEX(Main[بدهی تسویه نشده (کیلوگرم)],1):Main[[#This Row],[بدهی تسویه نشده (کیلوگرم)]])</f>
        <v>0</v>
      </c>
      <c r="AB1373" s="6">
        <f ca="1">IF(Main[[#This Row],[مانده در خط تسویه نشده (کیلوگرم)]]&lt;&gt;0,Main[[#This Row],[تعداد کل روزهای بدهکار (روز)]],0)</f>
        <v>0</v>
      </c>
      <c r="AC1373" s="6">
        <f ca="1">Main[[#This Row],[تعداد روزهای بدهکار  تسویه نشده (روز)]]*Main[[#This Row],[مانده در خط تسویه نشده (کیلوگرم)]]</f>
        <v>0</v>
      </c>
      <c r="AD1373" s="6">
        <f ca="1">SUBTOTAL(9,INDEX(Main[بدهی سررسید شده (کیلوگرم)],1):Main[[#This Row],[بدهی سررسید شده (کیلوگرم)]])</f>
        <v>0</v>
      </c>
      <c r="AE1373" s="6">
        <f ca="1">IF(Main[[#This Row],[مانده در خط سررسید شده (کیلوگرم)]]&lt;&gt;0,Main[[#This Row],[تعداد کل روزهای بدهکار (روز)]],0)</f>
        <v>0</v>
      </c>
      <c r="AF1373" s="6">
        <f ca="1">Main[[#This Row],[تعداد روزهای بدهکار سررسید شده (روز)]]*Main[[#This Row],[مانده در خط سررسید شده (کیلوگرم)]]</f>
        <v>0</v>
      </c>
    </row>
    <row r="1374" spans="1:32" hidden="1" x14ac:dyDescent="0.35">
      <c r="A1374" s="5">
        <f>ROW()-ROW(INDEX(Main[ردیف],1))+1</f>
        <v>1372</v>
      </c>
      <c r="B1374" s="31">
        <f>SUBTOTAL(2,INDEX(Main[ردیف],1):Main[[#This Row],[ردیف]])</f>
        <v>120</v>
      </c>
      <c r="C1374" s="32" t="s">
        <v>648</v>
      </c>
      <c r="D1374" s="32" t="str">
        <f>_xlfn.CONCAT("14",Main[[#This Row],[تاريخ]])</f>
        <v>1400/05/31</v>
      </c>
      <c r="E1374" s="33">
        <v>44430</v>
      </c>
      <c r="F1374" s="32">
        <v>30066</v>
      </c>
      <c r="G1374" s="5" t="str">
        <f>INDEX(customer[عنوان],MATCH(Main[[#This Row],[کد ردیابی]],customer[کد],0))</f>
        <v xml:space="preserve">شیر آلات بهداشتی قهرمان </v>
      </c>
      <c r="H1374">
        <v>14</v>
      </c>
      <c r="I1374" s="6">
        <f ca="1">-Main[[#This Row],[بدهی تسویه شده (کیلوگرم)]]+Main[[#This Row],[بستانکار (کیلوگرم)]]</f>
        <v>14</v>
      </c>
      <c r="J1374" s="6">
        <f>IF(Main[[#This Row],[مقدار (کیلوگرم)]]&gt;0,Main[[#This Row],[مقدار (کیلوگرم)]],0)</f>
        <v>14</v>
      </c>
      <c r="K1374" s="6">
        <f>-IF(Main[[#This Row],[مقدار (کیلوگرم)]]&lt;0,Main[[#This Row],[مقدار (کیلوگرم)]],0)</f>
        <v>0</v>
      </c>
      <c r="L13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4" s="7">
        <f>-IF(AND(Main[[#This Row],[مقدار (کیلوگرم)]]&lt;0,Main[[#This Row],[تاريخ میلادی]]&gt;44276),Main[[#This Row],[مقدار (کیلوگرم)]],0)</f>
        <v>0</v>
      </c>
      <c r="N1374" s="6">
        <f ca="1">Main[[#This Row],[بدهکار (کیلوگرم)]]-Main[[#This Row],[بدهی تسویه نشده (کیلوگرم)]]</f>
        <v>0</v>
      </c>
      <c r="O1374" s="6">
        <f ca="1">Main[[#This Row],[تفکیک]]</f>
        <v>0</v>
      </c>
      <c r="P1374" s="6">
        <f ca="1">IF(Main[[#This Row],[تاخیر از سررسید]]&gt;0,Main[[#This Row],[بدهی تسویه نشده (کیلوگرم)]],0)</f>
        <v>0</v>
      </c>
      <c r="Q1374" s="6">
        <f ca="1">IF(Main[[#This Row],[بدهی تسویه نشده (کیلوگرم)]]&gt;0,'گزارش فردی'!$B$7-Main[[#This Row],[تاريخ میلادی]],0)</f>
        <v>0</v>
      </c>
      <c r="R1374" s="6">
        <f ca="1">IF(Main[[#This Row],[بدهی تسویه نشده (کیلوگرم)]]&gt;0,'گزارش فردی'!$B$7-Main[[#This Row],[تاريخ میلادی]]-'گزارش فردی'!$B$8,0)</f>
        <v>0</v>
      </c>
      <c r="S1374" s="6">
        <f ca="1">Main[[#This Row],[روز از ارسال سفارش]]*Main[[#This Row],[بدهی تسویه نشده (کیلوگرم)]]</f>
        <v>0</v>
      </c>
      <c r="T1374" s="6">
        <f ca="1">Main[[#This Row],[بدهی سررسید شده (کیلوگرم)]]*Main[[#This Row],[روز از ارسال سفارش]]</f>
        <v>0</v>
      </c>
      <c r="U1374" s="6">
        <f>-SUBTOTAL(9,INDEX(Main[مقدار (کیلوگرم)],1):Main[[#This Row],[مقدار (کیلوگرم)]])</f>
        <v>32382</v>
      </c>
      <c r="V13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4" s="6">
        <f>Main[[#This Row],[تعداد کل روزهای بدهکار (روز)]]*Main[[#This Row],[مانده در خط کل (کیلوگرم)]]</f>
        <v>32382</v>
      </c>
      <c r="X1374" s="6">
        <f ca="1">-SUBTOTAL(9,INDEX(Main[مقدار تسویه شده (کیلوگرم)],1):Main[[#This Row],[مقدار تسویه شده (کیلوگرم)]])</f>
        <v>32382</v>
      </c>
      <c r="Y1374" s="6">
        <f ca="1">IF(Main[[#This Row],[مانده در خط تسویه شده (کیلوگرم)]]&lt;&gt;0,Main[[#This Row],[تعداد کل روزهای بدهکار (روز)]],0)</f>
        <v>1</v>
      </c>
      <c r="Z1374" s="6">
        <f ca="1">Main[[#This Row],[تعداد روزهای بدهکار تسویه شده (روز)]]*Main[[#This Row],[مانده در خط تسویه شده (کیلوگرم)]]</f>
        <v>32382</v>
      </c>
      <c r="AA1374" s="6">
        <f ca="1">SUBTOTAL(9,INDEX(Main[بدهی تسویه نشده (کیلوگرم)],1):Main[[#This Row],[بدهی تسویه نشده (کیلوگرم)]])</f>
        <v>0</v>
      </c>
      <c r="AB1374" s="6">
        <f ca="1">IF(Main[[#This Row],[مانده در خط تسویه نشده (کیلوگرم)]]&lt;&gt;0,Main[[#This Row],[تعداد کل روزهای بدهکار (روز)]],0)</f>
        <v>0</v>
      </c>
      <c r="AC1374" s="6">
        <f ca="1">Main[[#This Row],[تعداد روزهای بدهکار  تسویه نشده (روز)]]*Main[[#This Row],[مانده در خط تسویه نشده (کیلوگرم)]]</f>
        <v>0</v>
      </c>
      <c r="AD1374" s="6">
        <f ca="1">SUBTOTAL(9,INDEX(Main[بدهی سررسید شده (کیلوگرم)],1):Main[[#This Row],[بدهی سررسید شده (کیلوگرم)]])</f>
        <v>0</v>
      </c>
      <c r="AE1374" s="6">
        <f ca="1">IF(Main[[#This Row],[مانده در خط سررسید شده (کیلوگرم)]]&lt;&gt;0,Main[[#This Row],[تعداد کل روزهای بدهکار (روز)]],0)</f>
        <v>0</v>
      </c>
      <c r="AF1374" s="6">
        <f ca="1">Main[[#This Row],[تعداد روزهای بدهکار سررسید شده (روز)]]*Main[[#This Row],[مانده در خط سررسید شده (کیلوگرم)]]</f>
        <v>0</v>
      </c>
    </row>
    <row r="1375" spans="1:32" hidden="1" x14ac:dyDescent="0.35">
      <c r="A1375" s="5">
        <f>ROW()-ROW(INDEX(Main[ردیف],1))+1</f>
        <v>1373</v>
      </c>
      <c r="B1375" s="31">
        <f>SUBTOTAL(2,INDEX(Main[ردیف],1):Main[[#This Row],[ردیف]])</f>
        <v>120</v>
      </c>
      <c r="C1375" s="32" t="s">
        <v>648</v>
      </c>
      <c r="D1375" s="32" t="str">
        <f>_xlfn.CONCAT("14",Main[[#This Row],[تاريخ]])</f>
        <v>1400/05/31</v>
      </c>
      <c r="E1375" s="33">
        <v>44430</v>
      </c>
      <c r="F1375" s="32">
        <v>10055</v>
      </c>
      <c r="G1375" s="5" t="str">
        <f>INDEX(customer[عنوان],MATCH(Main[[#This Row],[کد ردیابی]],customer[کد],0))</f>
        <v xml:space="preserve">مریم فیض آبادی  </v>
      </c>
      <c r="H1375">
        <v>-5466</v>
      </c>
      <c r="I1375" s="6">
        <f ca="1">-Main[[#This Row],[بدهی تسویه شده (کیلوگرم)]]+Main[[#This Row],[بستانکار (کیلوگرم)]]</f>
        <v>-5466</v>
      </c>
      <c r="J1375" s="6">
        <f>IF(Main[[#This Row],[مقدار (کیلوگرم)]]&gt;0,Main[[#This Row],[مقدار (کیلوگرم)]],0)</f>
        <v>0</v>
      </c>
      <c r="K1375" s="6">
        <f>-IF(Main[[#This Row],[مقدار (کیلوگرم)]]&lt;0,Main[[#This Row],[مقدار (کیلوگرم)]],0)</f>
        <v>5466</v>
      </c>
      <c r="L13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5" s="7">
        <f>-IF(AND(Main[[#This Row],[مقدار (کیلوگرم)]]&lt;0,Main[[#This Row],[تاريخ میلادی]]&gt;44276),Main[[#This Row],[مقدار (کیلوگرم)]],0)</f>
        <v>5466</v>
      </c>
      <c r="N1375" s="6">
        <f ca="1">Main[[#This Row],[بدهکار (کیلوگرم)]]-Main[[#This Row],[بدهی تسویه نشده (کیلوگرم)]]</f>
        <v>5466</v>
      </c>
      <c r="O1375" s="6">
        <f ca="1">Main[[#This Row],[تفکیک]]</f>
        <v>0</v>
      </c>
      <c r="P1375" s="6">
        <f ca="1">IF(Main[[#This Row],[تاخیر از سررسید]]&gt;0,Main[[#This Row],[بدهی تسویه نشده (کیلوگرم)]],0)</f>
        <v>0</v>
      </c>
      <c r="Q1375" s="6">
        <f ca="1">IF(Main[[#This Row],[بدهی تسویه نشده (کیلوگرم)]]&gt;0,'گزارش فردی'!$B$7-Main[[#This Row],[تاريخ میلادی]],0)</f>
        <v>0</v>
      </c>
      <c r="R1375" s="6">
        <f ca="1">IF(Main[[#This Row],[بدهی تسویه نشده (کیلوگرم)]]&gt;0,'گزارش فردی'!$B$7-Main[[#This Row],[تاريخ میلادی]]-'گزارش فردی'!$B$8,0)</f>
        <v>0</v>
      </c>
      <c r="S1375" s="6">
        <f ca="1">Main[[#This Row],[روز از ارسال سفارش]]*Main[[#This Row],[بدهی تسویه نشده (کیلوگرم)]]</f>
        <v>0</v>
      </c>
      <c r="T1375" s="6">
        <f ca="1">Main[[#This Row],[بدهی سررسید شده (کیلوگرم)]]*Main[[#This Row],[روز از ارسال سفارش]]</f>
        <v>0</v>
      </c>
      <c r="U1375" s="6">
        <f>-SUBTOTAL(9,INDEX(Main[مقدار (کیلوگرم)],1):Main[[#This Row],[مقدار (کیلوگرم)]])</f>
        <v>32382</v>
      </c>
      <c r="V13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5" s="6">
        <f>Main[[#This Row],[تعداد کل روزهای بدهکار (روز)]]*Main[[#This Row],[مانده در خط کل (کیلوگرم)]]</f>
        <v>32382</v>
      </c>
      <c r="X1375" s="6">
        <f ca="1">-SUBTOTAL(9,INDEX(Main[مقدار تسویه شده (کیلوگرم)],1):Main[[#This Row],[مقدار تسویه شده (کیلوگرم)]])</f>
        <v>32382</v>
      </c>
      <c r="Y1375" s="6">
        <f ca="1">IF(Main[[#This Row],[مانده در خط تسویه شده (کیلوگرم)]]&lt;&gt;0,Main[[#This Row],[تعداد کل روزهای بدهکار (روز)]],0)</f>
        <v>1</v>
      </c>
      <c r="Z1375" s="6">
        <f ca="1">Main[[#This Row],[تعداد روزهای بدهکار تسویه شده (روز)]]*Main[[#This Row],[مانده در خط تسویه شده (کیلوگرم)]]</f>
        <v>32382</v>
      </c>
      <c r="AA1375" s="6">
        <f ca="1">SUBTOTAL(9,INDEX(Main[بدهی تسویه نشده (کیلوگرم)],1):Main[[#This Row],[بدهی تسویه نشده (کیلوگرم)]])</f>
        <v>0</v>
      </c>
      <c r="AB1375" s="6">
        <f ca="1">IF(Main[[#This Row],[مانده در خط تسویه نشده (کیلوگرم)]]&lt;&gt;0,Main[[#This Row],[تعداد کل روزهای بدهکار (روز)]],0)</f>
        <v>0</v>
      </c>
      <c r="AC1375" s="6">
        <f ca="1">Main[[#This Row],[تعداد روزهای بدهکار  تسویه نشده (روز)]]*Main[[#This Row],[مانده در خط تسویه نشده (کیلوگرم)]]</f>
        <v>0</v>
      </c>
      <c r="AD1375" s="6">
        <f ca="1">SUBTOTAL(9,INDEX(Main[بدهی سررسید شده (کیلوگرم)],1):Main[[#This Row],[بدهی سررسید شده (کیلوگرم)]])</f>
        <v>0</v>
      </c>
      <c r="AE1375" s="6">
        <f ca="1">IF(Main[[#This Row],[مانده در خط سررسید شده (کیلوگرم)]]&lt;&gt;0,Main[[#This Row],[تعداد کل روزهای بدهکار (روز)]],0)</f>
        <v>0</v>
      </c>
      <c r="AF1375" s="6">
        <f ca="1">Main[[#This Row],[تعداد روزهای بدهکار سررسید شده (روز)]]*Main[[#This Row],[مانده در خط سررسید شده (کیلوگرم)]]</f>
        <v>0</v>
      </c>
    </row>
    <row r="1376" spans="1:32" hidden="1" x14ac:dyDescent="0.35">
      <c r="A1376" s="5">
        <f>ROW()-ROW(INDEX(Main[ردیف],1))+1</f>
        <v>1374</v>
      </c>
      <c r="B1376" s="31">
        <f>SUBTOTAL(2,INDEX(Main[ردیف],1):Main[[#This Row],[ردیف]])</f>
        <v>120</v>
      </c>
      <c r="C1376" s="32" t="s">
        <v>648</v>
      </c>
      <c r="D1376" s="32" t="str">
        <f>_xlfn.CONCAT("14",Main[[#This Row],[تاريخ]])</f>
        <v>1400/05/31</v>
      </c>
      <c r="E1376" s="33">
        <v>44430</v>
      </c>
      <c r="F1376" s="32">
        <v>30004</v>
      </c>
      <c r="G1376" s="5" t="str">
        <f>INDEX(customer[عنوان],MATCH(Main[[#This Row],[کد ردیابی]],customer[کد],0))</f>
        <v>تولیدی صنعتی صفاشیر پارس</v>
      </c>
      <c r="H1376">
        <v>5626</v>
      </c>
      <c r="I1376" s="6">
        <f ca="1">-Main[[#This Row],[بدهی تسویه شده (کیلوگرم)]]+Main[[#This Row],[بستانکار (کیلوگرم)]]</f>
        <v>5626</v>
      </c>
      <c r="J1376" s="6">
        <f>IF(Main[[#This Row],[مقدار (کیلوگرم)]]&gt;0,Main[[#This Row],[مقدار (کیلوگرم)]],0)</f>
        <v>5626</v>
      </c>
      <c r="K1376" s="6">
        <f>-IF(Main[[#This Row],[مقدار (کیلوگرم)]]&lt;0,Main[[#This Row],[مقدار (کیلوگرم)]],0)</f>
        <v>0</v>
      </c>
      <c r="L13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6" s="7">
        <f>-IF(AND(Main[[#This Row],[مقدار (کیلوگرم)]]&lt;0,Main[[#This Row],[تاريخ میلادی]]&gt;44276),Main[[#This Row],[مقدار (کیلوگرم)]],0)</f>
        <v>0</v>
      </c>
      <c r="N1376" s="6">
        <f ca="1">Main[[#This Row],[بدهکار (کیلوگرم)]]-Main[[#This Row],[بدهی تسویه نشده (کیلوگرم)]]</f>
        <v>0</v>
      </c>
      <c r="O1376" s="6">
        <f ca="1">Main[[#This Row],[تفکیک]]</f>
        <v>0</v>
      </c>
      <c r="P1376" s="6">
        <f ca="1">IF(Main[[#This Row],[تاخیر از سررسید]]&gt;0,Main[[#This Row],[بدهی تسویه نشده (کیلوگرم)]],0)</f>
        <v>0</v>
      </c>
      <c r="Q1376" s="6">
        <f ca="1">IF(Main[[#This Row],[بدهی تسویه نشده (کیلوگرم)]]&gt;0,'گزارش فردی'!$B$7-Main[[#This Row],[تاريخ میلادی]],0)</f>
        <v>0</v>
      </c>
      <c r="R1376" s="6">
        <f ca="1">IF(Main[[#This Row],[بدهی تسویه نشده (کیلوگرم)]]&gt;0,'گزارش فردی'!$B$7-Main[[#This Row],[تاريخ میلادی]]-'گزارش فردی'!$B$8,0)</f>
        <v>0</v>
      </c>
      <c r="S1376" s="6">
        <f ca="1">Main[[#This Row],[روز از ارسال سفارش]]*Main[[#This Row],[بدهی تسویه نشده (کیلوگرم)]]</f>
        <v>0</v>
      </c>
      <c r="T1376" s="6">
        <f ca="1">Main[[#This Row],[بدهی سررسید شده (کیلوگرم)]]*Main[[#This Row],[روز از ارسال سفارش]]</f>
        <v>0</v>
      </c>
      <c r="U1376" s="6">
        <f>-SUBTOTAL(9,INDEX(Main[مقدار (کیلوگرم)],1):Main[[#This Row],[مقدار (کیلوگرم)]])</f>
        <v>32382</v>
      </c>
      <c r="V13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6" s="6">
        <f>Main[[#This Row],[تعداد کل روزهای بدهکار (روز)]]*Main[[#This Row],[مانده در خط کل (کیلوگرم)]]</f>
        <v>32382</v>
      </c>
      <c r="X1376" s="6">
        <f ca="1">-SUBTOTAL(9,INDEX(Main[مقدار تسویه شده (کیلوگرم)],1):Main[[#This Row],[مقدار تسویه شده (کیلوگرم)]])</f>
        <v>32382</v>
      </c>
      <c r="Y1376" s="6">
        <f ca="1">IF(Main[[#This Row],[مانده در خط تسویه شده (کیلوگرم)]]&lt;&gt;0,Main[[#This Row],[تعداد کل روزهای بدهکار (روز)]],0)</f>
        <v>1</v>
      </c>
      <c r="Z1376" s="6">
        <f ca="1">Main[[#This Row],[تعداد روزهای بدهکار تسویه شده (روز)]]*Main[[#This Row],[مانده در خط تسویه شده (کیلوگرم)]]</f>
        <v>32382</v>
      </c>
      <c r="AA1376" s="6">
        <f ca="1">SUBTOTAL(9,INDEX(Main[بدهی تسویه نشده (کیلوگرم)],1):Main[[#This Row],[بدهی تسویه نشده (کیلوگرم)]])</f>
        <v>0</v>
      </c>
      <c r="AB1376" s="6">
        <f ca="1">IF(Main[[#This Row],[مانده در خط تسویه نشده (کیلوگرم)]]&lt;&gt;0,Main[[#This Row],[تعداد کل روزهای بدهکار (روز)]],0)</f>
        <v>0</v>
      </c>
      <c r="AC1376" s="6">
        <f ca="1">Main[[#This Row],[تعداد روزهای بدهکار  تسویه نشده (روز)]]*Main[[#This Row],[مانده در خط تسویه نشده (کیلوگرم)]]</f>
        <v>0</v>
      </c>
      <c r="AD1376" s="6">
        <f ca="1">SUBTOTAL(9,INDEX(Main[بدهی سررسید شده (کیلوگرم)],1):Main[[#This Row],[بدهی سررسید شده (کیلوگرم)]])</f>
        <v>0</v>
      </c>
      <c r="AE1376" s="6">
        <f ca="1">IF(Main[[#This Row],[مانده در خط سررسید شده (کیلوگرم)]]&lt;&gt;0,Main[[#This Row],[تعداد کل روزهای بدهکار (روز)]],0)</f>
        <v>0</v>
      </c>
      <c r="AF1376" s="6">
        <f ca="1">Main[[#This Row],[تعداد روزهای بدهکار سررسید شده (روز)]]*Main[[#This Row],[مانده در خط سررسید شده (کیلوگرم)]]</f>
        <v>0</v>
      </c>
    </row>
    <row r="1377" spans="1:32" hidden="1" x14ac:dyDescent="0.35">
      <c r="A1377" s="5">
        <f>ROW()-ROW(INDEX(Main[ردیف],1))+1</f>
        <v>1375</v>
      </c>
      <c r="B1377" s="31">
        <f>SUBTOTAL(2,INDEX(Main[ردیف],1):Main[[#This Row],[ردیف]])</f>
        <v>120</v>
      </c>
      <c r="C1377" s="32" t="s">
        <v>648</v>
      </c>
      <c r="D1377" s="32" t="str">
        <f>_xlfn.CONCAT("14",Main[[#This Row],[تاريخ]])</f>
        <v>1400/05/31</v>
      </c>
      <c r="E1377" s="33">
        <v>44430</v>
      </c>
      <c r="F1377" s="32">
        <v>30004</v>
      </c>
      <c r="G1377" s="5" t="str">
        <f>INDEX(customer[عنوان],MATCH(Main[[#This Row],[کد ردیابی]],customer[کد],0))</f>
        <v>تولیدی صنعتی صفاشیر پارس</v>
      </c>
      <c r="H1377">
        <v>-994</v>
      </c>
      <c r="I1377" s="6">
        <f ca="1">-Main[[#This Row],[بدهی تسویه شده (کیلوگرم)]]+Main[[#This Row],[بستانکار (کیلوگرم)]]</f>
        <v>-994</v>
      </c>
      <c r="J1377" s="6">
        <f>IF(Main[[#This Row],[مقدار (کیلوگرم)]]&gt;0,Main[[#This Row],[مقدار (کیلوگرم)]],0)</f>
        <v>0</v>
      </c>
      <c r="K1377" s="6">
        <f>-IF(Main[[#This Row],[مقدار (کیلوگرم)]]&lt;0,Main[[#This Row],[مقدار (کیلوگرم)]],0)</f>
        <v>994</v>
      </c>
      <c r="L13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7" s="7">
        <f>-IF(AND(Main[[#This Row],[مقدار (کیلوگرم)]]&lt;0,Main[[#This Row],[تاريخ میلادی]]&gt;44276),Main[[#This Row],[مقدار (کیلوگرم)]],0)</f>
        <v>994</v>
      </c>
      <c r="N1377" s="6">
        <f ca="1">Main[[#This Row],[بدهکار (کیلوگرم)]]-Main[[#This Row],[بدهی تسویه نشده (کیلوگرم)]]</f>
        <v>994</v>
      </c>
      <c r="O1377" s="6">
        <f ca="1">Main[[#This Row],[تفکیک]]</f>
        <v>0</v>
      </c>
      <c r="P1377" s="6">
        <f ca="1">IF(Main[[#This Row],[تاخیر از سررسید]]&gt;0,Main[[#This Row],[بدهی تسویه نشده (کیلوگرم)]],0)</f>
        <v>0</v>
      </c>
      <c r="Q1377" s="6">
        <f ca="1">IF(Main[[#This Row],[بدهی تسویه نشده (کیلوگرم)]]&gt;0,'گزارش فردی'!$B$7-Main[[#This Row],[تاريخ میلادی]],0)</f>
        <v>0</v>
      </c>
      <c r="R1377" s="6">
        <f ca="1">IF(Main[[#This Row],[بدهی تسویه نشده (کیلوگرم)]]&gt;0,'گزارش فردی'!$B$7-Main[[#This Row],[تاريخ میلادی]]-'گزارش فردی'!$B$8,0)</f>
        <v>0</v>
      </c>
      <c r="S1377" s="6">
        <f ca="1">Main[[#This Row],[روز از ارسال سفارش]]*Main[[#This Row],[بدهی تسویه نشده (کیلوگرم)]]</f>
        <v>0</v>
      </c>
      <c r="T1377" s="6">
        <f ca="1">Main[[#This Row],[بدهی سررسید شده (کیلوگرم)]]*Main[[#This Row],[روز از ارسال سفارش]]</f>
        <v>0</v>
      </c>
      <c r="U1377" s="6">
        <f>-SUBTOTAL(9,INDEX(Main[مقدار (کیلوگرم)],1):Main[[#This Row],[مقدار (کیلوگرم)]])</f>
        <v>32382</v>
      </c>
      <c r="V13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7" s="6">
        <f>Main[[#This Row],[تعداد کل روزهای بدهکار (روز)]]*Main[[#This Row],[مانده در خط کل (کیلوگرم)]]</f>
        <v>32382</v>
      </c>
      <c r="X1377" s="6">
        <f ca="1">-SUBTOTAL(9,INDEX(Main[مقدار تسویه شده (کیلوگرم)],1):Main[[#This Row],[مقدار تسویه شده (کیلوگرم)]])</f>
        <v>32382</v>
      </c>
      <c r="Y1377" s="6">
        <f ca="1">IF(Main[[#This Row],[مانده در خط تسویه شده (کیلوگرم)]]&lt;&gt;0,Main[[#This Row],[تعداد کل روزهای بدهکار (روز)]],0)</f>
        <v>1</v>
      </c>
      <c r="Z1377" s="6">
        <f ca="1">Main[[#This Row],[تعداد روزهای بدهکار تسویه شده (روز)]]*Main[[#This Row],[مانده در خط تسویه شده (کیلوگرم)]]</f>
        <v>32382</v>
      </c>
      <c r="AA1377" s="6">
        <f ca="1">SUBTOTAL(9,INDEX(Main[بدهی تسویه نشده (کیلوگرم)],1):Main[[#This Row],[بدهی تسویه نشده (کیلوگرم)]])</f>
        <v>0</v>
      </c>
      <c r="AB1377" s="6">
        <f ca="1">IF(Main[[#This Row],[مانده در خط تسویه نشده (کیلوگرم)]]&lt;&gt;0,Main[[#This Row],[تعداد کل روزهای بدهکار (روز)]],0)</f>
        <v>0</v>
      </c>
      <c r="AC1377" s="6">
        <f ca="1">Main[[#This Row],[تعداد روزهای بدهکار  تسویه نشده (روز)]]*Main[[#This Row],[مانده در خط تسویه نشده (کیلوگرم)]]</f>
        <v>0</v>
      </c>
      <c r="AD1377" s="6">
        <f ca="1">SUBTOTAL(9,INDEX(Main[بدهی سررسید شده (کیلوگرم)],1):Main[[#This Row],[بدهی سررسید شده (کیلوگرم)]])</f>
        <v>0</v>
      </c>
      <c r="AE1377" s="6">
        <f ca="1">IF(Main[[#This Row],[مانده در خط سررسید شده (کیلوگرم)]]&lt;&gt;0,Main[[#This Row],[تعداد کل روزهای بدهکار (روز)]],0)</f>
        <v>0</v>
      </c>
      <c r="AF1377" s="6">
        <f ca="1">Main[[#This Row],[تعداد روزهای بدهکار سررسید شده (روز)]]*Main[[#This Row],[مانده در خط سررسید شده (کیلوگرم)]]</f>
        <v>0</v>
      </c>
    </row>
    <row r="1378" spans="1:32" hidden="1" x14ac:dyDescent="0.35">
      <c r="A1378" s="5">
        <f>ROW()-ROW(INDEX(Main[ردیف],1))+1</f>
        <v>1376</v>
      </c>
      <c r="B1378" s="31">
        <f>SUBTOTAL(2,INDEX(Main[ردیف],1):Main[[#This Row],[ردیف]])</f>
        <v>120</v>
      </c>
      <c r="C1378" s="32" t="s">
        <v>648</v>
      </c>
      <c r="D1378" s="32" t="str">
        <f>_xlfn.CONCAT("14",Main[[#This Row],[تاريخ]])</f>
        <v>1400/05/31</v>
      </c>
      <c r="E1378" s="33">
        <v>44430</v>
      </c>
      <c r="F1378" s="32">
        <v>30066</v>
      </c>
      <c r="G1378" s="5" t="str">
        <f>INDEX(customer[عنوان],MATCH(Main[[#This Row],[کد ردیابی]],customer[کد],0))</f>
        <v xml:space="preserve">شیر آلات بهداشتی قهرمان </v>
      </c>
      <c r="H1378">
        <v>4449</v>
      </c>
      <c r="I1378" s="6">
        <f ca="1">-Main[[#This Row],[بدهی تسویه شده (کیلوگرم)]]+Main[[#This Row],[بستانکار (کیلوگرم)]]</f>
        <v>4449</v>
      </c>
      <c r="J1378" s="6">
        <f>IF(Main[[#This Row],[مقدار (کیلوگرم)]]&gt;0,Main[[#This Row],[مقدار (کیلوگرم)]],0)</f>
        <v>4449</v>
      </c>
      <c r="K1378" s="6">
        <f>-IF(Main[[#This Row],[مقدار (کیلوگرم)]]&lt;0,Main[[#This Row],[مقدار (کیلوگرم)]],0)</f>
        <v>0</v>
      </c>
      <c r="L13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8" s="7">
        <f>-IF(AND(Main[[#This Row],[مقدار (کیلوگرم)]]&lt;0,Main[[#This Row],[تاريخ میلادی]]&gt;44276),Main[[#This Row],[مقدار (کیلوگرم)]],0)</f>
        <v>0</v>
      </c>
      <c r="N1378" s="6">
        <f ca="1">Main[[#This Row],[بدهکار (کیلوگرم)]]-Main[[#This Row],[بدهی تسویه نشده (کیلوگرم)]]</f>
        <v>0</v>
      </c>
      <c r="O1378" s="6">
        <f ca="1">Main[[#This Row],[تفکیک]]</f>
        <v>0</v>
      </c>
      <c r="P1378" s="6">
        <f ca="1">IF(Main[[#This Row],[تاخیر از سررسید]]&gt;0,Main[[#This Row],[بدهی تسویه نشده (کیلوگرم)]],0)</f>
        <v>0</v>
      </c>
      <c r="Q1378" s="6">
        <f ca="1">IF(Main[[#This Row],[بدهی تسویه نشده (کیلوگرم)]]&gt;0,'گزارش فردی'!$B$7-Main[[#This Row],[تاريخ میلادی]],0)</f>
        <v>0</v>
      </c>
      <c r="R1378" s="6">
        <f ca="1">IF(Main[[#This Row],[بدهی تسویه نشده (کیلوگرم)]]&gt;0,'گزارش فردی'!$B$7-Main[[#This Row],[تاريخ میلادی]]-'گزارش فردی'!$B$8,0)</f>
        <v>0</v>
      </c>
      <c r="S1378" s="6">
        <f ca="1">Main[[#This Row],[روز از ارسال سفارش]]*Main[[#This Row],[بدهی تسویه نشده (کیلوگرم)]]</f>
        <v>0</v>
      </c>
      <c r="T1378" s="6">
        <f ca="1">Main[[#This Row],[بدهی سررسید شده (کیلوگرم)]]*Main[[#This Row],[روز از ارسال سفارش]]</f>
        <v>0</v>
      </c>
      <c r="U1378" s="6">
        <f>-SUBTOTAL(9,INDEX(Main[مقدار (کیلوگرم)],1):Main[[#This Row],[مقدار (کیلوگرم)]])</f>
        <v>32382</v>
      </c>
      <c r="V13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8" s="6">
        <f>Main[[#This Row],[تعداد کل روزهای بدهکار (روز)]]*Main[[#This Row],[مانده در خط کل (کیلوگرم)]]</f>
        <v>32382</v>
      </c>
      <c r="X1378" s="6">
        <f ca="1">-SUBTOTAL(9,INDEX(Main[مقدار تسویه شده (کیلوگرم)],1):Main[[#This Row],[مقدار تسویه شده (کیلوگرم)]])</f>
        <v>32382</v>
      </c>
      <c r="Y1378" s="6">
        <f ca="1">IF(Main[[#This Row],[مانده در خط تسویه شده (کیلوگرم)]]&lt;&gt;0,Main[[#This Row],[تعداد کل روزهای بدهکار (روز)]],0)</f>
        <v>1</v>
      </c>
      <c r="Z1378" s="6">
        <f ca="1">Main[[#This Row],[تعداد روزهای بدهکار تسویه شده (روز)]]*Main[[#This Row],[مانده در خط تسویه شده (کیلوگرم)]]</f>
        <v>32382</v>
      </c>
      <c r="AA1378" s="6">
        <f ca="1">SUBTOTAL(9,INDEX(Main[بدهی تسویه نشده (کیلوگرم)],1):Main[[#This Row],[بدهی تسویه نشده (کیلوگرم)]])</f>
        <v>0</v>
      </c>
      <c r="AB1378" s="6">
        <f ca="1">IF(Main[[#This Row],[مانده در خط تسویه نشده (کیلوگرم)]]&lt;&gt;0,Main[[#This Row],[تعداد کل روزهای بدهکار (روز)]],0)</f>
        <v>0</v>
      </c>
      <c r="AC1378" s="6">
        <f ca="1">Main[[#This Row],[تعداد روزهای بدهکار  تسویه نشده (روز)]]*Main[[#This Row],[مانده در خط تسویه نشده (کیلوگرم)]]</f>
        <v>0</v>
      </c>
      <c r="AD1378" s="6">
        <f ca="1">SUBTOTAL(9,INDEX(Main[بدهی سررسید شده (کیلوگرم)],1):Main[[#This Row],[بدهی سررسید شده (کیلوگرم)]])</f>
        <v>0</v>
      </c>
      <c r="AE1378" s="6">
        <f ca="1">IF(Main[[#This Row],[مانده در خط سررسید شده (کیلوگرم)]]&lt;&gt;0,Main[[#This Row],[تعداد کل روزهای بدهکار (روز)]],0)</f>
        <v>0</v>
      </c>
      <c r="AF1378" s="6">
        <f ca="1">Main[[#This Row],[تعداد روزهای بدهکار سررسید شده (روز)]]*Main[[#This Row],[مانده در خط سررسید شده (کیلوگرم)]]</f>
        <v>0</v>
      </c>
    </row>
    <row r="1379" spans="1:32" hidden="1" x14ac:dyDescent="0.35">
      <c r="A1379" s="5">
        <f>ROW()-ROW(INDEX(Main[ردیف],1))+1</f>
        <v>1377</v>
      </c>
      <c r="B1379" s="31">
        <f>SUBTOTAL(2,INDEX(Main[ردیف],1):Main[[#This Row],[ردیف]])</f>
        <v>120</v>
      </c>
      <c r="C1379" s="32" t="s">
        <v>648</v>
      </c>
      <c r="D1379" s="32" t="str">
        <f>_xlfn.CONCAT("14",Main[[#This Row],[تاريخ]])</f>
        <v>1400/05/31</v>
      </c>
      <c r="E1379" s="33">
        <v>44430</v>
      </c>
      <c r="F1379" s="32">
        <v>30009</v>
      </c>
      <c r="G1379" s="5" t="str">
        <f>INDEX(customer[عنوان],MATCH(Main[[#This Row],[کد ردیابی]],customer[کد],0))</f>
        <v>شرکت ایمن تک پیشرو</v>
      </c>
      <c r="H1379">
        <v>2187</v>
      </c>
      <c r="I1379" s="6">
        <f ca="1">-Main[[#This Row],[بدهی تسویه شده (کیلوگرم)]]+Main[[#This Row],[بستانکار (کیلوگرم)]]</f>
        <v>2187</v>
      </c>
      <c r="J1379" s="6">
        <f>IF(Main[[#This Row],[مقدار (کیلوگرم)]]&gt;0,Main[[#This Row],[مقدار (کیلوگرم)]],0)</f>
        <v>2187</v>
      </c>
      <c r="K1379" s="6">
        <f>-IF(Main[[#This Row],[مقدار (کیلوگرم)]]&lt;0,Main[[#This Row],[مقدار (کیلوگرم)]],0)</f>
        <v>0</v>
      </c>
      <c r="L13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9" s="7">
        <f>-IF(AND(Main[[#This Row],[مقدار (کیلوگرم)]]&lt;0,Main[[#This Row],[تاريخ میلادی]]&gt;44276),Main[[#This Row],[مقدار (کیلوگرم)]],0)</f>
        <v>0</v>
      </c>
      <c r="N1379" s="6">
        <f ca="1">Main[[#This Row],[بدهکار (کیلوگرم)]]-Main[[#This Row],[بدهی تسویه نشده (کیلوگرم)]]</f>
        <v>0</v>
      </c>
      <c r="O1379" s="6">
        <f ca="1">Main[[#This Row],[تفکیک]]</f>
        <v>0</v>
      </c>
      <c r="P1379" s="6">
        <f ca="1">IF(Main[[#This Row],[تاخیر از سررسید]]&gt;0,Main[[#This Row],[بدهی تسویه نشده (کیلوگرم)]],0)</f>
        <v>0</v>
      </c>
      <c r="Q1379" s="6">
        <f ca="1">IF(Main[[#This Row],[بدهی تسویه نشده (کیلوگرم)]]&gt;0,'گزارش فردی'!$B$7-Main[[#This Row],[تاريخ میلادی]],0)</f>
        <v>0</v>
      </c>
      <c r="R1379" s="6">
        <f ca="1">IF(Main[[#This Row],[بدهی تسویه نشده (کیلوگرم)]]&gt;0,'گزارش فردی'!$B$7-Main[[#This Row],[تاريخ میلادی]]-'گزارش فردی'!$B$8,0)</f>
        <v>0</v>
      </c>
      <c r="S1379" s="6">
        <f ca="1">Main[[#This Row],[روز از ارسال سفارش]]*Main[[#This Row],[بدهی تسویه نشده (کیلوگرم)]]</f>
        <v>0</v>
      </c>
      <c r="T1379" s="6">
        <f ca="1">Main[[#This Row],[بدهی سررسید شده (کیلوگرم)]]*Main[[#This Row],[روز از ارسال سفارش]]</f>
        <v>0</v>
      </c>
      <c r="U1379" s="6">
        <f>-SUBTOTAL(9,INDEX(Main[مقدار (کیلوگرم)],1):Main[[#This Row],[مقدار (کیلوگرم)]])</f>
        <v>32382</v>
      </c>
      <c r="V13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9" s="6">
        <f>Main[[#This Row],[تعداد کل روزهای بدهکار (روز)]]*Main[[#This Row],[مانده در خط کل (کیلوگرم)]]</f>
        <v>32382</v>
      </c>
      <c r="X1379" s="6">
        <f ca="1">-SUBTOTAL(9,INDEX(Main[مقدار تسویه شده (کیلوگرم)],1):Main[[#This Row],[مقدار تسویه شده (کیلوگرم)]])</f>
        <v>32382</v>
      </c>
      <c r="Y1379" s="6">
        <f ca="1">IF(Main[[#This Row],[مانده در خط تسویه شده (کیلوگرم)]]&lt;&gt;0,Main[[#This Row],[تعداد کل روزهای بدهکار (روز)]],0)</f>
        <v>1</v>
      </c>
      <c r="Z1379" s="6">
        <f ca="1">Main[[#This Row],[تعداد روزهای بدهکار تسویه شده (روز)]]*Main[[#This Row],[مانده در خط تسویه شده (کیلوگرم)]]</f>
        <v>32382</v>
      </c>
      <c r="AA1379" s="6">
        <f ca="1">SUBTOTAL(9,INDEX(Main[بدهی تسویه نشده (کیلوگرم)],1):Main[[#This Row],[بدهی تسویه نشده (کیلوگرم)]])</f>
        <v>0</v>
      </c>
      <c r="AB1379" s="6">
        <f ca="1">IF(Main[[#This Row],[مانده در خط تسویه نشده (کیلوگرم)]]&lt;&gt;0,Main[[#This Row],[تعداد کل روزهای بدهکار (روز)]],0)</f>
        <v>0</v>
      </c>
      <c r="AC1379" s="6">
        <f ca="1">Main[[#This Row],[تعداد روزهای بدهکار  تسویه نشده (روز)]]*Main[[#This Row],[مانده در خط تسویه نشده (کیلوگرم)]]</f>
        <v>0</v>
      </c>
      <c r="AD1379" s="6">
        <f ca="1">SUBTOTAL(9,INDEX(Main[بدهی سررسید شده (کیلوگرم)],1):Main[[#This Row],[بدهی سررسید شده (کیلوگرم)]])</f>
        <v>0</v>
      </c>
      <c r="AE1379" s="6">
        <f ca="1">IF(Main[[#This Row],[مانده در خط سررسید شده (کیلوگرم)]]&lt;&gt;0,Main[[#This Row],[تعداد کل روزهای بدهکار (روز)]],0)</f>
        <v>0</v>
      </c>
      <c r="AF1379" s="6">
        <f ca="1">Main[[#This Row],[تعداد روزهای بدهکار سررسید شده (روز)]]*Main[[#This Row],[مانده در خط سررسید شده (کیلوگرم)]]</f>
        <v>0</v>
      </c>
    </row>
    <row r="1380" spans="1:32" hidden="1" x14ac:dyDescent="0.35">
      <c r="A1380" s="5">
        <f>ROW()-ROW(INDEX(Main[ردیف],1))+1</f>
        <v>1378</v>
      </c>
      <c r="B1380" s="31">
        <f>SUBTOTAL(2,INDEX(Main[ردیف],1):Main[[#This Row],[ردیف]])</f>
        <v>120</v>
      </c>
      <c r="C1380" s="32" t="s">
        <v>648</v>
      </c>
      <c r="D1380" s="32" t="str">
        <f>_xlfn.CONCAT("14",Main[[#This Row],[تاريخ]])</f>
        <v>1400/05/31</v>
      </c>
      <c r="E1380" s="33">
        <v>44430</v>
      </c>
      <c r="F1380" s="32">
        <v>30009</v>
      </c>
      <c r="G1380" s="5" t="str">
        <f>INDEX(customer[عنوان],MATCH(Main[[#This Row],[کد ردیابی]],customer[کد],0))</f>
        <v>شرکت ایمن تک پیشرو</v>
      </c>
      <c r="H1380">
        <v>2034</v>
      </c>
      <c r="I1380" s="6">
        <f ca="1">-Main[[#This Row],[بدهی تسویه شده (کیلوگرم)]]+Main[[#This Row],[بستانکار (کیلوگرم)]]</f>
        <v>2034</v>
      </c>
      <c r="J1380" s="6">
        <f>IF(Main[[#This Row],[مقدار (کیلوگرم)]]&gt;0,Main[[#This Row],[مقدار (کیلوگرم)]],0)</f>
        <v>2034</v>
      </c>
      <c r="K1380" s="6">
        <f>-IF(Main[[#This Row],[مقدار (کیلوگرم)]]&lt;0,Main[[#This Row],[مقدار (کیلوگرم)]],0)</f>
        <v>0</v>
      </c>
      <c r="L13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0" s="7">
        <f>-IF(AND(Main[[#This Row],[مقدار (کیلوگرم)]]&lt;0,Main[[#This Row],[تاريخ میلادی]]&gt;44276),Main[[#This Row],[مقدار (کیلوگرم)]],0)</f>
        <v>0</v>
      </c>
      <c r="N1380" s="6">
        <f ca="1">Main[[#This Row],[بدهکار (کیلوگرم)]]-Main[[#This Row],[بدهی تسویه نشده (کیلوگرم)]]</f>
        <v>0</v>
      </c>
      <c r="O1380" s="6">
        <f ca="1">Main[[#This Row],[تفکیک]]</f>
        <v>0</v>
      </c>
      <c r="P1380" s="6">
        <f ca="1">IF(Main[[#This Row],[تاخیر از سررسید]]&gt;0,Main[[#This Row],[بدهی تسویه نشده (کیلوگرم)]],0)</f>
        <v>0</v>
      </c>
      <c r="Q1380" s="6">
        <f ca="1">IF(Main[[#This Row],[بدهی تسویه نشده (کیلوگرم)]]&gt;0,'گزارش فردی'!$B$7-Main[[#This Row],[تاريخ میلادی]],0)</f>
        <v>0</v>
      </c>
      <c r="R1380" s="6">
        <f ca="1">IF(Main[[#This Row],[بدهی تسویه نشده (کیلوگرم)]]&gt;0,'گزارش فردی'!$B$7-Main[[#This Row],[تاريخ میلادی]]-'گزارش فردی'!$B$8,0)</f>
        <v>0</v>
      </c>
      <c r="S1380" s="6">
        <f ca="1">Main[[#This Row],[روز از ارسال سفارش]]*Main[[#This Row],[بدهی تسویه نشده (کیلوگرم)]]</f>
        <v>0</v>
      </c>
      <c r="T1380" s="6">
        <f ca="1">Main[[#This Row],[بدهی سررسید شده (کیلوگرم)]]*Main[[#This Row],[روز از ارسال سفارش]]</f>
        <v>0</v>
      </c>
      <c r="U1380" s="6">
        <f>-SUBTOTAL(9,INDEX(Main[مقدار (کیلوگرم)],1):Main[[#This Row],[مقدار (کیلوگرم)]])</f>
        <v>32382</v>
      </c>
      <c r="V13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0" s="6">
        <f>Main[[#This Row],[تعداد کل روزهای بدهکار (روز)]]*Main[[#This Row],[مانده در خط کل (کیلوگرم)]]</f>
        <v>32382</v>
      </c>
      <c r="X1380" s="6">
        <f ca="1">-SUBTOTAL(9,INDEX(Main[مقدار تسویه شده (کیلوگرم)],1):Main[[#This Row],[مقدار تسویه شده (کیلوگرم)]])</f>
        <v>32382</v>
      </c>
      <c r="Y1380" s="6">
        <f ca="1">IF(Main[[#This Row],[مانده در خط تسویه شده (کیلوگرم)]]&lt;&gt;0,Main[[#This Row],[تعداد کل روزهای بدهکار (روز)]],0)</f>
        <v>1</v>
      </c>
      <c r="Z1380" s="6">
        <f ca="1">Main[[#This Row],[تعداد روزهای بدهکار تسویه شده (روز)]]*Main[[#This Row],[مانده در خط تسویه شده (کیلوگرم)]]</f>
        <v>32382</v>
      </c>
      <c r="AA1380" s="6">
        <f ca="1">SUBTOTAL(9,INDEX(Main[بدهی تسویه نشده (کیلوگرم)],1):Main[[#This Row],[بدهی تسویه نشده (کیلوگرم)]])</f>
        <v>0</v>
      </c>
      <c r="AB1380" s="6">
        <f ca="1">IF(Main[[#This Row],[مانده در خط تسویه نشده (کیلوگرم)]]&lt;&gt;0,Main[[#This Row],[تعداد کل روزهای بدهکار (روز)]],0)</f>
        <v>0</v>
      </c>
      <c r="AC1380" s="6">
        <f ca="1">Main[[#This Row],[تعداد روزهای بدهکار  تسویه نشده (روز)]]*Main[[#This Row],[مانده در خط تسویه نشده (کیلوگرم)]]</f>
        <v>0</v>
      </c>
      <c r="AD1380" s="6">
        <f ca="1">SUBTOTAL(9,INDEX(Main[بدهی سررسید شده (کیلوگرم)],1):Main[[#This Row],[بدهی سررسید شده (کیلوگرم)]])</f>
        <v>0</v>
      </c>
      <c r="AE1380" s="6">
        <f ca="1">IF(Main[[#This Row],[مانده در خط سررسید شده (کیلوگرم)]]&lt;&gt;0,Main[[#This Row],[تعداد کل روزهای بدهکار (روز)]],0)</f>
        <v>0</v>
      </c>
      <c r="AF1380" s="6">
        <f ca="1">Main[[#This Row],[تعداد روزهای بدهکار سررسید شده (روز)]]*Main[[#This Row],[مانده در خط سررسید شده (کیلوگرم)]]</f>
        <v>0</v>
      </c>
    </row>
    <row r="1381" spans="1:32" hidden="1" x14ac:dyDescent="0.35">
      <c r="A1381" s="5">
        <f>ROW()-ROW(INDEX(Main[ردیف],1))+1</f>
        <v>1379</v>
      </c>
      <c r="B1381" s="31">
        <f>SUBTOTAL(2,INDEX(Main[ردیف],1):Main[[#This Row],[ردیف]])</f>
        <v>120</v>
      </c>
      <c r="C1381" s="32" t="s">
        <v>649</v>
      </c>
      <c r="D1381" s="32" t="str">
        <f>_xlfn.CONCAT("14",Main[[#This Row],[تاريخ]])</f>
        <v>1400/06/01</v>
      </c>
      <c r="E1381" s="33">
        <v>44431</v>
      </c>
      <c r="F1381" s="32">
        <v>30009</v>
      </c>
      <c r="G1381" s="5" t="str">
        <f>INDEX(customer[عنوان],MATCH(Main[[#This Row],[کد ردیابی]],customer[کد],0))</f>
        <v>شرکت ایمن تک پیشرو</v>
      </c>
      <c r="H1381">
        <v>-4710</v>
      </c>
      <c r="I1381" s="6">
        <f ca="1">-Main[[#This Row],[بدهی تسویه شده (کیلوگرم)]]+Main[[#This Row],[بستانکار (کیلوگرم)]]</f>
        <v>-4710</v>
      </c>
      <c r="J1381" s="6">
        <f>IF(Main[[#This Row],[مقدار (کیلوگرم)]]&gt;0,Main[[#This Row],[مقدار (کیلوگرم)]],0)</f>
        <v>0</v>
      </c>
      <c r="K1381" s="6">
        <f>-IF(Main[[#This Row],[مقدار (کیلوگرم)]]&lt;0,Main[[#This Row],[مقدار (کیلوگرم)]],0)</f>
        <v>4710</v>
      </c>
      <c r="L13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1" s="7">
        <f>-IF(AND(Main[[#This Row],[مقدار (کیلوگرم)]]&lt;0,Main[[#This Row],[تاريخ میلادی]]&gt;44276),Main[[#This Row],[مقدار (کیلوگرم)]],0)</f>
        <v>4710</v>
      </c>
      <c r="N1381" s="6">
        <f ca="1">Main[[#This Row],[بدهکار (کیلوگرم)]]-Main[[#This Row],[بدهی تسویه نشده (کیلوگرم)]]</f>
        <v>4710</v>
      </c>
      <c r="O1381" s="6">
        <f ca="1">Main[[#This Row],[تفکیک]]</f>
        <v>0</v>
      </c>
      <c r="P1381" s="6">
        <f ca="1">IF(Main[[#This Row],[تاخیر از سررسید]]&gt;0,Main[[#This Row],[بدهی تسویه نشده (کیلوگرم)]],0)</f>
        <v>0</v>
      </c>
      <c r="Q1381" s="6">
        <f ca="1">IF(Main[[#This Row],[بدهی تسویه نشده (کیلوگرم)]]&gt;0,'گزارش فردی'!$B$7-Main[[#This Row],[تاريخ میلادی]],0)</f>
        <v>0</v>
      </c>
      <c r="R1381" s="6">
        <f ca="1">IF(Main[[#This Row],[بدهی تسویه نشده (کیلوگرم)]]&gt;0,'گزارش فردی'!$B$7-Main[[#This Row],[تاريخ میلادی]]-'گزارش فردی'!$B$8,0)</f>
        <v>0</v>
      </c>
      <c r="S1381" s="6">
        <f ca="1">Main[[#This Row],[روز از ارسال سفارش]]*Main[[#This Row],[بدهی تسویه نشده (کیلوگرم)]]</f>
        <v>0</v>
      </c>
      <c r="T1381" s="6">
        <f ca="1">Main[[#This Row],[بدهی سررسید شده (کیلوگرم)]]*Main[[#This Row],[روز از ارسال سفارش]]</f>
        <v>0</v>
      </c>
      <c r="U1381" s="6">
        <f>-SUBTOTAL(9,INDEX(Main[مقدار (کیلوگرم)],1):Main[[#This Row],[مقدار (کیلوگرم)]])</f>
        <v>32382</v>
      </c>
      <c r="V13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1" s="6">
        <f>Main[[#This Row],[تعداد کل روزهای بدهکار (روز)]]*Main[[#This Row],[مانده در خط کل (کیلوگرم)]]</f>
        <v>0</v>
      </c>
      <c r="X1381" s="6">
        <f ca="1">-SUBTOTAL(9,INDEX(Main[مقدار تسویه شده (کیلوگرم)],1):Main[[#This Row],[مقدار تسویه شده (کیلوگرم)]])</f>
        <v>32382</v>
      </c>
      <c r="Y1381" s="6">
        <f ca="1">IF(Main[[#This Row],[مانده در خط تسویه شده (کیلوگرم)]]&lt;&gt;0,Main[[#This Row],[تعداد کل روزهای بدهکار (روز)]],0)</f>
        <v>0</v>
      </c>
      <c r="Z1381" s="6">
        <f ca="1">Main[[#This Row],[تعداد روزهای بدهکار تسویه شده (روز)]]*Main[[#This Row],[مانده در خط تسویه شده (کیلوگرم)]]</f>
        <v>0</v>
      </c>
      <c r="AA1381" s="6">
        <f ca="1">SUBTOTAL(9,INDEX(Main[بدهی تسویه نشده (کیلوگرم)],1):Main[[#This Row],[بدهی تسویه نشده (کیلوگرم)]])</f>
        <v>0</v>
      </c>
      <c r="AB1381" s="6">
        <f ca="1">IF(Main[[#This Row],[مانده در خط تسویه نشده (کیلوگرم)]]&lt;&gt;0,Main[[#This Row],[تعداد کل روزهای بدهکار (روز)]],0)</f>
        <v>0</v>
      </c>
      <c r="AC1381" s="6">
        <f ca="1">Main[[#This Row],[تعداد روزهای بدهکار  تسویه نشده (روز)]]*Main[[#This Row],[مانده در خط تسویه نشده (کیلوگرم)]]</f>
        <v>0</v>
      </c>
      <c r="AD1381" s="6">
        <f ca="1">SUBTOTAL(9,INDEX(Main[بدهی سررسید شده (کیلوگرم)],1):Main[[#This Row],[بدهی سررسید شده (کیلوگرم)]])</f>
        <v>0</v>
      </c>
      <c r="AE1381" s="6">
        <f ca="1">IF(Main[[#This Row],[مانده در خط سررسید شده (کیلوگرم)]]&lt;&gt;0,Main[[#This Row],[تعداد کل روزهای بدهکار (روز)]],0)</f>
        <v>0</v>
      </c>
      <c r="AF1381" s="6">
        <f ca="1">Main[[#This Row],[تعداد روزهای بدهکار سررسید شده (روز)]]*Main[[#This Row],[مانده در خط سررسید شده (کیلوگرم)]]</f>
        <v>0</v>
      </c>
    </row>
    <row r="1382" spans="1:32" hidden="1" x14ac:dyDescent="0.35">
      <c r="A1382" s="5">
        <f>ROW()-ROW(INDEX(Main[ردیف],1))+1</f>
        <v>1380</v>
      </c>
      <c r="B1382" s="31">
        <f>SUBTOTAL(2,INDEX(Main[ردیف],1):Main[[#This Row],[ردیف]])</f>
        <v>120</v>
      </c>
      <c r="C1382" s="32" t="s">
        <v>649</v>
      </c>
      <c r="D1382" s="32" t="str">
        <f>_xlfn.CONCAT("14",Main[[#This Row],[تاريخ]])</f>
        <v>1400/06/01</v>
      </c>
      <c r="E1382" s="33">
        <v>44431</v>
      </c>
      <c r="F1382" s="32">
        <v>30006</v>
      </c>
      <c r="G1382" s="5" t="str">
        <f>INDEX(customer[عنوان],MATCH(Main[[#This Row],[کد ردیابی]],customer[کد],0))</f>
        <v xml:space="preserve">توان جم </v>
      </c>
      <c r="H1382">
        <v>8267</v>
      </c>
      <c r="I1382" s="6">
        <f ca="1">-Main[[#This Row],[بدهی تسویه شده (کیلوگرم)]]+Main[[#This Row],[بستانکار (کیلوگرم)]]</f>
        <v>8267</v>
      </c>
      <c r="J1382" s="6">
        <f>IF(Main[[#This Row],[مقدار (کیلوگرم)]]&gt;0,Main[[#This Row],[مقدار (کیلوگرم)]],0)</f>
        <v>8267</v>
      </c>
      <c r="K1382" s="6">
        <f>-IF(Main[[#This Row],[مقدار (کیلوگرم)]]&lt;0,Main[[#This Row],[مقدار (کیلوگرم)]],0)</f>
        <v>0</v>
      </c>
      <c r="L13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2" s="7">
        <f>-IF(AND(Main[[#This Row],[مقدار (کیلوگرم)]]&lt;0,Main[[#This Row],[تاريخ میلادی]]&gt;44276),Main[[#This Row],[مقدار (کیلوگرم)]],0)</f>
        <v>0</v>
      </c>
      <c r="N1382" s="6">
        <f ca="1">Main[[#This Row],[بدهکار (کیلوگرم)]]-Main[[#This Row],[بدهی تسویه نشده (کیلوگرم)]]</f>
        <v>0</v>
      </c>
      <c r="O1382" s="6">
        <f ca="1">Main[[#This Row],[تفکیک]]</f>
        <v>0</v>
      </c>
      <c r="P1382" s="6">
        <f ca="1">IF(Main[[#This Row],[تاخیر از سررسید]]&gt;0,Main[[#This Row],[بدهی تسویه نشده (کیلوگرم)]],0)</f>
        <v>0</v>
      </c>
      <c r="Q1382" s="6">
        <f ca="1">IF(Main[[#This Row],[بدهی تسویه نشده (کیلوگرم)]]&gt;0,'گزارش فردی'!$B$7-Main[[#This Row],[تاريخ میلادی]],0)</f>
        <v>0</v>
      </c>
      <c r="R1382" s="6">
        <f ca="1">IF(Main[[#This Row],[بدهی تسویه نشده (کیلوگرم)]]&gt;0,'گزارش فردی'!$B$7-Main[[#This Row],[تاريخ میلادی]]-'گزارش فردی'!$B$8,0)</f>
        <v>0</v>
      </c>
      <c r="S1382" s="6">
        <f ca="1">Main[[#This Row],[روز از ارسال سفارش]]*Main[[#This Row],[بدهی تسویه نشده (کیلوگرم)]]</f>
        <v>0</v>
      </c>
      <c r="T1382" s="6">
        <f ca="1">Main[[#This Row],[بدهی سررسید شده (کیلوگرم)]]*Main[[#This Row],[روز از ارسال سفارش]]</f>
        <v>0</v>
      </c>
      <c r="U1382" s="6">
        <f>-SUBTOTAL(9,INDEX(Main[مقدار (کیلوگرم)],1):Main[[#This Row],[مقدار (کیلوگرم)]])</f>
        <v>32382</v>
      </c>
      <c r="V13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2" s="6">
        <f>Main[[#This Row],[تعداد کل روزهای بدهکار (روز)]]*Main[[#This Row],[مانده در خط کل (کیلوگرم)]]</f>
        <v>0</v>
      </c>
      <c r="X1382" s="6">
        <f ca="1">-SUBTOTAL(9,INDEX(Main[مقدار تسویه شده (کیلوگرم)],1):Main[[#This Row],[مقدار تسویه شده (کیلوگرم)]])</f>
        <v>32382</v>
      </c>
      <c r="Y1382" s="6">
        <f ca="1">IF(Main[[#This Row],[مانده در خط تسویه شده (کیلوگرم)]]&lt;&gt;0,Main[[#This Row],[تعداد کل روزهای بدهکار (روز)]],0)</f>
        <v>0</v>
      </c>
      <c r="Z1382" s="6">
        <f ca="1">Main[[#This Row],[تعداد روزهای بدهکار تسویه شده (روز)]]*Main[[#This Row],[مانده در خط تسویه شده (کیلوگرم)]]</f>
        <v>0</v>
      </c>
      <c r="AA1382" s="6">
        <f ca="1">SUBTOTAL(9,INDEX(Main[بدهی تسویه نشده (کیلوگرم)],1):Main[[#This Row],[بدهی تسویه نشده (کیلوگرم)]])</f>
        <v>0</v>
      </c>
      <c r="AB1382" s="6">
        <f ca="1">IF(Main[[#This Row],[مانده در خط تسویه نشده (کیلوگرم)]]&lt;&gt;0,Main[[#This Row],[تعداد کل روزهای بدهکار (روز)]],0)</f>
        <v>0</v>
      </c>
      <c r="AC1382" s="6">
        <f ca="1">Main[[#This Row],[تعداد روزهای بدهکار  تسویه نشده (روز)]]*Main[[#This Row],[مانده در خط تسویه نشده (کیلوگرم)]]</f>
        <v>0</v>
      </c>
      <c r="AD1382" s="6">
        <f ca="1">SUBTOTAL(9,INDEX(Main[بدهی سررسید شده (کیلوگرم)],1):Main[[#This Row],[بدهی سررسید شده (کیلوگرم)]])</f>
        <v>0</v>
      </c>
      <c r="AE1382" s="6">
        <f ca="1">IF(Main[[#This Row],[مانده در خط سررسید شده (کیلوگرم)]]&lt;&gt;0,Main[[#This Row],[تعداد کل روزهای بدهکار (روز)]],0)</f>
        <v>0</v>
      </c>
      <c r="AF1382" s="6">
        <f ca="1">Main[[#This Row],[تعداد روزهای بدهکار سررسید شده (روز)]]*Main[[#This Row],[مانده در خط سررسید شده (کیلوگرم)]]</f>
        <v>0</v>
      </c>
    </row>
    <row r="1383" spans="1:32" hidden="1" x14ac:dyDescent="0.35">
      <c r="A1383" s="5">
        <f>ROW()-ROW(INDEX(Main[ردیف],1))+1</f>
        <v>1381</v>
      </c>
      <c r="B1383" s="31">
        <f>SUBTOTAL(2,INDEX(Main[ردیف],1):Main[[#This Row],[ردیف]])</f>
        <v>120</v>
      </c>
      <c r="C1383" s="32" t="s">
        <v>649</v>
      </c>
      <c r="D1383" s="32" t="str">
        <f>_xlfn.CONCAT("14",Main[[#This Row],[تاريخ]])</f>
        <v>1400/06/01</v>
      </c>
      <c r="E1383" s="33">
        <v>44431</v>
      </c>
      <c r="F1383" s="32">
        <v>10070</v>
      </c>
      <c r="G1383" s="5" t="str">
        <f>INDEX(customer[عنوان],MATCH(Main[[#This Row],[کد ردیابی]],customer[کد],0))</f>
        <v xml:space="preserve">حمیدرضا شفیعی </v>
      </c>
      <c r="H1383">
        <v>-1175</v>
      </c>
      <c r="I1383" s="6">
        <f ca="1">-Main[[#This Row],[بدهی تسویه شده (کیلوگرم)]]+Main[[#This Row],[بستانکار (کیلوگرم)]]</f>
        <v>-1175</v>
      </c>
      <c r="J1383" s="6">
        <f>IF(Main[[#This Row],[مقدار (کیلوگرم)]]&gt;0,Main[[#This Row],[مقدار (کیلوگرم)]],0)</f>
        <v>0</v>
      </c>
      <c r="K1383" s="6">
        <f>-IF(Main[[#This Row],[مقدار (کیلوگرم)]]&lt;0,Main[[#This Row],[مقدار (کیلوگرم)]],0)</f>
        <v>1175</v>
      </c>
      <c r="L13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3" s="7">
        <f>-IF(AND(Main[[#This Row],[مقدار (کیلوگرم)]]&lt;0,Main[[#This Row],[تاريخ میلادی]]&gt;44276),Main[[#This Row],[مقدار (کیلوگرم)]],0)</f>
        <v>1175</v>
      </c>
      <c r="N1383" s="6">
        <f ca="1">Main[[#This Row],[بدهکار (کیلوگرم)]]-Main[[#This Row],[بدهی تسویه نشده (کیلوگرم)]]</f>
        <v>1175</v>
      </c>
      <c r="O1383" s="6">
        <f ca="1">Main[[#This Row],[تفکیک]]</f>
        <v>0</v>
      </c>
      <c r="P1383" s="6">
        <f ca="1">IF(Main[[#This Row],[تاخیر از سررسید]]&gt;0,Main[[#This Row],[بدهی تسویه نشده (کیلوگرم)]],0)</f>
        <v>0</v>
      </c>
      <c r="Q1383" s="6">
        <f ca="1">IF(Main[[#This Row],[بدهی تسویه نشده (کیلوگرم)]]&gt;0,'گزارش فردی'!$B$7-Main[[#This Row],[تاريخ میلادی]],0)</f>
        <v>0</v>
      </c>
      <c r="R1383" s="6">
        <f ca="1">IF(Main[[#This Row],[بدهی تسویه نشده (کیلوگرم)]]&gt;0,'گزارش فردی'!$B$7-Main[[#This Row],[تاريخ میلادی]]-'گزارش فردی'!$B$8,0)</f>
        <v>0</v>
      </c>
      <c r="S1383" s="6">
        <f ca="1">Main[[#This Row],[روز از ارسال سفارش]]*Main[[#This Row],[بدهی تسویه نشده (کیلوگرم)]]</f>
        <v>0</v>
      </c>
      <c r="T1383" s="6">
        <f ca="1">Main[[#This Row],[بدهی سررسید شده (کیلوگرم)]]*Main[[#This Row],[روز از ارسال سفارش]]</f>
        <v>0</v>
      </c>
      <c r="U1383" s="6">
        <f>-SUBTOTAL(9,INDEX(Main[مقدار (کیلوگرم)],1):Main[[#This Row],[مقدار (کیلوگرم)]])</f>
        <v>32382</v>
      </c>
      <c r="V13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3" s="6">
        <f>Main[[#This Row],[تعداد کل روزهای بدهکار (روز)]]*Main[[#This Row],[مانده در خط کل (کیلوگرم)]]</f>
        <v>0</v>
      </c>
      <c r="X1383" s="6">
        <f ca="1">-SUBTOTAL(9,INDEX(Main[مقدار تسویه شده (کیلوگرم)],1):Main[[#This Row],[مقدار تسویه شده (کیلوگرم)]])</f>
        <v>32382</v>
      </c>
      <c r="Y1383" s="6">
        <f ca="1">IF(Main[[#This Row],[مانده در خط تسویه شده (کیلوگرم)]]&lt;&gt;0,Main[[#This Row],[تعداد کل روزهای بدهکار (روز)]],0)</f>
        <v>0</v>
      </c>
      <c r="Z1383" s="6">
        <f ca="1">Main[[#This Row],[تعداد روزهای بدهکار تسویه شده (روز)]]*Main[[#This Row],[مانده در خط تسویه شده (کیلوگرم)]]</f>
        <v>0</v>
      </c>
      <c r="AA1383" s="6">
        <f ca="1">SUBTOTAL(9,INDEX(Main[بدهی تسویه نشده (کیلوگرم)],1):Main[[#This Row],[بدهی تسویه نشده (کیلوگرم)]])</f>
        <v>0</v>
      </c>
      <c r="AB1383" s="6">
        <f ca="1">IF(Main[[#This Row],[مانده در خط تسویه نشده (کیلوگرم)]]&lt;&gt;0,Main[[#This Row],[تعداد کل روزهای بدهکار (روز)]],0)</f>
        <v>0</v>
      </c>
      <c r="AC1383" s="6">
        <f ca="1">Main[[#This Row],[تعداد روزهای بدهکار  تسویه نشده (روز)]]*Main[[#This Row],[مانده در خط تسویه نشده (کیلوگرم)]]</f>
        <v>0</v>
      </c>
      <c r="AD1383" s="6">
        <f ca="1">SUBTOTAL(9,INDEX(Main[بدهی سررسید شده (کیلوگرم)],1):Main[[#This Row],[بدهی سررسید شده (کیلوگرم)]])</f>
        <v>0</v>
      </c>
      <c r="AE1383" s="6">
        <f ca="1">IF(Main[[#This Row],[مانده در خط سررسید شده (کیلوگرم)]]&lt;&gt;0,Main[[#This Row],[تعداد کل روزهای بدهکار (روز)]],0)</f>
        <v>0</v>
      </c>
      <c r="AF1383" s="6">
        <f ca="1">Main[[#This Row],[تعداد روزهای بدهکار سررسید شده (روز)]]*Main[[#This Row],[مانده در خط سررسید شده (کیلوگرم)]]</f>
        <v>0</v>
      </c>
    </row>
    <row r="1384" spans="1:32" hidden="1" x14ac:dyDescent="0.35">
      <c r="A1384" s="5">
        <f>ROW()-ROW(INDEX(Main[ردیف],1))+1</f>
        <v>1382</v>
      </c>
      <c r="B1384" s="31">
        <f>SUBTOTAL(2,INDEX(Main[ردیف],1):Main[[#This Row],[ردیف]])</f>
        <v>120</v>
      </c>
      <c r="C1384" s="32" t="s">
        <v>649</v>
      </c>
      <c r="D1384" s="32" t="str">
        <f>_xlfn.CONCAT("14",Main[[#This Row],[تاريخ]])</f>
        <v>1400/06/01</v>
      </c>
      <c r="E1384" s="33">
        <v>44431</v>
      </c>
      <c r="F1384" s="32">
        <v>30081</v>
      </c>
      <c r="G1384" s="5" t="str">
        <f>INDEX(customer[عنوان],MATCH(Main[[#This Row],[کد ردیابی]],customer[کد],0))</f>
        <v xml:space="preserve">شیرآلات بهداشتی راسان </v>
      </c>
      <c r="H1384">
        <v>4306</v>
      </c>
      <c r="I1384" s="6">
        <f ca="1">-Main[[#This Row],[بدهی تسویه شده (کیلوگرم)]]+Main[[#This Row],[بستانکار (کیلوگرم)]]</f>
        <v>4306</v>
      </c>
      <c r="J1384" s="6">
        <f>IF(Main[[#This Row],[مقدار (کیلوگرم)]]&gt;0,Main[[#This Row],[مقدار (کیلوگرم)]],0)</f>
        <v>4306</v>
      </c>
      <c r="K1384" s="6">
        <f>-IF(Main[[#This Row],[مقدار (کیلوگرم)]]&lt;0,Main[[#This Row],[مقدار (کیلوگرم)]],0)</f>
        <v>0</v>
      </c>
      <c r="L13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4" s="7">
        <f>-IF(AND(Main[[#This Row],[مقدار (کیلوگرم)]]&lt;0,Main[[#This Row],[تاريخ میلادی]]&gt;44276),Main[[#This Row],[مقدار (کیلوگرم)]],0)</f>
        <v>0</v>
      </c>
      <c r="N1384" s="6">
        <f ca="1">Main[[#This Row],[بدهکار (کیلوگرم)]]-Main[[#This Row],[بدهی تسویه نشده (کیلوگرم)]]</f>
        <v>0</v>
      </c>
      <c r="O1384" s="6">
        <f ca="1">Main[[#This Row],[تفکیک]]</f>
        <v>0</v>
      </c>
      <c r="P1384" s="6">
        <f ca="1">IF(Main[[#This Row],[تاخیر از سررسید]]&gt;0,Main[[#This Row],[بدهی تسویه نشده (کیلوگرم)]],0)</f>
        <v>0</v>
      </c>
      <c r="Q1384" s="6">
        <f ca="1">IF(Main[[#This Row],[بدهی تسویه نشده (کیلوگرم)]]&gt;0,'گزارش فردی'!$B$7-Main[[#This Row],[تاريخ میلادی]],0)</f>
        <v>0</v>
      </c>
      <c r="R1384" s="6">
        <f ca="1">IF(Main[[#This Row],[بدهی تسویه نشده (کیلوگرم)]]&gt;0,'گزارش فردی'!$B$7-Main[[#This Row],[تاريخ میلادی]]-'گزارش فردی'!$B$8,0)</f>
        <v>0</v>
      </c>
      <c r="S1384" s="6">
        <f ca="1">Main[[#This Row],[روز از ارسال سفارش]]*Main[[#This Row],[بدهی تسویه نشده (کیلوگرم)]]</f>
        <v>0</v>
      </c>
      <c r="T1384" s="6">
        <f ca="1">Main[[#This Row],[بدهی سررسید شده (کیلوگرم)]]*Main[[#This Row],[روز از ارسال سفارش]]</f>
        <v>0</v>
      </c>
      <c r="U1384" s="6">
        <f>-SUBTOTAL(9,INDEX(Main[مقدار (کیلوگرم)],1):Main[[#This Row],[مقدار (کیلوگرم)]])</f>
        <v>32382</v>
      </c>
      <c r="V13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4" s="6">
        <f>Main[[#This Row],[تعداد کل روزهای بدهکار (روز)]]*Main[[#This Row],[مانده در خط کل (کیلوگرم)]]</f>
        <v>0</v>
      </c>
      <c r="X1384" s="6">
        <f ca="1">-SUBTOTAL(9,INDEX(Main[مقدار تسویه شده (کیلوگرم)],1):Main[[#This Row],[مقدار تسویه شده (کیلوگرم)]])</f>
        <v>32382</v>
      </c>
      <c r="Y1384" s="6">
        <f ca="1">IF(Main[[#This Row],[مانده در خط تسویه شده (کیلوگرم)]]&lt;&gt;0,Main[[#This Row],[تعداد کل روزهای بدهکار (روز)]],0)</f>
        <v>0</v>
      </c>
      <c r="Z1384" s="6">
        <f ca="1">Main[[#This Row],[تعداد روزهای بدهکار تسویه شده (روز)]]*Main[[#This Row],[مانده در خط تسویه شده (کیلوگرم)]]</f>
        <v>0</v>
      </c>
      <c r="AA1384" s="6">
        <f ca="1">SUBTOTAL(9,INDEX(Main[بدهی تسویه نشده (کیلوگرم)],1):Main[[#This Row],[بدهی تسویه نشده (کیلوگرم)]])</f>
        <v>0</v>
      </c>
      <c r="AB1384" s="6">
        <f ca="1">IF(Main[[#This Row],[مانده در خط تسویه نشده (کیلوگرم)]]&lt;&gt;0,Main[[#This Row],[تعداد کل روزهای بدهکار (روز)]],0)</f>
        <v>0</v>
      </c>
      <c r="AC1384" s="6">
        <f ca="1">Main[[#This Row],[تعداد روزهای بدهکار  تسویه نشده (روز)]]*Main[[#This Row],[مانده در خط تسویه نشده (کیلوگرم)]]</f>
        <v>0</v>
      </c>
      <c r="AD1384" s="6">
        <f ca="1">SUBTOTAL(9,INDEX(Main[بدهی سررسید شده (کیلوگرم)],1):Main[[#This Row],[بدهی سررسید شده (کیلوگرم)]])</f>
        <v>0</v>
      </c>
      <c r="AE1384" s="6">
        <f ca="1">IF(Main[[#This Row],[مانده در خط سررسید شده (کیلوگرم)]]&lt;&gt;0,Main[[#This Row],[تعداد کل روزهای بدهکار (روز)]],0)</f>
        <v>0</v>
      </c>
      <c r="AF1384" s="6">
        <f ca="1">Main[[#This Row],[تعداد روزهای بدهکار سررسید شده (روز)]]*Main[[#This Row],[مانده در خط سررسید شده (کیلوگرم)]]</f>
        <v>0</v>
      </c>
    </row>
    <row r="1385" spans="1:32" x14ac:dyDescent="0.35">
      <c r="A1385" s="5">
        <f>ROW()-ROW(INDEX(Main[ردیف],1))+1</f>
        <v>1383</v>
      </c>
      <c r="B1385" s="31">
        <f>SUBTOTAL(2,INDEX(Main[ردیف],1):Main[[#This Row],[ردیف]])</f>
        <v>121</v>
      </c>
      <c r="C1385" s="32" t="s">
        <v>649</v>
      </c>
      <c r="D1385" s="32" t="str">
        <f>_xlfn.CONCAT("14",Main[[#This Row],[تاريخ]])</f>
        <v>1400/06/01</v>
      </c>
      <c r="E1385" s="33">
        <v>44431</v>
      </c>
      <c r="F1385" s="32">
        <v>10003</v>
      </c>
      <c r="G1385" s="5" t="str">
        <f>INDEX(customer[عنوان],MATCH(Main[[#This Row],[کد ردیابی]],customer[کد],0))</f>
        <v>اصغر نورعلی</v>
      </c>
      <c r="H1385">
        <v>-2294</v>
      </c>
      <c r="I1385" s="6">
        <f ca="1">-Main[[#This Row],[بدهی تسویه شده (کیلوگرم)]]+Main[[#This Row],[بستانکار (کیلوگرم)]]</f>
        <v>-2294</v>
      </c>
      <c r="J1385" s="6">
        <f>IF(Main[[#This Row],[مقدار (کیلوگرم)]]&gt;0,Main[[#This Row],[مقدار (کیلوگرم)]],0)</f>
        <v>0</v>
      </c>
      <c r="K1385" s="6">
        <f>-IF(Main[[#This Row],[مقدار (کیلوگرم)]]&lt;0,Main[[#This Row],[مقدار (کیلوگرم)]],0)</f>
        <v>2294</v>
      </c>
      <c r="L13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5" s="7">
        <f>-IF(AND(Main[[#This Row],[مقدار (کیلوگرم)]]&lt;0,Main[[#This Row],[تاريخ میلادی]]&gt;44276),Main[[#This Row],[مقدار (کیلوگرم)]],0)</f>
        <v>2294</v>
      </c>
      <c r="N1385" s="6">
        <f ca="1">Main[[#This Row],[بدهکار (کیلوگرم)]]-Main[[#This Row],[بدهی تسویه نشده (کیلوگرم)]]</f>
        <v>2294</v>
      </c>
      <c r="O1385" s="6">
        <f ca="1">Main[[#This Row],[تفکیک]]</f>
        <v>0</v>
      </c>
      <c r="P1385" s="6">
        <f ca="1">IF(Main[[#This Row],[تاخیر از سررسید]]&gt;0,Main[[#This Row],[بدهی تسویه نشده (کیلوگرم)]],0)</f>
        <v>0</v>
      </c>
      <c r="Q1385" s="6">
        <f ca="1">IF(Main[[#This Row],[بدهی تسویه نشده (کیلوگرم)]]&gt;0,'گزارش فردی'!$B$7-Main[[#This Row],[تاريخ میلادی]],0)</f>
        <v>0</v>
      </c>
      <c r="R1385" s="6">
        <f ca="1">IF(Main[[#This Row],[بدهی تسویه نشده (کیلوگرم)]]&gt;0,'گزارش فردی'!$B$7-Main[[#This Row],[تاريخ میلادی]]-'گزارش فردی'!$B$8,0)</f>
        <v>0</v>
      </c>
      <c r="S1385" s="6">
        <f ca="1">Main[[#This Row],[روز از ارسال سفارش]]*Main[[#This Row],[بدهی تسویه نشده (کیلوگرم)]]</f>
        <v>0</v>
      </c>
      <c r="T1385" s="6">
        <f ca="1">Main[[#This Row],[بدهی سررسید شده (کیلوگرم)]]*Main[[#This Row],[روز از ارسال سفارش]]</f>
        <v>0</v>
      </c>
      <c r="U1385" s="6">
        <f>-SUBTOTAL(9,INDEX(Main[مقدار (کیلوگرم)],1):Main[[#This Row],[مقدار (کیلوگرم)]])</f>
        <v>34676</v>
      </c>
      <c r="V13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5" s="6">
        <f>Main[[#This Row],[تعداد کل روزهای بدهکار (روز)]]*Main[[#This Row],[مانده در خط کل (کیلوگرم)]]</f>
        <v>0</v>
      </c>
      <c r="X1385" s="6">
        <f ca="1">-SUBTOTAL(9,INDEX(Main[مقدار تسویه شده (کیلوگرم)],1):Main[[#This Row],[مقدار تسویه شده (کیلوگرم)]])</f>
        <v>34676</v>
      </c>
      <c r="Y1385" s="6">
        <f ca="1">IF(Main[[#This Row],[مانده در خط تسویه شده (کیلوگرم)]]&lt;&gt;0,Main[[#This Row],[تعداد کل روزهای بدهکار (روز)]],0)</f>
        <v>0</v>
      </c>
      <c r="Z1385" s="6">
        <f ca="1">Main[[#This Row],[تعداد روزهای بدهکار تسویه شده (روز)]]*Main[[#This Row],[مانده در خط تسویه شده (کیلوگرم)]]</f>
        <v>0</v>
      </c>
      <c r="AA1385" s="6">
        <f ca="1">SUBTOTAL(9,INDEX(Main[بدهی تسویه نشده (کیلوگرم)],1):Main[[#This Row],[بدهی تسویه نشده (کیلوگرم)]])</f>
        <v>0</v>
      </c>
      <c r="AB1385" s="6">
        <f ca="1">IF(Main[[#This Row],[مانده در خط تسویه نشده (کیلوگرم)]]&lt;&gt;0,Main[[#This Row],[تعداد کل روزهای بدهکار (روز)]],0)</f>
        <v>0</v>
      </c>
      <c r="AC1385" s="6">
        <f ca="1">Main[[#This Row],[تعداد روزهای بدهکار  تسویه نشده (روز)]]*Main[[#This Row],[مانده در خط تسویه نشده (کیلوگرم)]]</f>
        <v>0</v>
      </c>
      <c r="AD1385" s="6">
        <f ca="1">SUBTOTAL(9,INDEX(Main[بدهی سررسید شده (کیلوگرم)],1):Main[[#This Row],[بدهی سررسید شده (کیلوگرم)]])</f>
        <v>0</v>
      </c>
      <c r="AE1385" s="6">
        <f ca="1">IF(Main[[#This Row],[مانده در خط سررسید شده (کیلوگرم)]]&lt;&gt;0,Main[[#This Row],[تعداد کل روزهای بدهکار (روز)]],0)</f>
        <v>0</v>
      </c>
      <c r="AF1385" s="6">
        <f ca="1">Main[[#This Row],[تعداد روزهای بدهکار سررسید شده (روز)]]*Main[[#This Row],[مانده در خط سررسید شده (کیلوگرم)]]</f>
        <v>0</v>
      </c>
    </row>
    <row r="1386" spans="1:32" x14ac:dyDescent="0.35">
      <c r="A1386" s="5">
        <f>ROW()-ROW(INDEX(Main[ردیف],1))+1</f>
        <v>1384</v>
      </c>
      <c r="B1386" s="31">
        <f>SUBTOTAL(2,INDEX(Main[ردیف],1):Main[[#This Row],[ردیف]])</f>
        <v>122</v>
      </c>
      <c r="C1386" s="32" t="s">
        <v>649</v>
      </c>
      <c r="D1386" s="32" t="str">
        <f>_xlfn.CONCAT("14",Main[[#This Row],[تاريخ]])</f>
        <v>1400/06/01</v>
      </c>
      <c r="E1386" s="33">
        <v>44431</v>
      </c>
      <c r="F1386" s="32">
        <v>10003</v>
      </c>
      <c r="G1386" s="5" t="str">
        <f>INDEX(customer[عنوان],MATCH(Main[[#This Row],[کد ردیابی]],customer[کد],0))</f>
        <v>اصغر نورعلی</v>
      </c>
      <c r="H1386">
        <v>2138</v>
      </c>
      <c r="I1386" s="6">
        <f ca="1">-Main[[#This Row],[بدهی تسویه شده (کیلوگرم)]]+Main[[#This Row],[بستانکار (کیلوگرم)]]</f>
        <v>2138</v>
      </c>
      <c r="J1386" s="6">
        <f>IF(Main[[#This Row],[مقدار (کیلوگرم)]]&gt;0,Main[[#This Row],[مقدار (کیلوگرم)]],0)</f>
        <v>2138</v>
      </c>
      <c r="K1386" s="6">
        <f>-IF(Main[[#This Row],[مقدار (کیلوگرم)]]&lt;0,Main[[#This Row],[مقدار (کیلوگرم)]],0)</f>
        <v>0</v>
      </c>
      <c r="L13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6" s="7">
        <f>-IF(AND(Main[[#This Row],[مقدار (کیلوگرم)]]&lt;0,Main[[#This Row],[تاريخ میلادی]]&gt;44276),Main[[#This Row],[مقدار (کیلوگرم)]],0)</f>
        <v>0</v>
      </c>
      <c r="N1386" s="6">
        <f ca="1">Main[[#This Row],[بدهکار (کیلوگرم)]]-Main[[#This Row],[بدهی تسویه نشده (کیلوگرم)]]</f>
        <v>0</v>
      </c>
      <c r="O1386" s="6">
        <f ca="1">Main[[#This Row],[تفکیک]]</f>
        <v>0</v>
      </c>
      <c r="P1386" s="6">
        <f ca="1">IF(Main[[#This Row],[تاخیر از سررسید]]&gt;0,Main[[#This Row],[بدهی تسویه نشده (کیلوگرم)]],0)</f>
        <v>0</v>
      </c>
      <c r="Q1386" s="6">
        <f ca="1">IF(Main[[#This Row],[بدهی تسویه نشده (کیلوگرم)]]&gt;0,'گزارش فردی'!$B$7-Main[[#This Row],[تاريخ میلادی]],0)</f>
        <v>0</v>
      </c>
      <c r="R1386" s="6">
        <f ca="1">IF(Main[[#This Row],[بدهی تسویه نشده (کیلوگرم)]]&gt;0,'گزارش فردی'!$B$7-Main[[#This Row],[تاريخ میلادی]]-'گزارش فردی'!$B$8,0)</f>
        <v>0</v>
      </c>
      <c r="S1386" s="6">
        <f ca="1">Main[[#This Row],[روز از ارسال سفارش]]*Main[[#This Row],[بدهی تسویه نشده (کیلوگرم)]]</f>
        <v>0</v>
      </c>
      <c r="T1386" s="6">
        <f ca="1">Main[[#This Row],[بدهی سررسید شده (کیلوگرم)]]*Main[[#This Row],[روز از ارسال سفارش]]</f>
        <v>0</v>
      </c>
      <c r="U1386" s="6">
        <f>-SUBTOTAL(9,INDEX(Main[مقدار (کیلوگرم)],1):Main[[#This Row],[مقدار (کیلوگرم)]])</f>
        <v>32538</v>
      </c>
      <c r="V13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6" s="6">
        <f>Main[[#This Row],[تعداد کل روزهای بدهکار (روز)]]*Main[[#This Row],[مانده در خط کل (کیلوگرم)]]</f>
        <v>32538</v>
      </c>
      <c r="X1386" s="6">
        <f ca="1">-SUBTOTAL(9,INDEX(Main[مقدار تسویه شده (کیلوگرم)],1):Main[[#This Row],[مقدار تسویه شده (کیلوگرم)]])</f>
        <v>32538</v>
      </c>
      <c r="Y1386" s="6">
        <f ca="1">IF(Main[[#This Row],[مانده در خط تسویه شده (کیلوگرم)]]&lt;&gt;0,Main[[#This Row],[تعداد کل روزهای بدهکار (روز)]],0)</f>
        <v>1</v>
      </c>
      <c r="Z1386" s="6">
        <f ca="1">Main[[#This Row],[تعداد روزهای بدهکار تسویه شده (روز)]]*Main[[#This Row],[مانده در خط تسویه شده (کیلوگرم)]]</f>
        <v>32538</v>
      </c>
      <c r="AA1386" s="6">
        <f ca="1">SUBTOTAL(9,INDEX(Main[بدهی تسویه نشده (کیلوگرم)],1):Main[[#This Row],[بدهی تسویه نشده (کیلوگرم)]])</f>
        <v>0</v>
      </c>
      <c r="AB1386" s="6">
        <f ca="1">IF(Main[[#This Row],[مانده در خط تسویه نشده (کیلوگرم)]]&lt;&gt;0,Main[[#This Row],[تعداد کل روزهای بدهکار (روز)]],0)</f>
        <v>0</v>
      </c>
      <c r="AC1386" s="6">
        <f ca="1">Main[[#This Row],[تعداد روزهای بدهکار  تسویه نشده (روز)]]*Main[[#This Row],[مانده در خط تسویه نشده (کیلوگرم)]]</f>
        <v>0</v>
      </c>
      <c r="AD1386" s="6">
        <f ca="1">SUBTOTAL(9,INDEX(Main[بدهی سررسید شده (کیلوگرم)],1):Main[[#This Row],[بدهی سررسید شده (کیلوگرم)]])</f>
        <v>0</v>
      </c>
      <c r="AE1386" s="6">
        <f ca="1">IF(Main[[#This Row],[مانده در خط سررسید شده (کیلوگرم)]]&lt;&gt;0,Main[[#This Row],[تعداد کل روزهای بدهکار (روز)]],0)</f>
        <v>0</v>
      </c>
      <c r="AF1386" s="6">
        <f ca="1">Main[[#This Row],[تعداد روزهای بدهکار سررسید شده (روز)]]*Main[[#This Row],[مانده در خط سررسید شده (کیلوگرم)]]</f>
        <v>0</v>
      </c>
    </row>
    <row r="1387" spans="1:32" hidden="1" x14ac:dyDescent="0.35">
      <c r="A1387" s="5">
        <f>ROW()-ROW(INDEX(Main[ردیف],1))+1</f>
        <v>1385</v>
      </c>
      <c r="B1387" s="31">
        <f>SUBTOTAL(2,INDEX(Main[ردیف],1):Main[[#This Row],[ردیف]])</f>
        <v>122</v>
      </c>
      <c r="C1387" s="32" t="s">
        <v>649</v>
      </c>
      <c r="D1387" s="32" t="str">
        <f>_xlfn.CONCAT("14",Main[[#This Row],[تاريخ]])</f>
        <v>1400/06/01</v>
      </c>
      <c r="E1387" s="33">
        <v>44431</v>
      </c>
      <c r="F1387" s="32">
        <v>10026</v>
      </c>
      <c r="G1387" s="5" t="str">
        <f>INDEX(customer[عنوان],MATCH(Main[[#This Row],[کد ردیابی]],customer[کد],0))</f>
        <v xml:space="preserve">محسن فیاض بخش </v>
      </c>
      <c r="H1387">
        <v>-2117</v>
      </c>
      <c r="I1387" s="6">
        <f ca="1">-Main[[#This Row],[بدهی تسویه شده (کیلوگرم)]]+Main[[#This Row],[بستانکار (کیلوگرم)]]</f>
        <v>-2117</v>
      </c>
      <c r="J1387" s="6">
        <f>IF(Main[[#This Row],[مقدار (کیلوگرم)]]&gt;0,Main[[#This Row],[مقدار (کیلوگرم)]],0)</f>
        <v>0</v>
      </c>
      <c r="K1387" s="6">
        <f>-IF(Main[[#This Row],[مقدار (کیلوگرم)]]&lt;0,Main[[#This Row],[مقدار (کیلوگرم)]],0)</f>
        <v>2117</v>
      </c>
      <c r="L13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7" s="7">
        <f>-IF(AND(Main[[#This Row],[مقدار (کیلوگرم)]]&lt;0,Main[[#This Row],[تاريخ میلادی]]&gt;44276),Main[[#This Row],[مقدار (کیلوگرم)]],0)</f>
        <v>2117</v>
      </c>
      <c r="N1387" s="6">
        <f ca="1">Main[[#This Row],[بدهکار (کیلوگرم)]]-Main[[#This Row],[بدهی تسویه نشده (کیلوگرم)]]</f>
        <v>2117</v>
      </c>
      <c r="O1387" s="6">
        <f ca="1">Main[[#This Row],[تفکیک]]</f>
        <v>0</v>
      </c>
      <c r="P1387" s="6">
        <f ca="1">IF(Main[[#This Row],[تاخیر از سررسید]]&gt;0,Main[[#This Row],[بدهی تسویه نشده (کیلوگرم)]],0)</f>
        <v>0</v>
      </c>
      <c r="Q1387" s="6">
        <f ca="1">IF(Main[[#This Row],[بدهی تسویه نشده (کیلوگرم)]]&gt;0,'گزارش فردی'!$B$7-Main[[#This Row],[تاريخ میلادی]],0)</f>
        <v>0</v>
      </c>
      <c r="R1387" s="6">
        <f ca="1">IF(Main[[#This Row],[بدهی تسویه نشده (کیلوگرم)]]&gt;0,'گزارش فردی'!$B$7-Main[[#This Row],[تاريخ میلادی]]-'گزارش فردی'!$B$8,0)</f>
        <v>0</v>
      </c>
      <c r="S1387" s="6">
        <f ca="1">Main[[#This Row],[روز از ارسال سفارش]]*Main[[#This Row],[بدهی تسویه نشده (کیلوگرم)]]</f>
        <v>0</v>
      </c>
      <c r="T1387" s="6">
        <f ca="1">Main[[#This Row],[بدهی سررسید شده (کیلوگرم)]]*Main[[#This Row],[روز از ارسال سفارش]]</f>
        <v>0</v>
      </c>
      <c r="U1387" s="6">
        <f>-SUBTOTAL(9,INDEX(Main[مقدار (کیلوگرم)],1):Main[[#This Row],[مقدار (کیلوگرم)]])</f>
        <v>32538</v>
      </c>
      <c r="V13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7" s="6">
        <f>Main[[#This Row],[تعداد کل روزهای بدهکار (روز)]]*Main[[#This Row],[مانده در خط کل (کیلوگرم)]]</f>
        <v>32538</v>
      </c>
      <c r="X1387" s="6">
        <f ca="1">-SUBTOTAL(9,INDEX(Main[مقدار تسویه شده (کیلوگرم)],1):Main[[#This Row],[مقدار تسویه شده (کیلوگرم)]])</f>
        <v>32538</v>
      </c>
      <c r="Y1387" s="6">
        <f ca="1">IF(Main[[#This Row],[مانده در خط تسویه شده (کیلوگرم)]]&lt;&gt;0,Main[[#This Row],[تعداد کل روزهای بدهکار (روز)]],0)</f>
        <v>1</v>
      </c>
      <c r="Z1387" s="6">
        <f ca="1">Main[[#This Row],[تعداد روزهای بدهکار تسویه شده (روز)]]*Main[[#This Row],[مانده در خط تسویه شده (کیلوگرم)]]</f>
        <v>32538</v>
      </c>
      <c r="AA1387" s="6">
        <f ca="1">SUBTOTAL(9,INDEX(Main[بدهی تسویه نشده (کیلوگرم)],1):Main[[#This Row],[بدهی تسویه نشده (کیلوگرم)]])</f>
        <v>0</v>
      </c>
      <c r="AB1387" s="6">
        <f ca="1">IF(Main[[#This Row],[مانده در خط تسویه نشده (کیلوگرم)]]&lt;&gt;0,Main[[#This Row],[تعداد کل روزهای بدهکار (روز)]],0)</f>
        <v>0</v>
      </c>
      <c r="AC1387" s="6">
        <f ca="1">Main[[#This Row],[تعداد روزهای بدهکار  تسویه نشده (روز)]]*Main[[#This Row],[مانده در خط تسویه نشده (کیلوگرم)]]</f>
        <v>0</v>
      </c>
      <c r="AD1387" s="6">
        <f ca="1">SUBTOTAL(9,INDEX(Main[بدهی سررسید شده (کیلوگرم)],1):Main[[#This Row],[بدهی سررسید شده (کیلوگرم)]])</f>
        <v>0</v>
      </c>
      <c r="AE1387" s="6">
        <f ca="1">IF(Main[[#This Row],[مانده در خط سررسید شده (کیلوگرم)]]&lt;&gt;0,Main[[#This Row],[تعداد کل روزهای بدهکار (روز)]],0)</f>
        <v>0</v>
      </c>
      <c r="AF1387" s="6">
        <f ca="1">Main[[#This Row],[تعداد روزهای بدهکار سررسید شده (روز)]]*Main[[#This Row],[مانده در خط سررسید شده (کیلوگرم)]]</f>
        <v>0</v>
      </c>
    </row>
    <row r="1388" spans="1:32" hidden="1" x14ac:dyDescent="0.35">
      <c r="A1388" s="5">
        <f>ROW()-ROW(INDEX(Main[ردیف],1))+1</f>
        <v>1386</v>
      </c>
      <c r="B1388" s="31">
        <f>SUBTOTAL(2,INDEX(Main[ردیف],1):Main[[#This Row],[ردیف]])</f>
        <v>122</v>
      </c>
      <c r="C1388" s="32" t="s">
        <v>649</v>
      </c>
      <c r="D1388" s="32" t="str">
        <f>_xlfn.CONCAT("14",Main[[#This Row],[تاريخ]])</f>
        <v>1400/06/01</v>
      </c>
      <c r="E1388" s="33">
        <v>44431</v>
      </c>
      <c r="F1388" s="32">
        <v>30127</v>
      </c>
      <c r="G1388" s="5" t="str">
        <f>INDEX(customer[عنوان],MATCH(Main[[#This Row],[کد ردیابی]],customer[کد],0))</f>
        <v>شیر گاز آذران</v>
      </c>
      <c r="H1388">
        <v>1480</v>
      </c>
      <c r="I1388" s="6">
        <f ca="1">-Main[[#This Row],[بدهی تسویه شده (کیلوگرم)]]+Main[[#This Row],[بستانکار (کیلوگرم)]]</f>
        <v>1480</v>
      </c>
      <c r="J1388" s="6">
        <f>IF(Main[[#This Row],[مقدار (کیلوگرم)]]&gt;0,Main[[#This Row],[مقدار (کیلوگرم)]],0)</f>
        <v>1480</v>
      </c>
      <c r="K1388" s="6">
        <f>-IF(Main[[#This Row],[مقدار (کیلوگرم)]]&lt;0,Main[[#This Row],[مقدار (کیلوگرم)]],0)</f>
        <v>0</v>
      </c>
      <c r="L13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8" s="7">
        <f>-IF(AND(Main[[#This Row],[مقدار (کیلوگرم)]]&lt;0,Main[[#This Row],[تاريخ میلادی]]&gt;44276),Main[[#This Row],[مقدار (کیلوگرم)]],0)</f>
        <v>0</v>
      </c>
      <c r="N1388" s="6">
        <f ca="1">Main[[#This Row],[بدهکار (کیلوگرم)]]-Main[[#This Row],[بدهی تسویه نشده (کیلوگرم)]]</f>
        <v>0</v>
      </c>
      <c r="O1388" s="6">
        <f ca="1">Main[[#This Row],[تفکیک]]</f>
        <v>0</v>
      </c>
      <c r="P1388" s="6">
        <f ca="1">IF(Main[[#This Row],[تاخیر از سررسید]]&gt;0,Main[[#This Row],[بدهی تسویه نشده (کیلوگرم)]],0)</f>
        <v>0</v>
      </c>
      <c r="Q1388" s="6">
        <f ca="1">IF(Main[[#This Row],[بدهی تسویه نشده (کیلوگرم)]]&gt;0,'گزارش فردی'!$B$7-Main[[#This Row],[تاريخ میلادی]],0)</f>
        <v>0</v>
      </c>
      <c r="R1388" s="6">
        <f ca="1">IF(Main[[#This Row],[بدهی تسویه نشده (کیلوگرم)]]&gt;0,'گزارش فردی'!$B$7-Main[[#This Row],[تاريخ میلادی]]-'گزارش فردی'!$B$8,0)</f>
        <v>0</v>
      </c>
      <c r="S1388" s="6">
        <f ca="1">Main[[#This Row],[روز از ارسال سفارش]]*Main[[#This Row],[بدهی تسویه نشده (کیلوگرم)]]</f>
        <v>0</v>
      </c>
      <c r="T1388" s="6">
        <f ca="1">Main[[#This Row],[بدهی سررسید شده (کیلوگرم)]]*Main[[#This Row],[روز از ارسال سفارش]]</f>
        <v>0</v>
      </c>
      <c r="U1388" s="6">
        <f>-SUBTOTAL(9,INDEX(Main[مقدار (کیلوگرم)],1):Main[[#This Row],[مقدار (کیلوگرم)]])</f>
        <v>32538</v>
      </c>
      <c r="V13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8" s="6">
        <f>Main[[#This Row],[تعداد کل روزهای بدهکار (روز)]]*Main[[#This Row],[مانده در خط کل (کیلوگرم)]]</f>
        <v>32538</v>
      </c>
      <c r="X1388" s="6">
        <f ca="1">-SUBTOTAL(9,INDEX(Main[مقدار تسویه شده (کیلوگرم)],1):Main[[#This Row],[مقدار تسویه شده (کیلوگرم)]])</f>
        <v>32538</v>
      </c>
      <c r="Y1388" s="6">
        <f ca="1">IF(Main[[#This Row],[مانده در خط تسویه شده (کیلوگرم)]]&lt;&gt;0,Main[[#This Row],[تعداد کل روزهای بدهکار (روز)]],0)</f>
        <v>1</v>
      </c>
      <c r="Z1388" s="6">
        <f ca="1">Main[[#This Row],[تعداد روزهای بدهکار تسویه شده (روز)]]*Main[[#This Row],[مانده در خط تسویه شده (کیلوگرم)]]</f>
        <v>32538</v>
      </c>
      <c r="AA1388" s="6">
        <f ca="1">SUBTOTAL(9,INDEX(Main[بدهی تسویه نشده (کیلوگرم)],1):Main[[#This Row],[بدهی تسویه نشده (کیلوگرم)]])</f>
        <v>0</v>
      </c>
      <c r="AB1388" s="6">
        <f ca="1">IF(Main[[#This Row],[مانده در خط تسویه نشده (کیلوگرم)]]&lt;&gt;0,Main[[#This Row],[تعداد کل روزهای بدهکار (روز)]],0)</f>
        <v>0</v>
      </c>
      <c r="AC1388" s="6">
        <f ca="1">Main[[#This Row],[تعداد روزهای بدهکار  تسویه نشده (روز)]]*Main[[#This Row],[مانده در خط تسویه نشده (کیلوگرم)]]</f>
        <v>0</v>
      </c>
      <c r="AD1388" s="6">
        <f ca="1">SUBTOTAL(9,INDEX(Main[بدهی سررسید شده (کیلوگرم)],1):Main[[#This Row],[بدهی سررسید شده (کیلوگرم)]])</f>
        <v>0</v>
      </c>
      <c r="AE1388" s="6">
        <f ca="1">IF(Main[[#This Row],[مانده در خط سررسید شده (کیلوگرم)]]&lt;&gt;0,Main[[#This Row],[تعداد کل روزهای بدهکار (روز)]],0)</f>
        <v>0</v>
      </c>
      <c r="AF1388" s="6">
        <f ca="1">Main[[#This Row],[تعداد روزهای بدهکار سررسید شده (روز)]]*Main[[#This Row],[مانده در خط سررسید شده (کیلوگرم)]]</f>
        <v>0</v>
      </c>
    </row>
    <row r="1389" spans="1:32" hidden="1" x14ac:dyDescent="0.35">
      <c r="A1389" s="5">
        <f>ROW()-ROW(INDEX(Main[ردیف],1))+1</f>
        <v>1387</v>
      </c>
      <c r="B1389" s="31">
        <f>SUBTOTAL(2,INDEX(Main[ردیف],1):Main[[#This Row],[ردیف]])</f>
        <v>122</v>
      </c>
      <c r="C1389" s="32" t="s">
        <v>649</v>
      </c>
      <c r="D1389" s="32" t="str">
        <f>_xlfn.CONCAT("14",Main[[#This Row],[تاريخ]])</f>
        <v>1400/06/01</v>
      </c>
      <c r="E1389" s="33">
        <v>44431</v>
      </c>
      <c r="F1389" s="32">
        <v>10070</v>
      </c>
      <c r="G1389" s="5" t="str">
        <f>INDEX(customer[عنوان],MATCH(Main[[#This Row],[کد ردیابی]],customer[کد],0))</f>
        <v xml:space="preserve">حمیدرضا شفیعی </v>
      </c>
      <c r="H1389">
        <v>-492</v>
      </c>
      <c r="I1389" s="6">
        <f ca="1">-Main[[#This Row],[بدهی تسویه شده (کیلوگرم)]]+Main[[#This Row],[بستانکار (کیلوگرم)]]</f>
        <v>-492</v>
      </c>
      <c r="J1389" s="6">
        <f>IF(Main[[#This Row],[مقدار (کیلوگرم)]]&gt;0,Main[[#This Row],[مقدار (کیلوگرم)]],0)</f>
        <v>0</v>
      </c>
      <c r="K1389" s="6">
        <f>-IF(Main[[#This Row],[مقدار (کیلوگرم)]]&lt;0,Main[[#This Row],[مقدار (کیلوگرم)]],0)</f>
        <v>492</v>
      </c>
      <c r="L13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9" s="7">
        <f>-IF(AND(Main[[#This Row],[مقدار (کیلوگرم)]]&lt;0,Main[[#This Row],[تاريخ میلادی]]&gt;44276),Main[[#This Row],[مقدار (کیلوگرم)]],0)</f>
        <v>492</v>
      </c>
      <c r="N1389" s="6">
        <f ca="1">Main[[#This Row],[بدهکار (کیلوگرم)]]-Main[[#This Row],[بدهی تسویه نشده (کیلوگرم)]]</f>
        <v>492</v>
      </c>
      <c r="O1389" s="6">
        <f ca="1">Main[[#This Row],[تفکیک]]</f>
        <v>0</v>
      </c>
      <c r="P1389" s="6">
        <f ca="1">IF(Main[[#This Row],[تاخیر از سررسید]]&gt;0,Main[[#This Row],[بدهی تسویه نشده (کیلوگرم)]],0)</f>
        <v>0</v>
      </c>
      <c r="Q1389" s="6">
        <f ca="1">IF(Main[[#This Row],[بدهی تسویه نشده (کیلوگرم)]]&gt;0,'گزارش فردی'!$B$7-Main[[#This Row],[تاريخ میلادی]],0)</f>
        <v>0</v>
      </c>
      <c r="R1389" s="6">
        <f ca="1">IF(Main[[#This Row],[بدهی تسویه نشده (کیلوگرم)]]&gt;0,'گزارش فردی'!$B$7-Main[[#This Row],[تاريخ میلادی]]-'گزارش فردی'!$B$8,0)</f>
        <v>0</v>
      </c>
      <c r="S1389" s="6">
        <f ca="1">Main[[#This Row],[روز از ارسال سفارش]]*Main[[#This Row],[بدهی تسویه نشده (کیلوگرم)]]</f>
        <v>0</v>
      </c>
      <c r="T1389" s="6">
        <f ca="1">Main[[#This Row],[بدهی سررسید شده (کیلوگرم)]]*Main[[#This Row],[روز از ارسال سفارش]]</f>
        <v>0</v>
      </c>
      <c r="U1389" s="6">
        <f>-SUBTOTAL(9,INDEX(Main[مقدار (کیلوگرم)],1):Main[[#This Row],[مقدار (کیلوگرم)]])</f>
        <v>32538</v>
      </c>
      <c r="V13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9" s="6">
        <f>Main[[#This Row],[تعداد کل روزهای بدهکار (روز)]]*Main[[#This Row],[مانده در خط کل (کیلوگرم)]]</f>
        <v>32538</v>
      </c>
      <c r="X1389" s="6">
        <f ca="1">-SUBTOTAL(9,INDEX(Main[مقدار تسویه شده (کیلوگرم)],1):Main[[#This Row],[مقدار تسویه شده (کیلوگرم)]])</f>
        <v>32538</v>
      </c>
      <c r="Y1389" s="6">
        <f ca="1">IF(Main[[#This Row],[مانده در خط تسویه شده (کیلوگرم)]]&lt;&gt;0,Main[[#This Row],[تعداد کل روزهای بدهکار (روز)]],0)</f>
        <v>1</v>
      </c>
      <c r="Z1389" s="6">
        <f ca="1">Main[[#This Row],[تعداد روزهای بدهکار تسویه شده (روز)]]*Main[[#This Row],[مانده در خط تسویه شده (کیلوگرم)]]</f>
        <v>32538</v>
      </c>
      <c r="AA1389" s="6">
        <f ca="1">SUBTOTAL(9,INDEX(Main[بدهی تسویه نشده (کیلوگرم)],1):Main[[#This Row],[بدهی تسویه نشده (کیلوگرم)]])</f>
        <v>0</v>
      </c>
      <c r="AB1389" s="6">
        <f ca="1">IF(Main[[#This Row],[مانده در خط تسویه نشده (کیلوگرم)]]&lt;&gt;0,Main[[#This Row],[تعداد کل روزهای بدهکار (روز)]],0)</f>
        <v>0</v>
      </c>
      <c r="AC1389" s="6">
        <f ca="1">Main[[#This Row],[تعداد روزهای بدهکار  تسویه نشده (روز)]]*Main[[#This Row],[مانده در خط تسویه نشده (کیلوگرم)]]</f>
        <v>0</v>
      </c>
      <c r="AD1389" s="6">
        <f ca="1">SUBTOTAL(9,INDEX(Main[بدهی سررسید شده (کیلوگرم)],1):Main[[#This Row],[بدهی سررسید شده (کیلوگرم)]])</f>
        <v>0</v>
      </c>
      <c r="AE1389" s="6">
        <f ca="1">IF(Main[[#This Row],[مانده در خط سررسید شده (کیلوگرم)]]&lt;&gt;0,Main[[#This Row],[تعداد کل روزهای بدهکار (روز)]],0)</f>
        <v>0</v>
      </c>
      <c r="AF1389" s="6">
        <f ca="1">Main[[#This Row],[تعداد روزهای بدهکار سررسید شده (روز)]]*Main[[#This Row],[مانده در خط سررسید شده (کیلوگرم)]]</f>
        <v>0</v>
      </c>
    </row>
    <row r="1390" spans="1:32" x14ac:dyDescent="0.35">
      <c r="A1390" s="5">
        <f>ROW()-ROW(INDEX(Main[ردیف],1))+1</f>
        <v>1388</v>
      </c>
      <c r="B1390" s="31">
        <f>SUBTOTAL(2,INDEX(Main[ردیف],1):Main[[#This Row],[ردیف]])</f>
        <v>123</v>
      </c>
      <c r="C1390" s="32" t="s">
        <v>650</v>
      </c>
      <c r="D1390" s="32" t="str">
        <f>_xlfn.CONCAT("14",Main[[#This Row],[تاريخ]])</f>
        <v>1400/06/02</v>
      </c>
      <c r="E1390" s="33">
        <v>44432</v>
      </c>
      <c r="F1390" s="32">
        <v>10003</v>
      </c>
      <c r="G1390" s="5" t="str">
        <f>INDEX(customer[عنوان],MATCH(Main[[#This Row],[کد ردیابی]],customer[کد],0))</f>
        <v>اصغر نورعلی</v>
      </c>
      <c r="H1390">
        <v>2637</v>
      </c>
      <c r="I1390" s="6">
        <f ca="1">-Main[[#This Row],[بدهی تسویه شده (کیلوگرم)]]+Main[[#This Row],[بستانکار (کیلوگرم)]]</f>
        <v>2637</v>
      </c>
      <c r="J1390" s="6">
        <f>IF(Main[[#This Row],[مقدار (کیلوگرم)]]&gt;0,Main[[#This Row],[مقدار (کیلوگرم)]],0)</f>
        <v>2637</v>
      </c>
      <c r="K1390" s="6">
        <f>-IF(Main[[#This Row],[مقدار (کیلوگرم)]]&lt;0,Main[[#This Row],[مقدار (کیلوگرم)]],0)</f>
        <v>0</v>
      </c>
      <c r="L13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0" s="7">
        <f>-IF(AND(Main[[#This Row],[مقدار (کیلوگرم)]]&lt;0,Main[[#This Row],[تاريخ میلادی]]&gt;44276),Main[[#This Row],[مقدار (کیلوگرم)]],0)</f>
        <v>0</v>
      </c>
      <c r="N1390" s="6">
        <f ca="1">Main[[#This Row],[بدهکار (کیلوگرم)]]-Main[[#This Row],[بدهی تسویه نشده (کیلوگرم)]]</f>
        <v>0</v>
      </c>
      <c r="O1390" s="6">
        <f ca="1">Main[[#This Row],[تفکیک]]</f>
        <v>0</v>
      </c>
      <c r="P1390" s="6">
        <f ca="1">IF(Main[[#This Row],[تاخیر از سررسید]]&gt;0,Main[[#This Row],[بدهی تسویه نشده (کیلوگرم)]],0)</f>
        <v>0</v>
      </c>
      <c r="Q1390" s="6">
        <f ca="1">IF(Main[[#This Row],[بدهی تسویه نشده (کیلوگرم)]]&gt;0,'گزارش فردی'!$B$7-Main[[#This Row],[تاريخ میلادی]],0)</f>
        <v>0</v>
      </c>
      <c r="R1390" s="6">
        <f ca="1">IF(Main[[#This Row],[بدهی تسویه نشده (کیلوگرم)]]&gt;0,'گزارش فردی'!$B$7-Main[[#This Row],[تاريخ میلادی]]-'گزارش فردی'!$B$8,0)</f>
        <v>0</v>
      </c>
      <c r="S1390" s="6">
        <f ca="1">Main[[#This Row],[روز از ارسال سفارش]]*Main[[#This Row],[بدهی تسویه نشده (کیلوگرم)]]</f>
        <v>0</v>
      </c>
      <c r="T1390" s="6">
        <f ca="1">Main[[#This Row],[بدهی سررسید شده (کیلوگرم)]]*Main[[#This Row],[روز از ارسال سفارش]]</f>
        <v>0</v>
      </c>
      <c r="U1390" s="6">
        <f>-SUBTOTAL(9,INDEX(Main[مقدار (کیلوگرم)],1):Main[[#This Row],[مقدار (کیلوگرم)]])</f>
        <v>29901</v>
      </c>
      <c r="V13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0" s="6">
        <f>Main[[#This Row],[تعداد کل روزهای بدهکار (روز)]]*Main[[#This Row],[مانده در خط کل (کیلوگرم)]]</f>
        <v>0</v>
      </c>
      <c r="X1390" s="6">
        <f ca="1">-SUBTOTAL(9,INDEX(Main[مقدار تسویه شده (کیلوگرم)],1):Main[[#This Row],[مقدار تسویه شده (کیلوگرم)]])</f>
        <v>29901</v>
      </c>
      <c r="Y1390" s="6">
        <f ca="1">IF(Main[[#This Row],[مانده در خط تسویه شده (کیلوگرم)]]&lt;&gt;0,Main[[#This Row],[تعداد کل روزهای بدهکار (روز)]],0)</f>
        <v>0</v>
      </c>
      <c r="Z1390" s="6">
        <f ca="1">Main[[#This Row],[تعداد روزهای بدهکار تسویه شده (روز)]]*Main[[#This Row],[مانده در خط تسویه شده (کیلوگرم)]]</f>
        <v>0</v>
      </c>
      <c r="AA1390" s="6">
        <f ca="1">SUBTOTAL(9,INDEX(Main[بدهی تسویه نشده (کیلوگرم)],1):Main[[#This Row],[بدهی تسویه نشده (کیلوگرم)]])</f>
        <v>0</v>
      </c>
      <c r="AB1390" s="6">
        <f ca="1">IF(Main[[#This Row],[مانده در خط تسویه نشده (کیلوگرم)]]&lt;&gt;0,Main[[#This Row],[تعداد کل روزهای بدهکار (روز)]],0)</f>
        <v>0</v>
      </c>
      <c r="AC1390" s="6">
        <f ca="1">Main[[#This Row],[تعداد روزهای بدهکار  تسویه نشده (روز)]]*Main[[#This Row],[مانده در خط تسویه نشده (کیلوگرم)]]</f>
        <v>0</v>
      </c>
      <c r="AD1390" s="6">
        <f ca="1">SUBTOTAL(9,INDEX(Main[بدهی سررسید شده (کیلوگرم)],1):Main[[#This Row],[بدهی سررسید شده (کیلوگرم)]])</f>
        <v>0</v>
      </c>
      <c r="AE1390" s="6">
        <f ca="1">IF(Main[[#This Row],[مانده در خط سررسید شده (کیلوگرم)]]&lt;&gt;0,Main[[#This Row],[تعداد کل روزهای بدهکار (روز)]],0)</f>
        <v>0</v>
      </c>
      <c r="AF1390" s="6">
        <f ca="1">Main[[#This Row],[تعداد روزهای بدهکار سررسید شده (روز)]]*Main[[#This Row],[مانده در خط سررسید شده (کیلوگرم)]]</f>
        <v>0</v>
      </c>
    </row>
    <row r="1391" spans="1:32" hidden="1" x14ac:dyDescent="0.35">
      <c r="A1391" s="5">
        <f>ROW()-ROW(INDEX(Main[ردیف],1))+1</f>
        <v>1389</v>
      </c>
      <c r="B1391" s="31">
        <f>SUBTOTAL(2,INDEX(Main[ردیف],1):Main[[#This Row],[ردیف]])</f>
        <v>123</v>
      </c>
      <c r="C1391" s="32" t="s">
        <v>650</v>
      </c>
      <c r="D1391" s="32" t="str">
        <f>_xlfn.CONCAT("14",Main[[#This Row],[تاريخ]])</f>
        <v>1400/06/02</v>
      </c>
      <c r="E1391" s="33">
        <v>44432</v>
      </c>
      <c r="F1391" s="32">
        <v>30099</v>
      </c>
      <c r="G1391" s="5" t="str">
        <f>INDEX(customer[عنوان],MATCH(Main[[#This Row],[کد ردیابی]],customer[کد],0))</f>
        <v>ایران شرق نیشابور</v>
      </c>
      <c r="H1391">
        <v>-3039</v>
      </c>
      <c r="I1391" s="6">
        <f ca="1">-Main[[#This Row],[بدهی تسویه شده (کیلوگرم)]]+Main[[#This Row],[بستانکار (کیلوگرم)]]</f>
        <v>-3039</v>
      </c>
      <c r="J1391" s="6">
        <f>IF(Main[[#This Row],[مقدار (کیلوگرم)]]&gt;0,Main[[#This Row],[مقدار (کیلوگرم)]],0)</f>
        <v>0</v>
      </c>
      <c r="K1391" s="6">
        <f>-IF(Main[[#This Row],[مقدار (کیلوگرم)]]&lt;0,Main[[#This Row],[مقدار (کیلوگرم)]],0)</f>
        <v>3039</v>
      </c>
      <c r="L13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1" s="7">
        <f>-IF(AND(Main[[#This Row],[مقدار (کیلوگرم)]]&lt;0,Main[[#This Row],[تاريخ میلادی]]&gt;44276),Main[[#This Row],[مقدار (کیلوگرم)]],0)</f>
        <v>3039</v>
      </c>
      <c r="N1391" s="6">
        <f ca="1">Main[[#This Row],[بدهکار (کیلوگرم)]]-Main[[#This Row],[بدهی تسویه نشده (کیلوگرم)]]</f>
        <v>3039</v>
      </c>
      <c r="O1391" s="6">
        <f ca="1">Main[[#This Row],[تفکیک]]</f>
        <v>0</v>
      </c>
      <c r="P1391" s="6">
        <f ca="1">IF(Main[[#This Row],[تاخیر از سررسید]]&gt;0,Main[[#This Row],[بدهی تسویه نشده (کیلوگرم)]],0)</f>
        <v>0</v>
      </c>
      <c r="Q1391" s="6">
        <f ca="1">IF(Main[[#This Row],[بدهی تسویه نشده (کیلوگرم)]]&gt;0,'گزارش فردی'!$B$7-Main[[#This Row],[تاريخ میلادی]],0)</f>
        <v>0</v>
      </c>
      <c r="R1391" s="6">
        <f ca="1">IF(Main[[#This Row],[بدهی تسویه نشده (کیلوگرم)]]&gt;0,'گزارش فردی'!$B$7-Main[[#This Row],[تاريخ میلادی]]-'گزارش فردی'!$B$8,0)</f>
        <v>0</v>
      </c>
      <c r="S1391" s="6">
        <f ca="1">Main[[#This Row],[روز از ارسال سفارش]]*Main[[#This Row],[بدهی تسویه نشده (کیلوگرم)]]</f>
        <v>0</v>
      </c>
      <c r="T1391" s="6">
        <f ca="1">Main[[#This Row],[بدهی سررسید شده (کیلوگرم)]]*Main[[#This Row],[روز از ارسال سفارش]]</f>
        <v>0</v>
      </c>
      <c r="U1391" s="6">
        <f>-SUBTOTAL(9,INDEX(Main[مقدار (کیلوگرم)],1):Main[[#This Row],[مقدار (کیلوگرم)]])</f>
        <v>29901</v>
      </c>
      <c r="V13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1" s="6">
        <f>Main[[#This Row],[تعداد کل روزهای بدهکار (روز)]]*Main[[#This Row],[مانده در خط کل (کیلوگرم)]]</f>
        <v>0</v>
      </c>
      <c r="X1391" s="6">
        <f ca="1">-SUBTOTAL(9,INDEX(Main[مقدار تسویه شده (کیلوگرم)],1):Main[[#This Row],[مقدار تسویه شده (کیلوگرم)]])</f>
        <v>29901</v>
      </c>
      <c r="Y1391" s="6">
        <f ca="1">IF(Main[[#This Row],[مانده در خط تسویه شده (کیلوگرم)]]&lt;&gt;0,Main[[#This Row],[تعداد کل روزهای بدهکار (روز)]],0)</f>
        <v>0</v>
      </c>
      <c r="Z1391" s="6">
        <f ca="1">Main[[#This Row],[تعداد روزهای بدهکار تسویه شده (روز)]]*Main[[#This Row],[مانده در خط تسویه شده (کیلوگرم)]]</f>
        <v>0</v>
      </c>
      <c r="AA1391" s="6">
        <f ca="1">SUBTOTAL(9,INDEX(Main[بدهی تسویه نشده (کیلوگرم)],1):Main[[#This Row],[بدهی تسویه نشده (کیلوگرم)]])</f>
        <v>0</v>
      </c>
      <c r="AB1391" s="6">
        <f ca="1">IF(Main[[#This Row],[مانده در خط تسویه نشده (کیلوگرم)]]&lt;&gt;0,Main[[#This Row],[تعداد کل روزهای بدهکار (روز)]],0)</f>
        <v>0</v>
      </c>
      <c r="AC1391" s="6">
        <f ca="1">Main[[#This Row],[تعداد روزهای بدهکار  تسویه نشده (روز)]]*Main[[#This Row],[مانده در خط تسویه نشده (کیلوگرم)]]</f>
        <v>0</v>
      </c>
      <c r="AD1391" s="6">
        <f ca="1">SUBTOTAL(9,INDEX(Main[بدهی سررسید شده (کیلوگرم)],1):Main[[#This Row],[بدهی سررسید شده (کیلوگرم)]])</f>
        <v>0</v>
      </c>
      <c r="AE1391" s="6">
        <f ca="1">IF(Main[[#This Row],[مانده در خط سررسید شده (کیلوگرم)]]&lt;&gt;0,Main[[#This Row],[تعداد کل روزهای بدهکار (روز)]],0)</f>
        <v>0</v>
      </c>
      <c r="AF1391" s="6">
        <f ca="1">Main[[#This Row],[تعداد روزهای بدهکار سررسید شده (روز)]]*Main[[#This Row],[مانده در خط سررسید شده (کیلوگرم)]]</f>
        <v>0</v>
      </c>
    </row>
    <row r="1392" spans="1:32" hidden="1" x14ac:dyDescent="0.35">
      <c r="A1392" s="5">
        <f>ROW()-ROW(INDEX(Main[ردیف],1))+1</f>
        <v>1390</v>
      </c>
      <c r="B1392" s="31">
        <f>SUBTOTAL(2,INDEX(Main[ردیف],1):Main[[#This Row],[ردیف]])</f>
        <v>123</v>
      </c>
      <c r="C1392" s="32" t="s">
        <v>650</v>
      </c>
      <c r="D1392" s="32" t="str">
        <f>_xlfn.CONCAT("14",Main[[#This Row],[تاريخ]])</f>
        <v>1400/06/02</v>
      </c>
      <c r="E1392" s="33">
        <v>44432</v>
      </c>
      <c r="F1392" s="32">
        <v>30174</v>
      </c>
      <c r="G1392" s="5" t="str">
        <f>INDEX(customer[عنوان],MATCH(Main[[#This Row],[کد ردیابی]],customer[کد],0))</f>
        <v>شیرآلات مهرآرا</v>
      </c>
      <c r="H1392">
        <v>25</v>
      </c>
      <c r="I1392" s="6">
        <f ca="1">-Main[[#This Row],[بدهی تسویه شده (کیلوگرم)]]+Main[[#This Row],[بستانکار (کیلوگرم)]]</f>
        <v>25</v>
      </c>
      <c r="J1392" s="6">
        <f>IF(Main[[#This Row],[مقدار (کیلوگرم)]]&gt;0,Main[[#This Row],[مقدار (کیلوگرم)]],0)</f>
        <v>25</v>
      </c>
      <c r="K1392" s="6">
        <f>-IF(Main[[#This Row],[مقدار (کیلوگرم)]]&lt;0,Main[[#This Row],[مقدار (کیلوگرم)]],0)</f>
        <v>0</v>
      </c>
      <c r="L13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2" s="7">
        <f>-IF(AND(Main[[#This Row],[مقدار (کیلوگرم)]]&lt;0,Main[[#This Row],[تاريخ میلادی]]&gt;44276),Main[[#This Row],[مقدار (کیلوگرم)]],0)</f>
        <v>0</v>
      </c>
      <c r="N1392" s="6">
        <f ca="1">Main[[#This Row],[بدهکار (کیلوگرم)]]-Main[[#This Row],[بدهی تسویه نشده (کیلوگرم)]]</f>
        <v>0</v>
      </c>
      <c r="O1392" s="6">
        <f ca="1">Main[[#This Row],[تفکیک]]</f>
        <v>0</v>
      </c>
      <c r="P1392" s="6">
        <f ca="1">IF(Main[[#This Row],[تاخیر از سررسید]]&gt;0,Main[[#This Row],[بدهی تسویه نشده (کیلوگرم)]],0)</f>
        <v>0</v>
      </c>
      <c r="Q1392" s="6">
        <f ca="1">IF(Main[[#This Row],[بدهی تسویه نشده (کیلوگرم)]]&gt;0,'گزارش فردی'!$B$7-Main[[#This Row],[تاريخ میلادی]],0)</f>
        <v>0</v>
      </c>
      <c r="R1392" s="6">
        <f ca="1">IF(Main[[#This Row],[بدهی تسویه نشده (کیلوگرم)]]&gt;0,'گزارش فردی'!$B$7-Main[[#This Row],[تاريخ میلادی]]-'گزارش فردی'!$B$8,0)</f>
        <v>0</v>
      </c>
      <c r="S1392" s="6">
        <f ca="1">Main[[#This Row],[روز از ارسال سفارش]]*Main[[#This Row],[بدهی تسویه نشده (کیلوگرم)]]</f>
        <v>0</v>
      </c>
      <c r="T1392" s="6">
        <f ca="1">Main[[#This Row],[بدهی سررسید شده (کیلوگرم)]]*Main[[#This Row],[روز از ارسال سفارش]]</f>
        <v>0</v>
      </c>
      <c r="U1392" s="6">
        <f>-SUBTOTAL(9,INDEX(Main[مقدار (کیلوگرم)],1):Main[[#This Row],[مقدار (کیلوگرم)]])</f>
        <v>29901</v>
      </c>
      <c r="V13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2" s="6">
        <f>Main[[#This Row],[تعداد کل روزهای بدهکار (روز)]]*Main[[#This Row],[مانده در خط کل (کیلوگرم)]]</f>
        <v>0</v>
      </c>
      <c r="X1392" s="6">
        <f ca="1">-SUBTOTAL(9,INDEX(Main[مقدار تسویه شده (کیلوگرم)],1):Main[[#This Row],[مقدار تسویه شده (کیلوگرم)]])</f>
        <v>29901</v>
      </c>
      <c r="Y1392" s="6">
        <f ca="1">IF(Main[[#This Row],[مانده در خط تسویه شده (کیلوگرم)]]&lt;&gt;0,Main[[#This Row],[تعداد کل روزهای بدهکار (روز)]],0)</f>
        <v>0</v>
      </c>
      <c r="Z1392" s="6">
        <f ca="1">Main[[#This Row],[تعداد روزهای بدهکار تسویه شده (روز)]]*Main[[#This Row],[مانده در خط تسویه شده (کیلوگرم)]]</f>
        <v>0</v>
      </c>
      <c r="AA1392" s="6">
        <f ca="1">SUBTOTAL(9,INDEX(Main[بدهی تسویه نشده (کیلوگرم)],1):Main[[#This Row],[بدهی تسویه نشده (کیلوگرم)]])</f>
        <v>0</v>
      </c>
      <c r="AB1392" s="6">
        <f ca="1">IF(Main[[#This Row],[مانده در خط تسویه نشده (کیلوگرم)]]&lt;&gt;0,Main[[#This Row],[تعداد کل روزهای بدهکار (روز)]],0)</f>
        <v>0</v>
      </c>
      <c r="AC1392" s="6">
        <f ca="1">Main[[#This Row],[تعداد روزهای بدهکار  تسویه نشده (روز)]]*Main[[#This Row],[مانده در خط تسویه نشده (کیلوگرم)]]</f>
        <v>0</v>
      </c>
      <c r="AD1392" s="6">
        <f ca="1">SUBTOTAL(9,INDEX(Main[بدهی سررسید شده (کیلوگرم)],1):Main[[#This Row],[بدهی سررسید شده (کیلوگرم)]])</f>
        <v>0</v>
      </c>
      <c r="AE1392" s="6">
        <f ca="1">IF(Main[[#This Row],[مانده در خط سررسید شده (کیلوگرم)]]&lt;&gt;0,Main[[#This Row],[تعداد کل روزهای بدهکار (روز)]],0)</f>
        <v>0</v>
      </c>
      <c r="AF1392" s="6">
        <f ca="1">Main[[#This Row],[تعداد روزهای بدهکار سررسید شده (روز)]]*Main[[#This Row],[مانده در خط سررسید شده (کیلوگرم)]]</f>
        <v>0</v>
      </c>
    </row>
    <row r="1393" spans="1:32" hidden="1" x14ac:dyDescent="0.35">
      <c r="A1393" s="5">
        <f>ROW()-ROW(INDEX(Main[ردیف],1))+1</f>
        <v>1391</v>
      </c>
      <c r="B1393" s="31">
        <f>SUBTOTAL(2,INDEX(Main[ردیف],1):Main[[#This Row],[ردیف]])</f>
        <v>123</v>
      </c>
      <c r="C1393" s="32" t="s">
        <v>650</v>
      </c>
      <c r="D1393" s="32" t="str">
        <f>_xlfn.CONCAT("14",Main[[#This Row],[تاريخ]])</f>
        <v>1400/06/02</v>
      </c>
      <c r="E1393" s="33">
        <v>44432</v>
      </c>
      <c r="F1393" s="32">
        <v>30174</v>
      </c>
      <c r="G1393" s="5" t="str">
        <f>INDEX(customer[عنوان],MATCH(Main[[#This Row],[کد ردیابی]],customer[کد],0))</f>
        <v>شیرآلات مهرآرا</v>
      </c>
      <c r="H1393">
        <v>-25</v>
      </c>
      <c r="I1393" s="6">
        <f ca="1">-Main[[#This Row],[بدهی تسویه شده (کیلوگرم)]]+Main[[#This Row],[بستانکار (کیلوگرم)]]</f>
        <v>-25</v>
      </c>
      <c r="J1393" s="6">
        <f>IF(Main[[#This Row],[مقدار (کیلوگرم)]]&gt;0,Main[[#This Row],[مقدار (کیلوگرم)]],0)</f>
        <v>0</v>
      </c>
      <c r="K1393" s="6">
        <f>-IF(Main[[#This Row],[مقدار (کیلوگرم)]]&lt;0,Main[[#This Row],[مقدار (کیلوگرم)]],0)</f>
        <v>25</v>
      </c>
      <c r="L13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3" s="7">
        <f>-IF(AND(Main[[#This Row],[مقدار (کیلوگرم)]]&lt;0,Main[[#This Row],[تاريخ میلادی]]&gt;44276),Main[[#This Row],[مقدار (کیلوگرم)]],0)</f>
        <v>25</v>
      </c>
      <c r="N1393" s="6">
        <f ca="1">Main[[#This Row],[بدهکار (کیلوگرم)]]-Main[[#This Row],[بدهی تسویه نشده (کیلوگرم)]]</f>
        <v>25</v>
      </c>
      <c r="O1393" s="6">
        <f ca="1">Main[[#This Row],[تفکیک]]</f>
        <v>0</v>
      </c>
      <c r="P1393" s="6">
        <f ca="1">IF(Main[[#This Row],[تاخیر از سررسید]]&gt;0,Main[[#This Row],[بدهی تسویه نشده (کیلوگرم)]],0)</f>
        <v>0</v>
      </c>
      <c r="Q1393" s="6">
        <f ca="1">IF(Main[[#This Row],[بدهی تسویه نشده (کیلوگرم)]]&gt;0,'گزارش فردی'!$B$7-Main[[#This Row],[تاريخ میلادی]],0)</f>
        <v>0</v>
      </c>
      <c r="R1393" s="6">
        <f ca="1">IF(Main[[#This Row],[بدهی تسویه نشده (کیلوگرم)]]&gt;0,'گزارش فردی'!$B$7-Main[[#This Row],[تاريخ میلادی]]-'گزارش فردی'!$B$8,0)</f>
        <v>0</v>
      </c>
      <c r="S1393" s="6">
        <f ca="1">Main[[#This Row],[روز از ارسال سفارش]]*Main[[#This Row],[بدهی تسویه نشده (کیلوگرم)]]</f>
        <v>0</v>
      </c>
      <c r="T1393" s="6">
        <f ca="1">Main[[#This Row],[بدهی سررسید شده (کیلوگرم)]]*Main[[#This Row],[روز از ارسال سفارش]]</f>
        <v>0</v>
      </c>
      <c r="U1393" s="6">
        <f>-SUBTOTAL(9,INDEX(Main[مقدار (کیلوگرم)],1):Main[[#This Row],[مقدار (کیلوگرم)]])</f>
        <v>29901</v>
      </c>
      <c r="V13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3" s="6">
        <f>Main[[#This Row],[تعداد کل روزهای بدهکار (روز)]]*Main[[#This Row],[مانده در خط کل (کیلوگرم)]]</f>
        <v>0</v>
      </c>
      <c r="X1393" s="6">
        <f ca="1">-SUBTOTAL(9,INDEX(Main[مقدار تسویه شده (کیلوگرم)],1):Main[[#This Row],[مقدار تسویه شده (کیلوگرم)]])</f>
        <v>29901</v>
      </c>
      <c r="Y1393" s="6">
        <f ca="1">IF(Main[[#This Row],[مانده در خط تسویه شده (کیلوگرم)]]&lt;&gt;0,Main[[#This Row],[تعداد کل روزهای بدهکار (روز)]],0)</f>
        <v>0</v>
      </c>
      <c r="Z1393" s="6">
        <f ca="1">Main[[#This Row],[تعداد روزهای بدهکار تسویه شده (روز)]]*Main[[#This Row],[مانده در خط تسویه شده (کیلوگرم)]]</f>
        <v>0</v>
      </c>
      <c r="AA1393" s="6">
        <f ca="1">SUBTOTAL(9,INDEX(Main[بدهی تسویه نشده (کیلوگرم)],1):Main[[#This Row],[بدهی تسویه نشده (کیلوگرم)]])</f>
        <v>0</v>
      </c>
      <c r="AB1393" s="6">
        <f ca="1">IF(Main[[#This Row],[مانده در خط تسویه نشده (کیلوگرم)]]&lt;&gt;0,Main[[#This Row],[تعداد کل روزهای بدهکار (روز)]],0)</f>
        <v>0</v>
      </c>
      <c r="AC1393" s="6">
        <f ca="1">Main[[#This Row],[تعداد روزهای بدهکار  تسویه نشده (روز)]]*Main[[#This Row],[مانده در خط تسویه نشده (کیلوگرم)]]</f>
        <v>0</v>
      </c>
      <c r="AD1393" s="6">
        <f ca="1">SUBTOTAL(9,INDEX(Main[بدهی سررسید شده (کیلوگرم)],1):Main[[#This Row],[بدهی سررسید شده (کیلوگرم)]])</f>
        <v>0</v>
      </c>
      <c r="AE1393" s="6">
        <f ca="1">IF(Main[[#This Row],[مانده در خط سررسید شده (کیلوگرم)]]&lt;&gt;0,Main[[#This Row],[تعداد کل روزهای بدهکار (روز)]],0)</f>
        <v>0</v>
      </c>
      <c r="AF1393" s="6">
        <f ca="1">Main[[#This Row],[تعداد روزهای بدهکار سررسید شده (روز)]]*Main[[#This Row],[مانده در خط سررسید شده (کیلوگرم)]]</f>
        <v>0</v>
      </c>
    </row>
    <row r="1394" spans="1:32" hidden="1" x14ac:dyDescent="0.35">
      <c r="A1394" s="5">
        <f>ROW()-ROW(INDEX(Main[ردیف],1))+1</f>
        <v>1392</v>
      </c>
      <c r="B1394" s="31">
        <f>SUBTOTAL(2,INDEX(Main[ردیف],1):Main[[#This Row],[ردیف]])</f>
        <v>123</v>
      </c>
      <c r="C1394" s="32" t="s">
        <v>650</v>
      </c>
      <c r="D1394" s="32" t="str">
        <f>_xlfn.CONCAT("14",Main[[#This Row],[تاريخ]])</f>
        <v>1400/06/02</v>
      </c>
      <c r="E1394" s="33">
        <v>44432</v>
      </c>
      <c r="F1394" s="32">
        <v>30186</v>
      </c>
      <c r="G1394" s="5" t="str">
        <f>INDEX(customer[عنوان],MATCH(Main[[#This Row],[کد ردیابی]],customer[کد],0))</f>
        <v>سارا گاز</v>
      </c>
      <c r="H1394">
        <v>2416</v>
      </c>
      <c r="I1394" s="6">
        <f ca="1">-Main[[#This Row],[بدهی تسویه شده (کیلوگرم)]]+Main[[#This Row],[بستانکار (کیلوگرم)]]</f>
        <v>2416</v>
      </c>
      <c r="J1394" s="6">
        <f>IF(Main[[#This Row],[مقدار (کیلوگرم)]]&gt;0,Main[[#This Row],[مقدار (کیلوگرم)]],0)</f>
        <v>2416</v>
      </c>
      <c r="K1394" s="6">
        <f>-IF(Main[[#This Row],[مقدار (کیلوگرم)]]&lt;0,Main[[#This Row],[مقدار (کیلوگرم)]],0)</f>
        <v>0</v>
      </c>
      <c r="L13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4" s="7">
        <f>-IF(AND(Main[[#This Row],[مقدار (کیلوگرم)]]&lt;0,Main[[#This Row],[تاريخ میلادی]]&gt;44276),Main[[#This Row],[مقدار (کیلوگرم)]],0)</f>
        <v>0</v>
      </c>
      <c r="N1394" s="6">
        <f ca="1">Main[[#This Row],[بدهکار (کیلوگرم)]]-Main[[#This Row],[بدهی تسویه نشده (کیلوگرم)]]</f>
        <v>0</v>
      </c>
      <c r="O1394" s="6">
        <f ca="1">Main[[#This Row],[تفکیک]]</f>
        <v>0</v>
      </c>
      <c r="P1394" s="6">
        <f ca="1">IF(Main[[#This Row],[تاخیر از سررسید]]&gt;0,Main[[#This Row],[بدهی تسویه نشده (کیلوگرم)]],0)</f>
        <v>0</v>
      </c>
      <c r="Q1394" s="6">
        <f ca="1">IF(Main[[#This Row],[بدهی تسویه نشده (کیلوگرم)]]&gt;0,'گزارش فردی'!$B$7-Main[[#This Row],[تاريخ میلادی]],0)</f>
        <v>0</v>
      </c>
      <c r="R1394" s="6">
        <f ca="1">IF(Main[[#This Row],[بدهی تسویه نشده (کیلوگرم)]]&gt;0,'گزارش فردی'!$B$7-Main[[#This Row],[تاريخ میلادی]]-'گزارش فردی'!$B$8,0)</f>
        <v>0</v>
      </c>
      <c r="S1394" s="6">
        <f ca="1">Main[[#This Row],[روز از ارسال سفارش]]*Main[[#This Row],[بدهی تسویه نشده (کیلوگرم)]]</f>
        <v>0</v>
      </c>
      <c r="T1394" s="6">
        <f ca="1">Main[[#This Row],[بدهی سررسید شده (کیلوگرم)]]*Main[[#This Row],[روز از ارسال سفارش]]</f>
        <v>0</v>
      </c>
      <c r="U1394" s="6">
        <f>-SUBTOTAL(9,INDEX(Main[مقدار (کیلوگرم)],1):Main[[#This Row],[مقدار (کیلوگرم)]])</f>
        <v>29901</v>
      </c>
      <c r="V13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4" s="6">
        <f>Main[[#This Row],[تعداد کل روزهای بدهکار (روز)]]*Main[[#This Row],[مانده در خط کل (کیلوگرم)]]</f>
        <v>0</v>
      </c>
      <c r="X1394" s="6">
        <f ca="1">-SUBTOTAL(9,INDEX(Main[مقدار تسویه شده (کیلوگرم)],1):Main[[#This Row],[مقدار تسویه شده (کیلوگرم)]])</f>
        <v>29901</v>
      </c>
      <c r="Y1394" s="6">
        <f ca="1">IF(Main[[#This Row],[مانده در خط تسویه شده (کیلوگرم)]]&lt;&gt;0,Main[[#This Row],[تعداد کل روزهای بدهکار (روز)]],0)</f>
        <v>0</v>
      </c>
      <c r="Z1394" s="6">
        <f ca="1">Main[[#This Row],[تعداد روزهای بدهکار تسویه شده (روز)]]*Main[[#This Row],[مانده در خط تسویه شده (کیلوگرم)]]</f>
        <v>0</v>
      </c>
      <c r="AA1394" s="6">
        <f ca="1">SUBTOTAL(9,INDEX(Main[بدهی تسویه نشده (کیلوگرم)],1):Main[[#This Row],[بدهی تسویه نشده (کیلوگرم)]])</f>
        <v>0</v>
      </c>
      <c r="AB1394" s="6">
        <f ca="1">IF(Main[[#This Row],[مانده در خط تسویه نشده (کیلوگرم)]]&lt;&gt;0,Main[[#This Row],[تعداد کل روزهای بدهکار (روز)]],0)</f>
        <v>0</v>
      </c>
      <c r="AC1394" s="6">
        <f ca="1">Main[[#This Row],[تعداد روزهای بدهکار  تسویه نشده (روز)]]*Main[[#This Row],[مانده در خط تسویه نشده (کیلوگرم)]]</f>
        <v>0</v>
      </c>
      <c r="AD1394" s="6">
        <f ca="1">SUBTOTAL(9,INDEX(Main[بدهی سررسید شده (کیلوگرم)],1):Main[[#This Row],[بدهی سررسید شده (کیلوگرم)]])</f>
        <v>0</v>
      </c>
      <c r="AE1394" s="6">
        <f ca="1">IF(Main[[#This Row],[مانده در خط سررسید شده (کیلوگرم)]]&lt;&gt;0,Main[[#This Row],[تعداد کل روزهای بدهکار (روز)]],0)</f>
        <v>0</v>
      </c>
      <c r="AF1394" s="6">
        <f ca="1">Main[[#This Row],[تعداد روزهای بدهکار سررسید شده (روز)]]*Main[[#This Row],[مانده در خط سررسید شده (کیلوگرم)]]</f>
        <v>0</v>
      </c>
    </row>
    <row r="1395" spans="1:32" hidden="1" x14ac:dyDescent="0.35">
      <c r="A1395" s="5">
        <f>ROW()-ROW(INDEX(Main[ردیف],1))+1</f>
        <v>1393</v>
      </c>
      <c r="B1395" s="31">
        <f>SUBTOTAL(2,INDEX(Main[ردیف],1):Main[[#This Row],[ردیف]])</f>
        <v>123</v>
      </c>
      <c r="C1395" s="32" t="s">
        <v>650</v>
      </c>
      <c r="D1395" s="32" t="str">
        <f>_xlfn.CONCAT("14",Main[[#This Row],[تاريخ]])</f>
        <v>1400/06/02</v>
      </c>
      <c r="E1395" s="33">
        <v>44432</v>
      </c>
      <c r="F1395" s="32">
        <v>30186</v>
      </c>
      <c r="G1395" s="5" t="str">
        <f>INDEX(customer[عنوان],MATCH(Main[[#This Row],[کد ردیابی]],customer[کد],0))</f>
        <v>سارا گاز</v>
      </c>
      <c r="H1395">
        <v>-1734</v>
      </c>
      <c r="I1395" s="6">
        <f ca="1">-Main[[#This Row],[بدهی تسویه شده (کیلوگرم)]]+Main[[#This Row],[بستانکار (کیلوگرم)]]</f>
        <v>-1734</v>
      </c>
      <c r="J1395" s="6">
        <f>IF(Main[[#This Row],[مقدار (کیلوگرم)]]&gt;0,Main[[#This Row],[مقدار (کیلوگرم)]],0)</f>
        <v>0</v>
      </c>
      <c r="K1395" s="6">
        <f>-IF(Main[[#This Row],[مقدار (کیلوگرم)]]&lt;0,Main[[#This Row],[مقدار (کیلوگرم)]],0)</f>
        <v>1734</v>
      </c>
      <c r="L13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5" s="7">
        <f>-IF(AND(Main[[#This Row],[مقدار (کیلوگرم)]]&lt;0,Main[[#This Row],[تاريخ میلادی]]&gt;44276),Main[[#This Row],[مقدار (کیلوگرم)]],0)</f>
        <v>1734</v>
      </c>
      <c r="N1395" s="6">
        <f ca="1">Main[[#This Row],[بدهکار (کیلوگرم)]]-Main[[#This Row],[بدهی تسویه نشده (کیلوگرم)]]</f>
        <v>1734</v>
      </c>
      <c r="O1395" s="6">
        <f ca="1">Main[[#This Row],[تفکیک]]</f>
        <v>0</v>
      </c>
      <c r="P1395" s="6">
        <f ca="1">IF(Main[[#This Row],[تاخیر از سررسید]]&gt;0,Main[[#This Row],[بدهی تسویه نشده (کیلوگرم)]],0)</f>
        <v>0</v>
      </c>
      <c r="Q1395" s="6">
        <f ca="1">IF(Main[[#This Row],[بدهی تسویه نشده (کیلوگرم)]]&gt;0,'گزارش فردی'!$B$7-Main[[#This Row],[تاريخ میلادی]],0)</f>
        <v>0</v>
      </c>
      <c r="R1395" s="6">
        <f ca="1">IF(Main[[#This Row],[بدهی تسویه نشده (کیلوگرم)]]&gt;0,'گزارش فردی'!$B$7-Main[[#This Row],[تاريخ میلادی]]-'گزارش فردی'!$B$8,0)</f>
        <v>0</v>
      </c>
      <c r="S1395" s="6">
        <f ca="1">Main[[#This Row],[روز از ارسال سفارش]]*Main[[#This Row],[بدهی تسویه نشده (کیلوگرم)]]</f>
        <v>0</v>
      </c>
      <c r="T1395" s="6">
        <f ca="1">Main[[#This Row],[بدهی سررسید شده (کیلوگرم)]]*Main[[#This Row],[روز از ارسال سفارش]]</f>
        <v>0</v>
      </c>
      <c r="U1395" s="6">
        <f>-SUBTOTAL(9,INDEX(Main[مقدار (کیلوگرم)],1):Main[[#This Row],[مقدار (کیلوگرم)]])</f>
        <v>29901</v>
      </c>
      <c r="V13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5" s="6">
        <f>Main[[#This Row],[تعداد کل روزهای بدهکار (روز)]]*Main[[#This Row],[مانده در خط کل (کیلوگرم)]]</f>
        <v>0</v>
      </c>
      <c r="X1395" s="6">
        <f ca="1">-SUBTOTAL(9,INDEX(Main[مقدار تسویه شده (کیلوگرم)],1):Main[[#This Row],[مقدار تسویه شده (کیلوگرم)]])</f>
        <v>29901</v>
      </c>
      <c r="Y1395" s="6">
        <f ca="1">IF(Main[[#This Row],[مانده در خط تسویه شده (کیلوگرم)]]&lt;&gt;0,Main[[#This Row],[تعداد کل روزهای بدهکار (روز)]],0)</f>
        <v>0</v>
      </c>
      <c r="Z1395" s="6">
        <f ca="1">Main[[#This Row],[تعداد روزهای بدهکار تسویه شده (روز)]]*Main[[#This Row],[مانده در خط تسویه شده (کیلوگرم)]]</f>
        <v>0</v>
      </c>
      <c r="AA1395" s="6">
        <f ca="1">SUBTOTAL(9,INDEX(Main[بدهی تسویه نشده (کیلوگرم)],1):Main[[#This Row],[بدهی تسویه نشده (کیلوگرم)]])</f>
        <v>0</v>
      </c>
      <c r="AB1395" s="6">
        <f ca="1">IF(Main[[#This Row],[مانده در خط تسویه نشده (کیلوگرم)]]&lt;&gt;0,Main[[#This Row],[تعداد کل روزهای بدهکار (روز)]],0)</f>
        <v>0</v>
      </c>
      <c r="AC1395" s="6">
        <f ca="1">Main[[#This Row],[تعداد روزهای بدهکار  تسویه نشده (روز)]]*Main[[#This Row],[مانده در خط تسویه نشده (کیلوگرم)]]</f>
        <v>0</v>
      </c>
      <c r="AD1395" s="6">
        <f ca="1">SUBTOTAL(9,INDEX(Main[بدهی سررسید شده (کیلوگرم)],1):Main[[#This Row],[بدهی سررسید شده (کیلوگرم)]])</f>
        <v>0</v>
      </c>
      <c r="AE1395" s="6">
        <f ca="1">IF(Main[[#This Row],[مانده در خط سررسید شده (کیلوگرم)]]&lt;&gt;0,Main[[#This Row],[تعداد کل روزهای بدهکار (روز)]],0)</f>
        <v>0</v>
      </c>
      <c r="AF1395" s="6">
        <f ca="1">Main[[#This Row],[تعداد روزهای بدهکار سررسید شده (روز)]]*Main[[#This Row],[مانده در خط سررسید شده (کیلوگرم)]]</f>
        <v>0</v>
      </c>
    </row>
    <row r="1396" spans="1:32" hidden="1" x14ac:dyDescent="0.35">
      <c r="A1396" s="5">
        <f>ROW()-ROW(INDEX(Main[ردیف],1))+1</f>
        <v>1394</v>
      </c>
      <c r="B1396" s="31">
        <f>SUBTOTAL(2,INDEX(Main[ردیف],1):Main[[#This Row],[ردیف]])</f>
        <v>123</v>
      </c>
      <c r="C1396" s="32" t="s">
        <v>650</v>
      </c>
      <c r="D1396" s="32" t="str">
        <f>_xlfn.CONCAT("14",Main[[#This Row],[تاريخ]])</f>
        <v>1400/06/02</v>
      </c>
      <c r="E1396" s="33">
        <v>44432</v>
      </c>
      <c r="F1396" s="32">
        <v>10020</v>
      </c>
      <c r="G1396" s="5" t="str">
        <f>INDEX(customer[عنوان],MATCH(Main[[#This Row],[کد ردیابی]],customer[کد],0))</f>
        <v>فرزاد اسماعیل زاده</v>
      </c>
      <c r="H1396">
        <v>-507</v>
      </c>
      <c r="I1396" s="6">
        <f ca="1">-Main[[#This Row],[بدهی تسویه شده (کیلوگرم)]]+Main[[#This Row],[بستانکار (کیلوگرم)]]</f>
        <v>-507</v>
      </c>
      <c r="J1396" s="6">
        <f>IF(Main[[#This Row],[مقدار (کیلوگرم)]]&gt;0,Main[[#This Row],[مقدار (کیلوگرم)]],0)</f>
        <v>0</v>
      </c>
      <c r="K1396" s="6">
        <f>-IF(Main[[#This Row],[مقدار (کیلوگرم)]]&lt;0,Main[[#This Row],[مقدار (کیلوگرم)]],0)</f>
        <v>507</v>
      </c>
      <c r="L13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6" s="7">
        <f>-IF(AND(Main[[#This Row],[مقدار (کیلوگرم)]]&lt;0,Main[[#This Row],[تاريخ میلادی]]&gt;44276),Main[[#This Row],[مقدار (کیلوگرم)]],0)</f>
        <v>507</v>
      </c>
      <c r="N1396" s="6">
        <f ca="1">Main[[#This Row],[بدهکار (کیلوگرم)]]-Main[[#This Row],[بدهی تسویه نشده (کیلوگرم)]]</f>
        <v>507</v>
      </c>
      <c r="O1396" s="6">
        <f ca="1">Main[[#This Row],[تفکیک]]</f>
        <v>0</v>
      </c>
      <c r="P1396" s="6">
        <f ca="1">IF(Main[[#This Row],[تاخیر از سررسید]]&gt;0,Main[[#This Row],[بدهی تسویه نشده (کیلوگرم)]],0)</f>
        <v>0</v>
      </c>
      <c r="Q1396" s="6">
        <f ca="1">IF(Main[[#This Row],[بدهی تسویه نشده (کیلوگرم)]]&gt;0,'گزارش فردی'!$B$7-Main[[#This Row],[تاريخ میلادی]],0)</f>
        <v>0</v>
      </c>
      <c r="R1396" s="6">
        <f ca="1">IF(Main[[#This Row],[بدهی تسویه نشده (کیلوگرم)]]&gt;0,'گزارش فردی'!$B$7-Main[[#This Row],[تاريخ میلادی]]-'گزارش فردی'!$B$8,0)</f>
        <v>0</v>
      </c>
      <c r="S1396" s="6">
        <f ca="1">Main[[#This Row],[روز از ارسال سفارش]]*Main[[#This Row],[بدهی تسویه نشده (کیلوگرم)]]</f>
        <v>0</v>
      </c>
      <c r="T1396" s="6">
        <f ca="1">Main[[#This Row],[بدهی سررسید شده (کیلوگرم)]]*Main[[#This Row],[روز از ارسال سفارش]]</f>
        <v>0</v>
      </c>
      <c r="U1396" s="6">
        <f>-SUBTOTAL(9,INDEX(Main[مقدار (کیلوگرم)],1):Main[[#This Row],[مقدار (کیلوگرم)]])</f>
        <v>29901</v>
      </c>
      <c r="V13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6" s="6">
        <f>Main[[#This Row],[تعداد کل روزهای بدهکار (روز)]]*Main[[#This Row],[مانده در خط کل (کیلوگرم)]]</f>
        <v>0</v>
      </c>
      <c r="X1396" s="6">
        <f ca="1">-SUBTOTAL(9,INDEX(Main[مقدار تسویه شده (کیلوگرم)],1):Main[[#This Row],[مقدار تسویه شده (کیلوگرم)]])</f>
        <v>29901</v>
      </c>
      <c r="Y1396" s="6">
        <f ca="1">IF(Main[[#This Row],[مانده در خط تسویه شده (کیلوگرم)]]&lt;&gt;0,Main[[#This Row],[تعداد کل روزهای بدهکار (روز)]],0)</f>
        <v>0</v>
      </c>
      <c r="Z1396" s="6">
        <f ca="1">Main[[#This Row],[تعداد روزهای بدهکار تسویه شده (روز)]]*Main[[#This Row],[مانده در خط تسویه شده (کیلوگرم)]]</f>
        <v>0</v>
      </c>
      <c r="AA1396" s="6">
        <f ca="1">SUBTOTAL(9,INDEX(Main[بدهی تسویه نشده (کیلوگرم)],1):Main[[#This Row],[بدهی تسویه نشده (کیلوگرم)]])</f>
        <v>0</v>
      </c>
      <c r="AB1396" s="6">
        <f ca="1">IF(Main[[#This Row],[مانده در خط تسویه نشده (کیلوگرم)]]&lt;&gt;0,Main[[#This Row],[تعداد کل روزهای بدهکار (روز)]],0)</f>
        <v>0</v>
      </c>
      <c r="AC1396" s="6">
        <f ca="1">Main[[#This Row],[تعداد روزهای بدهکار  تسویه نشده (روز)]]*Main[[#This Row],[مانده در خط تسویه نشده (کیلوگرم)]]</f>
        <v>0</v>
      </c>
      <c r="AD1396" s="6">
        <f ca="1">SUBTOTAL(9,INDEX(Main[بدهی سررسید شده (کیلوگرم)],1):Main[[#This Row],[بدهی سررسید شده (کیلوگرم)]])</f>
        <v>0</v>
      </c>
      <c r="AE1396" s="6">
        <f ca="1">IF(Main[[#This Row],[مانده در خط سررسید شده (کیلوگرم)]]&lt;&gt;0,Main[[#This Row],[تعداد کل روزهای بدهکار (روز)]],0)</f>
        <v>0</v>
      </c>
      <c r="AF1396" s="6">
        <f ca="1">Main[[#This Row],[تعداد روزهای بدهکار سررسید شده (روز)]]*Main[[#This Row],[مانده در خط سررسید شده (کیلوگرم)]]</f>
        <v>0</v>
      </c>
    </row>
    <row r="1397" spans="1:32" x14ac:dyDescent="0.35">
      <c r="A1397" s="5">
        <f>ROW()-ROW(INDEX(Main[ردیف],1))+1</f>
        <v>1395</v>
      </c>
      <c r="B1397" s="31">
        <f>SUBTOTAL(2,INDEX(Main[ردیف],1):Main[[#This Row],[ردیف]])</f>
        <v>124</v>
      </c>
      <c r="C1397" s="32" t="s">
        <v>650</v>
      </c>
      <c r="D1397" s="32" t="str">
        <f>_xlfn.CONCAT("14",Main[[#This Row],[تاريخ]])</f>
        <v>1400/06/02</v>
      </c>
      <c r="E1397" s="33">
        <v>44432</v>
      </c>
      <c r="F1397" s="32">
        <v>10003</v>
      </c>
      <c r="G1397" s="5" t="str">
        <f>INDEX(customer[عنوان],MATCH(Main[[#This Row],[کد ردیابی]],customer[کد],0))</f>
        <v>اصغر نورعلی</v>
      </c>
      <c r="H1397">
        <v>-2043</v>
      </c>
      <c r="I1397" s="6">
        <f ca="1">-Main[[#This Row],[بدهی تسویه شده (کیلوگرم)]]+Main[[#This Row],[بستانکار (کیلوگرم)]]</f>
        <v>-2043</v>
      </c>
      <c r="J1397" s="6">
        <f>IF(Main[[#This Row],[مقدار (کیلوگرم)]]&gt;0,Main[[#This Row],[مقدار (کیلوگرم)]],0)</f>
        <v>0</v>
      </c>
      <c r="K1397" s="6">
        <f>-IF(Main[[#This Row],[مقدار (کیلوگرم)]]&lt;0,Main[[#This Row],[مقدار (کیلوگرم)]],0)</f>
        <v>2043</v>
      </c>
      <c r="L13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7" s="7">
        <f>-IF(AND(Main[[#This Row],[مقدار (کیلوگرم)]]&lt;0,Main[[#This Row],[تاريخ میلادی]]&gt;44276),Main[[#This Row],[مقدار (کیلوگرم)]],0)</f>
        <v>2043</v>
      </c>
      <c r="N1397" s="6">
        <f ca="1">Main[[#This Row],[بدهکار (کیلوگرم)]]-Main[[#This Row],[بدهی تسویه نشده (کیلوگرم)]]</f>
        <v>2043</v>
      </c>
      <c r="O1397" s="6">
        <f ca="1">Main[[#This Row],[تفکیک]]</f>
        <v>0</v>
      </c>
      <c r="P1397" s="6">
        <f ca="1">IF(Main[[#This Row],[تاخیر از سررسید]]&gt;0,Main[[#This Row],[بدهی تسویه نشده (کیلوگرم)]],0)</f>
        <v>0</v>
      </c>
      <c r="Q1397" s="6">
        <f ca="1">IF(Main[[#This Row],[بدهی تسویه نشده (کیلوگرم)]]&gt;0,'گزارش فردی'!$B$7-Main[[#This Row],[تاريخ میلادی]],0)</f>
        <v>0</v>
      </c>
      <c r="R1397" s="6">
        <f ca="1">IF(Main[[#This Row],[بدهی تسویه نشده (کیلوگرم)]]&gt;0,'گزارش فردی'!$B$7-Main[[#This Row],[تاريخ میلادی]]-'گزارش فردی'!$B$8,0)</f>
        <v>0</v>
      </c>
      <c r="S1397" s="6">
        <f ca="1">Main[[#This Row],[روز از ارسال سفارش]]*Main[[#This Row],[بدهی تسویه نشده (کیلوگرم)]]</f>
        <v>0</v>
      </c>
      <c r="T1397" s="6">
        <f ca="1">Main[[#This Row],[بدهی سررسید شده (کیلوگرم)]]*Main[[#This Row],[روز از ارسال سفارش]]</f>
        <v>0</v>
      </c>
      <c r="U1397" s="6">
        <f>-SUBTOTAL(9,INDEX(Main[مقدار (کیلوگرم)],1):Main[[#This Row],[مقدار (کیلوگرم)]])</f>
        <v>31944</v>
      </c>
      <c r="V13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7" s="6">
        <f>Main[[#This Row],[تعداد کل روزهای بدهکار (روز)]]*Main[[#This Row],[مانده در خط کل (کیلوگرم)]]</f>
        <v>31944</v>
      </c>
      <c r="X1397" s="6">
        <f ca="1">-SUBTOTAL(9,INDEX(Main[مقدار تسویه شده (کیلوگرم)],1):Main[[#This Row],[مقدار تسویه شده (کیلوگرم)]])</f>
        <v>31944</v>
      </c>
      <c r="Y1397" s="6">
        <f ca="1">IF(Main[[#This Row],[مانده در خط تسویه شده (کیلوگرم)]]&lt;&gt;0,Main[[#This Row],[تعداد کل روزهای بدهکار (روز)]],0)</f>
        <v>1</v>
      </c>
      <c r="Z1397" s="6">
        <f ca="1">Main[[#This Row],[تعداد روزهای بدهکار تسویه شده (روز)]]*Main[[#This Row],[مانده در خط تسویه شده (کیلوگرم)]]</f>
        <v>31944</v>
      </c>
      <c r="AA1397" s="6">
        <f ca="1">SUBTOTAL(9,INDEX(Main[بدهی تسویه نشده (کیلوگرم)],1):Main[[#This Row],[بدهی تسویه نشده (کیلوگرم)]])</f>
        <v>0</v>
      </c>
      <c r="AB1397" s="6">
        <f ca="1">IF(Main[[#This Row],[مانده در خط تسویه نشده (کیلوگرم)]]&lt;&gt;0,Main[[#This Row],[تعداد کل روزهای بدهکار (روز)]],0)</f>
        <v>0</v>
      </c>
      <c r="AC1397" s="6">
        <f ca="1">Main[[#This Row],[تعداد روزهای بدهکار  تسویه نشده (روز)]]*Main[[#This Row],[مانده در خط تسویه نشده (کیلوگرم)]]</f>
        <v>0</v>
      </c>
      <c r="AD1397" s="6">
        <f ca="1">SUBTOTAL(9,INDEX(Main[بدهی سررسید شده (کیلوگرم)],1):Main[[#This Row],[بدهی سررسید شده (کیلوگرم)]])</f>
        <v>0</v>
      </c>
      <c r="AE1397" s="6">
        <f ca="1">IF(Main[[#This Row],[مانده در خط سررسید شده (کیلوگرم)]]&lt;&gt;0,Main[[#This Row],[تعداد کل روزهای بدهکار (روز)]],0)</f>
        <v>0</v>
      </c>
      <c r="AF1397" s="6">
        <f ca="1">Main[[#This Row],[تعداد روزهای بدهکار سررسید شده (روز)]]*Main[[#This Row],[مانده در خط سررسید شده (کیلوگرم)]]</f>
        <v>0</v>
      </c>
    </row>
    <row r="1398" spans="1:32" hidden="1" x14ac:dyDescent="0.35">
      <c r="A1398" s="5">
        <f>ROW()-ROW(INDEX(Main[ردیف],1))+1</f>
        <v>1396</v>
      </c>
      <c r="B1398" s="31">
        <f>SUBTOTAL(2,INDEX(Main[ردیف],1):Main[[#This Row],[ردیف]])</f>
        <v>124</v>
      </c>
      <c r="C1398" s="32" t="s">
        <v>650</v>
      </c>
      <c r="D1398" s="32" t="str">
        <f>_xlfn.CONCAT("14",Main[[#This Row],[تاريخ]])</f>
        <v>1400/06/02</v>
      </c>
      <c r="E1398" s="33">
        <v>44432</v>
      </c>
      <c r="F1398" s="32">
        <v>30014</v>
      </c>
      <c r="G1398" s="5" t="str">
        <f>INDEX(customer[عنوان],MATCH(Main[[#This Row],[کد ردیابی]],customer[کد],0))</f>
        <v>کلون</v>
      </c>
      <c r="H1398">
        <v>-1238</v>
      </c>
      <c r="I1398" s="6">
        <f ca="1">-Main[[#This Row],[بدهی تسویه شده (کیلوگرم)]]+Main[[#This Row],[بستانکار (کیلوگرم)]]</f>
        <v>-1238</v>
      </c>
      <c r="J1398" s="6">
        <f>IF(Main[[#This Row],[مقدار (کیلوگرم)]]&gt;0,Main[[#This Row],[مقدار (کیلوگرم)]],0)</f>
        <v>0</v>
      </c>
      <c r="K1398" s="6">
        <f>-IF(Main[[#This Row],[مقدار (کیلوگرم)]]&lt;0,Main[[#This Row],[مقدار (کیلوگرم)]],0)</f>
        <v>1238</v>
      </c>
      <c r="L13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8" s="7">
        <f>-IF(AND(Main[[#This Row],[مقدار (کیلوگرم)]]&lt;0,Main[[#This Row],[تاريخ میلادی]]&gt;44276),Main[[#This Row],[مقدار (کیلوگرم)]],0)</f>
        <v>1238</v>
      </c>
      <c r="N1398" s="6">
        <f ca="1">Main[[#This Row],[بدهکار (کیلوگرم)]]-Main[[#This Row],[بدهی تسویه نشده (کیلوگرم)]]</f>
        <v>1238</v>
      </c>
      <c r="O1398" s="6">
        <f ca="1">Main[[#This Row],[تفکیک]]</f>
        <v>0</v>
      </c>
      <c r="P1398" s="6">
        <f ca="1">IF(Main[[#This Row],[تاخیر از سررسید]]&gt;0,Main[[#This Row],[بدهی تسویه نشده (کیلوگرم)]],0)</f>
        <v>0</v>
      </c>
      <c r="Q1398" s="6">
        <f ca="1">IF(Main[[#This Row],[بدهی تسویه نشده (کیلوگرم)]]&gt;0,'گزارش فردی'!$B$7-Main[[#This Row],[تاريخ میلادی]],0)</f>
        <v>0</v>
      </c>
      <c r="R1398" s="6">
        <f ca="1">IF(Main[[#This Row],[بدهی تسویه نشده (کیلوگرم)]]&gt;0,'گزارش فردی'!$B$7-Main[[#This Row],[تاريخ میلادی]]-'گزارش فردی'!$B$8,0)</f>
        <v>0</v>
      </c>
      <c r="S1398" s="6">
        <f ca="1">Main[[#This Row],[روز از ارسال سفارش]]*Main[[#This Row],[بدهی تسویه نشده (کیلوگرم)]]</f>
        <v>0</v>
      </c>
      <c r="T1398" s="6">
        <f ca="1">Main[[#This Row],[بدهی سررسید شده (کیلوگرم)]]*Main[[#This Row],[روز از ارسال سفارش]]</f>
        <v>0</v>
      </c>
      <c r="U1398" s="6">
        <f>-SUBTOTAL(9,INDEX(Main[مقدار (کیلوگرم)],1):Main[[#This Row],[مقدار (کیلوگرم)]])</f>
        <v>31944</v>
      </c>
      <c r="V13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8" s="6">
        <f>Main[[#This Row],[تعداد کل روزهای بدهکار (روز)]]*Main[[#This Row],[مانده در خط کل (کیلوگرم)]]</f>
        <v>31944</v>
      </c>
      <c r="X1398" s="6">
        <f ca="1">-SUBTOTAL(9,INDEX(Main[مقدار تسویه شده (کیلوگرم)],1):Main[[#This Row],[مقدار تسویه شده (کیلوگرم)]])</f>
        <v>31944</v>
      </c>
      <c r="Y1398" s="6">
        <f ca="1">IF(Main[[#This Row],[مانده در خط تسویه شده (کیلوگرم)]]&lt;&gt;0,Main[[#This Row],[تعداد کل روزهای بدهکار (روز)]],0)</f>
        <v>1</v>
      </c>
      <c r="Z1398" s="6">
        <f ca="1">Main[[#This Row],[تعداد روزهای بدهکار تسویه شده (روز)]]*Main[[#This Row],[مانده در خط تسویه شده (کیلوگرم)]]</f>
        <v>31944</v>
      </c>
      <c r="AA1398" s="6">
        <f ca="1">SUBTOTAL(9,INDEX(Main[بدهی تسویه نشده (کیلوگرم)],1):Main[[#This Row],[بدهی تسویه نشده (کیلوگرم)]])</f>
        <v>0</v>
      </c>
      <c r="AB1398" s="6">
        <f ca="1">IF(Main[[#This Row],[مانده در خط تسویه نشده (کیلوگرم)]]&lt;&gt;0,Main[[#This Row],[تعداد کل روزهای بدهکار (روز)]],0)</f>
        <v>0</v>
      </c>
      <c r="AC1398" s="6">
        <f ca="1">Main[[#This Row],[تعداد روزهای بدهکار  تسویه نشده (روز)]]*Main[[#This Row],[مانده در خط تسویه نشده (کیلوگرم)]]</f>
        <v>0</v>
      </c>
      <c r="AD1398" s="6">
        <f ca="1">SUBTOTAL(9,INDEX(Main[بدهی سررسید شده (کیلوگرم)],1):Main[[#This Row],[بدهی سررسید شده (کیلوگرم)]])</f>
        <v>0</v>
      </c>
      <c r="AE1398" s="6">
        <f ca="1">IF(Main[[#This Row],[مانده در خط سررسید شده (کیلوگرم)]]&lt;&gt;0,Main[[#This Row],[تعداد کل روزهای بدهکار (روز)]],0)</f>
        <v>0</v>
      </c>
      <c r="AF1398" s="6">
        <f ca="1">Main[[#This Row],[تعداد روزهای بدهکار سررسید شده (روز)]]*Main[[#This Row],[مانده در خط سررسید شده (کیلوگرم)]]</f>
        <v>0</v>
      </c>
    </row>
    <row r="1399" spans="1:32" hidden="1" x14ac:dyDescent="0.35">
      <c r="A1399" s="5">
        <f>ROW()-ROW(INDEX(Main[ردیف],1))+1</f>
        <v>1397</v>
      </c>
      <c r="B1399" s="31">
        <f>SUBTOTAL(2,INDEX(Main[ردیف],1):Main[[#This Row],[ردیف]])</f>
        <v>124</v>
      </c>
      <c r="C1399" s="32" t="s">
        <v>650</v>
      </c>
      <c r="D1399" s="32" t="str">
        <f>_xlfn.CONCAT("14",Main[[#This Row],[تاريخ]])</f>
        <v>1400/06/02</v>
      </c>
      <c r="E1399" s="33">
        <v>44432</v>
      </c>
      <c r="F1399" s="32">
        <v>30009</v>
      </c>
      <c r="G1399" s="5" t="str">
        <f>INDEX(customer[عنوان],MATCH(Main[[#This Row],[کد ردیابی]],customer[کد],0))</f>
        <v>شرکت ایمن تک پیشرو</v>
      </c>
      <c r="H1399">
        <v>-2013</v>
      </c>
      <c r="I1399" s="6">
        <f ca="1">-Main[[#This Row],[بدهی تسویه شده (کیلوگرم)]]+Main[[#This Row],[بستانکار (کیلوگرم)]]</f>
        <v>-2013</v>
      </c>
      <c r="J1399" s="6">
        <f>IF(Main[[#This Row],[مقدار (کیلوگرم)]]&gt;0,Main[[#This Row],[مقدار (کیلوگرم)]],0)</f>
        <v>0</v>
      </c>
      <c r="K1399" s="6">
        <f>-IF(Main[[#This Row],[مقدار (کیلوگرم)]]&lt;0,Main[[#This Row],[مقدار (کیلوگرم)]],0)</f>
        <v>2013</v>
      </c>
      <c r="L13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9" s="7">
        <f>-IF(AND(Main[[#This Row],[مقدار (کیلوگرم)]]&lt;0,Main[[#This Row],[تاريخ میلادی]]&gt;44276),Main[[#This Row],[مقدار (کیلوگرم)]],0)</f>
        <v>2013</v>
      </c>
      <c r="N1399" s="6">
        <f ca="1">Main[[#This Row],[بدهکار (کیلوگرم)]]-Main[[#This Row],[بدهی تسویه نشده (کیلوگرم)]]</f>
        <v>2013</v>
      </c>
      <c r="O1399" s="6">
        <f ca="1">Main[[#This Row],[تفکیک]]</f>
        <v>0</v>
      </c>
      <c r="P1399" s="6">
        <f ca="1">IF(Main[[#This Row],[تاخیر از سررسید]]&gt;0,Main[[#This Row],[بدهی تسویه نشده (کیلوگرم)]],0)</f>
        <v>0</v>
      </c>
      <c r="Q1399" s="6">
        <f ca="1">IF(Main[[#This Row],[بدهی تسویه نشده (کیلوگرم)]]&gt;0,'گزارش فردی'!$B$7-Main[[#This Row],[تاريخ میلادی]],0)</f>
        <v>0</v>
      </c>
      <c r="R1399" s="6">
        <f ca="1">IF(Main[[#This Row],[بدهی تسویه نشده (کیلوگرم)]]&gt;0,'گزارش فردی'!$B$7-Main[[#This Row],[تاريخ میلادی]]-'گزارش فردی'!$B$8,0)</f>
        <v>0</v>
      </c>
      <c r="S1399" s="6">
        <f ca="1">Main[[#This Row],[روز از ارسال سفارش]]*Main[[#This Row],[بدهی تسویه نشده (کیلوگرم)]]</f>
        <v>0</v>
      </c>
      <c r="T1399" s="6">
        <f ca="1">Main[[#This Row],[بدهی سررسید شده (کیلوگرم)]]*Main[[#This Row],[روز از ارسال سفارش]]</f>
        <v>0</v>
      </c>
      <c r="U1399" s="6">
        <f>-SUBTOTAL(9,INDEX(Main[مقدار (کیلوگرم)],1):Main[[#This Row],[مقدار (کیلوگرم)]])</f>
        <v>31944</v>
      </c>
      <c r="V13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9" s="6">
        <f>Main[[#This Row],[تعداد کل روزهای بدهکار (روز)]]*Main[[#This Row],[مانده در خط کل (کیلوگرم)]]</f>
        <v>31944</v>
      </c>
      <c r="X1399" s="6">
        <f ca="1">-SUBTOTAL(9,INDEX(Main[مقدار تسویه شده (کیلوگرم)],1):Main[[#This Row],[مقدار تسویه شده (کیلوگرم)]])</f>
        <v>31944</v>
      </c>
      <c r="Y1399" s="6">
        <f ca="1">IF(Main[[#This Row],[مانده در خط تسویه شده (کیلوگرم)]]&lt;&gt;0,Main[[#This Row],[تعداد کل روزهای بدهکار (روز)]],0)</f>
        <v>1</v>
      </c>
      <c r="Z1399" s="6">
        <f ca="1">Main[[#This Row],[تعداد روزهای بدهکار تسویه شده (روز)]]*Main[[#This Row],[مانده در خط تسویه شده (کیلوگرم)]]</f>
        <v>31944</v>
      </c>
      <c r="AA1399" s="6">
        <f ca="1">SUBTOTAL(9,INDEX(Main[بدهی تسویه نشده (کیلوگرم)],1):Main[[#This Row],[بدهی تسویه نشده (کیلوگرم)]])</f>
        <v>0</v>
      </c>
      <c r="AB1399" s="6">
        <f ca="1">IF(Main[[#This Row],[مانده در خط تسویه نشده (کیلوگرم)]]&lt;&gt;0,Main[[#This Row],[تعداد کل روزهای بدهکار (روز)]],0)</f>
        <v>0</v>
      </c>
      <c r="AC1399" s="6">
        <f ca="1">Main[[#This Row],[تعداد روزهای بدهکار  تسویه نشده (روز)]]*Main[[#This Row],[مانده در خط تسویه نشده (کیلوگرم)]]</f>
        <v>0</v>
      </c>
      <c r="AD1399" s="6">
        <f ca="1">SUBTOTAL(9,INDEX(Main[بدهی سررسید شده (کیلوگرم)],1):Main[[#This Row],[بدهی سررسید شده (کیلوگرم)]])</f>
        <v>0</v>
      </c>
      <c r="AE1399" s="6">
        <f ca="1">IF(Main[[#This Row],[مانده در خط سررسید شده (کیلوگرم)]]&lt;&gt;0,Main[[#This Row],[تعداد کل روزهای بدهکار (روز)]],0)</f>
        <v>0</v>
      </c>
      <c r="AF1399" s="6">
        <f ca="1">Main[[#This Row],[تعداد روزهای بدهکار سررسید شده (روز)]]*Main[[#This Row],[مانده در خط سررسید شده (کیلوگرم)]]</f>
        <v>0</v>
      </c>
    </row>
    <row r="1400" spans="1:32" hidden="1" x14ac:dyDescent="0.35">
      <c r="A1400" s="5">
        <f>ROW()-ROW(INDEX(Main[ردیف],1))+1</f>
        <v>1398</v>
      </c>
      <c r="B1400" s="31">
        <f>SUBTOTAL(2,INDEX(Main[ردیف],1):Main[[#This Row],[ردیف]])</f>
        <v>124</v>
      </c>
      <c r="C1400" s="32" t="s">
        <v>651</v>
      </c>
      <c r="D1400" s="32" t="str">
        <f>_xlfn.CONCAT("14",Main[[#This Row],[تاريخ]])</f>
        <v>1400/06/03</v>
      </c>
      <c r="E1400" s="33">
        <v>44433</v>
      </c>
      <c r="F1400" s="32">
        <v>10026</v>
      </c>
      <c r="G1400" s="5" t="str">
        <f>INDEX(customer[عنوان],MATCH(Main[[#This Row],[کد ردیابی]],customer[کد],0))</f>
        <v xml:space="preserve">محسن فیاض بخش </v>
      </c>
      <c r="H1400">
        <v>2650</v>
      </c>
      <c r="I1400" s="6">
        <f ca="1">-Main[[#This Row],[بدهی تسویه شده (کیلوگرم)]]+Main[[#This Row],[بستانکار (کیلوگرم)]]</f>
        <v>2650</v>
      </c>
      <c r="J1400" s="6">
        <f>IF(Main[[#This Row],[مقدار (کیلوگرم)]]&gt;0,Main[[#This Row],[مقدار (کیلوگرم)]],0)</f>
        <v>2650</v>
      </c>
      <c r="K1400" s="6">
        <f>-IF(Main[[#This Row],[مقدار (کیلوگرم)]]&lt;0,Main[[#This Row],[مقدار (کیلوگرم)]],0)</f>
        <v>0</v>
      </c>
      <c r="L14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0" s="7">
        <f>-IF(AND(Main[[#This Row],[مقدار (کیلوگرم)]]&lt;0,Main[[#This Row],[تاريخ میلادی]]&gt;44276),Main[[#This Row],[مقدار (کیلوگرم)]],0)</f>
        <v>0</v>
      </c>
      <c r="N1400" s="6">
        <f ca="1">Main[[#This Row],[بدهکار (کیلوگرم)]]-Main[[#This Row],[بدهی تسویه نشده (کیلوگرم)]]</f>
        <v>0</v>
      </c>
      <c r="O1400" s="6">
        <f ca="1">Main[[#This Row],[تفکیک]]</f>
        <v>0</v>
      </c>
      <c r="P1400" s="6">
        <f ca="1">IF(Main[[#This Row],[تاخیر از سررسید]]&gt;0,Main[[#This Row],[بدهی تسویه نشده (کیلوگرم)]],0)</f>
        <v>0</v>
      </c>
      <c r="Q1400" s="6">
        <f ca="1">IF(Main[[#This Row],[بدهی تسویه نشده (کیلوگرم)]]&gt;0,'گزارش فردی'!$B$7-Main[[#This Row],[تاريخ میلادی]],0)</f>
        <v>0</v>
      </c>
      <c r="R1400" s="6">
        <f ca="1">IF(Main[[#This Row],[بدهی تسویه نشده (کیلوگرم)]]&gt;0,'گزارش فردی'!$B$7-Main[[#This Row],[تاريخ میلادی]]-'گزارش فردی'!$B$8,0)</f>
        <v>0</v>
      </c>
      <c r="S1400" s="6">
        <f ca="1">Main[[#This Row],[روز از ارسال سفارش]]*Main[[#This Row],[بدهی تسویه نشده (کیلوگرم)]]</f>
        <v>0</v>
      </c>
      <c r="T1400" s="6">
        <f ca="1">Main[[#This Row],[بدهی سررسید شده (کیلوگرم)]]*Main[[#This Row],[روز از ارسال سفارش]]</f>
        <v>0</v>
      </c>
      <c r="U1400" s="6">
        <f>-SUBTOTAL(9,INDEX(Main[مقدار (کیلوگرم)],1):Main[[#This Row],[مقدار (کیلوگرم)]])</f>
        <v>31944</v>
      </c>
      <c r="V14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0" s="6">
        <f>Main[[#This Row],[تعداد کل روزهای بدهکار (روز)]]*Main[[#This Row],[مانده در خط کل (کیلوگرم)]]</f>
        <v>0</v>
      </c>
      <c r="X1400" s="6">
        <f ca="1">-SUBTOTAL(9,INDEX(Main[مقدار تسویه شده (کیلوگرم)],1):Main[[#This Row],[مقدار تسویه شده (کیلوگرم)]])</f>
        <v>31944</v>
      </c>
      <c r="Y1400" s="6">
        <f ca="1">IF(Main[[#This Row],[مانده در خط تسویه شده (کیلوگرم)]]&lt;&gt;0,Main[[#This Row],[تعداد کل روزهای بدهکار (روز)]],0)</f>
        <v>0</v>
      </c>
      <c r="Z1400" s="6">
        <f ca="1">Main[[#This Row],[تعداد روزهای بدهکار تسویه شده (روز)]]*Main[[#This Row],[مانده در خط تسویه شده (کیلوگرم)]]</f>
        <v>0</v>
      </c>
      <c r="AA1400" s="6">
        <f ca="1">SUBTOTAL(9,INDEX(Main[بدهی تسویه نشده (کیلوگرم)],1):Main[[#This Row],[بدهی تسویه نشده (کیلوگرم)]])</f>
        <v>0</v>
      </c>
      <c r="AB1400" s="6">
        <f ca="1">IF(Main[[#This Row],[مانده در خط تسویه نشده (کیلوگرم)]]&lt;&gt;0,Main[[#This Row],[تعداد کل روزهای بدهکار (روز)]],0)</f>
        <v>0</v>
      </c>
      <c r="AC1400" s="6">
        <f ca="1">Main[[#This Row],[تعداد روزهای بدهکار  تسویه نشده (روز)]]*Main[[#This Row],[مانده در خط تسویه نشده (کیلوگرم)]]</f>
        <v>0</v>
      </c>
      <c r="AD1400" s="6">
        <f ca="1">SUBTOTAL(9,INDEX(Main[بدهی سررسید شده (کیلوگرم)],1):Main[[#This Row],[بدهی سررسید شده (کیلوگرم)]])</f>
        <v>0</v>
      </c>
      <c r="AE1400" s="6">
        <f ca="1">IF(Main[[#This Row],[مانده در خط سررسید شده (کیلوگرم)]]&lt;&gt;0,Main[[#This Row],[تعداد کل روزهای بدهکار (روز)]],0)</f>
        <v>0</v>
      </c>
      <c r="AF1400" s="6">
        <f ca="1">Main[[#This Row],[تعداد روزهای بدهکار سررسید شده (روز)]]*Main[[#This Row],[مانده در خط سررسید شده (کیلوگرم)]]</f>
        <v>0</v>
      </c>
    </row>
    <row r="1401" spans="1:32" hidden="1" x14ac:dyDescent="0.35">
      <c r="A1401" s="5">
        <f>ROW()-ROW(INDEX(Main[ردیف],1))+1</f>
        <v>1399</v>
      </c>
      <c r="B1401" s="31">
        <f>SUBTOTAL(2,INDEX(Main[ردیف],1):Main[[#This Row],[ردیف]])</f>
        <v>124</v>
      </c>
      <c r="C1401" s="32" t="s">
        <v>651</v>
      </c>
      <c r="D1401" s="32" t="str">
        <f>_xlfn.CONCAT("14",Main[[#This Row],[تاريخ]])</f>
        <v>1400/06/03</v>
      </c>
      <c r="E1401" s="33">
        <v>44433</v>
      </c>
      <c r="F1401" s="32">
        <v>30009</v>
      </c>
      <c r="G1401" s="5" t="str">
        <f>INDEX(customer[عنوان],MATCH(Main[[#This Row],[کد ردیابی]],customer[کد],0))</f>
        <v>شرکت ایمن تک پیشرو</v>
      </c>
      <c r="H1401">
        <v>-1051</v>
      </c>
      <c r="I1401" s="6">
        <f ca="1">-Main[[#This Row],[بدهی تسویه شده (کیلوگرم)]]+Main[[#This Row],[بستانکار (کیلوگرم)]]</f>
        <v>-1051</v>
      </c>
      <c r="J1401" s="6">
        <f>IF(Main[[#This Row],[مقدار (کیلوگرم)]]&gt;0,Main[[#This Row],[مقدار (کیلوگرم)]],0)</f>
        <v>0</v>
      </c>
      <c r="K1401" s="6">
        <f>-IF(Main[[#This Row],[مقدار (کیلوگرم)]]&lt;0,Main[[#This Row],[مقدار (کیلوگرم)]],0)</f>
        <v>1051</v>
      </c>
      <c r="L14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1" s="7">
        <f>-IF(AND(Main[[#This Row],[مقدار (کیلوگرم)]]&lt;0,Main[[#This Row],[تاريخ میلادی]]&gt;44276),Main[[#This Row],[مقدار (کیلوگرم)]],0)</f>
        <v>1051</v>
      </c>
      <c r="N1401" s="6">
        <f ca="1">Main[[#This Row],[بدهکار (کیلوگرم)]]-Main[[#This Row],[بدهی تسویه نشده (کیلوگرم)]]</f>
        <v>1051</v>
      </c>
      <c r="O1401" s="6">
        <f ca="1">Main[[#This Row],[تفکیک]]</f>
        <v>0</v>
      </c>
      <c r="P1401" s="6">
        <f ca="1">IF(Main[[#This Row],[تاخیر از سررسید]]&gt;0,Main[[#This Row],[بدهی تسویه نشده (کیلوگرم)]],0)</f>
        <v>0</v>
      </c>
      <c r="Q1401" s="6">
        <f ca="1">IF(Main[[#This Row],[بدهی تسویه نشده (کیلوگرم)]]&gt;0,'گزارش فردی'!$B$7-Main[[#This Row],[تاريخ میلادی]],0)</f>
        <v>0</v>
      </c>
      <c r="R1401" s="6">
        <f ca="1">IF(Main[[#This Row],[بدهی تسویه نشده (کیلوگرم)]]&gt;0,'گزارش فردی'!$B$7-Main[[#This Row],[تاريخ میلادی]]-'گزارش فردی'!$B$8,0)</f>
        <v>0</v>
      </c>
      <c r="S1401" s="6">
        <f ca="1">Main[[#This Row],[روز از ارسال سفارش]]*Main[[#This Row],[بدهی تسویه نشده (کیلوگرم)]]</f>
        <v>0</v>
      </c>
      <c r="T1401" s="6">
        <f ca="1">Main[[#This Row],[بدهی سررسید شده (کیلوگرم)]]*Main[[#This Row],[روز از ارسال سفارش]]</f>
        <v>0</v>
      </c>
      <c r="U1401" s="6">
        <f>-SUBTOTAL(9,INDEX(Main[مقدار (کیلوگرم)],1):Main[[#This Row],[مقدار (کیلوگرم)]])</f>
        <v>31944</v>
      </c>
      <c r="V14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1" s="6">
        <f>Main[[#This Row],[تعداد کل روزهای بدهکار (روز)]]*Main[[#This Row],[مانده در خط کل (کیلوگرم)]]</f>
        <v>0</v>
      </c>
      <c r="X1401" s="6">
        <f ca="1">-SUBTOTAL(9,INDEX(Main[مقدار تسویه شده (کیلوگرم)],1):Main[[#This Row],[مقدار تسویه شده (کیلوگرم)]])</f>
        <v>31944</v>
      </c>
      <c r="Y1401" s="6">
        <f ca="1">IF(Main[[#This Row],[مانده در خط تسویه شده (کیلوگرم)]]&lt;&gt;0,Main[[#This Row],[تعداد کل روزهای بدهکار (روز)]],0)</f>
        <v>0</v>
      </c>
      <c r="Z1401" s="6">
        <f ca="1">Main[[#This Row],[تعداد روزهای بدهکار تسویه شده (روز)]]*Main[[#This Row],[مانده در خط تسویه شده (کیلوگرم)]]</f>
        <v>0</v>
      </c>
      <c r="AA1401" s="6">
        <f ca="1">SUBTOTAL(9,INDEX(Main[بدهی تسویه نشده (کیلوگرم)],1):Main[[#This Row],[بدهی تسویه نشده (کیلوگرم)]])</f>
        <v>0</v>
      </c>
      <c r="AB1401" s="6">
        <f ca="1">IF(Main[[#This Row],[مانده در خط تسویه نشده (کیلوگرم)]]&lt;&gt;0,Main[[#This Row],[تعداد کل روزهای بدهکار (روز)]],0)</f>
        <v>0</v>
      </c>
      <c r="AC1401" s="6">
        <f ca="1">Main[[#This Row],[تعداد روزهای بدهکار  تسویه نشده (روز)]]*Main[[#This Row],[مانده در خط تسویه نشده (کیلوگرم)]]</f>
        <v>0</v>
      </c>
      <c r="AD1401" s="6">
        <f ca="1">SUBTOTAL(9,INDEX(Main[بدهی سررسید شده (کیلوگرم)],1):Main[[#This Row],[بدهی سررسید شده (کیلوگرم)]])</f>
        <v>0</v>
      </c>
      <c r="AE1401" s="6">
        <f ca="1">IF(Main[[#This Row],[مانده در خط سررسید شده (کیلوگرم)]]&lt;&gt;0,Main[[#This Row],[تعداد کل روزهای بدهکار (روز)]],0)</f>
        <v>0</v>
      </c>
      <c r="AF1401" s="6">
        <f ca="1">Main[[#This Row],[تعداد روزهای بدهکار سررسید شده (روز)]]*Main[[#This Row],[مانده در خط سررسید شده (کیلوگرم)]]</f>
        <v>0</v>
      </c>
    </row>
    <row r="1402" spans="1:32" hidden="1" x14ac:dyDescent="0.35">
      <c r="A1402" s="5">
        <f>ROW()-ROW(INDEX(Main[ردیف],1))+1</f>
        <v>1400</v>
      </c>
      <c r="B1402" s="31">
        <f>SUBTOTAL(2,INDEX(Main[ردیف],1):Main[[#This Row],[ردیف]])</f>
        <v>124</v>
      </c>
      <c r="C1402" s="32" t="s">
        <v>651</v>
      </c>
      <c r="D1402" s="32" t="str">
        <f>_xlfn.CONCAT("14",Main[[#This Row],[تاريخ]])</f>
        <v>1400/06/03</v>
      </c>
      <c r="E1402" s="33">
        <v>44433</v>
      </c>
      <c r="F1402" s="32">
        <v>30184</v>
      </c>
      <c r="G1402" s="5" t="str">
        <f>INDEX(customer[عنوان],MATCH(Main[[#This Row],[کد ردیابی]],customer[کد],0))</f>
        <v>شرکت هوم کو (هوشمند مبین کوشا)</v>
      </c>
      <c r="H1402">
        <v>3893</v>
      </c>
      <c r="I1402" s="6">
        <f ca="1">-Main[[#This Row],[بدهی تسویه شده (کیلوگرم)]]+Main[[#This Row],[بستانکار (کیلوگرم)]]</f>
        <v>3893</v>
      </c>
      <c r="J1402" s="6">
        <f>IF(Main[[#This Row],[مقدار (کیلوگرم)]]&gt;0,Main[[#This Row],[مقدار (کیلوگرم)]],0)</f>
        <v>3893</v>
      </c>
      <c r="K1402" s="6">
        <f>-IF(Main[[#This Row],[مقدار (کیلوگرم)]]&lt;0,Main[[#This Row],[مقدار (کیلوگرم)]],0)</f>
        <v>0</v>
      </c>
      <c r="L14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2" s="7">
        <f>-IF(AND(Main[[#This Row],[مقدار (کیلوگرم)]]&lt;0,Main[[#This Row],[تاريخ میلادی]]&gt;44276),Main[[#This Row],[مقدار (کیلوگرم)]],0)</f>
        <v>0</v>
      </c>
      <c r="N1402" s="6">
        <f ca="1">Main[[#This Row],[بدهکار (کیلوگرم)]]-Main[[#This Row],[بدهی تسویه نشده (کیلوگرم)]]</f>
        <v>0</v>
      </c>
      <c r="O1402" s="6">
        <f ca="1">Main[[#This Row],[تفکیک]]</f>
        <v>0</v>
      </c>
      <c r="P1402" s="6">
        <f ca="1">IF(Main[[#This Row],[تاخیر از سررسید]]&gt;0,Main[[#This Row],[بدهی تسویه نشده (کیلوگرم)]],0)</f>
        <v>0</v>
      </c>
      <c r="Q1402" s="6">
        <f ca="1">IF(Main[[#This Row],[بدهی تسویه نشده (کیلوگرم)]]&gt;0,'گزارش فردی'!$B$7-Main[[#This Row],[تاريخ میلادی]],0)</f>
        <v>0</v>
      </c>
      <c r="R1402" s="6">
        <f ca="1">IF(Main[[#This Row],[بدهی تسویه نشده (کیلوگرم)]]&gt;0,'گزارش فردی'!$B$7-Main[[#This Row],[تاريخ میلادی]]-'گزارش فردی'!$B$8,0)</f>
        <v>0</v>
      </c>
      <c r="S1402" s="6">
        <f ca="1">Main[[#This Row],[روز از ارسال سفارش]]*Main[[#This Row],[بدهی تسویه نشده (کیلوگرم)]]</f>
        <v>0</v>
      </c>
      <c r="T1402" s="6">
        <f ca="1">Main[[#This Row],[بدهی سررسید شده (کیلوگرم)]]*Main[[#This Row],[روز از ارسال سفارش]]</f>
        <v>0</v>
      </c>
      <c r="U1402" s="6">
        <f>-SUBTOTAL(9,INDEX(Main[مقدار (کیلوگرم)],1):Main[[#This Row],[مقدار (کیلوگرم)]])</f>
        <v>31944</v>
      </c>
      <c r="V14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2" s="6">
        <f>Main[[#This Row],[تعداد کل روزهای بدهکار (روز)]]*Main[[#This Row],[مانده در خط کل (کیلوگرم)]]</f>
        <v>0</v>
      </c>
      <c r="X1402" s="6">
        <f ca="1">-SUBTOTAL(9,INDEX(Main[مقدار تسویه شده (کیلوگرم)],1):Main[[#This Row],[مقدار تسویه شده (کیلوگرم)]])</f>
        <v>31944</v>
      </c>
      <c r="Y1402" s="6">
        <f ca="1">IF(Main[[#This Row],[مانده در خط تسویه شده (کیلوگرم)]]&lt;&gt;0,Main[[#This Row],[تعداد کل روزهای بدهکار (روز)]],0)</f>
        <v>0</v>
      </c>
      <c r="Z1402" s="6">
        <f ca="1">Main[[#This Row],[تعداد روزهای بدهکار تسویه شده (روز)]]*Main[[#This Row],[مانده در خط تسویه شده (کیلوگرم)]]</f>
        <v>0</v>
      </c>
      <c r="AA1402" s="6">
        <f ca="1">SUBTOTAL(9,INDEX(Main[بدهی تسویه نشده (کیلوگرم)],1):Main[[#This Row],[بدهی تسویه نشده (کیلوگرم)]])</f>
        <v>0</v>
      </c>
      <c r="AB1402" s="6">
        <f ca="1">IF(Main[[#This Row],[مانده در خط تسویه نشده (کیلوگرم)]]&lt;&gt;0,Main[[#This Row],[تعداد کل روزهای بدهکار (روز)]],0)</f>
        <v>0</v>
      </c>
      <c r="AC1402" s="6">
        <f ca="1">Main[[#This Row],[تعداد روزهای بدهکار  تسویه نشده (روز)]]*Main[[#This Row],[مانده در خط تسویه نشده (کیلوگرم)]]</f>
        <v>0</v>
      </c>
      <c r="AD1402" s="6">
        <f ca="1">SUBTOTAL(9,INDEX(Main[بدهی سررسید شده (کیلوگرم)],1):Main[[#This Row],[بدهی سررسید شده (کیلوگرم)]])</f>
        <v>0</v>
      </c>
      <c r="AE1402" s="6">
        <f ca="1">IF(Main[[#This Row],[مانده در خط سررسید شده (کیلوگرم)]]&lt;&gt;0,Main[[#This Row],[تعداد کل روزهای بدهکار (روز)]],0)</f>
        <v>0</v>
      </c>
      <c r="AF1402" s="6">
        <f ca="1">Main[[#This Row],[تعداد روزهای بدهکار سررسید شده (روز)]]*Main[[#This Row],[مانده در خط سررسید شده (کیلوگرم)]]</f>
        <v>0</v>
      </c>
    </row>
    <row r="1403" spans="1:32" hidden="1" x14ac:dyDescent="0.35">
      <c r="A1403" s="5">
        <f>ROW()-ROW(INDEX(Main[ردیف],1))+1</f>
        <v>1401</v>
      </c>
      <c r="B1403" s="31">
        <f>SUBTOTAL(2,INDEX(Main[ردیف],1):Main[[#This Row],[ردیف]])</f>
        <v>124</v>
      </c>
      <c r="C1403" s="32" t="s">
        <v>651</v>
      </c>
      <c r="D1403" s="32" t="str">
        <f>_xlfn.CONCAT("14",Main[[#This Row],[تاريخ]])</f>
        <v>1400/06/03</v>
      </c>
      <c r="E1403" s="33">
        <v>44433</v>
      </c>
      <c r="F1403" s="32">
        <v>30009</v>
      </c>
      <c r="G1403" s="5" t="str">
        <f>INDEX(customer[عنوان],MATCH(Main[[#This Row],[کد ردیابی]],customer[کد],0))</f>
        <v>شرکت ایمن تک پیشرو</v>
      </c>
      <c r="H1403">
        <v>-1030</v>
      </c>
      <c r="I1403" s="6">
        <f ca="1">-Main[[#This Row],[بدهی تسویه شده (کیلوگرم)]]+Main[[#This Row],[بستانکار (کیلوگرم)]]</f>
        <v>-1030</v>
      </c>
      <c r="J1403" s="6">
        <f>IF(Main[[#This Row],[مقدار (کیلوگرم)]]&gt;0,Main[[#This Row],[مقدار (کیلوگرم)]],0)</f>
        <v>0</v>
      </c>
      <c r="K1403" s="6">
        <f>-IF(Main[[#This Row],[مقدار (کیلوگرم)]]&lt;0,Main[[#This Row],[مقدار (کیلوگرم)]],0)</f>
        <v>1030</v>
      </c>
      <c r="L14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3" s="7">
        <f>-IF(AND(Main[[#This Row],[مقدار (کیلوگرم)]]&lt;0,Main[[#This Row],[تاريخ میلادی]]&gt;44276),Main[[#This Row],[مقدار (کیلوگرم)]],0)</f>
        <v>1030</v>
      </c>
      <c r="N1403" s="6">
        <f ca="1">Main[[#This Row],[بدهکار (کیلوگرم)]]-Main[[#This Row],[بدهی تسویه نشده (کیلوگرم)]]</f>
        <v>1030</v>
      </c>
      <c r="O1403" s="6">
        <f ca="1">Main[[#This Row],[تفکیک]]</f>
        <v>0</v>
      </c>
      <c r="P1403" s="6">
        <f ca="1">IF(Main[[#This Row],[تاخیر از سررسید]]&gt;0,Main[[#This Row],[بدهی تسویه نشده (کیلوگرم)]],0)</f>
        <v>0</v>
      </c>
      <c r="Q1403" s="6">
        <f ca="1">IF(Main[[#This Row],[بدهی تسویه نشده (کیلوگرم)]]&gt;0,'گزارش فردی'!$B$7-Main[[#This Row],[تاريخ میلادی]],0)</f>
        <v>0</v>
      </c>
      <c r="R1403" s="6">
        <f ca="1">IF(Main[[#This Row],[بدهی تسویه نشده (کیلوگرم)]]&gt;0,'گزارش فردی'!$B$7-Main[[#This Row],[تاريخ میلادی]]-'گزارش فردی'!$B$8,0)</f>
        <v>0</v>
      </c>
      <c r="S1403" s="6">
        <f ca="1">Main[[#This Row],[روز از ارسال سفارش]]*Main[[#This Row],[بدهی تسویه نشده (کیلوگرم)]]</f>
        <v>0</v>
      </c>
      <c r="T1403" s="6">
        <f ca="1">Main[[#This Row],[بدهی سررسید شده (کیلوگرم)]]*Main[[#This Row],[روز از ارسال سفارش]]</f>
        <v>0</v>
      </c>
      <c r="U1403" s="6">
        <f>-SUBTOTAL(9,INDEX(Main[مقدار (کیلوگرم)],1):Main[[#This Row],[مقدار (کیلوگرم)]])</f>
        <v>31944</v>
      </c>
      <c r="V14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3" s="6">
        <f>Main[[#This Row],[تعداد کل روزهای بدهکار (روز)]]*Main[[#This Row],[مانده در خط کل (کیلوگرم)]]</f>
        <v>0</v>
      </c>
      <c r="X1403" s="6">
        <f ca="1">-SUBTOTAL(9,INDEX(Main[مقدار تسویه شده (کیلوگرم)],1):Main[[#This Row],[مقدار تسویه شده (کیلوگرم)]])</f>
        <v>31944</v>
      </c>
      <c r="Y1403" s="6">
        <f ca="1">IF(Main[[#This Row],[مانده در خط تسویه شده (کیلوگرم)]]&lt;&gt;0,Main[[#This Row],[تعداد کل روزهای بدهکار (روز)]],0)</f>
        <v>0</v>
      </c>
      <c r="Z1403" s="6">
        <f ca="1">Main[[#This Row],[تعداد روزهای بدهکار تسویه شده (روز)]]*Main[[#This Row],[مانده در خط تسویه شده (کیلوگرم)]]</f>
        <v>0</v>
      </c>
      <c r="AA1403" s="6">
        <f ca="1">SUBTOTAL(9,INDEX(Main[بدهی تسویه نشده (کیلوگرم)],1):Main[[#This Row],[بدهی تسویه نشده (کیلوگرم)]])</f>
        <v>0</v>
      </c>
      <c r="AB1403" s="6">
        <f ca="1">IF(Main[[#This Row],[مانده در خط تسویه نشده (کیلوگرم)]]&lt;&gt;0,Main[[#This Row],[تعداد کل روزهای بدهکار (روز)]],0)</f>
        <v>0</v>
      </c>
      <c r="AC1403" s="6">
        <f ca="1">Main[[#This Row],[تعداد روزهای بدهکار  تسویه نشده (روز)]]*Main[[#This Row],[مانده در خط تسویه نشده (کیلوگرم)]]</f>
        <v>0</v>
      </c>
      <c r="AD1403" s="6">
        <f ca="1">SUBTOTAL(9,INDEX(Main[بدهی سررسید شده (کیلوگرم)],1):Main[[#This Row],[بدهی سررسید شده (کیلوگرم)]])</f>
        <v>0</v>
      </c>
      <c r="AE1403" s="6">
        <f ca="1">IF(Main[[#This Row],[مانده در خط سررسید شده (کیلوگرم)]]&lt;&gt;0,Main[[#This Row],[تعداد کل روزهای بدهکار (روز)]],0)</f>
        <v>0</v>
      </c>
      <c r="AF1403" s="6">
        <f ca="1">Main[[#This Row],[تعداد روزهای بدهکار سررسید شده (روز)]]*Main[[#This Row],[مانده در خط سررسید شده (کیلوگرم)]]</f>
        <v>0</v>
      </c>
    </row>
    <row r="1404" spans="1:32" hidden="1" x14ac:dyDescent="0.35">
      <c r="A1404" s="5">
        <f>ROW()-ROW(INDEX(Main[ردیف],1))+1</f>
        <v>1402</v>
      </c>
      <c r="B1404" s="31">
        <f>SUBTOTAL(2,INDEX(Main[ردیف],1):Main[[#This Row],[ردیف]])</f>
        <v>124</v>
      </c>
      <c r="C1404" s="32" t="s">
        <v>651</v>
      </c>
      <c r="D1404" s="32" t="str">
        <f>_xlfn.CONCAT("14",Main[[#This Row],[تاريخ]])</f>
        <v>1400/06/03</v>
      </c>
      <c r="E1404" s="33">
        <v>44433</v>
      </c>
      <c r="F1404" s="32">
        <v>30146</v>
      </c>
      <c r="G1404" s="5" t="str">
        <f>INDEX(customer[عنوان],MATCH(Main[[#This Row],[کد ردیابی]],customer[کد],0))</f>
        <v>شرکت آذرپاد</v>
      </c>
      <c r="H1404">
        <v>2500</v>
      </c>
      <c r="I1404" s="6">
        <f ca="1">-Main[[#This Row],[بدهی تسویه شده (کیلوگرم)]]+Main[[#This Row],[بستانکار (کیلوگرم)]]</f>
        <v>2500</v>
      </c>
      <c r="J1404" s="6">
        <f>IF(Main[[#This Row],[مقدار (کیلوگرم)]]&gt;0,Main[[#This Row],[مقدار (کیلوگرم)]],0)</f>
        <v>2500</v>
      </c>
      <c r="K1404" s="6">
        <f>-IF(Main[[#This Row],[مقدار (کیلوگرم)]]&lt;0,Main[[#This Row],[مقدار (کیلوگرم)]],0)</f>
        <v>0</v>
      </c>
      <c r="L14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4" s="7">
        <f>-IF(AND(Main[[#This Row],[مقدار (کیلوگرم)]]&lt;0,Main[[#This Row],[تاريخ میلادی]]&gt;44276),Main[[#This Row],[مقدار (کیلوگرم)]],0)</f>
        <v>0</v>
      </c>
      <c r="N1404" s="6">
        <f ca="1">Main[[#This Row],[بدهکار (کیلوگرم)]]-Main[[#This Row],[بدهی تسویه نشده (کیلوگرم)]]</f>
        <v>0</v>
      </c>
      <c r="O1404" s="6">
        <f ca="1">Main[[#This Row],[تفکیک]]</f>
        <v>0</v>
      </c>
      <c r="P1404" s="6">
        <f ca="1">IF(Main[[#This Row],[تاخیر از سررسید]]&gt;0,Main[[#This Row],[بدهی تسویه نشده (کیلوگرم)]],0)</f>
        <v>0</v>
      </c>
      <c r="Q1404" s="6">
        <f ca="1">IF(Main[[#This Row],[بدهی تسویه نشده (کیلوگرم)]]&gt;0,'گزارش فردی'!$B$7-Main[[#This Row],[تاريخ میلادی]],0)</f>
        <v>0</v>
      </c>
      <c r="R1404" s="6">
        <f ca="1">IF(Main[[#This Row],[بدهی تسویه نشده (کیلوگرم)]]&gt;0,'گزارش فردی'!$B$7-Main[[#This Row],[تاريخ میلادی]]-'گزارش فردی'!$B$8,0)</f>
        <v>0</v>
      </c>
      <c r="S1404" s="6">
        <f ca="1">Main[[#This Row],[روز از ارسال سفارش]]*Main[[#This Row],[بدهی تسویه نشده (کیلوگرم)]]</f>
        <v>0</v>
      </c>
      <c r="T1404" s="6">
        <f ca="1">Main[[#This Row],[بدهی سررسید شده (کیلوگرم)]]*Main[[#This Row],[روز از ارسال سفارش]]</f>
        <v>0</v>
      </c>
      <c r="U1404" s="6">
        <f>-SUBTOTAL(9,INDEX(Main[مقدار (کیلوگرم)],1):Main[[#This Row],[مقدار (کیلوگرم)]])</f>
        <v>31944</v>
      </c>
      <c r="V14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4" s="6">
        <f>Main[[#This Row],[تعداد کل روزهای بدهکار (روز)]]*Main[[#This Row],[مانده در خط کل (کیلوگرم)]]</f>
        <v>0</v>
      </c>
      <c r="X1404" s="6">
        <f ca="1">-SUBTOTAL(9,INDEX(Main[مقدار تسویه شده (کیلوگرم)],1):Main[[#This Row],[مقدار تسویه شده (کیلوگرم)]])</f>
        <v>31944</v>
      </c>
      <c r="Y1404" s="6">
        <f ca="1">IF(Main[[#This Row],[مانده در خط تسویه شده (کیلوگرم)]]&lt;&gt;0,Main[[#This Row],[تعداد کل روزهای بدهکار (روز)]],0)</f>
        <v>0</v>
      </c>
      <c r="Z1404" s="6">
        <f ca="1">Main[[#This Row],[تعداد روزهای بدهکار تسویه شده (روز)]]*Main[[#This Row],[مانده در خط تسویه شده (کیلوگرم)]]</f>
        <v>0</v>
      </c>
      <c r="AA1404" s="6">
        <f ca="1">SUBTOTAL(9,INDEX(Main[بدهی تسویه نشده (کیلوگرم)],1):Main[[#This Row],[بدهی تسویه نشده (کیلوگرم)]])</f>
        <v>0</v>
      </c>
      <c r="AB1404" s="6">
        <f ca="1">IF(Main[[#This Row],[مانده در خط تسویه نشده (کیلوگرم)]]&lt;&gt;0,Main[[#This Row],[تعداد کل روزهای بدهکار (روز)]],0)</f>
        <v>0</v>
      </c>
      <c r="AC1404" s="6">
        <f ca="1">Main[[#This Row],[تعداد روزهای بدهکار  تسویه نشده (روز)]]*Main[[#This Row],[مانده در خط تسویه نشده (کیلوگرم)]]</f>
        <v>0</v>
      </c>
      <c r="AD1404" s="6">
        <f ca="1">SUBTOTAL(9,INDEX(Main[بدهی سررسید شده (کیلوگرم)],1):Main[[#This Row],[بدهی سررسید شده (کیلوگرم)]])</f>
        <v>0</v>
      </c>
      <c r="AE1404" s="6">
        <f ca="1">IF(Main[[#This Row],[مانده در خط سررسید شده (کیلوگرم)]]&lt;&gt;0,Main[[#This Row],[تعداد کل روزهای بدهکار (روز)]],0)</f>
        <v>0</v>
      </c>
      <c r="AF1404" s="6">
        <f ca="1">Main[[#This Row],[تعداد روزهای بدهکار سررسید شده (روز)]]*Main[[#This Row],[مانده در خط سررسید شده (کیلوگرم)]]</f>
        <v>0</v>
      </c>
    </row>
    <row r="1405" spans="1:32" hidden="1" x14ac:dyDescent="0.35">
      <c r="A1405" s="5">
        <f>ROW()-ROW(INDEX(Main[ردیف],1))+1</f>
        <v>1403</v>
      </c>
      <c r="B1405" s="31">
        <f>SUBTOTAL(2,INDEX(Main[ردیف],1):Main[[#This Row],[ردیف]])</f>
        <v>124</v>
      </c>
      <c r="C1405" s="32" t="s">
        <v>651</v>
      </c>
      <c r="D1405" s="32" t="str">
        <f>_xlfn.CONCAT("14",Main[[#This Row],[تاريخ]])</f>
        <v>1400/06/03</v>
      </c>
      <c r="E1405" s="33">
        <v>44433</v>
      </c>
      <c r="F1405" s="32">
        <v>30004</v>
      </c>
      <c r="G1405" s="5" t="str">
        <f>INDEX(customer[عنوان],MATCH(Main[[#This Row],[کد ردیابی]],customer[کد],0))</f>
        <v>تولیدی صنعتی صفاشیر پارس</v>
      </c>
      <c r="H1405">
        <v>-3198</v>
      </c>
      <c r="I1405" s="6">
        <f ca="1">-Main[[#This Row],[بدهی تسویه شده (کیلوگرم)]]+Main[[#This Row],[بستانکار (کیلوگرم)]]</f>
        <v>-3198</v>
      </c>
      <c r="J1405" s="6">
        <f>IF(Main[[#This Row],[مقدار (کیلوگرم)]]&gt;0,Main[[#This Row],[مقدار (کیلوگرم)]],0)</f>
        <v>0</v>
      </c>
      <c r="K1405" s="6">
        <f>-IF(Main[[#This Row],[مقدار (کیلوگرم)]]&lt;0,Main[[#This Row],[مقدار (کیلوگرم)]],0)</f>
        <v>3198</v>
      </c>
      <c r="L14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5" s="7">
        <f>-IF(AND(Main[[#This Row],[مقدار (کیلوگرم)]]&lt;0,Main[[#This Row],[تاريخ میلادی]]&gt;44276),Main[[#This Row],[مقدار (کیلوگرم)]],0)</f>
        <v>3198</v>
      </c>
      <c r="N1405" s="6">
        <f ca="1">Main[[#This Row],[بدهکار (کیلوگرم)]]-Main[[#This Row],[بدهی تسویه نشده (کیلوگرم)]]</f>
        <v>3198</v>
      </c>
      <c r="O1405" s="6">
        <f ca="1">Main[[#This Row],[تفکیک]]</f>
        <v>0</v>
      </c>
      <c r="P1405" s="6">
        <f ca="1">IF(Main[[#This Row],[تاخیر از سررسید]]&gt;0,Main[[#This Row],[بدهی تسویه نشده (کیلوگرم)]],0)</f>
        <v>0</v>
      </c>
      <c r="Q1405" s="6">
        <f ca="1">IF(Main[[#This Row],[بدهی تسویه نشده (کیلوگرم)]]&gt;0,'گزارش فردی'!$B$7-Main[[#This Row],[تاريخ میلادی]],0)</f>
        <v>0</v>
      </c>
      <c r="R1405" s="6">
        <f ca="1">IF(Main[[#This Row],[بدهی تسویه نشده (کیلوگرم)]]&gt;0,'گزارش فردی'!$B$7-Main[[#This Row],[تاريخ میلادی]]-'گزارش فردی'!$B$8,0)</f>
        <v>0</v>
      </c>
      <c r="S1405" s="6">
        <f ca="1">Main[[#This Row],[روز از ارسال سفارش]]*Main[[#This Row],[بدهی تسویه نشده (کیلوگرم)]]</f>
        <v>0</v>
      </c>
      <c r="T1405" s="6">
        <f ca="1">Main[[#This Row],[بدهی سررسید شده (کیلوگرم)]]*Main[[#This Row],[روز از ارسال سفارش]]</f>
        <v>0</v>
      </c>
      <c r="U1405" s="6">
        <f>-SUBTOTAL(9,INDEX(Main[مقدار (کیلوگرم)],1):Main[[#This Row],[مقدار (کیلوگرم)]])</f>
        <v>31944</v>
      </c>
      <c r="V14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5" s="6">
        <f>Main[[#This Row],[تعداد کل روزهای بدهکار (روز)]]*Main[[#This Row],[مانده در خط کل (کیلوگرم)]]</f>
        <v>0</v>
      </c>
      <c r="X1405" s="6">
        <f ca="1">-SUBTOTAL(9,INDEX(Main[مقدار تسویه شده (کیلوگرم)],1):Main[[#This Row],[مقدار تسویه شده (کیلوگرم)]])</f>
        <v>31944</v>
      </c>
      <c r="Y1405" s="6">
        <f ca="1">IF(Main[[#This Row],[مانده در خط تسویه شده (کیلوگرم)]]&lt;&gt;0,Main[[#This Row],[تعداد کل روزهای بدهکار (روز)]],0)</f>
        <v>0</v>
      </c>
      <c r="Z1405" s="6">
        <f ca="1">Main[[#This Row],[تعداد روزهای بدهکار تسویه شده (روز)]]*Main[[#This Row],[مانده در خط تسویه شده (کیلوگرم)]]</f>
        <v>0</v>
      </c>
      <c r="AA1405" s="6">
        <f ca="1">SUBTOTAL(9,INDEX(Main[بدهی تسویه نشده (کیلوگرم)],1):Main[[#This Row],[بدهی تسویه نشده (کیلوگرم)]])</f>
        <v>0</v>
      </c>
      <c r="AB1405" s="6">
        <f ca="1">IF(Main[[#This Row],[مانده در خط تسویه نشده (کیلوگرم)]]&lt;&gt;0,Main[[#This Row],[تعداد کل روزهای بدهکار (روز)]],0)</f>
        <v>0</v>
      </c>
      <c r="AC1405" s="6">
        <f ca="1">Main[[#This Row],[تعداد روزهای بدهکار  تسویه نشده (روز)]]*Main[[#This Row],[مانده در خط تسویه نشده (کیلوگرم)]]</f>
        <v>0</v>
      </c>
      <c r="AD1405" s="6">
        <f ca="1">SUBTOTAL(9,INDEX(Main[بدهی سررسید شده (کیلوگرم)],1):Main[[#This Row],[بدهی سررسید شده (کیلوگرم)]])</f>
        <v>0</v>
      </c>
      <c r="AE1405" s="6">
        <f ca="1">IF(Main[[#This Row],[مانده در خط سررسید شده (کیلوگرم)]]&lt;&gt;0,Main[[#This Row],[تعداد کل روزهای بدهکار (روز)]],0)</f>
        <v>0</v>
      </c>
      <c r="AF1405" s="6">
        <f ca="1">Main[[#This Row],[تعداد روزهای بدهکار سررسید شده (روز)]]*Main[[#This Row],[مانده در خط سررسید شده (کیلوگرم)]]</f>
        <v>0</v>
      </c>
    </row>
    <row r="1406" spans="1:32" hidden="1" x14ac:dyDescent="0.35">
      <c r="A1406" s="5">
        <f>ROW()-ROW(INDEX(Main[ردیف],1))+1</f>
        <v>1404</v>
      </c>
      <c r="B1406" s="31">
        <f>SUBTOTAL(2,INDEX(Main[ردیف],1):Main[[#This Row],[ردیف]])</f>
        <v>124</v>
      </c>
      <c r="C1406" s="32" t="s">
        <v>651</v>
      </c>
      <c r="D1406" s="32" t="str">
        <f>_xlfn.CONCAT("14",Main[[#This Row],[تاريخ]])</f>
        <v>1400/06/03</v>
      </c>
      <c r="E1406" s="33">
        <v>44433</v>
      </c>
      <c r="F1406" s="32">
        <v>30004</v>
      </c>
      <c r="G1406" s="5" t="str">
        <f>INDEX(customer[عنوان],MATCH(Main[[#This Row],[کد ردیابی]],customer[کد],0))</f>
        <v>تولیدی صنعتی صفاشیر پارس</v>
      </c>
      <c r="H1406">
        <v>1704</v>
      </c>
      <c r="I1406" s="6">
        <f ca="1">-Main[[#This Row],[بدهی تسویه شده (کیلوگرم)]]+Main[[#This Row],[بستانکار (کیلوگرم)]]</f>
        <v>1704</v>
      </c>
      <c r="J1406" s="6">
        <f>IF(Main[[#This Row],[مقدار (کیلوگرم)]]&gt;0,Main[[#This Row],[مقدار (کیلوگرم)]],0)</f>
        <v>1704</v>
      </c>
      <c r="K1406" s="6">
        <f>-IF(Main[[#This Row],[مقدار (کیلوگرم)]]&lt;0,Main[[#This Row],[مقدار (کیلوگرم)]],0)</f>
        <v>0</v>
      </c>
      <c r="L14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6" s="7">
        <f>-IF(AND(Main[[#This Row],[مقدار (کیلوگرم)]]&lt;0,Main[[#This Row],[تاريخ میلادی]]&gt;44276),Main[[#This Row],[مقدار (کیلوگرم)]],0)</f>
        <v>0</v>
      </c>
      <c r="N1406" s="6">
        <f ca="1">Main[[#This Row],[بدهکار (کیلوگرم)]]-Main[[#This Row],[بدهی تسویه نشده (کیلوگرم)]]</f>
        <v>0</v>
      </c>
      <c r="O1406" s="6">
        <f ca="1">Main[[#This Row],[تفکیک]]</f>
        <v>0</v>
      </c>
      <c r="P1406" s="6">
        <f ca="1">IF(Main[[#This Row],[تاخیر از سررسید]]&gt;0,Main[[#This Row],[بدهی تسویه نشده (کیلوگرم)]],0)</f>
        <v>0</v>
      </c>
      <c r="Q1406" s="6">
        <f ca="1">IF(Main[[#This Row],[بدهی تسویه نشده (کیلوگرم)]]&gt;0,'گزارش فردی'!$B$7-Main[[#This Row],[تاريخ میلادی]],0)</f>
        <v>0</v>
      </c>
      <c r="R1406" s="6">
        <f ca="1">IF(Main[[#This Row],[بدهی تسویه نشده (کیلوگرم)]]&gt;0,'گزارش فردی'!$B$7-Main[[#This Row],[تاريخ میلادی]]-'گزارش فردی'!$B$8,0)</f>
        <v>0</v>
      </c>
      <c r="S1406" s="6">
        <f ca="1">Main[[#This Row],[روز از ارسال سفارش]]*Main[[#This Row],[بدهی تسویه نشده (کیلوگرم)]]</f>
        <v>0</v>
      </c>
      <c r="T1406" s="6">
        <f ca="1">Main[[#This Row],[بدهی سررسید شده (کیلوگرم)]]*Main[[#This Row],[روز از ارسال سفارش]]</f>
        <v>0</v>
      </c>
      <c r="U1406" s="6">
        <f>-SUBTOTAL(9,INDEX(Main[مقدار (کیلوگرم)],1):Main[[#This Row],[مقدار (کیلوگرم)]])</f>
        <v>31944</v>
      </c>
      <c r="V14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6" s="6">
        <f>Main[[#This Row],[تعداد کل روزهای بدهکار (روز)]]*Main[[#This Row],[مانده در خط کل (کیلوگرم)]]</f>
        <v>0</v>
      </c>
      <c r="X1406" s="6">
        <f ca="1">-SUBTOTAL(9,INDEX(Main[مقدار تسویه شده (کیلوگرم)],1):Main[[#This Row],[مقدار تسویه شده (کیلوگرم)]])</f>
        <v>31944</v>
      </c>
      <c r="Y1406" s="6">
        <f ca="1">IF(Main[[#This Row],[مانده در خط تسویه شده (کیلوگرم)]]&lt;&gt;0,Main[[#This Row],[تعداد کل روزهای بدهکار (روز)]],0)</f>
        <v>0</v>
      </c>
      <c r="Z1406" s="6">
        <f ca="1">Main[[#This Row],[تعداد روزهای بدهکار تسویه شده (روز)]]*Main[[#This Row],[مانده در خط تسویه شده (کیلوگرم)]]</f>
        <v>0</v>
      </c>
      <c r="AA1406" s="6">
        <f ca="1">SUBTOTAL(9,INDEX(Main[بدهی تسویه نشده (کیلوگرم)],1):Main[[#This Row],[بدهی تسویه نشده (کیلوگرم)]])</f>
        <v>0</v>
      </c>
      <c r="AB1406" s="6">
        <f ca="1">IF(Main[[#This Row],[مانده در خط تسویه نشده (کیلوگرم)]]&lt;&gt;0,Main[[#This Row],[تعداد کل روزهای بدهکار (روز)]],0)</f>
        <v>0</v>
      </c>
      <c r="AC1406" s="6">
        <f ca="1">Main[[#This Row],[تعداد روزهای بدهکار  تسویه نشده (روز)]]*Main[[#This Row],[مانده در خط تسویه نشده (کیلوگرم)]]</f>
        <v>0</v>
      </c>
      <c r="AD1406" s="6">
        <f ca="1">SUBTOTAL(9,INDEX(Main[بدهی سررسید شده (کیلوگرم)],1):Main[[#This Row],[بدهی سررسید شده (کیلوگرم)]])</f>
        <v>0</v>
      </c>
      <c r="AE1406" s="6">
        <f ca="1">IF(Main[[#This Row],[مانده در خط سررسید شده (کیلوگرم)]]&lt;&gt;0,Main[[#This Row],[تعداد کل روزهای بدهکار (روز)]],0)</f>
        <v>0</v>
      </c>
      <c r="AF1406" s="6">
        <f ca="1">Main[[#This Row],[تعداد روزهای بدهکار سررسید شده (روز)]]*Main[[#This Row],[مانده در خط سررسید شده (کیلوگرم)]]</f>
        <v>0</v>
      </c>
    </row>
    <row r="1407" spans="1:32" x14ac:dyDescent="0.35">
      <c r="A1407" s="5">
        <f>ROW()-ROW(INDEX(Main[ردیف],1))+1</f>
        <v>1405</v>
      </c>
      <c r="B1407" s="31">
        <f>SUBTOTAL(2,INDEX(Main[ردیف],1):Main[[#This Row],[ردیف]])</f>
        <v>125</v>
      </c>
      <c r="C1407" s="32" t="s">
        <v>651</v>
      </c>
      <c r="D1407" s="32" t="str">
        <f>_xlfn.CONCAT("14",Main[[#This Row],[تاريخ]])</f>
        <v>1400/06/03</v>
      </c>
      <c r="E1407" s="33">
        <v>44433</v>
      </c>
      <c r="F1407" s="32">
        <v>10003</v>
      </c>
      <c r="G1407" s="5" t="str">
        <f>INDEX(customer[عنوان],MATCH(Main[[#This Row],[کد ردیابی]],customer[کد],0))</f>
        <v>اصغر نورعلی</v>
      </c>
      <c r="H1407">
        <v>-3359</v>
      </c>
      <c r="I1407" s="6">
        <f ca="1">-Main[[#This Row],[بدهی تسویه شده (کیلوگرم)]]+Main[[#This Row],[بستانکار (کیلوگرم)]]</f>
        <v>-3359</v>
      </c>
      <c r="J1407" s="6">
        <f>IF(Main[[#This Row],[مقدار (کیلوگرم)]]&gt;0,Main[[#This Row],[مقدار (کیلوگرم)]],0)</f>
        <v>0</v>
      </c>
      <c r="K1407" s="6">
        <f>-IF(Main[[#This Row],[مقدار (کیلوگرم)]]&lt;0,Main[[#This Row],[مقدار (کیلوگرم)]],0)</f>
        <v>3359</v>
      </c>
      <c r="L14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7" s="7">
        <f>-IF(AND(Main[[#This Row],[مقدار (کیلوگرم)]]&lt;0,Main[[#This Row],[تاريخ میلادی]]&gt;44276),Main[[#This Row],[مقدار (کیلوگرم)]],0)</f>
        <v>3359</v>
      </c>
      <c r="N1407" s="6">
        <f ca="1">Main[[#This Row],[بدهکار (کیلوگرم)]]-Main[[#This Row],[بدهی تسویه نشده (کیلوگرم)]]</f>
        <v>3359</v>
      </c>
      <c r="O1407" s="6">
        <f ca="1">Main[[#This Row],[تفکیک]]</f>
        <v>0</v>
      </c>
      <c r="P1407" s="6">
        <f ca="1">IF(Main[[#This Row],[تاخیر از سررسید]]&gt;0,Main[[#This Row],[بدهی تسویه نشده (کیلوگرم)]],0)</f>
        <v>0</v>
      </c>
      <c r="Q1407" s="6">
        <f ca="1">IF(Main[[#This Row],[بدهی تسویه نشده (کیلوگرم)]]&gt;0,'گزارش فردی'!$B$7-Main[[#This Row],[تاريخ میلادی]],0)</f>
        <v>0</v>
      </c>
      <c r="R1407" s="6">
        <f ca="1">IF(Main[[#This Row],[بدهی تسویه نشده (کیلوگرم)]]&gt;0,'گزارش فردی'!$B$7-Main[[#This Row],[تاريخ میلادی]]-'گزارش فردی'!$B$8,0)</f>
        <v>0</v>
      </c>
      <c r="S1407" s="6">
        <f ca="1">Main[[#This Row],[روز از ارسال سفارش]]*Main[[#This Row],[بدهی تسویه نشده (کیلوگرم)]]</f>
        <v>0</v>
      </c>
      <c r="T1407" s="6">
        <f ca="1">Main[[#This Row],[بدهی سررسید شده (کیلوگرم)]]*Main[[#This Row],[روز از ارسال سفارش]]</f>
        <v>0</v>
      </c>
      <c r="U1407" s="6">
        <f>-SUBTOTAL(9,INDEX(Main[مقدار (کیلوگرم)],1):Main[[#This Row],[مقدار (کیلوگرم)]])</f>
        <v>35303</v>
      </c>
      <c r="V140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07" s="6">
        <f>Main[[#This Row],[تعداد کل روزهای بدهکار (روز)]]*Main[[#This Row],[مانده در خط کل (کیلوگرم)]]</f>
        <v>141212</v>
      </c>
      <c r="X1407" s="6">
        <f ca="1">-SUBTOTAL(9,INDEX(Main[مقدار تسویه شده (کیلوگرم)],1):Main[[#This Row],[مقدار تسویه شده (کیلوگرم)]])</f>
        <v>35303</v>
      </c>
      <c r="Y1407" s="6">
        <f ca="1">IF(Main[[#This Row],[مانده در خط تسویه شده (کیلوگرم)]]&lt;&gt;0,Main[[#This Row],[تعداد کل روزهای بدهکار (روز)]],0)</f>
        <v>4</v>
      </c>
      <c r="Z1407" s="6">
        <f ca="1">Main[[#This Row],[تعداد روزهای بدهکار تسویه شده (روز)]]*Main[[#This Row],[مانده در خط تسویه شده (کیلوگرم)]]</f>
        <v>141212</v>
      </c>
      <c r="AA1407" s="6">
        <f ca="1">SUBTOTAL(9,INDEX(Main[بدهی تسویه نشده (کیلوگرم)],1):Main[[#This Row],[بدهی تسویه نشده (کیلوگرم)]])</f>
        <v>0</v>
      </c>
      <c r="AB1407" s="6">
        <f ca="1">IF(Main[[#This Row],[مانده در خط تسویه نشده (کیلوگرم)]]&lt;&gt;0,Main[[#This Row],[تعداد کل روزهای بدهکار (روز)]],0)</f>
        <v>0</v>
      </c>
      <c r="AC1407" s="6">
        <f ca="1">Main[[#This Row],[تعداد روزهای بدهکار  تسویه نشده (روز)]]*Main[[#This Row],[مانده در خط تسویه نشده (کیلوگرم)]]</f>
        <v>0</v>
      </c>
      <c r="AD1407" s="6">
        <f ca="1">SUBTOTAL(9,INDEX(Main[بدهی سررسید شده (کیلوگرم)],1):Main[[#This Row],[بدهی سررسید شده (کیلوگرم)]])</f>
        <v>0</v>
      </c>
      <c r="AE1407" s="6">
        <f ca="1">IF(Main[[#This Row],[مانده در خط سررسید شده (کیلوگرم)]]&lt;&gt;0,Main[[#This Row],[تعداد کل روزهای بدهکار (روز)]],0)</f>
        <v>0</v>
      </c>
      <c r="AF1407" s="6">
        <f ca="1">Main[[#This Row],[تعداد روزهای بدهکار سررسید شده (روز)]]*Main[[#This Row],[مانده در خط سررسید شده (کیلوگرم)]]</f>
        <v>0</v>
      </c>
    </row>
    <row r="1408" spans="1:32" hidden="1" x14ac:dyDescent="0.35">
      <c r="A1408" s="5">
        <f>ROW()-ROW(INDEX(Main[ردیف],1))+1</f>
        <v>1406</v>
      </c>
      <c r="B1408" s="31">
        <f>SUBTOTAL(2,INDEX(Main[ردیف],1):Main[[#This Row],[ردیف]])</f>
        <v>125</v>
      </c>
      <c r="C1408" s="32" t="s">
        <v>651</v>
      </c>
      <c r="D1408" s="32" t="str">
        <f>_xlfn.CONCAT("14",Main[[#This Row],[تاريخ]])</f>
        <v>1400/06/03</v>
      </c>
      <c r="E1408" s="33">
        <v>44433</v>
      </c>
      <c r="F1408" s="32">
        <v>10055</v>
      </c>
      <c r="G1408" s="5" t="str">
        <f>INDEX(customer[عنوان],MATCH(Main[[#This Row],[کد ردیابی]],customer[کد],0))</f>
        <v xml:space="preserve">مریم فیض آبادی  </v>
      </c>
      <c r="H1408">
        <v>6276</v>
      </c>
      <c r="I1408" s="6">
        <f ca="1">-Main[[#This Row],[بدهی تسویه شده (کیلوگرم)]]+Main[[#This Row],[بستانکار (کیلوگرم)]]</f>
        <v>6276</v>
      </c>
      <c r="J1408" s="6">
        <f>IF(Main[[#This Row],[مقدار (کیلوگرم)]]&gt;0,Main[[#This Row],[مقدار (کیلوگرم)]],0)</f>
        <v>6276</v>
      </c>
      <c r="K1408" s="6">
        <f>-IF(Main[[#This Row],[مقدار (کیلوگرم)]]&lt;0,Main[[#This Row],[مقدار (کیلوگرم)]],0)</f>
        <v>0</v>
      </c>
      <c r="L14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8" s="7">
        <f>-IF(AND(Main[[#This Row],[مقدار (کیلوگرم)]]&lt;0,Main[[#This Row],[تاريخ میلادی]]&gt;44276),Main[[#This Row],[مقدار (کیلوگرم)]],0)</f>
        <v>0</v>
      </c>
      <c r="N1408" s="6">
        <f ca="1">Main[[#This Row],[بدهکار (کیلوگرم)]]-Main[[#This Row],[بدهی تسویه نشده (کیلوگرم)]]</f>
        <v>0</v>
      </c>
      <c r="O1408" s="6">
        <f ca="1">Main[[#This Row],[تفکیک]]</f>
        <v>0</v>
      </c>
      <c r="P1408" s="6">
        <f ca="1">IF(Main[[#This Row],[تاخیر از سررسید]]&gt;0,Main[[#This Row],[بدهی تسویه نشده (کیلوگرم)]],0)</f>
        <v>0</v>
      </c>
      <c r="Q1408" s="6">
        <f ca="1">IF(Main[[#This Row],[بدهی تسویه نشده (کیلوگرم)]]&gt;0,'گزارش فردی'!$B$7-Main[[#This Row],[تاريخ میلادی]],0)</f>
        <v>0</v>
      </c>
      <c r="R1408" s="6">
        <f ca="1">IF(Main[[#This Row],[بدهی تسویه نشده (کیلوگرم)]]&gt;0,'گزارش فردی'!$B$7-Main[[#This Row],[تاريخ میلادی]]-'گزارش فردی'!$B$8,0)</f>
        <v>0</v>
      </c>
      <c r="S1408" s="6">
        <f ca="1">Main[[#This Row],[روز از ارسال سفارش]]*Main[[#This Row],[بدهی تسویه نشده (کیلوگرم)]]</f>
        <v>0</v>
      </c>
      <c r="T1408" s="6">
        <f ca="1">Main[[#This Row],[بدهی سررسید شده (کیلوگرم)]]*Main[[#This Row],[روز از ارسال سفارش]]</f>
        <v>0</v>
      </c>
      <c r="U1408" s="6">
        <f>-SUBTOTAL(9,INDEX(Main[مقدار (کیلوگرم)],1):Main[[#This Row],[مقدار (کیلوگرم)]])</f>
        <v>35303</v>
      </c>
      <c r="V140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08" s="6">
        <f>Main[[#This Row],[تعداد کل روزهای بدهکار (روز)]]*Main[[#This Row],[مانده در خط کل (کیلوگرم)]]</f>
        <v>141212</v>
      </c>
      <c r="X1408" s="6">
        <f ca="1">-SUBTOTAL(9,INDEX(Main[مقدار تسویه شده (کیلوگرم)],1):Main[[#This Row],[مقدار تسویه شده (کیلوگرم)]])</f>
        <v>35303</v>
      </c>
      <c r="Y1408" s="6">
        <f ca="1">IF(Main[[#This Row],[مانده در خط تسویه شده (کیلوگرم)]]&lt;&gt;0,Main[[#This Row],[تعداد کل روزهای بدهکار (روز)]],0)</f>
        <v>4</v>
      </c>
      <c r="Z1408" s="6">
        <f ca="1">Main[[#This Row],[تعداد روزهای بدهکار تسویه شده (روز)]]*Main[[#This Row],[مانده در خط تسویه شده (کیلوگرم)]]</f>
        <v>141212</v>
      </c>
      <c r="AA1408" s="6">
        <f ca="1">SUBTOTAL(9,INDEX(Main[بدهی تسویه نشده (کیلوگرم)],1):Main[[#This Row],[بدهی تسویه نشده (کیلوگرم)]])</f>
        <v>0</v>
      </c>
      <c r="AB1408" s="6">
        <f ca="1">IF(Main[[#This Row],[مانده در خط تسویه نشده (کیلوگرم)]]&lt;&gt;0,Main[[#This Row],[تعداد کل روزهای بدهکار (روز)]],0)</f>
        <v>0</v>
      </c>
      <c r="AC1408" s="6">
        <f ca="1">Main[[#This Row],[تعداد روزهای بدهکار  تسویه نشده (روز)]]*Main[[#This Row],[مانده در خط تسویه نشده (کیلوگرم)]]</f>
        <v>0</v>
      </c>
      <c r="AD1408" s="6">
        <f ca="1">SUBTOTAL(9,INDEX(Main[بدهی سررسید شده (کیلوگرم)],1):Main[[#This Row],[بدهی سررسید شده (کیلوگرم)]])</f>
        <v>0</v>
      </c>
      <c r="AE1408" s="6">
        <f ca="1">IF(Main[[#This Row],[مانده در خط سررسید شده (کیلوگرم)]]&lt;&gt;0,Main[[#This Row],[تعداد کل روزهای بدهکار (روز)]],0)</f>
        <v>0</v>
      </c>
      <c r="AF1408" s="6">
        <f ca="1">Main[[#This Row],[تعداد روزهای بدهکار سررسید شده (روز)]]*Main[[#This Row],[مانده در خط سررسید شده (کیلوگرم)]]</f>
        <v>0</v>
      </c>
    </row>
    <row r="1409" spans="1:32" hidden="1" x14ac:dyDescent="0.35">
      <c r="A1409" s="5">
        <f>ROW()-ROW(INDEX(Main[ردیف],1))+1</f>
        <v>1407</v>
      </c>
      <c r="B1409" s="31">
        <f>SUBTOTAL(2,INDEX(Main[ردیف],1):Main[[#This Row],[ردیف]])</f>
        <v>125</v>
      </c>
      <c r="C1409" s="32" t="s">
        <v>651</v>
      </c>
      <c r="D1409" s="32" t="str">
        <f>_xlfn.CONCAT("14",Main[[#This Row],[تاريخ]])</f>
        <v>1400/06/03</v>
      </c>
      <c r="E1409" s="33">
        <v>44433</v>
      </c>
      <c r="F1409" s="32">
        <v>10055</v>
      </c>
      <c r="G1409" s="5" t="str">
        <f>INDEX(customer[عنوان],MATCH(Main[[#This Row],[کد ردیابی]],customer[کد],0))</f>
        <v xml:space="preserve">مریم فیض آبادی  </v>
      </c>
      <c r="H1409">
        <v>-5003</v>
      </c>
      <c r="I1409" s="6">
        <f ca="1">-Main[[#This Row],[بدهی تسویه شده (کیلوگرم)]]+Main[[#This Row],[بستانکار (کیلوگرم)]]</f>
        <v>-5003</v>
      </c>
      <c r="J1409" s="6">
        <f>IF(Main[[#This Row],[مقدار (کیلوگرم)]]&gt;0,Main[[#This Row],[مقدار (کیلوگرم)]],0)</f>
        <v>0</v>
      </c>
      <c r="K1409" s="6">
        <f>-IF(Main[[#This Row],[مقدار (کیلوگرم)]]&lt;0,Main[[#This Row],[مقدار (کیلوگرم)]],0)</f>
        <v>5003</v>
      </c>
      <c r="L14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9" s="7">
        <f>-IF(AND(Main[[#This Row],[مقدار (کیلوگرم)]]&lt;0,Main[[#This Row],[تاريخ میلادی]]&gt;44276),Main[[#This Row],[مقدار (کیلوگرم)]],0)</f>
        <v>5003</v>
      </c>
      <c r="N1409" s="6">
        <f ca="1">Main[[#This Row],[بدهکار (کیلوگرم)]]-Main[[#This Row],[بدهی تسویه نشده (کیلوگرم)]]</f>
        <v>5003</v>
      </c>
      <c r="O1409" s="6">
        <f ca="1">Main[[#This Row],[تفکیک]]</f>
        <v>0</v>
      </c>
      <c r="P1409" s="6">
        <f ca="1">IF(Main[[#This Row],[تاخیر از سررسید]]&gt;0,Main[[#This Row],[بدهی تسویه نشده (کیلوگرم)]],0)</f>
        <v>0</v>
      </c>
      <c r="Q1409" s="6">
        <f ca="1">IF(Main[[#This Row],[بدهی تسویه نشده (کیلوگرم)]]&gt;0,'گزارش فردی'!$B$7-Main[[#This Row],[تاريخ میلادی]],0)</f>
        <v>0</v>
      </c>
      <c r="R1409" s="6">
        <f ca="1">IF(Main[[#This Row],[بدهی تسویه نشده (کیلوگرم)]]&gt;0,'گزارش فردی'!$B$7-Main[[#This Row],[تاريخ میلادی]]-'گزارش فردی'!$B$8,0)</f>
        <v>0</v>
      </c>
      <c r="S1409" s="6">
        <f ca="1">Main[[#This Row],[روز از ارسال سفارش]]*Main[[#This Row],[بدهی تسویه نشده (کیلوگرم)]]</f>
        <v>0</v>
      </c>
      <c r="T1409" s="6">
        <f ca="1">Main[[#This Row],[بدهی سررسید شده (کیلوگرم)]]*Main[[#This Row],[روز از ارسال سفارش]]</f>
        <v>0</v>
      </c>
      <c r="U1409" s="6">
        <f>-SUBTOTAL(9,INDEX(Main[مقدار (کیلوگرم)],1):Main[[#This Row],[مقدار (کیلوگرم)]])</f>
        <v>35303</v>
      </c>
      <c r="V140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09" s="6">
        <f>Main[[#This Row],[تعداد کل روزهای بدهکار (روز)]]*Main[[#This Row],[مانده در خط کل (کیلوگرم)]]</f>
        <v>141212</v>
      </c>
      <c r="X1409" s="6">
        <f ca="1">-SUBTOTAL(9,INDEX(Main[مقدار تسویه شده (کیلوگرم)],1):Main[[#This Row],[مقدار تسویه شده (کیلوگرم)]])</f>
        <v>35303</v>
      </c>
      <c r="Y1409" s="6">
        <f ca="1">IF(Main[[#This Row],[مانده در خط تسویه شده (کیلوگرم)]]&lt;&gt;0,Main[[#This Row],[تعداد کل روزهای بدهکار (روز)]],0)</f>
        <v>4</v>
      </c>
      <c r="Z1409" s="6">
        <f ca="1">Main[[#This Row],[تعداد روزهای بدهکار تسویه شده (روز)]]*Main[[#This Row],[مانده در خط تسویه شده (کیلوگرم)]]</f>
        <v>141212</v>
      </c>
      <c r="AA1409" s="6">
        <f ca="1">SUBTOTAL(9,INDEX(Main[بدهی تسویه نشده (کیلوگرم)],1):Main[[#This Row],[بدهی تسویه نشده (کیلوگرم)]])</f>
        <v>0</v>
      </c>
      <c r="AB1409" s="6">
        <f ca="1">IF(Main[[#This Row],[مانده در خط تسویه نشده (کیلوگرم)]]&lt;&gt;0,Main[[#This Row],[تعداد کل روزهای بدهکار (روز)]],0)</f>
        <v>0</v>
      </c>
      <c r="AC1409" s="6">
        <f ca="1">Main[[#This Row],[تعداد روزهای بدهکار  تسویه نشده (روز)]]*Main[[#This Row],[مانده در خط تسویه نشده (کیلوگرم)]]</f>
        <v>0</v>
      </c>
      <c r="AD1409" s="6">
        <f ca="1">SUBTOTAL(9,INDEX(Main[بدهی سررسید شده (کیلوگرم)],1):Main[[#This Row],[بدهی سررسید شده (کیلوگرم)]])</f>
        <v>0</v>
      </c>
      <c r="AE1409" s="6">
        <f ca="1">IF(Main[[#This Row],[مانده در خط سررسید شده (کیلوگرم)]]&lt;&gt;0,Main[[#This Row],[تعداد کل روزهای بدهکار (روز)]],0)</f>
        <v>0</v>
      </c>
      <c r="AF1409" s="6">
        <f ca="1">Main[[#This Row],[تعداد روزهای بدهکار سررسید شده (روز)]]*Main[[#This Row],[مانده در خط سررسید شده (کیلوگرم)]]</f>
        <v>0</v>
      </c>
    </row>
    <row r="1410" spans="1:32" hidden="1" x14ac:dyDescent="0.35">
      <c r="A1410" s="5">
        <f>ROW()-ROW(INDEX(Main[ردیف],1))+1</f>
        <v>1408</v>
      </c>
      <c r="B1410" s="31">
        <f>SUBTOTAL(2,INDEX(Main[ردیف],1):Main[[#This Row],[ردیف]])</f>
        <v>125</v>
      </c>
      <c r="C1410" s="32" t="s">
        <v>651</v>
      </c>
      <c r="D1410" s="32" t="str">
        <f>_xlfn.CONCAT("14",Main[[#This Row],[تاريخ]])</f>
        <v>1400/06/03</v>
      </c>
      <c r="E1410" s="33">
        <v>44433</v>
      </c>
      <c r="F1410" s="32">
        <v>10026</v>
      </c>
      <c r="G1410" s="5" t="str">
        <f>INDEX(customer[عنوان],MATCH(Main[[#This Row],[کد ردیابی]],customer[کد],0))</f>
        <v xml:space="preserve">محسن فیاض بخش </v>
      </c>
      <c r="H1410">
        <v>8000</v>
      </c>
      <c r="I1410" s="6">
        <f ca="1">-Main[[#This Row],[بدهی تسویه شده (کیلوگرم)]]+Main[[#This Row],[بستانکار (کیلوگرم)]]</f>
        <v>8000</v>
      </c>
      <c r="J1410" s="6">
        <f>IF(Main[[#This Row],[مقدار (کیلوگرم)]]&gt;0,Main[[#This Row],[مقدار (کیلوگرم)]],0)</f>
        <v>8000</v>
      </c>
      <c r="K1410" s="6">
        <f>-IF(Main[[#This Row],[مقدار (کیلوگرم)]]&lt;0,Main[[#This Row],[مقدار (کیلوگرم)]],0)</f>
        <v>0</v>
      </c>
      <c r="L14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0" s="7">
        <f>-IF(AND(Main[[#This Row],[مقدار (کیلوگرم)]]&lt;0,Main[[#This Row],[تاريخ میلادی]]&gt;44276),Main[[#This Row],[مقدار (کیلوگرم)]],0)</f>
        <v>0</v>
      </c>
      <c r="N1410" s="6">
        <f ca="1">Main[[#This Row],[بدهکار (کیلوگرم)]]-Main[[#This Row],[بدهی تسویه نشده (کیلوگرم)]]</f>
        <v>0</v>
      </c>
      <c r="O1410" s="6">
        <f ca="1">Main[[#This Row],[تفکیک]]</f>
        <v>0</v>
      </c>
      <c r="P1410" s="6">
        <f ca="1">IF(Main[[#This Row],[تاخیر از سررسید]]&gt;0,Main[[#This Row],[بدهی تسویه نشده (کیلوگرم)]],0)</f>
        <v>0</v>
      </c>
      <c r="Q1410" s="6">
        <f ca="1">IF(Main[[#This Row],[بدهی تسویه نشده (کیلوگرم)]]&gt;0,'گزارش فردی'!$B$7-Main[[#This Row],[تاريخ میلادی]],0)</f>
        <v>0</v>
      </c>
      <c r="R1410" s="6">
        <f ca="1">IF(Main[[#This Row],[بدهی تسویه نشده (کیلوگرم)]]&gt;0,'گزارش فردی'!$B$7-Main[[#This Row],[تاريخ میلادی]]-'گزارش فردی'!$B$8,0)</f>
        <v>0</v>
      </c>
      <c r="S1410" s="6">
        <f ca="1">Main[[#This Row],[روز از ارسال سفارش]]*Main[[#This Row],[بدهی تسویه نشده (کیلوگرم)]]</f>
        <v>0</v>
      </c>
      <c r="T1410" s="6">
        <f ca="1">Main[[#This Row],[بدهی سررسید شده (کیلوگرم)]]*Main[[#This Row],[روز از ارسال سفارش]]</f>
        <v>0</v>
      </c>
      <c r="U1410" s="6">
        <f>-SUBTOTAL(9,INDEX(Main[مقدار (کیلوگرم)],1):Main[[#This Row],[مقدار (کیلوگرم)]])</f>
        <v>35303</v>
      </c>
      <c r="V141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10" s="6">
        <f>Main[[#This Row],[تعداد کل روزهای بدهکار (روز)]]*Main[[#This Row],[مانده در خط کل (کیلوگرم)]]</f>
        <v>141212</v>
      </c>
      <c r="X1410" s="6">
        <f ca="1">-SUBTOTAL(9,INDEX(Main[مقدار تسویه شده (کیلوگرم)],1):Main[[#This Row],[مقدار تسویه شده (کیلوگرم)]])</f>
        <v>35303</v>
      </c>
      <c r="Y1410" s="6">
        <f ca="1">IF(Main[[#This Row],[مانده در خط تسویه شده (کیلوگرم)]]&lt;&gt;0,Main[[#This Row],[تعداد کل روزهای بدهکار (روز)]],0)</f>
        <v>4</v>
      </c>
      <c r="Z1410" s="6">
        <f ca="1">Main[[#This Row],[تعداد روزهای بدهکار تسویه شده (روز)]]*Main[[#This Row],[مانده در خط تسویه شده (کیلوگرم)]]</f>
        <v>141212</v>
      </c>
      <c r="AA1410" s="6">
        <f ca="1">SUBTOTAL(9,INDEX(Main[بدهی تسویه نشده (کیلوگرم)],1):Main[[#This Row],[بدهی تسویه نشده (کیلوگرم)]])</f>
        <v>0</v>
      </c>
      <c r="AB1410" s="6">
        <f ca="1">IF(Main[[#This Row],[مانده در خط تسویه نشده (کیلوگرم)]]&lt;&gt;0,Main[[#This Row],[تعداد کل روزهای بدهکار (روز)]],0)</f>
        <v>0</v>
      </c>
      <c r="AC1410" s="6">
        <f ca="1">Main[[#This Row],[تعداد روزهای بدهکار  تسویه نشده (روز)]]*Main[[#This Row],[مانده در خط تسویه نشده (کیلوگرم)]]</f>
        <v>0</v>
      </c>
      <c r="AD1410" s="6">
        <f ca="1">SUBTOTAL(9,INDEX(Main[بدهی سررسید شده (کیلوگرم)],1):Main[[#This Row],[بدهی سررسید شده (کیلوگرم)]])</f>
        <v>0</v>
      </c>
      <c r="AE1410" s="6">
        <f ca="1">IF(Main[[#This Row],[مانده در خط سررسید شده (کیلوگرم)]]&lt;&gt;0,Main[[#This Row],[تعداد کل روزهای بدهکار (روز)]],0)</f>
        <v>0</v>
      </c>
      <c r="AF1410" s="6">
        <f ca="1">Main[[#This Row],[تعداد روزهای بدهکار سررسید شده (روز)]]*Main[[#This Row],[مانده در خط سررسید شده (کیلوگرم)]]</f>
        <v>0</v>
      </c>
    </row>
    <row r="1411" spans="1:32" hidden="1" x14ac:dyDescent="0.35">
      <c r="A1411" s="5">
        <f>ROW()-ROW(INDEX(Main[ردیف],1))+1</f>
        <v>1409</v>
      </c>
      <c r="B1411" s="31">
        <f>SUBTOTAL(2,INDEX(Main[ردیف],1):Main[[#This Row],[ردیف]])</f>
        <v>125</v>
      </c>
      <c r="C1411" s="32" t="s">
        <v>651</v>
      </c>
      <c r="D1411" s="32" t="str">
        <f>_xlfn.CONCAT("14",Main[[#This Row],[تاريخ]])</f>
        <v>1400/06/03</v>
      </c>
      <c r="E1411" s="33">
        <v>44433</v>
      </c>
      <c r="F1411" s="32">
        <v>10119</v>
      </c>
      <c r="G1411" s="5" t="str">
        <f>INDEX(customer[عنوان],MATCH(Main[[#This Row],[کد ردیابی]],customer[کد],0))</f>
        <v>سیف الله اکبری</v>
      </c>
      <c r="H1411">
        <v>-350</v>
      </c>
      <c r="I1411" s="6">
        <f ca="1">-Main[[#This Row],[بدهی تسویه شده (کیلوگرم)]]+Main[[#This Row],[بستانکار (کیلوگرم)]]</f>
        <v>-350</v>
      </c>
      <c r="J1411" s="6">
        <f>IF(Main[[#This Row],[مقدار (کیلوگرم)]]&gt;0,Main[[#This Row],[مقدار (کیلوگرم)]],0)</f>
        <v>0</v>
      </c>
      <c r="K1411" s="6">
        <f>-IF(Main[[#This Row],[مقدار (کیلوگرم)]]&lt;0,Main[[#This Row],[مقدار (کیلوگرم)]],0)</f>
        <v>350</v>
      </c>
      <c r="L14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1" s="7">
        <f>-IF(AND(Main[[#This Row],[مقدار (کیلوگرم)]]&lt;0,Main[[#This Row],[تاريخ میلادی]]&gt;44276),Main[[#This Row],[مقدار (کیلوگرم)]],0)</f>
        <v>350</v>
      </c>
      <c r="N1411" s="6">
        <f ca="1">Main[[#This Row],[بدهکار (کیلوگرم)]]-Main[[#This Row],[بدهی تسویه نشده (کیلوگرم)]]</f>
        <v>350</v>
      </c>
      <c r="O1411" s="6">
        <f ca="1">Main[[#This Row],[تفکیک]]</f>
        <v>0</v>
      </c>
      <c r="P1411" s="6">
        <f ca="1">IF(Main[[#This Row],[تاخیر از سررسید]]&gt;0,Main[[#This Row],[بدهی تسویه نشده (کیلوگرم)]],0)</f>
        <v>0</v>
      </c>
      <c r="Q1411" s="6">
        <f ca="1">IF(Main[[#This Row],[بدهی تسویه نشده (کیلوگرم)]]&gt;0,'گزارش فردی'!$B$7-Main[[#This Row],[تاريخ میلادی]],0)</f>
        <v>0</v>
      </c>
      <c r="R1411" s="6">
        <f ca="1">IF(Main[[#This Row],[بدهی تسویه نشده (کیلوگرم)]]&gt;0,'گزارش فردی'!$B$7-Main[[#This Row],[تاريخ میلادی]]-'گزارش فردی'!$B$8,0)</f>
        <v>0</v>
      </c>
      <c r="S1411" s="6">
        <f ca="1">Main[[#This Row],[روز از ارسال سفارش]]*Main[[#This Row],[بدهی تسویه نشده (کیلوگرم)]]</f>
        <v>0</v>
      </c>
      <c r="T1411" s="6">
        <f ca="1">Main[[#This Row],[بدهی سررسید شده (کیلوگرم)]]*Main[[#This Row],[روز از ارسال سفارش]]</f>
        <v>0</v>
      </c>
      <c r="U1411" s="6">
        <f>-SUBTOTAL(9,INDEX(Main[مقدار (کیلوگرم)],1):Main[[#This Row],[مقدار (کیلوگرم)]])</f>
        <v>35303</v>
      </c>
      <c r="V141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11" s="6">
        <f>Main[[#This Row],[تعداد کل روزهای بدهکار (روز)]]*Main[[#This Row],[مانده در خط کل (کیلوگرم)]]</f>
        <v>141212</v>
      </c>
      <c r="X1411" s="6">
        <f ca="1">-SUBTOTAL(9,INDEX(Main[مقدار تسویه شده (کیلوگرم)],1):Main[[#This Row],[مقدار تسویه شده (کیلوگرم)]])</f>
        <v>35303</v>
      </c>
      <c r="Y1411" s="6">
        <f ca="1">IF(Main[[#This Row],[مانده در خط تسویه شده (کیلوگرم)]]&lt;&gt;0,Main[[#This Row],[تعداد کل روزهای بدهکار (روز)]],0)</f>
        <v>4</v>
      </c>
      <c r="Z1411" s="6">
        <f ca="1">Main[[#This Row],[تعداد روزهای بدهکار تسویه شده (روز)]]*Main[[#This Row],[مانده در خط تسویه شده (کیلوگرم)]]</f>
        <v>141212</v>
      </c>
      <c r="AA1411" s="6">
        <f ca="1">SUBTOTAL(9,INDEX(Main[بدهی تسویه نشده (کیلوگرم)],1):Main[[#This Row],[بدهی تسویه نشده (کیلوگرم)]])</f>
        <v>0</v>
      </c>
      <c r="AB1411" s="6">
        <f ca="1">IF(Main[[#This Row],[مانده در خط تسویه نشده (کیلوگرم)]]&lt;&gt;0,Main[[#This Row],[تعداد کل روزهای بدهکار (روز)]],0)</f>
        <v>0</v>
      </c>
      <c r="AC1411" s="6">
        <f ca="1">Main[[#This Row],[تعداد روزهای بدهکار  تسویه نشده (روز)]]*Main[[#This Row],[مانده در خط تسویه نشده (کیلوگرم)]]</f>
        <v>0</v>
      </c>
      <c r="AD1411" s="6">
        <f ca="1">SUBTOTAL(9,INDEX(Main[بدهی سررسید شده (کیلوگرم)],1):Main[[#This Row],[بدهی سررسید شده (کیلوگرم)]])</f>
        <v>0</v>
      </c>
      <c r="AE1411" s="6">
        <f ca="1">IF(Main[[#This Row],[مانده در خط سررسید شده (کیلوگرم)]]&lt;&gt;0,Main[[#This Row],[تعداد کل روزهای بدهکار (روز)]],0)</f>
        <v>0</v>
      </c>
      <c r="AF1411" s="6">
        <f ca="1">Main[[#This Row],[تعداد روزهای بدهکار سررسید شده (روز)]]*Main[[#This Row],[مانده در خط سررسید شده (کیلوگرم)]]</f>
        <v>0</v>
      </c>
    </row>
    <row r="1412" spans="1:32" hidden="1" x14ac:dyDescent="0.35">
      <c r="A1412" s="5">
        <f>ROW()-ROW(INDEX(Main[ردیف],1))+1</f>
        <v>1410</v>
      </c>
      <c r="B1412" s="31">
        <f>SUBTOTAL(2,INDEX(Main[ردیف],1):Main[[#This Row],[ردیف]])</f>
        <v>125</v>
      </c>
      <c r="C1412" s="32" t="s">
        <v>651</v>
      </c>
      <c r="D1412" s="32" t="str">
        <f>_xlfn.CONCAT("14",Main[[#This Row],[تاريخ]])</f>
        <v>1400/06/03</v>
      </c>
      <c r="E1412" s="33">
        <v>44433</v>
      </c>
      <c r="F1412" s="32">
        <v>10119</v>
      </c>
      <c r="G1412" s="5" t="str">
        <f>INDEX(customer[عنوان],MATCH(Main[[#This Row],[کد ردیابی]],customer[کد],0))</f>
        <v>سیف الله اکبری</v>
      </c>
      <c r="H1412">
        <v>238</v>
      </c>
      <c r="I1412" s="6">
        <f ca="1">-Main[[#This Row],[بدهی تسویه شده (کیلوگرم)]]+Main[[#This Row],[بستانکار (کیلوگرم)]]</f>
        <v>238</v>
      </c>
      <c r="J1412" s="6">
        <f>IF(Main[[#This Row],[مقدار (کیلوگرم)]]&gt;0,Main[[#This Row],[مقدار (کیلوگرم)]],0)</f>
        <v>238</v>
      </c>
      <c r="K1412" s="6">
        <f>-IF(Main[[#This Row],[مقدار (کیلوگرم)]]&lt;0,Main[[#This Row],[مقدار (کیلوگرم)]],0)</f>
        <v>0</v>
      </c>
      <c r="L14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2" s="7">
        <f>-IF(AND(Main[[#This Row],[مقدار (کیلوگرم)]]&lt;0,Main[[#This Row],[تاريخ میلادی]]&gt;44276),Main[[#This Row],[مقدار (کیلوگرم)]],0)</f>
        <v>0</v>
      </c>
      <c r="N1412" s="6">
        <f ca="1">Main[[#This Row],[بدهکار (کیلوگرم)]]-Main[[#This Row],[بدهی تسویه نشده (کیلوگرم)]]</f>
        <v>0</v>
      </c>
      <c r="O1412" s="6">
        <f ca="1">Main[[#This Row],[تفکیک]]</f>
        <v>0</v>
      </c>
      <c r="P1412" s="6">
        <f ca="1">IF(Main[[#This Row],[تاخیر از سررسید]]&gt;0,Main[[#This Row],[بدهی تسویه نشده (کیلوگرم)]],0)</f>
        <v>0</v>
      </c>
      <c r="Q1412" s="6">
        <f ca="1">IF(Main[[#This Row],[بدهی تسویه نشده (کیلوگرم)]]&gt;0,'گزارش فردی'!$B$7-Main[[#This Row],[تاريخ میلادی]],0)</f>
        <v>0</v>
      </c>
      <c r="R1412" s="6">
        <f ca="1">IF(Main[[#This Row],[بدهی تسویه نشده (کیلوگرم)]]&gt;0,'گزارش فردی'!$B$7-Main[[#This Row],[تاريخ میلادی]]-'گزارش فردی'!$B$8,0)</f>
        <v>0</v>
      </c>
      <c r="S1412" s="6">
        <f ca="1">Main[[#This Row],[روز از ارسال سفارش]]*Main[[#This Row],[بدهی تسویه نشده (کیلوگرم)]]</f>
        <v>0</v>
      </c>
      <c r="T1412" s="6">
        <f ca="1">Main[[#This Row],[بدهی سررسید شده (کیلوگرم)]]*Main[[#This Row],[روز از ارسال سفارش]]</f>
        <v>0</v>
      </c>
      <c r="U1412" s="6">
        <f>-SUBTOTAL(9,INDEX(Main[مقدار (کیلوگرم)],1):Main[[#This Row],[مقدار (کیلوگرم)]])</f>
        <v>35303</v>
      </c>
      <c r="V141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12" s="6">
        <f>Main[[#This Row],[تعداد کل روزهای بدهکار (روز)]]*Main[[#This Row],[مانده در خط کل (کیلوگرم)]]</f>
        <v>141212</v>
      </c>
      <c r="X1412" s="6">
        <f ca="1">-SUBTOTAL(9,INDEX(Main[مقدار تسویه شده (کیلوگرم)],1):Main[[#This Row],[مقدار تسویه شده (کیلوگرم)]])</f>
        <v>35303</v>
      </c>
      <c r="Y1412" s="6">
        <f ca="1">IF(Main[[#This Row],[مانده در خط تسویه شده (کیلوگرم)]]&lt;&gt;0,Main[[#This Row],[تعداد کل روزهای بدهکار (روز)]],0)</f>
        <v>4</v>
      </c>
      <c r="Z1412" s="6">
        <f ca="1">Main[[#This Row],[تعداد روزهای بدهکار تسویه شده (روز)]]*Main[[#This Row],[مانده در خط تسویه شده (کیلوگرم)]]</f>
        <v>141212</v>
      </c>
      <c r="AA1412" s="6">
        <f ca="1">SUBTOTAL(9,INDEX(Main[بدهی تسویه نشده (کیلوگرم)],1):Main[[#This Row],[بدهی تسویه نشده (کیلوگرم)]])</f>
        <v>0</v>
      </c>
      <c r="AB1412" s="6">
        <f ca="1">IF(Main[[#This Row],[مانده در خط تسویه نشده (کیلوگرم)]]&lt;&gt;0,Main[[#This Row],[تعداد کل روزهای بدهکار (روز)]],0)</f>
        <v>0</v>
      </c>
      <c r="AC1412" s="6">
        <f ca="1">Main[[#This Row],[تعداد روزهای بدهکار  تسویه نشده (روز)]]*Main[[#This Row],[مانده در خط تسویه نشده (کیلوگرم)]]</f>
        <v>0</v>
      </c>
      <c r="AD1412" s="6">
        <f ca="1">SUBTOTAL(9,INDEX(Main[بدهی سررسید شده (کیلوگرم)],1):Main[[#This Row],[بدهی سررسید شده (کیلوگرم)]])</f>
        <v>0</v>
      </c>
      <c r="AE1412" s="6">
        <f ca="1">IF(Main[[#This Row],[مانده در خط سررسید شده (کیلوگرم)]]&lt;&gt;0,Main[[#This Row],[تعداد کل روزهای بدهکار (روز)]],0)</f>
        <v>0</v>
      </c>
      <c r="AF1412" s="6">
        <f ca="1">Main[[#This Row],[تعداد روزهای بدهکار سررسید شده (روز)]]*Main[[#This Row],[مانده در خط سررسید شده (کیلوگرم)]]</f>
        <v>0</v>
      </c>
    </row>
    <row r="1413" spans="1:32" hidden="1" x14ac:dyDescent="0.35">
      <c r="A1413" s="5">
        <f>ROW()-ROW(INDEX(Main[ردیف],1))+1</f>
        <v>1411</v>
      </c>
      <c r="B1413" s="31">
        <f>SUBTOTAL(2,INDEX(Main[ردیف],1):Main[[#This Row],[ردیف]])</f>
        <v>125</v>
      </c>
      <c r="C1413" s="32" t="s">
        <v>652</v>
      </c>
      <c r="D1413" s="32" t="str">
        <f>_xlfn.CONCAT("14",Main[[#This Row],[تاريخ]])</f>
        <v>1400/06/04</v>
      </c>
      <c r="E1413" s="33">
        <v>44434</v>
      </c>
      <c r="F1413" s="32">
        <v>30186</v>
      </c>
      <c r="G1413" s="5" t="str">
        <f>INDEX(customer[عنوان],MATCH(Main[[#This Row],[کد ردیابی]],customer[کد],0))</f>
        <v>سارا گاز</v>
      </c>
      <c r="H1413">
        <v>-2219</v>
      </c>
      <c r="I1413" s="6">
        <f ca="1">-Main[[#This Row],[بدهی تسویه شده (کیلوگرم)]]+Main[[#This Row],[بستانکار (کیلوگرم)]]</f>
        <v>-2219</v>
      </c>
      <c r="J1413" s="6">
        <f>IF(Main[[#This Row],[مقدار (کیلوگرم)]]&gt;0,Main[[#This Row],[مقدار (کیلوگرم)]],0)</f>
        <v>0</v>
      </c>
      <c r="K1413" s="6">
        <f>-IF(Main[[#This Row],[مقدار (کیلوگرم)]]&lt;0,Main[[#This Row],[مقدار (کیلوگرم)]],0)</f>
        <v>2219</v>
      </c>
      <c r="L14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3" s="7">
        <f>-IF(AND(Main[[#This Row],[مقدار (کیلوگرم)]]&lt;0,Main[[#This Row],[تاريخ میلادی]]&gt;44276),Main[[#This Row],[مقدار (کیلوگرم)]],0)</f>
        <v>2219</v>
      </c>
      <c r="N1413" s="6">
        <f ca="1">Main[[#This Row],[بدهکار (کیلوگرم)]]-Main[[#This Row],[بدهی تسویه نشده (کیلوگرم)]]</f>
        <v>2219</v>
      </c>
      <c r="O1413" s="6">
        <f ca="1">Main[[#This Row],[تفکیک]]</f>
        <v>0</v>
      </c>
      <c r="P1413" s="6">
        <f ca="1">IF(Main[[#This Row],[تاخیر از سررسید]]&gt;0,Main[[#This Row],[بدهی تسویه نشده (کیلوگرم)]],0)</f>
        <v>0</v>
      </c>
      <c r="Q1413" s="6">
        <f ca="1">IF(Main[[#This Row],[بدهی تسویه نشده (کیلوگرم)]]&gt;0,'گزارش فردی'!$B$7-Main[[#This Row],[تاريخ میلادی]],0)</f>
        <v>0</v>
      </c>
      <c r="R1413" s="6">
        <f ca="1">IF(Main[[#This Row],[بدهی تسویه نشده (کیلوگرم)]]&gt;0,'گزارش فردی'!$B$7-Main[[#This Row],[تاريخ میلادی]]-'گزارش فردی'!$B$8,0)</f>
        <v>0</v>
      </c>
      <c r="S1413" s="6">
        <f ca="1">Main[[#This Row],[روز از ارسال سفارش]]*Main[[#This Row],[بدهی تسویه نشده (کیلوگرم)]]</f>
        <v>0</v>
      </c>
      <c r="T1413" s="6">
        <f ca="1">Main[[#This Row],[بدهی سررسید شده (کیلوگرم)]]*Main[[#This Row],[روز از ارسال سفارش]]</f>
        <v>0</v>
      </c>
      <c r="U1413" s="6">
        <f>-SUBTOTAL(9,INDEX(Main[مقدار (کیلوگرم)],1):Main[[#This Row],[مقدار (کیلوگرم)]])</f>
        <v>35303</v>
      </c>
      <c r="V141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3" s="6">
        <f>Main[[#This Row],[تعداد کل روزهای بدهکار (روز)]]*Main[[#This Row],[مانده در خط کل (کیلوگرم)]]</f>
        <v>105909</v>
      </c>
      <c r="X1413" s="6">
        <f ca="1">-SUBTOTAL(9,INDEX(Main[مقدار تسویه شده (کیلوگرم)],1):Main[[#This Row],[مقدار تسویه شده (کیلوگرم)]])</f>
        <v>35303</v>
      </c>
      <c r="Y1413" s="6">
        <f ca="1">IF(Main[[#This Row],[مانده در خط تسویه شده (کیلوگرم)]]&lt;&gt;0,Main[[#This Row],[تعداد کل روزهای بدهکار (روز)]],0)</f>
        <v>3</v>
      </c>
      <c r="Z1413" s="6">
        <f ca="1">Main[[#This Row],[تعداد روزهای بدهکار تسویه شده (روز)]]*Main[[#This Row],[مانده در خط تسویه شده (کیلوگرم)]]</f>
        <v>105909</v>
      </c>
      <c r="AA1413" s="6">
        <f ca="1">SUBTOTAL(9,INDEX(Main[بدهی تسویه نشده (کیلوگرم)],1):Main[[#This Row],[بدهی تسویه نشده (کیلوگرم)]])</f>
        <v>0</v>
      </c>
      <c r="AB1413" s="6">
        <f ca="1">IF(Main[[#This Row],[مانده در خط تسویه نشده (کیلوگرم)]]&lt;&gt;0,Main[[#This Row],[تعداد کل روزهای بدهکار (روز)]],0)</f>
        <v>0</v>
      </c>
      <c r="AC1413" s="6">
        <f ca="1">Main[[#This Row],[تعداد روزهای بدهکار  تسویه نشده (روز)]]*Main[[#This Row],[مانده در خط تسویه نشده (کیلوگرم)]]</f>
        <v>0</v>
      </c>
      <c r="AD1413" s="6">
        <f ca="1">SUBTOTAL(9,INDEX(Main[بدهی سررسید شده (کیلوگرم)],1):Main[[#This Row],[بدهی سررسید شده (کیلوگرم)]])</f>
        <v>0</v>
      </c>
      <c r="AE1413" s="6">
        <f ca="1">IF(Main[[#This Row],[مانده در خط سررسید شده (کیلوگرم)]]&lt;&gt;0,Main[[#This Row],[تعداد کل روزهای بدهکار (روز)]],0)</f>
        <v>0</v>
      </c>
      <c r="AF1413" s="6">
        <f ca="1">Main[[#This Row],[تعداد روزهای بدهکار سررسید شده (روز)]]*Main[[#This Row],[مانده در خط سررسید شده (کیلوگرم)]]</f>
        <v>0</v>
      </c>
    </row>
    <row r="1414" spans="1:32" hidden="1" x14ac:dyDescent="0.35">
      <c r="A1414" s="5">
        <f>ROW()-ROW(INDEX(Main[ردیف],1))+1</f>
        <v>1412</v>
      </c>
      <c r="B1414" s="31">
        <f>SUBTOTAL(2,INDEX(Main[ردیف],1):Main[[#This Row],[ردیف]])</f>
        <v>125</v>
      </c>
      <c r="C1414" s="32" t="s">
        <v>652</v>
      </c>
      <c r="D1414" s="32" t="str">
        <f>_xlfn.CONCAT("14",Main[[#This Row],[تاريخ]])</f>
        <v>1400/06/04</v>
      </c>
      <c r="E1414" s="33">
        <v>44434</v>
      </c>
      <c r="F1414" s="32">
        <v>30146</v>
      </c>
      <c r="G1414" s="5" t="str">
        <f>INDEX(customer[عنوان],MATCH(Main[[#This Row],[کد ردیابی]],customer[کد],0))</f>
        <v>شرکت آذرپاد</v>
      </c>
      <c r="H1414">
        <v>1192</v>
      </c>
      <c r="I1414" s="6">
        <f ca="1">-Main[[#This Row],[بدهی تسویه شده (کیلوگرم)]]+Main[[#This Row],[بستانکار (کیلوگرم)]]</f>
        <v>1192</v>
      </c>
      <c r="J1414" s="6">
        <f>IF(Main[[#This Row],[مقدار (کیلوگرم)]]&gt;0,Main[[#This Row],[مقدار (کیلوگرم)]],0)</f>
        <v>1192</v>
      </c>
      <c r="K1414" s="6">
        <f>-IF(Main[[#This Row],[مقدار (کیلوگرم)]]&lt;0,Main[[#This Row],[مقدار (کیلوگرم)]],0)</f>
        <v>0</v>
      </c>
      <c r="L14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4" s="7">
        <f>-IF(AND(Main[[#This Row],[مقدار (کیلوگرم)]]&lt;0,Main[[#This Row],[تاريخ میلادی]]&gt;44276),Main[[#This Row],[مقدار (کیلوگرم)]],0)</f>
        <v>0</v>
      </c>
      <c r="N1414" s="6">
        <f ca="1">Main[[#This Row],[بدهکار (کیلوگرم)]]-Main[[#This Row],[بدهی تسویه نشده (کیلوگرم)]]</f>
        <v>0</v>
      </c>
      <c r="O1414" s="6">
        <f ca="1">Main[[#This Row],[تفکیک]]</f>
        <v>0</v>
      </c>
      <c r="P1414" s="6">
        <f ca="1">IF(Main[[#This Row],[تاخیر از سررسید]]&gt;0,Main[[#This Row],[بدهی تسویه نشده (کیلوگرم)]],0)</f>
        <v>0</v>
      </c>
      <c r="Q1414" s="6">
        <f ca="1">IF(Main[[#This Row],[بدهی تسویه نشده (کیلوگرم)]]&gt;0,'گزارش فردی'!$B$7-Main[[#This Row],[تاريخ میلادی]],0)</f>
        <v>0</v>
      </c>
      <c r="R1414" s="6">
        <f ca="1">IF(Main[[#This Row],[بدهی تسویه نشده (کیلوگرم)]]&gt;0,'گزارش فردی'!$B$7-Main[[#This Row],[تاريخ میلادی]]-'گزارش فردی'!$B$8,0)</f>
        <v>0</v>
      </c>
      <c r="S1414" s="6">
        <f ca="1">Main[[#This Row],[روز از ارسال سفارش]]*Main[[#This Row],[بدهی تسویه نشده (کیلوگرم)]]</f>
        <v>0</v>
      </c>
      <c r="T1414" s="6">
        <f ca="1">Main[[#This Row],[بدهی سررسید شده (کیلوگرم)]]*Main[[#This Row],[روز از ارسال سفارش]]</f>
        <v>0</v>
      </c>
      <c r="U1414" s="6">
        <f>-SUBTOTAL(9,INDEX(Main[مقدار (کیلوگرم)],1):Main[[#This Row],[مقدار (کیلوگرم)]])</f>
        <v>35303</v>
      </c>
      <c r="V141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4" s="6">
        <f>Main[[#This Row],[تعداد کل روزهای بدهکار (روز)]]*Main[[#This Row],[مانده در خط کل (کیلوگرم)]]</f>
        <v>105909</v>
      </c>
      <c r="X1414" s="6">
        <f ca="1">-SUBTOTAL(9,INDEX(Main[مقدار تسویه شده (کیلوگرم)],1):Main[[#This Row],[مقدار تسویه شده (کیلوگرم)]])</f>
        <v>35303</v>
      </c>
      <c r="Y1414" s="6">
        <f ca="1">IF(Main[[#This Row],[مانده در خط تسویه شده (کیلوگرم)]]&lt;&gt;0,Main[[#This Row],[تعداد کل روزهای بدهکار (روز)]],0)</f>
        <v>3</v>
      </c>
      <c r="Z1414" s="6">
        <f ca="1">Main[[#This Row],[تعداد روزهای بدهکار تسویه شده (روز)]]*Main[[#This Row],[مانده در خط تسویه شده (کیلوگرم)]]</f>
        <v>105909</v>
      </c>
      <c r="AA1414" s="6">
        <f ca="1">SUBTOTAL(9,INDEX(Main[بدهی تسویه نشده (کیلوگرم)],1):Main[[#This Row],[بدهی تسویه نشده (کیلوگرم)]])</f>
        <v>0</v>
      </c>
      <c r="AB1414" s="6">
        <f ca="1">IF(Main[[#This Row],[مانده در خط تسویه نشده (کیلوگرم)]]&lt;&gt;0,Main[[#This Row],[تعداد کل روزهای بدهکار (روز)]],0)</f>
        <v>0</v>
      </c>
      <c r="AC1414" s="6">
        <f ca="1">Main[[#This Row],[تعداد روزهای بدهکار  تسویه نشده (روز)]]*Main[[#This Row],[مانده در خط تسویه نشده (کیلوگرم)]]</f>
        <v>0</v>
      </c>
      <c r="AD1414" s="6">
        <f ca="1">SUBTOTAL(9,INDEX(Main[بدهی سررسید شده (کیلوگرم)],1):Main[[#This Row],[بدهی سررسید شده (کیلوگرم)]])</f>
        <v>0</v>
      </c>
      <c r="AE1414" s="6">
        <f ca="1">IF(Main[[#This Row],[مانده در خط سررسید شده (کیلوگرم)]]&lt;&gt;0,Main[[#This Row],[تعداد کل روزهای بدهکار (روز)]],0)</f>
        <v>0</v>
      </c>
      <c r="AF1414" s="6">
        <f ca="1">Main[[#This Row],[تعداد روزهای بدهکار سررسید شده (روز)]]*Main[[#This Row],[مانده در خط سررسید شده (کیلوگرم)]]</f>
        <v>0</v>
      </c>
    </row>
    <row r="1415" spans="1:32" hidden="1" x14ac:dyDescent="0.35">
      <c r="A1415" s="5">
        <f>ROW()-ROW(INDEX(Main[ردیف],1))+1</f>
        <v>1413</v>
      </c>
      <c r="B1415" s="31">
        <f>SUBTOTAL(2,INDEX(Main[ردیف],1):Main[[#This Row],[ردیف]])</f>
        <v>125</v>
      </c>
      <c r="C1415" s="32" t="s">
        <v>652</v>
      </c>
      <c r="D1415" s="32" t="str">
        <f>_xlfn.CONCAT("14",Main[[#This Row],[تاريخ]])</f>
        <v>1400/06/04</v>
      </c>
      <c r="E1415" s="33">
        <v>44434</v>
      </c>
      <c r="F1415" s="32">
        <v>30146</v>
      </c>
      <c r="G1415" s="5" t="str">
        <f>INDEX(customer[عنوان],MATCH(Main[[#This Row],[کد ردیابی]],customer[کد],0))</f>
        <v>شرکت آذرپاد</v>
      </c>
      <c r="H1415">
        <v>-3007</v>
      </c>
      <c r="I1415" s="6">
        <f ca="1">-Main[[#This Row],[بدهی تسویه شده (کیلوگرم)]]+Main[[#This Row],[بستانکار (کیلوگرم)]]</f>
        <v>-3007</v>
      </c>
      <c r="J1415" s="6">
        <f>IF(Main[[#This Row],[مقدار (کیلوگرم)]]&gt;0,Main[[#This Row],[مقدار (کیلوگرم)]],0)</f>
        <v>0</v>
      </c>
      <c r="K1415" s="6">
        <f>-IF(Main[[#This Row],[مقدار (کیلوگرم)]]&lt;0,Main[[#This Row],[مقدار (کیلوگرم)]],0)</f>
        <v>3007</v>
      </c>
      <c r="L14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5" s="7">
        <f>-IF(AND(Main[[#This Row],[مقدار (کیلوگرم)]]&lt;0,Main[[#This Row],[تاريخ میلادی]]&gt;44276),Main[[#This Row],[مقدار (کیلوگرم)]],0)</f>
        <v>3007</v>
      </c>
      <c r="N1415" s="6">
        <f ca="1">Main[[#This Row],[بدهکار (کیلوگرم)]]-Main[[#This Row],[بدهی تسویه نشده (کیلوگرم)]]</f>
        <v>3007</v>
      </c>
      <c r="O1415" s="6">
        <f ca="1">Main[[#This Row],[تفکیک]]</f>
        <v>0</v>
      </c>
      <c r="P1415" s="6">
        <f ca="1">IF(Main[[#This Row],[تاخیر از سررسید]]&gt;0,Main[[#This Row],[بدهی تسویه نشده (کیلوگرم)]],0)</f>
        <v>0</v>
      </c>
      <c r="Q1415" s="6">
        <f ca="1">IF(Main[[#This Row],[بدهی تسویه نشده (کیلوگرم)]]&gt;0,'گزارش فردی'!$B$7-Main[[#This Row],[تاريخ میلادی]],0)</f>
        <v>0</v>
      </c>
      <c r="R1415" s="6">
        <f ca="1">IF(Main[[#This Row],[بدهی تسویه نشده (کیلوگرم)]]&gt;0,'گزارش فردی'!$B$7-Main[[#This Row],[تاريخ میلادی]]-'گزارش فردی'!$B$8,0)</f>
        <v>0</v>
      </c>
      <c r="S1415" s="6">
        <f ca="1">Main[[#This Row],[روز از ارسال سفارش]]*Main[[#This Row],[بدهی تسویه نشده (کیلوگرم)]]</f>
        <v>0</v>
      </c>
      <c r="T1415" s="6">
        <f ca="1">Main[[#This Row],[بدهی سررسید شده (کیلوگرم)]]*Main[[#This Row],[روز از ارسال سفارش]]</f>
        <v>0</v>
      </c>
      <c r="U1415" s="6">
        <f>-SUBTOTAL(9,INDEX(Main[مقدار (کیلوگرم)],1):Main[[#This Row],[مقدار (کیلوگرم)]])</f>
        <v>35303</v>
      </c>
      <c r="V141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5" s="6">
        <f>Main[[#This Row],[تعداد کل روزهای بدهکار (روز)]]*Main[[#This Row],[مانده در خط کل (کیلوگرم)]]</f>
        <v>105909</v>
      </c>
      <c r="X1415" s="6">
        <f ca="1">-SUBTOTAL(9,INDEX(Main[مقدار تسویه شده (کیلوگرم)],1):Main[[#This Row],[مقدار تسویه شده (کیلوگرم)]])</f>
        <v>35303</v>
      </c>
      <c r="Y1415" s="6">
        <f ca="1">IF(Main[[#This Row],[مانده در خط تسویه شده (کیلوگرم)]]&lt;&gt;0,Main[[#This Row],[تعداد کل روزهای بدهکار (روز)]],0)</f>
        <v>3</v>
      </c>
      <c r="Z1415" s="6">
        <f ca="1">Main[[#This Row],[تعداد روزهای بدهکار تسویه شده (روز)]]*Main[[#This Row],[مانده در خط تسویه شده (کیلوگرم)]]</f>
        <v>105909</v>
      </c>
      <c r="AA1415" s="6">
        <f ca="1">SUBTOTAL(9,INDEX(Main[بدهی تسویه نشده (کیلوگرم)],1):Main[[#This Row],[بدهی تسویه نشده (کیلوگرم)]])</f>
        <v>0</v>
      </c>
      <c r="AB1415" s="6">
        <f ca="1">IF(Main[[#This Row],[مانده در خط تسویه نشده (کیلوگرم)]]&lt;&gt;0,Main[[#This Row],[تعداد کل روزهای بدهکار (روز)]],0)</f>
        <v>0</v>
      </c>
      <c r="AC1415" s="6">
        <f ca="1">Main[[#This Row],[تعداد روزهای بدهکار  تسویه نشده (روز)]]*Main[[#This Row],[مانده در خط تسویه نشده (کیلوگرم)]]</f>
        <v>0</v>
      </c>
      <c r="AD1415" s="6">
        <f ca="1">SUBTOTAL(9,INDEX(Main[بدهی سررسید شده (کیلوگرم)],1):Main[[#This Row],[بدهی سررسید شده (کیلوگرم)]])</f>
        <v>0</v>
      </c>
      <c r="AE1415" s="6">
        <f ca="1">IF(Main[[#This Row],[مانده در خط سررسید شده (کیلوگرم)]]&lt;&gt;0,Main[[#This Row],[تعداد کل روزهای بدهکار (روز)]],0)</f>
        <v>0</v>
      </c>
      <c r="AF1415" s="6">
        <f ca="1">Main[[#This Row],[تعداد روزهای بدهکار سررسید شده (روز)]]*Main[[#This Row],[مانده در خط سررسید شده (کیلوگرم)]]</f>
        <v>0</v>
      </c>
    </row>
    <row r="1416" spans="1:32" hidden="1" x14ac:dyDescent="0.35">
      <c r="A1416" s="5">
        <f>ROW()-ROW(INDEX(Main[ردیف],1))+1</f>
        <v>1414</v>
      </c>
      <c r="B1416" s="31">
        <f>SUBTOTAL(2,INDEX(Main[ردیف],1):Main[[#This Row],[ردیف]])</f>
        <v>125</v>
      </c>
      <c r="C1416" s="32" t="s">
        <v>652</v>
      </c>
      <c r="D1416" s="32" t="str">
        <f>_xlfn.CONCAT("14",Main[[#This Row],[تاريخ]])</f>
        <v>1400/06/04</v>
      </c>
      <c r="E1416" s="33">
        <v>44434</v>
      </c>
      <c r="F1416" s="32">
        <v>30146</v>
      </c>
      <c r="G1416" s="5" t="str">
        <f>INDEX(customer[عنوان],MATCH(Main[[#This Row],[کد ردیابی]],customer[کد],0))</f>
        <v>شرکت آذرپاد</v>
      </c>
      <c r="H1416">
        <v>230</v>
      </c>
      <c r="I1416" s="6">
        <f ca="1">-Main[[#This Row],[بدهی تسویه شده (کیلوگرم)]]+Main[[#This Row],[بستانکار (کیلوگرم)]]</f>
        <v>230</v>
      </c>
      <c r="J1416" s="6">
        <f>IF(Main[[#This Row],[مقدار (کیلوگرم)]]&gt;0,Main[[#This Row],[مقدار (کیلوگرم)]],0)</f>
        <v>230</v>
      </c>
      <c r="K1416" s="6">
        <f>-IF(Main[[#This Row],[مقدار (کیلوگرم)]]&lt;0,Main[[#This Row],[مقدار (کیلوگرم)]],0)</f>
        <v>0</v>
      </c>
      <c r="L14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6" s="7">
        <f>-IF(AND(Main[[#This Row],[مقدار (کیلوگرم)]]&lt;0,Main[[#This Row],[تاريخ میلادی]]&gt;44276),Main[[#This Row],[مقدار (کیلوگرم)]],0)</f>
        <v>0</v>
      </c>
      <c r="N1416" s="6">
        <f ca="1">Main[[#This Row],[بدهکار (کیلوگرم)]]-Main[[#This Row],[بدهی تسویه نشده (کیلوگرم)]]</f>
        <v>0</v>
      </c>
      <c r="O1416" s="6">
        <f ca="1">Main[[#This Row],[تفکیک]]</f>
        <v>0</v>
      </c>
      <c r="P1416" s="6">
        <f ca="1">IF(Main[[#This Row],[تاخیر از سررسید]]&gt;0,Main[[#This Row],[بدهی تسویه نشده (کیلوگرم)]],0)</f>
        <v>0</v>
      </c>
      <c r="Q1416" s="6">
        <f ca="1">IF(Main[[#This Row],[بدهی تسویه نشده (کیلوگرم)]]&gt;0,'گزارش فردی'!$B$7-Main[[#This Row],[تاريخ میلادی]],0)</f>
        <v>0</v>
      </c>
      <c r="R1416" s="6">
        <f ca="1">IF(Main[[#This Row],[بدهی تسویه نشده (کیلوگرم)]]&gt;0,'گزارش فردی'!$B$7-Main[[#This Row],[تاريخ میلادی]]-'گزارش فردی'!$B$8,0)</f>
        <v>0</v>
      </c>
      <c r="S1416" s="6">
        <f ca="1">Main[[#This Row],[روز از ارسال سفارش]]*Main[[#This Row],[بدهی تسویه نشده (کیلوگرم)]]</f>
        <v>0</v>
      </c>
      <c r="T1416" s="6">
        <f ca="1">Main[[#This Row],[بدهی سررسید شده (کیلوگرم)]]*Main[[#This Row],[روز از ارسال سفارش]]</f>
        <v>0</v>
      </c>
      <c r="U1416" s="6">
        <f>-SUBTOTAL(9,INDEX(Main[مقدار (کیلوگرم)],1):Main[[#This Row],[مقدار (کیلوگرم)]])</f>
        <v>35303</v>
      </c>
      <c r="V141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6" s="6">
        <f>Main[[#This Row],[تعداد کل روزهای بدهکار (روز)]]*Main[[#This Row],[مانده در خط کل (کیلوگرم)]]</f>
        <v>105909</v>
      </c>
      <c r="X1416" s="6">
        <f ca="1">-SUBTOTAL(9,INDEX(Main[مقدار تسویه شده (کیلوگرم)],1):Main[[#This Row],[مقدار تسویه شده (کیلوگرم)]])</f>
        <v>35303</v>
      </c>
      <c r="Y1416" s="6">
        <f ca="1">IF(Main[[#This Row],[مانده در خط تسویه شده (کیلوگرم)]]&lt;&gt;0,Main[[#This Row],[تعداد کل روزهای بدهکار (روز)]],0)</f>
        <v>3</v>
      </c>
      <c r="Z1416" s="6">
        <f ca="1">Main[[#This Row],[تعداد روزهای بدهکار تسویه شده (روز)]]*Main[[#This Row],[مانده در خط تسویه شده (کیلوگرم)]]</f>
        <v>105909</v>
      </c>
      <c r="AA1416" s="6">
        <f ca="1">SUBTOTAL(9,INDEX(Main[بدهی تسویه نشده (کیلوگرم)],1):Main[[#This Row],[بدهی تسویه نشده (کیلوگرم)]])</f>
        <v>0</v>
      </c>
      <c r="AB1416" s="6">
        <f ca="1">IF(Main[[#This Row],[مانده در خط تسویه نشده (کیلوگرم)]]&lt;&gt;0,Main[[#This Row],[تعداد کل روزهای بدهکار (روز)]],0)</f>
        <v>0</v>
      </c>
      <c r="AC1416" s="6">
        <f ca="1">Main[[#This Row],[تعداد روزهای بدهکار  تسویه نشده (روز)]]*Main[[#This Row],[مانده در خط تسویه نشده (کیلوگرم)]]</f>
        <v>0</v>
      </c>
      <c r="AD1416" s="6">
        <f ca="1">SUBTOTAL(9,INDEX(Main[بدهی سررسید شده (کیلوگرم)],1):Main[[#This Row],[بدهی سررسید شده (کیلوگرم)]])</f>
        <v>0</v>
      </c>
      <c r="AE1416" s="6">
        <f ca="1">IF(Main[[#This Row],[مانده در خط سررسید شده (کیلوگرم)]]&lt;&gt;0,Main[[#This Row],[تعداد کل روزهای بدهکار (روز)]],0)</f>
        <v>0</v>
      </c>
      <c r="AF1416" s="6">
        <f ca="1">Main[[#This Row],[تعداد روزهای بدهکار سررسید شده (روز)]]*Main[[#This Row],[مانده در خط سررسید شده (کیلوگرم)]]</f>
        <v>0</v>
      </c>
    </row>
    <row r="1417" spans="1:32" hidden="1" x14ac:dyDescent="0.35">
      <c r="A1417" s="5">
        <f>ROW()-ROW(INDEX(Main[ردیف],1))+1</f>
        <v>1415</v>
      </c>
      <c r="B1417" s="31">
        <f>SUBTOTAL(2,INDEX(Main[ردیف],1):Main[[#This Row],[ردیف]])</f>
        <v>125</v>
      </c>
      <c r="C1417" s="32" t="s">
        <v>652</v>
      </c>
      <c r="D1417" s="32" t="str">
        <f>_xlfn.CONCAT("14",Main[[#This Row],[تاريخ]])</f>
        <v>1400/06/04</v>
      </c>
      <c r="E1417" s="33">
        <v>44434</v>
      </c>
      <c r="F1417" s="32">
        <v>10026</v>
      </c>
      <c r="G1417" s="5" t="str">
        <f>INDEX(customer[عنوان],MATCH(Main[[#This Row],[کد ردیابی]],customer[کد],0))</f>
        <v xml:space="preserve">محسن فیاض بخش </v>
      </c>
      <c r="H1417">
        <v>-2054</v>
      </c>
      <c r="I1417" s="6">
        <f ca="1">-Main[[#This Row],[بدهی تسویه شده (کیلوگرم)]]+Main[[#This Row],[بستانکار (کیلوگرم)]]</f>
        <v>-2054</v>
      </c>
      <c r="J1417" s="6">
        <f>IF(Main[[#This Row],[مقدار (کیلوگرم)]]&gt;0,Main[[#This Row],[مقدار (کیلوگرم)]],0)</f>
        <v>0</v>
      </c>
      <c r="K1417" s="6">
        <f>-IF(Main[[#This Row],[مقدار (کیلوگرم)]]&lt;0,Main[[#This Row],[مقدار (کیلوگرم)]],0)</f>
        <v>2054</v>
      </c>
      <c r="L14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7" s="7">
        <f>-IF(AND(Main[[#This Row],[مقدار (کیلوگرم)]]&lt;0,Main[[#This Row],[تاريخ میلادی]]&gt;44276),Main[[#This Row],[مقدار (کیلوگرم)]],0)</f>
        <v>2054</v>
      </c>
      <c r="N1417" s="6">
        <f ca="1">Main[[#This Row],[بدهکار (کیلوگرم)]]-Main[[#This Row],[بدهی تسویه نشده (کیلوگرم)]]</f>
        <v>2054</v>
      </c>
      <c r="O1417" s="6">
        <f ca="1">Main[[#This Row],[تفکیک]]</f>
        <v>0</v>
      </c>
      <c r="P1417" s="6">
        <f ca="1">IF(Main[[#This Row],[تاخیر از سررسید]]&gt;0,Main[[#This Row],[بدهی تسویه نشده (کیلوگرم)]],0)</f>
        <v>0</v>
      </c>
      <c r="Q1417" s="6">
        <f ca="1">IF(Main[[#This Row],[بدهی تسویه نشده (کیلوگرم)]]&gt;0,'گزارش فردی'!$B$7-Main[[#This Row],[تاريخ میلادی]],0)</f>
        <v>0</v>
      </c>
      <c r="R1417" s="6">
        <f ca="1">IF(Main[[#This Row],[بدهی تسویه نشده (کیلوگرم)]]&gt;0,'گزارش فردی'!$B$7-Main[[#This Row],[تاريخ میلادی]]-'گزارش فردی'!$B$8,0)</f>
        <v>0</v>
      </c>
      <c r="S1417" s="6">
        <f ca="1">Main[[#This Row],[روز از ارسال سفارش]]*Main[[#This Row],[بدهی تسویه نشده (کیلوگرم)]]</f>
        <v>0</v>
      </c>
      <c r="T1417" s="6">
        <f ca="1">Main[[#This Row],[بدهی سررسید شده (کیلوگرم)]]*Main[[#This Row],[روز از ارسال سفارش]]</f>
        <v>0</v>
      </c>
      <c r="U1417" s="6">
        <f>-SUBTOTAL(9,INDEX(Main[مقدار (کیلوگرم)],1):Main[[#This Row],[مقدار (کیلوگرم)]])</f>
        <v>35303</v>
      </c>
      <c r="V141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7" s="6">
        <f>Main[[#This Row],[تعداد کل روزهای بدهکار (روز)]]*Main[[#This Row],[مانده در خط کل (کیلوگرم)]]</f>
        <v>105909</v>
      </c>
      <c r="X1417" s="6">
        <f ca="1">-SUBTOTAL(9,INDEX(Main[مقدار تسویه شده (کیلوگرم)],1):Main[[#This Row],[مقدار تسویه شده (کیلوگرم)]])</f>
        <v>35303</v>
      </c>
      <c r="Y1417" s="6">
        <f ca="1">IF(Main[[#This Row],[مانده در خط تسویه شده (کیلوگرم)]]&lt;&gt;0,Main[[#This Row],[تعداد کل روزهای بدهکار (روز)]],0)</f>
        <v>3</v>
      </c>
      <c r="Z1417" s="6">
        <f ca="1">Main[[#This Row],[تعداد روزهای بدهکار تسویه شده (روز)]]*Main[[#This Row],[مانده در خط تسویه شده (کیلوگرم)]]</f>
        <v>105909</v>
      </c>
      <c r="AA1417" s="6">
        <f ca="1">SUBTOTAL(9,INDEX(Main[بدهی تسویه نشده (کیلوگرم)],1):Main[[#This Row],[بدهی تسویه نشده (کیلوگرم)]])</f>
        <v>0</v>
      </c>
      <c r="AB1417" s="6">
        <f ca="1">IF(Main[[#This Row],[مانده در خط تسویه نشده (کیلوگرم)]]&lt;&gt;0,Main[[#This Row],[تعداد کل روزهای بدهکار (روز)]],0)</f>
        <v>0</v>
      </c>
      <c r="AC1417" s="6">
        <f ca="1">Main[[#This Row],[تعداد روزهای بدهکار  تسویه نشده (روز)]]*Main[[#This Row],[مانده در خط تسویه نشده (کیلوگرم)]]</f>
        <v>0</v>
      </c>
      <c r="AD1417" s="6">
        <f ca="1">SUBTOTAL(9,INDEX(Main[بدهی سررسید شده (کیلوگرم)],1):Main[[#This Row],[بدهی سررسید شده (کیلوگرم)]])</f>
        <v>0</v>
      </c>
      <c r="AE1417" s="6">
        <f ca="1">IF(Main[[#This Row],[مانده در خط سررسید شده (کیلوگرم)]]&lt;&gt;0,Main[[#This Row],[تعداد کل روزهای بدهکار (روز)]],0)</f>
        <v>0</v>
      </c>
      <c r="AF1417" s="6">
        <f ca="1">Main[[#This Row],[تعداد روزهای بدهکار سررسید شده (روز)]]*Main[[#This Row],[مانده در خط سررسید شده (کیلوگرم)]]</f>
        <v>0</v>
      </c>
    </row>
    <row r="1418" spans="1:32" hidden="1" x14ac:dyDescent="0.35">
      <c r="A1418" s="5">
        <f>ROW()-ROW(INDEX(Main[ردیف],1))+1</f>
        <v>1416</v>
      </c>
      <c r="B1418" s="31">
        <f>SUBTOTAL(2,INDEX(Main[ردیف],1):Main[[#This Row],[ردیف]])</f>
        <v>125</v>
      </c>
      <c r="C1418" s="32" t="s">
        <v>652</v>
      </c>
      <c r="D1418" s="32" t="str">
        <f>_xlfn.CONCAT("14",Main[[#This Row],[تاريخ]])</f>
        <v>1400/06/04</v>
      </c>
      <c r="E1418" s="33">
        <v>44434</v>
      </c>
      <c r="F1418" s="32">
        <v>30146</v>
      </c>
      <c r="G1418" s="5" t="str">
        <f>INDEX(customer[عنوان],MATCH(Main[[#This Row],[کد ردیابی]],customer[کد],0))</f>
        <v>شرکت آذرپاد</v>
      </c>
      <c r="H1418">
        <v>672</v>
      </c>
      <c r="I1418" s="6">
        <f ca="1">-Main[[#This Row],[بدهی تسویه شده (کیلوگرم)]]+Main[[#This Row],[بستانکار (کیلوگرم)]]</f>
        <v>672</v>
      </c>
      <c r="J1418" s="6">
        <f>IF(Main[[#This Row],[مقدار (کیلوگرم)]]&gt;0,Main[[#This Row],[مقدار (کیلوگرم)]],0)</f>
        <v>672</v>
      </c>
      <c r="K1418" s="6">
        <f>-IF(Main[[#This Row],[مقدار (کیلوگرم)]]&lt;0,Main[[#This Row],[مقدار (کیلوگرم)]],0)</f>
        <v>0</v>
      </c>
      <c r="L14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8" s="7">
        <f>-IF(AND(Main[[#This Row],[مقدار (کیلوگرم)]]&lt;0,Main[[#This Row],[تاريخ میلادی]]&gt;44276),Main[[#This Row],[مقدار (کیلوگرم)]],0)</f>
        <v>0</v>
      </c>
      <c r="N1418" s="6">
        <f ca="1">Main[[#This Row],[بدهکار (کیلوگرم)]]-Main[[#This Row],[بدهی تسویه نشده (کیلوگرم)]]</f>
        <v>0</v>
      </c>
      <c r="O1418" s="6">
        <f ca="1">Main[[#This Row],[تفکیک]]</f>
        <v>0</v>
      </c>
      <c r="P1418" s="6">
        <f ca="1">IF(Main[[#This Row],[تاخیر از سررسید]]&gt;0,Main[[#This Row],[بدهی تسویه نشده (کیلوگرم)]],0)</f>
        <v>0</v>
      </c>
      <c r="Q1418" s="6">
        <f ca="1">IF(Main[[#This Row],[بدهی تسویه نشده (کیلوگرم)]]&gt;0,'گزارش فردی'!$B$7-Main[[#This Row],[تاريخ میلادی]],0)</f>
        <v>0</v>
      </c>
      <c r="R1418" s="6">
        <f ca="1">IF(Main[[#This Row],[بدهی تسویه نشده (کیلوگرم)]]&gt;0,'گزارش فردی'!$B$7-Main[[#This Row],[تاريخ میلادی]]-'گزارش فردی'!$B$8,0)</f>
        <v>0</v>
      </c>
      <c r="S1418" s="6">
        <f ca="1">Main[[#This Row],[روز از ارسال سفارش]]*Main[[#This Row],[بدهی تسویه نشده (کیلوگرم)]]</f>
        <v>0</v>
      </c>
      <c r="T1418" s="6">
        <f ca="1">Main[[#This Row],[بدهی سررسید شده (کیلوگرم)]]*Main[[#This Row],[روز از ارسال سفارش]]</f>
        <v>0</v>
      </c>
      <c r="U1418" s="6">
        <f>-SUBTOTAL(9,INDEX(Main[مقدار (کیلوگرم)],1):Main[[#This Row],[مقدار (کیلوگرم)]])</f>
        <v>35303</v>
      </c>
      <c r="V141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8" s="6">
        <f>Main[[#This Row],[تعداد کل روزهای بدهکار (روز)]]*Main[[#This Row],[مانده در خط کل (کیلوگرم)]]</f>
        <v>105909</v>
      </c>
      <c r="X1418" s="6">
        <f ca="1">-SUBTOTAL(9,INDEX(Main[مقدار تسویه شده (کیلوگرم)],1):Main[[#This Row],[مقدار تسویه شده (کیلوگرم)]])</f>
        <v>35303</v>
      </c>
      <c r="Y1418" s="6">
        <f ca="1">IF(Main[[#This Row],[مانده در خط تسویه شده (کیلوگرم)]]&lt;&gt;0,Main[[#This Row],[تعداد کل روزهای بدهکار (روز)]],0)</f>
        <v>3</v>
      </c>
      <c r="Z1418" s="6">
        <f ca="1">Main[[#This Row],[تعداد روزهای بدهکار تسویه شده (روز)]]*Main[[#This Row],[مانده در خط تسویه شده (کیلوگرم)]]</f>
        <v>105909</v>
      </c>
      <c r="AA1418" s="6">
        <f ca="1">SUBTOTAL(9,INDEX(Main[بدهی تسویه نشده (کیلوگرم)],1):Main[[#This Row],[بدهی تسویه نشده (کیلوگرم)]])</f>
        <v>0</v>
      </c>
      <c r="AB1418" s="6">
        <f ca="1">IF(Main[[#This Row],[مانده در خط تسویه نشده (کیلوگرم)]]&lt;&gt;0,Main[[#This Row],[تعداد کل روزهای بدهکار (روز)]],0)</f>
        <v>0</v>
      </c>
      <c r="AC1418" s="6">
        <f ca="1">Main[[#This Row],[تعداد روزهای بدهکار  تسویه نشده (روز)]]*Main[[#This Row],[مانده در خط تسویه نشده (کیلوگرم)]]</f>
        <v>0</v>
      </c>
      <c r="AD1418" s="6">
        <f ca="1">SUBTOTAL(9,INDEX(Main[بدهی سررسید شده (کیلوگرم)],1):Main[[#This Row],[بدهی سررسید شده (کیلوگرم)]])</f>
        <v>0</v>
      </c>
      <c r="AE1418" s="6">
        <f ca="1">IF(Main[[#This Row],[مانده در خط سررسید شده (کیلوگرم)]]&lt;&gt;0,Main[[#This Row],[تعداد کل روزهای بدهکار (روز)]],0)</f>
        <v>0</v>
      </c>
      <c r="AF1418" s="6">
        <f ca="1">Main[[#This Row],[تعداد روزهای بدهکار سررسید شده (روز)]]*Main[[#This Row],[مانده در خط سررسید شده (کیلوگرم)]]</f>
        <v>0</v>
      </c>
    </row>
    <row r="1419" spans="1:32" hidden="1" x14ac:dyDescent="0.35">
      <c r="A1419" s="5">
        <f>ROW()-ROW(INDEX(Main[ردیف],1))+1</f>
        <v>1417</v>
      </c>
      <c r="B1419" s="31">
        <f>SUBTOTAL(2,INDEX(Main[ردیف],1):Main[[#This Row],[ردیف]])</f>
        <v>125</v>
      </c>
      <c r="C1419" s="32" t="s">
        <v>652</v>
      </c>
      <c r="D1419" s="32" t="str">
        <f>_xlfn.CONCAT("14",Main[[#This Row],[تاريخ]])</f>
        <v>1400/06/04</v>
      </c>
      <c r="E1419" s="33">
        <v>44434</v>
      </c>
      <c r="F1419" s="32">
        <v>10070</v>
      </c>
      <c r="G1419" s="5" t="str">
        <f>INDEX(customer[عنوان],MATCH(Main[[#This Row],[کد ردیابی]],customer[کد],0))</f>
        <v xml:space="preserve">حمیدرضا شفیعی </v>
      </c>
      <c r="H1419">
        <v>-2092</v>
      </c>
      <c r="I1419" s="6">
        <f ca="1">-Main[[#This Row],[بدهی تسویه شده (کیلوگرم)]]+Main[[#This Row],[بستانکار (کیلوگرم)]]</f>
        <v>-2092</v>
      </c>
      <c r="J1419" s="6">
        <f>IF(Main[[#This Row],[مقدار (کیلوگرم)]]&gt;0,Main[[#This Row],[مقدار (کیلوگرم)]],0)</f>
        <v>0</v>
      </c>
      <c r="K1419" s="6">
        <f>-IF(Main[[#This Row],[مقدار (کیلوگرم)]]&lt;0,Main[[#This Row],[مقدار (کیلوگرم)]],0)</f>
        <v>2092</v>
      </c>
      <c r="L14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9" s="7">
        <f>-IF(AND(Main[[#This Row],[مقدار (کیلوگرم)]]&lt;0,Main[[#This Row],[تاريخ میلادی]]&gt;44276),Main[[#This Row],[مقدار (کیلوگرم)]],0)</f>
        <v>2092</v>
      </c>
      <c r="N1419" s="6">
        <f ca="1">Main[[#This Row],[بدهکار (کیلوگرم)]]-Main[[#This Row],[بدهی تسویه نشده (کیلوگرم)]]</f>
        <v>2092</v>
      </c>
      <c r="O1419" s="6">
        <f ca="1">Main[[#This Row],[تفکیک]]</f>
        <v>0</v>
      </c>
      <c r="P1419" s="6">
        <f ca="1">IF(Main[[#This Row],[تاخیر از سررسید]]&gt;0,Main[[#This Row],[بدهی تسویه نشده (کیلوگرم)]],0)</f>
        <v>0</v>
      </c>
      <c r="Q1419" s="6">
        <f ca="1">IF(Main[[#This Row],[بدهی تسویه نشده (کیلوگرم)]]&gt;0,'گزارش فردی'!$B$7-Main[[#This Row],[تاريخ میلادی]],0)</f>
        <v>0</v>
      </c>
      <c r="R1419" s="6">
        <f ca="1">IF(Main[[#This Row],[بدهی تسویه نشده (کیلوگرم)]]&gt;0,'گزارش فردی'!$B$7-Main[[#This Row],[تاريخ میلادی]]-'گزارش فردی'!$B$8,0)</f>
        <v>0</v>
      </c>
      <c r="S1419" s="6">
        <f ca="1">Main[[#This Row],[روز از ارسال سفارش]]*Main[[#This Row],[بدهی تسویه نشده (کیلوگرم)]]</f>
        <v>0</v>
      </c>
      <c r="T1419" s="6">
        <f ca="1">Main[[#This Row],[بدهی سررسید شده (کیلوگرم)]]*Main[[#This Row],[روز از ارسال سفارش]]</f>
        <v>0</v>
      </c>
      <c r="U1419" s="6">
        <f>-SUBTOTAL(9,INDEX(Main[مقدار (کیلوگرم)],1):Main[[#This Row],[مقدار (کیلوگرم)]])</f>
        <v>35303</v>
      </c>
      <c r="V141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9" s="6">
        <f>Main[[#This Row],[تعداد کل روزهای بدهکار (روز)]]*Main[[#This Row],[مانده در خط کل (کیلوگرم)]]</f>
        <v>105909</v>
      </c>
      <c r="X1419" s="6">
        <f ca="1">-SUBTOTAL(9,INDEX(Main[مقدار تسویه شده (کیلوگرم)],1):Main[[#This Row],[مقدار تسویه شده (کیلوگرم)]])</f>
        <v>35303</v>
      </c>
      <c r="Y1419" s="6">
        <f ca="1">IF(Main[[#This Row],[مانده در خط تسویه شده (کیلوگرم)]]&lt;&gt;0,Main[[#This Row],[تعداد کل روزهای بدهکار (روز)]],0)</f>
        <v>3</v>
      </c>
      <c r="Z1419" s="6">
        <f ca="1">Main[[#This Row],[تعداد روزهای بدهکار تسویه شده (روز)]]*Main[[#This Row],[مانده در خط تسویه شده (کیلوگرم)]]</f>
        <v>105909</v>
      </c>
      <c r="AA1419" s="6">
        <f ca="1">SUBTOTAL(9,INDEX(Main[بدهی تسویه نشده (کیلوگرم)],1):Main[[#This Row],[بدهی تسویه نشده (کیلوگرم)]])</f>
        <v>0</v>
      </c>
      <c r="AB1419" s="6">
        <f ca="1">IF(Main[[#This Row],[مانده در خط تسویه نشده (کیلوگرم)]]&lt;&gt;0,Main[[#This Row],[تعداد کل روزهای بدهکار (روز)]],0)</f>
        <v>0</v>
      </c>
      <c r="AC1419" s="6">
        <f ca="1">Main[[#This Row],[تعداد روزهای بدهکار  تسویه نشده (روز)]]*Main[[#This Row],[مانده در خط تسویه نشده (کیلوگرم)]]</f>
        <v>0</v>
      </c>
      <c r="AD1419" s="6">
        <f ca="1">SUBTOTAL(9,INDEX(Main[بدهی سررسید شده (کیلوگرم)],1):Main[[#This Row],[بدهی سررسید شده (کیلوگرم)]])</f>
        <v>0</v>
      </c>
      <c r="AE1419" s="6">
        <f ca="1">IF(Main[[#This Row],[مانده در خط سررسید شده (کیلوگرم)]]&lt;&gt;0,Main[[#This Row],[تعداد کل روزهای بدهکار (روز)]],0)</f>
        <v>0</v>
      </c>
      <c r="AF1419" s="6">
        <f ca="1">Main[[#This Row],[تعداد روزهای بدهکار سررسید شده (روز)]]*Main[[#This Row],[مانده در خط سررسید شده (کیلوگرم)]]</f>
        <v>0</v>
      </c>
    </row>
    <row r="1420" spans="1:32" hidden="1" x14ac:dyDescent="0.35">
      <c r="A1420" s="5">
        <f>ROW()-ROW(INDEX(Main[ردیف],1))+1</f>
        <v>1418</v>
      </c>
      <c r="B1420" s="31">
        <f>SUBTOTAL(2,INDEX(Main[ردیف],1):Main[[#This Row],[ردیف]])</f>
        <v>125</v>
      </c>
      <c r="C1420" s="32" t="s">
        <v>652</v>
      </c>
      <c r="D1420" s="32" t="str">
        <f>_xlfn.CONCAT("14",Main[[#This Row],[تاريخ]])</f>
        <v>1400/06/04</v>
      </c>
      <c r="E1420" s="33">
        <v>44434</v>
      </c>
      <c r="F1420" s="32">
        <v>30186</v>
      </c>
      <c r="G1420" s="5" t="str">
        <f>INDEX(customer[عنوان],MATCH(Main[[#This Row],[کد ردیابی]],customer[کد],0))</f>
        <v>سارا گاز</v>
      </c>
      <c r="H1420">
        <v>2713</v>
      </c>
      <c r="I1420" s="6">
        <f ca="1">-Main[[#This Row],[بدهی تسویه شده (کیلوگرم)]]+Main[[#This Row],[بستانکار (کیلوگرم)]]</f>
        <v>2713</v>
      </c>
      <c r="J1420" s="6">
        <f>IF(Main[[#This Row],[مقدار (کیلوگرم)]]&gt;0,Main[[#This Row],[مقدار (کیلوگرم)]],0)</f>
        <v>2713</v>
      </c>
      <c r="K1420" s="6">
        <f>-IF(Main[[#This Row],[مقدار (کیلوگرم)]]&lt;0,Main[[#This Row],[مقدار (کیلوگرم)]],0)</f>
        <v>0</v>
      </c>
      <c r="L14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0" s="7">
        <f>-IF(AND(Main[[#This Row],[مقدار (کیلوگرم)]]&lt;0,Main[[#This Row],[تاريخ میلادی]]&gt;44276),Main[[#This Row],[مقدار (کیلوگرم)]],0)</f>
        <v>0</v>
      </c>
      <c r="N1420" s="6">
        <f ca="1">Main[[#This Row],[بدهکار (کیلوگرم)]]-Main[[#This Row],[بدهی تسویه نشده (کیلوگرم)]]</f>
        <v>0</v>
      </c>
      <c r="O1420" s="6">
        <f ca="1">Main[[#This Row],[تفکیک]]</f>
        <v>0</v>
      </c>
      <c r="P1420" s="6">
        <f ca="1">IF(Main[[#This Row],[تاخیر از سررسید]]&gt;0,Main[[#This Row],[بدهی تسویه نشده (کیلوگرم)]],0)</f>
        <v>0</v>
      </c>
      <c r="Q1420" s="6">
        <f ca="1">IF(Main[[#This Row],[بدهی تسویه نشده (کیلوگرم)]]&gt;0,'گزارش فردی'!$B$7-Main[[#This Row],[تاريخ میلادی]],0)</f>
        <v>0</v>
      </c>
      <c r="R1420" s="6">
        <f ca="1">IF(Main[[#This Row],[بدهی تسویه نشده (کیلوگرم)]]&gt;0,'گزارش فردی'!$B$7-Main[[#This Row],[تاريخ میلادی]]-'گزارش فردی'!$B$8,0)</f>
        <v>0</v>
      </c>
      <c r="S1420" s="6">
        <f ca="1">Main[[#This Row],[روز از ارسال سفارش]]*Main[[#This Row],[بدهی تسویه نشده (کیلوگرم)]]</f>
        <v>0</v>
      </c>
      <c r="T1420" s="6">
        <f ca="1">Main[[#This Row],[بدهی سررسید شده (کیلوگرم)]]*Main[[#This Row],[روز از ارسال سفارش]]</f>
        <v>0</v>
      </c>
      <c r="U1420" s="6">
        <f>-SUBTOTAL(9,INDEX(Main[مقدار (کیلوگرم)],1):Main[[#This Row],[مقدار (کیلوگرم)]])</f>
        <v>35303</v>
      </c>
      <c r="V142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20" s="6">
        <f>Main[[#This Row],[تعداد کل روزهای بدهکار (روز)]]*Main[[#This Row],[مانده در خط کل (کیلوگرم)]]</f>
        <v>105909</v>
      </c>
      <c r="X1420" s="6">
        <f ca="1">-SUBTOTAL(9,INDEX(Main[مقدار تسویه شده (کیلوگرم)],1):Main[[#This Row],[مقدار تسویه شده (کیلوگرم)]])</f>
        <v>35303</v>
      </c>
      <c r="Y1420" s="6">
        <f ca="1">IF(Main[[#This Row],[مانده در خط تسویه شده (کیلوگرم)]]&lt;&gt;0,Main[[#This Row],[تعداد کل روزهای بدهکار (روز)]],0)</f>
        <v>3</v>
      </c>
      <c r="Z1420" s="6">
        <f ca="1">Main[[#This Row],[تعداد روزهای بدهکار تسویه شده (روز)]]*Main[[#This Row],[مانده در خط تسویه شده (کیلوگرم)]]</f>
        <v>105909</v>
      </c>
      <c r="AA1420" s="6">
        <f ca="1">SUBTOTAL(9,INDEX(Main[بدهی تسویه نشده (کیلوگرم)],1):Main[[#This Row],[بدهی تسویه نشده (کیلوگرم)]])</f>
        <v>0</v>
      </c>
      <c r="AB1420" s="6">
        <f ca="1">IF(Main[[#This Row],[مانده در خط تسویه نشده (کیلوگرم)]]&lt;&gt;0,Main[[#This Row],[تعداد کل روزهای بدهکار (روز)]],0)</f>
        <v>0</v>
      </c>
      <c r="AC1420" s="6">
        <f ca="1">Main[[#This Row],[تعداد روزهای بدهکار  تسویه نشده (روز)]]*Main[[#This Row],[مانده در خط تسویه نشده (کیلوگرم)]]</f>
        <v>0</v>
      </c>
      <c r="AD1420" s="6">
        <f ca="1">SUBTOTAL(9,INDEX(Main[بدهی سررسید شده (کیلوگرم)],1):Main[[#This Row],[بدهی سررسید شده (کیلوگرم)]])</f>
        <v>0</v>
      </c>
      <c r="AE1420" s="6">
        <f ca="1">IF(Main[[#This Row],[مانده در خط سررسید شده (کیلوگرم)]]&lt;&gt;0,Main[[#This Row],[تعداد کل روزهای بدهکار (روز)]],0)</f>
        <v>0</v>
      </c>
      <c r="AF1420" s="6">
        <f ca="1">Main[[#This Row],[تعداد روزهای بدهکار سررسید شده (روز)]]*Main[[#This Row],[مانده در خط سررسید شده (کیلوگرم)]]</f>
        <v>0</v>
      </c>
    </row>
    <row r="1421" spans="1:32" hidden="1" x14ac:dyDescent="0.35">
      <c r="A1421" s="5">
        <f>ROW()-ROW(INDEX(Main[ردیف],1))+1</f>
        <v>1419</v>
      </c>
      <c r="B1421" s="31">
        <f>SUBTOTAL(2,INDEX(Main[ردیف],1):Main[[#This Row],[ردیف]])</f>
        <v>125</v>
      </c>
      <c r="C1421" s="32" t="s">
        <v>652</v>
      </c>
      <c r="D1421" s="32" t="str">
        <f>_xlfn.CONCAT("14",Main[[#This Row],[تاريخ]])</f>
        <v>1400/06/04</v>
      </c>
      <c r="E1421" s="33">
        <v>44434</v>
      </c>
      <c r="F1421" s="32">
        <v>10070</v>
      </c>
      <c r="G1421" s="5" t="str">
        <f>INDEX(customer[عنوان],MATCH(Main[[#This Row],[کد ردیابی]],customer[کد],0))</f>
        <v xml:space="preserve">حمیدرضا شفیعی </v>
      </c>
      <c r="H1421">
        <v>2319</v>
      </c>
      <c r="I1421" s="6">
        <f ca="1">-Main[[#This Row],[بدهی تسویه شده (کیلوگرم)]]+Main[[#This Row],[بستانکار (کیلوگرم)]]</f>
        <v>2319</v>
      </c>
      <c r="J1421" s="6">
        <f>IF(Main[[#This Row],[مقدار (کیلوگرم)]]&gt;0,Main[[#This Row],[مقدار (کیلوگرم)]],0)</f>
        <v>2319</v>
      </c>
      <c r="K1421" s="6">
        <f>-IF(Main[[#This Row],[مقدار (کیلوگرم)]]&lt;0,Main[[#This Row],[مقدار (کیلوگرم)]],0)</f>
        <v>0</v>
      </c>
      <c r="L14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1" s="7">
        <f>-IF(AND(Main[[#This Row],[مقدار (کیلوگرم)]]&lt;0,Main[[#This Row],[تاريخ میلادی]]&gt;44276),Main[[#This Row],[مقدار (کیلوگرم)]],0)</f>
        <v>0</v>
      </c>
      <c r="N1421" s="6">
        <f ca="1">Main[[#This Row],[بدهکار (کیلوگرم)]]-Main[[#This Row],[بدهی تسویه نشده (کیلوگرم)]]</f>
        <v>0</v>
      </c>
      <c r="O1421" s="6">
        <f ca="1">Main[[#This Row],[تفکیک]]</f>
        <v>0</v>
      </c>
      <c r="P1421" s="6">
        <f ca="1">IF(Main[[#This Row],[تاخیر از سررسید]]&gt;0,Main[[#This Row],[بدهی تسویه نشده (کیلوگرم)]],0)</f>
        <v>0</v>
      </c>
      <c r="Q1421" s="6">
        <f ca="1">IF(Main[[#This Row],[بدهی تسویه نشده (کیلوگرم)]]&gt;0,'گزارش فردی'!$B$7-Main[[#This Row],[تاريخ میلادی]],0)</f>
        <v>0</v>
      </c>
      <c r="R1421" s="6">
        <f ca="1">IF(Main[[#This Row],[بدهی تسویه نشده (کیلوگرم)]]&gt;0,'گزارش فردی'!$B$7-Main[[#This Row],[تاريخ میلادی]]-'گزارش فردی'!$B$8,0)</f>
        <v>0</v>
      </c>
      <c r="S1421" s="6">
        <f ca="1">Main[[#This Row],[روز از ارسال سفارش]]*Main[[#This Row],[بدهی تسویه نشده (کیلوگرم)]]</f>
        <v>0</v>
      </c>
      <c r="T1421" s="6">
        <f ca="1">Main[[#This Row],[بدهی سررسید شده (کیلوگرم)]]*Main[[#This Row],[روز از ارسال سفارش]]</f>
        <v>0</v>
      </c>
      <c r="U1421" s="6">
        <f>-SUBTOTAL(9,INDEX(Main[مقدار (کیلوگرم)],1):Main[[#This Row],[مقدار (کیلوگرم)]])</f>
        <v>35303</v>
      </c>
      <c r="V142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21" s="6">
        <f>Main[[#This Row],[تعداد کل روزهای بدهکار (روز)]]*Main[[#This Row],[مانده در خط کل (کیلوگرم)]]</f>
        <v>105909</v>
      </c>
      <c r="X1421" s="6">
        <f ca="1">-SUBTOTAL(9,INDEX(Main[مقدار تسویه شده (کیلوگرم)],1):Main[[#This Row],[مقدار تسویه شده (کیلوگرم)]])</f>
        <v>35303</v>
      </c>
      <c r="Y1421" s="6">
        <f ca="1">IF(Main[[#This Row],[مانده در خط تسویه شده (کیلوگرم)]]&lt;&gt;0,Main[[#This Row],[تعداد کل روزهای بدهکار (روز)]],0)</f>
        <v>3</v>
      </c>
      <c r="Z1421" s="6">
        <f ca="1">Main[[#This Row],[تعداد روزهای بدهکار تسویه شده (روز)]]*Main[[#This Row],[مانده در خط تسویه شده (کیلوگرم)]]</f>
        <v>105909</v>
      </c>
      <c r="AA1421" s="6">
        <f ca="1">SUBTOTAL(9,INDEX(Main[بدهی تسویه نشده (کیلوگرم)],1):Main[[#This Row],[بدهی تسویه نشده (کیلوگرم)]])</f>
        <v>0</v>
      </c>
      <c r="AB1421" s="6">
        <f ca="1">IF(Main[[#This Row],[مانده در خط تسویه نشده (کیلوگرم)]]&lt;&gt;0,Main[[#This Row],[تعداد کل روزهای بدهکار (روز)]],0)</f>
        <v>0</v>
      </c>
      <c r="AC1421" s="6">
        <f ca="1">Main[[#This Row],[تعداد روزهای بدهکار  تسویه نشده (روز)]]*Main[[#This Row],[مانده در خط تسویه نشده (کیلوگرم)]]</f>
        <v>0</v>
      </c>
      <c r="AD1421" s="6">
        <f ca="1">SUBTOTAL(9,INDEX(Main[بدهی سررسید شده (کیلوگرم)],1):Main[[#This Row],[بدهی سررسید شده (کیلوگرم)]])</f>
        <v>0</v>
      </c>
      <c r="AE1421" s="6">
        <f ca="1">IF(Main[[#This Row],[مانده در خط سررسید شده (کیلوگرم)]]&lt;&gt;0,Main[[#This Row],[تعداد کل روزهای بدهکار (روز)]],0)</f>
        <v>0</v>
      </c>
      <c r="AF1421" s="6">
        <f ca="1">Main[[#This Row],[تعداد روزهای بدهکار سررسید شده (روز)]]*Main[[#This Row],[مانده در خط سررسید شده (کیلوگرم)]]</f>
        <v>0</v>
      </c>
    </row>
    <row r="1422" spans="1:32" hidden="1" x14ac:dyDescent="0.35">
      <c r="A1422" s="5">
        <f>ROW()-ROW(INDEX(Main[ردیف],1))+1</f>
        <v>1420</v>
      </c>
      <c r="B1422" s="31">
        <f>SUBTOTAL(2,INDEX(Main[ردیف],1):Main[[#This Row],[ردیف]])</f>
        <v>125</v>
      </c>
      <c r="C1422" s="32" t="s">
        <v>652</v>
      </c>
      <c r="D1422" s="32" t="str">
        <f>_xlfn.CONCAT("14",Main[[#This Row],[تاريخ]])</f>
        <v>1400/06/04</v>
      </c>
      <c r="E1422" s="33">
        <v>44434</v>
      </c>
      <c r="F1422" s="32">
        <v>30140</v>
      </c>
      <c r="G1422" s="5" t="str">
        <f>INDEX(customer[عنوان],MATCH(Main[[#This Row],[کد ردیابی]],customer[کد],0))</f>
        <v>شرکت سیتکو</v>
      </c>
      <c r="H1422">
        <v>1490</v>
      </c>
      <c r="I1422" s="6">
        <f ca="1">-Main[[#This Row],[بدهی تسویه شده (کیلوگرم)]]+Main[[#This Row],[بستانکار (کیلوگرم)]]</f>
        <v>1490</v>
      </c>
      <c r="J1422" s="6">
        <f>IF(Main[[#This Row],[مقدار (کیلوگرم)]]&gt;0,Main[[#This Row],[مقدار (کیلوگرم)]],0)</f>
        <v>1490</v>
      </c>
      <c r="K1422" s="6">
        <f>-IF(Main[[#This Row],[مقدار (کیلوگرم)]]&lt;0,Main[[#This Row],[مقدار (کیلوگرم)]],0)</f>
        <v>0</v>
      </c>
      <c r="L14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2" s="7">
        <f>-IF(AND(Main[[#This Row],[مقدار (کیلوگرم)]]&lt;0,Main[[#This Row],[تاريخ میلادی]]&gt;44276),Main[[#This Row],[مقدار (کیلوگرم)]],0)</f>
        <v>0</v>
      </c>
      <c r="N1422" s="6">
        <f ca="1">Main[[#This Row],[بدهکار (کیلوگرم)]]-Main[[#This Row],[بدهی تسویه نشده (کیلوگرم)]]</f>
        <v>0</v>
      </c>
      <c r="O1422" s="6">
        <f ca="1">Main[[#This Row],[تفکیک]]</f>
        <v>0</v>
      </c>
      <c r="P1422" s="6">
        <f ca="1">IF(Main[[#This Row],[تاخیر از سررسید]]&gt;0,Main[[#This Row],[بدهی تسویه نشده (کیلوگرم)]],0)</f>
        <v>0</v>
      </c>
      <c r="Q1422" s="6">
        <f ca="1">IF(Main[[#This Row],[بدهی تسویه نشده (کیلوگرم)]]&gt;0,'گزارش فردی'!$B$7-Main[[#This Row],[تاريخ میلادی]],0)</f>
        <v>0</v>
      </c>
      <c r="R1422" s="6">
        <f ca="1">IF(Main[[#This Row],[بدهی تسویه نشده (کیلوگرم)]]&gt;0,'گزارش فردی'!$B$7-Main[[#This Row],[تاريخ میلادی]]-'گزارش فردی'!$B$8,0)</f>
        <v>0</v>
      </c>
      <c r="S1422" s="6">
        <f ca="1">Main[[#This Row],[روز از ارسال سفارش]]*Main[[#This Row],[بدهی تسویه نشده (کیلوگرم)]]</f>
        <v>0</v>
      </c>
      <c r="T1422" s="6">
        <f ca="1">Main[[#This Row],[بدهی سررسید شده (کیلوگرم)]]*Main[[#This Row],[روز از ارسال سفارش]]</f>
        <v>0</v>
      </c>
      <c r="U1422" s="6">
        <f>-SUBTOTAL(9,INDEX(Main[مقدار (کیلوگرم)],1):Main[[#This Row],[مقدار (کیلوگرم)]])</f>
        <v>35303</v>
      </c>
      <c r="V142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22" s="6">
        <f>Main[[#This Row],[تعداد کل روزهای بدهکار (روز)]]*Main[[#This Row],[مانده در خط کل (کیلوگرم)]]</f>
        <v>105909</v>
      </c>
      <c r="X1422" s="6">
        <f ca="1">-SUBTOTAL(9,INDEX(Main[مقدار تسویه شده (کیلوگرم)],1):Main[[#This Row],[مقدار تسویه شده (کیلوگرم)]])</f>
        <v>35303</v>
      </c>
      <c r="Y1422" s="6">
        <f ca="1">IF(Main[[#This Row],[مانده در خط تسویه شده (کیلوگرم)]]&lt;&gt;0,Main[[#This Row],[تعداد کل روزهای بدهکار (روز)]],0)</f>
        <v>3</v>
      </c>
      <c r="Z1422" s="6">
        <f ca="1">Main[[#This Row],[تعداد روزهای بدهکار تسویه شده (روز)]]*Main[[#This Row],[مانده در خط تسویه شده (کیلوگرم)]]</f>
        <v>105909</v>
      </c>
      <c r="AA1422" s="6">
        <f ca="1">SUBTOTAL(9,INDEX(Main[بدهی تسویه نشده (کیلوگرم)],1):Main[[#This Row],[بدهی تسویه نشده (کیلوگرم)]])</f>
        <v>0</v>
      </c>
      <c r="AB1422" s="6">
        <f ca="1">IF(Main[[#This Row],[مانده در خط تسویه نشده (کیلوگرم)]]&lt;&gt;0,Main[[#This Row],[تعداد کل روزهای بدهکار (روز)]],0)</f>
        <v>0</v>
      </c>
      <c r="AC1422" s="6">
        <f ca="1">Main[[#This Row],[تعداد روزهای بدهکار  تسویه نشده (روز)]]*Main[[#This Row],[مانده در خط تسویه نشده (کیلوگرم)]]</f>
        <v>0</v>
      </c>
      <c r="AD1422" s="6">
        <f ca="1">SUBTOTAL(9,INDEX(Main[بدهی سررسید شده (کیلوگرم)],1):Main[[#This Row],[بدهی سررسید شده (کیلوگرم)]])</f>
        <v>0</v>
      </c>
      <c r="AE1422" s="6">
        <f ca="1">IF(Main[[#This Row],[مانده در خط سررسید شده (کیلوگرم)]]&lt;&gt;0,Main[[#This Row],[تعداد کل روزهای بدهکار (روز)]],0)</f>
        <v>0</v>
      </c>
      <c r="AF1422" s="6">
        <f ca="1">Main[[#This Row],[تعداد روزهای بدهکار سررسید شده (روز)]]*Main[[#This Row],[مانده در خط سررسید شده (کیلوگرم)]]</f>
        <v>0</v>
      </c>
    </row>
    <row r="1423" spans="1:32" hidden="1" x14ac:dyDescent="0.35">
      <c r="A1423" s="5">
        <f>ROW()-ROW(INDEX(Main[ردیف],1))+1</f>
        <v>1421</v>
      </c>
      <c r="B1423" s="31">
        <f>SUBTOTAL(2,INDEX(Main[ردیف],1):Main[[#This Row],[ردیف]])</f>
        <v>125</v>
      </c>
      <c r="C1423" s="32" t="s">
        <v>653</v>
      </c>
      <c r="D1423" s="32" t="str">
        <f>_xlfn.CONCAT("14",Main[[#This Row],[تاريخ]])</f>
        <v>1400/06/06</v>
      </c>
      <c r="E1423" s="33">
        <v>44436</v>
      </c>
      <c r="F1423" s="32">
        <v>30127</v>
      </c>
      <c r="G1423" s="5" t="str">
        <f>INDEX(customer[عنوان],MATCH(Main[[#This Row],[کد ردیابی]],customer[کد],0))</f>
        <v>شیر گاز آذران</v>
      </c>
      <c r="H1423">
        <v>-16019</v>
      </c>
      <c r="I1423" s="6">
        <f ca="1">-Main[[#This Row],[بدهی تسویه شده (کیلوگرم)]]+Main[[#This Row],[بستانکار (کیلوگرم)]]</f>
        <v>-16019</v>
      </c>
      <c r="J1423" s="6">
        <f>IF(Main[[#This Row],[مقدار (کیلوگرم)]]&gt;0,Main[[#This Row],[مقدار (کیلوگرم)]],0)</f>
        <v>0</v>
      </c>
      <c r="K1423" s="6">
        <f>-IF(Main[[#This Row],[مقدار (کیلوگرم)]]&lt;0,Main[[#This Row],[مقدار (کیلوگرم)]],0)</f>
        <v>16019</v>
      </c>
      <c r="L14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3" s="7">
        <f>-IF(AND(Main[[#This Row],[مقدار (کیلوگرم)]]&lt;0,Main[[#This Row],[تاريخ میلادی]]&gt;44276),Main[[#This Row],[مقدار (کیلوگرم)]],0)</f>
        <v>16019</v>
      </c>
      <c r="N1423" s="6">
        <f ca="1">Main[[#This Row],[بدهکار (کیلوگرم)]]-Main[[#This Row],[بدهی تسویه نشده (کیلوگرم)]]</f>
        <v>16019</v>
      </c>
      <c r="O1423" s="6">
        <f ca="1">Main[[#This Row],[تفکیک]]</f>
        <v>0</v>
      </c>
      <c r="P1423" s="6">
        <f ca="1">IF(Main[[#This Row],[تاخیر از سررسید]]&gt;0,Main[[#This Row],[بدهی تسویه نشده (کیلوگرم)]],0)</f>
        <v>0</v>
      </c>
      <c r="Q1423" s="6">
        <f ca="1">IF(Main[[#This Row],[بدهی تسویه نشده (کیلوگرم)]]&gt;0,'گزارش فردی'!$B$7-Main[[#This Row],[تاريخ میلادی]],0)</f>
        <v>0</v>
      </c>
      <c r="R1423" s="6">
        <f ca="1">IF(Main[[#This Row],[بدهی تسویه نشده (کیلوگرم)]]&gt;0,'گزارش فردی'!$B$7-Main[[#This Row],[تاريخ میلادی]]-'گزارش فردی'!$B$8,0)</f>
        <v>0</v>
      </c>
      <c r="S1423" s="6">
        <f ca="1">Main[[#This Row],[روز از ارسال سفارش]]*Main[[#This Row],[بدهی تسویه نشده (کیلوگرم)]]</f>
        <v>0</v>
      </c>
      <c r="T1423" s="6">
        <f ca="1">Main[[#This Row],[بدهی سررسید شده (کیلوگرم)]]*Main[[#This Row],[روز از ارسال سفارش]]</f>
        <v>0</v>
      </c>
      <c r="U1423" s="6">
        <f>-SUBTOTAL(9,INDEX(Main[مقدار (کیلوگرم)],1):Main[[#This Row],[مقدار (کیلوگرم)]])</f>
        <v>35303</v>
      </c>
      <c r="V14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3" s="6">
        <f>Main[[#This Row],[تعداد کل روزهای بدهکار (روز)]]*Main[[#This Row],[مانده در خط کل (کیلوگرم)]]</f>
        <v>35303</v>
      </c>
      <c r="X1423" s="6">
        <f ca="1">-SUBTOTAL(9,INDEX(Main[مقدار تسویه شده (کیلوگرم)],1):Main[[#This Row],[مقدار تسویه شده (کیلوگرم)]])</f>
        <v>35303</v>
      </c>
      <c r="Y1423" s="6">
        <f ca="1">IF(Main[[#This Row],[مانده در خط تسویه شده (کیلوگرم)]]&lt;&gt;0,Main[[#This Row],[تعداد کل روزهای بدهکار (روز)]],0)</f>
        <v>1</v>
      </c>
      <c r="Z1423" s="6">
        <f ca="1">Main[[#This Row],[تعداد روزهای بدهکار تسویه شده (روز)]]*Main[[#This Row],[مانده در خط تسویه شده (کیلوگرم)]]</f>
        <v>35303</v>
      </c>
      <c r="AA1423" s="6">
        <f ca="1">SUBTOTAL(9,INDEX(Main[بدهی تسویه نشده (کیلوگرم)],1):Main[[#This Row],[بدهی تسویه نشده (کیلوگرم)]])</f>
        <v>0</v>
      </c>
      <c r="AB1423" s="6">
        <f ca="1">IF(Main[[#This Row],[مانده در خط تسویه نشده (کیلوگرم)]]&lt;&gt;0,Main[[#This Row],[تعداد کل روزهای بدهکار (روز)]],0)</f>
        <v>0</v>
      </c>
      <c r="AC1423" s="6">
        <f ca="1">Main[[#This Row],[تعداد روزهای بدهکار  تسویه نشده (روز)]]*Main[[#This Row],[مانده در خط تسویه نشده (کیلوگرم)]]</f>
        <v>0</v>
      </c>
      <c r="AD1423" s="6">
        <f ca="1">SUBTOTAL(9,INDEX(Main[بدهی سررسید شده (کیلوگرم)],1):Main[[#This Row],[بدهی سررسید شده (کیلوگرم)]])</f>
        <v>0</v>
      </c>
      <c r="AE1423" s="6">
        <f ca="1">IF(Main[[#This Row],[مانده در خط سررسید شده (کیلوگرم)]]&lt;&gt;0,Main[[#This Row],[تعداد کل روزهای بدهکار (روز)]],0)</f>
        <v>0</v>
      </c>
      <c r="AF1423" s="6">
        <f ca="1">Main[[#This Row],[تعداد روزهای بدهکار سررسید شده (روز)]]*Main[[#This Row],[مانده در خط سررسید شده (کیلوگرم)]]</f>
        <v>0</v>
      </c>
    </row>
    <row r="1424" spans="1:32" hidden="1" x14ac:dyDescent="0.35">
      <c r="A1424" s="5">
        <f>ROW()-ROW(INDEX(Main[ردیف],1))+1</f>
        <v>1422</v>
      </c>
      <c r="B1424" s="31">
        <f>SUBTOTAL(2,INDEX(Main[ردیف],1):Main[[#This Row],[ردیف]])</f>
        <v>125</v>
      </c>
      <c r="C1424" s="32" t="s">
        <v>653</v>
      </c>
      <c r="D1424" s="32" t="str">
        <f>_xlfn.CONCAT("14",Main[[#This Row],[تاريخ]])</f>
        <v>1400/06/06</v>
      </c>
      <c r="E1424" s="33">
        <v>44436</v>
      </c>
      <c r="F1424" s="32">
        <v>30009</v>
      </c>
      <c r="G1424" s="5" t="str">
        <f>INDEX(customer[عنوان],MATCH(Main[[#This Row],[کد ردیابی]],customer[کد],0))</f>
        <v>شرکت ایمن تک پیشرو</v>
      </c>
      <c r="H1424">
        <v>1822</v>
      </c>
      <c r="I1424" s="6">
        <f ca="1">-Main[[#This Row],[بدهی تسویه شده (کیلوگرم)]]+Main[[#This Row],[بستانکار (کیلوگرم)]]</f>
        <v>1822</v>
      </c>
      <c r="J1424" s="6">
        <f>IF(Main[[#This Row],[مقدار (کیلوگرم)]]&gt;0,Main[[#This Row],[مقدار (کیلوگرم)]],0)</f>
        <v>1822</v>
      </c>
      <c r="K1424" s="6">
        <f>-IF(Main[[#This Row],[مقدار (کیلوگرم)]]&lt;0,Main[[#This Row],[مقدار (کیلوگرم)]],0)</f>
        <v>0</v>
      </c>
      <c r="L14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4" s="7">
        <f>-IF(AND(Main[[#This Row],[مقدار (کیلوگرم)]]&lt;0,Main[[#This Row],[تاريخ میلادی]]&gt;44276),Main[[#This Row],[مقدار (کیلوگرم)]],0)</f>
        <v>0</v>
      </c>
      <c r="N1424" s="6">
        <f ca="1">Main[[#This Row],[بدهکار (کیلوگرم)]]-Main[[#This Row],[بدهی تسویه نشده (کیلوگرم)]]</f>
        <v>0</v>
      </c>
      <c r="O1424" s="6">
        <f ca="1">Main[[#This Row],[تفکیک]]</f>
        <v>0</v>
      </c>
      <c r="P1424" s="6">
        <f ca="1">IF(Main[[#This Row],[تاخیر از سررسید]]&gt;0,Main[[#This Row],[بدهی تسویه نشده (کیلوگرم)]],0)</f>
        <v>0</v>
      </c>
      <c r="Q1424" s="6">
        <f ca="1">IF(Main[[#This Row],[بدهی تسویه نشده (کیلوگرم)]]&gt;0,'گزارش فردی'!$B$7-Main[[#This Row],[تاريخ میلادی]],0)</f>
        <v>0</v>
      </c>
      <c r="R1424" s="6">
        <f ca="1">IF(Main[[#This Row],[بدهی تسویه نشده (کیلوگرم)]]&gt;0,'گزارش فردی'!$B$7-Main[[#This Row],[تاريخ میلادی]]-'گزارش فردی'!$B$8,0)</f>
        <v>0</v>
      </c>
      <c r="S1424" s="6">
        <f ca="1">Main[[#This Row],[روز از ارسال سفارش]]*Main[[#This Row],[بدهی تسویه نشده (کیلوگرم)]]</f>
        <v>0</v>
      </c>
      <c r="T1424" s="6">
        <f ca="1">Main[[#This Row],[بدهی سررسید شده (کیلوگرم)]]*Main[[#This Row],[روز از ارسال سفارش]]</f>
        <v>0</v>
      </c>
      <c r="U1424" s="6">
        <f>-SUBTOTAL(9,INDEX(Main[مقدار (کیلوگرم)],1):Main[[#This Row],[مقدار (کیلوگرم)]])</f>
        <v>35303</v>
      </c>
      <c r="V14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4" s="6">
        <f>Main[[#This Row],[تعداد کل روزهای بدهکار (روز)]]*Main[[#This Row],[مانده در خط کل (کیلوگرم)]]</f>
        <v>35303</v>
      </c>
      <c r="X1424" s="6">
        <f ca="1">-SUBTOTAL(9,INDEX(Main[مقدار تسویه شده (کیلوگرم)],1):Main[[#This Row],[مقدار تسویه شده (کیلوگرم)]])</f>
        <v>35303</v>
      </c>
      <c r="Y1424" s="6">
        <f ca="1">IF(Main[[#This Row],[مانده در خط تسویه شده (کیلوگرم)]]&lt;&gt;0,Main[[#This Row],[تعداد کل روزهای بدهکار (روز)]],0)</f>
        <v>1</v>
      </c>
      <c r="Z1424" s="6">
        <f ca="1">Main[[#This Row],[تعداد روزهای بدهکار تسویه شده (روز)]]*Main[[#This Row],[مانده در خط تسویه شده (کیلوگرم)]]</f>
        <v>35303</v>
      </c>
      <c r="AA1424" s="6">
        <f ca="1">SUBTOTAL(9,INDEX(Main[بدهی تسویه نشده (کیلوگرم)],1):Main[[#This Row],[بدهی تسویه نشده (کیلوگرم)]])</f>
        <v>0</v>
      </c>
      <c r="AB1424" s="6">
        <f ca="1">IF(Main[[#This Row],[مانده در خط تسویه نشده (کیلوگرم)]]&lt;&gt;0,Main[[#This Row],[تعداد کل روزهای بدهکار (روز)]],0)</f>
        <v>0</v>
      </c>
      <c r="AC1424" s="6">
        <f ca="1">Main[[#This Row],[تعداد روزهای بدهکار  تسویه نشده (روز)]]*Main[[#This Row],[مانده در خط تسویه نشده (کیلوگرم)]]</f>
        <v>0</v>
      </c>
      <c r="AD1424" s="6">
        <f ca="1">SUBTOTAL(9,INDEX(Main[بدهی سررسید شده (کیلوگرم)],1):Main[[#This Row],[بدهی سررسید شده (کیلوگرم)]])</f>
        <v>0</v>
      </c>
      <c r="AE1424" s="6">
        <f ca="1">IF(Main[[#This Row],[مانده در خط سررسید شده (کیلوگرم)]]&lt;&gt;0,Main[[#This Row],[تعداد کل روزهای بدهکار (روز)]],0)</f>
        <v>0</v>
      </c>
      <c r="AF1424" s="6">
        <f ca="1">Main[[#This Row],[تعداد روزهای بدهکار سررسید شده (روز)]]*Main[[#This Row],[مانده در خط سررسید شده (کیلوگرم)]]</f>
        <v>0</v>
      </c>
    </row>
    <row r="1425" spans="1:32" hidden="1" x14ac:dyDescent="0.35">
      <c r="A1425" s="5">
        <f>ROW()-ROW(INDEX(Main[ردیف],1))+1</f>
        <v>1423</v>
      </c>
      <c r="B1425" s="31">
        <f>SUBTOTAL(2,INDEX(Main[ردیف],1):Main[[#This Row],[ردیف]])</f>
        <v>125</v>
      </c>
      <c r="C1425" s="32" t="s">
        <v>653</v>
      </c>
      <c r="D1425" s="32" t="str">
        <f>_xlfn.CONCAT("14",Main[[#This Row],[تاريخ]])</f>
        <v>1400/06/06</v>
      </c>
      <c r="E1425" s="33">
        <v>44436</v>
      </c>
      <c r="F1425" s="32">
        <v>50016</v>
      </c>
      <c r="G1425" s="5" t="str">
        <f>INDEX(customer[عنوان],MATCH(Main[[#This Row],[کد ردیابی]],customer[کد],0))</f>
        <v xml:space="preserve">مهدی یوسفی  </v>
      </c>
      <c r="H1425">
        <v>-5157</v>
      </c>
      <c r="I1425" s="6">
        <f ca="1">-Main[[#This Row],[بدهی تسویه شده (کیلوگرم)]]+Main[[#This Row],[بستانکار (کیلوگرم)]]</f>
        <v>-5157</v>
      </c>
      <c r="J1425" s="6">
        <f>IF(Main[[#This Row],[مقدار (کیلوگرم)]]&gt;0,Main[[#This Row],[مقدار (کیلوگرم)]],0)</f>
        <v>0</v>
      </c>
      <c r="K1425" s="6">
        <f>-IF(Main[[#This Row],[مقدار (کیلوگرم)]]&lt;0,Main[[#This Row],[مقدار (کیلوگرم)]],0)</f>
        <v>5157</v>
      </c>
      <c r="L14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5" s="7">
        <f>-IF(AND(Main[[#This Row],[مقدار (کیلوگرم)]]&lt;0,Main[[#This Row],[تاريخ میلادی]]&gt;44276),Main[[#This Row],[مقدار (کیلوگرم)]],0)</f>
        <v>5157</v>
      </c>
      <c r="N1425" s="6">
        <f ca="1">Main[[#This Row],[بدهکار (کیلوگرم)]]-Main[[#This Row],[بدهی تسویه نشده (کیلوگرم)]]</f>
        <v>5157</v>
      </c>
      <c r="O1425" s="6">
        <f ca="1">Main[[#This Row],[تفکیک]]</f>
        <v>0</v>
      </c>
      <c r="P1425" s="6">
        <f ca="1">IF(Main[[#This Row],[تاخیر از سررسید]]&gt;0,Main[[#This Row],[بدهی تسویه نشده (کیلوگرم)]],0)</f>
        <v>0</v>
      </c>
      <c r="Q1425" s="6">
        <f ca="1">IF(Main[[#This Row],[بدهی تسویه نشده (کیلوگرم)]]&gt;0,'گزارش فردی'!$B$7-Main[[#This Row],[تاريخ میلادی]],0)</f>
        <v>0</v>
      </c>
      <c r="R1425" s="6">
        <f ca="1">IF(Main[[#This Row],[بدهی تسویه نشده (کیلوگرم)]]&gt;0,'گزارش فردی'!$B$7-Main[[#This Row],[تاريخ میلادی]]-'گزارش فردی'!$B$8,0)</f>
        <v>0</v>
      </c>
      <c r="S1425" s="6">
        <f ca="1">Main[[#This Row],[روز از ارسال سفارش]]*Main[[#This Row],[بدهی تسویه نشده (کیلوگرم)]]</f>
        <v>0</v>
      </c>
      <c r="T1425" s="6">
        <f ca="1">Main[[#This Row],[بدهی سررسید شده (کیلوگرم)]]*Main[[#This Row],[روز از ارسال سفارش]]</f>
        <v>0</v>
      </c>
      <c r="U1425" s="6">
        <f>-SUBTOTAL(9,INDEX(Main[مقدار (کیلوگرم)],1):Main[[#This Row],[مقدار (کیلوگرم)]])</f>
        <v>35303</v>
      </c>
      <c r="V14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5" s="6">
        <f>Main[[#This Row],[تعداد کل روزهای بدهکار (روز)]]*Main[[#This Row],[مانده در خط کل (کیلوگرم)]]</f>
        <v>35303</v>
      </c>
      <c r="X1425" s="6">
        <f ca="1">-SUBTOTAL(9,INDEX(Main[مقدار تسویه شده (کیلوگرم)],1):Main[[#This Row],[مقدار تسویه شده (کیلوگرم)]])</f>
        <v>35303</v>
      </c>
      <c r="Y1425" s="6">
        <f ca="1">IF(Main[[#This Row],[مانده در خط تسویه شده (کیلوگرم)]]&lt;&gt;0,Main[[#This Row],[تعداد کل روزهای بدهکار (روز)]],0)</f>
        <v>1</v>
      </c>
      <c r="Z1425" s="6">
        <f ca="1">Main[[#This Row],[تعداد روزهای بدهکار تسویه شده (روز)]]*Main[[#This Row],[مانده در خط تسویه شده (کیلوگرم)]]</f>
        <v>35303</v>
      </c>
      <c r="AA1425" s="6">
        <f ca="1">SUBTOTAL(9,INDEX(Main[بدهی تسویه نشده (کیلوگرم)],1):Main[[#This Row],[بدهی تسویه نشده (کیلوگرم)]])</f>
        <v>0</v>
      </c>
      <c r="AB1425" s="6">
        <f ca="1">IF(Main[[#This Row],[مانده در خط تسویه نشده (کیلوگرم)]]&lt;&gt;0,Main[[#This Row],[تعداد کل روزهای بدهکار (روز)]],0)</f>
        <v>0</v>
      </c>
      <c r="AC1425" s="6">
        <f ca="1">Main[[#This Row],[تعداد روزهای بدهکار  تسویه نشده (روز)]]*Main[[#This Row],[مانده در خط تسویه نشده (کیلوگرم)]]</f>
        <v>0</v>
      </c>
      <c r="AD1425" s="6">
        <f ca="1">SUBTOTAL(9,INDEX(Main[بدهی سررسید شده (کیلوگرم)],1):Main[[#This Row],[بدهی سررسید شده (کیلوگرم)]])</f>
        <v>0</v>
      </c>
      <c r="AE1425" s="6">
        <f ca="1">IF(Main[[#This Row],[مانده در خط سررسید شده (کیلوگرم)]]&lt;&gt;0,Main[[#This Row],[تعداد کل روزهای بدهکار (روز)]],0)</f>
        <v>0</v>
      </c>
      <c r="AF1425" s="6">
        <f ca="1">Main[[#This Row],[تعداد روزهای بدهکار سررسید شده (روز)]]*Main[[#This Row],[مانده در خط سررسید شده (کیلوگرم)]]</f>
        <v>0</v>
      </c>
    </row>
    <row r="1426" spans="1:32" hidden="1" x14ac:dyDescent="0.35">
      <c r="A1426" s="5">
        <f>ROW()-ROW(INDEX(Main[ردیف],1))+1</f>
        <v>1424</v>
      </c>
      <c r="B1426" s="31">
        <f>SUBTOTAL(2,INDEX(Main[ردیف],1):Main[[#This Row],[ردیف]])</f>
        <v>125</v>
      </c>
      <c r="C1426" s="32" t="s">
        <v>653</v>
      </c>
      <c r="D1426" s="32" t="str">
        <f>_xlfn.CONCAT("14",Main[[#This Row],[تاريخ]])</f>
        <v>1400/06/06</v>
      </c>
      <c r="E1426" s="33">
        <v>44436</v>
      </c>
      <c r="F1426" s="32">
        <v>10070</v>
      </c>
      <c r="G1426" s="5" t="str">
        <f>INDEX(customer[عنوان],MATCH(Main[[#This Row],[کد ردیابی]],customer[کد],0))</f>
        <v xml:space="preserve">حمیدرضا شفیعی </v>
      </c>
      <c r="H1426">
        <v>-354</v>
      </c>
      <c r="I1426" s="6">
        <f ca="1">-Main[[#This Row],[بدهی تسویه شده (کیلوگرم)]]+Main[[#This Row],[بستانکار (کیلوگرم)]]</f>
        <v>-354</v>
      </c>
      <c r="J1426" s="6">
        <f>IF(Main[[#This Row],[مقدار (کیلوگرم)]]&gt;0,Main[[#This Row],[مقدار (کیلوگرم)]],0)</f>
        <v>0</v>
      </c>
      <c r="K1426" s="6">
        <f>-IF(Main[[#This Row],[مقدار (کیلوگرم)]]&lt;0,Main[[#This Row],[مقدار (کیلوگرم)]],0)</f>
        <v>354</v>
      </c>
      <c r="L14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6" s="7">
        <f>-IF(AND(Main[[#This Row],[مقدار (کیلوگرم)]]&lt;0,Main[[#This Row],[تاريخ میلادی]]&gt;44276),Main[[#This Row],[مقدار (کیلوگرم)]],0)</f>
        <v>354</v>
      </c>
      <c r="N1426" s="6">
        <f ca="1">Main[[#This Row],[بدهکار (کیلوگرم)]]-Main[[#This Row],[بدهی تسویه نشده (کیلوگرم)]]</f>
        <v>354</v>
      </c>
      <c r="O1426" s="6">
        <f ca="1">Main[[#This Row],[تفکیک]]</f>
        <v>0</v>
      </c>
      <c r="P1426" s="6">
        <f ca="1">IF(Main[[#This Row],[تاخیر از سررسید]]&gt;0,Main[[#This Row],[بدهی تسویه نشده (کیلوگرم)]],0)</f>
        <v>0</v>
      </c>
      <c r="Q1426" s="6">
        <f ca="1">IF(Main[[#This Row],[بدهی تسویه نشده (کیلوگرم)]]&gt;0,'گزارش فردی'!$B$7-Main[[#This Row],[تاريخ میلادی]],0)</f>
        <v>0</v>
      </c>
      <c r="R1426" s="6">
        <f ca="1">IF(Main[[#This Row],[بدهی تسویه نشده (کیلوگرم)]]&gt;0,'گزارش فردی'!$B$7-Main[[#This Row],[تاريخ میلادی]]-'گزارش فردی'!$B$8,0)</f>
        <v>0</v>
      </c>
      <c r="S1426" s="6">
        <f ca="1">Main[[#This Row],[روز از ارسال سفارش]]*Main[[#This Row],[بدهی تسویه نشده (کیلوگرم)]]</f>
        <v>0</v>
      </c>
      <c r="T1426" s="6">
        <f ca="1">Main[[#This Row],[بدهی سررسید شده (کیلوگرم)]]*Main[[#This Row],[روز از ارسال سفارش]]</f>
        <v>0</v>
      </c>
      <c r="U1426" s="6">
        <f>-SUBTOTAL(9,INDEX(Main[مقدار (کیلوگرم)],1):Main[[#This Row],[مقدار (کیلوگرم)]])</f>
        <v>35303</v>
      </c>
      <c r="V14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6" s="6">
        <f>Main[[#This Row],[تعداد کل روزهای بدهکار (روز)]]*Main[[#This Row],[مانده در خط کل (کیلوگرم)]]</f>
        <v>35303</v>
      </c>
      <c r="X1426" s="6">
        <f ca="1">-SUBTOTAL(9,INDEX(Main[مقدار تسویه شده (کیلوگرم)],1):Main[[#This Row],[مقدار تسویه شده (کیلوگرم)]])</f>
        <v>35303</v>
      </c>
      <c r="Y1426" s="6">
        <f ca="1">IF(Main[[#This Row],[مانده در خط تسویه شده (کیلوگرم)]]&lt;&gt;0,Main[[#This Row],[تعداد کل روزهای بدهکار (روز)]],0)</f>
        <v>1</v>
      </c>
      <c r="Z1426" s="6">
        <f ca="1">Main[[#This Row],[تعداد روزهای بدهکار تسویه شده (روز)]]*Main[[#This Row],[مانده در خط تسویه شده (کیلوگرم)]]</f>
        <v>35303</v>
      </c>
      <c r="AA1426" s="6">
        <f ca="1">SUBTOTAL(9,INDEX(Main[بدهی تسویه نشده (کیلوگرم)],1):Main[[#This Row],[بدهی تسویه نشده (کیلوگرم)]])</f>
        <v>0</v>
      </c>
      <c r="AB1426" s="6">
        <f ca="1">IF(Main[[#This Row],[مانده در خط تسویه نشده (کیلوگرم)]]&lt;&gt;0,Main[[#This Row],[تعداد کل روزهای بدهکار (روز)]],0)</f>
        <v>0</v>
      </c>
      <c r="AC1426" s="6">
        <f ca="1">Main[[#This Row],[تعداد روزهای بدهکار  تسویه نشده (روز)]]*Main[[#This Row],[مانده در خط تسویه نشده (کیلوگرم)]]</f>
        <v>0</v>
      </c>
      <c r="AD1426" s="6">
        <f ca="1">SUBTOTAL(9,INDEX(Main[بدهی سررسید شده (کیلوگرم)],1):Main[[#This Row],[بدهی سررسید شده (کیلوگرم)]])</f>
        <v>0</v>
      </c>
      <c r="AE1426" s="6">
        <f ca="1">IF(Main[[#This Row],[مانده در خط سررسید شده (کیلوگرم)]]&lt;&gt;0,Main[[#This Row],[تعداد کل روزهای بدهکار (روز)]],0)</f>
        <v>0</v>
      </c>
      <c r="AF1426" s="6">
        <f ca="1">Main[[#This Row],[تعداد روزهای بدهکار سررسید شده (روز)]]*Main[[#This Row],[مانده در خط سررسید شده (کیلوگرم)]]</f>
        <v>0</v>
      </c>
    </row>
    <row r="1427" spans="1:32" hidden="1" x14ac:dyDescent="0.35">
      <c r="A1427" s="5">
        <f>ROW()-ROW(INDEX(Main[ردیف],1))+1</f>
        <v>1425</v>
      </c>
      <c r="B1427" s="31">
        <f>SUBTOTAL(2,INDEX(Main[ردیف],1):Main[[#This Row],[ردیف]])</f>
        <v>125</v>
      </c>
      <c r="C1427" s="32" t="s">
        <v>653</v>
      </c>
      <c r="D1427" s="32" t="str">
        <f>_xlfn.CONCAT("14",Main[[#This Row],[تاريخ]])</f>
        <v>1400/06/06</v>
      </c>
      <c r="E1427" s="33">
        <v>44436</v>
      </c>
      <c r="F1427" s="32">
        <v>30009</v>
      </c>
      <c r="G1427" s="5" t="str">
        <f>INDEX(customer[عنوان],MATCH(Main[[#This Row],[کد ردیابی]],customer[کد],0))</f>
        <v>شرکت ایمن تک پیشرو</v>
      </c>
      <c r="H1427">
        <v>-2047</v>
      </c>
      <c r="I1427" s="6">
        <f ca="1">-Main[[#This Row],[بدهی تسویه شده (کیلوگرم)]]+Main[[#This Row],[بستانکار (کیلوگرم)]]</f>
        <v>-2047</v>
      </c>
      <c r="J1427" s="6">
        <f>IF(Main[[#This Row],[مقدار (کیلوگرم)]]&gt;0,Main[[#This Row],[مقدار (کیلوگرم)]],0)</f>
        <v>0</v>
      </c>
      <c r="K1427" s="6">
        <f>-IF(Main[[#This Row],[مقدار (کیلوگرم)]]&lt;0,Main[[#This Row],[مقدار (کیلوگرم)]],0)</f>
        <v>2047</v>
      </c>
      <c r="L14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7" s="7">
        <f>-IF(AND(Main[[#This Row],[مقدار (کیلوگرم)]]&lt;0,Main[[#This Row],[تاريخ میلادی]]&gt;44276),Main[[#This Row],[مقدار (کیلوگرم)]],0)</f>
        <v>2047</v>
      </c>
      <c r="N1427" s="6">
        <f ca="1">Main[[#This Row],[بدهکار (کیلوگرم)]]-Main[[#This Row],[بدهی تسویه نشده (کیلوگرم)]]</f>
        <v>2047</v>
      </c>
      <c r="O1427" s="6">
        <f ca="1">Main[[#This Row],[تفکیک]]</f>
        <v>0</v>
      </c>
      <c r="P1427" s="6">
        <f ca="1">IF(Main[[#This Row],[تاخیر از سررسید]]&gt;0,Main[[#This Row],[بدهی تسویه نشده (کیلوگرم)]],0)</f>
        <v>0</v>
      </c>
      <c r="Q1427" s="6">
        <f ca="1">IF(Main[[#This Row],[بدهی تسویه نشده (کیلوگرم)]]&gt;0,'گزارش فردی'!$B$7-Main[[#This Row],[تاريخ میلادی]],0)</f>
        <v>0</v>
      </c>
      <c r="R1427" s="6">
        <f ca="1">IF(Main[[#This Row],[بدهی تسویه نشده (کیلوگرم)]]&gt;0,'گزارش فردی'!$B$7-Main[[#This Row],[تاريخ میلادی]]-'گزارش فردی'!$B$8,0)</f>
        <v>0</v>
      </c>
      <c r="S1427" s="6">
        <f ca="1">Main[[#This Row],[روز از ارسال سفارش]]*Main[[#This Row],[بدهی تسویه نشده (کیلوگرم)]]</f>
        <v>0</v>
      </c>
      <c r="T1427" s="6">
        <f ca="1">Main[[#This Row],[بدهی سررسید شده (کیلوگرم)]]*Main[[#This Row],[روز از ارسال سفارش]]</f>
        <v>0</v>
      </c>
      <c r="U1427" s="6">
        <f>-SUBTOTAL(9,INDEX(Main[مقدار (کیلوگرم)],1):Main[[#This Row],[مقدار (کیلوگرم)]])</f>
        <v>35303</v>
      </c>
      <c r="V14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7" s="6">
        <f>Main[[#This Row],[تعداد کل روزهای بدهکار (روز)]]*Main[[#This Row],[مانده در خط کل (کیلوگرم)]]</f>
        <v>35303</v>
      </c>
      <c r="X1427" s="6">
        <f ca="1">-SUBTOTAL(9,INDEX(Main[مقدار تسویه شده (کیلوگرم)],1):Main[[#This Row],[مقدار تسویه شده (کیلوگرم)]])</f>
        <v>35303</v>
      </c>
      <c r="Y1427" s="6">
        <f ca="1">IF(Main[[#This Row],[مانده در خط تسویه شده (کیلوگرم)]]&lt;&gt;0,Main[[#This Row],[تعداد کل روزهای بدهکار (روز)]],0)</f>
        <v>1</v>
      </c>
      <c r="Z1427" s="6">
        <f ca="1">Main[[#This Row],[تعداد روزهای بدهکار تسویه شده (روز)]]*Main[[#This Row],[مانده در خط تسویه شده (کیلوگرم)]]</f>
        <v>35303</v>
      </c>
      <c r="AA1427" s="6">
        <f ca="1">SUBTOTAL(9,INDEX(Main[بدهی تسویه نشده (کیلوگرم)],1):Main[[#This Row],[بدهی تسویه نشده (کیلوگرم)]])</f>
        <v>0</v>
      </c>
      <c r="AB1427" s="6">
        <f ca="1">IF(Main[[#This Row],[مانده در خط تسویه نشده (کیلوگرم)]]&lt;&gt;0,Main[[#This Row],[تعداد کل روزهای بدهکار (روز)]],0)</f>
        <v>0</v>
      </c>
      <c r="AC1427" s="6">
        <f ca="1">Main[[#This Row],[تعداد روزهای بدهکار  تسویه نشده (روز)]]*Main[[#This Row],[مانده در خط تسویه نشده (کیلوگرم)]]</f>
        <v>0</v>
      </c>
      <c r="AD1427" s="6">
        <f ca="1">SUBTOTAL(9,INDEX(Main[بدهی سررسید شده (کیلوگرم)],1):Main[[#This Row],[بدهی سررسید شده (کیلوگرم)]])</f>
        <v>0</v>
      </c>
      <c r="AE1427" s="6">
        <f ca="1">IF(Main[[#This Row],[مانده در خط سررسید شده (کیلوگرم)]]&lt;&gt;0,Main[[#This Row],[تعداد کل روزهای بدهکار (روز)]],0)</f>
        <v>0</v>
      </c>
      <c r="AF1427" s="6">
        <f ca="1">Main[[#This Row],[تعداد روزهای بدهکار سررسید شده (روز)]]*Main[[#This Row],[مانده در خط سررسید شده (کیلوگرم)]]</f>
        <v>0</v>
      </c>
    </row>
    <row r="1428" spans="1:32" hidden="1" x14ac:dyDescent="0.35">
      <c r="A1428" s="5">
        <f>ROW()-ROW(INDEX(Main[ردیف],1))+1</f>
        <v>1426</v>
      </c>
      <c r="B1428" s="31">
        <f>SUBTOTAL(2,INDEX(Main[ردیف],1):Main[[#This Row],[ردیف]])</f>
        <v>125</v>
      </c>
      <c r="C1428" s="32" t="s">
        <v>653</v>
      </c>
      <c r="D1428" s="32" t="str">
        <f>_xlfn.CONCAT("14",Main[[#This Row],[تاريخ]])</f>
        <v>1400/06/06</v>
      </c>
      <c r="E1428" s="33">
        <v>44436</v>
      </c>
      <c r="F1428" s="32">
        <v>10055</v>
      </c>
      <c r="G1428" s="5" t="str">
        <f>INDEX(customer[عنوان],MATCH(Main[[#This Row],[کد ردیابی]],customer[کد],0))</f>
        <v xml:space="preserve">مریم فیض آبادی  </v>
      </c>
      <c r="H1428">
        <v>-4988</v>
      </c>
      <c r="I1428" s="6">
        <f ca="1">-Main[[#This Row],[بدهی تسویه شده (کیلوگرم)]]+Main[[#This Row],[بستانکار (کیلوگرم)]]</f>
        <v>-4988</v>
      </c>
      <c r="J1428" s="6">
        <f>IF(Main[[#This Row],[مقدار (کیلوگرم)]]&gt;0,Main[[#This Row],[مقدار (کیلوگرم)]],0)</f>
        <v>0</v>
      </c>
      <c r="K1428" s="6">
        <f>-IF(Main[[#This Row],[مقدار (کیلوگرم)]]&lt;0,Main[[#This Row],[مقدار (کیلوگرم)]],0)</f>
        <v>4988</v>
      </c>
      <c r="L14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8" s="7">
        <f>-IF(AND(Main[[#This Row],[مقدار (کیلوگرم)]]&lt;0,Main[[#This Row],[تاريخ میلادی]]&gt;44276),Main[[#This Row],[مقدار (کیلوگرم)]],0)</f>
        <v>4988</v>
      </c>
      <c r="N1428" s="6">
        <f ca="1">Main[[#This Row],[بدهکار (کیلوگرم)]]-Main[[#This Row],[بدهی تسویه نشده (کیلوگرم)]]</f>
        <v>4988</v>
      </c>
      <c r="O1428" s="6">
        <f ca="1">Main[[#This Row],[تفکیک]]</f>
        <v>0</v>
      </c>
      <c r="P1428" s="6">
        <f ca="1">IF(Main[[#This Row],[تاخیر از سررسید]]&gt;0,Main[[#This Row],[بدهی تسویه نشده (کیلوگرم)]],0)</f>
        <v>0</v>
      </c>
      <c r="Q1428" s="6">
        <f ca="1">IF(Main[[#This Row],[بدهی تسویه نشده (کیلوگرم)]]&gt;0,'گزارش فردی'!$B$7-Main[[#This Row],[تاريخ میلادی]],0)</f>
        <v>0</v>
      </c>
      <c r="R1428" s="6">
        <f ca="1">IF(Main[[#This Row],[بدهی تسویه نشده (کیلوگرم)]]&gt;0,'گزارش فردی'!$B$7-Main[[#This Row],[تاريخ میلادی]]-'گزارش فردی'!$B$8,0)</f>
        <v>0</v>
      </c>
      <c r="S1428" s="6">
        <f ca="1">Main[[#This Row],[روز از ارسال سفارش]]*Main[[#This Row],[بدهی تسویه نشده (کیلوگرم)]]</f>
        <v>0</v>
      </c>
      <c r="T1428" s="6">
        <f ca="1">Main[[#This Row],[بدهی سررسید شده (کیلوگرم)]]*Main[[#This Row],[روز از ارسال سفارش]]</f>
        <v>0</v>
      </c>
      <c r="U1428" s="6">
        <f>-SUBTOTAL(9,INDEX(Main[مقدار (کیلوگرم)],1):Main[[#This Row],[مقدار (کیلوگرم)]])</f>
        <v>35303</v>
      </c>
      <c r="V14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8" s="6">
        <f>Main[[#This Row],[تعداد کل روزهای بدهکار (روز)]]*Main[[#This Row],[مانده در خط کل (کیلوگرم)]]</f>
        <v>35303</v>
      </c>
      <c r="X1428" s="6">
        <f ca="1">-SUBTOTAL(9,INDEX(Main[مقدار تسویه شده (کیلوگرم)],1):Main[[#This Row],[مقدار تسویه شده (کیلوگرم)]])</f>
        <v>35303</v>
      </c>
      <c r="Y1428" s="6">
        <f ca="1">IF(Main[[#This Row],[مانده در خط تسویه شده (کیلوگرم)]]&lt;&gt;0,Main[[#This Row],[تعداد کل روزهای بدهکار (روز)]],0)</f>
        <v>1</v>
      </c>
      <c r="Z1428" s="6">
        <f ca="1">Main[[#This Row],[تعداد روزهای بدهکار تسویه شده (روز)]]*Main[[#This Row],[مانده در خط تسویه شده (کیلوگرم)]]</f>
        <v>35303</v>
      </c>
      <c r="AA1428" s="6">
        <f ca="1">SUBTOTAL(9,INDEX(Main[بدهی تسویه نشده (کیلوگرم)],1):Main[[#This Row],[بدهی تسویه نشده (کیلوگرم)]])</f>
        <v>0</v>
      </c>
      <c r="AB1428" s="6">
        <f ca="1">IF(Main[[#This Row],[مانده در خط تسویه نشده (کیلوگرم)]]&lt;&gt;0,Main[[#This Row],[تعداد کل روزهای بدهکار (روز)]],0)</f>
        <v>0</v>
      </c>
      <c r="AC1428" s="6">
        <f ca="1">Main[[#This Row],[تعداد روزهای بدهکار  تسویه نشده (روز)]]*Main[[#This Row],[مانده در خط تسویه نشده (کیلوگرم)]]</f>
        <v>0</v>
      </c>
      <c r="AD1428" s="6">
        <f ca="1">SUBTOTAL(9,INDEX(Main[بدهی سررسید شده (کیلوگرم)],1):Main[[#This Row],[بدهی سررسید شده (کیلوگرم)]])</f>
        <v>0</v>
      </c>
      <c r="AE1428" s="6">
        <f ca="1">IF(Main[[#This Row],[مانده در خط سررسید شده (کیلوگرم)]]&lt;&gt;0,Main[[#This Row],[تعداد کل روزهای بدهکار (روز)]],0)</f>
        <v>0</v>
      </c>
      <c r="AF1428" s="6">
        <f ca="1">Main[[#This Row],[تعداد روزهای بدهکار سررسید شده (روز)]]*Main[[#This Row],[مانده در خط سررسید شده (کیلوگرم)]]</f>
        <v>0</v>
      </c>
    </row>
    <row r="1429" spans="1:32" hidden="1" x14ac:dyDescent="0.35">
      <c r="A1429" s="5">
        <f>ROW()-ROW(INDEX(Main[ردیف],1))+1</f>
        <v>1427</v>
      </c>
      <c r="B1429" s="31">
        <f>SUBTOTAL(2,INDEX(Main[ردیف],1):Main[[#This Row],[ردیف]])</f>
        <v>125</v>
      </c>
      <c r="C1429" s="32" t="s">
        <v>653</v>
      </c>
      <c r="D1429" s="32" t="str">
        <f>_xlfn.CONCAT("14",Main[[#This Row],[تاريخ]])</f>
        <v>1400/06/06</v>
      </c>
      <c r="E1429" s="33">
        <v>44436</v>
      </c>
      <c r="F1429" s="32">
        <v>10026</v>
      </c>
      <c r="G1429" s="5" t="str">
        <f>INDEX(customer[عنوان],MATCH(Main[[#This Row],[کد ردیابی]],customer[کد],0))</f>
        <v xml:space="preserve">محسن فیاض بخش </v>
      </c>
      <c r="H1429">
        <v>-5770</v>
      </c>
      <c r="I1429" s="6">
        <f ca="1">-Main[[#This Row],[بدهی تسویه شده (کیلوگرم)]]+Main[[#This Row],[بستانکار (کیلوگرم)]]</f>
        <v>-5770</v>
      </c>
      <c r="J1429" s="6">
        <f>IF(Main[[#This Row],[مقدار (کیلوگرم)]]&gt;0,Main[[#This Row],[مقدار (کیلوگرم)]],0)</f>
        <v>0</v>
      </c>
      <c r="K1429" s="6">
        <f>-IF(Main[[#This Row],[مقدار (کیلوگرم)]]&lt;0,Main[[#This Row],[مقدار (کیلوگرم)]],0)</f>
        <v>5770</v>
      </c>
      <c r="L14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9" s="7">
        <f>-IF(AND(Main[[#This Row],[مقدار (کیلوگرم)]]&lt;0,Main[[#This Row],[تاريخ میلادی]]&gt;44276),Main[[#This Row],[مقدار (کیلوگرم)]],0)</f>
        <v>5770</v>
      </c>
      <c r="N1429" s="6">
        <f ca="1">Main[[#This Row],[بدهکار (کیلوگرم)]]-Main[[#This Row],[بدهی تسویه نشده (کیلوگرم)]]</f>
        <v>5770</v>
      </c>
      <c r="O1429" s="6">
        <f ca="1">Main[[#This Row],[تفکیک]]</f>
        <v>0</v>
      </c>
      <c r="P1429" s="6">
        <f ca="1">IF(Main[[#This Row],[تاخیر از سررسید]]&gt;0,Main[[#This Row],[بدهی تسویه نشده (کیلوگرم)]],0)</f>
        <v>0</v>
      </c>
      <c r="Q1429" s="6">
        <f ca="1">IF(Main[[#This Row],[بدهی تسویه نشده (کیلوگرم)]]&gt;0,'گزارش فردی'!$B$7-Main[[#This Row],[تاريخ میلادی]],0)</f>
        <v>0</v>
      </c>
      <c r="R1429" s="6">
        <f ca="1">IF(Main[[#This Row],[بدهی تسویه نشده (کیلوگرم)]]&gt;0,'گزارش فردی'!$B$7-Main[[#This Row],[تاريخ میلادی]]-'گزارش فردی'!$B$8,0)</f>
        <v>0</v>
      </c>
      <c r="S1429" s="6">
        <f ca="1">Main[[#This Row],[روز از ارسال سفارش]]*Main[[#This Row],[بدهی تسویه نشده (کیلوگرم)]]</f>
        <v>0</v>
      </c>
      <c r="T1429" s="6">
        <f ca="1">Main[[#This Row],[بدهی سررسید شده (کیلوگرم)]]*Main[[#This Row],[روز از ارسال سفارش]]</f>
        <v>0</v>
      </c>
      <c r="U1429" s="6">
        <f>-SUBTOTAL(9,INDEX(Main[مقدار (کیلوگرم)],1):Main[[#This Row],[مقدار (کیلوگرم)]])</f>
        <v>35303</v>
      </c>
      <c r="V14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9" s="6">
        <f>Main[[#This Row],[تعداد کل روزهای بدهکار (روز)]]*Main[[#This Row],[مانده در خط کل (کیلوگرم)]]</f>
        <v>35303</v>
      </c>
      <c r="X1429" s="6">
        <f ca="1">-SUBTOTAL(9,INDEX(Main[مقدار تسویه شده (کیلوگرم)],1):Main[[#This Row],[مقدار تسویه شده (کیلوگرم)]])</f>
        <v>35303</v>
      </c>
      <c r="Y1429" s="6">
        <f ca="1">IF(Main[[#This Row],[مانده در خط تسویه شده (کیلوگرم)]]&lt;&gt;0,Main[[#This Row],[تعداد کل روزهای بدهکار (روز)]],0)</f>
        <v>1</v>
      </c>
      <c r="Z1429" s="6">
        <f ca="1">Main[[#This Row],[تعداد روزهای بدهکار تسویه شده (روز)]]*Main[[#This Row],[مانده در خط تسویه شده (کیلوگرم)]]</f>
        <v>35303</v>
      </c>
      <c r="AA1429" s="6">
        <f ca="1">SUBTOTAL(9,INDEX(Main[بدهی تسویه نشده (کیلوگرم)],1):Main[[#This Row],[بدهی تسویه نشده (کیلوگرم)]])</f>
        <v>0</v>
      </c>
      <c r="AB1429" s="6">
        <f ca="1">IF(Main[[#This Row],[مانده در خط تسویه نشده (کیلوگرم)]]&lt;&gt;0,Main[[#This Row],[تعداد کل روزهای بدهکار (روز)]],0)</f>
        <v>0</v>
      </c>
      <c r="AC1429" s="6">
        <f ca="1">Main[[#This Row],[تعداد روزهای بدهکار  تسویه نشده (روز)]]*Main[[#This Row],[مانده در خط تسویه نشده (کیلوگرم)]]</f>
        <v>0</v>
      </c>
      <c r="AD1429" s="6">
        <f ca="1">SUBTOTAL(9,INDEX(Main[بدهی سررسید شده (کیلوگرم)],1):Main[[#This Row],[بدهی سررسید شده (کیلوگرم)]])</f>
        <v>0</v>
      </c>
      <c r="AE1429" s="6">
        <f ca="1">IF(Main[[#This Row],[مانده در خط سررسید شده (کیلوگرم)]]&lt;&gt;0,Main[[#This Row],[تعداد کل روزهای بدهکار (روز)]],0)</f>
        <v>0</v>
      </c>
      <c r="AF1429" s="6">
        <f ca="1">Main[[#This Row],[تعداد روزهای بدهکار سررسید شده (روز)]]*Main[[#This Row],[مانده در خط سررسید شده (کیلوگرم)]]</f>
        <v>0</v>
      </c>
    </row>
    <row r="1430" spans="1:32" hidden="1" x14ac:dyDescent="0.35">
      <c r="A1430" s="5">
        <f>ROW()-ROW(INDEX(Main[ردیف],1))+1</f>
        <v>1428</v>
      </c>
      <c r="B1430" s="31">
        <f>SUBTOTAL(2,INDEX(Main[ردیف],1):Main[[#This Row],[ردیف]])</f>
        <v>125</v>
      </c>
      <c r="C1430" s="32" t="s">
        <v>653</v>
      </c>
      <c r="D1430" s="32" t="str">
        <f>_xlfn.CONCAT("14",Main[[#This Row],[تاريخ]])</f>
        <v>1400/06/06</v>
      </c>
      <c r="E1430" s="33">
        <v>44436</v>
      </c>
      <c r="F1430" s="32">
        <v>10093</v>
      </c>
      <c r="G1430" s="5" t="str">
        <f>INDEX(customer[عنوان],MATCH(Main[[#This Row],[کد ردیابی]],customer[کد],0))</f>
        <v>مهدوی علیرضا</v>
      </c>
      <c r="H1430">
        <v>-734</v>
      </c>
      <c r="I1430" s="6">
        <f ca="1">-Main[[#This Row],[بدهی تسویه شده (کیلوگرم)]]+Main[[#This Row],[بستانکار (کیلوگرم)]]</f>
        <v>-734</v>
      </c>
      <c r="J1430" s="6">
        <f>IF(Main[[#This Row],[مقدار (کیلوگرم)]]&gt;0,Main[[#This Row],[مقدار (کیلوگرم)]],0)</f>
        <v>0</v>
      </c>
      <c r="K1430" s="6">
        <f>-IF(Main[[#This Row],[مقدار (کیلوگرم)]]&lt;0,Main[[#This Row],[مقدار (کیلوگرم)]],0)</f>
        <v>734</v>
      </c>
      <c r="L14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0" s="7">
        <f>-IF(AND(Main[[#This Row],[مقدار (کیلوگرم)]]&lt;0,Main[[#This Row],[تاريخ میلادی]]&gt;44276),Main[[#This Row],[مقدار (کیلوگرم)]],0)</f>
        <v>734</v>
      </c>
      <c r="N1430" s="6">
        <f ca="1">Main[[#This Row],[بدهکار (کیلوگرم)]]-Main[[#This Row],[بدهی تسویه نشده (کیلوگرم)]]</f>
        <v>734</v>
      </c>
      <c r="O1430" s="6">
        <f ca="1">Main[[#This Row],[تفکیک]]</f>
        <v>0</v>
      </c>
      <c r="P1430" s="6">
        <f ca="1">IF(Main[[#This Row],[تاخیر از سررسید]]&gt;0,Main[[#This Row],[بدهی تسویه نشده (کیلوگرم)]],0)</f>
        <v>0</v>
      </c>
      <c r="Q1430" s="6">
        <f ca="1">IF(Main[[#This Row],[بدهی تسویه نشده (کیلوگرم)]]&gt;0,'گزارش فردی'!$B$7-Main[[#This Row],[تاريخ میلادی]],0)</f>
        <v>0</v>
      </c>
      <c r="R1430" s="6">
        <f ca="1">IF(Main[[#This Row],[بدهی تسویه نشده (کیلوگرم)]]&gt;0,'گزارش فردی'!$B$7-Main[[#This Row],[تاريخ میلادی]]-'گزارش فردی'!$B$8,0)</f>
        <v>0</v>
      </c>
      <c r="S1430" s="6">
        <f ca="1">Main[[#This Row],[روز از ارسال سفارش]]*Main[[#This Row],[بدهی تسویه نشده (کیلوگرم)]]</f>
        <v>0</v>
      </c>
      <c r="T1430" s="6">
        <f ca="1">Main[[#This Row],[بدهی سررسید شده (کیلوگرم)]]*Main[[#This Row],[روز از ارسال سفارش]]</f>
        <v>0</v>
      </c>
      <c r="U1430" s="6">
        <f>-SUBTOTAL(9,INDEX(Main[مقدار (کیلوگرم)],1):Main[[#This Row],[مقدار (کیلوگرم)]])</f>
        <v>35303</v>
      </c>
      <c r="V14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30" s="6">
        <f>Main[[#This Row],[تعداد کل روزهای بدهکار (روز)]]*Main[[#This Row],[مانده در خط کل (کیلوگرم)]]</f>
        <v>35303</v>
      </c>
      <c r="X1430" s="6">
        <f ca="1">-SUBTOTAL(9,INDEX(Main[مقدار تسویه شده (کیلوگرم)],1):Main[[#This Row],[مقدار تسویه شده (کیلوگرم)]])</f>
        <v>35303</v>
      </c>
      <c r="Y1430" s="6">
        <f ca="1">IF(Main[[#This Row],[مانده در خط تسویه شده (کیلوگرم)]]&lt;&gt;0,Main[[#This Row],[تعداد کل روزهای بدهکار (روز)]],0)</f>
        <v>1</v>
      </c>
      <c r="Z1430" s="6">
        <f ca="1">Main[[#This Row],[تعداد روزهای بدهکار تسویه شده (روز)]]*Main[[#This Row],[مانده در خط تسویه شده (کیلوگرم)]]</f>
        <v>35303</v>
      </c>
      <c r="AA1430" s="6">
        <f ca="1">SUBTOTAL(9,INDEX(Main[بدهی تسویه نشده (کیلوگرم)],1):Main[[#This Row],[بدهی تسویه نشده (کیلوگرم)]])</f>
        <v>0</v>
      </c>
      <c r="AB1430" s="6">
        <f ca="1">IF(Main[[#This Row],[مانده در خط تسویه نشده (کیلوگرم)]]&lt;&gt;0,Main[[#This Row],[تعداد کل روزهای بدهکار (روز)]],0)</f>
        <v>0</v>
      </c>
      <c r="AC1430" s="6">
        <f ca="1">Main[[#This Row],[تعداد روزهای بدهکار  تسویه نشده (روز)]]*Main[[#This Row],[مانده در خط تسویه نشده (کیلوگرم)]]</f>
        <v>0</v>
      </c>
      <c r="AD1430" s="6">
        <f ca="1">SUBTOTAL(9,INDEX(Main[بدهی سررسید شده (کیلوگرم)],1):Main[[#This Row],[بدهی سررسید شده (کیلوگرم)]])</f>
        <v>0</v>
      </c>
      <c r="AE1430" s="6">
        <f ca="1">IF(Main[[#This Row],[مانده در خط سررسید شده (کیلوگرم)]]&lt;&gt;0,Main[[#This Row],[تعداد کل روزهای بدهکار (روز)]],0)</f>
        <v>0</v>
      </c>
      <c r="AF1430" s="6">
        <f ca="1">Main[[#This Row],[تعداد روزهای بدهکار سررسید شده (روز)]]*Main[[#This Row],[مانده در خط سررسید شده (کیلوگرم)]]</f>
        <v>0</v>
      </c>
    </row>
    <row r="1431" spans="1:32" hidden="1" x14ac:dyDescent="0.35">
      <c r="A1431" s="5">
        <f>ROW()-ROW(INDEX(Main[ردیف],1))+1</f>
        <v>1429</v>
      </c>
      <c r="B1431" s="31">
        <f>SUBTOTAL(2,INDEX(Main[ردیف],1):Main[[#This Row],[ردیف]])</f>
        <v>125</v>
      </c>
      <c r="C1431" s="32" t="s">
        <v>653</v>
      </c>
      <c r="D1431" s="32" t="str">
        <f>_xlfn.CONCAT("14",Main[[#This Row],[تاريخ]])</f>
        <v>1400/06/06</v>
      </c>
      <c r="E1431" s="33">
        <v>44436</v>
      </c>
      <c r="F1431" s="32">
        <v>10070</v>
      </c>
      <c r="G1431" s="5" t="str">
        <f>INDEX(customer[عنوان],MATCH(Main[[#This Row],[کد ردیابی]],customer[کد],0))</f>
        <v xml:space="preserve">حمیدرضا شفیعی </v>
      </c>
      <c r="H1431">
        <v>-896</v>
      </c>
      <c r="I1431" s="6">
        <f ca="1">-Main[[#This Row],[بدهی تسویه شده (کیلوگرم)]]+Main[[#This Row],[بستانکار (کیلوگرم)]]</f>
        <v>-896</v>
      </c>
      <c r="J1431" s="6">
        <f>IF(Main[[#This Row],[مقدار (کیلوگرم)]]&gt;0,Main[[#This Row],[مقدار (کیلوگرم)]],0)</f>
        <v>0</v>
      </c>
      <c r="K1431" s="6">
        <f>-IF(Main[[#This Row],[مقدار (کیلوگرم)]]&lt;0,Main[[#This Row],[مقدار (کیلوگرم)]],0)</f>
        <v>896</v>
      </c>
      <c r="L14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1" s="7">
        <f>-IF(AND(Main[[#This Row],[مقدار (کیلوگرم)]]&lt;0,Main[[#This Row],[تاريخ میلادی]]&gt;44276),Main[[#This Row],[مقدار (کیلوگرم)]],0)</f>
        <v>896</v>
      </c>
      <c r="N1431" s="6">
        <f ca="1">Main[[#This Row],[بدهکار (کیلوگرم)]]-Main[[#This Row],[بدهی تسویه نشده (کیلوگرم)]]</f>
        <v>896</v>
      </c>
      <c r="O1431" s="6">
        <f ca="1">Main[[#This Row],[تفکیک]]</f>
        <v>0</v>
      </c>
      <c r="P1431" s="6">
        <f ca="1">IF(Main[[#This Row],[تاخیر از سررسید]]&gt;0,Main[[#This Row],[بدهی تسویه نشده (کیلوگرم)]],0)</f>
        <v>0</v>
      </c>
      <c r="Q1431" s="6">
        <f ca="1">IF(Main[[#This Row],[بدهی تسویه نشده (کیلوگرم)]]&gt;0,'گزارش فردی'!$B$7-Main[[#This Row],[تاريخ میلادی]],0)</f>
        <v>0</v>
      </c>
      <c r="R1431" s="6">
        <f ca="1">IF(Main[[#This Row],[بدهی تسویه نشده (کیلوگرم)]]&gt;0,'گزارش فردی'!$B$7-Main[[#This Row],[تاريخ میلادی]]-'گزارش فردی'!$B$8,0)</f>
        <v>0</v>
      </c>
      <c r="S1431" s="6">
        <f ca="1">Main[[#This Row],[روز از ارسال سفارش]]*Main[[#This Row],[بدهی تسویه نشده (کیلوگرم)]]</f>
        <v>0</v>
      </c>
      <c r="T1431" s="6">
        <f ca="1">Main[[#This Row],[بدهی سررسید شده (کیلوگرم)]]*Main[[#This Row],[روز از ارسال سفارش]]</f>
        <v>0</v>
      </c>
      <c r="U1431" s="6">
        <f>-SUBTOTAL(9,INDEX(Main[مقدار (کیلوگرم)],1):Main[[#This Row],[مقدار (کیلوگرم)]])</f>
        <v>35303</v>
      </c>
      <c r="V14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31" s="6">
        <f>Main[[#This Row],[تعداد کل روزهای بدهکار (روز)]]*Main[[#This Row],[مانده در خط کل (کیلوگرم)]]</f>
        <v>35303</v>
      </c>
      <c r="X1431" s="6">
        <f ca="1">-SUBTOTAL(9,INDEX(Main[مقدار تسویه شده (کیلوگرم)],1):Main[[#This Row],[مقدار تسویه شده (کیلوگرم)]])</f>
        <v>35303</v>
      </c>
      <c r="Y1431" s="6">
        <f ca="1">IF(Main[[#This Row],[مانده در خط تسویه شده (کیلوگرم)]]&lt;&gt;0,Main[[#This Row],[تعداد کل روزهای بدهکار (روز)]],0)</f>
        <v>1</v>
      </c>
      <c r="Z1431" s="6">
        <f ca="1">Main[[#This Row],[تعداد روزهای بدهکار تسویه شده (روز)]]*Main[[#This Row],[مانده در خط تسویه شده (کیلوگرم)]]</f>
        <v>35303</v>
      </c>
      <c r="AA1431" s="6">
        <f ca="1">SUBTOTAL(9,INDEX(Main[بدهی تسویه نشده (کیلوگرم)],1):Main[[#This Row],[بدهی تسویه نشده (کیلوگرم)]])</f>
        <v>0</v>
      </c>
      <c r="AB1431" s="6">
        <f ca="1">IF(Main[[#This Row],[مانده در خط تسویه نشده (کیلوگرم)]]&lt;&gt;0,Main[[#This Row],[تعداد کل روزهای بدهکار (روز)]],0)</f>
        <v>0</v>
      </c>
      <c r="AC1431" s="6">
        <f ca="1">Main[[#This Row],[تعداد روزهای بدهکار  تسویه نشده (روز)]]*Main[[#This Row],[مانده در خط تسویه نشده (کیلوگرم)]]</f>
        <v>0</v>
      </c>
      <c r="AD1431" s="6">
        <f ca="1">SUBTOTAL(9,INDEX(Main[بدهی سررسید شده (کیلوگرم)],1):Main[[#This Row],[بدهی سررسید شده (کیلوگرم)]])</f>
        <v>0</v>
      </c>
      <c r="AE1431" s="6">
        <f ca="1">IF(Main[[#This Row],[مانده در خط سررسید شده (کیلوگرم)]]&lt;&gt;0,Main[[#This Row],[تعداد کل روزهای بدهکار (روز)]],0)</f>
        <v>0</v>
      </c>
      <c r="AF1431" s="6">
        <f ca="1">Main[[#This Row],[تعداد روزهای بدهکار سررسید شده (روز)]]*Main[[#This Row],[مانده در خط سررسید شده (کیلوگرم)]]</f>
        <v>0</v>
      </c>
    </row>
    <row r="1432" spans="1:32" hidden="1" x14ac:dyDescent="0.35">
      <c r="A1432" s="5">
        <f>ROW()-ROW(INDEX(Main[ردیف],1))+1</f>
        <v>1430</v>
      </c>
      <c r="B1432" s="31">
        <f>SUBTOTAL(2,INDEX(Main[ردیف],1):Main[[#This Row],[ردیف]])</f>
        <v>125</v>
      </c>
      <c r="C1432" s="32" t="s">
        <v>655</v>
      </c>
      <c r="D1432" s="32" t="str">
        <f>_xlfn.CONCAT("14",Main[[#This Row],[تاريخ]])</f>
        <v>1400/06/07</v>
      </c>
      <c r="E1432" s="33">
        <v>44437</v>
      </c>
      <c r="F1432" s="32">
        <v>10097</v>
      </c>
      <c r="G1432" s="5" t="str">
        <f>INDEX(customer[عنوان],MATCH(Main[[#This Row],[کد ردیابی]],customer[کد],0))</f>
        <v>قورچیان مینا</v>
      </c>
      <c r="H1432">
        <v>998</v>
      </c>
      <c r="I1432" s="6">
        <f ca="1">-Main[[#This Row],[بدهی تسویه شده (کیلوگرم)]]+Main[[#This Row],[بستانکار (کیلوگرم)]]</f>
        <v>998</v>
      </c>
      <c r="J1432" s="6">
        <f>IF(Main[[#This Row],[مقدار (کیلوگرم)]]&gt;0,Main[[#This Row],[مقدار (کیلوگرم)]],0)</f>
        <v>998</v>
      </c>
      <c r="K1432" s="6">
        <f>-IF(Main[[#This Row],[مقدار (کیلوگرم)]]&lt;0,Main[[#This Row],[مقدار (کیلوگرم)]],0)</f>
        <v>0</v>
      </c>
      <c r="L14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2" s="7">
        <f>-IF(AND(Main[[#This Row],[مقدار (کیلوگرم)]]&lt;0,Main[[#This Row],[تاريخ میلادی]]&gt;44276),Main[[#This Row],[مقدار (کیلوگرم)]],0)</f>
        <v>0</v>
      </c>
      <c r="N1432" s="6">
        <f ca="1">Main[[#This Row],[بدهکار (کیلوگرم)]]-Main[[#This Row],[بدهی تسویه نشده (کیلوگرم)]]</f>
        <v>0</v>
      </c>
      <c r="O1432" s="6">
        <f ca="1">Main[[#This Row],[تفکیک]]</f>
        <v>0</v>
      </c>
      <c r="P1432" s="6">
        <f ca="1">IF(Main[[#This Row],[تاخیر از سررسید]]&gt;0,Main[[#This Row],[بدهی تسویه نشده (کیلوگرم)]],0)</f>
        <v>0</v>
      </c>
      <c r="Q1432" s="6">
        <f ca="1">IF(Main[[#This Row],[بدهی تسویه نشده (کیلوگرم)]]&gt;0,'گزارش فردی'!$B$7-Main[[#This Row],[تاريخ میلادی]],0)</f>
        <v>0</v>
      </c>
      <c r="R1432" s="6">
        <f ca="1">IF(Main[[#This Row],[بدهی تسویه نشده (کیلوگرم)]]&gt;0,'گزارش فردی'!$B$7-Main[[#This Row],[تاريخ میلادی]]-'گزارش فردی'!$B$8,0)</f>
        <v>0</v>
      </c>
      <c r="S1432" s="6">
        <f ca="1">Main[[#This Row],[روز از ارسال سفارش]]*Main[[#This Row],[بدهی تسویه نشده (کیلوگرم)]]</f>
        <v>0</v>
      </c>
      <c r="T1432" s="6">
        <f ca="1">Main[[#This Row],[بدهی سررسید شده (کیلوگرم)]]*Main[[#This Row],[روز از ارسال سفارش]]</f>
        <v>0</v>
      </c>
      <c r="U1432" s="6">
        <f>-SUBTOTAL(9,INDEX(Main[مقدار (کیلوگرم)],1):Main[[#This Row],[مقدار (کیلوگرم)]])</f>
        <v>35303</v>
      </c>
      <c r="V14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2" s="6">
        <f>Main[[#This Row],[تعداد کل روزهای بدهکار (روز)]]*Main[[#This Row],[مانده در خط کل (کیلوگرم)]]</f>
        <v>0</v>
      </c>
      <c r="X1432" s="6">
        <f ca="1">-SUBTOTAL(9,INDEX(Main[مقدار تسویه شده (کیلوگرم)],1):Main[[#This Row],[مقدار تسویه شده (کیلوگرم)]])</f>
        <v>35303</v>
      </c>
      <c r="Y1432" s="6">
        <f ca="1">IF(Main[[#This Row],[مانده در خط تسویه شده (کیلوگرم)]]&lt;&gt;0,Main[[#This Row],[تعداد کل روزهای بدهکار (روز)]],0)</f>
        <v>0</v>
      </c>
      <c r="Z1432" s="6">
        <f ca="1">Main[[#This Row],[تعداد روزهای بدهکار تسویه شده (روز)]]*Main[[#This Row],[مانده در خط تسویه شده (کیلوگرم)]]</f>
        <v>0</v>
      </c>
      <c r="AA1432" s="6">
        <f ca="1">SUBTOTAL(9,INDEX(Main[بدهی تسویه نشده (کیلوگرم)],1):Main[[#This Row],[بدهی تسویه نشده (کیلوگرم)]])</f>
        <v>0</v>
      </c>
      <c r="AB1432" s="6">
        <f ca="1">IF(Main[[#This Row],[مانده در خط تسویه نشده (کیلوگرم)]]&lt;&gt;0,Main[[#This Row],[تعداد کل روزهای بدهکار (روز)]],0)</f>
        <v>0</v>
      </c>
      <c r="AC1432" s="6">
        <f ca="1">Main[[#This Row],[تعداد روزهای بدهکار  تسویه نشده (روز)]]*Main[[#This Row],[مانده در خط تسویه نشده (کیلوگرم)]]</f>
        <v>0</v>
      </c>
      <c r="AD1432" s="6">
        <f ca="1">SUBTOTAL(9,INDEX(Main[بدهی سررسید شده (کیلوگرم)],1):Main[[#This Row],[بدهی سررسید شده (کیلوگرم)]])</f>
        <v>0</v>
      </c>
      <c r="AE1432" s="6">
        <f ca="1">IF(Main[[#This Row],[مانده در خط سررسید شده (کیلوگرم)]]&lt;&gt;0,Main[[#This Row],[تعداد کل روزهای بدهکار (روز)]],0)</f>
        <v>0</v>
      </c>
      <c r="AF1432" s="6">
        <f ca="1">Main[[#This Row],[تعداد روزهای بدهکار سررسید شده (روز)]]*Main[[#This Row],[مانده در خط سررسید شده (کیلوگرم)]]</f>
        <v>0</v>
      </c>
    </row>
    <row r="1433" spans="1:32" hidden="1" x14ac:dyDescent="0.35">
      <c r="A1433" s="5">
        <f>ROW()-ROW(INDEX(Main[ردیف],1))+1</f>
        <v>1431</v>
      </c>
      <c r="B1433" s="31">
        <f>SUBTOTAL(2,INDEX(Main[ردیف],1):Main[[#This Row],[ردیف]])</f>
        <v>125</v>
      </c>
      <c r="C1433" s="32" t="s">
        <v>655</v>
      </c>
      <c r="D1433" s="32" t="str">
        <f>_xlfn.CONCAT("14",Main[[#This Row],[تاريخ]])</f>
        <v>1400/06/07</v>
      </c>
      <c r="E1433" s="33">
        <v>44437</v>
      </c>
      <c r="F1433" s="32">
        <v>30009</v>
      </c>
      <c r="G1433" s="5" t="str">
        <f>INDEX(customer[عنوان],MATCH(Main[[#This Row],[کد ردیابی]],customer[کد],0))</f>
        <v>شرکت ایمن تک پیشرو</v>
      </c>
      <c r="H1433">
        <v>-1271</v>
      </c>
      <c r="I1433" s="6">
        <f ca="1">-Main[[#This Row],[بدهی تسویه شده (کیلوگرم)]]+Main[[#This Row],[بستانکار (کیلوگرم)]]</f>
        <v>-1271</v>
      </c>
      <c r="J1433" s="6">
        <f>IF(Main[[#This Row],[مقدار (کیلوگرم)]]&gt;0,Main[[#This Row],[مقدار (کیلوگرم)]],0)</f>
        <v>0</v>
      </c>
      <c r="K1433" s="6">
        <f>-IF(Main[[#This Row],[مقدار (کیلوگرم)]]&lt;0,Main[[#This Row],[مقدار (کیلوگرم)]],0)</f>
        <v>1271</v>
      </c>
      <c r="L14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3" s="7">
        <f>-IF(AND(Main[[#This Row],[مقدار (کیلوگرم)]]&lt;0,Main[[#This Row],[تاريخ میلادی]]&gt;44276),Main[[#This Row],[مقدار (کیلوگرم)]],0)</f>
        <v>1271</v>
      </c>
      <c r="N1433" s="6">
        <f ca="1">Main[[#This Row],[بدهکار (کیلوگرم)]]-Main[[#This Row],[بدهی تسویه نشده (کیلوگرم)]]</f>
        <v>1271</v>
      </c>
      <c r="O1433" s="6">
        <f ca="1">Main[[#This Row],[تفکیک]]</f>
        <v>0</v>
      </c>
      <c r="P1433" s="6">
        <f ca="1">IF(Main[[#This Row],[تاخیر از سررسید]]&gt;0,Main[[#This Row],[بدهی تسویه نشده (کیلوگرم)]],0)</f>
        <v>0</v>
      </c>
      <c r="Q1433" s="6">
        <f ca="1">IF(Main[[#This Row],[بدهی تسویه نشده (کیلوگرم)]]&gt;0,'گزارش فردی'!$B$7-Main[[#This Row],[تاريخ میلادی]],0)</f>
        <v>0</v>
      </c>
      <c r="R1433" s="6">
        <f ca="1">IF(Main[[#This Row],[بدهی تسویه نشده (کیلوگرم)]]&gt;0,'گزارش فردی'!$B$7-Main[[#This Row],[تاريخ میلادی]]-'گزارش فردی'!$B$8,0)</f>
        <v>0</v>
      </c>
      <c r="S1433" s="6">
        <f ca="1">Main[[#This Row],[روز از ارسال سفارش]]*Main[[#This Row],[بدهی تسویه نشده (کیلوگرم)]]</f>
        <v>0</v>
      </c>
      <c r="T1433" s="6">
        <f ca="1">Main[[#This Row],[بدهی سررسید شده (کیلوگرم)]]*Main[[#This Row],[روز از ارسال سفارش]]</f>
        <v>0</v>
      </c>
      <c r="U1433" s="6">
        <f>-SUBTOTAL(9,INDEX(Main[مقدار (کیلوگرم)],1):Main[[#This Row],[مقدار (کیلوگرم)]])</f>
        <v>35303</v>
      </c>
      <c r="V14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3" s="6">
        <f>Main[[#This Row],[تعداد کل روزهای بدهکار (روز)]]*Main[[#This Row],[مانده در خط کل (کیلوگرم)]]</f>
        <v>0</v>
      </c>
      <c r="X1433" s="6">
        <f ca="1">-SUBTOTAL(9,INDEX(Main[مقدار تسویه شده (کیلوگرم)],1):Main[[#This Row],[مقدار تسویه شده (کیلوگرم)]])</f>
        <v>35303</v>
      </c>
      <c r="Y1433" s="6">
        <f ca="1">IF(Main[[#This Row],[مانده در خط تسویه شده (کیلوگرم)]]&lt;&gt;0,Main[[#This Row],[تعداد کل روزهای بدهکار (روز)]],0)</f>
        <v>0</v>
      </c>
      <c r="Z1433" s="6">
        <f ca="1">Main[[#This Row],[تعداد روزهای بدهکار تسویه شده (روز)]]*Main[[#This Row],[مانده در خط تسویه شده (کیلوگرم)]]</f>
        <v>0</v>
      </c>
      <c r="AA1433" s="6">
        <f ca="1">SUBTOTAL(9,INDEX(Main[بدهی تسویه نشده (کیلوگرم)],1):Main[[#This Row],[بدهی تسویه نشده (کیلوگرم)]])</f>
        <v>0</v>
      </c>
      <c r="AB1433" s="6">
        <f ca="1">IF(Main[[#This Row],[مانده در خط تسویه نشده (کیلوگرم)]]&lt;&gt;0,Main[[#This Row],[تعداد کل روزهای بدهکار (روز)]],0)</f>
        <v>0</v>
      </c>
      <c r="AC1433" s="6">
        <f ca="1">Main[[#This Row],[تعداد روزهای بدهکار  تسویه نشده (روز)]]*Main[[#This Row],[مانده در خط تسویه نشده (کیلوگرم)]]</f>
        <v>0</v>
      </c>
      <c r="AD1433" s="6">
        <f ca="1">SUBTOTAL(9,INDEX(Main[بدهی سررسید شده (کیلوگرم)],1):Main[[#This Row],[بدهی سررسید شده (کیلوگرم)]])</f>
        <v>0</v>
      </c>
      <c r="AE1433" s="6">
        <f ca="1">IF(Main[[#This Row],[مانده در خط سررسید شده (کیلوگرم)]]&lt;&gt;0,Main[[#This Row],[تعداد کل روزهای بدهکار (روز)]],0)</f>
        <v>0</v>
      </c>
      <c r="AF1433" s="6">
        <f ca="1">Main[[#This Row],[تعداد روزهای بدهکار سررسید شده (روز)]]*Main[[#This Row],[مانده در خط سررسید شده (کیلوگرم)]]</f>
        <v>0</v>
      </c>
    </row>
    <row r="1434" spans="1:32" hidden="1" x14ac:dyDescent="0.35">
      <c r="A1434" s="5">
        <f>ROW()-ROW(INDEX(Main[ردیف],1))+1</f>
        <v>1432</v>
      </c>
      <c r="B1434" s="31">
        <f>SUBTOTAL(2,INDEX(Main[ردیف],1):Main[[#This Row],[ردیف]])</f>
        <v>125</v>
      </c>
      <c r="C1434" s="32" t="s">
        <v>655</v>
      </c>
      <c r="D1434" s="32" t="str">
        <f>_xlfn.CONCAT("14",Main[[#This Row],[تاريخ]])</f>
        <v>1400/06/07</v>
      </c>
      <c r="E1434" s="33">
        <v>44437</v>
      </c>
      <c r="F1434" s="32">
        <v>10084</v>
      </c>
      <c r="G1434" s="5" t="str">
        <f>INDEX(customer[عنوان],MATCH(Main[[#This Row],[کد ردیابی]],customer[کد],0))</f>
        <v xml:space="preserve">سیدحمید کاظمی </v>
      </c>
      <c r="H1434">
        <v>502</v>
      </c>
      <c r="I1434" s="6">
        <f ca="1">-Main[[#This Row],[بدهی تسویه شده (کیلوگرم)]]+Main[[#This Row],[بستانکار (کیلوگرم)]]</f>
        <v>502</v>
      </c>
      <c r="J1434" s="6">
        <f>IF(Main[[#This Row],[مقدار (کیلوگرم)]]&gt;0,Main[[#This Row],[مقدار (کیلوگرم)]],0)</f>
        <v>502</v>
      </c>
      <c r="K1434" s="6">
        <f>-IF(Main[[#This Row],[مقدار (کیلوگرم)]]&lt;0,Main[[#This Row],[مقدار (کیلوگرم)]],0)</f>
        <v>0</v>
      </c>
      <c r="L14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4" s="7">
        <f>-IF(AND(Main[[#This Row],[مقدار (کیلوگرم)]]&lt;0,Main[[#This Row],[تاريخ میلادی]]&gt;44276),Main[[#This Row],[مقدار (کیلوگرم)]],0)</f>
        <v>0</v>
      </c>
      <c r="N1434" s="6">
        <f ca="1">Main[[#This Row],[بدهکار (کیلوگرم)]]-Main[[#This Row],[بدهی تسویه نشده (کیلوگرم)]]</f>
        <v>0</v>
      </c>
      <c r="O1434" s="6">
        <f ca="1">Main[[#This Row],[تفکیک]]</f>
        <v>0</v>
      </c>
      <c r="P1434" s="6">
        <f ca="1">IF(Main[[#This Row],[تاخیر از سررسید]]&gt;0,Main[[#This Row],[بدهی تسویه نشده (کیلوگرم)]],0)</f>
        <v>0</v>
      </c>
      <c r="Q1434" s="6">
        <f ca="1">IF(Main[[#This Row],[بدهی تسویه نشده (کیلوگرم)]]&gt;0,'گزارش فردی'!$B$7-Main[[#This Row],[تاريخ میلادی]],0)</f>
        <v>0</v>
      </c>
      <c r="R1434" s="6">
        <f ca="1">IF(Main[[#This Row],[بدهی تسویه نشده (کیلوگرم)]]&gt;0,'گزارش فردی'!$B$7-Main[[#This Row],[تاريخ میلادی]]-'گزارش فردی'!$B$8,0)</f>
        <v>0</v>
      </c>
      <c r="S1434" s="6">
        <f ca="1">Main[[#This Row],[روز از ارسال سفارش]]*Main[[#This Row],[بدهی تسویه نشده (کیلوگرم)]]</f>
        <v>0</v>
      </c>
      <c r="T1434" s="6">
        <f ca="1">Main[[#This Row],[بدهی سررسید شده (کیلوگرم)]]*Main[[#This Row],[روز از ارسال سفارش]]</f>
        <v>0</v>
      </c>
      <c r="U1434" s="6">
        <f>-SUBTOTAL(9,INDEX(Main[مقدار (کیلوگرم)],1):Main[[#This Row],[مقدار (کیلوگرم)]])</f>
        <v>35303</v>
      </c>
      <c r="V14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4" s="6">
        <f>Main[[#This Row],[تعداد کل روزهای بدهکار (روز)]]*Main[[#This Row],[مانده در خط کل (کیلوگرم)]]</f>
        <v>0</v>
      </c>
      <c r="X1434" s="6">
        <f ca="1">-SUBTOTAL(9,INDEX(Main[مقدار تسویه شده (کیلوگرم)],1):Main[[#This Row],[مقدار تسویه شده (کیلوگرم)]])</f>
        <v>35303</v>
      </c>
      <c r="Y1434" s="6">
        <f ca="1">IF(Main[[#This Row],[مانده در خط تسویه شده (کیلوگرم)]]&lt;&gt;0,Main[[#This Row],[تعداد کل روزهای بدهکار (روز)]],0)</f>
        <v>0</v>
      </c>
      <c r="Z1434" s="6">
        <f ca="1">Main[[#This Row],[تعداد روزهای بدهکار تسویه شده (روز)]]*Main[[#This Row],[مانده در خط تسویه شده (کیلوگرم)]]</f>
        <v>0</v>
      </c>
      <c r="AA1434" s="6">
        <f ca="1">SUBTOTAL(9,INDEX(Main[بدهی تسویه نشده (کیلوگرم)],1):Main[[#This Row],[بدهی تسویه نشده (کیلوگرم)]])</f>
        <v>0</v>
      </c>
      <c r="AB1434" s="6">
        <f ca="1">IF(Main[[#This Row],[مانده در خط تسویه نشده (کیلوگرم)]]&lt;&gt;0,Main[[#This Row],[تعداد کل روزهای بدهکار (روز)]],0)</f>
        <v>0</v>
      </c>
      <c r="AC1434" s="6">
        <f ca="1">Main[[#This Row],[تعداد روزهای بدهکار  تسویه نشده (روز)]]*Main[[#This Row],[مانده در خط تسویه نشده (کیلوگرم)]]</f>
        <v>0</v>
      </c>
      <c r="AD1434" s="6">
        <f ca="1">SUBTOTAL(9,INDEX(Main[بدهی سررسید شده (کیلوگرم)],1):Main[[#This Row],[بدهی سررسید شده (کیلوگرم)]])</f>
        <v>0</v>
      </c>
      <c r="AE1434" s="6">
        <f ca="1">IF(Main[[#This Row],[مانده در خط سررسید شده (کیلوگرم)]]&lt;&gt;0,Main[[#This Row],[تعداد کل روزهای بدهکار (روز)]],0)</f>
        <v>0</v>
      </c>
      <c r="AF1434" s="6">
        <f ca="1">Main[[#This Row],[تعداد روزهای بدهکار سررسید شده (روز)]]*Main[[#This Row],[مانده در خط سررسید شده (کیلوگرم)]]</f>
        <v>0</v>
      </c>
    </row>
    <row r="1435" spans="1:32" hidden="1" x14ac:dyDescent="0.35">
      <c r="A1435" s="5">
        <f>ROW()-ROW(INDEX(Main[ردیف],1))+1</f>
        <v>1433</v>
      </c>
      <c r="B1435" s="31">
        <f>SUBTOTAL(2,INDEX(Main[ردیف],1):Main[[#This Row],[ردیف]])</f>
        <v>125</v>
      </c>
      <c r="C1435" s="32" t="s">
        <v>655</v>
      </c>
      <c r="D1435" s="32" t="str">
        <f>_xlfn.CONCAT("14",Main[[#This Row],[تاريخ]])</f>
        <v>1400/06/07</v>
      </c>
      <c r="E1435" s="33">
        <v>44437</v>
      </c>
      <c r="F1435" s="32">
        <v>30081</v>
      </c>
      <c r="G1435" s="5" t="str">
        <f>INDEX(customer[عنوان],MATCH(Main[[#This Row],[کد ردیابی]],customer[کد],0))</f>
        <v xml:space="preserve">شیرآلات بهداشتی راسان </v>
      </c>
      <c r="H1435">
        <v>-3678</v>
      </c>
      <c r="I1435" s="6">
        <f ca="1">-Main[[#This Row],[بدهی تسویه شده (کیلوگرم)]]+Main[[#This Row],[بستانکار (کیلوگرم)]]</f>
        <v>-3678</v>
      </c>
      <c r="J1435" s="6">
        <f>IF(Main[[#This Row],[مقدار (کیلوگرم)]]&gt;0,Main[[#This Row],[مقدار (کیلوگرم)]],0)</f>
        <v>0</v>
      </c>
      <c r="K1435" s="6">
        <f>-IF(Main[[#This Row],[مقدار (کیلوگرم)]]&lt;0,Main[[#This Row],[مقدار (کیلوگرم)]],0)</f>
        <v>3678</v>
      </c>
      <c r="L14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5" s="7">
        <f>-IF(AND(Main[[#This Row],[مقدار (کیلوگرم)]]&lt;0,Main[[#This Row],[تاريخ میلادی]]&gt;44276),Main[[#This Row],[مقدار (کیلوگرم)]],0)</f>
        <v>3678</v>
      </c>
      <c r="N1435" s="6">
        <f ca="1">Main[[#This Row],[بدهکار (کیلوگرم)]]-Main[[#This Row],[بدهی تسویه نشده (کیلوگرم)]]</f>
        <v>3678</v>
      </c>
      <c r="O1435" s="6">
        <f ca="1">Main[[#This Row],[تفکیک]]</f>
        <v>0</v>
      </c>
      <c r="P1435" s="6">
        <f ca="1">IF(Main[[#This Row],[تاخیر از سررسید]]&gt;0,Main[[#This Row],[بدهی تسویه نشده (کیلوگرم)]],0)</f>
        <v>0</v>
      </c>
      <c r="Q1435" s="6">
        <f ca="1">IF(Main[[#This Row],[بدهی تسویه نشده (کیلوگرم)]]&gt;0,'گزارش فردی'!$B$7-Main[[#This Row],[تاريخ میلادی]],0)</f>
        <v>0</v>
      </c>
      <c r="R1435" s="6">
        <f ca="1">IF(Main[[#This Row],[بدهی تسویه نشده (کیلوگرم)]]&gt;0,'گزارش فردی'!$B$7-Main[[#This Row],[تاريخ میلادی]]-'گزارش فردی'!$B$8,0)</f>
        <v>0</v>
      </c>
      <c r="S1435" s="6">
        <f ca="1">Main[[#This Row],[روز از ارسال سفارش]]*Main[[#This Row],[بدهی تسویه نشده (کیلوگرم)]]</f>
        <v>0</v>
      </c>
      <c r="T1435" s="6">
        <f ca="1">Main[[#This Row],[بدهی سررسید شده (کیلوگرم)]]*Main[[#This Row],[روز از ارسال سفارش]]</f>
        <v>0</v>
      </c>
      <c r="U1435" s="6">
        <f>-SUBTOTAL(9,INDEX(Main[مقدار (کیلوگرم)],1):Main[[#This Row],[مقدار (کیلوگرم)]])</f>
        <v>35303</v>
      </c>
      <c r="V14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5" s="6">
        <f>Main[[#This Row],[تعداد کل روزهای بدهکار (روز)]]*Main[[#This Row],[مانده در خط کل (کیلوگرم)]]</f>
        <v>0</v>
      </c>
      <c r="X1435" s="6">
        <f ca="1">-SUBTOTAL(9,INDEX(Main[مقدار تسویه شده (کیلوگرم)],1):Main[[#This Row],[مقدار تسویه شده (کیلوگرم)]])</f>
        <v>35303</v>
      </c>
      <c r="Y1435" s="6">
        <f ca="1">IF(Main[[#This Row],[مانده در خط تسویه شده (کیلوگرم)]]&lt;&gt;0,Main[[#This Row],[تعداد کل روزهای بدهکار (روز)]],0)</f>
        <v>0</v>
      </c>
      <c r="Z1435" s="6">
        <f ca="1">Main[[#This Row],[تعداد روزهای بدهکار تسویه شده (روز)]]*Main[[#This Row],[مانده در خط تسویه شده (کیلوگرم)]]</f>
        <v>0</v>
      </c>
      <c r="AA1435" s="6">
        <f ca="1">SUBTOTAL(9,INDEX(Main[بدهی تسویه نشده (کیلوگرم)],1):Main[[#This Row],[بدهی تسویه نشده (کیلوگرم)]])</f>
        <v>0</v>
      </c>
      <c r="AB1435" s="6">
        <f ca="1">IF(Main[[#This Row],[مانده در خط تسویه نشده (کیلوگرم)]]&lt;&gt;0,Main[[#This Row],[تعداد کل روزهای بدهکار (روز)]],0)</f>
        <v>0</v>
      </c>
      <c r="AC1435" s="6">
        <f ca="1">Main[[#This Row],[تعداد روزهای بدهکار  تسویه نشده (روز)]]*Main[[#This Row],[مانده در خط تسویه نشده (کیلوگرم)]]</f>
        <v>0</v>
      </c>
      <c r="AD1435" s="6">
        <f ca="1">SUBTOTAL(9,INDEX(Main[بدهی سررسید شده (کیلوگرم)],1):Main[[#This Row],[بدهی سررسید شده (کیلوگرم)]])</f>
        <v>0</v>
      </c>
      <c r="AE1435" s="6">
        <f ca="1">IF(Main[[#This Row],[مانده در خط سررسید شده (کیلوگرم)]]&lt;&gt;0,Main[[#This Row],[تعداد کل روزهای بدهکار (روز)]],0)</f>
        <v>0</v>
      </c>
      <c r="AF1435" s="6">
        <f ca="1">Main[[#This Row],[تعداد روزهای بدهکار سررسید شده (روز)]]*Main[[#This Row],[مانده در خط سررسید شده (کیلوگرم)]]</f>
        <v>0</v>
      </c>
    </row>
    <row r="1436" spans="1:32" hidden="1" x14ac:dyDescent="0.35">
      <c r="A1436" s="5">
        <f>ROW()-ROW(INDEX(Main[ردیف],1))+1</f>
        <v>1434</v>
      </c>
      <c r="B1436" s="31">
        <f>SUBTOTAL(2,INDEX(Main[ردیف],1):Main[[#This Row],[ردیف]])</f>
        <v>125</v>
      </c>
      <c r="C1436" s="32" t="s">
        <v>655</v>
      </c>
      <c r="D1436" s="32" t="str">
        <f>_xlfn.CONCAT("14",Main[[#This Row],[تاريخ]])</f>
        <v>1400/06/07</v>
      </c>
      <c r="E1436" s="33">
        <v>44437</v>
      </c>
      <c r="F1436" s="32">
        <v>30004</v>
      </c>
      <c r="G1436" s="5" t="str">
        <f>INDEX(customer[عنوان],MATCH(Main[[#This Row],[کد ردیابی]],customer[کد],0))</f>
        <v>تولیدی صنعتی صفاشیر پارس</v>
      </c>
      <c r="H1436">
        <v>2348</v>
      </c>
      <c r="I1436" s="6">
        <f ca="1">-Main[[#This Row],[بدهی تسویه شده (کیلوگرم)]]+Main[[#This Row],[بستانکار (کیلوگرم)]]</f>
        <v>2348</v>
      </c>
      <c r="J1436" s="6">
        <f>IF(Main[[#This Row],[مقدار (کیلوگرم)]]&gt;0,Main[[#This Row],[مقدار (کیلوگرم)]],0)</f>
        <v>2348</v>
      </c>
      <c r="K1436" s="6">
        <f>-IF(Main[[#This Row],[مقدار (کیلوگرم)]]&lt;0,Main[[#This Row],[مقدار (کیلوگرم)]],0)</f>
        <v>0</v>
      </c>
      <c r="L14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6" s="7">
        <f>-IF(AND(Main[[#This Row],[مقدار (کیلوگرم)]]&lt;0,Main[[#This Row],[تاريخ میلادی]]&gt;44276),Main[[#This Row],[مقدار (کیلوگرم)]],0)</f>
        <v>0</v>
      </c>
      <c r="N1436" s="6">
        <f ca="1">Main[[#This Row],[بدهکار (کیلوگرم)]]-Main[[#This Row],[بدهی تسویه نشده (کیلوگرم)]]</f>
        <v>0</v>
      </c>
      <c r="O1436" s="6">
        <f ca="1">Main[[#This Row],[تفکیک]]</f>
        <v>0</v>
      </c>
      <c r="P1436" s="6">
        <f ca="1">IF(Main[[#This Row],[تاخیر از سررسید]]&gt;0,Main[[#This Row],[بدهی تسویه نشده (کیلوگرم)]],0)</f>
        <v>0</v>
      </c>
      <c r="Q1436" s="6">
        <f ca="1">IF(Main[[#This Row],[بدهی تسویه نشده (کیلوگرم)]]&gt;0,'گزارش فردی'!$B$7-Main[[#This Row],[تاريخ میلادی]],0)</f>
        <v>0</v>
      </c>
      <c r="R1436" s="6">
        <f ca="1">IF(Main[[#This Row],[بدهی تسویه نشده (کیلوگرم)]]&gt;0,'گزارش فردی'!$B$7-Main[[#This Row],[تاريخ میلادی]]-'گزارش فردی'!$B$8,0)</f>
        <v>0</v>
      </c>
      <c r="S1436" s="6">
        <f ca="1">Main[[#This Row],[روز از ارسال سفارش]]*Main[[#This Row],[بدهی تسویه نشده (کیلوگرم)]]</f>
        <v>0</v>
      </c>
      <c r="T1436" s="6">
        <f ca="1">Main[[#This Row],[بدهی سررسید شده (کیلوگرم)]]*Main[[#This Row],[روز از ارسال سفارش]]</f>
        <v>0</v>
      </c>
      <c r="U1436" s="6">
        <f>-SUBTOTAL(9,INDEX(Main[مقدار (کیلوگرم)],1):Main[[#This Row],[مقدار (کیلوگرم)]])</f>
        <v>35303</v>
      </c>
      <c r="V14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6" s="6">
        <f>Main[[#This Row],[تعداد کل روزهای بدهکار (روز)]]*Main[[#This Row],[مانده در خط کل (کیلوگرم)]]</f>
        <v>0</v>
      </c>
      <c r="X1436" s="6">
        <f ca="1">-SUBTOTAL(9,INDEX(Main[مقدار تسویه شده (کیلوگرم)],1):Main[[#This Row],[مقدار تسویه شده (کیلوگرم)]])</f>
        <v>35303</v>
      </c>
      <c r="Y1436" s="6">
        <f ca="1">IF(Main[[#This Row],[مانده در خط تسویه شده (کیلوگرم)]]&lt;&gt;0,Main[[#This Row],[تعداد کل روزهای بدهکار (روز)]],0)</f>
        <v>0</v>
      </c>
      <c r="Z1436" s="6">
        <f ca="1">Main[[#This Row],[تعداد روزهای بدهکار تسویه شده (روز)]]*Main[[#This Row],[مانده در خط تسویه شده (کیلوگرم)]]</f>
        <v>0</v>
      </c>
      <c r="AA1436" s="6">
        <f ca="1">SUBTOTAL(9,INDEX(Main[بدهی تسویه نشده (کیلوگرم)],1):Main[[#This Row],[بدهی تسویه نشده (کیلوگرم)]])</f>
        <v>0</v>
      </c>
      <c r="AB1436" s="6">
        <f ca="1">IF(Main[[#This Row],[مانده در خط تسویه نشده (کیلوگرم)]]&lt;&gt;0,Main[[#This Row],[تعداد کل روزهای بدهکار (روز)]],0)</f>
        <v>0</v>
      </c>
      <c r="AC1436" s="6">
        <f ca="1">Main[[#This Row],[تعداد روزهای بدهکار  تسویه نشده (روز)]]*Main[[#This Row],[مانده در خط تسویه نشده (کیلوگرم)]]</f>
        <v>0</v>
      </c>
      <c r="AD1436" s="6">
        <f ca="1">SUBTOTAL(9,INDEX(Main[بدهی سررسید شده (کیلوگرم)],1):Main[[#This Row],[بدهی سررسید شده (کیلوگرم)]])</f>
        <v>0</v>
      </c>
      <c r="AE1436" s="6">
        <f ca="1">IF(Main[[#This Row],[مانده در خط سررسید شده (کیلوگرم)]]&lt;&gt;0,Main[[#This Row],[تعداد کل روزهای بدهکار (روز)]],0)</f>
        <v>0</v>
      </c>
      <c r="AF1436" s="6">
        <f ca="1">Main[[#This Row],[تعداد روزهای بدهکار سررسید شده (روز)]]*Main[[#This Row],[مانده در خط سررسید شده (کیلوگرم)]]</f>
        <v>0</v>
      </c>
    </row>
    <row r="1437" spans="1:32" hidden="1" x14ac:dyDescent="0.35">
      <c r="A1437" s="5">
        <f>ROW()-ROW(INDEX(Main[ردیف],1))+1</f>
        <v>1435</v>
      </c>
      <c r="B1437" s="31">
        <f>SUBTOTAL(2,INDEX(Main[ردیف],1):Main[[#This Row],[ردیف]])</f>
        <v>125</v>
      </c>
      <c r="C1437" s="32" t="s">
        <v>655</v>
      </c>
      <c r="D1437" s="32" t="str">
        <f>_xlfn.CONCAT("14",Main[[#This Row],[تاريخ]])</f>
        <v>1400/06/07</v>
      </c>
      <c r="E1437" s="33">
        <v>44437</v>
      </c>
      <c r="F1437" s="32">
        <v>30009</v>
      </c>
      <c r="G1437" s="5" t="str">
        <f>INDEX(customer[عنوان],MATCH(Main[[#This Row],[کد ردیابی]],customer[کد],0))</f>
        <v>شرکت ایمن تک پیشرو</v>
      </c>
      <c r="H1437">
        <v>-1874</v>
      </c>
      <c r="I1437" s="6">
        <f ca="1">-Main[[#This Row],[بدهی تسویه شده (کیلوگرم)]]+Main[[#This Row],[بستانکار (کیلوگرم)]]</f>
        <v>-1874</v>
      </c>
      <c r="J1437" s="6">
        <f>IF(Main[[#This Row],[مقدار (کیلوگرم)]]&gt;0,Main[[#This Row],[مقدار (کیلوگرم)]],0)</f>
        <v>0</v>
      </c>
      <c r="K1437" s="6">
        <f>-IF(Main[[#This Row],[مقدار (کیلوگرم)]]&lt;0,Main[[#This Row],[مقدار (کیلوگرم)]],0)</f>
        <v>1874</v>
      </c>
      <c r="L14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7" s="7">
        <f>-IF(AND(Main[[#This Row],[مقدار (کیلوگرم)]]&lt;0,Main[[#This Row],[تاريخ میلادی]]&gt;44276),Main[[#This Row],[مقدار (کیلوگرم)]],0)</f>
        <v>1874</v>
      </c>
      <c r="N1437" s="6">
        <f ca="1">Main[[#This Row],[بدهکار (کیلوگرم)]]-Main[[#This Row],[بدهی تسویه نشده (کیلوگرم)]]</f>
        <v>1874</v>
      </c>
      <c r="O1437" s="6">
        <f ca="1">Main[[#This Row],[تفکیک]]</f>
        <v>0</v>
      </c>
      <c r="P1437" s="6">
        <f ca="1">IF(Main[[#This Row],[تاخیر از سررسید]]&gt;0,Main[[#This Row],[بدهی تسویه نشده (کیلوگرم)]],0)</f>
        <v>0</v>
      </c>
      <c r="Q1437" s="6">
        <f ca="1">IF(Main[[#This Row],[بدهی تسویه نشده (کیلوگرم)]]&gt;0,'گزارش فردی'!$B$7-Main[[#This Row],[تاريخ میلادی]],0)</f>
        <v>0</v>
      </c>
      <c r="R1437" s="6">
        <f ca="1">IF(Main[[#This Row],[بدهی تسویه نشده (کیلوگرم)]]&gt;0,'گزارش فردی'!$B$7-Main[[#This Row],[تاريخ میلادی]]-'گزارش فردی'!$B$8,0)</f>
        <v>0</v>
      </c>
      <c r="S1437" s="6">
        <f ca="1">Main[[#This Row],[روز از ارسال سفارش]]*Main[[#This Row],[بدهی تسویه نشده (کیلوگرم)]]</f>
        <v>0</v>
      </c>
      <c r="T1437" s="6">
        <f ca="1">Main[[#This Row],[بدهی سررسید شده (کیلوگرم)]]*Main[[#This Row],[روز از ارسال سفارش]]</f>
        <v>0</v>
      </c>
      <c r="U1437" s="6">
        <f>-SUBTOTAL(9,INDEX(Main[مقدار (کیلوگرم)],1):Main[[#This Row],[مقدار (کیلوگرم)]])</f>
        <v>35303</v>
      </c>
      <c r="V14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7" s="6">
        <f>Main[[#This Row],[تعداد کل روزهای بدهکار (روز)]]*Main[[#This Row],[مانده در خط کل (کیلوگرم)]]</f>
        <v>0</v>
      </c>
      <c r="X1437" s="6">
        <f ca="1">-SUBTOTAL(9,INDEX(Main[مقدار تسویه شده (کیلوگرم)],1):Main[[#This Row],[مقدار تسویه شده (کیلوگرم)]])</f>
        <v>35303</v>
      </c>
      <c r="Y1437" s="6">
        <f ca="1">IF(Main[[#This Row],[مانده در خط تسویه شده (کیلوگرم)]]&lt;&gt;0,Main[[#This Row],[تعداد کل روزهای بدهکار (روز)]],0)</f>
        <v>0</v>
      </c>
      <c r="Z1437" s="6">
        <f ca="1">Main[[#This Row],[تعداد روزهای بدهکار تسویه شده (روز)]]*Main[[#This Row],[مانده در خط تسویه شده (کیلوگرم)]]</f>
        <v>0</v>
      </c>
      <c r="AA1437" s="6">
        <f ca="1">SUBTOTAL(9,INDEX(Main[بدهی تسویه نشده (کیلوگرم)],1):Main[[#This Row],[بدهی تسویه نشده (کیلوگرم)]])</f>
        <v>0</v>
      </c>
      <c r="AB1437" s="6">
        <f ca="1">IF(Main[[#This Row],[مانده در خط تسویه نشده (کیلوگرم)]]&lt;&gt;0,Main[[#This Row],[تعداد کل روزهای بدهکار (روز)]],0)</f>
        <v>0</v>
      </c>
      <c r="AC1437" s="6">
        <f ca="1">Main[[#This Row],[تعداد روزهای بدهکار  تسویه نشده (روز)]]*Main[[#This Row],[مانده در خط تسویه نشده (کیلوگرم)]]</f>
        <v>0</v>
      </c>
      <c r="AD1437" s="6">
        <f ca="1">SUBTOTAL(9,INDEX(Main[بدهی سررسید شده (کیلوگرم)],1):Main[[#This Row],[بدهی سررسید شده (کیلوگرم)]])</f>
        <v>0</v>
      </c>
      <c r="AE1437" s="6">
        <f ca="1">IF(Main[[#This Row],[مانده در خط سررسید شده (کیلوگرم)]]&lt;&gt;0,Main[[#This Row],[تعداد کل روزهای بدهکار (روز)]],0)</f>
        <v>0</v>
      </c>
      <c r="AF1437" s="6">
        <f ca="1">Main[[#This Row],[تعداد روزهای بدهکار سررسید شده (روز)]]*Main[[#This Row],[مانده در خط سررسید شده (کیلوگرم)]]</f>
        <v>0</v>
      </c>
    </row>
    <row r="1438" spans="1:32" hidden="1" x14ac:dyDescent="0.35">
      <c r="A1438" s="5">
        <f>ROW()-ROW(INDEX(Main[ردیف],1))+1</f>
        <v>1436</v>
      </c>
      <c r="B1438" s="31">
        <f>SUBTOTAL(2,INDEX(Main[ردیف],1):Main[[#This Row],[ردیف]])</f>
        <v>125</v>
      </c>
      <c r="C1438" s="32" t="s">
        <v>655</v>
      </c>
      <c r="D1438" s="32" t="str">
        <f>_xlfn.CONCAT("14",Main[[#This Row],[تاريخ]])</f>
        <v>1400/06/07</v>
      </c>
      <c r="E1438" s="33">
        <v>44437</v>
      </c>
      <c r="F1438" s="32">
        <v>30066</v>
      </c>
      <c r="G1438" s="5" t="str">
        <f>INDEX(customer[عنوان],MATCH(Main[[#This Row],[کد ردیابی]],customer[کد],0))</f>
        <v xml:space="preserve">شیر آلات بهداشتی قهرمان </v>
      </c>
      <c r="H1438">
        <v>4200</v>
      </c>
      <c r="I1438" s="6">
        <f ca="1">-Main[[#This Row],[بدهی تسویه شده (کیلوگرم)]]+Main[[#This Row],[بستانکار (کیلوگرم)]]</f>
        <v>4200</v>
      </c>
      <c r="J1438" s="6">
        <f>IF(Main[[#This Row],[مقدار (کیلوگرم)]]&gt;0,Main[[#This Row],[مقدار (کیلوگرم)]],0)</f>
        <v>4200</v>
      </c>
      <c r="K1438" s="6">
        <f>-IF(Main[[#This Row],[مقدار (کیلوگرم)]]&lt;0,Main[[#This Row],[مقدار (کیلوگرم)]],0)</f>
        <v>0</v>
      </c>
      <c r="L14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8" s="7">
        <f>-IF(AND(Main[[#This Row],[مقدار (کیلوگرم)]]&lt;0,Main[[#This Row],[تاريخ میلادی]]&gt;44276),Main[[#This Row],[مقدار (کیلوگرم)]],0)</f>
        <v>0</v>
      </c>
      <c r="N1438" s="6">
        <f ca="1">Main[[#This Row],[بدهکار (کیلوگرم)]]-Main[[#This Row],[بدهی تسویه نشده (کیلوگرم)]]</f>
        <v>0</v>
      </c>
      <c r="O1438" s="6">
        <f ca="1">Main[[#This Row],[تفکیک]]</f>
        <v>0</v>
      </c>
      <c r="P1438" s="6">
        <f ca="1">IF(Main[[#This Row],[تاخیر از سررسید]]&gt;0,Main[[#This Row],[بدهی تسویه نشده (کیلوگرم)]],0)</f>
        <v>0</v>
      </c>
      <c r="Q1438" s="6">
        <f ca="1">IF(Main[[#This Row],[بدهی تسویه نشده (کیلوگرم)]]&gt;0,'گزارش فردی'!$B$7-Main[[#This Row],[تاريخ میلادی]],0)</f>
        <v>0</v>
      </c>
      <c r="R1438" s="6">
        <f ca="1">IF(Main[[#This Row],[بدهی تسویه نشده (کیلوگرم)]]&gt;0,'گزارش فردی'!$B$7-Main[[#This Row],[تاريخ میلادی]]-'گزارش فردی'!$B$8,0)</f>
        <v>0</v>
      </c>
      <c r="S1438" s="6">
        <f ca="1">Main[[#This Row],[روز از ارسال سفارش]]*Main[[#This Row],[بدهی تسویه نشده (کیلوگرم)]]</f>
        <v>0</v>
      </c>
      <c r="T1438" s="6">
        <f ca="1">Main[[#This Row],[بدهی سررسید شده (کیلوگرم)]]*Main[[#This Row],[روز از ارسال سفارش]]</f>
        <v>0</v>
      </c>
      <c r="U1438" s="6">
        <f>-SUBTOTAL(9,INDEX(Main[مقدار (کیلوگرم)],1):Main[[#This Row],[مقدار (کیلوگرم)]])</f>
        <v>35303</v>
      </c>
      <c r="V14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8" s="6">
        <f>Main[[#This Row],[تعداد کل روزهای بدهکار (روز)]]*Main[[#This Row],[مانده در خط کل (کیلوگرم)]]</f>
        <v>0</v>
      </c>
      <c r="X1438" s="6">
        <f ca="1">-SUBTOTAL(9,INDEX(Main[مقدار تسویه شده (کیلوگرم)],1):Main[[#This Row],[مقدار تسویه شده (کیلوگرم)]])</f>
        <v>35303</v>
      </c>
      <c r="Y1438" s="6">
        <f ca="1">IF(Main[[#This Row],[مانده در خط تسویه شده (کیلوگرم)]]&lt;&gt;0,Main[[#This Row],[تعداد کل روزهای بدهکار (روز)]],0)</f>
        <v>0</v>
      </c>
      <c r="Z1438" s="6">
        <f ca="1">Main[[#This Row],[تعداد روزهای بدهکار تسویه شده (روز)]]*Main[[#This Row],[مانده در خط تسویه شده (کیلوگرم)]]</f>
        <v>0</v>
      </c>
      <c r="AA1438" s="6">
        <f ca="1">SUBTOTAL(9,INDEX(Main[بدهی تسویه نشده (کیلوگرم)],1):Main[[#This Row],[بدهی تسویه نشده (کیلوگرم)]])</f>
        <v>0</v>
      </c>
      <c r="AB1438" s="6">
        <f ca="1">IF(Main[[#This Row],[مانده در خط تسویه نشده (کیلوگرم)]]&lt;&gt;0,Main[[#This Row],[تعداد کل روزهای بدهکار (روز)]],0)</f>
        <v>0</v>
      </c>
      <c r="AC1438" s="6">
        <f ca="1">Main[[#This Row],[تعداد روزهای بدهکار  تسویه نشده (روز)]]*Main[[#This Row],[مانده در خط تسویه نشده (کیلوگرم)]]</f>
        <v>0</v>
      </c>
      <c r="AD1438" s="6">
        <f ca="1">SUBTOTAL(9,INDEX(Main[بدهی سررسید شده (کیلوگرم)],1):Main[[#This Row],[بدهی سررسید شده (کیلوگرم)]])</f>
        <v>0</v>
      </c>
      <c r="AE1438" s="6">
        <f ca="1">IF(Main[[#This Row],[مانده در خط سررسید شده (کیلوگرم)]]&lt;&gt;0,Main[[#This Row],[تعداد کل روزهای بدهکار (روز)]],0)</f>
        <v>0</v>
      </c>
      <c r="AF1438" s="6">
        <f ca="1">Main[[#This Row],[تعداد روزهای بدهکار سررسید شده (روز)]]*Main[[#This Row],[مانده در خط سررسید شده (کیلوگرم)]]</f>
        <v>0</v>
      </c>
    </row>
    <row r="1439" spans="1:32" hidden="1" x14ac:dyDescent="0.35">
      <c r="A1439" s="5">
        <f>ROW()-ROW(INDEX(Main[ردیف],1))+1</f>
        <v>1437</v>
      </c>
      <c r="B1439" s="31">
        <f>SUBTOTAL(2,INDEX(Main[ردیف],1):Main[[#This Row],[ردیف]])</f>
        <v>125</v>
      </c>
      <c r="C1439" s="32" t="s">
        <v>655</v>
      </c>
      <c r="D1439" s="32" t="str">
        <f>_xlfn.CONCAT("14",Main[[#This Row],[تاريخ]])</f>
        <v>1400/06/07</v>
      </c>
      <c r="E1439" s="33">
        <v>44437</v>
      </c>
      <c r="F1439" s="32">
        <v>10026</v>
      </c>
      <c r="G1439" s="5" t="str">
        <f>INDEX(customer[عنوان],MATCH(Main[[#This Row],[کد ردیابی]],customer[کد],0))</f>
        <v xml:space="preserve">محسن فیاض بخش </v>
      </c>
      <c r="H1439">
        <v>-1915</v>
      </c>
      <c r="I1439" s="6">
        <f ca="1">-Main[[#This Row],[بدهی تسویه شده (کیلوگرم)]]+Main[[#This Row],[بستانکار (کیلوگرم)]]</f>
        <v>-1915</v>
      </c>
      <c r="J1439" s="6">
        <f>IF(Main[[#This Row],[مقدار (کیلوگرم)]]&gt;0,Main[[#This Row],[مقدار (کیلوگرم)]],0)</f>
        <v>0</v>
      </c>
      <c r="K1439" s="6">
        <f>-IF(Main[[#This Row],[مقدار (کیلوگرم)]]&lt;0,Main[[#This Row],[مقدار (کیلوگرم)]],0)</f>
        <v>1915</v>
      </c>
      <c r="L14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9" s="7">
        <f>-IF(AND(Main[[#This Row],[مقدار (کیلوگرم)]]&lt;0,Main[[#This Row],[تاريخ میلادی]]&gt;44276),Main[[#This Row],[مقدار (کیلوگرم)]],0)</f>
        <v>1915</v>
      </c>
      <c r="N1439" s="6">
        <f ca="1">Main[[#This Row],[بدهکار (کیلوگرم)]]-Main[[#This Row],[بدهی تسویه نشده (کیلوگرم)]]</f>
        <v>1915</v>
      </c>
      <c r="O1439" s="6">
        <f ca="1">Main[[#This Row],[تفکیک]]</f>
        <v>0</v>
      </c>
      <c r="P1439" s="6">
        <f ca="1">IF(Main[[#This Row],[تاخیر از سررسید]]&gt;0,Main[[#This Row],[بدهی تسویه نشده (کیلوگرم)]],0)</f>
        <v>0</v>
      </c>
      <c r="Q1439" s="6">
        <f ca="1">IF(Main[[#This Row],[بدهی تسویه نشده (کیلوگرم)]]&gt;0,'گزارش فردی'!$B$7-Main[[#This Row],[تاريخ میلادی]],0)</f>
        <v>0</v>
      </c>
      <c r="R1439" s="6">
        <f ca="1">IF(Main[[#This Row],[بدهی تسویه نشده (کیلوگرم)]]&gt;0,'گزارش فردی'!$B$7-Main[[#This Row],[تاريخ میلادی]]-'گزارش فردی'!$B$8,0)</f>
        <v>0</v>
      </c>
      <c r="S1439" s="6">
        <f ca="1">Main[[#This Row],[روز از ارسال سفارش]]*Main[[#This Row],[بدهی تسویه نشده (کیلوگرم)]]</f>
        <v>0</v>
      </c>
      <c r="T1439" s="6">
        <f ca="1">Main[[#This Row],[بدهی سررسید شده (کیلوگرم)]]*Main[[#This Row],[روز از ارسال سفارش]]</f>
        <v>0</v>
      </c>
      <c r="U1439" s="6">
        <f>-SUBTOTAL(9,INDEX(Main[مقدار (کیلوگرم)],1):Main[[#This Row],[مقدار (کیلوگرم)]])</f>
        <v>35303</v>
      </c>
      <c r="V14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9" s="6">
        <f>Main[[#This Row],[تعداد کل روزهای بدهکار (روز)]]*Main[[#This Row],[مانده در خط کل (کیلوگرم)]]</f>
        <v>0</v>
      </c>
      <c r="X1439" s="6">
        <f ca="1">-SUBTOTAL(9,INDEX(Main[مقدار تسویه شده (کیلوگرم)],1):Main[[#This Row],[مقدار تسویه شده (کیلوگرم)]])</f>
        <v>35303</v>
      </c>
      <c r="Y1439" s="6">
        <f ca="1">IF(Main[[#This Row],[مانده در خط تسویه شده (کیلوگرم)]]&lt;&gt;0,Main[[#This Row],[تعداد کل روزهای بدهکار (روز)]],0)</f>
        <v>0</v>
      </c>
      <c r="Z1439" s="6">
        <f ca="1">Main[[#This Row],[تعداد روزهای بدهکار تسویه شده (روز)]]*Main[[#This Row],[مانده در خط تسویه شده (کیلوگرم)]]</f>
        <v>0</v>
      </c>
      <c r="AA1439" s="6">
        <f ca="1">SUBTOTAL(9,INDEX(Main[بدهی تسویه نشده (کیلوگرم)],1):Main[[#This Row],[بدهی تسویه نشده (کیلوگرم)]])</f>
        <v>0</v>
      </c>
      <c r="AB1439" s="6">
        <f ca="1">IF(Main[[#This Row],[مانده در خط تسویه نشده (کیلوگرم)]]&lt;&gt;0,Main[[#This Row],[تعداد کل روزهای بدهکار (روز)]],0)</f>
        <v>0</v>
      </c>
      <c r="AC1439" s="6">
        <f ca="1">Main[[#This Row],[تعداد روزهای بدهکار  تسویه نشده (روز)]]*Main[[#This Row],[مانده در خط تسویه نشده (کیلوگرم)]]</f>
        <v>0</v>
      </c>
      <c r="AD1439" s="6">
        <f ca="1">SUBTOTAL(9,INDEX(Main[بدهی سررسید شده (کیلوگرم)],1):Main[[#This Row],[بدهی سررسید شده (کیلوگرم)]])</f>
        <v>0</v>
      </c>
      <c r="AE1439" s="6">
        <f ca="1">IF(Main[[#This Row],[مانده در خط سررسید شده (کیلوگرم)]]&lt;&gt;0,Main[[#This Row],[تعداد کل روزهای بدهکار (روز)]],0)</f>
        <v>0</v>
      </c>
      <c r="AF1439" s="6">
        <f ca="1">Main[[#This Row],[تعداد روزهای بدهکار سررسید شده (روز)]]*Main[[#This Row],[مانده در خط سررسید شده (کیلوگرم)]]</f>
        <v>0</v>
      </c>
    </row>
    <row r="1440" spans="1:32" hidden="1" x14ac:dyDescent="0.35">
      <c r="A1440" s="5">
        <f>ROW()-ROW(INDEX(Main[ردیف],1))+1</f>
        <v>1438</v>
      </c>
      <c r="B1440" s="31">
        <f>SUBTOTAL(2,INDEX(Main[ردیف],1):Main[[#This Row],[ردیف]])</f>
        <v>125</v>
      </c>
      <c r="C1440" s="32" t="s">
        <v>655</v>
      </c>
      <c r="D1440" s="32" t="str">
        <f>_xlfn.CONCAT("14",Main[[#This Row],[تاريخ]])</f>
        <v>1400/06/07</v>
      </c>
      <c r="E1440" s="33">
        <v>44437</v>
      </c>
      <c r="F1440" s="32">
        <v>30066</v>
      </c>
      <c r="G1440" s="5" t="str">
        <f>INDEX(customer[عنوان],MATCH(Main[[#This Row],[کد ردیابی]],customer[کد],0))</f>
        <v xml:space="preserve">شیر آلات بهداشتی قهرمان </v>
      </c>
      <c r="H1440">
        <v>3339</v>
      </c>
      <c r="I1440" s="6">
        <f ca="1">-Main[[#This Row],[بدهی تسویه شده (کیلوگرم)]]+Main[[#This Row],[بستانکار (کیلوگرم)]]</f>
        <v>3339</v>
      </c>
      <c r="J1440" s="6">
        <f>IF(Main[[#This Row],[مقدار (کیلوگرم)]]&gt;0,Main[[#This Row],[مقدار (کیلوگرم)]],0)</f>
        <v>3339</v>
      </c>
      <c r="K1440" s="6">
        <f>-IF(Main[[#This Row],[مقدار (کیلوگرم)]]&lt;0,Main[[#This Row],[مقدار (کیلوگرم)]],0)</f>
        <v>0</v>
      </c>
      <c r="L14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0" s="7">
        <f>-IF(AND(Main[[#This Row],[مقدار (کیلوگرم)]]&lt;0,Main[[#This Row],[تاريخ میلادی]]&gt;44276),Main[[#This Row],[مقدار (کیلوگرم)]],0)</f>
        <v>0</v>
      </c>
      <c r="N1440" s="6">
        <f ca="1">Main[[#This Row],[بدهکار (کیلوگرم)]]-Main[[#This Row],[بدهی تسویه نشده (کیلوگرم)]]</f>
        <v>0</v>
      </c>
      <c r="O1440" s="6">
        <f ca="1">Main[[#This Row],[تفکیک]]</f>
        <v>0</v>
      </c>
      <c r="P1440" s="6">
        <f ca="1">IF(Main[[#This Row],[تاخیر از سررسید]]&gt;0,Main[[#This Row],[بدهی تسویه نشده (کیلوگرم)]],0)</f>
        <v>0</v>
      </c>
      <c r="Q1440" s="6">
        <f ca="1">IF(Main[[#This Row],[بدهی تسویه نشده (کیلوگرم)]]&gt;0,'گزارش فردی'!$B$7-Main[[#This Row],[تاريخ میلادی]],0)</f>
        <v>0</v>
      </c>
      <c r="R1440" s="6">
        <f ca="1">IF(Main[[#This Row],[بدهی تسویه نشده (کیلوگرم)]]&gt;0,'گزارش فردی'!$B$7-Main[[#This Row],[تاريخ میلادی]]-'گزارش فردی'!$B$8,0)</f>
        <v>0</v>
      </c>
      <c r="S1440" s="6">
        <f ca="1">Main[[#This Row],[روز از ارسال سفارش]]*Main[[#This Row],[بدهی تسویه نشده (کیلوگرم)]]</f>
        <v>0</v>
      </c>
      <c r="T1440" s="6">
        <f ca="1">Main[[#This Row],[بدهی سررسید شده (کیلوگرم)]]*Main[[#This Row],[روز از ارسال سفارش]]</f>
        <v>0</v>
      </c>
      <c r="U1440" s="6">
        <f>-SUBTOTAL(9,INDEX(Main[مقدار (کیلوگرم)],1):Main[[#This Row],[مقدار (کیلوگرم)]])</f>
        <v>35303</v>
      </c>
      <c r="V14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0" s="6">
        <f>Main[[#This Row],[تعداد کل روزهای بدهکار (روز)]]*Main[[#This Row],[مانده در خط کل (کیلوگرم)]]</f>
        <v>0</v>
      </c>
      <c r="X1440" s="6">
        <f ca="1">-SUBTOTAL(9,INDEX(Main[مقدار تسویه شده (کیلوگرم)],1):Main[[#This Row],[مقدار تسویه شده (کیلوگرم)]])</f>
        <v>35303</v>
      </c>
      <c r="Y1440" s="6">
        <f ca="1">IF(Main[[#This Row],[مانده در خط تسویه شده (کیلوگرم)]]&lt;&gt;0,Main[[#This Row],[تعداد کل روزهای بدهکار (روز)]],0)</f>
        <v>0</v>
      </c>
      <c r="Z1440" s="6">
        <f ca="1">Main[[#This Row],[تعداد روزهای بدهکار تسویه شده (روز)]]*Main[[#This Row],[مانده در خط تسویه شده (کیلوگرم)]]</f>
        <v>0</v>
      </c>
      <c r="AA1440" s="6">
        <f ca="1">SUBTOTAL(9,INDEX(Main[بدهی تسویه نشده (کیلوگرم)],1):Main[[#This Row],[بدهی تسویه نشده (کیلوگرم)]])</f>
        <v>0</v>
      </c>
      <c r="AB1440" s="6">
        <f ca="1">IF(Main[[#This Row],[مانده در خط تسویه نشده (کیلوگرم)]]&lt;&gt;0,Main[[#This Row],[تعداد کل روزهای بدهکار (روز)]],0)</f>
        <v>0</v>
      </c>
      <c r="AC1440" s="6">
        <f ca="1">Main[[#This Row],[تعداد روزهای بدهکار  تسویه نشده (روز)]]*Main[[#This Row],[مانده در خط تسویه نشده (کیلوگرم)]]</f>
        <v>0</v>
      </c>
      <c r="AD1440" s="6">
        <f ca="1">SUBTOTAL(9,INDEX(Main[بدهی سررسید شده (کیلوگرم)],1):Main[[#This Row],[بدهی سررسید شده (کیلوگرم)]])</f>
        <v>0</v>
      </c>
      <c r="AE1440" s="6">
        <f ca="1">IF(Main[[#This Row],[مانده در خط سررسید شده (کیلوگرم)]]&lt;&gt;0,Main[[#This Row],[تعداد کل روزهای بدهکار (روز)]],0)</f>
        <v>0</v>
      </c>
      <c r="AF1440" s="6">
        <f ca="1">Main[[#This Row],[تعداد روزهای بدهکار سررسید شده (روز)]]*Main[[#This Row],[مانده در خط سررسید شده (کیلوگرم)]]</f>
        <v>0</v>
      </c>
    </row>
    <row r="1441" spans="1:32" x14ac:dyDescent="0.35">
      <c r="A1441" s="5">
        <f>ROW()-ROW(INDEX(Main[ردیف],1))+1</f>
        <v>1439</v>
      </c>
      <c r="B1441" s="31">
        <f>SUBTOTAL(2,INDEX(Main[ردیف],1):Main[[#This Row],[ردیف]])</f>
        <v>126</v>
      </c>
      <c r="C1441" s="32" t="s">
        <v>655</v>
      </c>
      <c r="D1441" s="32" t="str">
        <f>_xlfn.CONCAT("14",Main[[#This Row],[تاريخ]])</f>
        <v>1400/06/07</v>
      </c>
      <c r="E1441" s="33">
        <v>44437</v>
      </c>
      <c r="F1441" s="32">
        <v>10003</v>
      </c>
      <c r="G1441" s="5" t="str">
        <f>INDEX(customer[عنوان],MATCH(Main[[#This Row],[کد ردیابی]],customer[کد],0))</f>
        <v>اصغر نورعلی</v>
      </c>
      <c r="H1441">
        <v>-4026</v>
      </c>
      <c r="I1441" s="6">
        <f ca="1">-Main[[#This Row],[بدهی تسویه شده (کیلوگرم)]]+Main[[#This Row],[بستانکار (کیلوگرم)]]</f>
        <v>-4026</v>
      </c>
      <c r="J1441" s="6">
        <f>IF(Main[[#This Row],[مقدار (کیلوگرم)]]&gt;0,Main[[#This Row],[مقدار (کیلوگرم)]],0)</f>
        <v>0</v>
      </c>
      <c r="K1441" s="6">
        <f>-IF(Main[[#This Row],[مقدار (کیلوگرم)]]&lt;0,Main[[#This Row],[مقدار (کیلوگرم)]],0)</f>
        <v>4026</v>
      </c>
      <c r="L14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1" s="7">
        <f>-IF(AND(Main[[#This Row],[مقدار (کیلوگرم)]]&lt;0,Main[[#This Row],[تاريخ میلادی]]&gt;44276),Main[[#This Row],[مقدار (کیلوگرم)]],0)</f>
        <v>4026</v>
      </c>
      <c r="N1441" s="6">
        <f ca="1">Main[[#This Row],[بدهکار (کیلوگرم)]]-Main[[#This Row],[بدهی تسویه نشده (کیلوگرم)]]</f>
        <v>4026</v>
      </c>
      <c r="O1441" s="6">
        <f ca="1">Main[[#This Row],[تفکیک]]</f>
        <v>0</v>
      </c>
      <c r="P1441" s="6">
        <f ca="1">IF(Main[[#This Row],[تاخیر از سررسید]]&gt;0,Main[[#This Row],[بدهی تسویه نشده (کیلوگرم)]],0)</f>
        <v>0</v>
      </c>
      <c r="Q1441" s="6">
        <f ca="1">IF(Main[[#This Row],[بدهی تسویه نشده (کیلوگرم)]]&gt;0,'گزارش فردی'!$B$7-Main[[#This Row],[تاريخ میلادی]],0)</f>
        <v>0</v>
      </c>
      <c r="R1441" s="6">
        <f ca="1">IF(Main[[#This Row],[بدهی تسویه نشده (کیلوگرم)]]&gt;0,'گزارش فردی'!$B$7-Main[[#This Row],[تاريخ میلادی]]-'گزارش فردی'!$B$8,0)</f>
        <v>0</v>
      </c>
      <c r="S1441" s="6">
        <f ca="1">Main[[#This Row],[روز از ارسال سفارش]]*Main[[#This Row],[بدهی تسویه نشده (کیلوگرم)]]</f>
        <v>0</v>
      </c>
      <c r="T1441" s="6">
        <f ca="1">Main[[#This Row],[بدهی سررسید شده (کیلوگرم)]]*Main[[#This Row],[روز از ارسال سفارش]]</f>
        <v>0</v>
      </c>
      <c r="U1441" s="6">
        <f>-SUBTOTAL(9,INDEX(Main[مقدار (کیلوگرم)],1):Main[[#This Row],[مقدار (کیلوگرم)]])</f>
        <v>39329</v>
      </c>
      <c r="V14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41" s="6">
        <f>Main[[#This Row],[تعداد کل روزهای بدهکار (روز)]]*Main[[#This Row],[مانده در خط کل (کیلوگرم)]]</f>
        <v>39329</v>
      </c>
      <c r="X1441" s="6">
        <f ca="1">-SUBTOTAL(9,INDEX(Main[مقدار تسویه شده (کیلوگرم)],1):Main[[#This Row],[مقدار تسویه شده (کیلوگرم)]])</f>
        <v>39329</v>
      </c>
      <c r="Y1441" s="6">
        <f ca="1">IF(Main[[#This Row],[مانده در خط تسویه شده (کیلوگرم)]]&lt;&gt;0,Main[[#This Row],[تعداد کل روزهای بدهکار (روز)]],0)</f>
        <v>1</v>
      </c>
      <c r="Z1441" s="6">
        <f ca="1">Main[[#This Row],[تعداد روزهای بدهکار تسویه شده (روز)]]*Main[[#This Row],[مانده در خط تسویه شده (کیلوگرم)]]</f>
        <v>39329</v>
      </c>
      <c r="AA1441" s="6">
        <f ca="1">SUBTOTAL(9,INDEX(Main[بدهی تسویه نشده (کیلوگرم)],1):Main[[#This Row],[بدهی تسویه نشده (کیلوگرم)]])</f>
        <v>0</v>
      </c>
      <c r="AB1441" s="6">
        <f ca="1">IF(Main[[#This Row],[مانده در خط تسویه نشده (کیلوگرم)]]&lt;&gt;0,Main[[#This Row],[تعداد کل روزهای بدهکار (روز)]],0)</f>
        <v>0</v>
      </c>
      <c r="AC1441" s="6">
        <f ca="1">Main[[#This Row],[تعداد روزهای بدهکار  تسویه نشده (روز)]]*Main[[#This Row],[مانده در خط تسویه نشده (کیلوگرم)]]</f>
        <v>0</v>
      </c>
      <c r="AD1441" s="6">
        <f ca="1">SUBTOTAL(9,INDEX(Main[بدهی سررسید شده (کیلوگرم)],1):Main[[#This Row],[بدهی سررسید شده (کیلوگرم)]])</f>
        <v>0</v>
      </c>
      <c r="AE1441" s="6">
        <f ca="1">IF(Main[[#This Row],[مانده در خط سررسید شده (کیلوگرم)]]&lt;&gt;0,Main[[#This Row],[تعداد کل روزهای بدهکار (روز)]],0)</f>
        <v>0</v>
      </c>
      <c r="AF1441" s="6">
        <f ca="1">Main[[#This Row],[تعداد روزهای بدهکار سررسید شده (روز)]]*Main[[#This Row],[مانده در خط سررسید شده (کیلوگرم)]]</f>
        <v>0</v>
      </c>
    </row>
    <row r="1442" spans="1:32" hidden="1" x14ac:dyDescent="0.35">
      <c r="A1442" s="5">
        <f>ROW()-ROW(INDEX(Main[ردیف],1))+1</f>
        <v>1440</v>
      </c>
      <c r="B1442" s="31">
        <f>SUBTOTAL(2,INDEX(Main[ردیف],1):Main[[#This Row],[ردیف]])</f>
        <v>126</v>
      </c>
      <c r="C1442" s="32" t="s">
        <v>655</v>
      </c>
      <c r="D1442" s="32" t="str">
        <f>_xlfn.CONCAT("14",Main[[#This Row],[تاريخ]])</f>
        <v>1400/06/07</v>
      </c>
      <c r="E1442" s="33">
        <v>44437</v>
      </c>
      <c r="F1442" s="32">
        <v>30004</v>
      </c>
      <c r="G1442" s="5" t="str">
        <f>INDEX(customer[عنوان],MATCH(Main[[#This Row],[کد ردیابی]],customer[کد],0))</f>
        <v>تولیدی صنعتی صفاشیر پارس</v>
      </c>
      <c r="H1442">
        <v>-2379</v>
      </c>
      <c r="I1442" s="6">
        <f ca="1">-Main[[#This Row],[بدهی تسویه شده (کیلوگرم)]]+Main[[#This Row],[بستانکار (کیلوگرم)]]</f>
        <v>-2379</v>
      </c>
      <c r="J1442" s="6">
        <f>IF(Main[[#This Row],[مقدار (کیلوگرم)]]&gt;0,Main[[#This Row],[مقدار (کیلوگرم)]],0)</f>
        <v>0</v>
      </c>
      <c r="K1442" s="6">
        <f>-IF(Main[[#This Row],[مقدار (کیلوگرم)]]&lt;0,Main[[#This Row],[مقدار (کیلوگرم)]],0)</f>
        <v>2379</v>
      </c>
      <c r="L14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2" s="7">
        <f>-IF(AND(Main[[#This Row],[مقدار (کیلوگرم)]]&lt;0,Main[[#This Row],[تاريخ میلادی]]&gt;44276),Main[[#This Row],[مقدار (کیلوگرم)]],0)</f>
        <v>2379</v>
      </c>
      <c r="N1442" s="6">
        <f ca="1">Main[[#This Row],[بدهکار (کیلوگرم)]]-Main[[#This Row],[بدهی تسویه نشده (کیلوگرم)]]</f>
        <v>2379</v>
      </c>
      <c r="O1442" s="6">
        <f ca="1">Main[[#This Row],[تفکیک]]</f>
        <v>0</v>
      </c>
      <c r="P1442" s="6">
        <f ca="1">IF(Main[[#This Row],[تاخیر از سررسید]]&gt;0,Main[[#This Row],[بدهی تسویه نشده (کیلوگرم)]],0)</f>
        <v>0</v>
      </c>
      <c r="Q1442" s="6">
        <f ca="1">IF(Main[[#This Row],[بدهی تسویه نشده (کیلوگرم)]]&gt;0,'گزارش فردی'!$B$7-Main[[#This Row],[تاريخ میلادی]],0)</f>
        <v>0</v>
      </c>
      <c r="R1442" s="6">
        <f ca="1">IF(Main[[#This Row],[بدهی تسویه نشده (کیلوگرم)]]&gt;0,'گزارش فردی'!$B$7-Main[[#This Row],[تاريخ میلادی]]-'گزارش فردی'!$B$8,0)</f>
        <v>0</v>
      </c>
      <c r="S1442" s="6">
        <f ca="1">Main[[#This Row],[روز از ارسال سفارش]]*Main[[#This Row],[بدهی تسویه نشده (کیلوگرم)]]</f>
        <v>0</v>
      </c>
      <c r="T1442" s="6">
        <f ca="1">Main[[#This Row],[بدهی سررسید شده (کیلوگرم)]]*Main[[#This Row],[روز از ارسال سفارش]]</f>
        <v>0</v>
      </c>
      <c r="U1442" s="6">
        <f>-SUBTOTAL(9,INDEX(Main[مقدار (کیلوگرم)],1):Main[[#This Row],[مقدار (کیلوگرم)]])</f>
        <v>39329</v>
      </c>
      <c r="V14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42" s="6">
        <f>Main[[#This Row],[تعداد کل روزهای بدهکار (روز)]]*Main[[#This Row],[مانده در خط کل (کیلوگرم)]]</f>
        <v>39329</v>
      </c>
      <c r="X1442" s="6">
        <f ca="1">-SUBTOTAL(9,INDEX(Main[مقدار تسویه شده (کیلوگرم)],1):Main[[#This Row],[مقدار تسویه شده (کیلوگرم)]])</f>
        <v>39329</v>
      </c>
      <c r="Y1442" s="6">
        <f ca="1">IF(Main[[#This Row],[مانده در خط تسویه شده (کیلوگرم)]]&lt;&gt;0,Main[[#This Row],[تعداد کل روزهای بدهکار (روز)]],0)</f>
        <v>1</v>
      </c>
      <c r="Z1442" s="6">
        <f ca="1">Main[[#This Row],[تعداد روزهای بدهکار تسویه شده (روز)]]*Main[[#This Row],[مانده در خط تسویه شده (کیلوگرم)]]</f>
        <v>39329</v>
      </c>
      <c r="AA1442" s="6">
        <f ca="1">SUBTOTAL(9,INDEX(Main[بدهی تسویه نشده (کیلوگرم)],1):Main[[#This Row],[بدهی تسویه نشده (کیلوگرم)]])</f>
        <v>0</v>
      </c>
      <c r="AB1442" s="6">
        <f ca="1">IF(Main[[#This Row],[مانده در خط تسویه نشده (کیلوگرم)]]&lt;&gt;0,Main[[#This Row],[تعداد کل روزهای بدهکار (روز)]],0)</f>
        <v>0</v>
      </c>
      <c r="AC1442" s="6">
        <f ca="1">Main[[#This Row],[تعداد روزهای بدهکار  تسویه نشده (روز)]]*Main[[#This Row],[مانده در خط تسویه نشده (کیلوگرم)]]</f>
        <v>0</v>
      </c>
      <c r="AD1442" s="6">
        <f ca="1">SUBTOTAL(9,INDEX(Main[بدهی سررسید شده (کیلوگرم)],1):Main[[#This Row],[بدهی سررسید شده (کیلوگرم)]])</f>
        <v>0</v>
      </c>
      <c r="AE1442" s="6">
        <f ca="1">IF(Main[[#This Row],[مانده در خط سررسید شده (کیلوگرم)]]&lt;&gt;0,Main[[#This Row],[تعداد کل روزهای بدهکار (روز)]],0)</f>
        <v>0</v>
      </c>
      <c r="AF1442" s="6">
        <f ca="1">Main[[#This Row],[تعداد روزهای بدهکار سررسید شده (روز)]]*Main[[#This Row],[مانده در خط سررسید شده (کیلوگرم)]]</f>
        <v>0</v>
      </c>
    </row>
    <row r="1443" spans="1:32" hidden="1" x14ac:dyDescent="0.35">
      <c r="A1443" s="5">
        <f>ROW()-ROW(INDEX(Main[ردیف],1))+1</f>
        <v>1441</v>
      </c>
      <c r="B1443" s="31">
        <f>SUBTOTAL(2,INDEX(Main[ردیف],1):Main[[#This Row],[ردیف]])</f>
        <v>126</v>
      </c>
      <c r="C1443" s="32" t="s">
        <v>655</v>
      </c>
      <c r="D1443" s="32" t="str">
        <f>_xlfn.CONCAT("14",Main[[#This Row],[تاريخ]])</f>
        <v>1400/06/07</v>
      </c>
      <c r="E1443" s="33">
        <v>44437</v>
      </c>
      <c r="F1443" s="32">
        <v>10029</v>
      </c>
      <c r="G1443" s="5" t="str">
        <f>INDEX(customer[عنوان],MATCH(Main[[#This Row],[کد ردیابی]],customer[کد],0))</f>
        <v>رضا شریعتی</v>
      </c>
      <c r="H1443">
        <v>-504</v>
      </c>
      <c r="I1443" s="6">
        <f ca="1">-Main[[#This Row],[بدهی تسویه شده (کیلوگرم)]]+Main[[#This Row],[بستانکار (کیلوگرم)]]</f>
        <v>-504</v>
      </c>
      <c r="J1443" s="6">
        <f>IF(Main[[#This Row],[مقدار (کیلوگرم)]]&gt;0,Main[[#This Row],[مقدار (کیلوگرم)]],0)</f>
        <v>0</v>
      </c>
      <c r="K1443" s="6">
        <f>-IF(Main[[#This Row],[مقدار (کیلوگرم)]]&lt;0,Main[[#This Row],[مقدار (کیلوگرم)]],0)</f>
        <v>504</v>
      </c>
      <c r="L14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3" s="7">
        <f>-IF(AND(Main[[#This Row],[مقدار (کیلوگرم)]]&lt;0,Main[[#This Row],[تاريخ میلادی]]&gt;44276),Main[[#This Row],[مقدار (کیلوگرم)]],0)</f>
        <v>504</v>
      </c>
      <c r="N1443" s="6">
        <f ca="1">Main[[#This Row],[بدهکار (کیلوگرم)]]-Main[[#This Row],[بدهی تسویه نشده (کیلوگرم)]]</f>
        <v>504</v>
      </c>
      <c r="O1443" s="6">
        <f ca="1">Main[[#This Row],[تفکیک]]</f>
        <v>0</v>
      </c>
      <c r="P1443" s="6">
        <f ca="1">IF(Main[[#This Row],[تاخیر از سررسید]]&gt;0,Main[[#This Row],[بدهی تسویه نشده (کیلوگرم)]],0)</f>
        <v>0</v>
      </c>
      <c r="Q1443" s="6">
        <f ca="1">IF(Main[[#This Row],[بدهی تسویه نشده (کیلوگرم)]]&gt;0,'گزارش فردی'!$B$7-Main[[#This Row],[تاريخ میلادی]],0)</f>
        <v>0</v>
      </c>
      <c r="R1443" s="6">
        <f ca="1">IF(Main[[#This Row],[بدهی تسویه نشده (کیلوگرم)]]&gt;0,'گزارش فردی'!$B$7-Main[[#This Row],[تاريخ میلادی]]-'گزارش فردی'!$B$8,0)</f>
        <v>0</v>
      </c>
      <c r="S1443" s="6">
        <f ca="1">Main[[#This Row],[روز از ارسال سفارش]]*Main[[#This Row],[بدهی تسویه نشده (کیلوگرم)]]</f>
        <v>0</v>
      </c>
      <c r="T1443" s="6">
        <f ca="1">Main[[#This Row],[بدهی سررسید شده (کیلوگرم)]]*Main[[#This Row],[روز از ارسال سفارش]]</f>
        <v>0</v>
      </c>
      <c r="U1443" s="6">
        <f>-SUBTOTAL(9,INDEX(Main[مقدار (کیلوگرم)],1):Main[[#This Row],[مقدار (کیلوگرم)]])</f>
        <v>39329</v>
      </c>
      <c r="V14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43" s="6">
        <f>Main[[#This Row],[تعداد کل روزهای بدهکار (روز)]]*Main[[#This Row],[مانده در خط کل (کیلوگرم)]]</f>
        <v>39329</v>
      </c>
      <c r="X1443" s="6">
        <f ca="1">-SUBTOTAL(9,INDEX(Main[مقدار تسویه شده (کیلوگرم)],1):Main[[#This Row],[مقدار تسویه شده (کیلوگرم)]])</f>
        <v>39329</v>
      </c>
      <c r="Y1443" s="6">
        <f ca="1">IF(Main[[#This Row],[مانده در خط تسویه شده (کیلوگرم)]]&lt;&gt;0,Main[[#This Row],[تعداد کل روزهای بدهکار (روز)]],0)</f>
        <v>1</v>
      </c>
      <c r="Z1443" s="6">
        <f ca="1">Main[[#This Row],[تعداد روزهای بدهکار تسویه شده (روز)]]*Main[[#This Row],[مانده در خط تسویه شده (کیلوگرم)]]</f>
        <v>39329</v>
      </c>
      <c r="AA1443" s="6">
        <f ca="1">SUBTOTAL(9,INDEX(Main[بدهی تسویه نشده (کیلوگرم)],1):Main[[#This Row],[بدهی تسویه نشده (کیلوگرم)]])</f>
        <v>0</v>
      </c>
      <c r="AB1443" s="6">
        <f ca="1">IF(Main[[#This Row],[مانده در خط تسویه نشده (کیلوگرم)]]&lt;&gt;0,Main[[#This Row],[تعداد کل روزهای بدهکار (روز)]],0)</f>
        <v>0</v>
      </c>
      <c r="AC1443" s="6">
        <f ca="1">Main[[#This Row],[تعداد روزهای بدهکار  تسویه نشده (روز)]]*Main[[#This Row],[مانده در خط تسویه نشده (کیلوگرم)]]</f>
        <v>0</v>
      </c>
      <c r="AD1443" s="6">
        <f ca="1">SUBTOTAL(9,INDEX(Main[بدهی سررسید شده (کیلوگرم)],1):Main[[#This Row],[بدهی سررسید شده (کیلوگرم)]])</f>
        <v>0</v>
      </c>
      <c r="AE1443" s="6">
        <f ca="1">IF(Main[[#This Row],[مانده در خط سررسید شده (کیلوگرم)]]&lt;&gt;0,Main[[#This Row],[تعداد کل روزهای بدهکار (روز)]],0)</f>
        <v>0</v>
      </c>
      <c r="AF1443" s="6">
        <f ca="1">Main[[#This Row],[تعداد روزهای بدهکار سررسید شده (روز)]]*Main[[#This Row],[مانده در خط سررسید شده (کیلوگرم)]]</f>
        <v>0</v>
      </c>
    </row>
    <row r="1444" spans="1:32" hidden="1" x14ac:dyDescent="0.35">
      <c r="A1444" s="5">
        <f>ROW()-ROW(INDEX(Main[ردیف],1))+1</f>
        <v>1442</v>
      </c>
      <c r="B1444" s="31">
        <f>SUBTOTAL(2,INDEX(Main[ردیف],1):Main[[#This Row],[ردیف]])</f>
        <v>126</v>
      </c>
      <c r="C1444" s="32" t="s">
        <v>656</v>
      </c>
      <c r="D1444" s="32" t="str">
        <f>_xlfn.CONCAT("14",Main[[#This Row],[تاريخ]])</f>
        <v>1400/06/08</v>
      </c>
      <c r="E1444" s="33">
        <v>44438</v>
      </c>
      <c r="F1444" s="32">
        <v>10119</v>
      </c>
      <c r="G1444" s="5" t="str">
        <f>INDEX(customer[عنوان],MATCH(Main[[#This Row],[کد ردیابی]],customer[کد],0))</f>
        <v>سیف الله اکبری</v>
      </c>
      <c r="H1444">
        <v>250</v>
      </c>
      <c r="I1444" s="6">
        <f ca="1">-Main[[#This Row],[بدهی تسویه شده (کیلوگرم)]]+Main[[#This Row],[بستانکار (کیلوگرم)]]</f>
        <v>250</v>
      </c>
      <c r="J1444" s="6">
        <f>IF(Main[[#This Row],[مقدار (کیلوگرم)]]&gt;0,Main[[#This Row],[مقدار (کیلوگرم)]],0)</f>
        <v>250</v>
      </c>
      <c r="K1444" s="6">
        <f>-IF(Main[[#This Row],[مقدار (کیلوگرم)]]&lt;0,Main[[#This Row],[مقدار (کیلوگرم)]],0)</f>
        <v>0</v>
      </c>
      <c r="L14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4" s="7">
        <f>-IF(AND(Main[[#This Row],[مقدار (کیلوگرم)]]&lt;0,Main[[#This Row],[تاريخ میلادی]]&gt;44276),Main[[#This Row],[مقدار (کیلوگرم)]],0)</f>
        <v>0</v>
      </c>
      <c r="N1444" s="6">
        <f ca="1">Main[[#This Row],[بدهکار (کیلوگرم)]]-Main[[#This Row],[بدهی تسویه نشده (کیلوگرم)]]</f>
        <v>0</v>
      </c>
      <c r="O1444" s="6">
        <f ca="1">Main[[#This Row],[تفکیک]]</f>
        <v>0</v>
      </c>
      <c r="P1444" s="6">
        <f ca="1">IF(Main[[#This Row],[تاخیر از سررسید]]&gt;0,Main[[#This Row],[بدهی تسویه نشده (کیلوگرم)]],0)</f>
        <v>0</v>
      </c>
      <c r="Q1444" s="6">
        <f ca="1">IF(Main[[#This Row],[بدهی تسویه نشده (کیلوگرم)]]&gt;0,'گزارش فردی'!$B$7-Main[[#This Row],[تاريخ میلادی]],0)</f>
        <v>0</v>
      </c>
      <c r="R1444" s="6">
        <f ca="1">IF(Main[[#This Row],[بدهی تسویه نشده (کیلوگرم)]]&gt;0,'گزارش فردی'!$B$7-Main[[#This Row],[تاريخ میلادی]]-'گزارش فردی'!$B$8,0)</f>
        <v>0</v>
      </c>
      <c r="S1444" s="6">
        <f ca="1">Main[[#This Row],[روز از ارسال سفارش]]*Main[[#This Row],[بدهی تسویه نشده (کیلوگرم)]]</f>
        <v>0</v>
      </c>
      <c r="T1444" s="6">
        <f ca="1">Main[[#This Row],[بدهی سررسید شده (کیلوگرم)]]*Main[[#This Row],[روز از ارسال سفارش]]</f>
        <v>0</v>
      </c>
      <c r="U1444" s="6">
        <f>-SUBTOTAL(9,INDEX(Main[مقدار (کیلوگرم)],1):Main[[#This Row],[مقدار (کیلوگرم)]])</f>
        <v>39329</v>
      </c>
      <c r="V14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4" s="6">
        <f>Main[[#This Row],[تعداد کل روزهای بدهکار (روز)]]*Main[[#This Row],[مانده در خط کل (کیلوگرم)]]</f>
        <v>0</v>
      </c>
      <c r="X1444" s="6">
        <f ca="1">-SUBTOTAL(9,INDEX(Main[مقدار تسویه شده (کیلوگرم)],1):Main[[#This Row],[مقدار تسویه شده (کیلوگرم)]])</f>
        <v>39329</v>
      </c>
      <c r="Y1444" s="6">
        <f ca="1">IF(Main[[#This Row],[مانده در خط تسویه شده (کیلوگرم)]]&lt;&gt;0,Main[[#This Row],[تعداد کل روزهای بدهکار (روز)]],0)</f>
        <v>0</v>
      </c>
      <c r="Z1444" s="6">
        <f ca="1">Main[[#This Row],[تعداد روزهای بدهکار تسویه شده (روز)]]*Main[[#This Row],[مانده در خط تسویه شده (کیلوگرم)]]</f>
        <v>0</v>
      </c>
      <c r="AA1444" s="6">
        <f ca="1">SUBTOTAL(9,INDEX(Main[بدهی تسویه نشده (کیلوگرم)],1):Main[[#This Row],[بدهی تسویه نشده (کیلوگرم)]])</f>
        <v>0</v>
      </c>
      <c r="AB1444" s="6">
        <f ca="1">IF(Main[[#This Row],[مانده در خط تسویه نشده (کیلوگرم)]]&lt;&gt;0,Main[[#This Row],[تعداد کل روزهای بدهکار (روز)]],0)</f>
        <v>0</v>
      </c>
      <c r="AC1444" s="6">
        <f ca="1">Main[[#This Row],[تعداد روزهای بدهکار  تسویه نشده (روز)]]*Main[[#This Row],[مانده در خط تسویه نشده (کیلوگرم)]]</f>
        <v>0</v>
      </c>
      <c r="AD1444" s="6">
        <f ca="1">SUBTOTAL(9,INDEX(Main[بدهی سررسید شده (کیلوگرم)],1):Main[[#This Row],[بدهی سررسید شده (کیلوگرم)]])</f>
        <v>0</v>
      </c>
      <c r="AE1444" s="6">
        <f ca="1">IF(Main[[#This Row],[مانده در خط سررسید شده (کیلوگرم)]]&lt;&gt;0,Main[[#This Row],[تعداد کل روزهای بدهکار (روز)]],0)</f>
        <v>0</v>
      </c>
      <c r="AF1444" s="6">
        <f ca="1">Main[[#This Row],[تعداد روزهای بدهکار سررسید شده (روز)]]*Main[[#This Row],[مانده در خط سررسید شده (کیلوگرم)]]</f>
        <v>0</v>
      </c>
    </row>
    <row r="1445" spans="1:32" hidden="1" x14ac:dyDescent="0.35">
      <c r="A1445" s="5">
        <f>ROW()-ROW(INDEX(Main[ردیف],1))+1</f>
        <v>1443</v>
      </c>
      <c r="B1445" s="31">
        <f>SUBTOTAL(2,INDEX(Main[ردیف],1):Main[[#This Row],[ردیف]])</f>
        <v>126</v>
      </c>
      <c r="C1445" s="32" t="s">
        <v>656</v>
      </c>
      <c r="D1445" s="32" t="str">
        <f>_xlfn.CONCAT("14",Main[[#This Row],[تاريخ]])</f>
        <v>1400/06/08</v>
      </c>
      <c r="E1445" s="33">
        <v>44438</v>
      </c>
      <c r="F1445" s="32">
        <v>30004</v>
      </c>
      <c r="G1445" s="5" t="str">
        <f>INDEX(customer[عنوان],MATCH(Main[[#This Row],[کد ردیابی]],customer[کد],0))</f>
        <v>تولیدی صنعتی صفاشیر پارس</v>
      </c>
      <c r="H1445">
        <v>-647</v>
      </c>
      <c r="I1445" s="6">
        <f ca="1">-Main[[#This Row],[بدهی تسویه شده (کیلوگرم)]]+Main[[#This Row],[بستانکار (کیلوگرم)]]</f>
        <v>-647</v>
      </c>
      <c r="J1445" s="6">
        <f>IF(Main[[#This Row],[مقدار (کیلوگرم)]]&gt;0,Main[[#This Row],[مقدار (کیلوگرم)]],0)</f>
        <v>0</v>
      </c>
      <c r="K1445" s="6">
        <f>-IF(Main[[#This Row],[مقدار (کیلوگرم)]]&lt;0,Main[[#This Row],[مقدار (کیلوگرم)]],0)</f>
        <v>647</v>
      </c>
      <c r="L14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5" s="7">
        <f>-IF(AND(Main[[#This Row],[مقدار (کیلوگرم)]]&lt;0,Main[[#This Row],[تاريخ میلادی]]&gt;44276),Main[[#This Row],[مقدار (کیلوگرم)]],0)</f>
        <v>647</v>
      </c>
      <c r="N1445" s="6">
        <f ca="1">Main[[#This Row],[بدهکار (کیلوگرم)]]-Main[[#This Row],[بدهی تسویه نشده (کیلوگرم)]]</f>
        <v>647</v>
      </c>
      <c r="O1445" s="6">
        <f ca="1">Main[[#This Row],[تفکیک]]</f>
        <v>0</v>
      </c>
      <c r="P1445" s="6">
        <f ca="1">IF(Main[[#This Row],[تاخیر از سررسید]]&gt;0,Main[[#This Row],[بدهی تسویه نشده (کیلوگرم)]],0)</f>
        <v>0</v>
      </c>
      <c r="Q1445" s="6">
        <f ca="1">IF(Main[[#This Row],[بدهی تسویه نشده (کیلوگرم)]]&gt;0,'گزارش فردی'!$B$7-Main[[#This Row],[تاريخ میلادی]],0)</f>
        <v>0</v>
      </c>
      <c r="R1445" s="6">
        <f ca="1">IF(Main[[#This Row],[بدهی تسویه نشده (کیلوگرم)]]&gt;0,'گزارش فردی'!$B$7-Main[[#This Row],[تاريخ میلادی]]-'گزارش فردی'!$B$8,0)</f>
        <v>0</v>
      </c>
      <c r="S1445" s="6">
        <f ca="1">Main[[#This Row],[روز از ارسال سفارش]]*Main[[#This Row],[بدهی تسویه نشده (کیلوگرم)]]</f>
        <v>0</v>
      </c>
      <c r="T1445" s="6">
        <f ca="1">Main[[#This Row],[بدهی سررسید شده (کیلوگرم)]]*Main[[#This Row],[روز از ارسال سفارش]]</f>
        <v>0</v>
      </c>
      <c r="U1445" s="6">
        <f>-SUBTOTAL(9,INDEX(Main[مقدار (کیلوگرم)],1):Main[[#This Row],[مقدار (کیلوگرم)]])</f>
        <v>39329</v>
      </c>
      <c r="V14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5" s="6">
        <f>Main[[#This Row],[تعداد کل روزهای بدهکار (روز)]]*Main[[#This Row],[مانده در خط کل (کیلوگرم)]]</f>
        <v>0</v>
      </c>
      <c r="X1445" s="6">
        <f ca="1">-SUBTOTAL(9,INDEX(Main[مقدار تسویه شده (کیلوگرم)],1):Main[[#This Row],[مقدار تسویه شده (کیلوگرم)]])</f>
        <v>39329</v>
      </c>
      <c r="Y1445" s="6">
        <f ca="1">IF(Main[[#This Row],[مانده در خط تسویه شده (کیلوگرم)]]&lt;&gt;0,Main[[#This Row],[تعداد کل روزهای بدهکار (روز)]],0)</f>
        <v>0</v>
      </c>
      <c r="Z1445" s="6">
        <f ca="1">Main[[#This Row],[تعداد روزهای بدهکار تسویه شده (روز)]]*Main[[#This Row],[مانده در خط تسویه شده (کیلوگرم)]]</f>
        <v>0</v>
      </c>
      <c r="AA1445" s="6">
        <f ca="1">SUBTOTAL(9,INDEX(Main[بدهی تسویه نشده (کیلوگرم)],1):Main[[#This Row],[بدهی تسویه نشده (کیلوگرم)]])</f>
        <v>0</v>
      </c>
      <c r="AB1445" s="6">
        <f ca="1">IF(Main[[#This Row],[مانده در خط تسویه نشده (کیلوگرم)]]&lt;&gt;0,Main[[#This Row],[تعداد کل روزهای بدهکار (روز)]],0)</f>
        <v>0</v>
      </c>
      <c r="AC1445" s="6">
        <f ca="1">Main[[#This Row],[تعداد روزهای بدهکار  تسویه نشده (روز)]]*Main[[#This Row],[مانده در خط تسویه نشده (کیلوگرم)]]</f>
        <v>0</v>
      </c>
      <c r="AD1445" s="6">
        <f ca="1">SUBTOTAL(9,INDEX(Main[بدهی سررسید شده (کیلوگرم)],1):Main[[#This Row],[بدهی سررسید شده (کیلوگرم)]])</f>
        <v>0</v>
      </c>
      <c r="AE1445" s="6">
        <f ca="1">IF(Main[[#This Row],[مانده در خط سررسید شده (کیلوگرم)]]&lt;&gt;0,Main[[#This Row],[تعداد کل روزهای بدهکار (روز)]],0)</f>
        <v>0</v>
      </c>
      <c r="AF1445" s="6">
        <f ca="1">Main[[#This Row],[تعداد روزهای بدهکار سررسید شده (روز)]]*Main[[#This Row],[مانده در خط سررسید شده (کیلوگرم)]]</f>
        <v>0</v>
      </c>
    </row>
    <row r="1446" spans="1:32" hidden="1" x14ac:dyDescent="0.35">
      <c r="A1446" s="5">
        <f>ROW()-ROW(INDEX(Main[ردیف],1))+1</f>
        <v>1444</v>
      </c>
      <c r="B1446" s="31">
        <f>SUBTOTAL(2,INDEX(Main[ردیف],1):Main[[#This Row],[ردیف]])</f>
        <v>126</v>
      </c>
      <c r="C1446" s="32" t="s">
        <v>656</v>
      </c>
      <c r="D1446" s="32" t="str">
        <f>_xlfn.CONCAT("14",Main[[#This Row],[تاريخ]])</f>
        <v>1400/06/08</v>
      </c>
      <c r="E1446" s="33">
        <v>44438</v>
      </c>
      <c r="F1446" s="32">
        <v>10018</v>
      </c>
      <c r="G1446" s="5" t="str">
        <f>INDEX(customer[عنوان],MATCH(Main[[#This Row],[کد ردیابی]],customer[کد],0))</f>
        <v xml:space="preserve">کوهی </v>
      </c>
      <c r="H1446">
        <v>350</v>
      </c>
      <c r="I1446" s="6">
        <f ca="1">-Main[[#This Row],[بدهی تسویه شده (کیلوگرم)]]+Main[[#This Row],[بستانکار (کیلوگرم)]]</f>
        <v>350</v>
      </c>
      <c r="J1446" s="6">
        <f>IF(Main[[#This Row],[مقدار (کیلوگرم)]]&gt;0,Main[[#This Row],[مقدار (کیلوگرم)]],0)</f>
        <v>350</v>
      </c>
      <c r="K1446" s="6">
        <f>-IF(Main[[#This Row],[مقدار (کیلوگرم)]]&lt;0,Main[[#This Row],[مقدار (کیلوگرم)]],0)</f>
        <v>0</v>
      </c>
      <c r="L14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6" s="7">
        <f>-IF(AND(Main[[#This Row],[مقدار (کیلوگرم)]]&lt;0,Main[[#This Row],[تاريخ میلادی]]&gt;44276),Main[[#This Row],[مقدار (کیلوگرم)]],0)</f>
        <v>0</v>
      </c>
      <c r="N1446" s="6">
        <f ca="1">Main[[#This Row],[بدهکار (کیلوگرم)]]-Main[[#This Row],[بدهی تسویه نشده (کیلوگرم)]]</f>
        <v>0</v>
      </c>
      <c r="O1446" s="6">
        <f ca="1">Main[[#This Row],[تفکیک]]</f>
        <v>0</v>
      </c>
      <c r="P1446" s="6">
        <f ca="1">IF(Main[[#This Row],[تاخیر از سررسید]]&gt;0,Main[[#This Row],[بدهی تسویه نشده (کیلوگرم)]],0)</f>
        <v>0</v>
      </c>
      <c r="Q1446" s="6">
        <f ca="1">IF(Main[[#This Row],[بدهی تسویه نشده (کیلوگرم)]]&gt;0,'گزارش فردی'!$B$7-Main[[#This Row],[تاريخ میلادی]],0)</f>
        <v>0</v>
      </c>
      <c r="R1446" s="6">
        <f ca="1">IF(Main[[#This Row],[بدهی تسویه نشده (کیلوگرم)]]&gt;0,'گزارش فردی'!$B$7-Main[[#This Row],[تاريخ میلادی]]-'گزارش فردی'!$B$8,0)</f>
        <v>0</v>
      </c>
      <c r="S1446" s="6">
        <f ca="1">Main[[#This Row],[روز از ارسال سفارش]]*Main[[#This Row],[بدهی تسویه نشده (کیلوگرم)]]</f>
        <v>0</v>
      </c>
      <c r="T1446" s="6">
        <f ca="1">Main[[#This Row],[بدهی سررسید شده (کیلوگرم)]]*Main[[#This Row],[روز از ارسال سفارش]]</f>
        <v>0</v>
      </c>
      <c r="U1446" s="6">
        <f>-SUBTOTAL(9,INDEX(Main[مقدار (کیلوگرم)],1):Main[[#This Row],[مقدار (کیلوگرم)]])</f>
        <v>39329</v>
      </c>
      <c r="V14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6" s="6">
        <f>Main[[#This Row],[تعداد کل روزهای بدهکار (روز)]]*Main[[#This Row],[مانده در خط کل (کیلوگرم)]]</f>
        <v>0</v>
      </c>
      <c r="X1446" s="6">
        <f ca="1">-SUBTOTAL(9,INDEX(Main[مقدار تسویه شده (کیلوگرم)],1):Main[[#This Row],[مقدار تسویه شده (کیلوگرم)]])</f>
        <v>39329</v>
      </c>
      <c r="Y1446" s="6">
        <f ca="1">IF(Main[[#This Row],[مانده در خط تسویه شده (کیلوگرم)]]&lt;&gt;0,Main[[#This Row],[تعداد کل روزهای بدهکار (روز)]],0)</f>
        <v>0</v>
      </c>
      <c r="Z1446" s="6">
        <f ca="1">Main[[#This Row],[تعداد روزهای بدهکار تسویه شده (روز)]]*Main[[#This Row],[مانده در خط تسویه شده (کیلوگرم)]]</f>
        <v>0</v>
      </c>
      <c r="AA1446" s="6">
        <f ca="1">SUBTOTAL(9,INDEX(Main[بدهی تسویه نشده (کیلوگرم)],1):Main[[#This Row],[بدهی تسویه نشده (کیلوگرم)]])</f>
        <v>0</v>
      </c>
      <c r="AB1446" s="6">
        <f ca="1">IF(Main[[#This Row],[مانده در خط تسویه نشده (کیلوگرم)]]&lt;&gt;0,Main[[#This Row],[تعداد کل روزهای بدهکار (روز)]],0)</f>
        <v>0</v>
      </c>
      <c r="AC1446" s="6">
        <f ca="1">Main[[#This Row],[تعداد روزهای بدهکار  تسویه نشده (روز)]]*Main[[#This Row],[مانده در خط تسویه نشده (کیلوگرم)]]</f>
        <v>0</v>
      </c>
      <c r="AD1446" s="6">
        <f ca="1">SUBTOTAL(9,INDEX(Main[بدهی سررسید شده (کیلوگرم)],1):Main[[#This Row],[بدهی سررسید شده (کیلوگرم)]])</f>
        <v>0</v>
      </c>
      <c r="AE1446" s="6">
        <f ca="1">IF(Main[[#This Row],[مانده در خط سررسید شده (کیلوگرم)]]&lt;&gt;0,Main[[#This Row],[تعداد کل روزهای بدهکار (روز)]],0)</f>
        <v>0</v>
      </c>
      <c r="AF1446" s="6">
        <f ca="1">Main[[#This Row],[تعداد روزهای بدهکار سررسید شده (روز)]]*Main[[#This Row],[مانده در خط سررسید شده (کیلوگرم)]]</f>
        <v>0</v>
      </c>
    </row>
    <row r="1447" spans="1:32" hidden="1" x14ac:dyDescent="0.35">
      <c r="A1447" s="5">
        <f>ROW()-ROW(INDEX(Main[ردیف],1))+1</f>
        <v>1445</v>
      </c>
      <c r="B1447" s="31">
        <f>SUBTOTAL(2,INDEX(Main[ردیف],1):Main[[#This Row],[ردیف]])</f>
        <v>126</v>
      </c>
      <c r="C1447" s="32" t="s">
        <v>656</v>
      </c>
      <c r="D1447" s="32" t="str">
        <f>_xlfn.CONCAT("14",Main[[#This Row],[تاريخ]])</f>
        <v>1400/06/08</v>
      </c>
      <c r="E1447" s="33">
        <v>44438</v>
      </c>
      <c r="F1447" s="32">
        <v>30009</v>
      </c>
      <c r="G1447" s="5" t="str">
        <f>INDEX(customer[عنوان],MATCH(Main[[#This Row],[کد ردیابی]],customer[کد],0))</f>
        <v>شرکت ایمن تک پیشرو</v>
      </c>
      <c r="H1447">
        <v>-1942</v>
      </c>
      <c r="I1447" s="6">
        <f ca="1">-Main[[#This Row],[بدهی تسویه شده (کیلوگرم)]]+Main[[#This Row],[بستانکار (کیلوگرم)]]</f>
        <v>-1942</v>
      </c>
      <c r="J1447" s="6">
        <f>IF(Main[[#This Row],[مقدار (کیلوگرم)]]&gt;0,Main[[#This Row],[مقدار (کیلوگرم)]],0)</f>
        <v>0</v>
      </c>
      <c r="K1447" s="6">
        <f>-IF(Main[[#This Row],[مقدار (کیلوگرم)]]&lt;0,Main[[#This Row],[مقدار (کیلوگرم)]],0)</f>
        <v>1942</v>
      </c>
      <c r="L14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7" s="7">
        <f>-IF(AND(Main[[#This Row],[مقدار (کیلوگرم)]]&lt;0,Main[[#This Row],[تاريخ میلادی]]&gt;44276),Main[[#This Row],[مقدار (کیلوگرم)]],0)</f>
        <v>1942</v>
      </c>
      <c r="N1447" s="6">
        <f ca="1">Main[[#This Row],[بدهکار (کیلوگرم)]]-Main[[#This Row],[بدهی تسویه نشده (کیلوگرم)]]</f>
        <v>1942</v>
      </c>
      <c r="O1447" s="6">
        <f ca="1">Main[[#This Row],[تفکیک]]</f>
        <v>0</v>
      </c>
      <c r="P1447" s="6">
        <f ca="1">IF(Main[[#This Row],[تاخیر از سررسید]]&gt;0,Main[[#This Row],[بدهی تسویه نشده (کیلوگرم)]],0)</f>
        <v>0</v>
      </c>
      <c r="Q1447" s="6">
        <f ca="1">IF(Main[[#This Row],[بدهی تسویه نشده (کیلوگرم)]]&gt;0,'گزارش فردی'!$B$7-Main[[#This Row],[تاريخ میلادی]],0)</f>
        <v>0</v>
      </c>
      <c r="R1447" s="6">
        <f ca="1">IF(Main[[#This Row],[بدهی تسویه نشده (کیلوگرم)]]&gt;0,'گزارش فردی'!$B$7-Main[[#This Row],[تاريخ میلادی]]-'گزارش فردی'!$B$8,0)</f>
        <v>0</v>
      </c>
      <c r="S1447" s="6">
        <f ca="1">Main[[#This Row],[روز از ارسال سفارش]]*Main[[#This Row],[بدهی تسویه نشده (کیلوگرم)]]</f>
        <v>0</v>
      </c>
      <c r="T1447" s="6">
        <f ca="1">Main[[#This Row],[بدهی سررسید شده (کیلوگرم)]]*Main[[#This Row],[روز از ارسال سفارش]]</f>
        <v>0</v>
      </c>
      <c r="U1447" s="6">
        <f>-SUBTOTAL(9,INDEX(Main[مقدار (کیلوگرم)],1):Main[[#This Row],[مقدار (کیلوگرم)]])</f>
        <v>39329</v>
      </c>
      <c r="V14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7" s="6">
        <f>Main[[#This Row],[تعداد کل روزهای بدهکار (روز)]]*Main[[#This Row],[مانده در خط کل (کیلوگرم)]]</f>
        <v>0</v>
      </c>
      <c r="X1447" s="6">
        <f ca="1">-SUBTOTAL(9,INDEX(Main[مقدار تسویه شده (کیلوگرم)],1):Main[[#This Row],[مقدار تسویه شده (کیلوگرم)]])</f>
        <v>39329</v>
      </c>
      <c r="Y1447" s="6">
        <f ca="1">IF(Main[[#This Row],[مانده در خط تسویه شده (کیلوگرم)]]&lt;&gt;0,Main[[#This Row],[تعداد کل روزهای بدهکار (روز)]],0)</f>
        <v>0</v>
      </c>
      <c r="Z1447" s="6">
        <f ca="1">Main[[#This Row],[تعداد روزهای بدهکار تسویه شده (روز)]]*Main[[#This Row],[مانده در خط تسویه شده (کیلوگرم)]]</f>
        <v>0</v>
      </c>
      <c r="AA1447" s="6">
        <f ca="1">SUBTOTAL(9,INDEX(Main[بدهی تسویه نشده (کیلوگرم)],1):Main[[#This Row],[بدهی تسویه نشده (کیلوگرم)]])</f>
        <v>0</v>
      </c>
      <c r="AB1447" s="6">
        <f ca="1">IF(Main[[#This Row],[مانده در خط تسویه نشده (کیلوگرم)]]&lt;&gt;0,Main[[#This Row],[تعداد کل روزهای بدهکار (روز)]],0)</f>
        <v>0</v>
      </c>
      <c r="AC1447" s="6">
        <f ca="1">Main[[#This Row],[تعداد روزهای بدهکار  تسویه نشده (روز)]]*Main[[#This Row],[مانده در خط تسویه نشده (کیلوگرم)]]</f>
        <v>0</v>
      </c>
      <c r="AD1447" s="6">
        <f ca="1">SUBTOTAL(9,INDEX(Main[بدهی سررسید شده (کیلوگرم)],1):Main[[#This Row],[بدهی سررسید شده (کیلوگرم)]])</f>
        <v>0</v>
      </c>
      <c r="AE1447" s="6">
        <f ca="1">IF(Main[[#This Row],[مانده در خط سررسید شده (کیلوگرم)]]&lt;&gt;0,Main[[#This Row],[تعداد کل روزهای بدهکار (روز)]],0)</f>
        <v>0</v>
      </c>
      <c r="AF1447" s="6">
        <f ca="1">Main[[#This Row],[تعداد روزهای بدهکار سررسید شده (روز)]]*Main[[#This Row],[مانده در خط سررسید شده (کیلوگرم)]]</f>
        <v>0</v>
      </c>
    </row>
    <row r="1448" spans="1:32" hidden="1" x14ac:dyDescent="0.35">
      <c r="A1448" s="5">
        <f>ROW()-ROW(INDEX(Main[ردیف],1))+1</f>
        <v>1446</v>
      </c>
      <c r="B1448" s="31">
        <f>SUBTOTAL(2,INDEX(Main[ردیف],1):Main[[#This Row],[ردیف]])</f>
        <v>126</v>
      </c>
      <c r="C1448" s="32" t="s">
        <v>656</v>
      </c>
      <c r="D1448" s="32" t="str">
        <f>_xlfn.CONCAT("14",Main[[#This Row],[تاريخ]])</f>
        <v>1400/06/08</v>
      </c>
      <c r="E1448" s="33">
        <v>44438</v>
      </c>
      <c r="F1448" s="32">
        <v>10018</v>
      </c>
      <c r="G1448" s="5" t="str">
        <f>INDEX(customer[عنوان],MATCH(Main[[#This Row],[کد ردیابی]],customer[کد],0))</f>
        <v xml:space="preserve">کوهی </v>
      </c>
      <c r="H1448">
        <v>22</v>
      </c>
      <c r="I1448" s="6">
        <f ca="1">-Main[[#This Row],[بدهی تسویه شده (کیلوگرم)]]+Main[[#This Row],[بستانکار (کیلوگرم)]]</f>
        <v>22</v>
      </c>
      <c r="J1448" s="6">
        <f>IF(Main[[#This Row],[مقدار (کیلوگرم)]]&gt;0,Main[[#This Row],[مقدار (کیلوگرم)]],0)</f>
        <v>22</v>
      </c>
      <c r="K1448" s="6">
        <f>-IF(Main[[#This Row],[مقدار (کیلوگرم)]]&lt;0,Main[[#This Row],[مقدار (کیلوگرم)]],0)</f>
        <v>0</v>
      </c>
      <c r="L14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8" s="7">
        <f>-IF(AND(Main[[#This Row],[مقدار (کیلوگرم)]]&lt;0,Main[[#This Row],[تاريخ میلادی]]&gt;44276),Main[[#This Row],[مقدار (کیلوگرم)]],0)</f>
        <v>0</v>
      </c>
      <c r="N1448" s="6">
        <f ca="1">Main[[#This Row],[بدهکار (کیلوگرم)]]-Main[[#This Row],[بدهی تسویه نشده (کیلوگرم)]]</f>
        <v>0</v>
      </c>
      <c r="O1448" s="6">
        <f ca="1">Main[[#This Row],[تفکیک]]</f>
        <v>0</v>
      </c>
      <c r="P1448" s="6">
        <f ca="1">IF(Main[[#This Row],[تاخیر از سررسید]]&gt;0,Main[[#This Row],[بدهی تسویه نشده (کیلوگرم)]],0)</f>
        <v>0</v>
      </c>
      <c r="Q1448" s="6">
        <f ca="1">IF(Main[[#This Row],[بدهی تسویه نشده (کیلوگرم)]]&gt;0,'گزارش فردی'!$B$7-Main[[#This Row],[تاريخ میلادی]],0)</f>
        <v>0</v>
      </c>
      <c r="R1448" s="6">
        <f ca="1">IF(Main[[#This Row],[بدهی تسویه نشده (کیلوگرم)]]&gt;0,'گزارش فردی'!$B$7-Main[[#This Row],[تاريخ میلادی]]-'گزارش فردی'!$B$8,0)</f>
        <v>0</v>
      </c>
      <c r="S1448" s="6">
        <f ca="1">Main[[#This Row],[روز از ارسال سفارش]]*Main[[#This Row],[بدهی تسویه نشده (کیلوگرم)]]</f>
        <v>0</v>
      </c>
      <c r="T1448" s="6">
        <f ca="1">Main[[#This Row],[بدهی سررسید شده (کیلوگرم)]]*Main[[#This Row],[روز از ارسال سفارش]]</f>
        <v>0</v>
      </c>
      <c r="U1448" s="6">
        <f>-SUBTOTAL(9,INDEX(Main[مقدار (کیلوگرم)],1):Main[[#This Row],[مقدار (کیلوگرم)]])</f>
        <v>39329</v>
      </c>
      <c r="V14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8" s="6">
        <f>Main[[#This Row],[تعداد کل روزهای بدهکار (روز)]]*Main[[#This Row],[مانده در خط کل (کیلوگرم)]]</f>
        <v>0</v>
      </c>
      <c r="X1448" s="6">
        <f ca="1">-SUBTOTAL(9,INDEX(Main[مقدار تسویه شده (کیلوگرم)],1):Main[[#This Row],[مقدار تسویه شده (کیلوگرم)]])</f>
        <v>39329</v>
      </c>
      <c r="Y1448" s="6">
        <f ca="1">IF(Main[[#This Row],[مانده در خط تسویه شده (کیلوگرم)]]&lt;&gt;0,Main[[#This Row],[تعداد کل روزهای بدهکار (روز)]],0)</f>
        <v>0</v>
      </c>
      <c r="Z1448" s="6">
        <f ca="1">Main[[#This Row],[تعداد روزهای بدهکار تسویه شده (روز)]]*Main[[#This Row],[مانده در خط تسویه شده (کیلوگرم)]]</f>
        <v>0</v>
      </c>
      <c r="AA1448" s="6">
        <f ca="1">SUBTOTAL(9,INDEX(Main[بدهی تسویه نشده (کیلوگرم)],1):Main[[#This Row],[بدهی تسویه نشده (کیلوگرم)]])</f>
        <v>0</v>
      </c>
      <c r="AB1448" s="6">
        <f ca="1">IF(Main[[#This Row],[مانده در خط تسویه نشده (کیلوگرم)]]&lt;&gt;0,Main[[#This Row],[تعداد کل روزهای بدهکار (روز)]],0)</f>
        <v>0</v>
      </c>
      <c r="AC1448" s="6">
        <f ca="1">Main[[#This Row],[تعداد روزهای بدهکار  تسویه نشده (روز)]]*Main[[#This Row],[مانده در خط تسویه نشده (کیلوگرم)]]</f>
        <v>0</v>
      </c>
      <c r="AD1448" s="6">
        <f ca="1">SUBTOTAL(9,INDEX(Main[بدهی سررسید شده (کیلوگرم)],1):Main[[#This Row],[بدهی سررسید شده (کیلوگرم)]])</f>
        <v>0</v>
      </c>
      <c r="AE1448" s="6">
        <f ca="1">IF(Main[[#This Row],[مانده در خط سررسید شده (کیلوگرم)]]&lt;&gt;0,Main[[#This Row],[تعداد کل روزهای بدهکار (روز)]],0)</f>
        <v>0</v>
      </c>
      <c r="AF1448" s="6">
        <f ca="1">Main[[#This Row],[تعداد روزهای بدهکار سررسید شده (روز)]]*Main[[#This Row],[مانده در خط سررسید شده (کیلوگرم)]]</f>
        <v>0</v>
      </c>
    </row>
    <row r="1449" spans="1:32" x14ac:dyDescent="0.35">
      <c r="A1449" s="5">
        <f>ROW()-ROW(INDEX(Main[ردیف],1))+1</f>
        <v>1447</v>
      </c>
      <c r="B1449" s="31">
        <f>SUBTOTAL(2,INDEX(Main[ردیف],1):Main[[#This Row],[ردیف]])</f>
        <v>127</v>
      </c>
      <c r="C1449" s="32" t="s">
        <v>656</v>
      </c>
      <c r="D1449" s="32" t="str">
        <f>_xlfn.CONCAT("14",Main[[#This Row],[تاريخ]])</f>
        <v>1400/06/08</v>
      </c>
      <c r="E1449" s="33">
        <v>44438</v>
      </c>
      <c r="F1449" s="32">
        <v>10003</v>
      </c>
      <c r="G1449" s="5" t="str">
        <f>INDEX(customer[عنوان],MATCH(Main[[#This Row],[کد ردیابی]],customer[کد],0))</f>
        <v>اصغر نورعلی</v>
      </c>
      <c r="H1449">
        <v>-2064</v>
      </c>
      <c r="I1449" s="6">
        <f ca="1">-Main[[#This Row],[بدهی تسویه شده (کیلوگرم)]]+Main[[#This Row],[بستانکار (کیلوگرم)]]</f>
        <v>-2064</v>
      </c>
      <c r="J1449" s="6">
        <f>IF(Main[[#This Row],[مقدار (کیلوگرم)]]&gt;0,Main[[#This Row],[مقدار (کیلوگرم)]],0)</f>
        <v>0</v>
      </c>
      <c r="K1449" s="6">
        <f>-IF(Main[[#This Row],[مقدار (کیلوگرم)]]&lt;0,Main[[#This Row],[مقدار (کیلوگرم)]],0)</f>
        <v>2064</v>
      </c>
      <c r="L14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9" s="7">
        <f>-IF(AND(Main[[#This Row],[مقدار (کیلوگرم)]]&lt;0,Main[[#This Row],[تاريخ میلادی]]&gt;44276),Main[[#This Row],[مقدار (کیلوگرم)]],0)</f>
        <v>2064</v>
      </c>
      <c r="N1449" s="6">
        <f ca="1">Main[[#This Row],[بدهکار (کیلوگرم)]]-Main[[#This Row],[بدهی تسویه نشده (کیلوگرم)]]</f>
        <v>2064</v>
      </c>
      <c r="O1449" s="6">
        <f ca="1">Main[[#This Row],[تفکیک]]</f>
        <v>0</v>
      </c>
      <c r="P1449" s="6">
        <f ca="1">IF(Main[[#This Row],[تاخیر از سررسید]]&gt;0,Main[[#This Row],[بدهی تسویه نشده (کیلوگرم)]],0)</f>
        <v>0</v>
      </c>
      <c r="Q1449" s="6">
        <f ca="1">IF(Main[[#This Row],[بدهی تسویه نشده (کیلوگرم)]]&gt;0,'گزارش فردی'!$B$7-Main[[#This Row],[تاريخ میلادی]],0)</f>
        <v>0</v>
      </c>
      <c r="R1449" s="6">
        <f ca="1">IF(Main[[#This Row],[بدهی تسویه نشده (کیلوگرم)]]&gt;0,'گزارش فردی'!$B$7-Main[[#This Row],[تاريخ میلادی]]-'گزارش فردی'!$B$8,0)</f>
        <v>0</v>
      </c>
      <c r="S1449" s="6">
        <f ca="1">Main[[#This Row],[روز از ارسال سفارش]]*Main[[#This Row],[بدهی تسویه نشده (کیلوگرم)]]</f>
        <v>0</v>
      </c>
      <c r="T1449" s="6">
        <f ca="1">Main[[#This Row],[بدهی سررسید شده (کیلوگرم)]]*Main[[#This Row],[روز از ارسال سفارش]]</f>
        <v>0</v>
      </c>
      <c r="U1449" s="6">
        <f>-SUBTOTAL(9,INDEX(Main[مقدار (کیلوگرم)],1):Main[[#This Row],[مقدار (کیلوگرم)]])</f>
        <v>41393</v>
      </c>
      <c r="V14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9" s="6">
        <f>Main[[#This Row],[تعداد کل روزهای بدهکار (روز)]]*Main[[#This Row],[مانده در خط کل (کیلوگرم)]]</f>
        <v>0</v>
      </c>
      <c r="X1449" s="6">
        <f ca="1">-SUBTOTAL(9,INDEX(Main[مقدار تسویه شده (کیلوگرم)],1):Main[[#This Row],[مقدار تسویه شده (کیلوگرم)]])</f>
        <v>41393</v>
      </c>
      <c r="Y1449" s="6">
        <f ca="1">IF(Main[[#This Row],[مانده در خط تسویه شده (کیلوگرم)]]&lt;&gt;0,Main[[#This Row],[تعداد کل روزهای بدهکار (روز)]],0)</f>
        <v>0</v>
      </c>
      <c r="Z1449" s="6">
        <f ca="1">Main[[#This Row],[تعداد روزهای بدهکار تسویه شده (روز)]]*Main[[#This Row],[مانده در خط تسویه شده (کیلوگرم)]]</f>
        <v>0</v>
      </c>
      <c r="AA1449" s="6">
        <f ca="1">SUBTOTAL(9,INDEX(Main[بدهی تسویه نشده (کیلوگرم)],1):Main[[#This Row],[بدهی تسویه نشده (کیلوگرم)]])</f>
        <v>0</v>
      </c>
      <c r="AB1449" s="6">
        <f ca="1">IF(Main[[#This Row],[مانده در خط تسویه نشده (کیلوگرم)]]&lt;&gt;0,Main[[#This Row],[تعداد کل روزهای بدهکار (روز)]],0)</f>
        <v>0</v>
      </c>
      <c r="AC1449" s="6">
        <f ca="1">Main[[#This Row],[تعداد روزهای بدهکار  تسویه نشده (روز)]]*Main[[#This Row],[مانده در خط تسویه نشده (کیلوگرم)]]</f>
        <v>0</v>
      </c>
      <c r="AD1449" s="6">
        <f ca="1">SUBTOTAL(9,INDEX(Main[بدهی سررسید شده (کیلوگرم)],1):Main[[#This Row],[بدهی سررسید شده (کیلوگرم)]])</f>
        <v>0</v>
      </c>
      <c r="AE1449" s="6">
        <f ca="1">IF(Main[[#This Row],[مانده در خط سررسید شده (کیلوگرم)]]&lt;&gt;0,Main[[#This Row],[تعداد کل روزهای بدهکار (روز)]],0)</f>
        <v>0</v>
      </c>
      <c r="AF1449" s="6">
        <f ca="1">Main[[#This Row],[تعداد روزهای بدهکار سررسید شده (روز)]]*Main[[#This Row],[مانده در خط سررسید شده (کیلوگرم)]]</f>
        <v>0</v>
      </c>
    </row>
    <row r="1450" spans="1:32" hidden="1" x14ac:dyDescent="0.35">
      <c r="A1450" s="5">
        <f>ROW()-ROW(INDEX(Main[ردیف],1))+1</f>
        <v>1448</v>
      </c>
      <c r="B1450" s="31">
        <f>SUBTOTAL(2,INDEX(Main[ردیف],1):Main[[#This Row],[ردیف]])</f>
        <v>127</v>
      </c>
      <c r="C1450" s="32" t="s">
        <v>656</v>
      </c>
      <c r="D1450" s="32" t="str">
        <f>_xlfn.CONCAT("14",Main[[#This Row],[تاريخ]])</f>
        <v>1400/06/08</v>
      </c>
      <c r="E1450" s="33">
        <v>44438</v>
      </c>
      <c r="F1450" s="32">
        <v>10055</v>
      </c>
      <c r="G1450" s="5" t="str">
        <f>INDEX(customer[عنوان],MATCH(Main[[#This Row],[کد ردیابی]],customer[کد],0))</f>
        <v xml:space="preserve">مریم فیض آبادی  </v>
      </c>
      <c r="H1450">
        <v>5085</v>
      </c>
      <c r="I1450" s="6">
        <f ca="1">-Main[[#This Row],[بدهی تسویه شده (کیلوگرم)]]+Main[[#This Row],[بستانکار (کیلوگرم)]]</f>
        <v>5085</v>
      </c>
      <c r="J1450" s="6">
        <f>IF(Main[[#This Row],[مقدار (کیلوگرم)]]&gt;0,Main[[#This Row],[مقدار (کیلوگرم)]],0)</f>
        <v>5085</v>
      </c>
      <c r="K1450" s="6">
        <f>-IF(Main[[#This Row],[مقدار (کیلوگرم)]]&lt;0,Main[[#This Row],[مقدار (کیلوگرم)]],0)</f>
        <v>0</v>
      </c>
      <c r="L14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0" s="7">
        <f>-IF(AND(Main[[#This Row],[مقدار (کیلوگرم)]]&lt;0,Main[[#This Row],[تاريخ میلادی]]&gt;44276),Main[[#This Row],[مقدار (کیلوگرم)]],0)</f>
        <v>0</v>
      </c>
      <c r="N1450" s="6">
        <f ca="1">Main[[#This Row],[بدهکار (کیلوگرم)]]-Main[[#This Row],[بدهی تسویه نشده (کیلوگرم)]]</f>
        <v>0</v>
      </c>
      <c r="O1450" s="6">
        <f ca="1">Main[[#This Row],[تفکیک]]</f>
        <v>0</v>
      </c>
      <c r="P1450" s="6">
        <f ca="1">IF(Main[[#This Row],[تاخیر از سررسید]]&gt;0,Main[[#This Row],[بدهی تسویه نشده (کیلوگرم)]],0)</f>
        <v>0</v>
      </c>
      <c r="Q1450" s="6">
        <f ca="1">IF(Main[[#This Row],[بدهی تسویه نشده (کیلوگرم)]]&gt;0,'گزارش فردی'!$B$7-Main[[#This Row],[تاريخ میلادی]],0)</f>
        <v>0</v>
      </c>
      <c r="R1450" s="6">
        <f ca="1">IF(Main[[#This Row],[بدهی تسویه نشده (کیلوگرم)]]&gt;0,'گزارش فردی'!$B$7-Main[[#This Row],[تاريخ میلادی]]-'گزارش فردی'!$B$8,0)</f>
        <v>0</v>
      </c>
      <c r="S1450" s="6">
        <f ca="1">Main[[#This Row],[روز از ارسال سفارش]]*Main[[#This Row],[بدهی تسویه نشده (کیلوگرم)]]</f>
        <v>0</v>
      </c>
      <c r="T1450" s="6">
        <f ca="1">Main[[#This Row],[بدهی سررسید شده (کیلوگرم)]]*Main[[#This Row],[روز از ارسال سفارش]]</f>
        <v>0</v>
      </c>
      <c r="U1450" s="6">
        <f>-SUBTOTAL(9,INDEX(Main[مقدار (کیلوگرم)],1):Main[[#This Row],[مقدار (کیلوگرم)]])</f>
        <v>41393</v>
      </c>
      <c r="V14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0" s="6">
        <f>Main[[#This Row],[تعداد کل روزهای بدهکار (روز)]]*Main[[#This Row],[مانده در خط کل (کیلوگرم)]]</f>
        <v>0</v>
      </c>
      <c r="X1450" s="6">
        <f ca="1">-SUBTOTAL(9,INDEX(Main[مقدار تسویه شده (کیلوگرم)],1):Main[[#This Row],[مقدار تسویه شده (کیلوگرم)]])</f>
        <v>41393</v>
      </c>
      <c r="Y1450" s="6">
        <f ca="1">IF(Main[[#This Row],[مانده در خط تسویه شده (کیلوگرم)]]&lt;&gt;0,Main[[#This Row],[تعداد کل روزهای بدهکار (روز)]],0)</f>
        <v>0</v>
      </c>
      <c r="Z1450" s="6">
        <f ca="1">Main[[#This Row],[تعداد روزهای بدهکار تسویه شده (روز)]]*Main[[#This Row],[مانده در خط تسویه شده (کیلوگرم)]]</f>
        <v>0</v>
      </c>
      <c r="AA1450" s="6">
        <f ca="1">SUBTOTAL(9,INDEX(Main[بدهی تسویه نشده (کیلوگرم)],1):Main[[#This Row],[بدهی تسویه نشده (کیلوگرم)]])</f>
        <v>0</v>
      </c>
      <c r="AB1450" s="6">
        <f ca="1">IF(Main[[#This Row],[مانده در خط تسویه نشده (کیلوگرم)]]&lt;&gt;0,Main[[#This Row],[تعداد کل روزهای بدهکار (روز)]],0)</f>
        <v>0</v>
      </c>
      <c r="AC1450" s="6">
        <f ca="1">Main[[#This Row],[تعداد روزهای بدهکار  تسویه نشده (روز)]]*Main[[#This Row],[مانده در خط تسویه نشده (کیلوگرم)]]</f>
        <v>0</v>
      </c>
      <c r="AD1450" s="6">
        <f ca="1">SUBTOTAL(9,INDEX(Main[بدهی سررسید شده (کیلوگرم)],1):Main[[#This Row],[بدهی سررسید شده (کیلوگرم)]])</f>
        <v>0</v>
      </c>
      <c r="AE1450" s="6">
        <f ca="1">IF(Main[[#This Row],[مانده در خط سررسید شده (کیلوگرم)]]&lt;&gt;0,Main[[#This Row],[تعداد کل روزهای بدهکار (روز)]],0)</f>
        <v>0</v>
      </c>
      <c r="AF1450" s="6">
        <f ca="1">Main[[#This Row],[تعداد روزهای بدهکار سررسید شده (روز)]]*Main[[#This Row],[مانده در خط سررسید شده (کیلوگرم)]]</f>
        <v>0</v>
      </c>
    </row>
    <row r="1451" spans="1:32" hidden="1" x14ac:dyDescent="0.35">
      <c r="A1451" s="5">
        <f>ROW()-ROW(INDEX(Main[ردیف],1))+1</f>
        <v>1449</v>
      </c>
      <c r="B1451" s="31">
        <f>SUBTOTAL(2,INDEX(Main[ردیف],1):Main[[#This Row],[ردیف]])</f>
        <v>127</v>
      </c>
      <c r="C1451" s="32" t="s">
        <v>656</v>
      </c>
      <c r="D1451" s="32" t="str">
        <f>_xlfn.CONCAT("14",Main[[#This Row],[تاريخ]])</f>
        <v>1400/06/08</v>
      </c>
      <c r="E1451" s="33">
        <v>44438</v>
      </c>
      <c r="F1451" s="32">
        <v>10009</v>
      </c>
      <c r="G1451" s="5" t="str">
        <f>INDEX(customer[عنوان],MATCH(Main[[#This Row],[کد ردیابی]],customer[کد],0))</f>
        <v>محمد نمازی</v>
      </c>
      <c r="H1451">
        <v>-2075</v>
      </c>
      <c r="I1451" s="6">
        <f ca="1">-Main[[#This Row],[بدهی تسویه شده (کیلوگرم)]]+Main[[#This Row],[بستانکار (کیلوگرم)]]</f>
        <v>-2075</v>
      </c>
      <c r="J1451" s="6">
        <f>IF(Main[[#This Row],[مقدار (کیلوگرم)]]&gt;0,Main[[#This Row],[مقدار (کیلوگرم)]],0)</f>
        <v>0</v>
      </c>
      <c r="K1451" s="6">
        <f>-IF(Main[[#This Row],[مقدار (کیلوگرم)]]&lt;0,Main[[#This Row],[مقدار (کیلوگرم)]],0)</f>
        <v>2075</v>
      </c>
      <c r="L14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1" s="7">
        <f>-IF(AND(Main[[#This Row],[مقدار (کیلوگرم)]]&lt;0,Main[[#This Row],[تاريخ میلادی]]&gt;44276),Main[[#This Row],[مقدار (کیلوگرم)]],0)</f>
        <v>2075</v>
      </c>
      <c r="N1451" s="6">
        <f ca="1">Main[[#This Row],[بدهکار (کیلوگرم)]]-Main[[#This Row],[بدهی تسویه نشده (کیلوگرم)]]</f>
        <v>2075</v>
      </c>
      <c r="O1451" s="6">
        <f ca="1">Main[[#This Row],[تفکیک]]</f>
        <v>0</v>
      </c>
      <c r="P1451" s="6">
        <f ca="1">IF(Main[[#This Row],[تاخیر از سررسید]]&gt;0,Main[[#This Row],[بدهی تسویه نشده (کیلوگرم)]],0)</f>
        <v>0</v>
      </c>
      <c r="Q1451" s="6">
        <f ca="1">IF(Main[[#This Row],[بدهی تسویه نشده (کیلوگرم)]]&gt;0,'گزارش فردی'!$B$7-Main[[#This Row],[تاريخ میلادی]],0)</f>
        <v>0</v>
      </c>
      <c r="R1451" s="6">
        <f ca="1">IF(Main[[#This Row],[بدهی تسویه نشده (کیلوگرم)]]&gt;0,'گزارش فردی'!$B$7-Main[[#This Row],[تاريخ میلادی]]-'گزارش فردی'!$B$8,0)</f>
        <v>0</v>
      </c>
      <c r="S1451" s="6">
        <f ca="1">Main[[#This Row],[روز از ارسال سفارش]]*Main[[#This Row],[بدهی تسویه نشده (کیلوگرم)]]</f>
        <v>0</v>
      </c>
      <c r="T1451" s="6">
        <f ca="1">Main[[#This Row],[بدهی سررسید شده (کیلوگرم)]]*Main[[#This Row],[روز از ارسال سفارش]]</f>
        <v>0</v>
      </c>
      <c r="U1451" s="6">
        <f>-SUBTOTAL(9,INDEX(Main[مقدار (کیلوگرم)],1):Main[[#This Row],[مقدار (کیلوگرم)]])</f>
        <v>41393</v>
      </c>
      <c r="V14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1" s="6">
        <f>Main[[#This Row],[تعداد کل روزهای بدهکار (روز)]]*Main[[#This Row],[مانده در خط کل (کیلوگرم)]]</f>
        <v>0</v>
      </c>
      <c r="X1451" s="6">
        <f ca="1">-SUBTOTAL(9,INDEX(Main[مقدار تسویه شده (کیلوگرم)],1):Main[[#This Row],[مقدار تسویه شده (کیلوگرم)]])</f>
        <v>41393</v>
      </c>
      <c r="Y1451" s="6">
        <f ca="1">IF(Main[[#This Row],[مانده در خط تسویه شده (کیلوگرم)]]&lt;&gt;0,Main[[#This Row],[تعداد کل روزهای بدهکار (روز)]],0)</f>
        <v>0</v>
      </c>
      <c r="Z1451" s="6">
        <f ca="1">Main[[#This Row],[تعداد روزهای بدهکار تسویه شده (روز)]]*Main[[#This Row],[مانده در خط تسویه شده (کیلوگرم)]]</f>
        <v>0</v>
      </c>
      <c r="AA1451" s="6">
        <f ca="1">SUBTOTAL(9,INDEX(Main[بدهی تسویه نشده (کیلوگرم)],1):Main[[#This Row],[بدهی تسویه نشده (کیلوگرم)]])</f>
        <v>0</v>
      </c>
      <c r="AB1451" s="6">
        <f ca="1">IF(Main[[#This Row],[مانده در خط تسویه نشده (کیلوگرم)]]&lt;&gt;0,Main[[#This Row],[تعداد کل روزهای بدهکار (روز)]],0)</f>
        <v>0</v>
      </c>
      <c r="AC1451" s="6">
        <f ca="1">Main[[#This Row],[تعداد روزهای بدهکار  تسویه نشده (روز)]]*Main[[#This Row],[مانده در خط تسویه نشده (کیلوگرم)]]</f>
        <v>0</v>
      </c>
      <c r="AD1451" s="6">
        <f ca="1">SUBTOTAL(9,INDEX(Main[بدهی سررسید شده (کیلوگرم)],1):Main[[#This Row],[بدهی سررسید شده (کیلوگرم)]])</f>
        <v>0</v>
      </c>
      <c r="AE1451" s="6">
        <f ca="1">IF(Main[[#This Row],[مانده در خط سررسید شده (کیلوگرم)]]&lt;&gt;0,Main[[#This Row],[تعداد کل روزهای بدهکار (روز)]],0)</f>
        <v>0</v>
      </c>
      <c r="AF1451" s="6">
        <f ca="1">Main[[#This Row],[تعداد روزهای بدهکار سررسید شده (روز)]]*Main[[#This Row],[مانده در خط سررسید شده (کیلوگرم)]]</f>
        <v>0</v>
      </c>
    </row>
    <row r="1452" spans="1:32" hidden="1" x14ac:dyDescent="0.35">
      <c r="A1452" s="5">
        <f>ROW()-ROW(INDEX(Main[ردیف],1))+1</f>
        <v>1450</v>
      </c>
      <c r="B1452" s="31">
        <f>SUBTOTAL(2,INDEX(Main[ردیف],1):Main[[#This Row],[ردیف]])</f>
        <v>127</v>
      </c>
      <c r="C1452" s="32" t="s">
        <v>656</v>
      </c>
      <c r="D1452" s="32" t="str">
        <f>_xlfn.CONCAT("14",Main[[#This Row],[تاريخ]])</f>
        <v>1400/06/08</v>
      </c>
      <c r="E1452" s="33">
        <v>44438</v>
      </c>
      <c r="F1452" s="32">
        <v>30009</v>
      </c>
      <c r="G1452" s="5" t="str">
        <f>INDEX(customer[عنوان],MATCH(Main[[#This Row],[کد ردیابی]],customer[کد],0))</f>
        <v>شرکت ایمن تک پیشرو</v>
      </c>
      <c r="H1452">
        <v>1983</v>
      </c>
      <c r="I1452" s="6">
        <f ca="1">-Main[[#This Row],[بدهی تسویه شده (کیلوگرم)]]+Main[[#This Row],[بستانکار (کیلوگرم)]]</f>
        <v>1983</v>
      </c>
      <c r="J1452" s="6">
        <f>IF(Main[[#This Row],[مقدار (کیلوگرم)]]&gt;0,Main[[#This Row],[مقدار (کیلوگرم)]],0)</f>
        <v>1983</v>
      </c>
      <c r="K1452" s="6">
        <f>-IF(Main[[#This Row],[مقدار (کیلوگرم)]]&lt;0,Main[[#This Row],[مقدار (کیلوگرم)]],0)</f>
        <v>0</v>
      </c>
      <c r="L14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2" s="7">
        <f>-IF(AND(Main[[#This Row],[مقدار (کیلوگرم)]]&lt;0,Main[[#This Row],[تاريخ میلادی]]&gt;44276),Main[[#This Row],[مقدار (کیلوگرم)]],0)</f>
        <v>0</v>
      </c>
      <c r="N1452" s="6">
        <f ca="1">Main[[#This Row],[بدهکار (کیلوگرم)]]-Main[[#This Row],[بدهی تسویه نشده (کیلوگرم)]]</f>
        <v>0</v>
      </c>
      <c r="O1452" s="6">
        <f ca="1">Main[[#This Row],[تفکیک]]</f>
        <v>0</v>
      </c>
      <c r="P1452" s="6">
        <f ca="1">IF(Main[[#This Row],[تاخیر از سررسید]]&gt;0,Main[[#This Row],[بدهی تسویه نشده (کیلوگرم)]],0)</f>
        <v>0</v>
      </c>
      <c r="Q1452" s="6">
        <f ca="1">IF(Main[[#This Row],[بدهی تسویه نشده (کیلوگرم)]]&gt;0,'گزارش فردی'!$B$7-Main[[#This Row],[تاريخ میلادی]],0)</f>
        <v>0</v>
      </c>
      <c r="R1452" s="6">
        <f ca="1">IF(Main[[#This Row],[بدهی تسویه نشده (کیلوگرم)]]&gt;0,'گزارش فردی'!$B$7-Main[[#This Row],[تاريخ میلادی]]-'گزارش فردی'!$B$8,0)</f>
        <v>0</v>
      </c>
      <c r="S1452" s="6">
        <f ca="1">Main[[#This Row],[روز از ارسال سفارش]]*Main[[#This Row],[بدهی تسویه نشده (کیلوگرم)]]</f>
        <v>0</v>
      </c>
      <c r="T1452" s="6">
        <f ca="1">Main[[#This Row],[بدهی سررسید شده (کیلوگرم)]]*Main[[#This Row],[روز از ارسال سفارش]]</f>
        <v>0</v>
      </c>
      <c r="U1452" s="6">
        <f>-SUBTOTAL(9,INDEX(Main[مقدار (کیلوگرم)],1):Main[[#This Row],[مقدار (کیلوگرم)]])</f>
        <v>41393</v>
      </c>
      <c r="V14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2" s="6">
        <f>Main[[#This Row],[تعداد کل روزهای بدهکار (روز)]]*Main[[#This Row],[مانده در خط کل (کیلوگرم)]]</f>
        <v>0</v>
      </c>
      <c r="X1452" s="6">
        <f ca="1">-SUBTOTAL(9,INDEX(Main[مقدار تسویه شده (کیلوگرم)],1):Main[[#This Row],[مقدار تسویه شده (کیلوگرم)]])</f>
        <v>41393</v>
      </c>
      <c r="Y1452" s="6">
        <f ca="1">IF(Main[[#This Row],[مانده در خط تسویه شده (کیلوگرم)]]&lt;&gt;0,Main[[#This Row],[تعداد کل روزهای بدهکار (روز)]],0)</f>
        <v>0</v>
      </c>
      <c r="Z1452" s="6">
        <f ca="1">Main[[#This Row],[تعداد روزهای بدهکار تسویه شده (روز)]]*Main[[#This Row],[مانده در خط تسویه شده (کیلوگرم)]]</f>
        <v>0</v>
      </c>
      <c r="AA1452" s="6">
        <f ca="1">SUBTOTAL(9,INDEX(Main[بدهی تسویه نشده (کیلوگرم)],1):Main[[#This Row],[بدهی تسویه نشده (کیلوگرم)]])</f>
        <v>0</v>
      </c>
      <c r="AB1452" s="6">
        <f ca="1">IF(Main[[#This Row],[مانده در خط تسویه نشده (کیلوگرم)]]&lt;&gt;0,Main[[#This Row],[تعداد کل روزهای بدهکار (روز)]],0)</f>
        <v>0</v>
      </c>
      <c r="AC1452" s="6">
        <f ca="1">Main[[#This Row],[تعداد روزهای بدهکار  تسویه نشده (روز)]]*Main[[#This Row],[مانده در خط تسویه نشده (کیلوگرم)]]</f>
        <v>0</v>
      </c>
      <c r="AD1452" s="6">
        <f ca="1">SUBTOTAL(9,INDEX(Main[بدهی سررسید شده (کیلوگرم)],1):Main[[#This Row],[بدهی سررسید شده (کیلوگرم)]])</f>
        <v>0</v>
      </c>
      <c r="AE1452" s="6">
        <f ca="1">IF(Main[[#This Row],[مانده در خط سررسید شده (کیلوگرم)]]&lt;&gt;0,Main[[#This Row],[تعداد کل روزهای بدهکار (روز)]],0)</f>
        <v>0</v>
      </c>
      <c r="AF1452" s="6">
        <f ca="1">Main[[#This Row],[تعداد روزهای بدهکار سررسید شده (روز)]]*Main[[#This Row],[مانده در خط سررسید شده (کیلوگرم)]]</f>
        <v>0</v>
      </c>
    </row>
    <row r="1453" spans="1:32" hidden="1" x14ac:dyDescent="0.35">
      <c r="A1453" s="5">
        <f>ROW()-ROW(INDEX(Main[ردیف],1))+1</f>
        <v>1451</v>
      </c>
      <c r="B1453" s="31">
        <f>SUBTOTAL(2,INDEX(Main[ردیف],1):Main[[#This Row],[ردیف]])</f>
        <v>127</v>
      </c>
      <c r="C1453" s="32" t="s">
        <v>656</v>
      </c>
      <c r="D1453" s="32" t="str">
        <f>_xlfn.CONCAT("14",Main[[#This Row],[تاريخ]])</f>
        <v>1400/06/08</v>
      </c>
      <c r="E1453" s="33">
        <v>44438</v>
      </c>
      <c r="F1453" s="32">
        <v>10018</v>
      </c>
      <c r="G1453" s="5" t="str">
        <f>INDEX(customer[عنوان],MATCH(Main[[#This Row],[کد ردیابی]],customer[کد],0))</f>
        <v xml:space="preserve">کوهی </v>
      </c>
      <c r="H1453">
        <v>-500</v>
      </c>
      <c r="I1453" s="6">
        <f ca="1">-Main[[#This Row],[بدهی تسویه شده (کیلوگرم)]]+Main[[#This Row],[بستانکار (کیلوگرم)]]</f>
        <v>-500</v>
      </c>
      <c r="J1453" s="6">
        <f>IF(Main[[#This Row],[مقدار (کیلوگرم)]]&gt;0,Main[[#This Row],[مقدار (کیلوگرم)]],0)</f>
        <v>0</v>
      </c>
      <c r="K1453" s="6">
        <f>-IF(Main[[#This Row],[مقدار (کیلوگرم)]]&lt;0,Main[[#This Row],[مقدار (کیلوگرم)]],0)</f>
        <v>500</v>
      </c>
      <c r="L14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3" s="7">
        <f>-IF(AND(Main[[#This Row],[مقدار (کیلوگرم)]]&lt;0,Main[[#This Row],[تاريخ میلادی]]&gt;44276),Main[[#This Row],[مقدار (کیلوگرم)]],0)</f>
        <v>500</v>
      </c>
      <c r="N1453" s="6">
        <f ca="1">Main[[#This Row],[بدهکار (کیلوگرم)]]-Main[[#This Row],[بدهی تسویه نشده (کیلوگرم)]]</f>
        <v>500</v>
      </c>
      <c r="O1453" s="6">
        <f ca="1">Main[[#This Row],[تفکیک]]</f>
        <v>0</v>
      </c>
      <c r="P1453" s="6">
        <f ca="1">IF(Main[[#This Row],[تاخیر از سررسید]]&gt;0,Main[[#This Row],[بدهی تسویه نشده (کیلوگرم)]],0)</f>
        <v>0</v>
      </c>
      <c r="Q1453" s="6">
        <f ca="1">IF(Main[[#This Row],[بدهی تسویه نشده (کیلوگرم)]]&gt;0,'گزارش فردی'!$B$7-Main[[#This Row],[تاريخ میلادی]],0)</f>
        <v>0</v>
      </c>
      <c r="R1453" s="6">
        <f ca="1">IF(Main[[#This Row],[بدهی تسویه نشده (کیلوگرم)]]&gt;0,'گزارش فردی'!$B$7-Main[[#This Row],[تاريخ میلادی]]-'گزارش فردی'!$B$8,0)</f>
        <v>0</v>
      </c>
      <c r="S1453" s="6">
        <f ca="1">Main[[#This Row],[روز از ارسال سفارش]]*Main[[#This Row],[بدهی تسویه نشده (کیلوگرم)]]</f>
        <v>0</v>
      </c>
      <c r="T1453" s="6">
        <f ca="1">Main[[#This Row],[بدهی سررسید شده (کیلوگرم)]]*Main[[#This Row],[روز از ارسال سفارش]]</f>
        <v>0</v>
      </c>
      <c r="U1453" s="6">
        <f>-SUBTOTAL(9,INDEX(Main[مقدار (کیلوگرم)],1):Main[[#This Row],[مقدار (کیلوگرم)]])</f>
        <v>41393</v>
      </c>
      <c r="V14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3" s="6">
        <f>Main[[#This Row],[تعداد کل روزهای بدهکار (روز)]]*Main[[#This Row],[مانده در خط کل (کیلوگرم)]]</f>
        <v>0</v>
      </c>
      <c r="X1453" s="6">
        <f ca="1">-SUBTOTAL(9,INDEX(Main[مقدار تسویه شده (کیلوگرم)],1):Main[[#This Row],[مقدار تسویه شده (کیلوگرم)]])</f>
        <v>41393</v>
      </c>
      <c r="Y1453" s="6">
        <f ca="1">IF(Main[[#This Row],[مانده در خط تسویه شده (کیلوگرم)]]&lt;&gt;0,Main[[#This Row],[تعداد کل روزهای بدهکار (روز)]],0)</f>
        <v>0</v>
      </c>
      <c r="Z1453" s="6">
        <f ca="1">Main[[#This Row],[تعداد روزهای بدهکار تسویه شده (روز)]]*Main[[#This Row],[مانده در خط تسویه شده (کیلوگرم)]]</f>
        <v>0</v>
      </c>
      <c r="AA1453" s="6">
        <f ca="1">SUBTOTAL(9,INDEX(Main[بدهی تسویه نشده (کیلوگرم)],1):Main[[#This Row],[بدهی تسویه نشده (کیلوگرم)]])</f>
        <v>0</v>
      </c>
      <c r="AB1453" s="6">
        <f ca="1">IF(Main[[#This Row],[مانده در خط تسویه نشده (کیلوگرم)]]&lt;&gt;0,Main[[#This Row],[تعداد کل روزهای بدهکار (روز)]],0)</f>
        <v>0</v>
      </c>
      <c r="AC1453" s="6">
        <f ca="1">Main[[#This Row],[تعداد روزهای بدهکار  تسویه نشده (روز)]]*Main[[#This Row],[مانده در خط تسویه نشده (کیلوگرم)]]</f>
        <v>0</v>
      </c>
      <c r="AD1453" s="6">
        <f ca="1">SUBTOTAL(9,INDEX(Main[بدهی سررسید شده (کیلوگرم)],1):Main[[#This Row],[بدهی سررسید شده (کیلوگرم)]])</f>
        <v>0</v>
      </c>
      <c r="AE1453" s="6">
        <f ca="1">IF(Main[[#This Row],[مانده در خط سررسید شده (کیلوگرم)]]&lt;&gt;0,Main[[#This Row],[تعداد کل روزهای بدهکار (روز)]],0)</f>
        <v>0</v>
      </c>
      <c r="AF1453" s="6">
        <f ca="1">Main[[#This Row],[تعداد روزهای بدهکار سررسید شده (روز)]]*Main[[#This Row],[مانده در خط سررسید شده (کیلوگرم)]]</f>
        <v>0</v>
      </c>
    </row>
    <row r="1454" spans="1:32" x14ac:dyDescent="0.35">
      <c r="A1454" s="5">
        <f>ROW()-ROW(INDEX(Main[ردیف],1))+1</f>
        <v>1452</v>
      </c>
      <c r="B1454" s="31">
        <f>SUBTOTAL(2,INDEX(Main[ردیف],1):Main[[#This Row],[ردیف]])</f>
        <v>128</v>
      </c>
      <c r="C1454" s="32" t="s">
        <v>656</v>
      </c>
      <c r="D1454" s="32" t="str">
        <f>_xlfn.CONCAT("14",Main[[#This Row],[تاريخ]])</f>
        <v>1400/06/08</v>
      </c>
      <c r="E1454" s="33">
        <v>44438</v>
      </c>
      <c r="F1454" s="32">
        <v>10003</v>
      </c>
      <c r="G1454" s="5" t="str">
        <f>INDEX(customer[عنوان],MATCH(Main[[#This Row],[کد ردیابی]],customer[کد],0))</f>
        <v>اصغر نورعلی</v>
      </c>
      <c r="H1454">
        <v>2593</v>
      </c>
      <c r="I1454" s="6">
        <f ca="1">-Main[[#This Row],[بدهی تسویه شده (کیلوگرم)]]+Main[[#This Row],[بستانکار (کیلوگرم)]]</f>
        <v>2593</v>
      </c>
      <c r="J1454" s="6">
        <f>IF(Main[[#This Row],[مقدار (کیلوگرم)]]&gt;0,Main[[#This Row],[مقدار (کیلوگرم)]],0)</f>
        <v>2593</v>
      </c>
      <c r="K1454" s="6">
        <f>-IF(Main[[#This Row],[مقدار (کیلوگرم)]]&lt;0,Main[[#This Row],[مقدار (کیلوگرم)]],0)</f>
        <v>0</v>
      </c>
      <c r="L14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4" s="7">
        <f>-IF(AND(Main[[#This Row],[مقدار (کیلوگرم)]]&lt;0,Main[[#This Row],[تاريخ میلادی]]&gt;44276),Main[[#This Row],[مقدار (کیلوگرم)]],0)</f>
        <v>0</v>
      </c>
      <c r="N1454" s="6">
        <f ca="1">Main[[#This Row],[بدهکار (کیلوگرم)]]-Main[[#This Row],[بدهی تسویه نشده (کیلوگرم)]]</f>
        <v>0</v>
      </c>
      <c r="O1454" s="6">
        <f ca="1">Main[[#This Row],[تفکیک]]</f>
        <v>0</v>
      </c>
      <c r="P1454" s="6">
        <f ca="1">IF(Main[[#This Row],[تاخیر از سررسید]]&gt;0,Main[[#This Row],[بدهی تسویه نشده (کیلوگرم)]],0)</f>
        <v>0</v>
      </c>
      <c r="Q1454" s="6">
        <f ca="1">IF(Main[[#This Row],[بدهی تسویه نشده (کیلوگرم)]]&gt;0,'گزارش فردی'!$B$7-Main[[#This Row],[تاريخ میلادی]],0)</f>
        <v>0</v>
      </c>
      <c r="R1454" s="6">
        <f ca="1">IF(Main[[#This Row],[بدهی تسویه نشده (کیلوگرم)]]&gt;0,'گزارش فردی'!$B$7-Main[[#This Row],[تاريخ میلادی]]-'گزارش فردی'!$B$8,0)</f>
        <v>0</v>
      </c>
      <c r="S1454" s="6">
        <f ca="1">Main[[#This Row],[روز از ارسال سفارش]]*Main[[#This Row],[بدهی تسویه نشده (کیلوگرم)]]</f>
        <v>0</v>
      </c>
      <c r="T1454" s="6">
        <f ca="1">Main[[#This Row],[بدهی سررسید شده (کیلوگرم)]]*Main[[#This Row],[روز از ارسال سفارش]]</f>
        <v>0</v>
      </c>
      <c r="U1454" s="6">
        <f>-SUBTOTAL(9,INDEX(Main[مقدار (کیلوگرم)],1):Main[[#This Row],[مقدار (کیلوگرم)]])</f>
        <v>38800</v>
      </c>
      <c r="V14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54" s="6">
        <f>Main[[#This Row],[تعداد کل روزهای بدهکار (روز)]]*Main[[#This Row],[مانده در خط کل (کیلوگرم)]]</f>
        <v>38800</v>
      </c>
      <c r="X1454" s="6">
        <f ca="1">-SUBTOTAL(9,INDEX(Main[مقدار تسویه شده (کیلوگرم)],1):Main[[#This Row],[مقدار تسویه شده (کیلوگرم)]])</f>
        <v>38800</v>
      </c>
      <c r="Y1454" s="6">
        <f ca="1">IF(Main[[#This Row],[مانده در خط تسویه شده (کیلوگرم)]]&lt;&gt;0,Main[[#This Row],[تعداد کل روزهای بدهکار (روز)]],0)</f>
        <v>1</v>
      </c>
      <c r="Z1454" s="6">
        <f ca="1">Main[[#This Row],[تعداد روزهای بدهکار تسویه شده (روز)]]*Main[[#This Row],[مانده در خط تسویه شده (کیلوگرم)]]</f>
        <v>38800</v>
      </c>
      <c r="AA1454" s="6">
        <f ca="1">SUBTOTAL(9,INDEX(Main[بدهی تسویه نشده (کیلوگرم)],1):Main[[#This Row],[بدهی تسویه نشده (کیلوگرم)]])</f>
        <v>0</v>
      </c>
      <c r="AB1454" s="6">
        <f ca="1">IF(Main[[#This Row],[مانده در خط تسویه نشده (کیلوگرم)]]&lt;&gt;0,Main[[#This Row],[تعداد کل روزهای بدهکار (روز)]],0)</f>
        <v>0</v>
      </c>
      <c r="AC1454" s="6">
        <f ca="1">Main[[#This Row],[تعداد روزهای بدهکار  تسویه نشده (روز)]]*Main[[#This Row],[مانده در خط تسویه نشده (کیلوگرم)]]</f>
        <v>0</v>
      </c>
      <c r="AD1454" s="6">
        <f ca="1">SUBTOTAL(9,INDEX(Main[بدهی سررسید شده (کیلوگرم)],1):Main[[#This Row],[بدهی سررسید شده (کیلوگرم)]])</f>
        <v>0</v>
      </c>
      <c r="AE1454" s="6">
        <f ca="1">IF(Main[[#This Row],[مانده در خط سررسید شده (کیلوگرم)]]&lt;&gt;0,Main[[#This Row],[تعداد کل روزهای بدهکار (روز)]],0)</f>
        <v>0</v>
      </c>
      <c r="AF1454" s="6">
        <f ca="1">Main[[#This Row],[تعداد روزهای بدهکار سررسید شده (روز)]]*Main[[#This Row],[مانده در خط سررسید شده (کیلوگرم)]]</f>
        <v>0</v>
      </c>
    </row>
    <row r="1455" spans="1:32" hidden="1" x14ac:dyDescent="0.35">
      <c r="A1455" s="5">
        <f>ROW()-ROW(INDEX(Main[ردیف],1))+1</f>
        <v>1453</v>
      </c>
      <c r="B1455" s="31">
        <f>SUBTOTAL(2,INDEX(Main[ردیف],1):Main[[#This Row],[ردیف]])</f>
        <v>128</v>
      </c>
      <c r="C1455" s="32" t="s">
        <v>656</v>
      </c>
      <c r="D1455" s="32" t="str">
        <f>_xlfn.CONCAT("14",Main[[#This Row],[تاريخ]])</f>
        <v>1400/06/08</v>
      </c>
      <c r="E1455" s="33">
        <v>44438</v>
      </c>
      <c r="F1455" s="32">
        <v>30009</v>
      </c>
      <c r="G1455" s="5" t="str">
        <f>INDEX(customer[عنوان],MATCH(Main[[#This Row],[کد ردیابی]],customer[کد],0))</f>
        <v>شرکت ایمن تک پیشرو</v>
      </c>
      <c r="H1455">
        <v>2105</v>
      </c>
      <c r="I1455" s="6">
        <f ca="1">-Main[[#This Row],[بدهی تسویه شده (کیلوگرم)]]+Main[[#This Row],[بستانکار (کیلوگرم)]]</f>
        <v>2105</v>
      </c>
      <c r="J1455" s="6">
        <f>IF(Main[[#This Row],[مقدار (کیلوگرم)]]&gt;0,Main[[#This Row],[مقدار (کیلوگرم)]],0)</f>
        <v>2105</v>
      </c>
      <c r="K1455" s="6">
        <f>-IF(Main[[#This Row],[مقدار (کیلوگرم)]]&lt;0,Main[[#This Row],[مقدار (کیلوگرم)]],0)</f>
        <v>0</v>
      </c>
      <c r="L14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5" s="7">
        <f>-IF(AND(Main[[#This Row],[مقدار (کیلوگرم)]]&lt;0,Main[[#This Row],[تاريخ میلادی]]&gt;44276),Main[[#This Row],[مقدار (کیلوگرم)]],0)</f>
        <v>0</v>
      </c>
      <c r="N1455" s="6">
        <f ca="1">Main[[#This Row],[بدهکار (کیلوگرم)]]-Main[[#This Row],[بدهی تسویه نشده (کیلوگرم)]]</f>
        <v>0</v>
      </c>
      <c r="O1455" s="6">
        <f ca="1">Main[[#This Row],[تفکیک]]</f>
        <v>0</v>
      </c>
      <c r="P1455" s="6">
        <f ca="1">IF(Main[[#This Row],[تاخیر از سررسید]]&gt;0,Main[[#This Row],[بدهی تسویه نشده (کیلوگرم)]],0)</f>
        <v>0</v>
      </c>
      <c r="Q1455" s="6">
        <f ca="1">IF(Main[[#This Row],[بدهی تسویه نشده (کیلوگرم)]]&gt;0,'گزارش فردی'!$B$7-Main[[#This Row],[تاريخ میلادی]],0)</f>
        <v>0</v>
      </c>
      <c r="R1455" s="6">
        <f ca="1">IF(Main[[#This Row],[بدهی تسویه نشده (کیلوگرم)]]&gt;0,'گزارش فردی'!$B$7-Main[[#This Row],[تاريخ میلادی]]-'گزارش فردی'!$B$8,0)</f>
        <v>0</v>
      </c>
      <c r="S1455" s="6">
        <f ca="1">Main[[#This Row],[روز از ارسال سفارش]]*Main[[#This Row],[بدهی تسویه نشده (کیلوگرم)]]</f>
        <v>0</v>
      </c>
      <c r="T1455" s="6">
        <f ca="1">Main[[#This Row],[بدهی سررسید شده (کیلوگرم)]]*Main[[#This Row],[روز از ارسال سفارش]]</f>
        <v>0</v>
      </c>
      <c r="U1455" s="6">
        <f>-SUBTOTAL(9,INDEX(Main[مقدار (کیلوگرم)],1):Main[[#This Row],[مقدار (کیلوگرم)]])</f>
        <v>38800</v>
      </c>
      <c r="V14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55" s="6">
        <f>Main[[#This Row],[تعداد کل روزهای بدهکار (روز)]]*Main[[#This Row],[مانده در خط کل (کیلوگرم)]]</f>
        <v>38800</v>
      </c>
      <c r="X1455" s="6">
        <f ca="1">-SUBTOTAL(9,INDEX(Main[مقدار تسویه شده (کیلوگرم)],1):Main[[#This Row],[مقدار تسویه شده (کیلوگرم)]])</f>
        <v>38800</v>
      </c>
      <c r="Y1455" s="6">
        <f ca="1">IF(Main[[#This Row],[مانده در خط تسویه شده (کیلوگرم)]]&lt;&gt;0,Main[[#This Row],[تعداد کل روزهای بدهکار (روز)]],0)</f>
        <v>1</v>
      </c>
      <c r="Z1455" s="6">
        <f ca="1">Main[[#This Row],[تعداد روزهای بدهکار تسویه شده (روز)]]*Main[[#This Row],[مانده در خط تسویه شده (کیلوگرم)]]</f>
        <v>38800</v>
      </c>
      <c r="AA1455" s="6">
        <f ca="1">SUBTOTAL(9,INDEX(Main[بدهی تسویه نشده (کیلوگرم)],1):Main[[#This Row],[بدهی تسویه نشده (کیلوگرم)]])</f>
        <v>0</v>
      </c>
      <c r="AB1455" s="6">
        <f ca="1">IF(Main[[#This Row],[مانده در خط تسویه نشده (کیلوگرم)]]&lt;&gt;0,Main[[#This Row],[تعداد کل روزهای بدهکار (روز)]],0)</f>
        <v>0</v>
      </c>
      <c r="AC1455" s="6">
        <f ca="1">Main[[#This Row],[تعداد روزهای بدهکار  تسویه نشده (روز)]]*Main[[#This Row],[مانده در خط تسویه نشده (کیلوگرم)]]</f>
        <v>0</v>
      </c>
      <c r="AD1455" s="6">
        <f ca="1">SUBTOTAL(9,INDEX(Main[بدهی سررسید شده (کیلوگرم)],1):Main[[#This Row],[بدهی سررسید شده (کیلوگرم)]])</f>
        <v>0</v>
      </c>
      <c r="AE1455" s="6">
        <f ca="1">IF(Main[[#This Row],[مانده در خط سررسید شده (کیلوگرم)]]&lt;&gt;0,Main[[#This Row],[تعداد کل روزهای بدهکار (روز)]],0)</f>
        <v>0</v>
      </c>
      <c r="AF1455" s="6">
        <f ca="1">Main[[#This Row],[تعداد روزهای بدهکار سررسید شده (روز)]]*Main[[#This Row],[مانده در خط سررسید شده (کیلوگرم)]]</f>
        <v>0</v>
      </c>
    </row>
    <row r="1456" spans="1:32" hidden="1" x14ac:dyDescent="0.35">
      <c r="A1456" s="5">
        <f>ROW()-ROW(INDEX(Main[ردیف],1))+1</f>
        <v>1454</v>
      </c>
      <c r="B1456" s="31">
        <f>SUBTOTAL(2,INDEX(Main[ردیف],1):Main[[#This Row],[ردیف]])</f>
        <v>128</v>
      </c>
      <c r="C1456" s="32" t="s">
        <v>657</v>
      </c>
      <c r="D1456" s="32" t="str">
        <f>_xlfn.CONCAT("14",Main[[#This Row],[تاريخ]])</f>
        <v>1400/06/09</v>
      </c>
      <c r="E1456" s="33">
        <v>44439</v>
      </c>
      <c r="F1456" s="32">
        <v>10048</v>
      </c>
      <c r="G1456" s="5" t="str">
        <f>INDEX(customer[عنوان],MATCH(Main[[#This Row],[کد ردیابی]],customer[کد],0))</f>
        <v xml:space="preserve">حسام کریمان  </v>
      </c>
      <c r="H1456">
        <v>-1048</v>
      </c>
      <c r="I1456" s="6">
        <f ca="1">-Main[[#This Row],[بدهی تسویه شده (کیلوگرم)]]+Main[[#This Row],[بستانکار (کیلوگرم)]]</f>
        <v>-1048</v>
      </c>
      <c r="J1456" s="6">
        <f>IF(Main[[#This Row],[مقدار (کیلوگرم)]]&gt;0,Main[[#This Row],[مقدار (کیلوگرم)]],0)</f>
        <v>0</v>
      </c>
      <c r="K1456" s="6">
        <f>-IF(Main[[#This Row],[مقدار (کیلوگرم)]]&lt;0,Main[[#This Row],[مقدار (کیلوگرم)]],0)</f>
        <v>1048</v>
      </c>
      <c r="L14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6" s="7">
        <f>-IF(AND(Main[[#This Row],[مقدار (کیلوگرم)]]&lt;0,Main[[#This Row],[تاريخ میلادی]]&gt;44276),Main[[#This Row],[مقدار (کیلوگرم)]],0)</f>
        <v>1048</v>
      </c>
      <c r="N1456" s="6">
        <f ca="1">Main[[#This Row],[بدهکار (کیلوگرم)]]-Main[[#This Row],[بدهی تسویه نشده (کیلوگرم)]]</f>
        <v>1048</v>
      </c>
      <c r="O1456" s="6">
        <f ca="1">Main[[#This Row],[تفکیک]]</f>
        <v>0</v>
      </c>
      <c r="P1456" s="6">
        <f ca="1">IF(Main[[#This Row],[تاخیر از سررسید]]&gt;0,Main[[#This Row],[بدهی تسویه نشده (کیلوگرم)]],0)</f>
        <v>0</v>
      </c>
      <c r="Q1456" s="6">
        <f ca="1">IF(Main[[#This Row],[بدهی تسویه نشده (کیلوگرم)]]&gt;0,'گزارش فردی'!$B$7-Main[[#This Row],[تاريخ میلادی]],0)</f>
        <v>0</v>
      </c>
      <c r="R1456" s="6">
        <f ca="1">IF(Main[[#This Row],[بدهی تسویه نشده (کیلوگرم)]]&gt;0,'گزارش فردی'!$B$7-Main[[#This Row],[تاريخ میلادی]]-'گزارش فردی'!$B$8,0)</f>
        <v>0</v>
      </c>
      <c r="S1456" s="6">
        <f ca="1">Main[[#This Row],[روز از ارسال سفارش]]*Main[[#This Row],[بدهی تسویه نشده (کیلوگرم)]]</f>
        <v>0</v>
      </c>
      <c r="T1456" s="6">
        <f ca="1">Main[[#This Row],[بدهی سررسید شده (کیلوگرم)]]*Main[[#This Row],[روز از ارسال سفارش]]</f>
        <v>0</v>
      </c>
      <c r="U1456" s="6">
        <f>-SUBTOTAL(9,INDEX(Main[مقدار (کیلوگرم)],1):Main[[#This Row],[مقدار (کیلوگرم)]])</f>
        <v>38800</v>
      </c>
      <c r="V14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6" s="6">
        <f>Main[[#This Row],[تعداد کل روزهای بدهکار (روز)]]*Main[[#This Row],[مانده در خط کل (کیلوگرم)]]</f>
        <v>0</v>
      </c>
      <c r="X1456" s="6">
        <f ca="1">-SUBTOTAL(9,INDEX(Main[مقدار تسویه شده (کیلوگرم)],1):Main[[#This Row],[مقدار تسویه شده (کیلوگرم)]])</f>
        <v>38800</v>
      </c>
      <c r="Y1456" s="6">
        <f ca="1">IF(Main[[#This Row],[مانده در خط تسویه شده (کیلوگرم)]]&lt;&gt;0,Main[[#This Row],[تعداد کل روزهای بدهکار (روز)]],0)</f>
        <v>0</v>
      </c>
      <c r="Z1456" s="6">
        <f ca="1">Main[[#This Row],[تعداد روزهای بدهکار تسویه شده (روز)]]*Main[[#This Row],[مانده در خط تسویه شده (کیلوگرم)]]</f>
        <v>0</v>
      </c>
      <c r="AA1456" s="6">
        <f ca="1">SUBTOTAL(9,INDEX(Main[بدهی تسویه نشده (کیلوگرم)],1):Main[[#This Row],[بدهی تسویه نشده (کیلوگرم)]])</f>
        <v>0</v>
      </c>
      <c r="AB1456" s="6">
        <f ca="1">IF(Main[[#This Row],[مانده در خط تسویه نشده (کیلوگرم)]]&lt;&gt;0,Main[[#This Row],[تعداد کل روزهای بدهکار (روز)]],0)</f>
        <v>0</v>
      </c>
      <c r="AC1456" s="6">
        <f ca="1">Main[[#This Row],[تعداد روزهای بدهکار  تسویه نشده (روز)]]*Main[[#This Row],[مانده در خط تسویه نشده (کیلوگرم)]]</f>
        <v>0</v>
      </c>
      <c r="AD1456" s="6">
        <f ca="1">SUBTOTAL(9,INDEX(Main[بدهی سررسید شده (کیلوگرم)],1):Main[[#This Row],[بدهی سررسید شده (کیلوگرم)]])</f>
        <v>0</v>
      </c>
      <c r="AE1456" s="6">
        <f ca="1">IF(Main[[#This Row],[مانده در خط سررسید شده (کیلوگرم)]]&lt;&gt;0,Main[[#This Row],[تعداد کل روزهای بدهکار (روز)]],0)</f>
        <v>0</v>
      </c>
      <c r="AF1456" s="6">
        <f ca="1">Main[[#This Row],[تعداد روزهای بدهکار سررسید شده (روز)]]*Main[[#This Row],[مانده در خط سررسید شده (کیلوگرم)]]</f>
        <v>0</v>
      </c>
    </row>
    <row r="1457" spans="1:32" hidden="1" x14ac:dyDescent="0.35">
      <c r="A1457" s="5">
        <f>ROW()-ROW(INDEX(Main[ردیف],1))+1</f>
        <v>1455</v>
      </c>
      <c r="B1457" s="31">
        <f>SUBTOTAL(2,INDEX(Main[ردیف],1):Main[[#This Row],[ردیف]])</f>
        <v>128</v>
      </c>
      <c r="C1457" s="32" t="s">
        <v>657</v>
      </c>
      <c r="D1457" s="32" t="str">
        <f>_xlfn.CONCAT("14",Main[[#This Row],[تاريخ]])</f>
        <v>1400/06/09</v>
      </c>
      <c r="E1457" s="33">
        <v>44439</v>
      </c>
      <c r="F1457" s="32">
        <v>10048</v>
      </c>
      <c r="G1457" s="5" t="str">
        <f>INDEX(customer[عنوان],MATCH(Main[[#This Row],[کد ردیابی]],customer[کد],0))</f>
        <v xml:space="preserve">حسام کریمان  </v>
      </c>
      <c r="H1457">
        <v>123</v>
      </c>
      <c r="I1457" s="6">
        <f ca="1">-Main[[#This Row],[بدهی تسویه شده (کیلوگرم)]]+Main[[#This Row],[بستانکار (کیلوگرم)]]</f>
        <v>123</v>
      </c>
      <c r="J1457" s="6">
        <f>IF(Main[[#This Row],[مقدار (کیلوگرم)]]&gt;0,Main[[#This Row],[مقدار (کیلوگرم)]],0)</f>
        <v>123</v>
      </c>
      <c r="K1457" s="6">
        <f>-IF(Main[[#This Row],[مقدار (کیلوگرم)]]&lt;0,Main[[#This Row],[مقدار (کیلوگرم)]],0)</f>
        <v>0</v>
      </c>
      <c r="L14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7" s="7">
        <f>-IF(AND(Main[[#This Row],[مقدار (کیلوگرم)]]&lt;0,Main[[#This Row],[تاريخ میلادی]]&gt;44276),Main[[#This Row],[مقدار (کیلوگرم)]],0)</f>
        <v>0</v>
      </c>
      <c r="N1457" s="6">
        <f ca="1">Main[[#This Row],[بدهکار (کیلوگرم)]]-Main[[#This Row],[بدهی تسویه نشده (کیلوگرم)]]</f>
        <v>0</v>
      </c>
      <c r="O1457" s="6">
        <f ca="1">Main[[#This Row],[تفکیک]]</f>
        <v>0</v>
      </c>
      <c r="P1457" s="6">
        <f ca="1">IF(Main[[#This Row],[تاخیر از سررسید]]&gt;0,Main[[#This Row],[بدهی تسویه نشده (کیلوگرم)]],0)</f>
        <v>0</v>
      </c>
      <c r="Q1457" s="6">
        <f ca="1">IF(Main[[#This Row],[بدهی تسویه نشده (کیلوگرم)]]&gt;0,'گزارش فردی'!$B$7-Main[[#This Row],[تاريخ میلادی]],0)</f>
        <v>0</v>
      </c>
      <c r="R1457" s="6">
        <f ca="1">IF(Main[[#This Row],[بدهی تسویه نشده (کیلوگرم)]]&gt;0,'گزارش فردی'!$B$7-Main[[#This Row],[تاريخ میلادی]]-'گزارش فردی'!$B$8,0)</f>
        <v>0</v>
      </c>
      <c r="S1457" s="6">
        <f ca="1">Main[[#This Row],[روز از ارسال سفارش]]*Main[[#This Row],[بدهی تسویه نشده (کیلوگرم)]]</f>
        <v>0</v>
      </c>
      <c r="T1457" s="6">
        <f ca="1">Main[[#This Row],[بدهی سررسید شده (کیلوگرم)]]*Main[[#This Row],[روز از ارسال سفارش]]</f>
        <v>0</v>
      </c>
      <c r="U1457" s="6">
        <f>-SUBTOTAL(9,INDEX(Main[مقدار (کیلوگرم)],1):Main[[#This Row],[مقدار (کیلوگرم)]])</f>
        <v>38800</v>
      </c>
      <c r="V14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7" s="6">
        <f>Main[[#This Row],[تعداد کل روزهای بدهکار (روز)]]*Main[[#This Row],[مانده در خط کل (کیلوگرم)]]</f>
        <v>0</v>
      </c>
      <c r="X1457" s="6">
        <f ca="1">-SUBTOTAL(9,INDEX(Main[مقدار تسویه شده (کیلوگرم)],1):Main[[#This Row],[مقدار تسویه شده (کیلوگرم)]])</f>
        <v>38800</v>
      </c>
      <c r="Y1457" s="6">
        <f ca="1">IF(Main[[#This Row],[مانده در خط تسویه شده (کیلوگرم)]]&lt;&gt;0,Main[[#This Row],[تعداد کل روزهای بدهکار (روز)]],0)</f>
        <v>0</v>
      </c>
      <c r="Z1457" s="6">
        <f ca="1">Main[[#This Row],[تعداد روزهای بدهکار تسویه شده (روز)]]*Main[[#This Row],[مانده در خط تسویه شده (کیلوگرم)]]</f>
        <v>0</v>
      </c>
      <c r="AA1457" s="6">
        <f ca="1">SUBTOTAL(9,INDEX(Main[بدهی تسویه نشده (کیلوگرم)],1):Main[[#This Row],[بدهی تسویه نشده (کیلوگرم)]])</f>
        <v>0</v>
      </c>
      <c r="AB1457" s="6">
        <f ca="1">IF(Main[[#This Row],[مانده در خط تسویه نشده (کیلوگرم)]]&lt;&gt;0,Main[[#This Row],[تعداد کل روزهای بدهکار (روز)]],0)</f>
        <v>0</v>
      </c>
      <c r="AC1457" s="6">
        <f ca="1">Main[[#This Row],[تعداد روزهای بدهکار  تسویه نشده (روز)]]*Main[[#This Row],[مانده در خط تسویه نشده (کیلوگرم)]]</f>
        <v>0</v>
      </c>
      <c r="AD1457" s="6">
        <f ca="1">SUBTOTAL(9,INDEX(Main[بدهی سررسید شده (کیلوگرم)],1):Main[[#This Row],[بدهی سررسید شده (کیلوگرم)]])</f>
        <v>0</v>
      </c>
      <c r="AE1457" s="6">
        <f ca="1">IF(Main[[#This Row],[مانده در خط سررسید شده (کیلوگرم)]]&lt;&gt;0,Main[[#This Row],[تعداد کل روزهای بدهکار (روز)]],0)</f>
        <v>0</v>
      </c>
      <c r="AF1457" s="6">
        <f ca="1">Main[[#This Row],[تعداد روزهای بدهکار سررسید شده (روز)]]*Main[[#This Row],[مانده در خط سررسید شده (کیلوگرم)]]</f>
        <v>0</v>
      </c>
    </row>
    <row r="1458" spans="1:32" hidden="1" x14ac:dyDescent="0.35">
      <c r="A1458" s="5">
        <f>ROW()-ROW(INDEX(Main[ردیف],1))+1</f>
        <v>1456</v>
      </c>
      <c r="B1458" s="31">
        <f>SUBTOTAL(2,INDEX(Main[ردیف],1):Main[[#This Row],[ردیف]])</f>
        <v>128</v>
      </c>
      <c r="C1458" s="32" t="s">
        <v>657</v>
      </c>
      <c r="D1458" s="32" t="str">
        <f>_xlfn.CONCAT("14",Main[[#This Row],[تاريخ]])</f>
        <v>1400/06/09</v>
      </c>
      <c r="E1458" s="33">
        <v>44439</v>
      </c>
      <c r="F1458" s="32">
        <v>10026</v>
      </c>
      <c r="G1458" s="5" t="str">
        <f>INDEX(customer[عنوان],MATCH(Main[[#This Row],[کد ردیابی]],customer[کد],0))</f>
        <v xml:space="preserve">محسن فیاض بخش </v>
      </c>
      <c r="H1458">
        <v>-2053</v>
      </c>
      <c r="I1458" s="6">
        <f ca="1">-Main[[#This Row],[بدهی تسویه شده (کیلوگرم)]]+Main[[#This Row],[بستانکار (کیلوگرم)]]</f>
        <v>-2053</v>
      </c>
      <c r="J1458" s="6">
        <f>IF(Main[[#This Row],[مقدار (کیلوگرم)]]&gt;0,Main[[#This Row],[مقدار (کیلوگرم)]],0)</f>
        <v>0</v>
      </c>
      <c r="K1458" s="6">
        <f>-IF(Main[[#This Row],[مقدار (کیلوگرم)]]&lt;0,Main[[#This Row],[مقدار (کیلوگرم)]],0)</f>
        <v>2053</v>
      </c>
      <c r="L14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8" s="7">
        <f>-IF(AND(Main[[#This Row],[مقدار (کیلوگرم)]]&lt;0,Main[[#This Row],[تاريخ میلادی]]&gt;44276),Main[[#This Row],[مقدار (کیلوگرم)]],0)</f>
        <v>2053</v>
      </c>
      <c r="N1458" s="6">
        <f ca="1">Main[[#This Row],[بدهکار (کیلوگرم)]]-Main[[#This Row],[بدهی تسویه نشده (کیلوگرم)]]</f>
        <v>2053</v>
      </c>
      <c r="O1458" s="6">
        <f ca="1">Main[[#This Row],[تفکیک]]</f>
        <v>0</v>
      </c>
      <c r="P1458" s="6">
        <f ca="1">IF(Main[[#This Row],[تاخیر از سررسید]]&gt;0,Main[[#This Row],[بدهی تسویه نشده (کیلوگرم)]],0)</f>
        <v>0</v>
      </c>
      <c r="Q1458" s="6">
        <f ca="1">IF(Main[[#This Row],[بدهی تسویه نشده (کیلوگرم)]]&gt;0,'گزارش فردی'!$B$7-Main[[#This Row],[تاريخ میلادی]],0)</f>
        <v>0</v>
      </c>
      <c r="R1458" s="6">
        <f ca="1">IF(Main[[#This Row],[بدهی تسویه نشده (کیلوگرم)]]&gt;0,'گزارش فردی'!$B$7-Main[[#This Row],[تاريخ میلادی]]-'گزارش فردی'!$B$8,0)</f>
        <v>0</v>
      </c>
      <c r="S1458" s="6">
        <f ca="1">Main[[#This Row],[روز از ارسال سفارش]]*Main[[#This Row],[بدهی تسویه نشده (کیلوگرم)]]</f>
        <v>0</v>
      </c>
      <c r="T1458" s="6">
        <f ca="1">Main[[#This Row],[بدهی سررسید شده (کیلوگرم)]]*Main[[#This Row],[روز از ارسال سفارش]]</f>
        <v>0</v>
      </c>
      <c r="U1458" s="6">
        <f>-SUBTOTAL(9,INDEX(Main[مقدار (کیلوگرم)],1):Main[[#This Row],[مقدار (کیلوگرم)]])</f>
        <v>38800</v>
      </c>
      <c r="V14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8" s="6">
        <f>Main[[#This Row],[تعداد کل روزهای بدهکار (روز)]]*Main[[#This Row],[مانده در خط کل (کیلوگرم)]]</f>
        <v>0</v>
      </c>
      <c r="X1458" s="6">
        <f ca="1">-SUBTOTAL(9,INDEX(Main[مقدار تسویه شده (کیلوگرم)],1):Main[[#This Row],[مقدار تسویه شده (کیلوگرم)]])</f>
        <v>38800</v>
      </c>
      <c r="Y1458" s="6">
        <f ca="1">IF(Main[[#This Row],[مانده در خط تسویه شده (کیلوگرم)]]&lt;&gt;0,Main[[#This Row],[تعداد کل روزهای بدهکار (روز)]],0)</f>
        <v>0</v>
      </c>
      <c r="Z1458" s="6">
        <f ca="1">Main[[#This Row],[تعداد روزهای بدهکار تسویه شده (روز)]]*Main[[#This Row],[مانده در خط تسویه شده (کیلوگرم)]]</f>
        <v>0</v>
      </c>
      <c r="AA1458" s="6">
        <f ca="1">SUBTOTAL(9,INDEX(Main[بدهی تسویه نشده (کیلوگرم)],1):Main[[#This Row],[بدهی تسویه نشده (کیلوگرم)]])</f>
        <v>0</v>
      </c>
      <c r="AB1458" s="6">
        <f ca="1">IF(Main[[#This Row],[مانده در خط تسویه نشده (کیلوگرم)]]&lt;&gt;0,Main[[#This Row],[تعداد کل روزهای بدهکار (روز)]],0)</f>
        <v>0</v>
      </c>
      <c r="AC1458" s="6">
        <f ca="1">Main[[#This Row],[تعداد روزهای بدهکار  تسویه نشده (روز)]]*Main[[#This Row],[مانده در خط تسویه نشده (کیلوگرم)]]</f>
        <v>0</v>
      </c>
      <c r="AD1458" s="6">
        <f ca="1">SUBTOTAL(9,INDEX(Main[بدهی سررسید شده (کیلوگرم)],1):Main[[#This Row],[بدهی سررسید شده (کیلوگرم)]])</f>
        <v>0</v>
      </c>
      <c r="AE1458" s="6">
        <f ca="1">IF(Main[[#This Row],[مانده در خط سررسید شده (کیلوگرم)]]&lt;&gt;0,Main[[#This Row],[تعداد کل روزهای بدهکار (روز)]],0)</f>
        <v>0</v>
      </c>
      <c r="AF1458" s="6">
        <f ca="1">Main[[#This Row],[تعداد روزهای بدهکار سررسید شده (روز)]]*Main[[#This Row],[مانده در خط سررسید شده (کیلوگرم)]]</f>
        <v>0</v>
      </c>
    </row>
    <row r="1459" spans="1:32" hidden="1" x14ac:dyDescent="0.35">
      <c r="A1459" s="5">
        <f>ROW()-ROW(INDEX(Main[ردیف],1))+1</f>
        <v>1457</v>
      </c>
      <c r="B1459" s="31">
        <f>SUBTOTAL(2,INDEX(Main[ردیف],1):Main[[#This Row],[ردیف]])</f>
        <v>128</v>
      </c>
      <c r="C1459" s="32" t="s">
        <v>657</v>
      </c>
      <c r="D1459" s="32" t="str">
        <f>_xlfn.CONCAT("14",Main[[#This Row],[تاريخ]])</f>
        <v>1400/06/09</v>
      </c>
      <c r="E1459" s="33">
        <v>44439</v>
      </c>
      <c r="F1459" s="32">
        <v>30064</v>
      </c>
      <c r="G1459" s="5" t="str">
        <f>INDEX(customer[عنوان],MATCH(Main[[#This Row],[کد ردیابی]],customer[کد],0))</f>
        <v>پایپکس</v>
      </c>
      <c r="H1459">
        <v>1025</v>
      </c>
      <c r="I1459" s="6">
        <f ca="1">-Main[[#This Row],[بدهی تسویه شده (کیلوگرم)]]+Main[[#This Row],[بستانکار (کیلوگرم)]]</f>
        <v>1025</v>
      </c>
      <c r="J1459" s="6">
        <f>IF(Main[[#This Row],[مقدار (کیلوگرم)]]&gt;0,Main[[#This Row],[مقدار (کیلوگرم)]],0)</f>
        <v>1025</v>
      </c>
      <c r="K1459" s="6">
        <f>-IF(Main[[#This Row],[مقدار (کیلوگرم)]]&lt;0,Main[[#This Row],[مقدار (کیلوگرم)]],0)</f>
        <v>0</v>
      </c>
      <c r="L14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9" s="7">
        <f>-IF(AND(Main[[#This Row],[مقدار (کیلوگرم)]]&lt;0,Main[[#This Row],[تاريخ میلادی]]&gt;44276),Main[[#This Row],[مقدار (کیلوگرم)]],0)</f>
        <v>0</v>
      </c>
      <c r="N1459" s="6">
        <f ca="1">Main[[#This Row],[بدهکار (کیلوگرم)]]-Main[[#This Row],[بدهی تسویه نشده (کیلوگرم)]]</f>
        <v>0</v>
      </c>
      <c r="O1459" s="6">
        <f ca="1">Main[[#This Row],[تفکیک]]</f>
        <v>0</v>
      </c>
      <c r="P1459" s="6">
        <f ca="1">IF(Main[[#This Row],[تاخیر از سررسید]]&gt;0,Main[[#This Row],[بدهی تسویه نشده (کیلوگرم)]],0)</f>
        <v>0</v>
      </c>
      <c r="Q1459" s="6">
        <f ca="1">IF(Main[[#This Row],[بدهی تسویه نشده (کیلوگرم)]]&gt;0,'گزارش فردی'!$B$7-Main[[#This Row],[تاريخ میلادی]],0)</f>
        <v>0</v>
      </c>
      <c r="R1459" s="6">
        <f ca="1">IF(Main[[#This Row],[بدهی تسویه نشده (کیلوگرم)]]&gt;0,'گزارش فردی'!$B$7-Main[[#This Row],[تاريخ میلادی]]-'گزارش فردی'!$B$8,0)</f>
        <v>0</v>
      </c>
      <c r="S1459" s="6">
        <f ca="1">Main[[#This Row],[روز از ارسال سفارش]]*Main[[#This Row],[بدهی تسویه نشده (کیلوگرم)]]</f>
        <v>0</v>
      </c>
      <c r="T1459" s="6">
        <f ca="1">Main[[#This Row],[بدهی سررسید شده (کیلوگرم)]]*Main[[#This Row],[روز از ارسال سفارش]]</f>
        <v>0</v>
      </c>
      <c r="U1459" s="6">
        <f>-SUBTOTAL(9,INDEX(Main[مقدار (کیلوگرم)],1):Main[[#This Row],[مقدار (کیلوگرم)]])</f>
        <v>38800</v>
      </c>
      <c r="V14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9" s="6">
        <f>Main[[#This Row],[تعداد کل روزهای بدهکار (روز)]]*Main[[#This Row],[مانده در خط کل (کیلوگرم)]]</f>
        <v>0</v>
      </c>
      <c r="X1459" s="6">
        <f ca="1">-SUBTOTAL(9,INDEX(Main[مقدار تسویه شده (کیلوگرم)],1):Main[[#This Row],[مقدار تسویه شده (کیلوگرم)]])</f>
        <v>38800</v>
      </c>
      <c r="Y1459" s="6">
        <f ca="1">IF(Main[[#This Row],[مانده در خط تسویه شده (کیلوگرم)]]&lt;&gt;0,Main[[#This Row],[تعداد کل روزهای بدهکار (روز)]],0)</f>
        <v>0</v>
      </c>
      <c r="Z1459" s="6">
        <f ca="1">Main[[#This Row],[تعداد روزهای بدهکار تسویه شده (روز)]]*Main[[#This Row],[مانده در خط تسویه شده (کیلوگرم)]]</f>
        <v>0</v>
      </c>
      <c r="AA1459" s="6">
        <f ca="1">SUBTOTAL(9,INDEX(Main[بدهی تسویه نشده (کیلوگرم)],1):Main[[#This Row],[بدهی تسویه نشده (کیلوگرم)]])</f>
        <v>0</v>
      </c>
      <c r="AB1459" s="6">
        <f ca="1">IF(Main[[#This Row],[مانده در خط تسویه نشده (کیلوگرم)]]&lt;&gt;0,Main[[#This Row],[تعداد کل روزهای بدهکار (روز)]],0)</f>
        <v>0</v>
      </c>
      <c r="AC1459" s="6">
        <f ca="1">Main[[#This Row],[تعداد روزهای بدهکار  تسویه نشده (روز)]]*Main[[#This Row],[مانده در خط تسویه نشده (کیلوگرم)]]</f>
        <v>0</v>
      </c>
      <c r="AD1459" s="6">
        <f ca="1">SUBTOTAL(9,INDEX(Main[بدهی سررسید شده (کیلوگرم)],1):Main[[#This Row],[بدهی سررسید شده (کیلوگرم)]])</f>
        <v>0</v>
      </c>
      <c r="AE1459" s="6">
        <f ca="1">IF(Main[[#This Row],[مانده در خط سررسید شده (کیلوگرم)]]&lt;&gt;0,Main[[#This Row],[تعداد کل روزهای بدهکار (روز)]],0)</f>
        <v>0</v>
      </c>
      <c r="AF1459" s="6">
        <f ca="1">Main[[#This Row],[تعداد روزهای بدهکار سررسید شده (روز)]]*Main[[#This Row],[مانده در خط سررسید شده (کیلوگرم)]]</f>
        <v>0</v>
      </c>
    </row>
    <row r="1460" spans="1:32" x14ac:dyDescent="0.35">
      <c r="A1460" s="5">
        <f>ROW()-ROW(INDEX(Main[ردیف],1))+1</f>
        <v>1458</v>
      </c>
      <c r="B1460" s="31">
        <f>SUBTOTAL(2,INDEX(Main[ردیف],1):Main[[#This Row],[ردیف]])</f>
        <v>129</v>
      </c>
      <c r="C1460" s="32" t="s">
        <v>657</v>
      </c>
      <c r="D1460" s="32" t="str">
        <f>_xlfn.CONCAT("14",Main[[#This Row],[تاريخ]])</f>
        <v>1400/06/09</v>
      </c>
      <c r="E1460" s="33">
        <v>44439</v>
      </c>
      <c r="F1460" s="32">
        <v>10003</v>
      </c>
      <c r="G1460" s="5" t="str">
        <f>INDEX(customer[عنوان],MATCH(Main[[#This Row],[کد ردیابی]],customer[کد],0))</f>
        <v>اصغر نورعلی</v>
      </c>
      <c r="H1460">
        <v>-2287</v>
      </c>
      <c r="I1460" s="6">
        <f ca="1">-Main[[#This Row],[بدهی تسویه شده (کیلوگرم)]]+Main[[#This Row],[بستانکار (کیلوگرم)]]</f>
        <v>-2287</v>
      </c>
      <c r="J1460" s="6">
        <f>IF(Main[[#This Row],[مقدار (کیلوگرم)]]&gt;0,Main[[#This Row],[مقدار (کیلوگرم)]],0)</f>
        <v>0</v>
      </c>
      <c r="K1460" s="6">
        <f>-IF(Main[[#This Row],[مقدار (کیلوگرم)]]&lt;0,Main[[#This Row],[مقدار (کیلوگرم)]],0)</f>
        <v>2287</v>
      </c>
      <c r="L14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0" s="7">
        <f>-IF(AND(Main[[#This Row],[مقدار (کیلوگرم)]]&lt;0,Main[[#This Row],[تاريخ میلادی]]&gt;44276),Main[[#This Row],[مقدار (کیلوگرم)]],0)</f>
        <v>2287</v>
      </c>
      <c r="N1460" s="6">
        <f ca="1">Main[[#This Row],[بدهکار (کیلوگرم)]]-Main[[#This Row],[بدهی تسویه نشده (کیلوگرم)]]</f>
        <v>2287</v>
      </c>
      <c r="O1460" s="6">
        <f ca="1">Main[[#This Row],[تفکیک]]</f>
        <v>0</v>
      </c>
      <c r="P1460" s="6">
        <f ca="1">IF(Main[[#This Row],[تاخیر از سررسید]]&gt;0,Main[[#This Row],[بدهی تسویه نشده (کیلوگرم)]],0)</f>
        <v>0</v>
      </c>
      <c r="Q1460" s="6">
        <f ca="1">IF(Main[[#This Row],[بدهی تسویه نشده (کیلوگرم)]]&gt;0,'گزارش فردی'!$B$7-Main[[#This Row],[تاريخ میلادی]],0)</f>
        <v>0</v>
      </c>
      <c r="R1460" s="6">
        <f ca="1">IF(Main[[#This Row],[بدهی تسویه نشده (کیلوگرم)]]&gt;0,'گزارش فردی'!$B$7-Main[[#This Row],[تاريخ میلادی]]-'گزارش فردی'!$B$8,0)</f>
        <v>0</v>
      </c>
      <c r="S1460" s="6">
        <f ca="1">Main[[#This Row],[روز از ارسال سفارش]]*Main[[#This Row],[بدهی تسویه نشده (کیلوگرم)]]</f>
        <v>0</v>
      </c>
      <c r="T1460" s="6">
        <f ca="1">Main[[#This Row],[بدهی سررسید شده (کیلوگرم)]]*Main[[#This Row],[روز از ارسال سفارش]]</f>
        <v>0</v>
      </c>
      <c r="U1460" s="6">
        <f>-SUBTOTAL(9,INDEX(Main[مقدار (کیلوگرم)],1):Main[[#This Row],[مقدار (کیلوگرم)]])</f>
        <v>41087</v>
      </c>
      <c r="V14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0" s="6">
        <f>Main[[#This Row],[تعداد کل روزهای بدهکار (روز)]]*Main[[#This Row],[مانده در خط کل (کیلوگرم)]]</f>
        <v>0</v>
      </c>
      <c r="X1460" s="6">
        <f ca="1">-SUBTOTAL(9,INDEX(Main[مقدار تسویه شده (کیلوگرم)],1):Main[[#This Row],[مقدار تسویه شده (کیلوگرم)]])</f>
        <v>41087</v>
      </c>
      <c r="Y1460" s="6">
        <f ca="1">IF(Main[[#This Row],[مانده در خط تسویه شده (کیلوگرم)]]&lt;&gt;0,Main[[#This Row],[تعداد کل روزهای بدهکار (روز)]],0)</f>
        <v>0</v>
      </c>
      <c r="Z1460" s="6">
        <f ca="1">Main[[#This Row],[تعداد روزهای بدهکار تسویه شده (روز)]]*Main[[#This Row],[مانده در خط تسویه شده (کیلوگرم)]]</f>
        <v>0</v>
      </c>
      <c r="AA1460" s="6">
        <f ca="1">SUBTOTAL(9,INDEX(Main[بدهی تسویه نشده (کیلوگرم)],1):Main[[#This Row],[بدهی تسویه نشده (کیلوگرم)]])</f>
        <v>0</v>
      </c>
      <c r="AB1460" s="6">
        <f ca="1">IF(Main[[#This Row],[مانده در خط تسویه نشده (کیلوگرم)]]&lt;&gt;0,Main[[#This Row],[تعداد کل روزهای بدهکار (روز)]],0)</f>
        <v>0</v>
      </c>
      <c r="AC1460" s="6">
        <f ca="1">Main[[#This Row],[تعداد روزهای بدهکار  تسویه نشده (روز)]]*Main[[#This Row],[مانده در خط تسویه نشده (کیلوگرم)]]</f>
        <v>0</v>
      </c>
      <c r="AD1460" s="6">
        <f ca="1">SUBTOTAL(9,INDEX(Main[بدهی سررسید شده (کیلوگرم)],1):Main[[#This Row],[بدهی سررسید شده (کیلوگرم)]])</f>
        <v>0</v>
      </c>
      <c r="AE1460" s="6">
        <f ca="1">IF(Main[[#This Row],[مانده در خط سررسید شده (کیلوگرم)]]&lt;&gt;0,Main[[#This Row],[تعداد کل روزهای بدهکار (روز)]],0)</f>
        <v>0</v>
      </c>
      <c r="AF1460" s="6">
        <f ca="1">Main[[#This Row],[تعداد روزهای بدهکار سررسید شده (روز)]]*Main[[#This Row],[مانده در خط سررسید شده (کیلوگرم)]]</f>
        <v>0</v>
      </c>
    </row>
    <row r="1461" spans="1:32" hidden="1" x14ac:dyDescent="0.35">
      <c r="A1461" s="5">
        <f>ROW()-ROW(INDEX(Main[ردیف],1))+1</f>
        <v>1459</v>
      </c>
      <c r="B1461" s="31">
        <f>SUBTOTAL(2,INDEX(Main[ردیف],1):Main[[#This Row],[ردیف]])</f>
        <v>129</v>
      </c>
      <c r="C1461" s="32" t="s">
        <v>657</v>
      </c>
      <c r="D1461" s="32" t="str">
        <f>_xlfn.CONCAT("14",Main[[#This Row],[تاريخ]])</f>
        <v>1400/06/09</v>
      </c>
      <c r="E1461" s="33">
        <v>44439</v>
      </c>
      <c r="F1461" s="32">
        <v>10048</v>
      </c>
      <c r="G1461" s="5" t="str">
        <f>INDEX(customer[عنوان],MATCH(Main[[#This Row],[کد ردیابی]],customer[کد],0))</f>
        <v xml:space="preserve">حسام کریمان  </v>
      </c>
      <c r="H1461">
        <v>1009</v>
      </c>
      <c r="I1461" s="6">
        <f ca="1">-Main[[#This Row],[بدهی تسویه شده (کیلوگرم)]]+Main[[#This Row],[بستانکار (کیلوگرم)]]</f>
        <v>1009</v>
      </c>
      <c r="J1461" s="6">
        <f>IF(Main[[#This Row],[مقدار (کیلوگرم)]]&gt;0,Main[[#This Row],[مقدار (کیلوگرم)]],0)</f>
        <v>1009</v>
      </c>
      <c r="K1461" s="6">
        <f>-IF(Main[[#This Row],[مقدار (کیلوگرم)]]&lt;0,Main[[#This Row],[مقدار (کیلوگرم)]],0)</f>
        <v>0</v>
      </c>
      <c r="L14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1" s="7">
        <f>-IF(AND(Main[[#This Row],[مقدار (کیلوگرم)]]&lt;0,Main[[#This Row],[تاريخ میلادی]]&gt;44276),Main[[#This Row],[مقدار (کیلوگرم)]],0)</f>
        <v>0</v>
      </c>
      <c r="N1461" s="6">
        <f ca="1">Main[[#This Row],[بدهکار (کیلوگرم)]]-Main[[#This Row],[بدهی تسویه نشده (کیلوگرم)]]</f>
        <v>0</v>
      </c>
      <c r="O1461" s="6">
        <f ca="1">Main[[#This Row],[تفکیک]]</f>
        <v>0</v>
      </c>
      <c r="P1461" s="6">
        <f ca="1">IF(Main[[#This Row],[تاخیر از سررسید]]&gt;0,Main[[#This Row],[بدهی تسویه نشده (کیلوگرم)]],0)</f>
        <v>0</v>
      </c>
      <c r="Q1461" s="6">
        <f ca="1">IF(Main[[#This Row],[بدهی تسویه نشده (کیلوگرم)]]&gt;0,'گزارش فردی'!$B$7-Main[[#This Row],[تاريخ میلادی]],0)</f>
        <v>0</v>
      </c>
      <c r="R1461" s="6">
        <f ca="1">IF(Main[[#This Row],[بدهی تسویه نشده (کیلوگرم)]]&gt;0,'گزارش فردی'!$B$7-Main[[#This Row],[تاريخ میلادی]]-'گزارش فردی'!$B$8,0)</f>
        <v>0</v>
      </c>
      <c r="S1461" s="6">
        <f ca="1">Main[[#This Row],[روز از ارسال سفارش]]*Main[[#This Row],[بدهی تسویه نشده (کیلوگرم)]]</f>
        <v>0</v>
      </c>
      <c r="T1461" s="6">
        <f ca="1">Main[[#This Row],[بدهی سررسید شده (کیلوگرم)]]*Main[[#This Row],[روز از ارسال سفارش]]</f>
        <v>0</v>
      </c>
      <c r="U1461" s="6">
        <f>-SUBTOTAL(9,INDEX(Main[مقدار (کیلوگرم)],1):Main[[#This Row],[مقدار (کیلوگرم)]])</f>
        <v>41087</v>
      </c>
      <c r="V14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1" s="6">
        <f>Main[[#This Row],[تعداد کل روزهای بدهکار (روز)]]*Main[[#This Row],[مانده در خط کل (کیلوگرم)]]</f>
        <v>0</v>
      </c>
      <c r="X1461" s="6">
        <f ca="1">-SUBTOTAL(9,INDEX(Main[مقدار تسویه شده (کیلوگرم)],1):Main[[#This Row],[مقدار تسویه شده (کیلوگرم)]])</f>
        <v>41087</v>
      </c>
      <c r="Y1461" s="6">
        <f ca="1">IF(Main[[#This Row],[مانده در خط تسویه شده (کیلوگرم)]]&lt;&gt;0,Main[[#This Row],[تعداد کل روزهای بدهکار (روز)]],0)</f>
        <v>0</v>
      </c>
      <c r="Z1461" s="6">
        <f ca="1">Main[[#This Row],[تعداد روزهای بدهکار تسویه شده (روز)]]*Main[[#This Row],[مانده در خط تسویه شده (کیلوگرم)]]</f>
        <v>0</v>
      </c>
      <c r="AA1461" s="6">
        <f ca="1">SUBTOTAL(9,INDEX(Main[بدهی تسویه نشده (کیلوگرم)],1):Main[[#This Row],[بدهی تسویه نشده (کیلوگرم)]])</f>
        <v>0</v>
      </c>
      <c r="AB1461" s="6">
        <f ca="1">IF(Main[[#This Row],[مانده در خط تسویه نشده (کیلوگرم)]]&lt;&gt;0,Main[[#This Row],[تعداد کل روزهای بدهکار (روز)]],0)</f>
        <v>0</v>
      </c>
      <c r="AC1461" s="6">
        <f ca="1">Main[[#This Row],[تعداد روزهای بدهکار  تسویه نشده (روز)]]*Main[[#This Row],[مانده در خط تسویه نشده (کیلوگرم)]]</f>
        <v>0</v>
      </c>
      <c r="AD1461" s="6">
        <f ca="1">SUBTOTAL(9,INDEX(Main[بدهی سررسید شده (کیلوگرم)],1):Main[[#This Row],[بدهی سررسید شده (کیلوگرم)]])</f>
        <v>0</v>
      </c>
      <c r="AE1461" s="6">
        <f ca="1">IF(Main[[#This Row],[مانده در خط سررسید شده (کیلوگرم)]]&lt;&gt;0,Main[[#This Row],[تعداد کل روزهای بدهکار (روز)]],0)</f>
        <v>0</v>
      </c>
      <c r="AF1461" s="6">
        <f ca="1">Main[[#This Row],[تعداد روزهای بدهکار سررسید شده (روز)]]*Main[[#This Row],[مانده در خط سررسید شده (کیلوگرم)]]</f>
        <v>0</v>
      </c>
    </row>
    <row r="1462" spans="1:32" x14ac:dyDescent="0.35">
      <c r="A1462" s="5">
        <f>ROW()-ROW(INDEX(Main[ردیف],1))+1</f>
        <v>1460</v>
      </c>
      <c r="B1462" s="31">
        <f>SUBTOTAL(2,INDEX(Main[ردیف],1):Main[[#This Row],[ردیف]])</f>
        <v>130</v>
      </c>
      <c r="C1462" s="32" t="s">
        <v>657</v>
      </c>
      <c r="D1462" s="32" t="str">
        <f>_xlfn.CONCAT("14",Main[[#This Row],[تاريخ]])</f>
        <v>1400/06/09</v>
      </c>
      <c r="E1462" s="33">
        <v>44439</v>
      </c>
      <c r="F1462" s="32">
        <v>10003</v>
      </c>
      <c r="G1462" s="5" t="str">
        <f>INDEX(customer[عنوان],MATCH(Main[[#This Row],[کد ردیابی]],customer[کد],0))</f>
        <v>اصغر نورعلی</v>
      </c>
      <c r="H1462">
        <v>2434</v>
      </c>
      <c r="I1462" s="6">
        <f ca="1">-Main[[#This Row],[بدهی تسویه شده (کیلوگرم)]]+Main[[#This Row],[بستانکار (کیلوگرم)]]</f>
        <v>2434</v>
      </c>
      <c r="J1462" s="6">
        <f>IF(Main[[#This Row],[مقدار (کیلوگرم)]]&gt;0,Main[[#This Row],[مقدار (کیلوگرم)]],0)</f>
        <v>2434</v>
      </c>
      <c r="K1462" s="6">
        <f>-IF(Main[[#This Row],[مقدار (کیلوگرم)]]&lt;0,Main[[#This Row],[مقدار (کیلوگرم)]],0)</f>
        <v>0</v>
      </c>
      <c r="L14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2" s="7">
        <f>-IF(AND(Main[[#This Row],[مقدار (کیلوگرم)]]&lt;0,Main[[#This Row],[تاريخ میلادی]]&gt;44276),Main[[#This Row],[مقدار (کیلوگرم)]],0)</f>
        <v>0</v>
      </c>
      <c r="N1462" s="6">
        <f ca="1">Main[[#This Row],[بدهکار (کیلوگرم)]]-Main[[#This Row],[بدهی تسویه نشده (کیلوگرم)]]</f>
        <v>0</v>
      </c>
      <c r="O1462" s="6">
        <f ca="1">Main[[#This Row],[تفکیک]]</f>
        <v>0</v>
      </c>
      <c r="P1462" s="6">
        <f ca="1">IF(Main[[#This Row],[تاخیر از سررسید]]&gt;0,Main[[#This Row],[بدهی تسویه نشده (کیلوگرم)]],0)</f>
        <v>0</v>
      </c>
      <c r="Q1462" s="6">
        <f ca="1">IF(Main[[#This Row],[بدهی تسویه نشده (کیلوگرم)]]&gt;0,'گزارش فردی'!$B$7-Main[[#This Row],[تاريخ میلادی]],0)</f>
        <v>0</v>
      </c>
      <c r="R1462" s="6">
        <f ca="1">IF(Main[[#This Row],[بدهی تسویه نشده (کیلوگرم)]]&gt;0,'گزارش فردی'!$B$7-Main[[#This Row],[تاريخ میلادی]]-'گزارش فردی'!$B$8,0)</f>
        <v>0</v>
      </c>
      <c r="S1462" s="6">
        <f ca="1">Main[[#This Row],[روز از ارسال سفارش]]*Main[[#This Row],[بدهی تسویه نشده (کیلوگرم)]]</f>
        <v>0</v>
      </c>
      <c r="T1462" s="6">
        <f ca="1">Main[[#This Row],[بدهی سررسید شده (کیلوگرم)]]*Main[[#This Row],[روز از ارسال سفارش]]</f>
        <v>0</v>
      </c>
      <c r="U1462" s="6">
        <f>-SUBTOTAL(9,INDEX(Main[مقدار (کیلوگرم)],1):Main[[#This Row],[مقدار (کیلوگرم)]])</f>
        <v>38653</v>
      </c>
      <c r="V14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2" s="6">
        <f>Main[[#This Row],[تعداد کل روزهای بدهکار (روز)]]*Main[[#This Row],[مانده در خط کل (کیلوگرم)]]</f>
        <v>0</v>
      </c>
      <c r="X1462" s="6">
        <f ca="1">-SUBTOTAL(9,INDEX(Main[مقدار تسویه شده (کیلوگرم)],1):Main[[#This Row],[مقدار تسویه شده (کیلوگرم)]])</f>
        <v>38653</v>
      </c>
      <c r="Y1462" s="6">
        <f ca="1">IF(Main[[#This Row],[مانده در خط تسویه شده (کیلوگرم)]]&lt;&gt;0,Main[[#This Row],[تعداد کل روزهای بدهکار (روز)]],0)</f>
        <v>0</v>
      </c>
      <c r="Z1462" s="6">
        <f ca="1">Main[[#This Row],[تعداد روزهای بدهکار تسویه شده (روز)]]*Main[[#This Row],[مانده در خط تسویه شده (کیلوگرم)]]</f>
        <v>0</v>
      </c>
      <c r="AA1462" s="6">
        <f ca="1">SUBTOTAL(9,INDEX(Main[بدهی تسویه نشده (کیلوگرم)],1):Main[[#This Row],[بدهی تسویه نشده (کیلوگرم)]])</f>
        <v>0</v>
      </c>
      <c r="AB1462" s="6">
        <f ca="1">IF(Main[[#This Row],[مانده در خط تسویه نشده (کیلوگرم)]]&lt;&gt;0,Main[[#This Row],[تعداد کل روزهای بدهکار (روز)]],0)</f>
        <v>0</v>
      </c>
      <c r="AC1462" s="6">
        <f ca="1">Main[[#This Row],[تعداد روزهای بدهکار  تسویه نشده (روز)]]*Main[[#This Row],[مانده در خط تسویه نشده (کیلوگرم)]]</f>
        <v>0</v>
      </c>
      <c r="AD1462" s="6">
        <f ca="1">SUBTOTAL(9,INDEX(Main[بدهی سررسید شده (کیلوگرم)],1):Main[[#This Row],[بدهی سررسید شده (کیلوگرم)]])</f>
        <v>0</v>
      </c>
      <c r="AE1462" s="6">
        <f ca="1">IF(Main[[#This Row],[مانده در خط سررسید شده (کیلوگرم)]]&lt;&gt;0,Main[[#This Row],[تعداد کل روزهای بدهکار (روز)]],0)</f>
        <v>0</v>
      </c>
      <c r="AF1462" s="6">
        <f ca="1">Main[[#This Row],[تعداد روزهای بدهکار سررسید شده (روز)]]*Main[[#This Row],[مانده در خط سررسید شده (کیلوگرم)]]</f>
        <v>0</v>
      </c>
    </row>
    <row r="1463" spans="1:32" hidden="1" x14ac:dyDescent="0.35">
      <c r="A1463" s="5">
        <f>ROW()-ROW(INDEX(Main[ردیف],1))+1</f>
        <v>1461</v>
      </c>
      <c r="B1463" s="31">
        <f>SUBTOTAL(2,INDEX(Main[ردیف],1):Main[[#This Row],[ردیف]])</f>
        <v>130</v>
      </c>
      <c r="C1463" s="32" t="s">
        <v>657</v>
      </c>
      <c r="D1463" s="32" t="str">
        <f>_xlfn.CONCAT("14",Main[[#This Row],[تاريخ]])</f>
        <v>1400/06/09</v>
      </c>
      <c r="E1463" s="33">
        <v>44439</v>
      </c>
      <c r="F1463" s="32">
        <v>10026</v>
      </c>
      <c r="G1463" s="5" t="str">
        <f>INDEX(customer[عنوان],MATCH(Main[[#This Row],[کد ردیابی]],customer[کد],0))</f>
        <v xml:space="preserve">محسن فیاض بخش </v>
      </c>
      <c r="H1463">
        <v>2899</v>
      </c>
      <c r="I1463" s="6">
        <f ca="1">-Main[[#This Row],[بدهی تسویه شده (کیلوگرم)]]+Main[[#This Row],[بستانکار (کیلوگرم)]]</f>
        <v>2899</v>
      </c>
      <c r="J1463" s="6">
        <f>IF(Main[[#This Row],[مقدار (کیلوگرم)]]&gt;0,Main[[#This Row],[مقدار (کیلوگرم)]],0)</f>
        <v>2899</v>
      </c>
      <c r="K1463" s="6">
        <f>-IF(Main[[#This Row],[مقدار (کیلوگرم)]]&lt;0,Main[[#This Row],[مقدار (کیلوگرم)]],0)</f>
        <v>0</v>
      </c>
      <c r="L14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3" s="7">
        <f>-IF(AND(Main[[#This Row],[مقدار (کیلوگرم)]]&lt;0,Main[[#This Row],[تاريخ میلادی]]&gt;44276),Main[[#This Row],[مقدار (کیلوگرم)]],0)</f>
        <v>0</v>
      </c>
      <c r="N1463" s="6">
        <f ca="1">Main[[#This Row],[بدهکار (کیلوگرم)]]-Main[[#This Row],[بدهی تسویه نشده (کیلوگرم)]]</f>
        <v>0</v>
      </c>
      <c r="O1463" s="6">
        <f ca="1">Main[[#This Row],[تفکیک]]</f>
        <v>0</v>
      </c>
      <c r="P1463" s="6">
        <f ca="1">IF(Main[[#This Row],[تاخیر از سررسید]]&gt;0,Main[[#This Row],[بدهی تسویه نشده (کیلوگرم)]],0)</f>
        <v>0</v>
      </c>
      <c r="Q1463" s="6">
        <f ca="1">IF(Main[[#This Row],[بدهی تسویه نشده (کیلوگرم)]]&gt;0,'گزارش فردی'!$B$7-Main[[#This Row],[تاريخ میلادی]],0)</f>
        <v>0</v>
      </c>
      <c r="R1463" s="6">
        <f ca="1">IF(Main[[#This Row],[بدهی تسویه نشده (کیلوگرم)]]&gt;0,'گزارش فردی'!$B$7-Main[[#This Row],[تاريخ میلادی]]-'گزارش فردی'!$B$8,0)</f>
        <v>0</v>
      </c>
      <c r="S1463" s="6">
        <f ca="1">Main[[#This Row],[روز از ارسال سفارش]]*Main[[#This Row],[بدهی تسویه نشده (کیلوگرم)]]</f>
        <v>0</v>
      </c>
      <c r="T1463" s="6">
        <f ca="1">Main[[#This Row],[بدهی سررسید شده (کیلوگرم)]]*Main[[#This Row],[روز از ارسال سفارش]]</f>
        <v>0</v>
      </c>
      <c r="U1463" s="6">
        <f>-SUBTOTAL(9,INDEX(Main[مقدار (کیلوگرم)],1):Main[[#This Row],[مقدار (کیلوگرم)]])</f>
        <v>38653</v>
      </c>
      <c r="V14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3" s="6">
        <f>Main[[#This Row],[تعداد کل روزهای بدهکار (روز)]]*Main[[#This Row],[مانده در خط کل (کیلوگرم)]]</f>
        <v>0</v>
      </c>
      <c r="X1463" s="6">
        <f ca="1">-SUBTOTAL(9,INDEX(Main[مقدار تسویه شده (کیلوگرم)],1):Main[[#This Row],[مقدار تسویه شده (کیلوگرم)]])</f>
        <v>38653</v>
      </c>
      <c r="Y1463" s="6">
        <f ca="1">IF(Main[[#This Row],[مانده در خط تسویه شده (کیلوگرم)]]&lt;&gt;0,Main[[#This Row],[تعداد کل روزهای بدهکار (روز)]],0)</f>
        <v>0</v>
      </c>
      <c r="Z1463" s="6">
        <f ca="1">Main[[#This Row],[تعداد روزهای بدهکار تسویه شده (روز)]]*Main[[#This Row],[مانده در خط تسویه شده (کیلوگرم)]]</f>
        <v>0</v>
      </c>
      <c r="AA1463" s="6">
        <f ca="1">SUBTOTAL(9,INDEX(Main[بدهی تسویه نشده (کیلوگرم)],1):Main[[#This Row],[بدهی تسویه نشده (کیلوگرم)]])</f>
        <v>0</v>
      </c>
      <c r="AB1463" s="6">
        <f ca="1">IF(Main[[#This Row],[مانده در خط تسویه نشده (کیلوگرم)]]&lt;&gt;0,Main[[#This Row],[تعداد کل روزهای بدهکار (روز)]],0)</f>
        <v>0</v>
      </c>
      <c r="AC1463" s="6">
        <f ca="1">Main[[#This Row],[تعداد روزهای بدهکار  تسویه نشده (روز)]]*Main[[#This Row],[مانده در خط تسویه نشده (کیلوگرم)]]</f>
        <v>0</v>
      </c>
      <c r="AD1463" s="6">
        <f ca="1">SUBTOTAL(9,INDEX(Main[بدهی سررسید شده (کیلوگرم)],1):Main[[#This Row],[بدهی سررسید شده (کیلوگرم)]])</f>
        <v>0</v>
      </c>
      <c r="AE1463" s="6">
        <f ca="1">IF(Main[[#This Row],[مانده در خط سررسید شده (کیلوگرم)]]&lt;&gt;0,Main[[#This Row],[تعداد کل روزهای بدهکار (روز)]],0)</f>
        <v>0</v>
      </c>
      <c r="AF1463" s="6">
        <f ca="1">Main[[#This Row],[تعداد روزهای بدهکار سررسید شده (روز)]]*Main[[#This Row],[مانده در خط سررسید شده (کیلوگرم)]]</f>
        <v>0</v>
      </c>
    </row>
    <row r="1464" spans="1:32" hidden="1" x14ac:dyDescent="0.35">
      <c r="A1464" s="5">
        <f>ROW()-ROW(INDEX(Main[ردیف],1))+1</f>
        <v>1462</v>
      </c>
      <c r="B1464" s="31">
        <f>SUBTOTAL(2,INDEX(Main[ردیف],1):Main[[#This Row],[ردیف]])</f>
        <v>130</v>
      </c>
      <c r="C1464" s="32" t="s">
        <v>657</v>
      </c>
      <c r="D1464" s="32" t="str">
        <f>_xlfn.CONCAT("14",Main[[#This Row],[تاريخ]])</f>
        <v>1400/06/09</v>
      </c>
      <c r="E1464" s="33">
        <v>44439</v>
      </c>
      <c r="F1464" s="32">
        <v>10009</v>
      </c>
      <c r="G1464" s="5" t="str">
        <f>INDEX(customer[عنوان],MATCH(Main[[#This Row],[کد ردیابی]],customer[کد],0))</f>
        <v>محمد نمازی</v>
      </c>
      <c r="H1464">
        <v>2138</v>
      </c>
      <c r="I1464" s="6">
        <f ca="1">-Main[[#This Row],[بدهی تسویه شده (کیلوگرم)]]+Main[[#This Row],[بستانکار (کیلوگرم)]]</f>
        <v>2138</v>
      </c>
      <c r="J1464" s="6">
        <f>IF(Main[[#This Row],[مقدار (کیلوگرم)]]&gt;0,Main[[#This Row],[مقدار (کیلوگرم)]],0)</f>
        <v>2138</v>
      </c>
      <c r="K1464" s="6">
        <f>-IF(Main[[#This Row],[مقدار (کیلوگرم)]]&lt;0,Main[[#This Row],[مقدار (کیلوگرم)]],0)</f>
        <v>0</v>
      </c>
      <c r="L14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4" s="7">
        <f>-IF(AND(Main[[#This Row],[مقدار (کیلوگرم)]]&lt;0,Main[[#This Row],[تاريخ میلادی]]&gt;44276),Main[[#This Row],[مقدار (کیلوگرم)]],0)</f>
        <v>0</v>
      </c>
      <c r="N1464" s="6">
        <f ca="1">Main[[#This Row],[بدهکار (کیلوگرم)]]-Main[[#This Row],[بدهی تسویه نشده (کیلوگرم)]]</f>
        <v>0</v>
      </c>
      <c r="O1464" s="6">
        <f ca="1">Main[[#This Row],[تفکیک]]</f>
        <v>0</v>
      </c>
      <c r="P1464" s="6">
        <f ca="1">IF(Main[[#This Row],[تاخیر از سررسید]]&gt;0,Main[[#This Row],[بدهی تسویه نشده (کیلوگرم)]],0)</f>
        <v>0</v>
      </c>
      <c r="Q1464" s="6">
        <f ca="1">IF(Main[[#This Row],[بدهی تسویه نشده (کیلوگرم)]]&gt;0,'گزارش فردی'!$B$7-Main[[#This Row],[تاريخ میلادی]],0)</f>
        <v>0</v>
      </c>
      <c r="R1464" s="6">
        <f ca="1">IF(Main[[#This Row],[بدهی تسویه نشده (کیلوگرم)]]&gt;0,'گزارش فردی'!$B$7-Main[[#This Row],[تاريخ میلادی]]-'گزارش فردی'!$B$8,0)</f>
        <v>0</v>
      </c>
      <c r="S1464" s="6">
        <f ca="1">Main[[#This Row],[روز از ارسال سفارش]]*Main[[#This Row],[بدهی تسویه نشده (کیلوگرم)]]</f>
        <v>0</v>
      </c>
      <c r="T1464" s="6">
        <f ca="1">Main[[#This Row],[بدهی سررسید شده (کیلوگرم)]]*Main[[#This Row],[روز از ارسال سفارش]]</f>
        <v>0</v>
      </c>
      <c r="U1464" s="6">
        <f>-SUBTOTAL(9,INDEX(Main[مقدار (کیلوگرم)],1):Main[[#This Row],[مقدار (کیلوگرم)]])</f>
        <v>38653</v>
      </c>
      <c r="V14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4" s="6">
        <f>Main[[#This Row],[تعداد کل روزهای بدهکار (روز)]]*Main[[#This Row],[مانده در خط کل (کیلوگرم)]]</f>
        <v>0</v>
      </c>
      <c r="X1464" s="6">
        <f ca="1">-SUBTOTAL(9,INDEX(Main[مقدار تسویه شده (کیلوگرم)],1):Main[[#This Row],[مقدار تسویه شده (کیلوگرم)]])</f>
        <v>38653</v>
      </c>
      <c r="Y1464" s="6">
        <f ca="1">IF(Main[[#This Row],[مانده در خط تسویه شده (کیلوگرم)]]&lt;&gt;0,Main[[#This Row],[تعداد کل روزهای بدهکار (روز)]],0)</f>
        <v>0</v>
      </c>
      <c r="Z1464" s="6">
        <f ca="1">Main[[#This Row],[تعداد روزهای بدهکار تسویه شده (روز)]]*Main[[#This Row],[مانده در خط تسویه شده (کیلوگرم)]]</f>
        <v>0</v>
      </c>
      <c r="AA1464" s="6">
        <f ca="1">SUBTOTAL(9,INDEX(Main[بدهی تسویه نشده (کیلوگرم)],1):Main[[#This Row],[بدهی تسویه نشده (کیلوگرم)]])</f>
        <v>0</v>
      </c>
      <c r="AB1464" s="6">
        <f ca="1">IF(Main[[#This Row],[مانده در خط تسویه نشده (کیلوگرم)]]&lt;&gt;0,Main[[#This Row],[تعداد کل روزهای بدهکار (روز)]],0)</f>
        <v>0</v>
      </c>
      <c r="AC1464" s="6">
        <f ca="1">Main[[#This Row],[تعداد روزهای بدهکار  تسویه نشده (روز)]]*Main[[#This Row],[مانده در خط تسویه نشده (کیلوگرم)]]</f>
        <v>0</v>
      </c>
      <c r="AD1464" s="6">
        <f ca="1">SUBTOTAL(9,INDEX(Main[بدهی سررسید شده (کیلوگرم)],1):Main[[#This Row],[بدهی سررسید شده (کیلوگرم)]])</f>
        <v>0</v>
      </c>
      <c r="AE1464" s="6">
        <f ca="1">IF(Main[[#This Row],[مانده در خط سررسید شده (کیلوگرم)]]&lt;&gt;0,Main[[#This Row],[تعداد کل روزهای بدهکار (روز)]],0)</f>
        <v>0</v>
      </c>
      <c r="AF1464" s="6">
        <f ca="1">Main[[#This Row],[تعداد روزهای بدهکار سررسید شده (روز)]]*Main[[#This Row],[مانده در خط سررسید شده (کیلوگرم)]]</f>
        <v>0</v>
      </c>
    </row>
    <row r="1465" spans="1:32" hidden="1" x14ac:dyDescent="0.35">
      <c r="A1465" s="5">
        <f>ROW()-ROW(INDEX(Main[ردیف],1))+1</f>
        <v>1463</v>
      </c>
      <c r="B1465" s="31">
        <f>SUBTOTAL(2,INDEX(Main[ردیف],1):Main[[#This Row],[ردیف]])</f>
        <v>130</v>
      </c>
      <c r="C1465" s="32" t="s">
        <v>657</v>
      </c>
      <c r="D1465" s="32" t="str">
        <f>_xlfn.CONCAT("14",Main[[#This Row],[تاريخ]])</f>
        <v>1400/06/09</v>
      </c>
      <c r="E1465" s="33">
        <v>44439</v>
      </c>
      <c r="F1465" s="32">
        <v>10093</v>
      </c>
      <c r="G1465" s="5" t="str">
        <f>INDEX(customer[عنوان],MATCH(Main[[#This Row],[کد ردیابی]],customer[کد],0))</f>
        <v>مهدوی علیرضا</v>
      </c>
      <c r="H1465">
        <v>1927</v>
      </c>
      <c r="I1465" s="6">
        <f ca="1">-Main[[#This Row],[بدهی تسویه شده (کیلوگرم)]]+Main[[#This Row],[بستانکار (کیلوگرم)]]</f>
        <v>1927</v>
      </c>
      <c r="J1465" s="6">
        <f>IF(Main[[#This Row],[مقدار (کیلوگرم)]]&gt;0,Main[[#This Row],[مقدار (کیلوگرم)]],0)</f>
        <v>1927</v>
      </c>
      <c r="K1465" s="6">
        <f>-IF(Main[[#This Row],[مقدار (کیلوگرم)]]&lt;0,Main[[#This Row],[مقدار (کیلوگرم)]],0)</f>
        <v>0</v>
      </c>
      <c r="L14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5" s="7">
        <f>-IF(AND(Main[[#This Row],[مقدار (کیلوگرم)]]&lt;0,Main[[#This Row],[تاريخ میلادی]]&gt;44276),Main[[#This Row],[مقدار (کیلوگرم)]],0)</f>
        <v>0</v>
      </c>
      <c r="N1465" s="6">
        <f ca="1">Main[[#This Row],[بدهکار (کیلوگرم)]]-Main[[#This Row],[بدهی تسویه نشده (کیلوگرم)]]</f>
        <v>0</v>
      </c>
      <c r="O1465" s="6">
        <f ca="1">Main[[#This Row],[تفکیک]]</f>
        <v>0</v>
      </c>
      <c r="P1465" s="6">
        <f ca="1">IF(Main[[#This Row],[تاخیر از سررسید]]&gt;0,Main[[#This Row],[بدهی تسویه نشده (کیلوگرم)]],0)</f>
        <v>0</v>
      </c>
      <c r="Q1465" s="6">
        <f ca="1">IF(Main[[#This Row],[بدهی تسویه نشده (کیلوگرم)]]&gt;0,'گزارش فردی'!$B$7-Main[[#This Row],[تاريخ میلادی]],0)</f>
        <v>0</v>
      </c>
      <c r="R1465" s="6">
        <f ca="1">IF(Main[[#This Row],[بدهی تسویه نشده (کیلوگرم)]]&gt;0,'گزارش فردی'!$B$7-Main[[#This Row],[تاريخ میلادی]]-'گزارش فردی'!$B$8,0)</f>
        <v>0</v>
      </c>
      <c r="S1465" s="6">
        <f ca="1">Main[[#This Row],[روز از ارسال سفارش]]*Main[[#This Row],[بدهی تسویه نشده (کیلوگرم)]]</f>
        <v>0</v>
      </c>
      <c r="T1465" s="6">
        <f ca="1">Main[[#This Row],[بدهی سررسید شده (کیلوگرم)]]*Main[[#This Row],[روز از ارسال سفارش]]</f>
        <v>0</v>
      </c>
      <c r="U1465" s="6">
        <f>-SUBTOTAL(9,INDEX(Main[مقدار (کیلوگرم)],1):Main[[#This Row],[مقدار (کیلوگرم)]])</f>
        <v>38653</v>
      </c>
      <c r="V14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5" s="6">
        <f>Main[[#This Row],[تعداد کل روزهای بدهکار (روز)]]*Main[[#This Row],[مانده در خط کل (کیلوگرم)]]</f>
        <v>0</v>
      </c>
      <c r="X1465" s="6">
        <f ca="1">-SUBTOTAL(9,INDEX(Main[مقدار تسویه شده (کیلوگرم)],1):Main[[#This Row],[مقدار تسویه شده (کیلوگرم)]])</f>
        <v>38653</v>
      </c>
      <c r="Y1465" s="6">
        <f ca="1">IF(Main[[#This Row],[مانده در خط تسویه شده (کیلوگرم)]]&lt;&gt;0,Main[[#This Row],[تعداد کل روزهای بدهکار (روز)]],0)</f>
        <v>0</v>
      </c>
      <c r="Z1465" s="6">
        <f ca="1">Main[[#This Row],[تعداد روزهای بدهکار تسویه شده (روز)]]*Main[[#This Row],[مانده در خط تسویه شده (کیلوگرم)]]</f>
        <v>0</v>
      </c>
      <c r="AA1465" s="6">
        <f ca="1">SUBTOTAL(9,INDEX(Main[بدهی تسویه نشده (کیلوگرم)],1):Main[[#This Row],[بدهی تسویه نشده (کیلوگرم)]])</f>
        <v>0</v>
      </c>
      <c r="AB1465" s="6">
        <f ca="1">IF(Main[[#This Row],[مانده در خط تسویه نشده (کیلوگرم)]]&lt;&gt;0,Main[[#This Row],[تعداد کل روزهای بدهکار (روز)]],0)</f>
        <v>0</v>
      </c>
      <c r="AC1465" s="6">
        <f ca="1">Main[[#This Row],[تعداد روزهای بدهکار  تسویه نشده (روز)]]*Main[[#This Row],[مانده در خط تسویه نشده (کیلوگرم)]]</f>
        <v>0</v>
      </c>
      <c r="AD1465" s="6">
        <f ca="1">SUBTOTAL(9,INDEX(Main[بدهی سررسید شده (کیلوگرم)],1):Main[[#This Row],[بدهی سررسید شده (کیلوگرم)]])</f>
        <v>0</v>
      </c>
      <c r="AE1465" s="6">
        <f ca="1">IF(Main[[#This Row],[مانده در خط سررسید شده (کیلوگرم)]]&lt;&gt;0,Main[[#This Row],[تعداد کل روزهای بدهکار (روز)]],0)</f>
        <v>0</v>
      </c>
      <c r="AF1465" s="6">
        <f ca="1">Main[[#This Row],[تعداد روزهای بدهکار سررسید شده (روز)]]*Main[[#This Row],[مانده در خط سررسید شده (کیلوگرم)]]</f>
        <v>0</v>
      </c>
    </row>
    <row r="1466" spans="1:32" hidden="1" x14ac:dyDescent="0.35">
      <c r="A1466" s="5">
        <f>ROW()-ROW(INDEX(Main[ردیف],1))+1</f>
        <v>1464</v>
      </c>
      <c r="B1466" s="31">
        <f>SUBTOTAL(2,INDEX(Main[ردیف],1):Main[[#This Row],[ردیف]])</f>
        <v>130</v>
      </c>
      <c r="C1466" s="32" t="s">
        <v>657</v>
      </c>
      <c r="D1466" s="32" t="str">
        <f>_xlfn.CONCAT("14",Main[[#This Row],[تاريخ]])</f>
        <v>1400/06/09</v>
      </c>
      <c r="E1466" s="33">
        <v>44439</v>
      </c>
      <c r="F1466" s="32">
        <v>10009</v>
      </c>
      <c r="G1466" s="5" t="str">
        <f>INDEX(customer[عنوان],MATCH(Main[[#This Row],[کد ردیابی]],customer[کد],0))</f>
        <v>محمد نمازی</v>
      </c>
      <c r="H1466">
        <v>332</v>
      </c>
      <c r="I1466" s="6">
        <f ca="1">-Main[[#This Row],[بدهی تسویه شده (کیلوگرم)]]+Main[[#This Row],[بستانکار (کیلوگرم)]]</f>
        <v>332</v>
      </c>
      <c r="J1466" s="6">
        <f>IF(Main[[#This Row],[مقدار (کیلوگرم)]]&gt;0,Main[[#This Row],[مقدار (کیلوگرم)]],0)</f>
        <v>332</v>
      </c>
      <c r="K1466" s="6">
        <f>-IF(Main[[#This Row],[مقدار (کیلوگرم)]]&lt;0,Main[[#This Row],[مقدار (کیلوگرم)]],0)</f>
        <v>0</v>
      </c>
      <c r="L14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6" s="7">
        <f>-IF(AND(Main[[#This Row],[مقدار (کیلوگرم)]]&lt;0,Main[[#This Row],[تاريخ میلادی]]&gt;44276),Main[[#This Row],[مقدار (کیلوگرم)]],0)</f>
        <v>0</v>
      </c>
      <c r="N1466" s="6">
        <f ca="1">Main[[#This Row],[بدهکار (کیلوگرم)]]-Main[[#This Row],[بدهی تسویه نشده (کیلوگرم)]]</f>
        <v>0</v>
      </c>
      <c r="O1466" s="6">
        <f ca="1">Main[[#This Row],[تفکیک]]</f>
        <v>0</v>
      </c>
      <c r="P1466" s="6">
        <f ca="1">IF(Main[[#This Row],[تاخیر از سررسید]]&gt;0,Main[[#This Row],[بدهی تسویه نشده (کیلوگرم)]],0)</f>
        <v>0</v>
      </c>
      <c r="Q1466" s="6">
        <f ca="1">IF(Main[[#This Row],[بدهی تسویه نشده (کیلوگرم)]]&gt;0,'گزارش فردی'!$B$7-Main[[#This Row],[تاريخ میلادی]],0)</f>
        <v>0</v>
      </c>
      <c r="R1466" s="6">
        <f ca="1">IF(Main[[#This Row],[بدهی تسویه نشده (کیلوگرم)]]&gt;0,'گزارش فردی'!$B$7-Main[[#This Row],[تاريخ میلادی]]-'گزارش فردی'!$B$8,0)</f>
        <v>0</v>
      </c>
      <c r="S1466" s="6">
        <f ca="1">Main[[#This Row],[روز از ارسال سفارش]]*Main[[#This Row],[بدهی تسویه نشده (کیلوگرم)]]</f>
        <v>0</v>
      </c>
      <c r="T1466" s="6">
        <f ca="1">Main[[#This Row],[بدهی سررسید شده (کیلوگرم)]]*Main[[#This Row],[روز از ارسال سفارش]]</f>
        <v>0</v>
      </c>
      <c r="U1466" s="6">
        <f>-SUBTOTAL(9,INDEX(Main[مقدار (کیلوگرم)],1):Main[[#This Row],[مقدار (کیلوگرم)]])</f>
        <v>38653</v>
      </c>
      <c r="V14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6" s="6">
        <f>Main[[#This Row],[تعداد کل روزهای بدهکار (روز)]]*Main[[#This Row],[مانده در خط کل (کیلوگرم)]]</f>
        <v>0</v>
      </c>
      <c r="X1466" s="6">
        <f ca="1">-SUBTOTAL(9,INDEX(Main[مقدار تسویه شده (کیلوگرم)],1):Main[[#This Row],[مقدار تسویه شده (کیلوگرم)]])</f>
        <v>38653</v>
      </c>
      <c r="Y1466" s="6">
        <f ca="1">IF(Main[[#This Row],[مانده در خط تسویه شده (کیلوگرم)]]&lt;&gt;0,Main[[#This Row],[تعداد کل روزهای بدهکار (روز)]],0)</f>
        <v>0</v>
      </c>
      <c r="Z1466" s="6">
        <f ca="1">Main[[#This Row],[تعداد روزهای بدهکار تسویه شده (روز)]]*Main[[#This Row],[مانده در خط تسویه شده (کیلوگرم)]]</f>
        <v>0</v>
      </c>
      <c r="AA1466" s="6">
        <f ca="1">SUBTOTAL(9,INDEX(Main[بدهی تسویه نشده (کیلوگرم)],1):Main[[#This Row],[بدهی تسویه نشده (کیلوگرم)]])</f>
        <v>0</v>
      </c>
      <c r="AB1466" s="6">
        <f ca="1">IF(Main[[#This Row],[مانده در خط تسویه نشده (کیلوگرم)]]&lt;&gt;0,Main[[#This Row],[تعداد کل روزهای بدهکار (روز)]],0)</f>
        <v>0</v>
      </c>
      <c r="AC1466" s="6">
        <f ca="1">Main[[#This Row],[تعداد روزهای بدهکار  تسویه نشده (روز)]]*Main[[#This Row],[مانده در خط تسویه نشده (کیلوگرم)]]</f>
        <v>0</v>
      </c>
      <c r="AD1466" s="6">
        <f ca="1">SUBTOTAL(9,INDEX(Main[بدهی سررسید شده (کیلوگرم)],1):Main[[#This Row],[بدهی سررسید شده (کیلوگرم)]])</f>
        <v>0</v>
      </c>
      <c r="AE1466" s="6">
        <f ca="1">IF(Main[[#This Row],[مانده در خط سررسید شده (کیلوگرم)]]&lt;&gt;0,Main[[#This Row],[تعداد کل روزهای بدهکار (روز)]],0)</f>
        <v>0</v>
      </c>
      <c r="AF1466" s="6">
        <f ca="1">Main[[#This Row],[تعداد روزهای بدهکار سررسید شده (روز)]]*Main[[#This Row],[مانده در خط سررسید شده (کیلوگرم)]]</f>
        <v>0</v>
      </c>
    </row>
    <row r="1467" spans="1:32" x14ac:dyDescent="0.35">
      <c r="A1467" s="5">
        <f>ROW()-ROW(INDEX(Main[ردیف],1))+1</f>
        <v>1465</v>
      </c>
      <c r="B1467" s="31">
        <f>SUBTOTAL(2,INDEX(Main[ردیف],1):Main[[#This Row],[ردیف]])</f>
        <v>131</v>
      </c>
      <c r="C1467" s="32" t="s">
        <v>657</v>
      </c>
      <c r="D1467" s="32" t="str">
        <f>_xlfn.CONCAT("14",Main[[#This Row],[تاريخ]])</f>
        <v>1400/06/09</v>
      </c>
      <c r="E1467" s="33">
        <v>44439</v>
      </c>
      <c r="F1467" s="32">
        <v>10003</v>
      </c>
      <c r="G1467" s="5" t="str">
        <f>INDEX(customer[عنوان],MATCH(Main[[#This Row],[کد ردیابی]],customer[کد],0))</f>
        <v>اصغر نورعلی</v>
      </c>
      <c r="H1467">
        <v>2307</v>
      </c>
      <c r="I1467" s="6">
        <f ca="1">-Main[[#This Row],[بدهی تسویه شده (کیلوگرم)]]+Main[[#This Row],[بستانکار (کیلوگرم)]]</f>
        <v>2307</v>
      </c>
      <c r="J1467" s="6">
        <f>IF(Main[[#This Row],[مقدار (کیلوگرم)]]&gt;0,Main[[#This Row],[مقدار (کیلوگرم)]],0)</f>
        <v>2307</v>
      </c>
      <c r="K1467" s="6">
        <f>-IF(Main[[#This Row],[مقدار (کیلوگرم)]]&lt;0,Main[[#This Row],[مقدار (کیلوگرم)]],0)</f>
        <v>0</v>
      </c>
      <c r="L14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7" s="7">
        <f>-IF(AND(Main[[#This Row],[مقدار (کیلوگرم)]]&lt;0,Main[[#This Row],[تاريخ میلادی]]&gt;44276),Main[[#This Row],[مقدار (کیلوگرم)]],0)</f>
        <v>0</v>
      </c>
      <c r="N1467" s="6">
        <f ca="1">Main[[#This Row],[بدهکار (کیلوگرم)]]-Main[[#This Row],[بدهی تسویه نشده (کیلوگرم)]]</f>
        <v>0</v>
      </c>
      <c r="O1467" s="6">
        <f ca="1">Main[[#This Row],[تفکیک]]</f>
        <v>0</v>
      </c>
      <c r="P1467" s="6">
        <f ca="1">IF(Main[[#This Row],[تاخیر از سررسید]]&gt;0,Main[[#This Row],[بدهی تسویه نشده (کیلوگرم)]],0)</f>
        <v>0</v>
      </c>
      <c r="Q1467" s="6">
        <f ca="1">IF(Main[[#This Row],[بدهی تسویه نشده (کیلوگرم)]]&gt;0,'گزارش فردی'!$B$7-Main[[#This Row],[تاريخ میلادی]],0)</f>
        <v>0</v>
      </c>
      <c r="R1467" s="6">
        <f ca="1">IF(Main[[#This Row],[بدهی تسویه نشده (کیلوگرم)]]&gt;0,'گزارش فردی'!$B$7-Main[[#This Row],[تاريخ میلادی]]-'گزارش فردی'!$B$8,0)</f>
        <v>0</v>
      </c>
      <c r="S1467" s="6">
        <f ca="1">Main[[#This Row],[روز از ارسال سفارش]]*Main[[#This Row],[بدهی تسویه نشده (کیلوگرم)]]</f>
        <v>0</v>
      </c>
      <c r="T1467" s="6">
        <f ca="1">Main[[#This Row],[بدهی سررسید شده (کیلوگرم)]]*Main[[#This Row],[روز از ارسال سفارش]]</f>
        <v>0</v>
      </c>
      <c r="U1467" s="6">
        <f>-SUBTOTAL(9,INDEX(Main[مقدار (کیلوگرم)],1):Main[[#This Row],[مقدار (کیلوگرم)]])</f>
        <v>36346</v>
      </c>
      <c r="V14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467" s="6">
        <f>Main[[#This Row],[تعداد کل روزهای بدهکار (روز)]]*Main[[#This Row],[مانده در خط کل (کیلوگرم)]]</f>
        <v>72692</v>
      </c>
      <c r="X1467" s="6">
        <f ca="1">-SUBTOTAL(9,INDEX(Main[مقدار تسویه شده (کیلوگرم)],1):Main[[#This Row],[مقدار تسویه شده (کیلوگرم)]])</f>
        <v>36346</v>
      </c>
      <c r="Y1467" s="6">
        <f ca="1">IF(Main[[#This Row],[مانده در خط تسویه شده (کیلوگرم)]]&lt;&gt;0,Main[[#This Row],[تعداد کل روزهای بدهکار (روز)]],0)</f>
        <v>2</v>
      </c>
      <c r="Z1467" s="6">
        <f ca="1">Main[[#This Row],[تعداد روزهای بدهکار تسویه شده (روز)]]*Main[[#This Row],[مانده در خط تسویه شده (کیلوگرم)]]</f>
        <v>72692</v>
      </c>
      <c r="AA1467" s="6">
        <f ca="1">SUBTOTAL(9,INDEX(Main[بدهی تسویه نشده (کیلوگرم)],1):Main[[#This Row],[بدهی تسویه نشده (کیلوگرم)]])</f>
        <v>0</v>
      </c>
      <c r="AB1467" s="6">
        <f ca="1">IF(Main[[#This Row],[مانده در خط تسویه نشده (کیلوگرم)]]&lt;&gt;0,Main[[#This Row],[تعداد کل روزهای بدهکار (روز)]],0)</f>
        <v>0</v>
      </c>
      <c r="AC1467" s="6">
        <f ca="1">Main[[#This Row],[تعداد روزهای بدهکار  تسویه نشده (روز)]]*Main[[#This Row],[مانده در خط تسویه نشده (کیلوگرم)]]</f>
        <v>0</v>
      </c>
      <c r="AD1467" s="6">
        <f ca="1">SUBTOTAL(9,INDEX(Main[بدهی سررسید شده (کیلوگرم)],1):Main[[#This Row],[بدهی سررسید شده (کیلوگرم)]])</f>
        <v>0</v>
      </c>
      <c r="AE1467" s="6">
        <f ca="1">IF(Main[[#This Row],[مانده در خط سررسید شده (کیلوگرم)]]&lt;&gt;0,Main[[#This Row],[تعداد کل روزهای بدهکار (روز)]],0)</f>
        <v>0</v>
      </c>
      <c r="AF1467" s="6">
        <f ca="1">Main[[#This Row],[تعداد روزهای بدهکار سررسید شده (روز)]]*Main[[#This Row],[مانده در خط سررسید شده (کیلوگرم)]]</f>
        <v>0</v>
      </c>
    </row>
    <row r="1468" spans="1:32" hidden="1" x14ac:dyDescent="0.35">
      <c r="A1468" s="5">
        <f>ROW()-ROW(INDEX(Main[ردیف],1))+1</f>
        <v>1466</v>
      </c>
      <c r="B1468" s="31">
        <f>SUBTOTAL(2,INDEX(Main[ردیف],1):Main[[#This Row],[ردیف]])</f>
        <v>131</v>
      </c>
      <c r="C1468" s="32" t="s">
        <v>657</v>
      </c>
      <c r="D1468" s="32" t="str">
        <f>_xlfn.CONCAT("14",Main[[#This Row],[تاريخ]])</f>
        <v>1400/06/09</v>
      </c>
      <c r="E1468" s="33">
        <v>44439</v>
      </c>
      <c r="F1468" s="32">
        <v>30099</v>
      </c>
      <c r="G1468" s="5" t="str">
        <f>INDEX(customer[عنوان],MATCH(Main[[#This Row],[کد ردیابی]],customer[کد],0))</f>
        <v>ایران شرق نیشابور</v>
      </c>
      <c r="H1468">
        <v>4491</v>
      </c>
      <c r="I1468" s="6">
        <f ca="1">-Main[[#This Row],[بدهی تسویه شده (کیلوگرم)]]+Main[[#This Row],[بستانکار (کیلوگرم)]]</f>
        <v>4491</v>
      </c>
      <c r="J1468" s="6">
        <f>IF(Main[[#This Row],[مقدار (کیلوگرم)]]&gt;0,Main[[#This Row],[مقدار (کیلوگرم)]],0)</f>
        <v>4491</v>
      </c>
      <c r="K1468" s="6">
        <f>-IF(Main[[#This Row],[مقدار (کیلوگرم)]]&lt;0,Main[[#This Row],[مقدار (کیلوگرم)]],0)</f>
        <v>0</v>
      </c>
      <c r="L14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8" s="7">
        <f>-IF(AND(Main[[#This Row],[مقدار (کیلوگرم)]]&lt;0,Main[[#This Row],[تاريخ میلادی]]&gt;44276),Main[[#This Row],[مقدار (کیلوگرم)]],0)</f>
        <v>0</v>
      </c>
      <c r="N1468" s="6">
        <f ca="1">Main[[#This Row],[بدهکار (کیلوگرم)]]-Main[[#This Row],[بدهی تسویه نشده (کیلوگرم)]]</f>
        <v>0</v>
      </c>
      <c r="O1468" s="6">
        <f ca="1">Main[[#This Row],[تفکیک]]</f>
        <v>0</v>
      </c>
      <c r="P1468" s="6">
        <f ca="1">IF(Main[[#This Row],[تاخیر از سررسید]]&gt;0,Main[[#This Row],[بدهی تسویه نشده (کیلوگرم)]],0)</f>
        <v>0</v>
      </c>
      <c r="Q1468" s="6">
        <f ca="1">IF(Main[[#This Row],[بدهی تسویه نشده (کیلوگرم)]]&gt;0,'گزارش فردی'!$B$7-Main[[#This Row],[تاريخ میلادی]],0)</f>
        <v>0</v>
      </c>
      <c r="R1468" s="6">
        <f ca="1">IF(Main[[#This Row],[بدهی تسویه نشده (کیلوگرم)]]&gt;0,'گزارش فردی'!$B$7-Main[[#This Row],[تاريخ میلادی]]-'گزارش فردی'!$B$8,0)</f>
        <v>0</v>
      </c>
      <c r="S1468" s="6">
        <f ca="1">Main[[#This Row],[روز از ارسال سفارش]]*Main[[#This Row],[بدهی تسویه نشده (کیلوگرم)]]</f>
        <v>0</v>
      </c>
      <c r="T1468" s="6">
        <f ca="1">Main[[#This Row],[بدهی سررسید شده (کیلوگرم)]]*Main[[#This Row],[روز از ارسال سفارش]]</f>
        <v>0</v>
      </c>
      <c r="U1468" s="6">
        <f>-SUBTOTAL(9,INDEX(Main[مقدار (کیلوگرم)],1):Main[[#This Row],[مقدار (کیلوگرم)]])</f>
        <v>36346</v>
      </c>
      <c r="V146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468" s="6">
        <f>Main[[#This Row],[تعداد کل روزهای بدهکار (روز)]]*Main[[#This Row],[مانده در خط کل (کیلوگرم)]]</f>
        <v>72692</v>
      </c>
      <c r="X1468" s="6">
        <f ca="1">-SUBTOTAL(9,INDEX(Main[مقدار تسویه شده (کیلوگرم)],1):Main[[#This Row],[مقدار تسویه شده (کیلوگرم)]])</f>
        <v>36346</v>
      </c>
      <c r="Y1468" s="6">
        <f ca="1">IF(Main[[#This Row],[مانده در خط تسویه شده (کیلوگرم)]]&lt;&gt;0,Main[[#This Row],[تعداد کل روزهای بدهکار (روز)]],0)</f>
        <v>2</v>
      </c>
      <c r="Z1468" s="6">
        <f ca="1">Main[[#This Row],[تعداد روزهای بدهکار تسویه شده (روز)]]*Main[[#This Row],[مانده در خط تسویه شده (کیلوگرم)]]</f>
        <v>72692</v>
      </c>
      <c r="AA1468" s="6">
        <f ca="1">SUBTOTAL(9,INDEX(Main[بدهی تسویه نشده (کیلوگرم)],1):Main[[#This Row],[بدهی تسویه نشده (کیلوگرم)]])</f>
        <v>0</v>
      </c>
      <c r="AB1468" s="6">
        <f ca="1">IF(Main[[#This Row],[مانده در خط تسویه نشده (کیلوگرم)]]&lt;&gt;0,Main[[#This Row],[تعداد کل روزهای بدهکار (روز)]],0)</f>
        <v>0</v>
      </c>
      <c r="AC1468" s="6">
        <f ca="1">Main[[#This Row],[تعداد روزهای بدهکار  تسویه نشده (روز)]]*Main[[#This Row],[مانده در خط تسویه نشده (کیلوگرم)]]</f>
        <v>0</v>
      </c>
      <c r="AD1468" s="6">
        <f ca="1">SUBTOTAL(9,INDEX(Main[بدهی سررسید شده (کیلوگرم)],1):Main[[#This Row],[بدهی سررسید شده (کیلوگرم)]])</f>
        <v>0</v>
      </c>
      <c r="AE1468" s="6">
        <f ca="1">IF(Main[[#This Row],[مانده در خط سررسید شده (کیلوگرم)]]&lt;&gt;0,Main[[#This Row],[تعداد کل روزهای بدهکار (روز)]],0)</f>
        <v>0</v>
      </c>
      <c r="AF1468" s="6">
        <f ca="1">Main[[#This Row],[تعداد روزهای بدهکار سررسید شده (روز)]]*Main[[#This Row],[مانده در خط سررسید شده (کیلوگرم)]]</f>
        <v>0</v>
      </c>
    </row>
    <row r="1469" spans="1:32" hidden="1" x14ac:dyDescent="0.35">
      <c r="A1469" s="5">
        <f>ROW()-ROW(INDEX(Main[ردیف],1))+1</f>
        <v>1467</v>
      </c>
      <c r="B1469" s="31">
        <f>SUBTOTAL(2,INDEX(Main[ردیف],1):Main[[#This Row],[ردیف]])</f>
        <v>131</v>
      </c>
      <c r="C1469" s="32" t="s">
        <v>658</v>
      </c>
      <c r="D1469" s="32" t="str">
        <f>_xlfn.CONCAT("14",Main[[#This Row],[تاريخ]])</f>
        <v>1400/06/10</v>
      </c>
      <c r="E1469" s="33">
        <v>44440</v>
      </c>
      <c r="F1469" s="32">
        <v>30004</v>
      </c>
      <c r="G1469" s="5" t="str">
        <f>INDEX(customer[عنوان],MATCH(Main[[#This Row],[کد ردیابی]],customer[کد],0))</f>
        <v>تولیدی صنعتی صفاشیر پارس</v>
      </c>
      <c r="H1469">
        <v>-4902</v>
      </c>
      <c r="I1469" s="6">
        <f ca="1">-Main[[#This Row],[بدهی تسویه شده (کیلوگرم)]]+Main[[#This Row],[بستانکار (کیلوگرم)]]</f>
        <v>-4902</v>
      </c>
      <c r="J1469" s="6">
        <f>IF(Main[[#This Row],[مقدار (کیلوگرم)]]&gt;0,Main[[#This Row],[مقدار (کیلوگرم)]],0)</f>
        <v>0</v>
      </c>
      <c r="K1469" s="6">
        <f>-IF(Main[[#This Row],[مقدار (کیلوگرم)]]&lt;0,Main[[#This Row],[مقدار (کیلوگرم)]],0)</f>
        <v>4902</v>
      </c>
      <c r="L14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9" s="7">
        <f>-IF(AND(Main[[#This Row],[مقدار (کیلوگرم)]]&lt;0,Main[[#This Row],[تاريخ میلادی]]&gt;44276),Main[[#This Row],[مقدار (کیلوگرم)]],0)</f>
        <v>4902</v>
      </c>
      <c r="N1469" s="6">
        <f ca="1">Main[[#This Row],[بدهکار (کیلوگرم)]]-Main[[#This Row],[بدهی تسویه نشده (کیلوگرم)]]</f>
        <v>4902</v>
      </c>
      <c r="O1469" s="6">
        <f ca="1">Main[[#This Row],[تفکیک]]</f>
        <v>0</v>
      </c>
      <c r="P1469" s="6">
        <f ca="1">IF(Main[[#This Row],[تاخیر از سررسید]]&gt;0,Main[[#This Row],[بدهی تسویه نشده (کیلوگرم)]],0)</f>
        <v>0</v>
      </c>
      <c r="Q1469" s="6">
        <f ca="1">IF(Main[[#This Row],[بدهی تسویه نشده (کیلوگرم)]]&gt;0,'گزارش فردی'!$B$7-Main[[#This Row],[تاريخ میلادی]],0)</f>
        <v>0</v>
      </c>
      <c r="R1469" s="6">
        <f ca="1">IF(Main[[#This Row],[بدهی تسویه نشده (کیلوگرم)]]&gt;0,'گزارش فردی'!$B$7-Main[[#This Row],[تاريخ میلادی]]-'گزارش فردی'!$B$8,0)</f>
        <v>0</v>
      </c>
      <c r="S1469" s="6">
        <f ca="1">Main[[#This Row],[روز از ارسال سفارش]]*Main[[#This Row],[بدهی تسویه نشده (کیلوگرم)]]</f>
        <v>0</v>
      </c>
      <c r="T1469" s="6">
        <f ca="1">Main[[#This Row],[بدهی سررسید شده (کیلوگرم)]]*Main[[#This Row],[روز از ارسال سفارش]]</f>
        <v>0</v>
      </c>
      <c r="U1469" s="6">
        <f>-SUBTOTAL(9,INDEX(Main[مقدار (کیلوگرم)],1):Main[[#This Row],[مقدار (کیلوگرم)]])</f>
        <v>36346</v>
      </c>
      <c r="V14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69" s="6">
        <f>Main[[#This Row],[تعداد کل روزهای بدهکار (روز)]]*Main[[#This Row],[مانده در خط کل (کیلوگرم)]]</f>
        <v>36346</v>
      </c>
      <c r="X1469" s="6">
        <f ca="1">-SUBTOTAL(9,INDEX(Main[مقدار تسویه شده (کیلوگرم)],1):Main[[#This Row],[مقدار تسویه شده (کیلوگرم)]])</f>
        <v>36346</v>
      </c>
      <c r="Y1469" s="6">
        <f ca="1">IF(Main[[#This Row],[مانده در خط تسویه شده (کیلوگرم)]]&lt;&gt;0,Main[[#This Row],[تعداد کل روزهای بدهکار (روز)]],0)</f>
        <v>1</v>
      </c>
      <c r="Z1469" s="6">
        <f ca="1">Main[[#This Row],[تعداد روزهای بدهکار تسویه شده (روز)]]*Main[[#This Row],[مانده در خط تسویه شده (کیلوگرم)]]</f>
        <v>36346</v>
      </c>
      <c r="AA1469" s="6">
        <f ca="1">SUBTOTAL(9,INDEX(Main[بدهی تسویه نشده (کیلوگرم)],1):Main[[#This Row],[بدهی تسویه نشده (کیلوگرم)]])</f>
        <v>0</v>
      </c>
      <c r="AB1469" s="6">
        <f ca="1">IF(Main[[#This Row],[مانده در خط تسویه نشده (کیلوگرم)]]&lt;&gt;0,Main[[#This Row],[تعداد کل روزهای بدهکار (روز)]],0)</f>
        <v>0</v>
      </c>
      <c r="AC1469" s="6">
        <f ca="1">Main[[#This Row],[تعداد روزهای بدهکار  تسویه نشده (روز)]]*Main[[#This Row],[مانده در خط تسویه نشده (کیلوگرم)]]</f>
        <v>0</v>
      </c>
      <c r="AD1469" s="6">
        <f ca="1">SUBTOTAL(9,INDEX(Main[بدهی سررسید شده (کیلوگرم)],1):Main[[#This Row],[بدهی سررسید شده (کیلوگرم)]])</f>
        <v>0</v>
      </c>
      <c r="AE1469" s="6">
        <f ca="1">IF(Main[[#This Row],[مانده در خط سررسید شده (کیلوگرم)]]&lt;&gt;0,Main[[#This Row],[تعداد کل روزهای بدهکار (روز)]],0)</f>
        <v>0</v>
      </c>
      <c r="AF1469" s="6">
        <f ca="1">Main[[#This Row],[تعداد روزهای بدهکار سررسید شده (روز)]]*Main[[#This Row],[مانده در خط سررسید شده (کیلوگرم)]]</f>
        <v>0</v>
      </c>
    </row>
    <row r="1470" spans="1:32" hidden="1" x14ac:dyDescent="0.35">
      <c r="A1470" s="5">
        <f>ROW()-ROW(INDEX(Main[ردیف],1))+1</f>
        <v>1468</v>
      </c>
      <c r="B1470" s="31">
        <f>SUBTOTAL(2,INDEX(Main[ردیف],1):Main[[#This Row],[ردیف]])</f>
        <v>131</v>
      </c>
      <c r="C1470" s="32" t="s">
        <v>658</v>
      </c>
      <c r="D1470" s="32" t="str">
        <f>_xlfn.CONCAT("14",Main[[#This Row],[تاريخ]])</f>
        <v>1400/06/10</v>
      </c>
      <c r="E1470" s="33">
        <v>44440</v>
      </c>
      <c r="F1470" s="32">
        <v>30191</v>
      </c>
      <c r="G1470" s="5" t="str">
        <f>INDEX(customer[عنوان],MATCH(Main[[#This Row],[کد ردیابی]],customer[کد],0))</f>
        <v>ایران گرما</v>
      </c>
      <c r="H1470">
        <v>1664</v>
      </c>
      <c r="I1470" s="6">
        <f ca="1">-Main[[#This Row],[بدهی تسویه شده (کیلوگرم)]]+Main[[#This Row],[بستانکار (کیلوگرم)]]</f>
        <v>1664</v>
      </c>
      <c r="J1470" s="6">
        <f>IF(Main[[#This Row],[مقدار (کیلوگرم)]]&gt;0,Main[[#This Row],[مقدار (کیلوگرم)]],0)</f>
        <v>1664</v>
      </c>
      <c r="K1470" s="6">
        <f>-IF(Main[[#This Row],[مقدار (کیلوگرم)]]&lt;0,Main[[#This Row],[مقدار (کیلوگرم)]],0)</f>
        <v>0</v>
      </c>
      <c r="L14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0" s="7">
        <f>-IF(AND(Main[[#This Row],[مقدار (کیلوگرم)]]&lt;0,Main[[#This Row],[تاريخ میلادی]]&gt;44276),Main[[#This Row],[مقدار (کیلوگرم)]],0)</f>
        <v>0</v>
      </c>
      <c r="N1470" s="6">
        <f ca="1">Main[[#This Row],[بدهکار (کیلوگرم)]]-Main[[#This Row],[بدهی تسویه نشده (کیلوگرم)]]</f>
        <v>0</v>
      </c>
      <c r="O1470" s="6">
        <f ca="1">Main[[#This Row],[تفکیک]]</f>
        <v>0</v>
      </c>
      <c r="P1470" s="6">
        <f ca="1">IF(Main[[#This Row],[تاخیر از سررسید]]&gt;0,Main[[#This Row],[بدهی تسویه نشده (کیلوگرم)]],0)</f>
        <v>0</v>
      </c>
      <c r="Q1470" s="6">
        <f ca="1">IF(Main[[#This Row],[بدهی تسویه نشده (کیلوگرم)]]&gt;0,'گزارش فردی'!$B$7-Main[[#This Row],[تاريخ میلادی]],0)</f>
        <v>0</v>
      </c>
      <c r="R1470" s="6">
        <f ca="1">IF(Main[[#This Row],[بدهی تسویه نشده (کیلوگرم)]]&gt;0,'گزارش فردی'!$B$7-Main[[#This Row],[تاريخ میلادی]]-'گزارش فردی'!$B$8,0)</f>
        <v>0</v>
      </c>
      <c r="S1470" s="6">
        <f ca="1">Main[[#This Row],[روز از ارسال سفارش]]*Main[[#This Row],[بدهی تسویه نشده (کیلوگرم)]]</f>
        <v>0</v>
      </c>
      <c r="T1470" s="6">
        <f ca="1">Main[[#This Row],[بدهی سررسید شده (کیلوگرم)]]*Main[[#This Row],[روز از ارسال سفارش]]</f>
        <v>0</v>
      </c>
      <c r="U1470" s="6">
        <f>-SUBTOTAL(9,INDEX(Main[مقدار (کیلوگرم)],1):Main[[#This Row],[مقدار (کیلوگرم)]])</f>
        <v>36346</v>
      </c>
      <c r="V14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0" s="6">
        <f>Main[[#This Row],[تعداد کل روزهای بدهکار (روز)]]*Main[[#This Row],[مانده در خط کل (کیلوگرم)]]</f>
        <v>36346</v>
      </c>
      <c r="X1470" s="6">
        <f ca="1">-SUBTOTAL(9,INDEX(Main[مقدار تسویه شده (کیلوگرم)],1):Main[[#This Row],[مقدار تسویه شده (کیلوگرم)]])</f>
        <v>36346</v>
      </c>
      <c r="Y1470" s="6">
        <f ca="1">IF(Main[[#This Row],[مانده در خط تسویه شده (کیلوگرم)]]&lt;&gt;0,Main[[#This Row],[تعداد کل روزهای بدهکار (روز)]],0)</f>
        <v>1</v>
      </c>
      <c r="Z1470" s="6">
        <f ca="1">Main[[#This Row],[تعداد روزهای بدهکار تسویه شده (روز)]]*Main[[#This Row],[مانده در خط تسویه شده (کیلوگرم)]]</f>
        <v>36346</v>
      </c>
      <c r="AA1470" s="6">
        <f ca="1">SUBTOTAL(9,INDEX(Main[بدهی تسویه نشده (کیلوگرم)],1):Main[[#This Row],[بدهی تسویه نشده (کیلوگرم)]])</f>
        <v>0</v>
      </c>
      <c r="AB1470" s="6">
        <f ca="1">IF(Main[[#This Row],[مانده در خط تسویه نشده (کیلوگرم)]]&lt;&gt;0,Main[[#This Row],[تعداد کل روزهای بدهکار (روز)]],0)</f>
        <v>0</v>
      </c>
      <c r="AC1470" s="6">
        <f ca="1">Main[[#This Row],[تعداد روزهای بدهکار  تسویه نشده (روز)]]*Main[[#This Row],[مانده در خط تسویه نشده (کیلوگرم)]]</f>
        <v>0</v>
      </c>
      <c r="AD1470" s="6">
        <f ca="1">SUBTOTAL(9,INDEX(Main[بدهی سررسید شده (کیلوگرم)],1):Main[[#This Row],[بدهی سررسید شده (کیلوگرم)]])</f>
        <v>0</v>
      </c>
      <c r="AE1470" s="6">
        <f ca="1">IF(Main[[#This Row],[مانده در خط سررسید شده (کیلوگرم)]]&lt;&gt;0,Main[[#This Row],[تعداد کل روزهای بدهکار (روز)]],0)</f>
        <v>0</v>
      </c>
      <c r="AF1470" s="6">
        <f ca="1">Main[[#This Row],[تعداد روزهای بدهکار سررسید شده (روز)]]*Main[[#This Row],[مانده در خط سررسید شده (کیلوگرم)]]</f>
        <v>0</v>
      </c>
    </row>
    <row r="1471" spans="1:32" hidden="1" x14ac:dyDescent="0.35">
      <c r="A1471" s="5">
        <f>ROW()-ROW(INDEX(Main[ردیف],1))+1</f>
        <v>1469</v>
      </c>
      <c r="B1471" s="31">
        <f>SUBTOTAL(2,INDEX(Main[ردیف],1):Main[[#This Row],[ردیف]])</f>
        <v>131</v>
      </c>
      <c r="C1471" s="32" t="s">
        <v>658</v>
      </c>
      <c r="D1471" s="32" t="str">
        <f>_xlfn.CONCAT("14",Main[[#This Row],[تاريخ]])</f>
        <v>1400/06/10</v>
      </c>
      <c r="E1471" s="33">
        <v>44440</v>
      </c>
      <c r="F1471" s="32">
        <v>30009</v>
      </c>
      <c r="G1471" s="5" t="str">
        <f>INDEX(customer[عنوان],MATCH(Main[[#This Row],[کد ردیابی]],customer[کد],0))</f>
        <v>شرکت ایمن تک پیشرو</v>
      </c>
      <c r="H1471">
        <v>-2349</v>
      </c>
      <c r="I1471" s="6">
        <f ca="1">-Main[[#This Row],[بدهی تسویه شده (کیلوگرم)]]+Main[[#This Row],[بستانکار (کیلوگرم)]]</f>
        <v>-2349</v>
      </c>
      <c r="J1471" s="6">
        <f>IF(Main[[#This Row],[مقدار (کیلوگرم)]]&gt;0,Main[[#This Row],[مقدار (کیلوگرم)]],0)</f>
        <v>0</v>
      </c>
      <c r="K1471" s="6">
        <f>-IF(Main[[#This Row],[مقدار (کیلوگرم)]]&lt;0,Main[[#This Row],[مقدار (کیلوگرم)]],0)</f>
        <v>2349</v>
      </c>
      <c r="L14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1" s="7">
        <f>-IF(AND(Main[[#This Row],[مقدار (کیلوگرم)]]&lt;0,Main[[#This Row],[تاريخ میلادی]]&gt;44276),Main[[#This Row],[مقدار (کیلوگرم)]],0)</f>
        <v>2349</v>
      </c>
      <c r="N1471" s="6">
        <f ca="1">Main[[#This Row],[بدهکار (کیلوگرم)]]-Main[[#This Row],[بدهی تسویه نشده (کیلوگرم)]]</f>
        <v>2349</v>
      </c>
      <c r="O1471" s="6">
        <f ca="1">Main[[#This Row],[تفکیک]]</f>
        <v>0</v>
      </c>
      <c r="P1471" s="6">
        <f ca="1">IF(Main[[#This Row],[تاخیر از سررسید]]&gt;0,Main[[#This Row],[بدهی تسویه نشده (کیلوگرم)]],0)</f>
        <v>0</v>
      </c>
      <c r="Q1471" s="6">
        <f ca="1">IF(Main[[#This Row],[بدهی تسویه نشده (کیلوگرم)]]&gt;0,'گزارش فردی'!$B$7-Main[[#This Row],[تاريخ میلادی]],0)</f>
        <v>0</v>
      </c>
      <c r="R1471" s="6">
        <f ca="1">IF(Main[[#This Row],[بدهی تسویه نشده (کیلوگرم)]]&gt;0,'گزارش فردی'!$B$7-Main[[#This Row],[تاريخ میلادی]]-'گزارش فردی'!$B$8,0)</f>
        <v>0</v>
      </c>
      <c r="S1471" s="6">
        <f ca="1">Main[[#This Row],[روز از ارسال سفارش]]*Main[[#This Row],[بدهی تسویه نشده (کیلوگرم)]]</f>
        <v>0</v>
      </c>
      <c r="T1471" s="6">
        <f ca="1">Main[[#This Row],[بدهی سررسید شده (کیلوگرم)]]*Main[[#This Row],[روز از ارسال سفارش]]</f>
        <v>0</v>
      </c>
      <c r="U1471" s="6">
        <f>-SUBTOTAL(9,INDEX(Main[مقدار (کیلوگرم)],1):Main[[#This Row],[مقدار (کیلوگرم)]])</f>
        <v>36346</v>
      </c>
      <c r="V14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1" s="6">
        <f>Main[[#This Row],[تعداد کل روزهای بدهکار (روز)]]*Main[[#This Row],[مانده در خط کل (کیلوگرم)]]</f>
        <v>36346</v>
      </c>
      <c r="X1471" s="6">
        <f ca="1">-SUBTOTAL(9,INDEX(Main[مقدار تسویه شده (کیلوگرم)],1):Main[[#This Row],[مقدار تسویه شده (کیلوگرم)]])</f>
        <v>36346</v>
      </c>
      <c r="Y1471" s="6">
        <f ca="1">IF(Main[[#This Row],[مانده در خط تسویه شده (کیلوگرم)]]&lt;&gt;0,Main[[#This Row],[تعداد کل روزهای بدهکار (روز)]],0)</f>
        <v>1</v>
      </c>
      <c r="Z1471" s="6">
        <f ca="1">Main[[#This Row],[تعداد روزهای بدهکار تسویه شده (روز)]]*Main[[#This Row],[مانده در خط تسویه شده (کیلوگرم)]]</f>
        <v>36346</v>
      </c>
      <c r="AA1471" s="6">
        <f ca="1">SUBTOTAL(9,INDEX(Main[بدهی تسویه نشده (کیلوگرم)],1):Main[[#This Row],[بدهی تسویه نشده (کیلوگرم)]])</f>
        <v>0</v>
      </c>
      <c r="AB1471" s="6">
        <f ca="1">IF(Main[[#This Row],[مانده در خط تسویه نشده (کیلوگرم)]]&lt;&gt;0,Main[[#This Row],[تعداد کل روزهای بدهکار (روز)]],0)</f>
        <v>0</v>
      </c>
      <c r="AC1471" s="6">
        <f ca="1">Main[[#This Row],[تعداد روزهای بدهکار  تسویه نشده (روز)]]*Main[[#This Row],[مانده در خط تسویه نشده (کیلوگرم)]]</f>
        <v>0</v>
      </c>
      <c r="AD1471" s="6">
        <f ca="1">SUBTOTAL(9,INDEX(Main[بدهی سررسید شده (کیلوگرم)],1):Main[[#This Row],[بدهی سررسید شده (کیلوگرم)]])</f>
        <v>0</v>
      </c>
      <c r="AE1471" s="6">
        <f ca="1">IF(Main[[#This Row],[مانده در خط سررسید شده (کیلوگرم)]]&lt;&gt;0,Main[[#This Row],[تعداد کل روزهای بدهکار (روز)]],0)</f>
        <v>0</v>
      </c>
      <c r="AF1471" s="6">
        <f ca="1">Main[[#This Row],[تعداد روزهای بدهکار سررسید شده (روز)]]*Main[[#This Row],[مانده در خط سررسید شده (کیلوگرم)]]</f>
        <v>0</v>
      </c>
    </row>
    <row r="1472" spans="1:32" hidden="1" x14ac:dyDescent="0.35">
      <c r="A1472" s="5">
        <f>ROW()-ROW(INDEX(Main[ردیف],1))+1</f>
        <v>1470</v>
      </c>
      <c r="B1472" s="31">
        <f>SUBTOTAL(2,INDEX(Main[ردیف],1):Main[[#This Row],[ردیف]])</f>
        <v>131</v>
      </c>
      <c r="C1472" s="32" t="s">
        <v>658</v>
      </c>
      <c r="D1472" s="32" t="str">
        <f>_xlfn.CONCAT("14",Main[[#This Row],[تاريخ]])</f>
        <v>1400/06/10</v>
      </c>
      <c r="E1472" s="33">
        <v>44440</v>
      </c>
      <c r="F1472" s="32">
        <v>10048</v>
      </c>
      <c r="G1472" s="5" t="str">
        <f>INDEX(customer[عنوان],MATCH(Main[[#This Row],[کد ردیابی]],customer[کد],0))</f>
        <v xml:space="preserve">حسام کریمان  </v>
      </c>
      <c r="H1472">
        <v>177</v>
      </c>
      <c r="I1472" s="6">
        <f ca="1">-Main[[#This Row],[بدهی تسویه شده (کیلوگرم)]]+Main[[#This Row],[بستانکار (کیلوگرم)]]</f>
        <v>177</v>
      </c>
      <c r="J1472" s="6">
        <f>IF(Main[[#This Row],[مقدار (کیلوگرم)]]&gt;0,Main[[#This Row],[مقدار (کیلوگرم)]],0)</f>
        <v>177</v>
      </c>
      <c r="K1472" s="6">
        <f>-IF(Main[[#This Row],[مقدار (کیلوگرم)]]&lt;0,Main[[#This Row],[مقدار (کیلوگرم)]],0)</f>
        <v>0</v>
      </c>
      <c r="L14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2" s="7">
        <f>-IF(AND(Main[[#This Row],[مقدار (کیلوگرم)]]&lt;0,Main[[#This Row],[تاريخ میلادی]]&gt;44276),Main[[#This Row],[مقدار (کیلوگرم)]],0)</f>
        <v>0</v>
      </c>
      <c r="N1472" s="6">
        <f ca="1">Main[[#This Row],[بدهکار (کیلوگرم)]]-Main[[#This Row],[بدهی تسویه نشده (کیلوگرم)]]</f>
        <v>0</v>
      </c>
      <c r="O1472" s="6">
        <f ca="1">Main[[#This Row],[تفکیک]]</f>
        <v>0</v>
      </c>
      <c r="P1472" s="6">
        <f ca="1">IF(Main[[#This Row],[تاخیر از سررسید]]&gt;0,Main[[#This Row],[بدهی تسویه نشده (کیلوگرم)]],0)</f>
        <v>0</v>
      </c>
      <c r="Q1472" s="6">
        <f ca="1">IF(Main[[#This Row],[بدهی تسویه نشده (کیلوگرم)]]&gt;0,'گزارش فردی'!$B$7-Main[[#This Row],[تاريخ میلادی]],0)</f>
        <v>0</v>
      </c>
      <c r="R1472" s="6">
        <f ca="1">IF(Main[[#This Row],[بدهی تسویه نشده (کیلوگرم)]]&gt;0,'گزارش فردی'!$B$7-Main[[#This Row],[تاريخ میلادی]]-'گزارش فردی'!$B$8,0)</f>
        <v>0</v>
      </c>
      <c r="S1472" s="6">
        <f ca="1">Main[[#This Row],[روز از ارسال سفارش]]*Main[[#This Row],[بدهی تسویه نشده (کیلوگرم)]]</f>
        <v>0</v>
      </c>
      <c r="T1472" s="6">
        <f ca="1">Main[[#This Row],[بدهی سررسید شده (کیلوگرم)]]*Main[[#This Row],[روز از ارسال سفارش]]</f>
        <v>0</v>
      </c>
      <c r="U1472" s="6">
        <f>-SUBTOTAL(9,INDEX(Main[مقدار (کیلوگرم)],1):Main[[#This Row],[مقدار (کیلوگرم)]])</f>
        <v>36346</v>
      </c>
      <c r="V14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2" s="6">
        <f>Main[[#This Row],[تعداد کل روزهای بدهکار (روز)]]*Main[[#This Row],[مانده در خط کل (کیلوگرم)]]</f>
        <v>36346</v>
      </c>
      <c r="X1472" s="6">
        <f ca="1">-SUBTOTAL(9,INDEX(Main[مقدار تسویه شده (کیلوگرم)],1):Main[[#This Row],[مقدار تسویه شده (کیلوگرم)]])</f>
        <v>36346</v>
      </c>
      <c r="Y1472" s="6">
        <f ca="1">IF(Main[[#This Row],[مانده در خط تسویه شده (کیلوگرم)]]&lt;&gt;0,Main[[#This Row],[تعداد کل روزهای بدهکار (روز)]],0)</f>
        <v>1</v>
      </c>
      <c r="Z1472" s="6">
        <f ca="1">Main[[#This Row],[تعداد روزهای بدهکار تسویه شده (روز)]]*Main[[#This Row],[مانده در خط تسویه شده (کیلوگرم)]]</f>
        <v>36346</v>
      </c>
      <c r="AA1472" s="6">
        <f ca="1">SUBTOTAL(9,INDEX(Main[بدهی تسویه نشده (کیلوگرم)],1):Main[[#This Row],[بدهی تسویه نشده (کیلوگرم)]])</f>
        <v>0</v>
      </c>
      <c r="AB1472" s="6">
        <f ca="1">IF(Main[[#This Row],[مانده در خط تسویه نشده (کیلوگرم)]]&lt;&gt;0,Main[[#This Row],[تعداد کل روزهای بدهکار (روز)]],0)</f>
        <v>0</v>
      </c>
      <c r="AC1472" s="6">
        <f ca="1">Main[[#This Row],[تعداد روزهای بدهکار  تسویه نشده (روز)]]*Main[[#This Row],[مانده در خط تسویه نشده (کیلوگرم)]]</f>
        <v>0</v>
      </c>
      <c r="AD1472" s="6">
        <f ca="1">SUBTOTAL(9,INDEX(Main[بدهی سررسید شده (کیلوگرم)],1):Main[[#This Row],[بدهی سررسید شده (کیلوگرم)]])</f>
        <v>0</v>
      </c>
      <c r="AE1472" s="6">
        <f ca="1">IF(Main[[#This Row],[مانده در خط سررسید شده (کیلوگرم)]]&lt;&gt;0,Main[[#This Row],[تعداد کل روزهای بدهکار (روز)]],0)</f>
        <v>0</v>
      </c>
      <c r="AF1472" s="6">
        <f ca="1">Main[[#This Row],[تعداد روزهای بدهکار سررسید شده (روز)]]*Main[[#This Row],[مانده در خط سررسید شده (کیلوگرم)]]</f>
        <v>0</v>
      </c>
    </row>
    <row r="1473" spans="1:32" hidden="1" x14ac:dyDescent="0.35">
      <c r="A1473" s="5">
        <f>ROW()-ROW(INDEX(Main[ردیف],1))+1</f>
        <v>1471</v>
      </c>
      <c r="B1473" s="31">
        <f>SUBTOTAL(2,INDEX(Main[ردیف],1):Main[[#This Row],[ردیف]])</f>
        <v>131</v>
      </c>
      <c r="C1473" s="32" t="s">
        <v>658</v>
      </c>
      <c r="D1473" s="32" t="str">
        <f>_xlfn.CONCAT("14",Main[[#This Row],[تاريخ]])</f>
        <v>1400/06/10</v>
      </c>
      <c r="E1473" s="33">
        <v>44440</v>
      </c>
      <c r="F1473" s="32">
        <v>30058</v>
      </c>
      <c r="G1473" s="5" t="str">
        <f>INDEX(customer[عنوان],MATCH(Main[[#This Row],[کد ردیابی]],customer[کد],0))</f>
        <v xml:space="preserve">پارس شیر </v>
      </c>
      <c r="H1473">
        <v>-1420</v>
      </c>
      <c r="I1473" s="6">
        <f ca="1">-Main[[#This Row],[بدهی تسویه شده (کیلوگرم)]]+Main[[#This Row],[بستانکار (کیلوگرم)]]</f>
        <v>-1420</v>
      </c>
      <c r="J1473" s="6">
        <f>IF(Main[[#This Row],[مقدار (کیلوگرم)]]&gt;0,Main[[#This Row],[مقدار (کیلوگرم)]],0)</f>
        <v>0</v>
      </c>
      <c r="K1473" s="6">
        <f>-IF(Main[[#This Row],[مقدار (کیلوگرم)]]&lt;0,Main[[#This Row],[مقدار (کیلوگرم)]],0)</f>
        <v>1420</v>
      </c>
      <c r="L14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3" s="7">
        <f>-IF(AND(Main[[#This Row],[مقدار (کیلوگرم)]]&lt;0,Main[[#This Row],[تاريخ میلادی]]&gt;44276),Main[[#This Row],[مقدار (کیلوگرم)]],0)</f>
        <v>1420</v>
      </c>
      <c r="N1473" s="6">
        <f ca="1">Main[[#This Row],[بدهکار (کیلوگرم)]]-Main[[#This Row],[بدهی تسویه نشده (کیلوگرم)]]</f>
        <v>1420</v>
      </c>
      <c r="O1473" s="6">
        <f ca="1">Main[[#This Row],[تفکیک]]</f>
        <v>0</v>
      </c>
      <c r="P1473" s="6">
        <f ca="1">IF(Main[[#This Row],[تاخیر از سررسید]]&gt;0,Main[[#This Row],[بدهی تسویه نشده (کیلوگرم)]],0)</f>
        <v>0</v>
      </c>
      <c r="Q1473" s="6">
        <f ca="1">IF(Main[[#This Row],[بدهی تسویه نشده (کیلوگرم)]]&gt;0,'گزارش فردی'!$B$7-Main[[#This Row],[تاريخ میلادی]],0)</f>
        <v>0</v>
      </c>
      <c r="R1473" s="6">
        <f ca="1">IF(Main[[#This Row],[بدهی تسویه نشده (کیلوگرم)]]&gt;0,'گزارش فردی'!$B$7-Main[[#This Row],[تاريخ میلادی]]-'گزارش فردی'!$B$8,0)</f>
        <v>0</v>
      </c>
      <c r="S1473" s="6">
        <f ca="1">Main[[#This Row],[روز از ارسال سفارش]]*Main[[#This Row],[بدهی تسویه نشده (کیلوگرم)]]</f>
        <v>0</v>
      </c>
      <c r="T1473" s="6">
        <f ca="1">Main[[#This Row],[بدهی سررسید شده (کیلوگرم)]]*Main[[#This Row],[روز از ارسال سفارش]]</f>
        <v>0</v>
      </c>
      <c r="U1473" s="6">
        <f>-SUBTOTAL(9,INDEX(Main[مقدار (کیلوگرم)],1):Main[[#This Row],[مقدار (کیلوگرم)]])</f>
        <v>36346</v>
      </c>
      <c r="V14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3" s="6">
        <f>Main[[#This Row],[تعداد کل روزهای بدهکار (روز)]]*Main[[#This Row],[مانده در خط کل (کیلوگرم)]]</f>
        <v>36346</v>
      </c>
      <c r="X1473" s="6">
        <f ca="1">-SUBTOTAL(9,INDEX(Main[مقدار تسویه شده (کیلوگرم)],1):Main[[#This Row],[مقدار تسویه شده (کیلوگرم)]])</f>
        <v>36346</v>
      </c>
      <c r="Y1473" s="6">
        <f ca="1">IF(Main[[#This Row],[مانده در خط تسویه شده (کیلوگرم)]]&lt;&gt;0,Main[[#This Row],[تعداد کل روزهای بدهکار (روز)]],0)</f>
        <v>1</v>
      </c>
      <c r="Z1473" s="6">
        <f ca="1">Main[[#This Row],[تعداد روزهای بدهکار تسویه شده (روز)]]*Main[[#This Row],[مانده در خط تسویه شده (کیلوگرم)]]</f>
        <v>36346</v>
      </c>
      <c r="AA1473" s="6">
        <f ca="1">SUBTOTAL(9,INDEX(Main[بدهی تسویه نشده (کیلوگرم)],1):Main[[#This Row],[بدهی تسویه نشده (کیلوگرم)]])</f>
        <v>0</v>
      </c>
      <c r="AB1473" s="6">
        <f ca="1">IF(Main[[#This Row],[مانده در خط تسویه نشده (کیلوگرم)]]&lt;&gt;0,Main[[#This Row],[تعداد کل روزهای بدهکار (روز)]],0)</f>
        <v>0</v>
      </c>
      <c r="AC1473" s="6">
        <f ca="1">Main[[#This Row],[تعداد روزهای بدهکار  تسویه نشده (روز)]]*Main[[#This Row],[مانده در خط تسویه نشده (کیلوگرم)]]</f>
        <v>0</v>
      </c>
      <c r="AD1473" s="6">
        <f ca="1">SUBTOTAL(9,INDEX(Main[بدهی سررسید شده (کیلوگرم)],1):Main[[#This Row],[بدهی سررسید شده (کیلوگرم)]])</f>
        <v>0</v>
      </c>
      <c r="AE1473" s="6">
        <f ca="1">IF(Main[[#This Row],[مانده در خط سررسید شده (کیلوگرم)]]&lt;&gt;0,Main[[#This Row],[تعداد کل روزهای بدهکار (روز)]],0)</f>
        <v>0</v>
      </c>
      <c r="AF1473" s="6">
        <f ca="1">Main[[#This Row],[تعداد روزهای بدهکار سررسید شده (روز)]]*Main[[#This Row],[مانده در خط سررسید شده (کیلوگرم)]]</f>
        <v>0</v>
      </c>
    </row>
    <row r="1474" spans="1:32" hidden="1" x14ac:dyDescent="0.35">
      <c r="A1474" s="5">
        <f>ROW()-ROW(INDEX(Main[ردیف],1))+1</f>
        <v>1472</v>
      </c>
      <c r="B1474" s="31">
        <f>SUBTOTAL(2,INDEX(Main[ردیف],1):Main[[#This Row],[ردیف]])</f>
        <v>131</v>
      </c>
      <c r="C1474" s="32" t="s">
        <v>658</v>
      </c>
      <c r="D1474" s="32" t="str">
        <f>_xlfn.CONCAT("14",Main[[#This Row],[تاريخ]])</f>
        <v>1400/06/10</v>
      </c>
      <c r="E1474" s="33">
        <v>44440</v>
      </c>
      <c r="F1474" s="32">
        <v>30190</v>
      </c>
      <c r="G1474" s="5" t="str">
        <f>INDEX(customer[عنوان],MATCH(Main[[#This Row],[کد ردیابی]],customer[کد],0))</f>
        <v>ایران طلق</v>
      </c>
      <c r="H1474">
        <v>1286</v>
      </c>
      <c r="I1474" s="6">
        <f ca="1">-Main[[#This Row],[بدهی تسویه شده (کیلوگرم)]]+Main[[#This Row],[بستانکار (کیلوگرم)]]</f>
        <v>1286</v>
      </c>
      <c r="J1474" s="6">
        <f>IF(Main[[#This Row],[مقدار (کیلوگرم)]]&gt;0,Main[[#This Row],[مقدار (کیلوگرم)]],0)</f>
        <v>1286</v>
      </c>
      <c r="K1474" s="6">
        <f>-IF(Main[[#This Row],[مقدار (کیلوگرم)]]&lt;0,Main[[#This Row],[مقدار (کیلوگرم)]],0)</f>
        <v>0</v>
      </c>
      <c r="L14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4" s="7">
        <f>-IF(AND(Main[[#This Row],[مقدار (کیلوگرم)]]&lt;0,Main[[#This Row],[تاريخ میلادی]]&gt;44276),Main[[#This Row],[مقدار (کیلوگرم)]],0)</f>
        <v>0</v>
      </c>
      <c r="N1474" s="6">
        <f ca="1">Main[[#This Row],[بدهکار (کیلوگرم)]]-Main[[#This Row],[بدهی تسویه نشده (کیلوگرم)]]</f>
        <v>0</v>
      </c>
      <c r="O1474" s="6">
        <f ca="1">Main[[#This Row],[تفکیک]]</f>
        <v>0</v>
      </c>
      <c r="P1474" s="6">
        <f ca="1">IF(Main[[#This Row],[تاخیر از سررسید]]&gt;0,Main[[#This Row],[بدهی تسویه نشده (کیلوگرم)]],0)</f>
        <v>0</v>
      </c>
      <c r="Q1474" s="6">
        <f ca="1">IF(Main[[#This Row],[بدهی تسویه نشده (کیلوگرم)]]&gt;0,'گزارش فردی'!$B$7-Main[[#This Row],[تاريخ میلادی]],0)</f>
        <v>0</v>
      </c>
      <c r="R1474" s="6">
        <f ca="1">IF(Main[[#This Row],[بدهی تسویه نشده (کیلوگرم)]]&gt;0,'گزارش فردی'!$B$7-Main[[#This Row],[تاريخ میلادی]]-'گزارش فردی'!$B$8,0)</f>
        <v>0</v>
      </c>
      <c r="S1474" s="6">
        <f ca="1">Main[[#This Row],[روز از ارسال سفارش]]*Main[[#This Row],[بدهی تسویه نشده (کیلوگرم)]]</f>
        <v>0</v>
      </c>
      <c r="T1474" s="6">
        <f ca="1">Main[[#This Row],[بدهی سررسید شده (کیلوگرم)]]*Main[[#This Row],[روز از ارسال سفارش]]</f>
        <v>0</v>
      </c>
      <c r="U1474" s="6">
        <f>-SUBTOTAL(9,INDEX(Main[مقدار (کیلوگرم)],1):Main[[#This Row],[مقدار (کیلوگرم)]])</f>
        <v>36346</v>
      </c>
      <c r="V14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4" s="6">
        <f>Main[[#This Row],[تعداد کل روزهای بدهکار (روز)]]*Main[[#This Row],[مانده در خط کل (کیلوگرم)]]</f>
        <v>36346</v>
      </c>
      <c r="X1474" s="6">
        <f ca="1">-SUBTOTAL(9,INDEX(Main[مقدار تسویه شده (کیلوگرم)],1):Main[[#This Row],[مقدار تسویه شده (کیلوگرم)]])</f>
        <v>36346</v>
      </c>
      <c r="Y1474" s="6">
        <f ca="1">IF(Main[[#This Row],[مانده در خط تسویه شده (کیلوگرم)]]&lt;&gt;0,Main[[#This Row],[تعداد کل روزهای بدهکار (روز)]],0)</f>
        <v>1</v>
      </c>
      <c r="Z1474" s="6">
        <f ca="1">Main[[#This Row],[تعداد روزهای بدهکار تسویه شده (روز)]]*Main[[#This Row],[مانده در خط تسویه شده (کیلوگرم)]]</f>
        <v>36346</v>
      </c>
      <c r="AA1474" s="6">
        <f ca="1">SUBTOTAL(9,INDEX(Main[بدهی تسویه نشده (کیلوگرم)],1):Main[[#This Row],[بدهی تسویه نشده (کیلوگرم)]])</f>
        <v>0</v>
      </c>
      <c r="AB1474" s="6">
        <f ca="1">IF(Main[[#This Row],[مانده در خط تسویه نشده (کیلوگرم)]]&lt;&gt;0,Main[[#This Row],[تعداد کل روزهای بدهکار (روز)]],0)</f>
        <v>0</v>
      </c>
      <c r="AC1474" s="6">
        <f ca="1">Main[[#This Row],[تعداد روزهای بدهکار  تسویه نشده (روز)]]*Main[[#This Row],[مانده در خط تسویه نشده (کیلوگرم)]]</f>
        <v>0</v>
      </c>
      <c r="AD1474" s="6">
        <f ca="1">SUBTOTAL(9,INDEX(Main[بدهی سررسید شده (کیلوگرم)],1):Main[[#This Row],[بدهی سررسید شده (کیلوگرم)]])</f>
        <v>0</v>
      </c>
      <c r="AE1474" s="6">
        <f ca="1">IF(Main[[#This Row],[مانده در خط سررسید شده (کیلوگرم)]]&lt;&gt;0,Main[[#This Row],[تعداد کل روزهای بدهکار (روز)]],0)</f>
        <v>0</v>
      </c>
      <c r="AF1474" s="6">
        <f ca="1">Main[[#This Row],[تعداد روزهای بدهکار سررسید شده (روز)]]*Main[[#This Row],[مانده در خط سررسید شده (کیلوگرم)]]</f>
        <v>0</v>
      </c>
    </row>
    <row r="1475" spans="1:32" hidden="1" x14ac:dyDescent="0.35">
      <c r="A1475" s="5">
        <f>ROW()-ROW(INDEX(Main[ردیف],1))+1</f>
        <v>1473</v>
      </c>
      <c r="B1475" s="31">
        <f>SUBTOTAL(2,INDEX(Main[ردیف],1):Main[[#This Row],[ردیف]])</f>
        <v>131</v>
      </c>
      <c r="C1475" s="32" t="s">
        <v>658</v>
      </c>
      <c r="D1475" s="32" t="str">
        <f>_xlfn.CONCAT("14",Main[[#This Row],[تاريخ]])</f>
        <v>1400/06/10</v>
      </c>
      <c r="E1475" s="33">
        <v>44440</v>
      </c>
      <c r="F1475" s="32">
        <v>10026</v>
      </c>
      <c r="G1475" s="5" t="str">
        <f>INDEX(customer[عنوان],MATCH(Main[[#This Row],[کد ردیابی]],customer[کد],0))</f>
        <v xml:space="preserve">محسن فیاض بخش </v>
      </c>
      <c r="H1475">
        <v>-2148</v>
      </c>
      <c r="I1475" s="6">
        <f ca="1">-Main[[#This Row],[بدهی تسویه شده (کیلوگرم)]]+Main[[#This Row],[بستانکار (کیلوگرم)]]</f>
        <v>-2148</v>
      </c>
      <c r="J1475" s="6">
        <f>IF(Main[[#This Row],[مقدار (کیلوگرم)]]&gt;0,Main[[#This Row],[مقدار (کیلوگرم)]],0)</f>
        <v>0</v>
      </c>
      <c r="K1475" s="6">
        <f>-IF(Main[[#This Row],[مقدار (کیلوگرم)]]&lt;0,Main[[#This Row],[مقدار (کیلوگرم)]],0)</f>
        <v>2148</v>
      </c>
      <c r="L14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5" s="7">
        <f>-IF(AND(Main[[#This Row],[مقدار (کیلوگرم)]]&lt;0,Main[[#This Row],[تاريخ میلادی]]&gt;44276),Main[[#This Row],[مقدار (کیلوگرم)]],0)</f>
        <v>2148</v>
      </c>
      <c r="N1475" s="6">
        <f ca="1">Main[[#This Row],[بدهکار (کیلوگرم)]]-Main[[#This Row],[بدهی تسویه نشده (کیلوگرم)]]</f>
        <v>2148</v>
      </c>
      <c r="O1475" s="6">
        <f ca="1">Main[[#This Row],[تفکیک]]</f>
        <v>0</v>
      </c>
      <c r="P1475" s="6">
        <f ca="1">IF(Main[[#This Row],[تاخیر از سررسید]]&gt;0,Main[[#This Row],[بدهی تسویه نشده (کیلوگرم)]],0)</f>
        <v>0</v>
      </c>
      <c r="Q1475" s="6">
        <f ca="1">IF(Main[[#This Row],[بدهی تسویه نشده (کیلوگرم)]]&gt;0,'گزارش فردی'!$B$7-Main[[#This Row],[تاريخ میلادی]],0)</f>
        <v>0</v>
      </c>
      <c r="R1475" s="6">
        <f ca="1">IF(Main[[#This Row],[بدهی تسویه نشده (کیلوگرم)]]&gt;0,'گزارش فردی'!$B$7-Main[[#This Row],[تاريخ میلادی]]-'گزارش فردی'!$B$8,0)</f>
        <v>0</v>
      </c>
      <c r="S1475" s="6">
        <f ca="1">Main[[#This Row],[روز از ارسال سفارش]]*Main[[#This Row],[بدهی تسویه نشده (کیلوگرم)]]</f>
        <v>0</v>
      </c>
      <c r="T1475" s="6">
        <f ca="1">Main[[#This Row],[بدهی سررسید شده (کیلوگرم)]]*Main[[#This Row],[روز از ارسال سفارش]]</f>
        <v>0</v>
      </c>
      <c r="U1475" s="6">
        <f>-SUBTOTAL(9,INDEX(Main[مقدار (کیلوگرم)],1):Main[[#This Row],[مقدار (کیلوگرم)]])</f>
        <v>36346</v>
      </c>
      <c r="V14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5" s="6">
        <f>Main[[#This Row],[تعداد کل روزهای بدهکار (روز)]]*Main[[#This Row],[مانده در خط کل (کیلوگرم)]]</f>
        <v>36346</v>
      </c>
      <c r="X1475" s="6">
        <f ca="1">-SUBTOTAL(9,INDEX(Main[مقدار تسویه شده (کیلوگرم)],1):Main[[#This Row],[مقدار تسویه شده (کیلوگرم)]])</f>
        <v>36346</v>
      </c>
      <c r="Y1475" s="6">
        <f ca="1">IF(Main[[#This Row],[مانده در خط تسویه شده (کیلوگرم)]]&lt;&gt;0,Main[[#This Row],[تعداد کل روزهای بدهکار (روز)]],0)</f>
        <v>1</v>
      </c>
      <c r="Z1475" s="6">
        <f ca="1">Main[[#This Row],[تعداد روزهای بدهکار تسویه شده (روز)]]*Main[[#This Row],[مانده در خط تسویه شده (کیلوگرم)]]</f>
        <v>36346</v>
      </c>
      <c r="AA1475" s="6">
        <f ca="1">SUBTOTAL(9,INDEX(Main[بدهی تسویه نشده (کیلوگرم)],1):Main[[#This Row],[بدهی تسویه نشده (کیلوگرم)]])</f>
        <v>0</v>
      </c>
      <c r="AB1475" s="6">
        <f ca="1">IF(Main[[#This Row],[مانده در خط تسویه نشده (کیلوگرم)]]&lt;&gt;0,Main[[#This Row],[تعداد کل روزهای بدهکار (روز)]],0)</f>
        <v>0</v>
      </c>
      <c r="AC1475" s="6">
        <f ca="1">Main[[#This Row],[تعداد روزهای بدهکار  تسویه نشده (روز)]]*Main[[#This Row],[مانده در خط تسویه نشده (کیلوگرم)]]</f>
        <v>0</v>
      </c>
      <c r="AD1475" s="6">
        <f ca="1">SUBTOTAL(9,INDEX(Main[بدهی سررسید شده (کیلوگرم)],1):Main[[#This Row],[بدهی سررسید شده (کیلوگرم)]])</f>
        <v>0</v>
      </c>
      <c r="AE1475" s="6">
        <f ca="1">IF(Main[[#This Row],[مانده در خط سررسید شده (کیلوگرم)]]&lt;&gt;0,Main[[#This Row],[تعداد کل روزهای بدهکار (روز)]],0)</f>
        <v>0</v>
      </c>
      <c r="AF1475" s="6">
        <f ca="1">Main[[#This Row],[تعداد روزهای بدهکار سررسید شده (روز)]]*Main[[#This Row],[مانده در خط سررسید شده (کیلوگرم)]]</f>
        <v>0</v>
      </c>
    </row>
    <row r="1476" spans="1:32" hidden="1" x14ac:dyDescent="0.35">
      <c r="A1476" s="5">
        <f>ROW()-ROW(INDEX(Main[ردیف],1))+1</f>
        <v>1474</v>
      </c>
      <c r="B1476" s="31">
        <f>SUBTOTAL(2,INDEX(Main[ردیف],1):Main[[#This Row],[ردیف]])</f>
        <v>131</v>
      </c>
      <c r="C1476" s="32" t="s">
        <v>658</v>
      </c>
      <c r="D1476" s="32" t="str">
        <f>_xlfn.CONCAT("14",Main[[#This Row],[تاريخ]])</f>
        <v>1400/06/10</v>
      </c>
      <c r="E1476" s="33">
        <v>44440</v>
      </c>
      <c r="F1476" s="32">
        <v>10126</v>
      </c>
      <c r="G1476" s="5" t="str">
        <f>INDEX(customer[عنوان],MATCH(Main[[#This Row],[کد ردیابی]],customer[کد],0))</f>
        <v xml:space="preserve">کریم اسمعیلی </v>
      </c>
      <c r="H1476">
        <v>302</v>
      </c>
      <c r="I1476" s="6">
        <f ca="1">-Main[[#This Row],[بدهی تسویه شده (کیلوگرم)]]+Main[[#This Row],[بستانکار (کیلوگرم)]]</f>
        <v>302</v>
      </c>
      <c r="J1476" s="6">
        <f>IF(Main[[#This Row],[مقدار (کیلوگرم)]]&gt;0,Main[[#This Row],[مقدار (کیلوگرم)]],0)</f>
        <v>302</v>
      </c>
      <c r="K1476" s="6">
        <f>-IF(Main[[#This Row],[مقدار (کیلوگرم)]]&lt;0,Main[[#This Row],[مقدار (کیلوگرم)]],0)</f>
        <v>0</v>
      </c>
      <c r="L14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6" s="7">
        <f>-IF(AND(Main[[#This Row],[مقدار (کیلوگرم)]]&lt;0,Main[[#This Row],[تاريخ میلادی]]&gt;44276),Main[[#This Row],[مقدار (کیلوگرم)]],0)</f>
        <v>0</v>
      </c>
      <c r="N1476" s="6">
        <f ca="1">Main[[#This Row],[بدهکار (کیلوگرم)]]-Main[[#This Row],[بدهی تسویه نشده (کیلوگرم)]]</f>
        <v>0</v>
      </c>
      <c r="O1476" s="6">
        <f ca="1">Main[[#This Row],[تفکیک]]</f>
        <v>0</v>
      </c>
      <c r="P1476" s="6">
        <f ca="1">IF(Main[[#This Row],[تاخیر از سررسید]]&gt;0,Main[[#This Row],[بدهی تسویه نشده (کیلوگرم)]],0)</f>
        <v>0</v>
      </c>
      <c r="Q1476" s="6">
        <f ca="1">IF(Main[[#This Row],[بدهی تسویه نشده (کیلوگرم)]]&gt;0,'گزارش فردی'!$B$7-Main[[#This Row],[تاريخ میلادی]],0)</f>
        <v>0</v>
      </c>
      <c r="R1476" s="6">
        <f ca="1">IF(Main[[#This Row],[بدهی تسویه نشده (کیلوگرم)]]&gt;0,'گزارش فردی'!$B$7-Main[[#This Row],[تاريخ میلادی]]-'گزارش فردی'!$B$8,0)</f>
        <v>0</v>
      </c>
      <c r="S1476" s="6">
        <f ca="1">Main[[#This Row],[روز از ارسال سفارش]]*Main[[#This Row],[بدهی تسویه نشده (کیلوگرم)]]</f>
        <v>0</v>
      </c>
      <c r="T1476" s="6">
        <f ca="1">Main[[#This Row],[بدهی سررسید شده (کیلوگرم)]]*Main[[#This Row],[روز از ارسال سفارش]]</f>
        <v>0</v>
      </c>
      <c r="U1476" s="6">
        <f>-SUBTOTAL(9,INDEX(Main[مقدار (کیلوگرم)],1):Main[[#This Row],[مقدار (کیلوگرم)]])</f>
        <v>36346</v>
      </c>
      <c r="V14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6" s="6">
        <f>Main[[#This Row],[تعداد کل روزهای بدهکار (روز)]]*Main[[#This Row],[مانده در خط کل (کیلوگرم)]]</f>
        <v>36346</v>
      </c>
      <c r="X1476" s="6">
        <f ca="1">-SUBTOTAL(9,INDEX(Main[مقدار تسویه شده (کیلوگرم)],1):Main[[#This Row],[مقدار تسویه شده (کیلوگرم)]])</f>
        <v>36346</v>
      </c>
      <c r="Y1476" s="6">
        <f ca="1">IF(Main[[#This Row],[مانده در خط تسویه شده (کیلوگرم)]]&lt;&gt;0,Main[[#This Row],[تعداد کل روزهای بدهکار (روز)]],0)</f>
        <v>1</v>
      </c>
      <c r="Z1476" s="6">
        <f ca="1">Main[[#This Row],[تعداد روزهای بدهکار تسویه شده (روز)]]*Main[[#This Row],[مانده در خط تسویه شده (کیلوگرم)]]</f>
        <v>36346</v>
      </c>
      <c r="AA1476" s="6">
        <f ca="1">SUBTOTAL(9,INDEX(Main[بدهی تسویه نشده (کیلوگرم)],1):Main[[#This Row],[بدهی تسویه نشده (کیلوگرم)]])</f>
        <v>0</v>
      </c>
      <c r="AB1476" s="6">
        <f ca="1">IF(Main[[#This Row],[مانده در خط تسویه نشده (کیلوگرم)]]&lt;&gt;0,Main[[#This Row],[تعداد کل روزهای بدهکار (روز)]],0)</f>
        <v>0</v>
      </c>
      <c r="AC1476" s="6">
        <f ca="1">Main[[#This Row],[تعداد روزهای بدهکار  تسویه نشده (روز)]]*Main[[#This Row],[مانده در خط تسویه نشده (کیلوگرم)]]</f>
        <v>0</v>
      </c>
      <c r="AD1476" s="6">
        <f ca="1">SUBTOTAL(9,INDEX(Main[بدهی سررسید شده (کیلوگرم)],1):Main[[#This Row],[بدهی سررسید شده (کیلوگرم)]])</f>
        <v>0</v>
      </c>
      <c r="AE1476" s="6">
        <f ca="1">IF(Main[[#This Row],[مانده در خط سررسید شده (کیلوگرم)]]&lt;&gt;0,Main[[#This Row],[تعداد کل روزهای بدهکار (روز)]],0)</f>
        <v>0</v>
      </c>
      <c r="AF1476" s="6">
        <f ca="1">Main[[#This Row],[تعداد روزهای بدهکار سررسید شده (روز)]]*Main[[#This Row],[مانده در خط سررسید شده (کیلوگرم)]]</f>
        <v>0</v>
      </c>
    </row>
    <row r="1477" spans="1:32" hidden="1" x14ac:dyDescent="0.35">
      <c r="A1477" s="5">
        <f>ROW()-ROW(INDEX(Main[ردیف],1))+1</f>
        <v>1475</v>
      </c>
      <c r="B1477" s="31">
        <f>SUBTOTAL(2,INDEX(Main[ردیف],1):Main[[#This Row],[ردیف]])</f>
        <v>131</v>
      </c>
      <c r="C1477" s="32" t="s">
        <v>658</v>
      </c>
      <c r="D1477" s="32" t="str">
        <f>_xlfn.CONCAT("14",Main[[#This Row],[تاريخ]])</f>
        <v>1400/06/10</v>
      </c>
      <c r="E1477" s="33">
        <v>44440</v>
      </c>
      <c r="F1477" s="32">
        <v>10029</v>
      </c>
      <c r="G1477" s="5" t="str">
        <f>INDEX(customer[عنوان],MATCH(Main[[#This Row],[کد ردیابی]],customer[کد],0))</f>
        <v>رضا شریعتی</v>
      </c>
      <c r="H1477">
        <v>-1216</v>
      </c>
      <c r="I1477" s="6">
        <f ca="1">-Main[[#This Row],[بدهی تسویه شده (کیلوگرم)]]+Main[[#This Row],[بستانکار (کیلوگرم)]]</f>
        <v>-1216</v>
      </c>
      <c r="J1477" s="6">
        <f>IF(Main[[#This Row],[مقدار (کیلوگرم)]]&gt;0,Main[[#This Row],[مقدار (کیلوگرم)]],0)</f>
        <v>0</v>
      </c>
      <c r="K1477" s="6">
        <f>-IF(Main[[#This Row],[مقدار (کیلوگرم)]]&lt;0,Main[[#This Row],[مقدار (کیلوگرم)]],0)</f>
        <v>1216</v>
      </c>
      <c r="L14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7" s="7">
        <f>-IF(AND(Main[[#This Row],[مقدار (کیلوگرم)]]&lt;0,Main[[#This Row],[تاريخ میلادی]]&gt;44276),Main[[#This Row],[مقدار (کیلوگرم)]],0)</f>
        <v>1216</v>
      </c>
      <c r="N1477" s="6">
        <f ca="1">Main[[#This Row],[بدهکار (کیلوگرم)]]-Main[[#This Row],[بدهی تسویه نشده (کیلوگرم)]]</f>
        <v>1216</v>
      </c>
      <c r="O1477" s="6">
        <f ca="1">Main[[#This Row],[تفکیک]]</f>
        <v>0</v>
      </c>
      <c r="P1477" s="6">
        <f ca="1">IF(Main[[#This Row],[تاخیر از سررسید]]&gt;0,Main[[#This Row],[بدهی تسویه نشده (کیلوگرم)]],0)</f>
        <v>0</v>
      </c>
      <c r="Q1477" s="6">
        <f ca="1">IF(Main[[#This Row],[بدهی تسویه نشده (کیلوگرم)]]&gt;0,'گزارش فردی'!$B$7-Main[[#This Row],[تاريخ میلادی]],0)</f>
        <v>0</v>
      </c>
      <c r="R1477" s="6">
        <f ca="1">IF(Main[[#This Row],[بدهی تسویه نشده (کیلوگرم)]]&gt;0,'گزارش فردی'!$B$7-Main[[#This Row],[تاريخ میلادی]]-'گزارش فردی'!$B$8,0)</f>
        <v>0</v>
      </c>
      <c r="S1477" s="6">
        <f ca="1">Main[[#This Row],[روز از ارسال سفارش]]*Main[[#This Row],[بدهی تسویه نشده (کیلوگرم)]]</f>
        <v>0</v>
      </c>
      <c r="T1477" s="6">
        <f ca="1">Main[[#This Row],[بدهی سررسید شده (کیلوگرم)]]*Main[[#This Row],[روز از ارسال سفارش]]</f>
        <v>0</v>
      </c>
      <c r="U1477" s="6">
        <f>-SUBTOTAL(9,INDEX(Main[مقدار (کیلوگرم)],1):Main[[#This Row],[مقدار (کیلوگرم)]])</f>
        <v>36346</v>
      </c>
      <c r="V14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7" s="6">
        <f>Main[[#This Row],[تعداد کل روزهای بدهکار (روز)]]*Main[[#This Row],[مانده در خط کل (کیلوگرم)]]</f>
        <v>36346</v>
      </c>
      <c r="X1477" s="6">
        <f ca="1">-SUBTOTAL(9,INDEX(Main[مقدار تسویه شده (کیلوگرم)],1):Main[[#This Row],[مقدار تسویه شده (کیلوگرم)]])</f>
        <v>36346</v>
      </c>
      <c r="Y1477" s="6">
        <f ca="1">IF(Main[[#This Row],[مانده در خط تسویه شده (کیلوگرم)]]&lt;&gt;0,Main[[#This Row],[تعداد کل روزهای بدهکار (روز)]],0)</f>
        <v>1</v>
      </c>
      <c r="Z1477" s="6">
        <f ca="1">Main[[#This Row],[تعداد روزهای بدهکار تسویه شده (روز)]]*Main[[#This Row],[مانده در خط تسویه شده (کیلوگرم)]]</f>
        <v>36346</v>
      </c>
      <c r="AA1477" s="6">
        <f ca="1">SUBTOTAL(9,INDEX(Main[بدهی تسویه نشده (کیلوگرم)],1):Main[[#This Row],[بدهی تسویه نشده (کیلوگرم)]])</f>
        <v>0</v>
      </c>
      <c r="AB1477" s="6">
        <f ca="1">IF(Main[[#This Row],[مانده در خط تسویه نشده (کیلوگرم)]]&lt;&gt;0,Main[[#This Row],[تعداد کل روزهای بدهکار (روز)]],0)</f>
        <v>0</v>
      </c>
      <c r="AC1477" s="6">
        <f ca="1">Main[[#This Row],[تعداد روزهای بدهکار  تسویه نشده (روز)]]*Main[[#This Row],[مانده در خط تسویه نشده (کیلوگرم)]]</f>
        <v>0</v>
      </c>
      <c r="AD1477" s="6">
        <f ca="1">SUBTOTAL(9,INDEX(Main[بدهی سررسید شده (کیلوگرم)],1):Main[[#This Row],[بدهی سررسید شده (کیلوگرم)]])</f>
        <v>0</v>
      </c>
      <c r="AE1477" s="6">
        <f ca="1">IF(Main[[#This Row],[مانده در خط سررسید شده (کیلوگرم)]]&lt;&gt;0,Main[[#This Row],[تعداد کل روزهای بدهکار (روز)]],0)</f>
        <v>0</v>
      </c>
      <c r="AF1477" s="6">
        <f ca="1">Main[[#This Row],[تعداد روزهای بدهکار سررسید شده (روز)]]*Main[[#This Row],[مانده در خط سررسید شده (کیلوگرم)]]</f>
        <v>0</v>
      </c>
    </row>
    <row r="1478" spans="1:32" hidden="1" x14ac:dyDescent="0.35">
      <c r="A1478" s="5">
        <f>ROW()-ROW(INDEX(Main[ردیف],1))+1</f>
        <v>1476</v>
      </c>
      <c r="B1478" s="31">
        <f>SUBTOTAL(2,INDEX(Main[ردیف],1):Main[[#This Row],[ردیف]])</f>
        <v>131</v>
      </c>
      <c r="C1478" s="32" t="s">
        <v>658</v>
      </c>
      <c r="D1478" s="32" t="str">
        <f>_xlfn.CONCAT("14",Main[[#This Row],[تاريخ]])</f>
        <v>1400/06/10</v>
      </c>
      <c r="E1478" s="33">
        <v>44440</v>
      </c>
      <c r="F1478" s="32">
        <v>10126</v>
      </c>
      <c r="G1478" s="5" t="str">
        <f>INDEX(customer[عنوان],MATCH(Main[[#This Row],[کد ردیابی]],customer[کد],0))</f>
        <v xml:space="preserve">کریم اسمعیلی </v>
      </c>
      <c r="H1478">
        <v>116</v>
      </c>
      <c r="I1478" s="6">
        <f ca="1">-Main[[#This Row],[بدهی تسویه شده (کیلوگرم)]]+Main[[#This Row],[بستانکار (کیلوگرم)]]</f>
        <v>116</v>
      </c>
      <c r="J1478" s="6">
        <f>IF(Main[[#This Row],[مقدار (کیلوگرم)]]&gt;0,Main[[#This Row],[مقدار (کیلوگرم)]],0)</f>
        <v>116</v>
      </c>
      <c r="K1478" s="6">
        <f>-IF(Main[[#This Row],[مقدار (کیلوگرم)]]&lt;0,Main[[#This Row],[مقدار (کیلوگرم)]],0)</f>
        <v>0</v>
      </c>
      <c r="L14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8" s="7">
        <f>-IF(AND(Main[[#This Row],[مقدار (کیلوگرم)]]&lt;0,Main[[#This Row],[تاريخ میلادی]]&gt;44276),Main[[#This Row],[مقدار (کیلوگرم)]],0)</f>
        <v>0</v>
      </c>
      <c r="N1478" s="6">
        <f ca="1">Main[[#This Row],[بدهکار (کیلوگرم)]]-Main[[#This Row],[بدهی تسویه نشده (کیلوگرم)]]</f>
        <v>0</v>
      </c>
      <c r="O1478" s="6">
        <f ca="1">Main[[#This Row],[تفکیک]]</f>
        <v>0</v>
      </c>
      <c r="P1478" s="6">
        <f ca="1">IF(Main[[#This Row],[تاخیر از سررسید]]&gt;0,Main[[#This Row],[بدهی تسویه نشده (کیلوگرم)]],0)</f>
        <v>0</v>
      </c>
      <c r="Q1478" s="6">
        <f ca="1">IF(Main[[#This Row],[بدهی تسویه نشده (کیلوگرم)]]&gt;0,'گزارش فردی'!$B$7-Main[[#This Row],[تاريخ میلادی]],0)</f>
        <v>0</v>
      </c>
      <c r="R1478" s="6">
        <f ca="1">IF(Main[[#This Row],[بدهی تسویه نشده (کیلوگرم)]]&gt;0,'گزارش فردی'!$B$7-Main[[#This Row],[تاريخ میلادی]]-'گزارش فردی'!$B$8,0)</f>
        <v>0</v>
      </c>
      <c r="S1478" s="6">
        <f ca="1">Main[[#This Row],[روز از ارسال سفارش]]*Main[[#This Row],[بدهی تسویه نشده (کیلوگرم)]]</f>
        <v>0</v>
      </c>
      <c r="T1478" s="6">
        <f ca="1">Main[[#This Row],[بدهی سررسید شده (کیلوگرم)]]*Main[[#This Row],[روز از ارسال سفارش]]</f>
        <v>0</v>
      </c>
      <c r="U1478" s="6">
        <f>-SUBTOTAL(9,INDEX(Main[مقدار (کیلوگرم)],1):Main[[#This Row],[مقدار (کیلوگرم)]])</f>
        <v>36346</v>
      </c>
      <c r="V14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8" s="6">
        <f>Main[[#This Row],[تعداد کل روزهای بدهکار (روز)]]*Main[[#This Row],[مانده در خط کل (کیلوگرم)]]</f>
        <v>36346</v>
      </c>
      <c r="X1478" s="6">
        <f ca="1">-SUBTOTAL(9,INDEX(Main[مقدار تسویه شده (کیلوگرم)],1):Main[[#This Row],[مقدار تسویه شده (کیلوگرم)]])</f>
        <v>36346</v>
      </c>
      <c r="Y1478" s="6">
        <f ca="1">IF(Main[[#This Row],[مانده در خط تسویه شده (کیلوگرم)]]&lt;&gt;0,Main[[#This Row],[تعداد کل روزهای بدهکار (روز)]],0)</f>
        <v>1</v>
      </c>
      <c r="Z1478" s="6">
        <f ca="1">Main[[#This Row],[تعداد روزهای بدهکار تسویه شده (روز)]]*Main[[#This Row],[مانده در خط تسویه شده (کیلوگرم)]]</f>
        <v>36346</v>
      </c>
      <c r="AA1478" s="6">
        <f ca="1">SUBTOTAL(9,INDEX(Main[بدهی تسویه نشده (کیلوگرم)],1):Main[[#This Row],[بدهی تسویه نشده (کیلوگرم)]])</f>
        <v>0</v>
      </c>
      <c r="AB1478" s="6">
        <f ca="1">IF(Main[[#This Row],[مانده در خط تسویه نشده (کیلوگرم)]]&lt;&gt;0,Main[[#This Row],[تعداد کل روزهای بدهکار (روز)]],0)</f>
        <v>0</v>
      </c>
      <c r="AC1478" s="6">
        <f ca="1">Main[[#This Row],[تعداد روزهای بدهکار  تسویه نشده (روز)]]*Main[[#This Row],[مانده در خط تسویه نشده (کیلوگرم)]]</f>
        <v>0</v>
      </c>
      <c r="AD1478" s="6">
        <f ca="1">SUBTOTAL(9,INDEX(Main[بدهی سررسید شده (کیلوگرم)],1):Main[[#This Row],[بدهی سررسید شده (کیلوگرم)]])</f>
        <v>0</v>
      </c>
      <c r="AE1478" s="6">
        <f ca="1">IF(Main[[#This Row],[مانده در خط سررسید شده (کیلوگرم)]]&lt;&gt;0,Main[[#This Row],[تعداد کل روزهای بدهکار (روز)]],0)</f>
        <v>0</v>
      </c>
      <c r="AF1478" s="6">
        <f ca="1">Main[[#This Row],[تعداد روزهای بدهکار سررسید شده (روز)]]*Main[[#This Row],[مانده در خط سررسید شده (کیلوگرم)]]</f>
        <v>0</v>
      </c>
    </row>
    <row r="1479" spans="1:32" hidden="1" x14ac:dyDescent="0.35">
      <c r="A1479" s="5">
        <f>ROW()-ROW(INDEX(Main[ردیف],1))+1</f>
        <v>1477</v>
      </c>
      <c r="B1479" s="31">
        <f>SUBTOTAL(2,INDEX(Main[ردیف],1):Main[[#This Row],[ردیف]])</f>
        <v>131</v>
      </c>
      <c r="C1479" s="32" t="s">
        <v>658</v>
      </c>
      <c r="D1479" s="32" t="str">
        <f>_xlfn.CONCAT("14",Main[[#This Row],[تاريخ]])</f>
        <v>1400/06/10</v>
      </c>
      <c r="E1479" s="33">
        <v>44440</v>
      </c>
      <c r="F1479" s="32">
        <v>10055</v>
      </c>
      <c r="G1479" s="5" t="str">
        <f>INDEX(customer[عنوان],MATCH(Main[[#This Row],[کد ردیابی]],customer[کد],0))</f>
        <v xml:space="preserve">مریم فیض آبادی  </v>
      </c>
      <c r="H1479">
        <v>-4955</v>
      </c>
      <c r="I1479" s="6">
        <f ca="1">-Main[[#This Row],[بدهی تسویه شده (کیلوگرم)]]+Main[[#This Row],[بستانکار (کیلوگرم)]]</f>
        <v>-4955</v>
      </c>
      <c r="J1479" s="6">
        <f>IF(Main[[#This Row],[مقدار (کیلوگرم)]]&gt;0,Main[[#This Row],[مقدار (کیلوگرم)]],0)</f>
        <v>0</v>
      </c>
      <c r="K1479" s="6">
        <f>-IF(Main[[#This Row],[مقدار (کیلوگرم)]]&lt;0,Main[[#This Row],[مقدار (کیلوگرم)]],0)</f>
        <v>4955</v>
      </c>
      <c r="L14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9" s="7">
        <f>-IF(AND(Main[[#This Row],[مقدار (کیلوگرم)]]&lt;0,Main[[#This Row],[تاريخ میلادی]]&gt;44276),Main[[#This Row],[مقدار (کیلوگرم)]],0)</f>
        <v>4955</v>
      </c>
      <c r="N1479" s="6">
        <f ca="1">Main[[#This Row],[بدهکار (کیلوگرم)]]-Main[[#This Row],[بدهی تسویه نشده (کیلوگرم)]]</f>
        <v>4955</v>
      </c>
      <c r="O1479" s="6">
        <f ca="1">Main[[#This Row],[تفکیک]]</f>
        <v>0</v>
      </c>
      <c r="P1479" s="6">
        <f ca="1">IF(Main[[#This Row],[تاخیر از سررسید]]&gt;0,Main[[#This Row],[بدهی تسویه نشده (کیلوگرم)]],0)</f>
        <v>0</v>
      </c>
      <c r="Q1479" s="6">
        <f ca="1">IF(Main[[#This Row],[بدهی تسویه نشده (کیلوگرم)]]&gt;0,'گزارش فردی'!$B$7-Main[[#This Row],[تاريخ میلادی]],0)</f>
        <v>0</v>
      </c>
      <c r="R1479" s="6">
        <f ca="1">IF(Main[[#This Row],[بدهی تسویه نشده (کیلوگرم)]]&gt;0,'گزارش فردی'!$B$7-Main[[#This Row],[تاريخ میلادی]]-'گزارش فردی'!$B$8,0)</f>
        <v>0</v>
      </c>
      <c r="S1479" s="6">
        <f ca="1">Main[[#This Row],[روز از ارسال سفارش]]*Main[[#This Row],[بدهی تسویه نشده (کیلوگرم)]]</f>
        <v>0</v>
      </c>
      <c r="T1479" s="6">
        <f ca="1">Main[[#This Row],[بدهی سررسید شده (کیلوگرم)]]*Main[[#This Row],[روز از ارسال سفارش]]</f>
        <v>0</v>
      </c>
      <c r="U1479" s="6">
        <f>-SUBTOTAL(9,INDEX(Main[مقدار (کیلوگرم)],1):Main[[#This Row],[مقدار (کیلوگرم)]])</f>
        <v>36346</v>
      </c>
      <c r="V14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9" s="6">
        <f>Main[[#This Row],[تعداد کل روزهای بدهکار (روز)]]*Main[[#This Row],[مانده در خط کل (کیلوگرم)]]</f>
        <v>36346</v>
      </c>
      <c r="X1479" s="6">
        <f ca="1">-SUBTOTAL(9,INDEX(Main[مقدار تسویه شده (کیلوگرم)],1):Main[[#This Row],[مقدار تسویه شده (کیلوگرم)]])</f>
        <v>36346</v>
      </c>
      <c r="Y1479" s="6">
        <f ca="1">IF(Main[[#This Row],[مانده در خط تسویه شده (کیلوگرم)]]&lt;&gt;0,Main[[#This Row],[تعداد کل روزهای بدهکار (روز)]],0)</f>
        <v>1</v>
      </c>
      <c r="Z1479" s="6">
        <f ca="1">Main[[#This Row],[تعداد روزهای بدهکار تسویه شده (روز)]]*Main[[#This Row],[مانده در خط تسویه شده (کیلوگرم)]]</f>
        <v>36346</v>
      </c>
      <c r="AA1479" s="6">
        <f ca="1">SUBTOTAL(9,INDEX(Main[بدهی تسویه نشده (کیلوگرم)],1):Main[[#This Row],[بدهی تسویه نشده (کیلوگرم)]])</f>
        <v>0</v>
      </c>
      <c r="AB1479" s="6">
        <f ca="1">IF(Main[[#This Row],[مانده در خط تسویه نشده (کیلوگرم)]]&lt;&gt;0,Main[[#This Row],[تعداد کل روزهای بدهکار (روز)]],0)</f>
        <v>0</v>
      </c>
      <c r="AC1479" s="6">
        <f ca="1">Main[[#This Row],[تعداد روزهای بدهکار  تسویه نشده (روز)]]*Main[[#This Row],[مانده در خط تسویه نشده (کیلوگرم)]]</f>
        <v>0</v>
      </c>
      <c r="AD1479" s="6">
        <f ca="1">SUBTOTAL(9,INDEX(Main[بدهی سررسید شده (کیلوگرم)],1):Main[[#This Row],[بدهی سررسید شده (کیلوگرم)]])</f>
        <v>0</v>
      </c>
      <c r="AE1479" s="6">
        <f ca="1">IF(Main[[#This Row],[مانده در خط سررسید شده (کیلوگرم)]]&lt;&gt;0,Main[[#This Row],[تعداد کل روزهای بدهکار (روز)]],0)</f>
        <v>0</v>
      </c>
      <c r="AF1479" s="6">
        <f ca="1">Main[[#This Row],[تعداد روزهای بدهکار سررسید شده (روز)]]*Main[[#This Row],[مانده در خط سررسید شده (کیلوگرم)]]</f>
        <v>0</v>
      </c>
    </row>
    <row r="1480" spans="1:32" hidden="1" x14ac:dyDescent="0.35">
      <c r="A1480" s="5">
        <f>ROW()-ROW(INDEX(Main[ردیف],1))+1</f>
        <v>1478</v>
      </c>
      <c r="B1480" s="31">
        <f>SUBTOTAL(2,INDEX(Main[ردیف],1):Main[[#This Row],[ردیف]])</f>
        <v>131</v>
      </c>
      <c r="C1480" s="32" t="s">
        <v>658</v>
      </c>
      <c r="D1480" s="32" t="str">
        <f>_xlfn.CONCAT("14",Main[[#This Row],[تاريخ]])</f>
        <v>1400/06/10</v>
      </c>
      <c r="E1480" s="33">
        <v>44440</v>
      </c>
      <c r="F1480" s="32">
        <v>30004</v>
      </c>
      <c r="G1480" s="5" t="str">
        <f>INDEX(customer[عنوان],MATCH(Main[[#This Row],[کد ردیابی]],customer[کد],0))</f>
        <v>تولیدی صنعتی صفاشیر پارس</v>
      </c>
      <c r="H1480">
        <v>2564</v>
      </c>
      <c r="I1480" s="6">
        <f ca="1">-Main[[#This Row],[بدهی تسویه شده (کیلوگرم)]]+Main[[#This Row],[بستانکار (کیلوگرم)]]</f>
        <v>2564</v>
      </c>
      <c r="J1480" s="6">
        <f>IF(Main[[#This Row],[مقدار (کیلوگرم)]]&gt;0,Main[[#This Row],[مقدار (کیلوگرم)]],0)</f>
        <v>2564</v>
      </c>
      <c r="K1480" s="6">
        <f>-IF(Main[[#This Row],[مقدار (کیلوگرم)]]&lt;0,Main[[#This Row],[مقدار (کیلوگرم)]],0)</f>
        <v>0</v>
      </c>
      <c r="L14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0" s="7">
        <f>-IF(AND(Main[[#This Row],[مقدار (کیلوگرم)]]&lt;0,Main[[#This Row],[تاريخ میلادی]]&gt;44276),Main[[#This Row],[مقدار (کیلوگرم)]],0)</f>
        <v>0</v>
      </c>
      <c r="N1480" s="6">
        <f ca="1">Main[[#This Row],[بدهکار (کیلوگرم)]]-Main[[#This Row],[بدهی تسویه نشده (کیلوگرم)]]</f>
        <v>0</v>
      </c>
      <c r="O1480" s="6">
        <f ca="1">Main[[#This Row],[تفکیک]]</f>
        <v>0</v>
      </c>
      <c r="P1480" s="6">
        <f ca="1">IF(Main[[#This Row],[تاخیر از سررسید]]&gt;0,Main[[#This Row],[بدهی تسویه نشده (کیلوگرم)]],0)</f>
        <v>0</v>
      </c>
      <c r="Q1480" s="6">
        <f ca="1">IF(Main[[#This Row],[بدهی تسویه نشده (کیلوگرم)]]&gt;0,'گزارش فردی'!$B$7-Main[[#This Row],[تاريخ میلادی]],0)</f>
        <v>0</v>
      </c>
      <c r="R1480" s="6">
        <f ca="1">IF(Main[[#This Row],[بدهی تسویه نشده (کیلوگرم)]]&gt;0,'گزارش فردی'!$B$7-Main[[#This Row],[تاريخ میلادی]]-'گزارش فردی'!$B$8,0)</f>
        <v>0</v>
      </c>
      <c r="S1480" s="6">
        <f ca="1">Main[[#This Row],[روز از ارسال سفارش]]*Main[[#This Row],[بدهی تسویه نشده (کیلوگرم)]]</f>
        <v>0</v>
      </c>
      <c r="T1480" s="6">
        <f ca="1">Main[[#This Row],[بدهی سررسید شده (کیلوگرم)]]*Main[[#This Row],[روز از ارسال سفارش]]</f>
        <v>0</v>
      </c>
      <c r="U1480" s="6">
        <f>-SUBTOTAL(9,INDEX(Main[مقدار (کیلوگرم)],1):Main[[#This Row],[مقدار (کیلوگرم)]])</f>
        <v>36346</v>
      </c>
      <c r="V14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80" s="6">
        <f>Main[[#This Row],[تعداد کل روزهای بدهکار (روز)]]*Main[[#This Row],[مانده در خط کل (کیلوگرم)]]</f>
        <v>36346</v>
      </c>
      <c r="X1480" s="6">
        <f ca="1">-SUBTOTAL(9,INDEX(Main[مقدار تسویه شده (کیلوگرم)],1):Main[[#This Row],[مقدار تسویه شده (کیلوگرم)]])</f>
        <v>36346</v>
      </c>
      <c r="Y1480" s="6">
        <f ca="1">IF(Main[[#This Row],[مانده در خط تسویه شده (کیلوگرم)]]&lt;&gt;0,Main[[#This Row],[تعداد کل روزهای بدهکار (روز)]],0)</f>
        <v>1</v>
      </c>
      <c r="Z1480" s="6">
        <f ca="1">Main[[#This Row],[تعداد روزهای بدهکار تسویه شده (روز)]]*Main[[#This Row],[مانده در خط تسویه شده (کیلوگرم)]]</f>
        <v>36346</v>
      </c>
      <c r="AA1480" s="6">
        <f ca="1">SUBTOTAL(9,INDEX(Main[بدهی تسویه نشده (کیلوگرم)],1):Main[[#This Row],[بدهی تسویه نشده (کیلوگرم)]])</f>
        <v>0</v>
      </c>
      <c r="AB1480" s="6">
        <f ca="1">IF(Main[[#This Row],[مانده در خط تسویه نشده (کیلوگرم)]]&lt;&gt;0,Main[[#This Row],[تعداد کل روزهای بدهکار (روز)]],0)</f>
        <v>0</v>
      </c>
      <c r="AC1480" s="6">
        <f ca="1">Main[[#This Row],[تعداد روزهای بدهکار  تسویه نشده (روز)]]*Main[[#This Row],[مانده در خط تسویه نشده (کیلوگرم)]]</f>
        <v>0</v>
      </c>
      <c r="AD1480" s="6">
        <f ca="1">SUBTOTAL(9,INDEX(Main[بدهی سررسید شده (کیلوگرم)],1):Main[[#This Row],[بدهی سررسید شده (کیلوگرم)]])</f>
        <v>0</v>
      </c>
      <c r="AE1480" s="6">
        <f ca="1">IF(Main[[#This Row],[مانده در خط سررسید شده (کیلوگرم)]]&lt;&gt;0,Main[[#This Row],[تعداد کل روزهای بدهکار (روز)]],0)</f>
        <v>0</v>
      </c>
      <c r="AF1480" s="6">
        <f ca="1">Main[[#This Row],[تعداد روزهای بدهکار سررسید شده (روز)]]*Main[[#This Row],[مانده در خط سررسید شده (کیلوگرم)]]</f>
        <v>0</v>
      </c>
    </row>
    <row r="1481" spans="1:32" hidden="1" x14ac:dyDescent="0.35">
      <c r="A1481" s="5">
        <f>ROW()-ROW(INDEX(Main[ردیف],1))+1</f>
        <v>1479</v>
      </c>
      <c r="B1481" s="31">
        <f>SUBTOTAL(2,INDEX(Main[ردیف],1):Main[[#This Row],[ردیف]])</f>
        <v>131</v>
      </c>
      <c r="C1481" s="32" t="s">
        <v>659</v>
      </c>
      <c r="D1481" s="32" t="str">
        <f>_xlfn.CONCAT("14",Main[[#This Row],[تاريخ]])</f>
        <v>1400/06/11</v>
      </c>
      <c r="E1481" s="33">
        <v>44441</v>
      </c>
      <c r="F1481" s="32">
        <v>10070</v>
      </c>
      <c r="G1481" s="5" t="str">
        <f>INDEX(customer[عنوان],MATCH(Main[[#This Row],[کد ردیابی]],customer[کد],0))</f>
        <v xml:space="preserve">حمیدرضا شفیعی </v>
      </c>
      <c r="H1481">
        <v>-240</v>
      </c>
      <c r="I1481" s="6">
        <f ca="1">-Main[[#This Row],[بدهی تسویه شده (کیلوگرم)]]+Main[[#This Row],[بستانکار (کیلوگرم)]]</f>
        <v>-240</v>
      </c>
      <c r="J1481" s="6">
        <f>IF(Main[[#This Row],[مقدار (کیلوگرم)]]&gt;0,Main[[#This Row],[مقدار (کیلوگرم)]],0)</f>
        <v>0</v>
      </c>
      <c r="K1481" s="6">
        <f>-IF(Main[[#This Row],[مقدار (کیلوگرم)]]&lt;0,Main[[#This Row],[مقدار (کیلوگرم)]],0)</f>
        <v>240</v>
      </c>
      <c r="L14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1" s="7">
        <f>-IF(AND(Main[[#This Row],[مقدار (کیلوگرم)]]&lt;0,Main[[#This Row],[تاريخ میلادی]]&gt;44276),Main[[#This Row],[مقدار (کیلوگرم)]],0)</f>
        <v>240</v>
      </c>
      <c r="N1481" s="6">
        <f ca="1">Main[[#This Row],[بدهکار (کیلوگرم)]]-Main[[#This Row],[بدهی تسویه نشده (کیلوگرم)]]</f>
        <v>240</v>
      </c>
      <c r="O1481" s="6">
        <f ca="1">Main[[#This Row],[تفکیک]]</f>
        <v>0</v>
      </c>
      <c r="P1481" s="6">
        <f ca="1">IF(Main[[#This Row],[تاخیر از سررسید]]&gt;0,Main[[#This Row],[بدهی تسویه نشده (کیلوگرم)]],0)</f>
        <v>0</v>
      </c>
      <c r="Q1481" s="6">
        <f ca="1">IF(Main[[#This Row],[بدهی تسویه نشده (کیلوگرم)]]&gt;0,'گزارش فردی'!$B$7-Main[[#This Row],[تاريخ میلادی]],0)</f>
        <v>0</v>
      </c>
      <c r="R1481" s="6">
        <f ca="1">IF(Main[[#This Row],[بدهی تسویه نشده (کیلوگرم)]]&gt;0,'گزارش فردی'!$B$7-Main[[#This Row],[تاريخ میلادی]]-'گزارش فردی'!$B$8,0)</f>
        <v>0</v>
      </c>
      <c r="S1481" s="6">
        <f ca="1">Main[[#This Row],[روز از ارسال سفارش]]*Main[[#This Row],[بدهی تسویه نشده (کیلوگرم)]]</f>
        <v>0</v>
      </c>
      <c r="T1481" s="6">
        <f ca="1">Main[[#This Row],[بدهی سررسید شده (کیلوگرم)]]*Main[[#This Row],[روز از ارسال سفارش]]</f>
        <v>0</v>
      </c>
      <c r="U1481" s="6">
        <f>-SUBTOTAL(9,INDEX(Main[مقدار (کیلوگرم)],1):Main[[#This Row],[مقدار (کیلوگرم)]])</f>
        <v>36346</v>
      </c>
      <c r="V14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1" s="6">
        <f>Main[[#This Row],[تعداد کل روزهای بدهکار (روز)]]*Main[[#This Row],[مانده در خط کل (کیلوگرم)]]</f>
        <v>0</v>
      </c>
      <c r="X1481" s="6">
        <f ca="1">-SUBTOTAL(9,INDEX(Main[مقدار تسویه شده (کیلوگرم)],1):Main[[#This Row],[مقدار تسویه شده (کیلوگرم)]])</f>
        <v>36346</v>
      </c>
      <c r="Y1481" s="6">
        <f ca="1">IF(Main[[#This Row],[مانده در خط تسویه شده (کیلوگرم)]]&lt;&gt;0,Main[[#This Row],[تعداد کل روزهای بدهکار (روز)]],0)</f>
        <v>0</v>
      </c>
      <c r="Z1481" s="6">
        <f ca="1">Main[[#This Row],[تعداد روزهای بدهکار تسویه شده (روز)]]*Main[[#This Row],[مانده در خط تسویه شده (کیلوگرم)]]</f>
        <v>0</v>
      </c>
      <c r="AA1481" s="6">
        <f ca="1">SUBTOTAL(9,INDEX(Main[بدهی تسویه نشده (کیلوگرم)],1):Main[[#This Row],[بدهی تسویه نشده (کیلوگرم)]])</f>
        <v>0</v>
      </c>
      <c r="AB1481" s="6">
        <f ca="1">IF(Main[[#This Row],[مانده در خط تسویه نشده (کیلوگرم)]]&lt;&gt;0,Main[[#This Row],[تعداد کل روزهای بدهکار (روز)]],0)</f>
        <v>0</v>
      </c>
      <c r="AC1481" s="6">
        <f ca="1">Main[[#This Row],[تعداد روزهای بدهکار  تسویه نشده (روز)]]*Main[[#This Row],[مانده در خط تسویه نشده (کیلوگرم)]]</f>
        <v>0</v>
      </c>
      <c r="AD1481" s="6">
        <f ca="1">SUBTOTAL(9,INDEX(Main[بدهی سررسید شده (کیلوگرم)],1):Main[[#This Row],[بدهی سررسید شده (کیلوگرم)]])</f>
        <v>0</v>
      </c>
      <c r="AE1481" s="6">
        <f ca="1">IF(Main[[#This Row],[مانده در خط سررسید شده (کیلوگرم)]]&lt;&gt;0,Main[[#This Row],[تعداد کل روزهای بدهکار (روز)]],0)</f>
        <v>0</v>
      </c>
      <c r="AF1481" s="6">
        <f ca="1">Main[[#This Row],[تعداد روزهای بدهکار سررسید شده (روز)]]*Main[[#This Row],[مانده در خط سررسید شده (کیلوگرم)]]</f>
        <v>0</v>
      </c>
    </row>
    <row r="1482" spans="1:32" hidden="1" x14ac:dyDescent="0.35">
      <c r="A1482" s="5">
        <f>ROW()-ROW(INDEX(Main[ردیف],1))+1</f>
        <v>1480</v>
      </c>
      <c r="B1482" s="31">
        <f>SUBTOTAL(2,INDEX(Main[ردیف],1):Main[[#This Row],[ردیف]])</f>
        <v>131</v>
      </c>
      <c r="C1482" s="32" t="s">
        <v>659</v>
      </c>
      <c r="D1482" s="32" t="str">
        <f>_xlfn.CONCAT("14",Main[[#This Row],[تاريخ]])</f>
        <v>1400/06/11</v>
      </c>
      <c r="E1482" s="33">
        <v>44441</v>
      </c>
      <c r="F1482" s="32">
        <v>30022</v>
      </c>
      <c r="G1482" s="5" t="str">
        <f>INDEX(customer[عنوان],MATCH(Main[[#This Row],[کد ردیابی]],customer[کد],0))</f>
        <v xml:space="preserve">کلار پویا </v>
      </c>
      <c r="H1482">
        <v>4921</v>
      </c>
      <c r="I1482" s="6">
        <f ca="1">-Main[[#This Row],[بدهی تسویه شده (کیلوگرم)]]+Main[[#This Row],[بستانکار (کیلوگرم)]]</f>
        <v>4921</v>
      </c>
      <c r="J1482" s="6">
        <f>IF(Main[[#This Row],[مقدار (کیلوگرم)]]&gt;0,Main[[#This Row],[مقدار (کیلوگرم)]],0)</f>
        <v>4921</v>
      </c>
      <c r="K1482" s="6">
        <f>-IF(Main[[#This Row],[مقدار (کیلوگرم)]]&lt;0,Main[[#This Row],[مقدار (کیلوگرم)]],0)</f>
        <v>0</v>
      </c>
      <c r="L14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2" s="7">
        <f>-IF(AND(Main[[#This Row],[مقدار (کیلوگرم)]]&lt;0,Main[[#This Row],[تاريخ میلادی]]&gt;44276),Main[[#This Row],[مقدار (کیلوگرم)]],0)</f>
        <v>0</v>
      </c>
      <c r="N1482" s="6">
        <f ca="1">Main[[#This Row],[بدهکار (کیلوگرم)]]-Main[[#This Row],[بدهی تسویه نشده (کیلوگرم)]]</f>
        <v>0</v>
      </c>
      <c r="O1482" s="6">
        <f ca="1">Main[[#This Row],[تفکیک]]</f>
        <v>0</v>
      </c>
      <c r="P1482" s="6">
        <f ca="1">IF(Main[[#This Row],[تاخیر از سررسید]]&gt;0,Main[[#This Row],[بدهی تسویه نشده (کیلوگرم)]],0)</f>
        <v>0</v>
      </c>
      <c r="Q1482" s="6">
        <f ca="1">IF(Main[[#This Row],[بدهی تسویه نشده (کیلوگرم)]]&gt;0,'گزارش فردی'!$B$7-Main[[#This Row],[تاريخ میلادی]],0)</f>
        <v>0</v>
      </c>
      <c r="R1482" s="6">
        <f ca="1">IF(Main[[#This Row],[بدهی تسویه نشده (کیلوگرم)]]&gt;0,'گزارش فردی'!$B$7-Main[[#This Row],[تاريخ میلادی]]-'گزارش فردی'!$B$8,0)</f>
        <v>0</v>
      </c>
      <c r="S1482" s="6">
        <f ca="1">Main[[#This Row],[روز از ارسال سفارش]]*Main[[#This Row],[بدهی تسویه نشده (کیلوگرم)]]</f>
        <v>0</v>
      </c>
      <c r="T1482" s="6">
        <f ca="1">Main[[#This Row],[بدهی سررسید شده (کیلوگرم)]]*Main[[#This Row],[روز از ارسال سفارش]]</f>
        <v>0</v>
      </c>
      <c r="U1482" s="6">
        <f>-SUBTOTAL(9,INDEX(Main[مقدار (کیلوگرم)],1):Main[[#This Row],[مقدار (کیلوگرم)]])</f>
        <v>36346</v>
      </c>
      <c r="V14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2" s="6">
        <f>Main[[#This Row],[تعداد کل روزهای بدهکار (روز)]]*Main[[#This Row],[مانده در خط کل (کیلوگرم)]]</f>
        <v>0</v>
      </c>
      <c r="X1482" s="6">
        <f ca="1">-SUBTOTAL(9,INDEX(Main[مقدار تسویه شده (کیلوگرم)],1):Main[[#This Row],[مقدار تسویه شده (کیلوگرم)]])</f>
        <v>36346</v>
      </c>
      <c r="Y1482" s="6">
        <f ca="1">IF(Main[[#This Row],[مانده در خط تسویه شده (کیلوگرم)]]&lt;&gt;0,Main[[#This Row],[تعداد کل روزهای بدهکار (روز)]],0)</f>
        <v>0</v>
      </c>
      <c r="Z1482" s="6">
        <f ca="1">Main[[#This Row],[تعداد روزهای بدهکار تسویه شده (روز)]]*Main[[#This Row],[مانده در خط تسویه شده (کیلوگرم)]]</f>
        <v>0</v>
      </c>
      <c r="AA1482" s="6">
        <f ca="1">SUBTOTAL(9,INDEX(Main[بدهی تسویه نشده (کیلوگرم)],1):Main[[#This Row],[بدهی تسویه نشده (کیلوگرم)]])</f>
        <v>0</v>
      </c>
      <c r="AB1482" s="6">
        <f ca="1">IF(Main[[#This Row],[مانده در خط تسویه نشده (کیلوگرم)]]&lt;&gt;0,Main[[#This Row],[تعداد کل روزهای بدهکار (روز)]],0)</f>
        <v>0</v>
      </c>
      <c r="AC1482" s="6">
        <f ca="1">Main[[#This Row],[تعداد روزهای بدهکار  تسویه نشده (روز)]]*Main[[#This Row],[مانده در خط تسویه نشده (کیلوگرم)]]</f>
        <v>0</v>
      </c>
      <c r="AD1482" s="6">
        <f ca="1">SUBTOTAL(9,INDEX(Main[بدهی سررسید شده (کیلوگرم)],1):Main[[#This Row],[بدهی سررسید شده (کیلوگرم)]])</f>
        <v>0</v>
      </c>
      <c r="AE1482" s="6">
        <f ca="1">IF(Main[[#This Row],[مانده در خط سررسید شده (کیلوگرم)]]&lt;&gt;0,Main[[#This Row],[تعداد کل روزهای بدهکار (روز)]],0)</f>
        <v>0</v>
      </c>
      <c r="AF1482" s="6">
        <f ca="1">Main[[#This Row],[تعداد روزهای بدهکار سررسید شده (روز)]]*Main[[#This Row],[مانده در خط سررسید شده (کیلوگرم)]]</f>
        <v>0</v>
      </c>
    </row>
    <row r="1483" spans="1:32" hidden="1" x14ac:dyDescent="0.35">
      <c r="A1483" s="5">
        <f>ROW()-ROW(INDEX(Main[ردیف],1))+1</f>
        <v>1481</v>
      </c>
      <c r="B1483" s="31">
        <f>SUBTOTAL(2,INDEX(Main[ردیف],1):Main[[#This Row],[ردیف]])</f>
        <v>131</v>
      </c>
      <c r="C1483" s="32" t="s">
        <v>659</v>
      </c>
      <c r="D1483" s="32" t="str">
        <f>_xlfn.CONCAT("14",Main[[#This Row],[تاريخ]])</f>
        <v>1400/06/11</v>
      </c>
      <c r="E1483" s="33">
        <v>44441</v>
      </c>
      <c r="F1483" s="32">
        <v>10026</v>
      </c>
      <c r="G1483" s="5" t="str">
        <f>INDEX(customer[عنوان],MATCH(Main[[#This Row],[کد ردیابی]],customer[کد],0))</f>
        <v xml:space="preserve">محسن فیاض بخش </v>
      </c>
      <c r="H1483">
        <v>-2132</v>
      </c>
      <c r="I1483" s="6">
        <f ca="1">-Main[[#This Row],[بدهی تسویه شده (کیلوگرم)]]+Main[[#This Row],[بستانکار (کیلوگرم)]]</f>
        <v>-2132</v>
      </c>
      <c r="J1483" s="6">
        <f>IF(Main[[#This Row],[مقدار (کیلوگرم)]]&gt;0,Main[[#This Row],[مقدار (کیلوگرم)]],0)</f>
        <v>0</v>
      </c>
      <c r="K1483" s="6">
        <f>-IF(Main[[#This Row],[مقدار (کیلوگرم)]]&lt;0,Main[[#This Row],[مقدار (کیلوگرم)]],0)</f>
        <v>2132</v>
      </c>
      <c r="L14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3" s="7">
        <f>-IF(AND(Main[[#This Row],[مقدار (کیلوگرم)]]&lt;0,Main[[#This Row],[تاريخ میلادی]]&gt;44276),Main[[#This Row],[مقدار (کیلوگرم)]],0)</f>
        <v>2132</v>
      </c>
      <c r="N1483" s="6">
        <f ca="1">Main[[#This Row],[بدهکار (کیلوگرم)]]-Main[[#This Row],[بدهی تسویه نشده (کیلوگرم)]]</f>
        <v>2132</v>
      </c>
      <c r="O1483" s="6">
        <f ca="1">Main[[#This Row],[تفکیک]]</f>
        <v>0</v>
      </c>
      <c r="P1483" s="6">
        <f ca="1">IF(Main[[#This Row],[تاخیر از سررسید]]&gt;0,Main[[#This Row],[بدهی تسویه نشده (کیلوگرم)]],0)</f>
        <v>0</v>
      </c>
      <c r="Q1483" s="6">
        <f ca="1">IF(Main[[#This Row],[بدهی تسویه نشده (کیلوگرم)]]&gt;0,'گزارش فردی'!$B$7-Main[[#This Row],[تاريخ میلادی]],0)</f>
        <v>0</v>
      </c>
      <c r="R1483" s="6">
        <f ca="1">IF(Main[[#This Row],[بدهی تسویه نشده (کیلوگرم)]]&gt;0,'گزارش فردی'!$B$7-Main[[#This Row],[تاريخ میلادی]]-'گزارش فردی'!$B$8,0)</f>
        <v>0</v>
      </c>
      <c r="S1483" s="6">
        <f ca="1">Main[[#This Row],[روز از ارسال سفارش]]*Main[[#This Row],[بدهی تسویه نشده (کیلوگرم)]]</f>
        <v>0</v>
      </c>
      <c r="T1483" s="6">
        <f ca="1">Main[[#This Row],[بدهی سررسید شده (کیلوگرم)]]*Main[[#This Row],[روز از ارسال سفارش]]</f>
        <v>0</v>
      </c>
      <c r="U1483" s="6">
        <f>-SUBTOTAL(9,INDEX(Main[مقدار (کیلوگرم)],1):Main[[#This Row],[مقدار (کیلوگرم)]])</f>
        <v>36346</v>
      </c>
      <c r="V14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3" s="6">
        <f>Main[[#This Row],[تعداد کل روزهای بدهکار (روز)]]*Main[[#This Row],[مانده در خط کل (کیلوگرم)]]</f>
        <v>0</v>
      </c>
      <c r="X1483" s="6">
        <f ca="1">-SUBTOTAL(9,INDEX(Main[مقدار تسویه شده (کیلوگرم)],1):Main[[#This Row],[مقدار تسویه شده (کیلوگرم)]])</f>
        <v>36346</v>
      </c>
      <c r="Y1483" s="6">
        <f ca="1">IF(Main[[#This Row],[مانده در خط تسویه شده (کیلوگرم)]]&lt;&gt;0,Main[[#This Row],[تعداد کل روزهای بدهکار (روز)]],0)</f>
        <v>0</v>
      </c>
      <c r="Z1483" s="6">
        <f ca="1">Main[[#This Row],[تعداد روزهای بدهکار تسویه شده (روز)]]*Main[[#This Row],[مانده در خط تسویه شده (کیلوگرم)]]</f>
        <v>0</v>
      </c>
      <c r="AA1483" s="6">
        <f ca="1">SUBTOTAL(9,INDEX(Main[بدهی تسویه نشده (کیلوگرم)],1):Main[[#This Row],[بدهی تسویه نشده (کیلوگرم)]])</f>
        <v>0</v>
      </c>
      <c r="AB1483" s="6">
        <f ca="1">IF(Main[[#This Row],[مانده در خط تسویه نشده (کیلوگرم)]]&lt;&gt;0,Main[[#This Row],[تعداد کل روزهای بدهکار (روز)]],0)</f>
        <v>0</v>
      </c>
      <c r="AC1483" s="6">
        <f ca="1">Main[[#This Row],[تعداد روزهای بدهکار  تسویه نشده (روز)]]*Main[[#This Row],[مانده در خط تسویه نشده (کیلوگرم)]]</f>
        <v>0</v>
      </c>
      <c r="AD1483" s="6">
        <f ca="1">SUBTOTAL(9,INDEX(Main[بدهی سررسید شده (کیلوگرم)],1):Main[[#This Row],[بدهی سررسید شده (کیلوگرم)]])</f>
        <v>0</v>
      </c>
      <c r="AE1483" s="6">
        <f ca="1">IF(Main[[#This Row],[مانده در خط سررسید شده (کیلوگرم)]]&lt;&gt;0,Main[[#This Row],[تعداد کل روزهای بدهکار (روز)]],0)</f>
        <v>0</v>
      </c>
      <c r="AF1483" s="6">
        <f ca="1">Main[[#This Row],[تعداد روزهای بدهکار سررسید شده (روز)]]*Main[[#This Row],[مانده در خط سررسید شده (کیلوگرم)]]</f>
        <v>0</v>
      </c>
    </row>
    <row r="1484" spans="1:32" hidden="1" x14ac:dyDescent="0.35">
      <c r="A1484" s="5">
        <f>ROW()-ROW(INDEX(Main[ردیف],1))+1</f>
        <v>1482</v>
      </c>
      <c r="B1484" s="31">
        <f>SUBTOTAL(2,INDEX(Main[ردیف],1):Main[[#This Row],[ردیف]])</f>
        <v>131</v>
      </c>
      <c r="C1484" s="32" t="s">
        <v>659</v>
      </c>
      <c r="D1484" s="32" t="str">
        <f>_xlfn.CONCAT("14",Main[[#This Row],[تاريخ]])</f>
        <v>1400/06/11</v>
      </c>
      <c r="E1484" s="33">
        <v>44441</v>
      </c>
      <c r="F1484" s="32">
        <v>30009</v>
      </c>
      <c r="G1484" s="5" t="str">
        <f>INDEX(customer[عنوان],MATCH(Main[[#This Row],[کد ردیابی]],customer[کد],0))</f>
        <v>شرکت ایمن تک پیشرو</v>
      </c>
      <c r="H1484">
        <v>1728</v>
      </c>
      <c r="I1484" s="6">
        <f ca="1">-Main[[#This Row],[بدهی تسویه شده (کیلوگرم)]]+Main[[#This Row],[بستانکار (کیلوگرم)]]</f>
        <v>1728</v>
      </c>
      <c r="J1484" s="6">
        <f>IF(Main[[#This Row],[مقدار (کیلوگرم)]]&gt;0,Main[[#This Row],[مقدار (کیلوگرم)]],0)</f>
        <v>1728</v>
      </c>
      <c r="K1484" s="6">
        <f>-IF(Main[[#This Row],[مقدار (کیلوگرم)]]&lt;0,Main[[#This Row],[مقدار (کیلوگرم)]],0)</f>
        <v>0</v>
      </c>
      <c r="L14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4" s="7">
        <f>-IF(AND(Main[[#This Row],[مقدار (کیلوگرم)]]&lt;0,Main[[#This Row],[تاريخ میلادی]]&gt;44276),Main[[#This Row],[مقدار (کیلوگرم)]],0)</f>
        <v>0</v>
      </c>
      <c r="N1484" s="6">
        <f ca="1">Main[[#This Row],[بدهکار (کیلوگرم)]]-Main[[#This Row],[بدهی تسویه نشده (کیلوگرم)]]</f>
        <v>0</v>
      </c>
      <c r="O1484" s="6">
        <f ca="1">Main[[#This Row],[تفکیک]]</f>
        <v>0</v>
      </c>
      <c r="P1484" s="6">
        <f ca="1">IF(Main[[#This Row],[تاخیر از سررسید]]&gt;0,Main[[#This Row],[بدهی تسویه نشده (کیلوگرم)]],0)</f>
        <v>0</v>
      </c>
      <c r="Q1484" s="6">
        <f ca="1">IF(Main[[#This Row],[بدهی تسویه نشده (کیلوگرم)]]&gt;0,'گزارش فردی'!$B$7-Main[[#This Row],[تاريخ میلادی]],0)</f>
        <v>0</v>
      </c>
      <c r="R1484" s="6">
        <f ca="1">IF(Main[[#This Row],[بدهی تسویه نشده (کیلوگرم)]]&gt;0,'گزارش فردی'!$B$7-Main[[#This Row],[تاريخ میلادی]]-'گزارش فردی'!$B$8,0)</f>
        <v>0</v>
      </c>
      <c r="S1484" s="6">
        <f ca="1">Main[[#This Row],[روز از ارسال سفارش]]*Main[[#This Row],[بدهی تسویه نشده (کیلوگرم)]]</f>
        <v>0</v>
      </c>
      <c r="T1484" s="6">
        <f ca="1">Main[[#This Row],[بدهی سررسید شده (کیلوگرم)]]*Main[[#This Row],[روز از ارسال سفارش]]</f>
        <v>0</v>
      </c>
      <c r="U1484" s="6">
        <f>-SUBTOTAL(9,INDEX(Main[مقدار (کیلوگرم)],1):Main[[#This Row],[مقدار (کیلوگرم)]])</f>
        <v>36346</v>
      </c>
      <c r="V14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4" s="6">
        <f>Main[[#This Row],[تعداد کل روزهای بدهکار (روز)]]*Main[[#This Row],[مانده در خط کل (کیلوگرم)]]</f>
        <v>0</v>
      </c>
      <c r="X1484" s="6">
        <f ca="1">-SUBTOTAL(9,INDEX(Main[مقدار تسویه شده (کیلوگرم)],1):Main[[#This Row],[مقدار تسویه شده (کیلوگرم)]])</f>
        <v>36346</v>
      </c>
      <c r="Y1484" s="6">
        <f ca="1">IF(Main[[#This Row],[مانده در خط تسویه شده (کیلوگرم)]]&lt;&gt;0,Main[[#This Row],[تعداد کل روزهای بدهکار (روز)]],0)</f>
        <v>0</v>
      </c>
      <c r="Z1484" s="6">
        <f ca="1">Main[[#This Row],[تعداد روزهای بدهکار تسویه شده (روز)]]*Main[[#This Row],[مانده در خط تسویه شده (کیلوگرم)]]</f>
        <v>0</v>
      </c>
      <c r="AA1484" s="6">
        <f ca="1">SUBTOTAL(9,INDEX(Main[بدهی تسویه نشده (کیلوگرم)],1):Main[[#This Row],[بدهی تسویه نشده (کیلوگرم)]])</f>
        <v>0</v>
      </c>
      <c r="AB1484" s="6">
        <f ca="1">IF(Main[[#This Row],[مانده در خط تسویه نشده (کیلوگرم)]]&lt;&gt;0,Main[[#This Row],[تعداد کل روزهای بدهکار (روز)]],0)</f>
        <v>0</v>
      </c>
      <c r="AC1484" s="6">
        <f ca="1">Main[[#This Row],[تعداد روزهای بدهکار  تسویه نشده (روز)]]*Main[[#This Row],[مانده در خط تسویه نشده (کیلوگرم)]]</f>
        <v>0</v>
      </c>
      <c r="AD1484" s="6">
        <f ca="1">SUBTOTAL(9,INDEX(Main[بدهی سررسید شده (کیلوگرم)],1):Main[[#This Row],[بدهی سررسید شده (کیلوگرم)]])</f>
        <v>0</v>
      </c>
      <c r="AE1484" s="6">
        <f ca="1">IF(Main[[#This Row],[مانده در خط سررسید شده (کیلوگرم)]]&lt;&gt;0,Main[[#This Row],[تعداد کل روزهای بدهکار (روز)]],0)</f>
        <v>0</v>
      </c>
      <c r="AF1484" s="6">
        <f ca="1">Main[[#This Row],[تعداد روزهای بدهکار سررسید شده (روز)]]*Main[[#This Row],[مانده در خط سررسید شده (کیلوگرم)]]</f>
        <v>0</v>
      </c>
    </row>
    <row r="1485" spans="1:32" x14ac:dyDescent="0.35">
      <c r="A1485" s="5">
        <f>ROW()-ROW(INDEX(Main[ردیف],1))+1</f>
        <v>1483</v>
      </c>
      <c r="B1485" s="31">
        <f>SUBTOTAL(2,INDEX(Main[ردیف],1):Main[[#This Row],[ردیف]])</f>
        <v>132</v>
      </c>
      <c r="C1485" s="32" t="s">
        <v>659</v>
      </c>
      <c r="D1485" s="32" t="str">
        <f>_xlfn.CONCAT("14",Main[[#This Row],[تاريخ]])</f>
        <v>1400/06/11</v>
      </c>
      <c r="E1485" s="33">
        <v>44441</v>
      </c>
      <c r="F1485" s="32">
        <v>10003</v>
      </c>
      <c r="G1485" s="5" t="str">
        <f>INDEX(customer[عنوان],MATCH(Main[[#This Row],[کد ردیابی]],customer[کد],0))</f>
        <v>اصغر نورعلی</v>
      </c>
      <c r="H1485">
        <v>-1141</v>
      </c>
      <c r="I1485" s="6">
        <f ca="1">-Main[[#This Row],[بدهی تسویه شده (کیلوگرم)]]+Main[[#This Row],[بستانکار (کیلوگرم)]]</f>
        <v>-1141</v>
      </c>
      <c r="J1485" s="6">
        <f>IF(Main[[#This Row],[مقدار (کیلوگرم)]]&gt;0,Main[[#This Row],[مقدار (کیلوگرم)]],0)</f>
        <v>0</v>
      </c>
      <c r="K1485" s="6">
        <f>-IF(Main[[#This Row],[مقدار (کیلوگرم)]]&lt;0,Main[[#This Row],[مقدار (کیلوگرم)]],0)</f>
        <v>1141</v>
      </c>
      <c r="L14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5" s="7">
        <f>-IF(AND(Main[[#This Row],[مقدار (کیلوگرم)]]&lt;0,Main[[#This Row],[تاريخ میلادی]]&gt;44276),Main[[#This Row],[مقدار (کیلوگرم)]],0)</f>
        <v>1141</v>
      </c>
      <c r="N1485" s="6">
        <f ca="1">Main[[#This Row],[بدهکار (کیلوگرم)]]-Main[[#This Row],[بدهی تسویه نشده (کیلوگرم)]]</f>
        <v>1141</v>
      </c>
      <c r="O1485" s="6">
        <f ca="1">Main[[#This Row],[تفکیک]]</f>
        <v>0</v>
      </c>
      <c r="P1485" s="6">
        <f ca="1">IF(Main[[#This Row],[تاخیر از سررسید]]&gt;0,Main[[#This Row],[بدهی تسویه نشده (کیلوگرم)]],0)</f>
        <v>0</v>
      </c>
      <c r="Q1485" s="6">
        <f ca="1">IF(Main[[#This Row],[بدهی تسویه نشده (کیلوگرم)]]&gt;0,'گزارش فردی'!$B$7-Main[[#This Row],[تاريخ میلادی]],0)</f>
        <v>0</v>
      </c>
      <c r="R1485" s="6">
        <f ca="1">IF(Main[[#This Row],[بدهی تسویه نشده (کیلوگرم)]]&gt;0,'گزارش فردی'!$B$7-Main[[#This Row],[تاريخ میلادی]]-'گزارش فردی'!$B$8,0)</f>
        <v>0</v>
      </c>
      <c r="S1485" s="6">
        <f ca="1">Main[[#This Row],[روز از ارسال سفارش]]*Main[[#This Row],[بدهی تسویه نشده (کیلوگرم)]]</f>
        <v>0</v>
      </c>
      <c r="T1485" s="6">
        <f ca="1">Main[[#This Row],[بدهی سررسید شده (کیلوگرم)]]*Main[[#This Row],[روز از ارسال سفارش]]</f>
        <v>0</v>
      </c>
      <c r="U1485" s="6">
        <f>-SUBTOTAL(9,INDEX(Main[مقدار (کیلوگرم)],1):Main[[#This Row],[مقدار (کیلوگرم)]])</f>
        <v>37487</v>
      </c>
      <c r="V14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5" s="6">
        <f>Main[[#This Row],[تعداد کل روزهای بدهکار (روز)]]*Main[[#This Row],[مانده در خط کل (کیلوگرم)]]</f>
        <v>0</v>
      </c>
      <c r="X1485" s="6">
        <f ca="1">-SUBTOTAL(9,INDEX(Main[مقدار تسویه شده (کیلوگرم)],1):Main[[#This Row],[مقدار تسویه شده (کیلوگرم)]])</f>
        <v>37487</v>
      </c>
      <c r="Y1485" s="6">
        <f ca="1">IF(Main[[#This Row],[مانده در خط تسویه شده (کیلوگرم)]]&lt;&gt;0,Main[[#This Row],[تعداد کل روزهای بدهکار (روز)]],0)</f>
        <v>0</v>
      </c>
      <c r="Z1485" s="6">
        <f ca="1">Main[[#This Row],[تعداد روزهای بدهکار تسویه شده (روز)]]*Main[[#This Row],[مانده در خط تسویه شده (کیلوگرم)]]</f>
        <v>0</v>
      </c>
      <c r="AA1485" s="6">
        <f ca="1">SUBTOTAL(9,INDEX(Main[بدهی تسویه نشده (کیلوگرم)],1):Main[[#This Row],[بدهی تسویه نشده (کیلوگرم)]])</f>
        <v>0</v>
      </c>
      <c r="AB1485" s="6">
        <f ca="1">IF(Main[[#This Row],[مانده در خط تسویه نشده (کیلوگرم)]]&lt;&gt;0,Main[[#This Row],[تعداد کل روزهای بدهکار (روز)]],0)</f>
        <v>0</v>
      </c>
      <c r="AC1485" s="6">
        <f ca="1">Main[[#This Row],[تعداد روزهای بدهکار  تسویه نشده (روز)]]*Main[[#This Row],[مانده در خط تسویه نشده (کیلوگرم)]]</f>
        <v>0</v>
      </c>
      <c r="AD1485" s="6">
        <f ca="1">SUBTOTAL(9,INDEX(Main[بدهی سررسید شده (کیلوگرم)],1):Main[[#This Row],[بدهی سررسید شده (کیلوگرم)]])</f>
        <v>0</v>
      </c>
      <c r="AE1485" s="6">
        <f ca="1">IF(Main[[#This Row],[مانده در خط سررسید شده (کیلوگرم)]]&lt;&gt;0,Main[[#This Row],[تعداد کل روزهای بدهکار (روز)]],0)</f>
        <v>0</v>
      </c>
      <c r="AF1485" s="6">
        <f ca="1">Main[[#This Row],[تعداد روزهای بدهکار سررسید شده (روز)]]*Main[[#This Row],[مانده در خط سررسید شده (کیلوگرم)]]</f>
        <v>0</v>
      </c>
    </row>
    <row r="1486" spans="1:32" x14ac:dyDescent="0.35">
      <c r="A1486" s="5">
        <f>ROW()-ROW(INDEX(Main[ردیف],1))+1</f>
        <v>1484</v>
      </c>
      <c r="B1486" s="31">
        <f>SUBTOTAL(2,INDEX(Main[ردیف],1):Main[[#This Row],[ردیف]])</f>
        <v>133</v>
      </c>
      <c r="C1486" s="32" t="s">
        <v>659</v>
      </c>
      <c r="D1486" s="32" t="str">
        <f>_xlfn.CONCAT("14",Main[[#This Row],[تاريخ]])</f>
        <v>1400/06/11</v>
      </c>
      <c r="E1486" s="33">
        <v>44441</v>
      </c>
      <c r="F1486" s="32">
        <v>10003</v>
      </c>
      <c r="G1486" s="5" t="str">
        <f>INDEX(customer[عنوان],MATCH(Main[[#This Row],[کد ردیابی]],customer[کد],0))</f>
        <v>اصغر نورعلی</v>
      </c>
      <c r="H1486">
        <v>2628</v>
      </c>
      <c r="I1486" s="6">
        <f ca="1">-Main[[#This Row],[بدهی تسویه شده (کیلوگرم)]]+Main[[#This Row],[بستانکار (کیلوگرم)]]</f>
        <v>2628</v>
      </c>
      <c r="J1486" s="6">
        <f>IF(Main[[#This Row],[مقدار (کیلوگرم)]]&gt;0,Main[[#This Row],[مقدار (کیلوگرم)]],0)</f>
        <v>2628</v>
      </c>
      <c r="K1486" s="6">
        <f>-IF(Main[[#This Row],[مقدار (کیلوگرم)]]&lt;0,Main[[#This Row],[مقدار (کیلوگرم)]],0)</f>
        <v>0</v>
      </c>
      <c r="L14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6" s="7">
        <f>-IF(AND(Main[[#This Row],[مقدار (کیلوگرم)]]&lt;0,Main[[#This Row],[تاريخ میلادی]]&gt;44276),Main[[#This Row],[مقدار (کیلوگرم)]],0)</f>
        <v>0</v>
      </c>
      <c r="N1486" s="6">
        <f ca="1">Main[[#This Row],[بدهکار (کیلوگرم)]]-Main[[#This Row],[بدهی تسویه نشده (کیلوگرم)]]</f>
        <v>0</v>
      </c>
      <c r="O1486" s="6">
        <f ca="1">Main[[#This Row],[تفکیک]]</f>
        <v>0</v>
      </c>
      <c r="P1486" s="6">
        <f ca="1">IF(Main[[#This Row],[تاخیر از سررسید]]&gt;0,Main[[#This Row],[بدهی تسویه نشده (کیلوگرم)]],0)</f>
        <v>0</v>
      </c>
      <c r="Q1486" s="6">
        <f ca="1">IF(Main[[#This Row],[بدهی تسویه نشده (کیلوگرم)]]&gt;0,'گزارش فردی'!$B$7-Main[[#This Row],[تاريخ میلادی]],0)</f>
        <v>0</v>
      </c>
      <c r="R1486" s="6">
        <f ca="1">IF(Main[[#This Row],[بدهی تسویه نشده (کیلوگرم)]]&gt;0,'گزارش فردی'!$B$7-Main[[#This Row],[تاريخ میلادی]]-'گزارش فردی'!$B$8,0)</f>
        <v>0</v>
      </c>
      <c r="S1486" s="6">
        <f ca="1">Main[[#This Row],[روز از ارسال سفارش]]*Main[[#This Row],[بدهی تسویه نشده (کیلوگرم)]]</f>
        <v>0</v>
      </c>
      <c r="T1486" s="6">
        <f ca="1">Main[[#This Row],[بدهی سررسید شده (کیلوگرم)]]*Main[[#This Row],[روز از ارسال سفارش]]</f>
        <v>0</v>
      </c>
      <c r="U1486" s="6">
        <f>-SUBTOTAL(9,INDEX(Main[مقدار (کیلوگرم)],1):Main[[#This Row],[مقدار (کیلوگرم)]])</f>
        <v>34859</v>
      </c>
      <c r="V148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486" s="6">
        <f>Main[[#This Row],[تعداد کل روزهای بدهکار (روز)]]*Main[[#This Row],[مانده در خط کل (کیلوگرم)]]</f>
        <v>69718</v>
      </c>
      <c r="X1486" s="6">
        <f ca="1">-SUBTOTAL(9,INDEX(Main[مقدار تسویه شده (کیلوگرم)],1):Main[[#This Row],[مقدار تسویه شده (کیلوگرم)]])</f>
        <v>34859</v>
      </c>
      <c r="Y1486" s="6">
        <f ca="1">IF(Main[[#This Row],[مانده در خط تسویه شده (کیلوگرم)]]&lt;&gt;0,Main[[#This Row],[تعداد کل روزهای بدهکار (روز)]],0)</f>
        <v>2</v>
      </c>
      <c r="Z1486" s="6">
        <f ca="1">Main[[#This Row],[تعداد روزهای بدهکار تسویه شده (روز)]]*Main[[#This Row],[مانده در خط تسویه شده (کیلوگرم)]]</f>
        <v>69718</v>
      </c>
      <c r="AA1486" s="6">
        <f ca="1">SUBTOTAL(9,INDEX(Main[بدهی تسویه نشده (کیلوگرم)],1):Main[[#This Row],[بدهی تسویه نشده (کیلوگرم)]])</f>
        <v>0</v>
      </c>
      <c r="AB1486" s="6">
        <f ca="1">IF(Main[[#This Row],[مانده در خط تسویه نشده (کیلوگرم)]]&lt;&gt;0,Main[[#This Row],[تعداد کل روزهای بدهکار (روز)]],0)</f>
        <v>0</v>
      </c>
      <c r="AC1486" s="6">
        <f ca="1">Main[[#This Row],[تعداد روزهای بدهکار  تسویه نشده (روز)]]*Main[[#This Row],[مانده در خط تسویه نشده (کیلوگرم)]]</f>
        <v>0</v>
      </c>
      <c r="AD1486" s="6">
        <f ca="1">SUBTOTAL(9,INDEX(Main[بدهی سررسید شده (کیلوگرم)],1):Main[[#This Row],[بدهی سررسید شده (کیلوگرم)]])</f>
        <v>0</v>
      </c>
      <c r="AE1486" s="6">
        <f ca="1">IF(Main[[#This Row],[مانده در خط سررسید شده (کیلوگرم)]]&lt;&gt;0,Main[[#This Row],[تعداد کل روزهای بدهکار (روز)]],0)</f>
        <v>0</v>
      </c>
      <c r="AF1486" s="6">
        <f ca="1">Main[[#This Row],[تعداد روزهای بدهکار سررسید شده (روز)]]*Main[[#This Row],[مانده در خط سررسید شده (کیلوگرم)]]</f>
        <v>0</v>
      </c>
    </row>
    <row r="1487" spans="1:32" hidden="1" x14ac:dyDescent="0.35">
      <c r="A1487" s="5">
        <f>ROW()-ROW(INDEX(Main[ردیف],1))+1</f>
        <v>1485</v>
      </c>
      <c r="B1487" s="31">
        <f>SUBTOTAL(2,INDEX(Main[ردیف],1):Main[[#This Row],[ردیف]])</f>
        <v>133</v>
      </c>
      <c r="C1487" s="32" t="s">
        <v>660</v>
      </c>
      <c r="D1487" s="32" t="str">
        <f>_xlfn.CONCAT("14",Main[[#This Row],[تاريخ]])</f>
        <v>1400/06/13</v>
      </c>
      <c r="E1487" s="33">
        <v>44443</v>
      </c>
      <c r="F1487" s="32">
        <v>30004</v>
      </c>
      <c r="G1487" s="5" t="str">
        <f>INDEX(customer[عنوان],MATCH(Main[[#This Row],[کد ردیابی]],customer[کد],0))</f>
        <v>تولیدی صنعتی صفاشیر پارس</v>
      </c>
      <c r="H1487">
        <v>-3494</v>
      </c>
      <c r="I1487" s="6">
        <f ca="1">-Main[[#This Row],[بدهی تسویه شده (کیلوگرم)]]+Main[[#This Row],[بستانکار (کیلوگرم)]]</f>
        <v>-3494</v>
      </c>
      <c r="J1487" s="6">
        <f>IF(Main[[#This Row],[مقدار (کیلوگرم)]]&gt;0,Main[[#This Row],[مقدار (کیلوگرم)]],0)</f>
        <v>0</v>
      </c>
      <c r="K1487" s="6">
        <f>-IF(Main[[#This Row],[مقدار (کیلوگرم)]]&lt;0,Main[[#This Row],[مقدار (کیلوگرم)]],0)</f>
        <v>3494</v>
      </c>
      <c r="L14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7" s="7">
        <f>-IF(AND(Main[[#This Row],[مقدار (کیلوگرم)]]&lt;0,Main[[#This Row],[تاريخ میلادی]]&gt;44276),Main[[#This Row],[مقدار (کیلوگرم)]],0)</f>
        <v>3494</v>
      </c>
      <c r="N1487" s="6">
        <f ca="1">Main[[#This Row],[بدهکار (کیلوگرم)]]-Main[[#This Row],[بدهی تسویه نشده (کیلوگرم)]]</f>
        <v>3494</v>
      </c>
      <c r="O1487" s="6">
        <f ca="1">Main[[#This Row],[تفکیک]]</f>
        <v>0</v>
      </c>
      <c r="P1487" s="6">
        <f ca="1">IF(Main[[#This Row],[تاخیر از سررسید]]&gt;0,Main[[#This Row],[بدهی تسویه نشده (کیلوگرم)]],0)</f>
        <v>0</v>
      </c>
      <c r="Q1487" s="6">
        <f ca="1">IF(Main[[#This Row],[بدهی تسویه نشده (کیلوگرم)]]&gt;0,'گزارش فردی'!$B$7-Main[[#This Row],[تاريخ میلادی]],0)</f>
        <v>0</v>
      </c>
      <c r="R1487" s="6">
        <f ca="1">IF(Main[[#This Row],[بدهی تسویه نشده (کیلوگرم)]]&gt;0,'گزارش فردی'!$B$7-Main[[#This Row],[تاريخ میلادی]]-'گزارش فردی'!$B$8,0)</f>
        <v>0</v>
      </c>
      <c r="S1487" s="6">
        <f ca="1">Main[[#This Row],[روز از ارسال سفارش]]*Main[[#This Row],[بدهی تسویه نشده (کیلوگرم)]]</f>
        <v>0</v>
      </c>
      <c r="T1487" s="6">
        <f ca="1">Main[[#This Row],[بدهی سررسید شده (کیلوگرم)]]*Main[[#This Row],[روز از ارسال سفارش]]</f>
        <v>0</v>
      </c>
      <c r="U1487" s="6">
        <f>-SUBTOTAL(9,INDEX(Main[مقدار (کیلوگرم)],1):Main[[#This Row],[مقدار (کیلوگرم)]])</f>
        <v>34859</v>
      </c>
      <c r="V14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7" s="6">
        <f>Main[[#This Row],[تعداد کل روزهای بدهکار (روز)]]*Main[[#This Row],[مانده در خط کل (کیلوگرم)]]</f>
        <v>0</v>
      </c>
      <c r="X1487" s="6">
        <f ca="1">-SUBTOTAL(9,INDEX(Main[مقدار تسویه شده (کیلوگرم)],1):Main[[#This Row],[مقدار تسویه شده (کیلوگرم)]])</f>
        <v>34859</v>
      </c>
      <c r="Y1487" s="6">
        <f ca="1">IF(Main[[#This Row],[مانده در خط تسویه شده (کیلوگرم)]]&lt;&gt;0,Main[[#This Row],[تعداد کل روزهای بدهکار (روز)]],0)</f>
        <v>0</v>
      </c>
      <c r="Z1487" s="6">
        <f ca="1">Main[[#This Row],[تعداد روزهای بدهکار تسویه شده (روز)]]*Main[[#This Row],[مانده در خط تسویه شده (کیلوگرم)]]</f>
        <v>0</v>
      </c>
      <c r="AA1487" s="6">
        <f ca="1">SUBTOTAL(9,INDEX(Main[بدهی تسویه نشده (کیلوگرم)],1):Main[[#This Row],[بدهی تسویه نشده (کیلوگرم)]])</f>
        <v>0</v>
      </c>
      <c r="AB1487" s="6">
        <f ca="1">IF(Main[[#This Row],[مانده در خط تسویه نشده (کیلوگرم)]]&lt;&gt;0,Main[[#This Row],[تعداد کل روزهای بدهکار (روز)]],0)</f>
        <v>0</v>
      </c>
      <c r="AC1487" s="6">
        <f ca="1">Main[[#This Row],[تعداد روزهای بدهکار  تسویه نشده (روز)]]*Main[[#This Row],[مانده در خط تسویه نشده (کیلوگرم)]]</f>
        <v>0</v>
      </c>
      <c r="AD1487" s="6">
        <f ca="1">SUBTOTAL(9,INDEX(Main[بدهی سررسید شده (کیلوگرم)],1):Main[[#This Row],[بدهی سررسید شده (کیلوگرم)]])</f>
        <v>0</v>
      </c>
      <c r="AE1487" s="6">
        <f ca="1">IF(Main[[#This Row],[مانده در خط سررسید شده (کیلوگرم)]]&lt;&gt;0,Main[[#This Row],[تعداد کل روزهای بدهکار (روز)]],0)</f>
        <v>0</v>
      </c>
      <c r="AF1487" s="6">
        <f ca="1">Main[[#This Row],[تعداد روزهای بدهکار سررسید شده (روز)]]*Main[[#This Row],[مانده در خط سررسید شده (کیلوگرم)]]</f>
        <v>0</v>
      </c>
    </row>
    <row r="1488" spans="1:32" hidden="1" x14ac:dyDescent="0.35">
      <c r="A1488" s="5">
        <f>ROW()-ROW(INDEX(Main[ردیف],1))+1</f>
        <v>1486</v>
      </c>
      <c r="B1488" s="31">
        <f>SUBTOTAL(2,INDEX(Main[ردیف],1):Main[[#This Row],[ردیف]])</f>
        <v>133</v>
      </c>
      <c r="C1488" s="32" t="s">
        <v>660</v>
      </c>
      <c r="D1488" s="32" t="str">
        <f>_xlfn.CONCAT("14",Main[[#This Row],[تاريخ]])</f>
        <v>1400/06/13</v>
      </c>
      <c r="E1488" s="33">
        <v>44443</v>
      </c>
      <c r="F1488" s="32">
        <v>10097</v>
      </c>
      <c r="G1488" s="5" t="str">
        <f>INDEX(customer[عنوان],MATCH(Main[[#This Row],[کد ردیابی]],customer[کد],0))</f>
        <v>قورچیان مینا</v>
      </c>
      <c r="H1488">
        <v>1130</v>
      </c>
      <c r="I1488" s="6">
        <f ca="1">-Main[[#This Row],[بدهی تسویه شده (کیلوگرم)]]+Main[[#This Row],[بستانکار (کیلوگرم)]]</f>
        <v>1130</v>
      </c>
      <c r="J1488" s="6">
        <f>IF(Main[[#This Row],[مقدار (کیلوگرم)]]&gt;0,Main[[#This Row],[مقدار (کیلوگرم)]],0)</f>
        <v>1130</v>
      </c>
      <c r="K1488" s="6">
        <f>-IF(Main[[#This Row],[مقدار (کیلوگرم)]]&lt;0,Main[[#This Row],[مقدار (کیلوگرم)]],0)</f>
        <v>0</v>
      </c>
      <c r="L14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8" s="7">
        <f>-IF(AND(Main[[#This Row],[مقدار (کیلوگرم)]]&lt;0,Main[[#This Row],[تاريخ میلادی]]&gt;44276),Main[[#This Row],[مقدار (کیلوگرم)]],0)</f>
        <v>0</v>
      </c>
      <c r="N1488" s="6">
        <f ca="1">Main[[#This Row],[بدهکار (کیلوگرم)]]-Main[[#This Row],[بدهی تسویه نشده (کیلوگرم)]]</f>
        <v>0</v>
      </c>
      <c r="O1488" s="6">
        <f ca="1">Main[[#This Row],[تفکیک]]</f>
        <v>0</v>
      </c>
      <c r="P1488" s="6">
        <f ca="1">IF(Main[[#This Row],[تاخیر از سررسید]]&gt;0,Main[[#This Row],[بدهی تسویه نشده (کیلوگرم)]],0)</f>
        <v>0</v>
      </c>
      <c r="Q1488" s="6">
        <f ca="1">IF(Main[[#This Row],[بدهی تسویه نشده (کیلوگرم)]]&gt;0,'گزارش فردی'!$B$7-Main[[#This Row],[تاريخ میلادی]],0)</f>
        <v>0</v>
      </c>
      <c r="R1488" s="6">
        <f ca="1">IF(Main[[#This Row],[بدهی تسویه نشده (کیلوگرم)]]&gt;0,'گزارش فردی'!$B$7-Main[[#This Row],[تاريخ میلادی]]-'گزارش فردی'!$B$8,0)</f>
        <v>0</v>
      </c>
      <c r="S1488" s="6">
        <f ca="1">Main[[#This Row],[روز از ارسال سفارش]]*Main[[#This Row],[بدهی تسویه نشده (کیلوگرم)]]</f>
        <v>0</v>
      </c>
      <c r="T1488" s="6">
        <f ca="1">Main[[#This Row],[بدهی سررسید شده (کیلوگرم)]]*Main[[#This Row],[روز از ارسال سفارش]]</f>
        <v>0</v>
      </c>
      <c r="U1488" s="6">
        <f>-SUBTOTAL(9,INDEX(Main[مقدار (کیلوگرم)],1):Main[[#This Row],[مقدار (کیلوگرم)]])</f>
        <v>34859</v>
      </c>
      <c r="V14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8" s="6">
        <f>Main[[#This Row],[تعداد کل روزهای بدهکار (روز)]]*Main[[#This Row],[مانده در خط کل (کیلوگرم)]]</f>
        <v>0</v>
      </c>
      <c r="X1488" s="6">
        <f ca="1">-SUBTOTAL(9,INDEX(Main[مقدار تسویه شده (کیلوگرم)],1):Main[[#This Row],[مقدار تسویه شده (کیلوگرم)]])</f>
        <v>34859</v>
      </c>
      <c r="Y1488" s="6">
        <f ca="1">IF(Main[[#This Row],[مانده در خط تسویه شده (کیلوگرم)]]&lt;&gt;0,Main[[#This Row],[تعداد کل روزهای بدهکار (روز)]],0)</f>
        <v>0</v>
      </c>
      <c r="Z1488" s="6">
        <f ca="1">Main[[#This Row],[تعداد روزهای بدهکار تسویه شده (روز)]]*Main[[#This Row],[مانده در خط تسویه شده (کیلوگرم)]]</f>
        <v>0</v>
      </c>
      <c r="AA1488" s="6">
        <f ca="1">SUBTOTAL(9,INDEX(Main[بدهی تسویه نشده (کیلوگرم)],1):Main[[#This Row],[بدهی تسویه نشده (کیلوگرم)]])</f>
        <v>0</v>
      </c>
      <c r="AB1488" s="6">
        <f ca="1">IF(Main[[#This Row],[مانده در خط تسویه نشده (کیلوگرم)]]&lt;&gt;0,Main[[#This Row],[تعداد کل روزهای بدهکار (روز)]],0)</f>
        <v>0</v>
      </c>
      <c r="AC1488" s="6">
        <f ca="1">Main[[#This Row],[تعداد روزهای بدهکار  تسویه نشده (روز)]]*Main[[#This Row],[مانده در خط تسویه نشده (کیلوگرم)]]</f>
        <v>0</v>
      </c>
      <c r="AD1488" s="6">
        <f ca="1">SUBTOTAL(9,INDEX(Main[بدهی سررسید شده (کیلوگرم)],1):Main[[#This Row],[بدهی سررسید شده (کیلوگرم)]])</f>
        <v>0</v>
      </c>
      <c r="AE1488" s="6">
        <f ca="1">IF(Main[[#This Row],[مانده در خط سررسید شده (کیلوگرم)]]&lt;&gt;0,Main[[#This Row],[تعداد کل روزهای بدهکار (روز)]],0)</f>
        <v>0</v>
      </c>
      <c r="AF1488" s="6">
        <f ca="1">Main[[#This Row],[تعداد روزهای بدهکار سررسید شده (روز)]]*Main[[#This Row],[مانده در خط سررسید شده (کیلوگرم)]]</f>
        <v>0</v>
      </c>
    </row>
    <row r="1489" spans="1:32" hidden="1" x14ac:dyDescent="0.35">
      <c r="A1489" s="5">
        <f>ROW()-ROW(INDEX(Main[ردیف],1))+1</f>
        <v>1487</v>
      </c>
      <c r="B1489" s="31">
        <f>SUBTOTAL(2,INDEX(Main[ردیف],1):Main[[#This Row],[ردیف]])</f>
        <v>133</v>
      </c>
      <c r="C1489" s="32" t="s">
        <v>660</v>
      </c>
      <c r="D1489" s="32" t="str">
        <f>_xlfn.CONCAT("14",Main[[#This Row],[تاريخ]])</f>
        <v>1400/06/13</v>
      </c>
      <c r="E1489" s="33">
        <v>44443</v>
      </c>
      <c r="F1489" s="32">
        <v>30009</v>
      </c>
      <c r="G1489" s="5" t="str">
        <f>INDEX(customer[عنوان],MATCH(Main[[#This Row],[کد ردیابی]],customer[کد],0))</f>
        <v>شرکت ایمن تک پیشرو</v>
      </c>
      <c r="H1489">
        <v>-3882</v>
      </c>
      <c r="I1489" s="6">
        <f ca="1">-Main[[#This Row],[بدهی تسویه شده (کیلوگرم)]]+Main[[#This Row],[بستانکار (کیلوگرم)]]</f>
        <v>-3882</v>
      </c>
      <c r="J1489" s="6">
        <f>IF(Main[[#This Row],[مقدار (کیلوگرم)]]&gt;0,Main[[#This Row],[مقدار (کیلوگرم)]],0)</f>
        <v>0</v>
      </c>
      <c r="K1489" s="6">
        <f>-IF(Main[[#This Row],[مقدار (کیلوگرم)]]&lt;0,Main[[#This Row],[مقدار (کیلوگرم)]],0)</f>
        <v>3882</v>
      </c>
      <c r="L14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9" s="7">
        <f>-IF(AND(Main[[#This Row],[مقدار (کیلوگرم)]]&lt;0,Main[[#This Row],[تاريخ میلادی]]&gt;44276),Main[[#This Row],[مقدار (کیلوگرم)]],0)</f>
        <v>3882</v>
      </c>
      <c r="N1489" s="6">
        <f ca="1">Main[[#This Row],[بدهکار (کیلوگرم)]]-Main[[#This Row],[بدهی تسویه نشده (کیلوگرم)]]</f>
        <v>3882</v>
      </c>
      <c r="O1489" s="6">
        <f ca="1">Main[[#This Row],[تفکیک]]</f>
        <v>0</v>
      </c>
      <c r="P1489" s="6">
        <f ca="1">IF(Main[[#This Row],[تاخیر از سررسید]]&gt;0,Main[[#This Row],[بدهی تسویه نشده (کیلوگرم)]],0)</f>
        <v>0</v>
      </c>
      <c r="Q1489" s="6">
        <f ca="1">IF(Main[[#This Row],[بدهی تسویه نشده (کیلوگرم)]]&gt;0,'گزارش فردی'!$B$7-Main[[#This Row],[تاريخ میلادی]],0)</f>
        <v>0</v>
      </c>
      <c r="R1489" s="6">
        <f ca="1">IF(Main[[#This Row],[بدهی تسویه نشده (کیلوگرم)]]&gt;0,'گزارش فردی'!$B$7-Main[[#This Row],[تاريخ میلادی]]-'گزارش فردی'!$B$8,0)</f>
        <v>0</v>
      </c>
      <c r="S1489" s="6">
        <f ca="1">Main[[#This Row],[روز از ارسال سفارش]]*Main[[#This Row],[بدهی تسویه نشده (کیلوگرم)]]</f>
        <v>0</v>
      </c>
      <c r="T1489" s="6">
        <f ca="1">Main[[#This Row],[بدهی سررسید شده (کیلوگرم)]]*Main[[#This Row],[روز از ارسال سفارش]]</f>
        <v>0</v>
      </c>
      <c r="U1489" s="6">
        <f>-SUBTOTAL(9,INDEX(Main[مقدار (کیلوگرم)],1):Main[[#This Row],[مقدار (کیلوگرم)]])</f>
        <v>34859</v>
      </c>
      <c r="V14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9" s="6">
        <f>Main[[#This Row],[تعداد کل روزهای بدهکار (روز)]]*Main[[#This Row],[مانده در خط کل (کیلوگرم)]]</f>
        <v>0</v>
      </c>
      <c r="X1489" s="6">
        <f ca="1">-SUBTOTAL(9,INDEX(Main[مقدار تسویه شده (کیلوگرم)],1):Main[[#This Row],[مقدار تسویه شده (کیلوگرم)]])</f>
        <v>34859</v>
      </c>
      <c r="Y1489" s="6">
        <f ca="1">IF(Main[[#This Row],[مانده در خط تسویه شده (کیلوگرم)]]&lt;&gt;0,Main[[#This Row],[تعداد کل روزهای بدهکار (روز)]],0)</f>
        <v>0</v>
      </c>
      <c r="Z1489" s="6">
        <f ca="1">Main[[#This Row],[تعداد روزهای بدهکار تسویه شده (روز)]]*Main[[#This Row],[مانده در خط تسویه شده (کیلوگرم)]]</f>
        <v>0</v>
      </c>
      <c r="AA1489" s="6">
        <f ca="1">SUBTOTAL(9,INDEX(Main[بدهی تسویه نشده (کیلوگرم)],1):Main[[#This Row],[بدهی تسویه نشده (کیلوگرم)]])</f>
        <v>0</v>
      </c>
      <c r="AB1489" s="6">
        <f ca="1">IF(Main[[#This Row],[مانده در خط تسویه نشده (کیلوگرم)]]&lt;&gt;0,Main[[#This Row],[تعداد کل روزهای بدهکار (روز)]],0)</f>
        <v>0</v>
      </c>
      <c r="AC1489" s="6">
        <f ca="1">Main[[#This Row],[تعداد روزهای بدهکار  تسویه نشده (روز)]]*Main[[#This Row],[مانده در خط تسویه نشده (کیلوگرم)]]</f>
        <v>0</v>
      </c>
      <c r="AD1489" s="6">
        <f ca="1">SUBTOTAL(9,INDEX(Main[بدهی سررسید شده (کیلوگرم)],1):Main[[#This Row],[بدهی سررسید شده (کیلوگرم)]])</f>
        <v>0</v>
      </c>
      <c r="AE1489" s="6">
        <f ca="1">IF(Main[[#This Row],[مانده در خط سررسید شده (کیلوگرم)]]&lt;&gt;0,Main[[#This Row],[تعداد کل روزهای بدهکار (روز)]],0)</f>
        <v>0</v>
      </c>
      <c r="AF1489" s="6">
        <f ca="1">Main[[#This Row],[تعداد روزهای بدهکار سررسید شده (روز)]]*Main[[#This Row],[مانده در خط سررسید شده (کیلوگرم)]]</f>
        <v>0</v>
      </c>
    </row>
    <row r="1490" spans="1:32" hidden="1" x14ac:dyDescent="0.35">
      <c r="A1490" s="5">
        <f>ROW()-ROW(INDEX(Main[ردیف],1))+1</f>
        <v>1488</v>
      </c>
      <c r="B1490" s="31">
        <f>SUBTOTAL(2,INDEX(Main[ردیف],1):Main[[#This Row],[ردیف]])</f>
        <v>133</v>
      </c>
      <c r="C1490" s="32" t="s">
        <v>660</v>
      </c>
      <c r="D1490" s="32" t="str">
        <f>_xlfn.CONCAT("14",Main[[#This Row],[تاريخ]])</f>
        <v>1400/06/13</v>
      </c>
      <c r="E1490" s="33">
        <v>44443</v>
      </c>
      <c r="F1490" s="32">
        <v>30191</v>
      </c>
      <c r="G1490" s="5" t="str">
        <f>INDEX(customer[عنوان],MATCH(Main[[#This Row],[کد ردیابی]],customer[کد],0))</f>
        <v>ایران گرما</v>
      </c>
      <c r="H1490">
        <v>56</v>
      </c>
      <c r="I1490" s="6">
        <f ca="1">-Main[[#This Row],[بدهی تسویه شده (کیلوگرم)]]+Main[[#This Row],[بستانکار (کیلوگرم)]]</f>
        <v>56</v>
      </c>
      <c r="J1490" s="6">
        <f>IF(Main[[#This Row],[مقدار (کیلوگرم)]]&gt;0,Main[[#This Row],[مقدار (کیلوگرم)]],0)</f>
        <v>56</v>
      </c>
      <c r="K1490" s="6">
        <f>-IF(Main[[#This Row],[مقدار (کیلوگرم)]]&lt;0,Main[[#This Row],[مقدار (کیلوگرم)]],0)</f>
        <v>0</v>
      </c>
      <c r="L14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0" s="7">
        <f>-IF(AND(Main[[#This Row],[مقدار (کیلوگرم)]]&lt;0,Main[[#This Row],[تاريخ میلادی]]&gt;44276),Main[[#This Row],[مقدار (کیلوگرم)]],0)</f>
        <v>0</v>
      </c>
      <c r="N1490" s="6">
        <f ca="1">Main[[#This Row],[بدهکار (کیلوگرم)]]-Main[[#This Row],[بدهی تسویه نشده (کیلوگرم)]]</f>
        <v>0</v>
      </c>
      <c r="O1490" s="6">
        <f ca="1">Main[[#This Row],[تفکیک]]</f>
        <v>0</v>
      </c>
      <c r="P1490" s="6">
        <f ca="1">IF(Main[[#This Row],[تاخیر از سررسید]]&gt;0,Main[[#This Row],[بدهی تسویه نشده (کیلوگرم)]],0)</f>
        <v>0</v>
      </c>
      <c r="Q1490" s="6">
        <f ca="1">IF(Main[[#This Row],[بدهی تسویه نشده (کیلوگرم)]]&gt;0,'گزارش فردی'!$B$7-Main[[#This Row],[تاريخ میلادی]],0)</f>
        <v>0</v>
      </c>
      <c r="R1490" s="6">
        <f ca="1">IF(Main[[#This Row],[بدهی تسویه نشده (کیلوگرم)]]&gt;0,'گزارش فردی'!$B$7-Main[[#This Row],[تاريخ میلادی]]-'گزارش فردی'!$B$8,0)</f>
        <v>0</v>
      </c>
      <c r="S1490" s="6">
        <f ca="1">Main[[#This Row],[روز از ارسال سفارش]]*Main[[#This Row],[بدهی تسویه نشده (کیلوگرم)]]</f>
        <v>0</v>
      </c>
      <c r="T1490" s="6">
        <f ca="1">Main[[#This Row],[بدهی سررسید شده (کیلوگرم)]]*Main[[#This Row],[روز از ارسال سفارش]]</f>
        <v>0</v>
      </c>
      <c r="U1490" s="6">
        <f>-SUBTOTAL(9,INDEX(Main[مقدار (کیلوگرم)],1):Main[[#This Row],[مقدار (کیلوگرم)]])</f>
        <v>34859</v>
      </c>
      <c r="V14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0" s="6">
        <f>Main[[#This Row],[تعداد کل روزهای بدهکار (روز)]]*Main[[#This Row],[مانده در خط کل (کیلوگرم)]]</f>
        <v>0</v>
      </c>
      <c r="X1490" s="6">
        <f ca="1">-SUBTOTAL(9,INDEX(Main[مقدار تسویه شده (کیلوگرم)],1):Main[[#This Row],[مقدار تسویه شده (کیلوگرم)]])</f>
        <v>34859</v>
      </c>
      <c r="Y1490" s="6">
        <f ca="1">IF(Main[[#This Row],[مانده در خط تسویه شده (کیلوگرم)]]&lt;&gt;0,Main[[#This Row],[تعداد کل روزهای بدهکار (روز)]],0)</f>
        <v>0</v>
      </c>
      <c r="Z1490" s="6">
        <f ca="1">Main[[#This Row],[تعداد روزهای بدهکار تسویه شده (روز)]]*Main[[#This Row],[مانده در خط تسویه شده (کیلوگرم)]]</f>
        <v>0</v>
      </c>
      <c r="AA1490" s="6">
        <f ca="1">SUBTOTAL(9,INDEX(Main[بدهی تسویه نشده (کیلوگرم)],1):Main[[#This Row],[بدهی تسویه نشده (کیلوگرم)]])</f>
        <v>0</v>
      </c>
      <c r="AB1490" s="6">
        <f ca="1">IF(Main[[#This Row],[مانده در خط تسویه نشده (کیلوگرم)]]&lt;&gt;0,Main[[#This Row],[تعداد کل روزهای بدهکار (روز)]],0)</f>
        <v>0</v>
      </c>
      <c r="AC1490" s="6">
        <f ca="1">Main[[#This Row],[تعداد روزهای بدهکار  تسویه نشده (روز)]]*Main[[#This Row],[مانده در خط تسویه نشده (کیلوگرم)]]</f>
        <v>0</v>
      </c>
      <c r="AD1490" s="6">
        <f ca="1">SUBTOTAL(9,INDEX(Main[بدهی سررسید شده (کیلوگرم)],1):Main[[#This Row],[بدهی سررسید شده (کیلوگرم)]])</f>
        <v>0</v>
      </c>
      <c r="AE1490" s="6">
        <f ca="1">IF(Main[[#This Row],[مانده در خط سررسید شده (کیلوگرم)]]&lt;&gt;0,Main[[#This Row],[تعداد کل روزهای بدهکار (روز)]],0)</f>
        <v>0</v>
      </c>
      <c r="AF1490" s="6">
        <f ca="1">Main[[#This Row],[تعداد روزهای بدهکار سررسید شده (روز)]]*Main[[#This Row],[مانده در خط سررسید شده (کیلوگرم)]]</f>
        <v>0</v>
      </c>
    </row>
    <row r="1491" spans="1:32" hidden="1" x14ac:dyDescent="0.35">
      <c r="A1491" s="5">
        <f>ROW()-ROW(INDEX(Main[ردیف],1))+1</f>
        <v>1489</v>
      </c>
      <c r="B1491" s="31">
        <f>SUBTOTAL(2,INDEX(Main[ردیف],1):Main[[#This Row],[ردیف]])</f>
        <v>133</v>
      </c>
      <c r="C1491" s="32" t="s">
        <v>660</v>
      </c>
      <c r="D1491" s="32" t="str">
        <f>_xlfn.CONCAT("14",Main[[#This Row],[تاريخ]])</f>
        <v>1400/06/13</v>
      </c>
      <c r="E1491" s="33">
        <v>44443</v>
      </c>
      <c r="F1491" s="32">
        <v>30191</v>
      </c>
      <c r="G1491" s="5" t="str">
        <f>INDEX(customer[عنوان],MATCH(Main[[#This Row],[کد ردیابی]],customer[کد],0))</f>
        <v>ایران گرما</v>
      </c>
      <c r="H1491">
        <v>-918</v>
      </c>
      <c r="I1491" s="6">
        <f ca="1">-Main[[#This Row],[بدهی تسویه شده (کیلوگرم)]]+Main[[#This Row],[بستانکار (کیلوگرم)]]</f>
        <v>-918</v>
      </c>
      <c r="J1491" s="6">
        <f>IF(Main[[#This Row],[مقدار (کیلوگرم)]]&gt;0,Main[[#This Row],[مقدار (کیلوگرم)]],0)</f>
        <v>0</v>
      </c>
      <c r="K1491" s="6">
        <f>-IF(Main[[#This Row],[مقدار (کیلوگرم)]]&lt;0,Main[[#This Row],[مقدار (کیلوگرم)]],0)</f>
        <v>918</v>
      </c>
      <c r="L14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1" s="7">
        <f>-IF(AND(Main[[#This Row],[مقدار (کیلوگرم)]]&lt;0,Main[[#This Row],[تاريخ میلادی]]&gt;44276),Main[[#This Row],[مقدار (کیلوگرم)]],0)</f>
        <v>918</v>
      </c>
      <c r="N1491" s="6">
        <f ca="1">Main[[#This Row],[بدهکار (کیلوگرم)]]-Main[[#This Row],[بدهی تسویه نشده (کیلوگرم)]]</f>
        <v>918</v>
      </c>
      <c r="O1491" s="6">
        <f ca="1">Main[[#This Row],[تفکیک]]</f>
        <v>0</v>
      </c>
      <c r="P1491" s="6">
        <f ca="1">IF(Main[[#This Row],[تاخیر از سررسید]]&gt;0,Main[[#This Row],[بدهی تسویه نشده (کیلوگرم)]],0)</f>
        <v>0</v>
      </c>
      <c r="Q1491" s="6">
        <f ca="1">IF(Main[[#This Row],[بدهی تسویه نشده (کیلوگرم)]]&gt;0,'گزارش فردی'!$B$7-Main[[#This Row],[تاريخ میلادی]],0)</f>
        <v>0</v>
      </c>
      <c r="R1491" s="6">
        <f ca="1">IF(Main[[#This Row],[بدهی تسویه نشده (کیلوگرم)]]&gt;0,'گزارش فردی'!$B$7-Main[[#This Row],[تاريخ میلادی]]-'گزارش فردی'!$B$8,0)</f>
        <v>0</v>
      </c>
      <c r="S1491" s="6">
        <f ca="1">Main[[#This Row],[روز از ارسال سفارش]]*Main[[#This Row],[بدهی تسویه نشده (کیلوگرم)]]</f>
        <v>0</v>
      </c>
      <c r="T1491" s="6">
        <f ca="1">Main[[#This Row],[بدهی سررسید شده (کیلوگرم)]]*Main[[#This Row],[روز از ارسال سفارش]]</f>
        <v>0</v>
      </c>
      <c r="U1491" s="6">
        <f>-SUBTOTAL(9,INDEX(Main[مقدار (کیلوگرم)],1):Main[[#This Row],[مقدار (کیلوگرم)]])</f>
        <v>34859</v>
      </c>
      <c r="V14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1" s="6">
        <f>Main[[#This Row],[تعداد کل روزهای بدهکار (روز)]]*Main[[#This Row],[مانده در خط کل (کیلوگرم)]]</f>
        <v>0</v>
      </c>
      <c r="X1491" s="6">
        <f ca="1">-SUBTOTAL(9,INDEX(Main[مقدار تسویه شده (کیلوگرم)],1):Main[[#This Row],[مقدار تسویه شده (کیلوگرم)]])</f>
        <v>34859</v>
      </c>
      <c r="Y1491" s="6">
        <f ca="1">IF(Main[[#This Row],[مانده در خط تسویه شده (کیلوگرم)]]&lt;&gt;0,Main[[#This Row],[تعداد کل روزهای بدهکار (روز)]],0)</f>
        <v>0</v>
      </c>
      <c r="Z1491" s="6">
        <f ca="1">Main[[#This Row],[تعداد روزهای بدهکار تسویه شده (روز)]]*Main[[#This Row],[مانده در خط تسویه شده (کیلوگرم)]]</f>
        <v>0</v>
      </c>
      <c r="AA1491" s="6">
        <f ca="1">SUBTOTAL(9,INDEX(Main[بدهی تسویه نشده (کیلوگرم)],1):Main[[#This Row],[بدهی تسویه نشده (کیلوگرم)]])</f>
        <v>0</v>
      </c>
      <c r="AB1491" s="6">
        <f ca="1">IF(Main[[#This Row],[مانده در خط تسویه نشده (کیلوگرم)]]&lt;&gt;0,Main[[#This Row],[تعداد کل روزهای بدهکار (روز)]],0)</f>
        <v>0</v>
      </c>
      <c r="AC1491" s="6">
        <f ca="1">Main[[#This Row],[تعداد روزهای بدهکار  تسویه نشده (روز)]]*Main[[#This Row],[مانده در خط تسویه نشده (کیلوگرم)]]</f>
        <v>0</v>
      </c>
      <c r="AD1491" s="6">
        <f ca="1">SUBTOTAL(9,INDEX(Main[بدهی سررسید شده (کیلوگرم)],1):Main[[#This Row],[بدهی سررسید شده (کیلوگرم)]])</f>
        <v>0</v>
      </c>
      <c r="AE1491" s="6">
        <f ca="1">IF(Main[[#This Row],[مانده در خط سررسید شده (کیلوگرم)]]&lt;&gt;0,Main[[#This Row],[تعداد کل روزهای بدهکار (روز)]],0)</f>
        <v>0</v>
      </c>
      <c r="AF1491" s="6">
        <f ca="1">Main[[#This Row],[تعداد روزهای بدهکار سررسید شده (روز)]]*Main[[#This Row],[مانده در خط سررسید شده (کیلوگرم)]]</f>
        <v>0</v>
      </c>
    </row>
    <row r="1492" spans="1:32" hidden="1" x14ac:dyDescent="0.35">
      <c r="A1492" s="5">
        <f>ROW()-ROW(INDEX(Main[ردیف],1))+1</f>
        <v>1490</v>
      </c>
      <c r="B1492" s="31">
        <f>SUBTOTAL(2,INDEX(Main[ردیف],1):Main[[#This Row],[ردیف]])</f>
        <v>133</v>
      </c>
      <c r="C1492" s="32" t="s">
        <v>660</v>
      </c>
      <c r="D1492" s="32" t="str">
        <f>_xlfn.CONCAT("14",Main[[#This Row],[تاريخ]])</f>
        <v>1400/06/13</v>
      </c>
      <c r="E1492" s="33">
        <v>44443</v>
      </c>
      <c r="F1492" s="32">
        <v>10069</v>
      </c>
      <c r="G1492" s="5" t="str">
        <f>INDEX(customer[عنوان],MATCH(Main[[#This Row],[کد ردیابی]],customer[کد],0))</f>
        <v xml:space="preserve">جواد عرب </v>
      </c>
      <c r="H1492">
        <v>428</v>
      </c>
      <c r="I1492" s="6">
        <f ca="1">-Main[[#This Row],[بدهی تسویه شده (کیلوگرم)]]+Main[[#This Row],[بستانکار (کیلوگرم)]]</f>
        <v>428</v>
      </c>
      <c r="J1492" s="6">
        <f>IF(Main[[#This Row],[مقدار (کیلوگرم)]]&gt;0,Main[[#This Row],[مقدار (کیلوگرم)]],0)</f>
        <v>428</v>
      </c>
      <c r="K1492" s="6">
        <f>-IF(Main[[#This Row],[مقدار (کیلوگرم)]]&lt;0,Main[[#This Row],[مقدار (کیلوگرم)]],0)</f>
        <v>0</v>
      </c>
      <c r="L14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2" s="7">
        <f>-IF(AND(Main[[#This Row],[مقدار (کیلوگرم)]]&lt;0,Main[[#This Row],[تاريخ میلادی]]&gt;44276),Main[[#This Row],[مقدار (کیلوگرم)]],0)</f>
        <v>0</v>
      </c>
      <c r="N1492" s="6">
        <f ca="1">Main[[#This Row],[بدهکار (کیلوگرم)]]-Main[[#This Row],[بدهی تسویه نشده (کیلوگرم)]]</f>
        <v>0</v>
      </c>
      <c r="O1492" s="6">
        <f ca="1">Main[[#This Row],[تفکیک]]</f>
        <v>0</v>
      </c>
      <c r="P1492" s="6">
        <f ca="1">IF(Main[[#This Row],[تاخیر از سررسید]]&gt;0,Main[[#This Row],[بدهی تسویه نشده (کیلوگرم)]],0)</f>
        <v>0</v>
      </c>
      <c r="Q1492" s="6">
        <f ca="1">IF(Main[[#This Row],[بدهی تسویه نشده (کیلوگرم)]]&gt;0,'گزارش فردی'!$B$7-Main[[#This Row],[تاريخ میلادی]],0)</f>
        <v>0</v>
      </c>
      <c r="R1492" s="6">
        <f ca="1">IF(Main[[#This Row],[بدهی تسویه نشده (کیلوگرم)]]&gt;0,'گزارش فردی'!$B$7-Main[[#This Row],[تاريخ میلادی]]-'گزارش فردی'!$B$8,0)</f>
        <v>0</v>
      </c>
      <c r="S1492" s="6">
        <f ca="1">Main[[#This Row],[روز از ارسال سفارش]]*Main[[#This Row],[بدهی تسویه نشده (کیلوگرم)]]</f>
        <v>0</v>
      </c>
      <c r="T1492" s="6">
        <f ca="1">Main[[#This Row],[بدهی سررسید شده (کیلوگرم)]]*Main[[#This Row],[روز از ارسال سفارش]]</f>
        <v>0</v>
      </c>
      <c r="U1492" s="6">
        <f>-SUBTOTAL(9,INDEX(Main[مقدار (کیلوگرم)],1):Main[[#This Row],[مقدار (کیلوگرم)]])</f>
        <v>34859</v>
      </c>
      <c r="V14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2" s="6">
        <f>Main[[#This Row],[تعداد کل روزهای بدهکار (روز)]]*Main[[#This Row],[مانده در خط کل (کیلوگرم)]]</f>
        <v>0</v>
      </c>
      <c r="X1492" s="6">
        <f ca="1">-SUBTOTAL(9,INDEX(Main[مقدار تسویه شده (کیلوگرم)],1):Main[[#This Row],[مقدار تسویه شده (کیلوگرم)]])</f>
        <v>34859</v>
      </c>
      <c r="Y1492" s="6">
        <f ca="1">IF(Main[[#This Row],[مانده در خط تسویه شده (کیلوگرم)]]&lt;&gt;0,Main[[#This Row],[تعداد کل روزهای بدهکار (روز)]],0)</f>
        <v>0</v>
      </c>
      <c r="Z1492" s="6">
        <f ca="1">Main[[#This Row],[تعداد روزهای بدهکار تسویه شده (روز)]]*Main[[#This Row],[مانده در خط تسویه شده (کیلوگرم)]]</f>
        <v>0</v>
      </c>
      <c r="AA1492" s="6">
        <f ca="1">SUBTOTAL(9,INDEX(Main[بدهی تسویه نشده (کیلوگرم)],1):Main[[#This Row],[بدهی تسویه نشده (کیلوگرم)]])</f>
        <v>0</v>
      </c>
      <c r="AB1492" s="6">
        <f ca="1">IF(Main[[#This Row],[مانده در خط تسویه نشده (کیلوگرم)]]&lt;&gt;0,Main[[#This Row],[تعداد کل روزهای بدهکار (روز)]],0)</f>
        <v>0</v>
      </c>
      <c r="AC1492" s="6">
        <f ca="1">Main[[#This Row],[تعداد روزهای بدهکار  تسویه نشده (روز)]]*Main[[#This Row],[مانده در خط تسویه نشده (کیلوگرم)]]</f>
        <v>0</v>
      </c>
      <c r="AD1492" s="6">
        <f ca="1">SUBTOTAL(9,INDEX(Main[بدهی سررسید شده (کیلوگرم)],1):Main[[#This Row],[بدهی سررسید شده (کیلوگرم)]])</f>
        <v>0</v>
      </c>
      <c r="AE1492" s="6">
        <f ca="1">IF(Main[[#This Row],[مانده در خط سررسید شده (کیلوگرم)]]&lt;&gt;0,Main[[#This Row],[تعداد کل روزهای بدهکار (روز)]],0)</f>
        <v>0</v>
      </c>
      <c r="AF1492" s="6">
        <f ca="1">Main[[#This Row],[تعداد روزهای بدهکار سررسید شده (روز)]]*Main[[#This Row],[مانده در خط سررسید شده (کیلوگرم)]]</f>
        <v>0</v>
      </c>
    </row>
    <row r="1493" spans="1:32" hidden="1" x14ac:dyDescent="0.35">
      <c r="A1493" s="5">
        <f>ROW()-ROW(INDEX(Main[ردیف],1))+1</f>
        <v>1491</v>
      </c>
      <c r="B1493" s="31">
        <f>SUBTOTAL(2,INDEX(Main[ردیف],1):Main[[#This Row],[ردیف]])</f>
        <v>133</v>
      </c>
      <c r="C1493" s="32" t="s">
        <v>660</v>
      </c>
      <c r="D1493" s="32" t="str">
        <f>_xlfn.CONCAT("14",Main[[#This Row],[تاريخ]])</f>
        <v>1400/06/13</v>
      </c>
      <c r="E1493" s="33">
        <v>44443</v>
      </c>
      <c r="F1493" s="32">
        <v>10026</v>
      </c>
      <c r="G1493" s="5" t="str">
        <f>INDEX(customer[عنوان],MATCH(Main[[#This Row],[کد ردیابی]],customer[کد],0))</f>
        <v xml:space="preserve">محسن فیاض بخش </v>
      </c>
      <c r="H1493">
        <v>-1958</v>
      </c>
      <c r="I1493" s="6">
        <f ca="1">-Main[[#This Row],[بدهی تسویه شده (کیلوگرم)]]+Main[[#This Row],[بستانکار (کیلوگرم)]]</f>
        <v>-1958</v>
      </c>
      <c r="J1493" s="6">
        <f>IF(Main[[#This Row],[مقدار (کیلوگرم)]]&gt;0,Main[[#This Row],[مقدار (کیلوگرم)]],0)</f>
        <v>0</v>
      </c>
      <c r="K1493" s="6">
        <f>-IF(Main[[#This Row],[مقدار (کیلوگرم)]]&lt;0,Main[[#This Row],[مقدار (کیلوگرم)]],0)</f>
        <v>1958</v>
      </c>
      <c r="L14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3" s="7">
        <f>-IF(AND(Main[[#This Row],[مقدار (کیلوگرم)]]&lt;0,Main[[#This Row],[تاريخ میلادی]]&gt;44276),Main[[#This Row],[مقدار (کیلوگرم)]],0)</f>
        <v>1958</v>
      </c>
      <c r="N1493" s="6">
        <f ca="1">Main[[#This Row],[بدهکار (کیلوگرم)]]-Main[[#This Row],[بدهی تسویه نشده (کیلوگرم)]]</f>
        <v>1958</v>
      </c>
      <c r="O1493" s="6">
        <f ca="1">Main[[#This Row],[تفکیک]]</f>
        <v>0</v>
      </c>
      <c r="P1493" s="6">
        <f ca="1">IF(Main[[#This Row],[تاخیر از سررسید]]&gt;0,Main[[#This Row],[بدهی تسویه نشده (کیلوگرم)]],0)</f>
        <v>0</v>
      </c>
      <c r="Q1493" s="6">
        <f ca="1">IF(Main[[#This Row],[بدهی تسویه نشده (کیلوگرم)]]&gt;0,'گزارش فردی'!$B$7-Main[[#This Row],[تاريخ میلادی]],0)</f>
        <v>0</v>
      </c>
      <c r="R1493" s="6">
        <f ca="1">IF(Main[[#This Row],[بدهی تسویه نشده (کیلوگرم)]]&gt;0,'گزارش فردی'!$B$7-Main[[#This Row],[تاريخ میلادی]]-'گزارش فردی'!$B$8,0)</f>
        <v>0</v>
      </c>
      <c r="S1493" s="6">
        <f ca="1">Main[[#This Row],[روز از ارسال سفارش]]*Main[[#This Row],[بدهی تسویه نشده (کیلوگرم)]]</f>
        <v>0</v>
      </c>
      <c r="T1493" s="6">
        <f ca="1">Main[[#This Row],[بدهی سررسید شده (کیلوگرم)]]*Main[[#This Row],[روز از ارسال سفارش]]</f>
        <v>0</v>
      </c>
      <c r="U1493" s="6">
        <f>-SUBTOTAL(9,INDEX(Main[مقدار (کیلوگرم)],1):Main[[#This Row],[مقدار (کیلوگرم)]])</f>
        <v>34859</v>
      </c>
      <c r="V14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3" s="6">
        <f>Main[[#This Row],[تعداد کل روزهای بدهکار (روز)]]*Main[[#This Row],[مانده در خط کل (کیلوگرم)]]</f>
        <v>0</v>
      </c>
      <c r="X1493" s="6">
        <f ca="1">-SUBTOTAL(9,INDEX(Main[مقدار تسویه شده (کیلوگرم)],1):Main[[#This Row],[مقدار تسویه شده (کیلوگرم)]])</f>
        <v>34859</v>
      </c>
      <c r="Y1493" s="6">
        <f ca="1">IF(Main[[#This Row],[مانده در خط تسویه شده (کیلوگرم)]]&lt;&gt;0,Main[[#This Row],[تعداد کل روزهای بدهکار (روز)]],0)</f>
        <v>0</v>
      </c>
      <c r="Z1493" s="6">
        <f ca="1">Main[[#This Row],[تعداد روزهای بدهکار تسویه شده (روز)]]*Main[[#This Row],[مانده در خط تسویه شده (کیلوگرم)]]</f>
        <v>0</v>
      </c>
      <c r="AA1493" s="6">
        <f ca="1">SUBTOTAL(9,INDEX(Main[بدهی تسویه نشده (کیلوگرم)],1):Main[[#This Row],[بدهی تسویه نشده (کیلوگرم)]])</f>
        <v>0</v>
      </c>
      <c r="AB1493" s="6">
        <f ca="1">IF(Main[[#This Row],[مانده در خط تسویه نشده (کیلوگرم)]]&lt;&gt;0,Main[[#This Row],[تعداد کل روزهای بدهکار (روز)]],0)</f>
        <v>0</v>
      </c>
      <c r="AC1493" s="6">
        <f ca="1">Main[[#This Row],[تعداد روزهای بدهکار  تسویه نشده (روز)]]*Main[[#This Row],[مانده در خط تسویه نشده (کیلوگرم)]]</f>
        <v>0</v>
      </c>
      <c r="AD1493" s="6">
        <f ca="1">SUBTOTAL(9,INDEX(Main[بدهی سررسید شده (کیلوگرم)],1):Main[[#This Row],[بدهی سررسید شده (کیلوگرم)]])</f>
        <v>0</v>
      </c>
      <c r="AE1493" s="6">
        <f ca="1">IF(Main[[#This Row],[مانده در خط سررسید شده (کیلوگرم)]]&lt;&gt;0,Main[[#This Row],[تعداد کل روزهای بدهکار (روز)]],0)</f>
        <v>0</v>
      </c>
      <c r="AF1493" s="6">
        <f ca="1">Main[[#This Row],[تعداد روزهای بدهکار سررسید شده (روز)]]*Main[[#This Row],[مانده در خط سررسید شده (کیلوگرم)]]</f>
        <v>0</v>
      </c>
    </row>
    <row r="1494" spans="1:32" hidden="1" x14ac:dyDescent="0.35">
      <c r="A1494" s="5">
        <f>ROW()-ROW(INDEX(Main[ردیف],1))+1</f>
        <v>1492</v>
      </c>
      <c r="B1494" s="31">
        <f>SUBTOTAL(2,INDEX(Main[ردیف],1):Main[[#This Row],[ردیف]])</f>
        <v>133</v>
      </c>
      <c r="C1494" s="32" t="s">
        <v>660</v>
      </c>
      <c r="D1494" s="32" t="str">
        <f>_xlfn.CONCAT("14",Main[[#This Row],[تاريخ]])</f>
        <v>1400/06/13</v>
      </c>
      <c r="E1494" s="33">
        <v>44443</v>
      </c>
      <c r="F1494" s="32">
        <v>30004</v>
      </c>
      <c r="G1494" s="5" t="str">
        <f>INDEX(customer[عنوان],MATCH(Main[[#This Row],[کد ردیابی]],customer[کد],0))</f>
        <v>تولیدی صنعتی صفاشیر پارس</v>
      </c>
      <c r="H1494">
        <v>2250</v>
      </c>
      <c r="I1494" s="6">
        <f ca="1">-Main[[#This Row],[بدهی تسویه شده (کیلوگرم)]]+Main[[#This Row],[بستانکار (کیلوگرم)]]</f>
        <v>2250</v>
      </c>
      <c r="J1494" s="6">
        <f>IF(Main[[#This Row],[مقدار (کیلوگرم)]]&gt;0,Main[[#This Row],[مقدار (کیلوگرم)]],0)</f>
        <v>2250</v>
      </c>
      <c r="K1494" s="6">
        <f>-IF(Main[[#This Row],[مقدار (کیلوگرم)]]&lt;0,Main[[#This Row],[مقدار (کیلوگرم)]],0)</f>
        <v>0</v>
      </c>
      <c r="L14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4" s="7">
        <f>-IF(AND(Main[[#This Row],[مقدار (کیلوگرم)]]&lt;0,Main[[#This Row],[تاريخ میلادی]]&gt;44276),Main[[#This Row],[مقدار (کیلوگرم)]],0)</f>
        <v>0</v>
      </c>
      <c r="N1494" s="6">
        <f ca="1">Main[[#This Row],[بدهکار (کیلوگرم)]]-Main[[#This Row],[بدهی تسویه نشده (کیلوگرم)]]</f>
        <v>0</v>
      </c>
      <c r="O1494" s="6">
        <f ca="1">Main[[#This Row],[تفکیک]]</f>
        <v>0</v>
      </c>
      <c r="P1494" s="6">
        <f ca="1">IF(Main[[#This Row],[تاخیر از سررسید]]&gt;0,Main[[#This Row],[بدهی تسویه نشده (کیلوگرم)]],0)</f>
        <v>0</v>
      </c>
      <c r="Q1494" s="6">
        <f ca="1">IF(Main[[#This Row],[بدهی تسویه نشده (کیلوگرم)]]&gt;0,'گزارش فردی'!$B$7-Main[[#This Row],[تاريخ میلادی]],0)</f>
        <v>0</v>
      </c>
      <c r="R1494" s="6">
        <f ca="1">IF(Main[[#This Row],[بدهی تسویه نشده (کیلوگرم)]]&gt;0,'گزارش فردی'!$B$7-Main[[#This Row],[تاريخ میلادی]]-'گزارش فردی'!$B$8,0)</f>
        <v>0</v>
      </c>
      <c r="S1494" s="6">
        <f ca="1">Main[[#This Row],[روز از ارسال سفارش]]*Main[[#This Row],[بدهی تسویه نشده (کیلوگرم)]]</f>
        <v>0</v>
      </c>
      <c r="T1494" s="6">
        <f ca="1">Main[[#This Row],[بدهی سررسید شده (کیلوگرم)]]*Main[[#This Row],[روز از ارسال سفارش]]</f>
        <v>0</v>
      </c>
      <c r="U1494" s="6">
        <f>-SUBTOTAL(9,INDEX(Main[مقدار (کیلوگرم)],1):Main[[#This Row],[مقدار (کیلوگرم)]])</f>
        <v>34859</v>
      </c>
      <c r="V14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4" s="6">
        <f>Main[[#This Row],[تعداد کل روزهای بدهکار (روز)]]*Main[[#This Row],[مانده در خط کل (کیلوگرم)]]</f>
        <v>0</v>
      </c>
      <c r="X1494" s="6">
        <f ca="1">-SUBTOTAL(9,INDEX(Main[مقدار تسویه شده (کیلوگرم)],1):Main[[#This Row],[مقدار تسویه شده (کیلوگرم)]])</f>
        <v>34859</v>
      </c>
      <c r="Y1494" s="6">
        <f ca="1">IF(Main[[#This Row],[مانده در خط تسویه شده (کیلوگرم)]]&lt;&gt;0,Main[[#This Row],[تعداد کل روزهای بدهکار (روز)]],0)</f>
        <v>0</v>
      </c>
      <c r="Z1494" s="6">
        <f ca="1">Main[[#This Row],[تعداد روزهای بدهکار تسویه شده (روز)]]*Main[[#This Row],[مانده در خط تسویه شده (کیلوگرم)]]</f>
        <v>0</v>
      </c>
      <c r="AA1494" s="6">
        <f ca="1">SUBTOTAL(9,INDEX(Main[بدهی تسویه نشده (کیلوگرم)],1):Main[[#This Row],[بدهی تسویه نشده (کیلوگرم)]])</f>
        <v>0</v>
      </c>
      <c r="AB1494" s="6">
        <f ca="1">IF(Main[[#This Row],[مانده در خط تسویه نشده (کیلوگرم)]]&lt;&gt;0,Main[[#This Row],[تعداد کل روزهای بدهکار (روز)]],0)</f>
        <v>0</v>
      </c>
      <c r="AC1494" s="6">
        <f ca="1">Main[[#This Row],[تعداد روزهای بدهکار  تسویه نشده (روز)]]*Main[[#This Row],[مانده در خط تسویه نشده (کیلوگرم)]]</f>
        <v>0</v>
      </c>
      <c r="AD1494" s="6">
        <f ca="1">SUBTOTAL(9,INDEX(Main[بدهی سررسید شده (کیلوگرم)],1):Main[[#This Row],[بدهی سررسید شده (کیلوگرم)]])</f>
        <v>0</v>
      </c>
      <c r="AE1494" s="6">
        <f ca="1">IF(Main[[#This Row],[مانده در خط سررسید شده (کیلوگرم)]]&lt;&gt;0,Main[[#This Row],[تعداد کل روزهای بدهکار (روز)]],0)</f>
        <v>0</v>
      </c>
      <c r="AF1494" s="6">
        <f ca="1">Main[[#This Row],[تعداد روزهای بدهکار سررسید شده (روز)]]*Main[[#This Row],[مانده در خط سررسید شده (کیلوگرم)]]</f>
        <v>0</v>
      </c>
    </row>
    <row r="1495" spans="1:32" hidden="1" x14ac:dyDescent="0.35">
      <c r="A1495" s="5">
        <f>ROW()-ROW(INDEX(Main[ردیف],1))+1</f>
        <v>1493</v>
      </c>
      <c r="B1495" s="31">
        <f>SUBTOTAL(2,INDEX(Main[ردیف],1):Main[[#This Row],[ردیف]])</f>
        <v>133</v>
      </c>
      <c r="C1495" s="32" t="s">
        <v>660</v>
      </c>
      <c r="D1495" s="32" t="str">
        <f>_xlfn.CONCAT("14",Main[[#This Row],[تاريخ]])</f>
        <v>1400/06/13</v>
      </c>
      <c r="E1495" s="33">
        <v>44443</v>
      </c>
      <c r="F1495" s="32">
        <v>10069</v>
      </c>
      <c r="G1495" s="5" t="str">
        <f>INDEX(customer[عنوان],MATCH(Main[[#This Row],[کد ردیابی]],customer[کد],0))</f>
        <v xml:space="preserve">جواد عرب </v>
      </c>
      <c r="H1495">
        <v>-1043</v>
      </c>
      <c r="I1495" s="6">
        <f ca="1">-Main[[#This Row],[بدهی تسویه شده (کیلوگرم)]]+Main[[#This Row],[بستانکار (کیلوگرم)]]</f>
        <v>-1043</v>
      </c>
      <c r="J1495" s="6">
        <f>IF(Main[[#This Row],[مقدار (کیلوگرم)]]&gt;0,Main[[#This Row],[مقدار (کیلوگرم)]],0)</f>
        <v>0</v>
      </c>
      <c r="K1495" s="6">
        <f>-IF(Main[[#This Row],[مقدار (کیلوگرم)]]&lt;0,Main[[#This Row],[مقدار (کیلوگرم)]],0)</f>
        <v>1043</v>
      </c>
      <c r="L14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5" s="7">
        <f>-IF(AND(Main[[#This Row],[مقدار (کیلوگرم)]]&lt;0,Main[[#This Row],[تاريخ میلادی]]&gt;44276),Main[[#This Row],[مقدار (کیلوگرم)]],0)</f>
        <v>1043</v>
      </c>
      <c r="N1495" s="6">
        <f ca="1">Main[[#This Row],[بدهکار (کیلوگرم)]]-Main[[#This Row],[بدهی تسویه نشده (کیلوگرم)]]</f>
        <v>1043</v>
      </c>
      <c r="O1495" s="6">
        <f ca="1">Main[[#This Row],[تفکیک]]</f>
        <v>0</v>
      </c>
      <c r="P1495" s="6">
        <f ca="1">IF(Main[[#This Row],[تاخیر از سررسید]]&gt;0,Main[[#This Row],[بدهی تسویه نشده (کیلوگرم)]],0)</f>
        <v>0</v>
      </c>
      <c r="Q1495" s="6">
        <f ca="1">IF(Main[[#This Row],[بدهی تسویه نشده (کیلوگرم)]]&gt;0,'گزارش فردی'!$B$7-Main[[#This Row],[تاريخ میلادی]],0)</f>
        <v>0</v>
      </c>
      <c r="R1495" s="6">
        <f ca="1">IF(Main[[#This Row],[بدهی تسویه نشده (کیلوگرم)]]&gt;0,'گزارش فردی'!$B$7-Main[[#This Row],[تاريخ میلادی]]-'گزارش فردی'!$B$8,0)</f>
        <v>0</v>
      </c>
      <c r="S1495" s="6">
        <f ca="1">Main[[#This Row],[روز از ارسال سفارش]]*Main[[#This Row],[بدهی تسویه نشده (کیلوگرم)]]</f>
        <v>0</v>
      </c>
      <c r="T1495" s="6">
        <f ca="1">Main[[#This Row],[بدهی سررسید شده (کیلوگرم)]]*Main[[#This Row],[روز از ارسال سفارش]]</f>
        <v>0</v>
      </c>
      <c r="U1495" s="6">
        <f>-SUBTOTAL(9,INDEX(Main[مقدار (کیلوگرم)],1):Main[[#This Row],[مقدار (کیلوگرم)]])</f>
        <v>34859</v>
      </c>
      <c r="V14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5" s="6">
        <f>Main[[#This Row],[تعداد کل روزهای بدهکار (روز)]]*Main[[#This Row],[مانده در خط کل (کیلوگرم)]]</f>
        <v>0</v>
      </c>
      <c r="X1495" s="6">
        <f ca="1">-SUBTOTAL(9,INDEX(Main[مقدار تسویه شده (کیلوگرم)],1):Main[[#This Row],[مقدار تسویه شده (کیلوگرم)]])</f>
        <v>34859</v>
      </c>
      <c r="Y1495" s="6">
        <f ca="1">IF(Main[[#This Row],[مانده در خط تسویه شده (کیلوگرم)]]&lt;&gt;0,Main[[#This Row],[تعداد کل روزهای بدهکار (روز)]],0)</f>
        <v>0</v>
      </c>
      <c r="Z1495" s="6">
        <f ca="1">Main[[#This Row],[تعداد روزهای بدهکار تسویه شده (روز)]]*Main[[#This Row],[مانده در خط تسویه شده (کیلوگرم)]]</f>
        <v>0</v>
      </c>
      <c r="AA1495" s="6">
        <f ca="1">SUBTOTAL(9,INDEX(Main[بدهی تسویه نشده (کیلوگرم)],1):Main[[#This Row],[بدهی تسویه نشده (کیلوگرم)]])</f>
        <v>0</v>
      </c>
      <c r="AB1495" s="6">
        <f ca="1">IF(Main[[#This Row],[مانده در خط تسویه نشده (کیلوگرم)]]&lt;&gt;0,Main[[#This Row],[تعداد کل روزهای بدهکار (روز)]],0)</f>
        <v>0</v>
      </c>
      <c r="AC1495" s="6">
        <f ca="1">Main[[#This Row],[تعداد روزهای بدهکار  تسویه نشده (روز)]]*Main[[#This Row],[مانده در خط تسویه نشده (کیلوگرم)]]</f>
        <v>0</v>
      </c>
      <c r="AD1495" s="6">
        <f ca="1">SUBTOTAL(9,INDEX(Main[بدهی سررسید شده (کیلوگرم)],1):Main[[#This Row],[بدهی سررسید شده (کیلوگرم)]])</f>
        <v>0</v>
      </c>
      <c r="AE1495" s="6">
        <f ca="1">IF(Main[[#This Row],[مانده در خط سررسید شده (کیلوگرم)]]&lt;&gt;0,Main[[#This Row],[تعداد کل روزهای بدهکار (روز)]],0)</f>
        <v>0</v>
      </c>
      <c r="AF1495" s="6">
        <f ca="1">Main[[#This Row],[تعداد روزهای بدهکار سررسید شده (روز)]]*Main[[#This Row],[مانده در خط سررسید شده (کیلوگرم)]]</f>
        <v>0</v>
      </c>
    </row>
    <row r="1496" spans="1:32" hidden="1" x14ac:dyDescent="0.35">
      <c r="A1496" s="5">
        <f>ROW()-ROW(INDEX(Main[ردیف],1))+1</f>
        <v>1494</v>
      </c>
      <c r="B1496" s="31">
        <f>SUBTOTAL(2,INDEX(Main[ردیف],1):Main[[#This Row],[ردیف]])</f>
        <v>133</v>
      </c>
      <c r="C1496" s="32" t="s">
        <v>660</v>
      </c>
      <c r="D1496" s="32" t="str">
        <f>_xlfn.CONCAT("14",Main[[#This Row],[تاريخ]])</f>
        <v>1400/06/13</v>
      </c>
      <c r="E1496" s="33">
        <v>44443</v>
      </c>
      <c r="F1496" s="32">
        <v>30009</v>
      </c>
      <c r="G1496" s="5" t="str">
        <f>INDEX(customer[عنوان],MATCH(Main[[#This Row],[کد ردیابی]],customer[کد],0))</f>
        <v>شرکت ایمن تک پیشرو</v>
      </c>
      <c r="H1496">
        <v>1880</v>
      </c>
      <c r="I1496" s="6">
        <f ca="1">-Main[[#This Row],[بدهی تسویه شده (کیلوگرم)]]+Main[[#This Row],[بستانکار (کیلوگرم)]]</f>
        <v>1880</v>
      </c>
      <c r="J1496" s="6">
        <f>IF(Main[[#This Row],[مقدار (کیلوگرم)]]&gt;0,Main[[#This Row],[مقدار (کیلوگرم)]],0)</f>
        <v>1880</v>
      </c>
      <c r="K1496" s="6">
        <f>-IF(Main[[#This Row],[مقدار (کیلوگرم)]]&lt;0,Main[[#This Row],[مقدار (کیلوگرم)]],0)</f>
        <v>0</v>
      </c>
      <c r="L14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6" s="7">
        <f>-IF(AND(Main[[#This Row],[مقدار (کیلوگرم)]]&lt;0,Main[[#This Row],[تاريخ میلادی]]&gt;44276),Main[[#This Row],[مقدار (کیلوگرم)]],0)</f>
        <v>0</v>
      </c>
      <c r="N1496" s="6">
        <f ca="1">Main[[#This Row],[بدهکار (کیلوگرم)]]-Main[[#This Row],[بدهی تسویه نشده (کیلوگرم)]]</f>
        <v>0</v>
      </c>
      <c r="O1496" s="6">
        <f ca="1">Main[[#This Row],[تفکیک]]</f>
        <v>0</v>
      </c>
      <c r="P1496" s="6">
        <f ca="1">IF(Main[[#This Row],[تاخیر از سررسید]]&gt;0,Main[[#This Row],[بدهی تسویه نشده (کیلوگرم)]],0)</f>
        <v>0</v>
      </c>
      <c r="Q1496" s="6">
        <f ca="1">IF(Main[[#This Row],[بدهی تسویه نشده (کیلوگرم)]]&gt;0,'گزارش فردی'!$B$7-Main[[#This Row],[تاريخ میلادی]],0)</f>
        <v>0</v>
      </c>
      <c r="R1496" s="6">
        <f ca="1">IF(Main[[#This Row],[بدهی تسویه نشده (کیلوگرم)]]&gt;0,'گزارش فردی'!$B$7-Main[[#This Row],[تاريخ میلادی]]-'گزارش فردی'!$B$8,0)</f>
        <v>0</v>
      </c>
      <c r="S1496" s="6">
        <f ca="1">Main[[#This Row],[روز از ارسال سفارش]]*Main[[#This Row],[بدهی تسویه نشده (کیلوگرم)]]</f>
        <v>0</v>
      </c>
      <c r="T1496" s="6">
        <f ca="1">Main[[#This Row],[بدهی سررسید شده (کیلوگرم)]]*Main[[#This Row],[روز از ارسال سفارش]]</f>
        <v>0</v>
      </c>
      <c r="U1496" s="6">
        <f>-SUBTOTAL(9,INDEX(Main[مقدار (کیلوگرم)],1):Main[[#This Row],[مقدار (کیلوگرم)]])</f>
        <v>34859</v>
      </c>
      <c r="V14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6" s="6">
        <f>Main[[#This Row],[تعداد کل روزهای بدهکار (روز)]]*Main[[#This Row],[مانده در خط کل (کیلوگرم)]]</f>
        <v>0</v>
      </c>
      <c r="X1496" s="6">
        <f ca="1">-SUBTOTAL(9,INDEX(Main[مقدار تسویه شده (کیلوگرم)],1):Main[[#This Row],[مقدار تسویه شده (کیلوگرم)]])</f>
        <v>34859</v>
      </c>
      <c r="Y1496" s="6">
        <f ca="1">IF(Main[[#This Row],[مانده در خط تسویه شده (کیلوگرم)]]&lt;&gt;0,Main[[#This Row],[تعداد کل روزهای بدهکار (روز)]],0)</f>
        <v>0</v>
      </c>
      <c r="Z1496" s="6">
        <f ca="1">Main[[#This Row],[تعداد روزهای بدهکار تسویه شده (روز)]]*Main[[#This Row],[مانده در خط تسویه شده (کیلوگرم)]]</f>
        <v>0</v>
      </c>
      <c r="AA1496" s="6">
        <f ca="1">SUBTOTAL(9,INDEX(Main[بدهی تسویه نشده (کیلوگرم)],1):Main[[#This Row],[بدهی تسویه نشده (کیلوگرم)]])</f>
        <v>0</v>
      </c>
      <c r="AB1496" s="6">
        <f ca="1">IF(Main[[#This Row],[مانده در خط تسویه نشده (کیلوگرم)]]&lt;&gt;0,Main[[#This Row],[تعداد کل روزهای بدهکار (روز)]],0)</f>
        <v>0</v>
      </c>
      <c r="AC1496" s="6">
        <f ca="1">Main[[#This Row],[تعداد روزهای بدهکار  تسویه نشده (روز)]]*Main[[#This Row],[مانده در خط تسویه نشده (کیلوگرم)]]</f>
        <v>0</v>
      </c>
      <c r="AD1496" s="6">
        <f ca="1">SUBTOTAL(9,INDEX(Main[بدهی سررسید شده (کیلوگرم)],1):Main[[#This Row],[بدهی سررسید شده (کیلوگرم)]])</f>
        <v>0</v>
      </c>
      <c r="AE1496" s="6">
        <f ca="1">IF(Main[[#This Row],[مانده در خط سررسید شده (کیلوگرم)]]&lt;&gt;0,Main[[#This Row],[تعداد کل روزهای بدهکار (روز)]],0)</f>
        <v>0</v>
      </c>
      <c r="AF1496" s="6">
        <f ca="1">Main[[#This Row],[تعداد روزهای بدهکار سررسید شده (روز)]]*Main[[#This Row],[مانده در خط سررسید شده (کیلوگرم)]]</f>
        <v>0</v>
      </c>
    </row>
    <row r="1497" spans="1:32" hidden="1" x14ac:dyDescent="0.35">
      <c r="A1497" s="5">
        <f>ROW()-ROW(INDEX(Main[ردیف],1))+1</f>
        <v>1495</v>
      </c>
      <c r="B1497" s="31">
        <f>SUBTOTAL(2,INDEX(Main[ردیف],1):Main[[#This Row],[ردیف]])</f>
        <v>133</v>
      </c>
      <c r="C1497" s="32" t="s">
        <v>660</v>
      </c>
      <c r="D1497" s="32" t="str">
        <f>_xlfn.CONCAT("14",Main[[#This Row],[تاريخ]])</f>
        <v>1400/06/13</v>
      </c>
      <c r="E1497" s="33">
        <v>44443</v>
      </c>
      <c r="F1497" s="32">
        <v>10097</v>
      </c>
      <c r="G1497" s="5" t="str">
        <f>INDEX(customer[عنوان],MATCH(Main[[#This Row],[کد ردیابی]],customer[کد],0))</f>
        <v>قورچیان مینا</v>
      </c>
      <c r="H1497">
        <v>-2128</v>
      </c>
      <c r="I1497" s="6">
        <f ca="1">-Main[[#This Row],[بدهی تسویه شده (کیلوگرم)]]+Main[[#This Row],[بستانکار (کیلوگرم)]]</f>
        <v>-2128</v>
      </c>
      <c r="J1497" s="6">
        <f>IF(Main[[#This Row],[مقدار (کیلوگرم)]]&gt;0,Main[[#This Row],[مقدار (کیلوگرم)]],0)</f>
        <v>0</v>
      </c>
      <c r="K1497" s="6">
        <f>-IF(Main[[#This Row],[مقدار (کیلوگرم)]]&lt;0,Main[[#This Row],[مقدار (کیلوگرم)]],0)</f>
        <v>2128</v>
      </c>
      <c r="L14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7" s="7">
        <f>-IF(AND(Main[[#This Row],[مقدار (کیلوگرم)]]&lt;0,Main[[#This Row],[تاريخ میلادی]]&gt;44276),Main[[#This Row],[مقدار (کیلوگرم)]],0)</f>
        <v>2128</v>
      </c>
      <c r="N1497" s="6">
        <f ca="1">Main[[#This Row],[بدهکار (کیلوگرم)]]-Main[[#This Row],[بدهی تسویه نشده (کیلوگرم)]]</f>
        <v>2128</v>
      </c>
      <c r="O1497" s="6">
        <f ca="1">Main[[#This Row],[تفکیک]]</f>
        <v>0</v>
      </c>
      <c r="P1497" s="6">
        <f ca="1">IF(Main[[#This Row],[تاخیر از سررسید]]&gt;0,Main[[#This Row],[بدهی تسویه نشده (کیلوگرم)]],0)</f>
        <v>0</v>
      </c>
      <c r="Q1497" s="6">
        <f ca="1">IF(Main[[#This Row],[بدهی تسویه نشده (کیلوگرم)]]&gt;0,'گزارش فردی'!$B$7-Main[[#This Row],[تاريخ میلادی]],0)</f>
        <v>0</v>
      </c>
      <c r="R1497" s="6">
        <f ca="1">IF(Main[[#This Row],[بدهی تسویه نشده (کیلوگرم)]]&gt;0,'گزارش فردی'!$B$7-Main[[#This Row],[تاريخ میلادی]]-'گزارش فردی'!$B$8,0)</f>
        <v>0</v>
      </c>
      <c r="S1497" s="6">
        <f ca="1">Main[[#This Row],[روز از ارسال سفارش]]*Main[[#This Row],[بدهی تسویه نشده (کیلوگرم)]]</f>
        <v>0</v>
      </c>
      <c r="T1497" s="6">
        <f ca="1">Main[[#This Row],[بدهی سررسید شده (کیلوگرم)]]*Main[[#This Row],[روز از ارسال سفارش]]</f>
        <v>0</v>
      </c>
      <c r="U1497" s="6">
        <f>-SUBTOTAL(9,INDEX(Main[مقدار (کیلوگرم)],1):Main[[#This Row],[مقدار (کیلوگرم)]])</f>
        <v>34859</v>
      </c>
      <c r="V14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7" s="6">
        <f>Main[[#This Row],[تعداد کل روزهای بدهکار (روز)]]*Main[[#This Row],[مانده در خط کل (کیلوگرم)]]</f>
        <v>0</v>
      </c>
      <c r="X1497" s="6">
        <f ca="1">-SUBTOTAL(9,INDEX(Main[مقدار تسویه شده (کیلوگرم)],1):Main[[#This Row],[مقدار تسویه شده (کیلوگرم)]])</f>
        <v>34859</v>
      </c>
      <c r="Y1497" s="6">
        <f ca="1">IF(Main[[#This Row],[مانده در خط تسویه شده (کیلوگرم)]]&lt;&gt;0,Main[[#This Row],[تعداد کل روزهای بدهکار (روز)]],0)</f>
        <v>0</v>
      </c>
      <c r="Z1497" s="6">
        <f ca="1">Main[[#This Row],[تعداد روزهای بدهکار تسویه شده (روز)]]*Main[[#This Row],[مانده در خط تسویه شده (کیلوگرم)]]</f>
        <v>0</v>
      </c>
      <c r="AA1497" s="6">
        <f ca="1">SUBTOTAL(9,INDEX(Main[بدهی تسویه نشده (کیلوگرم)],1):Main[[#This Row],[بدهی تسویه نشده (کیلوگرم)]])</f>
        <v>0</v>
      </c>
      <c r="AB1497" s="6">
        <f ca="1">IF(Main[[#This Row],[مانده در خط تسویه نشده (کیلوگرم)]]&lt;&gt;0,Main[[#This Row],[تعداد کل روزهای بدهکار (روز)]],0)</f>
        <v>0</v>
      </c>
      <c r="AC1497" s="6">
        <f ca="1">Main[[#This Row],[تعداد روزهای بدهکار  تسویه نشده (روز)]]*Main[[#This Row],[مانده در خط تسویه نشده (کیلوگرم)]]</f>
        <v>0</v>
      </c>
      <c r="AD1497" s="6">
        <f ca="1">SUBTOTAL(9,INDEX(Main[بدهی سررسید شده (کیلوگرم)],1):Main[[#This Row],[بدهی سررسید شده (کیلوگرم)]])</f>
        <v>0</v>
      </c>
      <c r="AE1497" s="6">
        <f ca="1">IF(Main[[#This Row],[مانده در خط سررسید شده (کیلوگرم)]]&lt;&gt;0,Main[[#This Row],[تعداد کل روزهای بدهکار (روز)]],0)</f>
        <v>0</v>
      </c>
      <c r="AF1497" s="6">
        <f ca="1">Main[[#This Row],[تعداد روزهای بدهکار سررسید شده (روز)]]*Main[[#This Row],[مانده در خط سررسید شده (کیلوگرم)]]</f>
        <v>0</v>
      </c>
    </row>
    <row r="1498" spans="1:32" hidden="1" x14ac:dyDescent="0.35">
      <c r="A1498" s="5">
        <f>ROW()-ROW(INDEX(Main[ردیف],1))+1</f>
        <v>1496</v>
      </c>
      <c r="B1498" s="31">
        <f>SUBTOTAL(2,INDEX(Main[ردیف],1):Main[[#This Row],[ردیف]])</f>
        <v>133</v>
      </c>
      <c r="C1498" s="32" t="s">
        <v>660</v>
      </c>
      <c r="D1498" s="32" t="str">
        <f>_xlfn.CONCAT("14",Main[[#This Row],[تاريخ]])</f>
        <v>1400/06/13</v>
      </c>
      <c r="E1498" s="33">
        <v>44443</v>
      </c>
      <c r="F1498" s="32">
        <v>30191</v>
      </c>
      <c r="G1498" s="5" t="str">
        <f>INDEX(customer[عنوان],MATCH(Main[[#This Row],[کد ردیابی]],customer[کد],0))</f>
        <v>ایران گرما</v>
      </c>
      <c r="H1498">
        <v>50</v>
      </c>
      <c r="I1498" s="6">
        <f ca="1">-Main[[#This Row],[بدهی تسویه شده (کیلوگرم)]]+Main[[#This Row],[بستانکار (کیلوگرم)]]</f>
        <v>50</v>
      </c>
      <c r="J1498" s="6">
        <f>IF(Main[[#This Row],[مقدار (کیلوگرم)]]&gt;0,Main[[#This Row],[مقدار (کیلوگرم)]],0)</f>
        <v>50</v>
      </c>
      <c r="K1498" s="6">
        <f>-IF(Main[[#This Row],[مقدار (کیلوگرم)]]&lt;0,Main[[#This Row],[مقدار (کیلوگرم)]],0)</f>
        <v>0</v>
      </c>
      <c r="L14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8" s="7">
        <f>-IF(AND(Main[[#This Row],[مقدار (کیلوگرم)]]&lt;0,Main[[#This Row],[تاريخ میلادی]]&gt;44276),Main[[#This Row],[مقدار (کیلوگرم)]],0)</f>
        <v>0</v>
      </c>
      <c r="N1498" s="6">
        <f ca="1">Main[[#This Row],[بدهکار (کیلوگرم)]]-Main[[#This Row],[بدهی تسویه نشده (کیلوگرم)]]</f>
        <v>0</v>
      </c>
      <c r="O1498" s="6">
        <f ca="1">Main[[#This Row],[تفکیک]]</f>
        <v>0</v>
      </c>
      <c r="P1498" s="6">
        <f ca="1">IF(Main[[#This Row],[تاخیر از سررسید]]&gt;0,Main[[#This Row],[بدهی تسویه نشده (کیلوگرم)]],0)</f>
        <v>0</v>
      </c>
      <c r="Q1498" s="6">
        <f ca="1">IF(Main[[#This Row],[بدهی تسویه نشده (کیلوگرم)]]&gt;0,'گزارش فردی'!$B$7-Main[[#This Row],[تاريخ میلادی]],0)</f>
        <v>0</v>
      </c>
      <c r="R1498" s="6">
        <f ca="1">IF(Main[[#This Row],[بدهی تسویه نشده (کیلوگرم)]]&gt;0,'گزارش فردی'!$B$7-Main[[#This Row],[تاريخ میلادی]]-'گزارش فردی'!$B$8,0)</f>
        <v>0</v>
      </c>
      <c r="S1498" s="6">
        <f ca="1">Main[[#This Row],[روز از ارسال سفارش]]*Main[[#This Row],[بدهی تسویه نشده (کیلوگرم)]]</f>
        <v>0</v>
      </c>
      <c r="T1498" s="6">
        <f ca="1">Main[[#This Row],[بدهی سررسید شده (کیلوگرم)]]*Main[[#This Row],[روز از ارسال سفارش]]</f>
        <v>0</v>
      </c>
      <c r="U1498" s="6">
        <f>-SUBTOTAL(9,INDEX(Main[مقدار (کیلوگرم)],1):Main[[#This Row],[مقدار (کیلوگرم)]])</f>
        <v>34859</v>
      </c>
      <c r="V14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8" s="6">
        <f>Main[[#This Row],[تعداد کل روزهای بدهکار (روز)]]*Main[[#This Row],[مانده در خط کل (کیلوگرم)]]</f>
        <v>0</v>
      </c>
      <c r="X1498" s="6">
        <f ca="1">-SUBTOTAL(9,INDEX(Main[مقدار تسویه شده (کیلوگرم)],1):Main[[#This Row],[مقدار تسویه شده (کیلوگرم)]])</f>
        <v>34859</v>
      </c>
      <c r="Y1498" s="6">
        <f ca="1">IF(Main[[#This Row],[مانده در خط تسویه شده (کیلوگرم)]]&lt;&gt;0,Main[[#This Row],[تعداد کل روزهای بدهکار (روز)]],0)</f>
        <v>0</v>
      </c>
      <c r="Z1498" s="6">
        <f ca="1">Main[[#This Row],[تعداد روزهای بدهکار تسویه شده (روز)]]*Main[[#This Row],[مانده در خط تسویه شده (کیلوگرم)]]</f>
        <v>0</v>
      </c>
      <c r="AA1498" s="6">
        <f ca="1">SUBTOTAL(9,INDEX(Main[بدهی تسویه نشده (کیلوگرم)],1):Main[[#This Row],[بدهی تسویه نشده (کیلوگرم)]])</f>
        <v>0</v>
      </c>
      <c r="AB1498" s="6">
        <f ca="1">IF(Main[[#This Row],[مانده در خط تسویه نشده (کیلوگرم)]]&lt;&gt;0,Main[[#This Row],[تعداد کل روزهای بدهکار (روز)]],0)</f>
        <v>0</v>
      </c>
      <c r="AC1498" s="6">
        <f ca="1">Main[[#This Row],[تعداد روزهای بدهکار  تسویه نشده (روز)]]*Main[[#This Row],[مانده در خط تسویه نشده (کیلوگرم)]]</f>
        <v>0</v>
      </c>
      <c r="AD1498" s="6">
        <f ca="1">SUBTOTAL(9,INDEX(Main[بدهی سررسید شده (کیلوگرم)],1):Main[[#This Row],[بدهی سررسید شده (کیلوگرم)]])</f>
        <v>0</v>
      </c>
      <c r="AE1498" s="6">
        <f ca="1">IF(Main[[#This Row],[مانده در خط سررسید شده (کیلوگرم)]]&lt;&gt;0,Main[[#This Row],[تعداد کل روزهای بدهکار (روز)]],0)</f>
        <v>0</v>
      </c>
      <c r="AF1498" s="6">
        <f ca="1">Main[[#This Row],[تعداد روزهای بدهکار سررسید شده (روز)]]*Main[[#This Row],[مانده در خط سررسید شده (کیلوگرم)]]</f>
        <v>0</v>
      </c>
    </row>
    <row r="1499" spans="1:32" hidden="1" x14ac:dyDescent="0.35">
      <c r="A1499" s="5">
        <f>ROW()-ROW(INDEX(Main[ردیف],1))+1</f>
        <v>1497</v>
      </c>
      <c r="B1499" s="31">
        <f>SUBTOTAL(2,INDEX(Main[ردیف],1):Main[[#This Row],[ردیف]])</f>
        <v>133</v>
      </c>
      <c r="C1499" s="32" t="s">
        <v>660</v>
      </c>
      <c r="D1499" s="32" t="str">
        <f>_xlfn.CONCAT("14",Main[[#This Row],[تاريخ]])</f>
        <v>1400/06/13</v>
      </c>
      <c r="E1499" s="33">
        <v>44443</v>
      </c>
      <c r="F1499" s="32">
        <v>10069</v>
      </c>
      <c r="G1499" s="5" t="str">
        <f>INDEX(customer[عنوان],MATCH(Main[[#This Row],[کد ردیابی]],customer[کد],0))</f>
        <v xml:space="preserve">جواد عرب </v>
      </c>
      <c r="H1499">
        <v>816</v>
      </c>
      <c r="I1499" s="6">
        <f ca="1">-Main[[#This Row],[بدهی تسویه شده (کیلوگرم)]]+Main[[#This Row],[بستانکار (کیلوگرم)]]</f>
        <v>816</v>
      </c>
      <c r="J1499" s="6">
        <f>IF(Main[[#This Row],[مقدار (کیلوگرم)]]&gt;0,Main[[#This Row],[مقدار (کیلوگرم)]],0)</f>
        <v>816</v>
      </c>
      <c r="K1499" s="6">
        <f>-IF(Main[[#This Row],[مقدار (کیلوگرم)]]&lt;0,Main[[#This Row],[مقدار (کیلوگرم)]],0)</f>
        <v>0</v>
      </c>
      <c r="L14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9" s="7">
        <f>-IF(AND(Main[[#This Row],[مقدار (کیلوگرم)]]&lt;0,Main[[#This Row],[تاريخ میلادی]]&gt;44276),Main[[#This Row],[مقدار (کیلوگرم)]],0)</f>
        <v>0</v>
      </c>
      <c r="N1499" s="6">
        <f ca="1">Main[[#This Row],[بدهکار (کیلوگرم)]]-Main[[#This Row],[بدهی تسویه نشده (کیلوگرم)]]</f>
        <v>0</v>
      </c>
      <c r="O1499" s="6">
        <f ca="1">Main[[#This Row],[تفکیک]]</f>
        <v>0</v>
      </c>
      <c r="P1499" s="6">
        <f ca="1">IF(Main[[#This Row],[تاخیر از سررسید]]&gt;0,Main[[#This Row],[بدهی تسویه نشده (کیلوگرم)]],0)</f>
        <v>0</v>
      </c>
      <c r="Q1499" s="6">
        <f ca="1">IF(Main[[#This Row],[بدهی تسویه نشده (کیلوگرم)]]&gt;0,'گزارش فردی'!$B$7-Main[[#This Row],[تاريخ میلادی]],0)</f>
        <v>0</v>
      </c>
      <c r="R1499" s="6">
        <f ca="1">IF(Main[[#This Row],[بدهی تسویه نشده (کیلوگرم)]]&gt;0,'گزارش فردی'!$B$7-Main[[#This Row],[تاريخ میلادی]]-'گزارش فردی'!$B$8,0)</f>
        <v>0</v>
      </c>
      <c r="S1499" s="6">
        <f ca="1">Main[[#This Row],[روز از ارسال سفارش]]*Main[[#This Row],[بدهی تسویه نشده (کیلوگرم)]]</f>
        <v>0</v>
      </c>
      <c r="T1499" s="6">
        <f ca="1">Main[[#This Row],[بدهی سررسید شده (کیلوگرم)]]*Main[[#This Row],[روز از ارسال سفارش]]</f>
        <v>0</v>
      </c>
      <c r="U1499" s="6">
        <f>-SUBTOTAL(9,INDEX(Main[مقدار (کیلوگرم)],1):Main[[#This Row],[مقدار (کیلوگرم)]])</f>
        <v>34859</v>
      </c>
      <c r="V14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9" s="6">
        <f>Main[[#This Row],[تعداد کل روزهای بدهکار (روز)]]*Main[[#This Row],[مانده در خط کل (کیلوگرم)]]</f>
        <v>0</v>
      </c>
      <c r="X1499" s="6">
        <f ca="1">-SUBTOTAL(9,INDEX(Main[مقدار تسویه شده (کیلوگرم)],1):Main[[#This Row],[مقدار تسویه شده (کیلوگرم)]])</f>
        <v>34859</v>
      </c>
      <c r="Y1499" s="6">
        <f ca="1">IF(Main[[#This Row],[مانده در خط تسویه شده (کیلوگرم)]]&lt;&gt;0,Main[[#This Row],[تعداد کل روزهای بدهکار (روز)]],0)</f>
        <v>0</v>
      </c>
      <c r="Z1499" s="6">
        <f ca="1">Main[[#This Row],[تعداد روزهای بدهکار تسویه شده (روز)]]*Main[[#This Row],[مانده در خط تسویه شده (کیلوگرم)]]</f>
        <v>0</v>
      </c>
      <c r="AA1499" s="6">
        <f ca="1">SUBTOTAL(9,INDEX(Main[بدهی تسویه نشده (کیلوگرم)],1):Main[[#This Row],[بدهی تسویه نشده (کیلوگرم)]])</f>
        <v>0</v>
      </c>
      <c r="AB1499" s="6">
        <f ca="1">IF(Main[[#This Row],[مانده در خط تسویه نشده (کیلوگرم)]]&lt;&gt;0,Main[[#This Row],[تعداد کل روزهای بدهکار (روز)]],0)</f>
        <v>0</v>
      </c>
      <c r="AC1499" s="6">
        <f ca="1">Main[[#This Row],[تعداد روزهای بدهکار  تسویه نشده (روز)]]*Main[[#This Row],[مانده در خط تسویه نشده (کیلوگرم)]]</f>
        <v>0</v>
      </c>
      <c r="AD1499" s="6">
        <f ca="1">SUBTOTAL(9,INDEX(Main[بدهی سررسید شده (کیلوگرم)],1):Main[[#This Row],[بدهی سررسید شده (کیلوگرم)]])</f>
        <v>0</v>
      </c>
      <c r="AE1499" s="6">
        <f ca="1">IF(Main[[#This Row],[مانده در خط سررسید شده (کیلوگرم)]]&lt;&gt;0,Main[[#This Row],[تعداد کل روزهای بدهکار (روز)]],0)</f>
        <v>0</v>
      </c>
      <c r="AF1499" s="6">
        <f ca="1">Main[[#This Row],[تعداد روزهای بدهکار سررسید شده (روز)]]*Main[[#This Row],[مانده در خط سررسید شده (کیلوگرم)]]</f>
        <v>0</v>
      </c>
    </row>
    <row r="1500" spans="1:32" x14ac:dyDescent="0.35">
      <c r="A1500" s="5">
        <f>ROW()-ROW(INDEX(Main[ردیف],1))+1</f>
        <v>1498</v>
      </c>
      <c r="B1500" s="31">
        <f>SUBTOTAL(2,INDEX(Main[ردیف],1):Main[[#This Row],[ردیف]])</f>
        <v>134</v>
      </c>
      <c r="C1500" s="32" t="s">
        <v>660</v>
      </c>
      <c r="D1500" s="32" t="str">
        <f>_xlfn.CONCAT("14",Main[[#This Row],[تاريخ]])</f>
        <v>1400/06/13</v>
      </c>
      <c r="E1500" s="33">
        <v>44443</v>
      </c>
      <c r="F1500" s="32">
        <v>10003</v>
      </c>
      <c r="G1500" s="5" t="str">
        <f>INDEX(customer[عنوان],MATCH(Main[[#This Row],[کد ردیابی]],customer[کد],0))</f>
        <v>اصغر نورعلی</v>
      </c>
      <c r="H1500">
        <v>1824</v>
      </c>
      <c r="I1500" s="6">
        <f ca="1">-Main[[#This Row],[بدهی تسویه شده (کیلوگرم)]]+Main[[#This Row],[بستانکار (کیلوگرم)]]</f>
        <v>1824</v>
      </c>
      <c r="J1500" s="6">
        <f>IF(Main[[#This Row],[مقدار (کیلوگرم)]]&gt;0,Main[[#This Row],[مقدار (کیلوگرم)]],0)</f>
        <v>1824</v>
      </c>
      <c r="K1500" s="6">
        <f>-IF(Main[[#This Row],[مقدار (کیلوگرم)]]&lt;0,Main[[#This Row],[مقدار (کیلوگرم)]],0)</f>
        <v>0</v>
      </c>
      <c r="L15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0" s="7">
        <f>-IF(AND(Main[[#This Row],[مقدار (کیلوگرم)]]&lt;0,Main[[#This Row],[تاريخ میلادی]]&gt;44276),Main[[#This Row],[مقدار (کیلوگرم)]],0)</f>
        <v>0</v>
      </c>
      <c r="N1500" s="6">
        <f ca="1">Main[[#This Row],[بدهکار (کیلوگرم)]]-Main[[#This Row],[بدهی تسویه نشده (کیلوگرم)]]</f>
        <v>0</v>
      </c>
      <c r="O1500" s="6">
        <f ca="1">Main[[#This Row],[تفکیک]]</f>
        <v>0</v>
      </c>
      <c r="P1500" s="6">
        <f ca="1">IF(Main[[#This Row],[تاخیر از سررسید]]&gt;0,Main[[#This Row],[بدهی تسویه نشده (کیلوگرم)]],0)</f>
        <v>0</v>
      </c>
      <c r="Q1500" s="6">
        <f ca="1">IF(Main[[#This Row],[بدهی تسویه نشده (کیلوگرم)]]&gt;0,'گزارش فردی'!$B$7-Main[[#This Row],[تاريخ میلادی]],0)</f>
        <v>0</v>
      </c>
      <c r="R1500" s="6">
        <f ca="1">IF(Main[[#This Row],[بدهی تسویه نشده (کیلوگرم)]]&gt;0,'گزارش فردی'!$B$7-Main[[#This Row],[تاريخ میلادی]]-'گزارش فردی'!$B$8,0)</f>
        <v>0</v>
      </c>
      <c r="S1500" s="6">
        <f ca="1">Main[[#This Row],[روز از ارسال سفارش]]*Main[[#This Row],[بدهی تسویه نشده (کیلوگرم)]]</f>
        <v>0</v>
      </c>
      <c r="T1500" s="6">
        <f ca="1">Main[[#This Row],[بدهی سررسید شده (کیلوگرم)]]*Main[[#This Row],[روز از ارسال سفارش]]</f>
        <v>0</v>
      </c>
      <c r="U1500" s="6">
        <f>-SUBTOTAL(9,INDEX(Main[مقدار (کیلوگرم)],1):Main[[#This Row],[مقدار (کیلوگرم)]])</f>
        <v>33035</v>
      </c>
      <c r="V15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0" s="6">
        <f>Main[[#This Row],[تعداد کل روزهای بدهکار (روز)]]*Main[[#This Row],[مانده در خط کل (کیلوگرم)]]</f>
        <v>33035</v>
      </c>
      <c r="X1500" s="6">
        <f ca="1">-SUBTOTAL(9,INDEX(Main[مقدار تسویه شده (کیلوگرم)],1):Main[[#This Row],[مقدار تسویه شده (کیلوگرم)]])</f>
        <v>33035</v>
      </c>
      <c r="Y1500" s="6">
        <f ca="1">IF(Main[[#This Row],[مانده در خط تسویه شده (کیلوگرم)]]&lt;&gt;0,Main[[#This Row],[تعداد کل روزهای بدهکار (روز)]],0)</f>
        <v>1</v>
      </c>
      <c r="Z1500" s="6">
        <f ca="1">Main[[#This Row],[تعداد روزهای بدهکار تسویه شده (روز)]]*Main[[#This Row],[مانده در خط تسویه شده (کیلوگرم)]]</f>
        <v>33035</v>
      </c>
      <c r="AA1500" s="6">
        <f ca="1">SUBTOTAL(9,INDEX(Main[بدهی تسویه نشده (کیلوگرم)],1):Main[[#This Row],[بدهی تسویه نشده (کیلوگرم)]])</f>
        <v>0</v>
      </c>
      <c r="AB1500" s="6">
        <f ca="1">IF(Main[[#This Row],[مانده در خط تسویه نشده (کیلوگرم)]]&lt;&gt;0,Main[[#This Row],[تعداد کل روزهای بدهکار (روز)]],0)</f>
        <v>0</v>
      </c>
      <c r="AC1500" s="6">
        <f ca="1">Main[[#This Row],[تعداد روزهای بدهکار  تسویه نشده (روز)]]*Main[[#This Row],[مانده در خط تسویه نشده (کیلوگرم)]]</f>
        <v>0</v>
      </c>
      <c r="AD1500" s="6">
        <f ca="1">SUBTOTAL(9,INDEX(Main[بدهی سررسید شده (کیلوگرم)],1):Main[[#This Row],[بدهی سررسید شده (کیلوگرم)]])</f>
        <v>0</v>
      </c>
      <c r="AE1500" s="6">
        <f ca="1">IF(Main[[#This Row],[مانده در خط سررسید شده (کیلوگرم)]]&lt;&gt;0,Main[[#This Row],[تعداد کل روزهای بدهکار (روز)]],0)</f>
        <v>0</v>
      </c>
      <c r="AF1500" s="6">
        <f ca="1">Main[[#This Row],[تعداد روزهای بدهکار سررسید شده (روز)]]*Main[[#This Row],[مانده در خط سررسید شده (کیلوگرم)]]</f>
        <v>0</v>
      </c>
    </row>
    <row r="1501" spans="1:32" hidden="1" x14ac:dyDescent="0.35">
      <c r="A1501" s="5">
        <f>ROW()-ROW(INDEX(Main[ردیف],1))+1</f>
        <v>1499</v>
      </c>
      <c r="B1501" s="31">
        <f>SUBTOTAL(2,INDEX(Main[ردیف],1):Main[[#This Row],[ردیف]])</f>
        <v>134</v>
      </c>
      <c r="C1501" s="32" t="s">
        <v>660</v>
      </c>
      <c r="D1501" s="32" t="str">
        <f>_xlfn.CONCAT("14",Main[[#This Row],[تاريخ]])</f>
        <v>1400/06/13</v>
      </c>
      <c r="E1501" s="33">
        <v>44443</v>
      </c>
      <c r="F1501" s="32">
        <v>50011</v>
      </c>
      <c r="G1501" s="5" t="str">
        <f>INDEX(customer[عنوان],MATCH(Main[[#This Row],[کد ردیابی]],customer[کد],0))</f>
        <v xml:space="preserve">جعفر هوشمند </v>
      </c>
      <c r="H1501">
        <v>1891</v>
      </c>
      <c r="I1501" s="6">
        <f ca="1">-Main[[#This Row],[بدهی تسویه شده (کیلوگرم)]]+Main[[#This Row],[بستانکار (کیلوگرم)]]</f>
        <v>1891</v>
      </c>
      <c r="J1501" s="6">
        <f>IF(Main[[#This Row],[مقدار (کیلوگرم)]]&gt;0,Main[[#This Row],[مقدار (کیلوگرم)]],0)</f>
        <v>1891</v>
      </c>
      <c r="K1501" s="6">
        <f>-IF(Main[[#This Row],[مقدار (کیلوگرم)]]&lt;0,Main[[#This Row],[مقدار (کیلوگرم)]],0)</f>
        <v>0</v>
      </c>
      <c r="L15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1" s="7">
        <f>-IF(AND(Main[[#This Row],[مقدار (کیلوگرم)]]&lt;0,Main[[#This Row],[تاريخ میلادی]]&gt;44276),Main[[#This Row],[مقدار (کیلوگرم)]],0)</f>
        <v>0</v>
      </c>
      <c r="N1501" s="6">
        <f ca="1">Main[[#This Row],[بدهکار (کیلوگرم)]]-Main[[#This Row],[بدهی تسویه نشده (کیلوگرم)]]</f>
        <v>0</v>
      </c>
      <c r="O1501" s="6">
        <f ca="1">Main[[#This Row],[تفکیک]]</f>
        <v>0</v>
      </c>
      <c r="P1501" s="6">
        <f ca="1">IF(Main[[#This Row],[تاخیر از سررسید]]&gt;0,Main[[#This Row],[بدهی تسویه نشده (کیلوگرم)]],0)</f>
        <v>0</v>
      </c>
      <c r="Q1501" s="6">
        <f ca="1">IF(Main[[#This Row],[بدهی تسویه نشده (کیلوگرم)]]&gt;0,'گزارش فردی'!$B$7-Main[[#This Row],[تاريخ میلادی]],0)</f>
        <v>0</v>
      </c>
      <c r="R1501" s="6">
        <f ca="1">IF(Main[[#This Row],[بدهی تسویه نشده (کیلوگرم)]]&gt;0,'گزارش فردی'!$B$7-Main[[#This Row],[تاريخ میلادی]]-'گزارش فردی'!$B$8,0)</f>
        <v>0</v>
      </c>
      <c r="S1501" s="6">
        <f ca="1">Main[[#This Row],[روز از ارسال سفارش]]*Main[[#This Row],[بدهی تسویه نشده (کیلوگرم)]]</f>
        <v>0</v>
      </c>
      <c r="T1501" s="6">
        <f ca="1">Main[[#This Row],[بدهی سررسید شده (کیلوگرم)]]*Main[[#This Row],[روز از ارسال سفارش]]</f>
        <v>0</v>
      </c>
      <c r="U1501" s="6">
        <f>-SUBTOTAL(9,INDEX(Main[مقدار (کیلوگرم)],1):Main[[#This Row],[مقدار (کیلوگرم)]])</f>
        <v>33035</v>
      </c>
      <c r="V15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1" s="6">
        <f>Main[[#This Row],[تعداد کل روزهای بدهکار (روز)]]*Main[[#This Row],[مانده در خط کل (کیلوگرم)]]</f>
        <v>33035</v>
      </c>
      <c r="X1501" s="6">
        <f ca="1">-SUBTOTAL(9,INDEX(Main[مقدار تسویه شده (کیلوگرم)],1):Main[[#This Row],[مقدار تسویه شده (کیلوگرم)]])</f>
        <v>33035</v>
      </c>
      <c r="Y1501" s="6">
        <f ca="1">IF(Main[[#This Row],[مانده در خط تسویه شده (کیلوگرم)]]&lt;&gt;0,Main[[#This Row],[تعداد کل روزهای بدهکار (روز)]],0)</f>
        <v>1</v>
      </c>
      <c r="Z1501" s="6">
        <f ca="1">Main[[#This Row],[تعداد روزهای بدهکار تسویه شده (روز)]]*Main[[#This Row],[مانده در خط تسویه شده (کیلوگرم)]]</f>
        <v>33035</v>
      </c>
      <c r="AA1501" s="6">
        <f ca="1">SUBTOTAL(9,INDEX(Main[بدهی تسویه نشده (کیلوگرم)],1):Main[[#This Row],[بدهی تسویه نشده (کیلوگرم)]])</f>
        <v>0</v>
      </c>
      <c r="AB1501" s="6">
        <f ca="1">IF(Main[[#This Row],[مانده در خط تسویه نشده (کیلوگرم)]]&lt;&gt;0,Main[[#This Row],[تعداد کل روزهای بدهکار (روز)]],0)</f>
        <v>0</v>
      </c>
      <c r="AC1501" s="6">
        <f ca="1">Main[[#This Row],[تعداد روزهای بدهکار  تسویه نشده (روز)]]*Main[[#This Row],[مانده در خط تسویه نشده (کیلوگرم)]]</f>
        <v>0</v>
      </c>
      <c r="AD1501" s="6">
        <f ca="1">SUBTOTAL(9,INDEX(Main[بدهی سررسید شده (کیلوگرم)],1):Main[[#This Row],[بدهی سررسید شده (کیلوگرم)]])</f>
        <v>0</v>
      </c>
      <c r="AE1501" s="6">
        <f ca="1">IF(Main[[#This Row],[مانده در خط سررسید شده (کیلوگرم)]]&lt;&gt;0,Main[[#This Row],[تعداد کل روزهای بدهکار (روز)]],0)</f>
        <v>0</v>
      </c>
      <c r="AF1501" s="6">
        <f ca="1">Main[[#This Row],[تعداد روزهای بدهکار سررسید شده (روز)]]*Main[[#This Row],[مانده در خط سررسید شده (کیلوگرم)]]</f>
        <v>0</v>
      </c>
    </row>
    <row r="1502" spans="1:32" hidden="1" x14ac:dyDescent="0.35">
      <c r="A1502" s="5">
        <f>ROW()-ROW(INDEX(Main[ردیف],1))+1</f>
        <v>1500</v>
      </c>
      <c r="B1502" s="31">
        <f>SUBTOTAL(2,INDEX(Main[ردیف],1):Main[[#This Row],[ردیف]])</f>
        <v>134</v>
      </c>
      <c r="C1502" s="32" t="s">
        <v>660</v>
      </c>
      <c r="D1502" s="32" t="str">
        <f>_xlfn.CONCAT("14",Main[[#This Row],[تاريخ]])</f>
        <v>1400/06/13</v>
      </c>
      <c r="E1502" s="33">
        <v>44443</v>
      </c>
      <c r="F1502" s="32">
        <v>10128</v>
      </c>
      <c r="G1502" s="5" t="str">
        <f>INDEX(customer[عنوان],MATCH(Main[[#This Row],[کد ردیابی]],customer[کد],0))</f>
        <v xml:space="preserve">رویا اصلانی </v>
      </c>
      <c r="H1502">
        <v>28</v>
      </c>
      <c r="I1502" s="6">
        <f ca="1">-Main[[#This Row],[بدهی تسویه شده (کیلوگرم)]]+Main[[#This Row],[بستانکار (کیلوگرم)]]</f>
        <v>28</v>
      </c>
      <c r="J1502" s="6">
        <f>IF(Main[[#This Row],[مقدار (کیلوگرم)]]&gt;0,Main[[#This Row],[مقدار (کیلوگرم)]],0)</f>
        <v>28</v>
      </c>
      <c r="K1502" s="6">
        <f>-IF(Main[[#This Row],[مقدار (کیلوگرم)]]&lt;0,Main[[#This Row],[مقدار (کیلوگرم)]],0)</f>
        <v>0</v>
      </c>
      <c r="L15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2" s="7">
        <f>-IF(AND(Main[[#This Row],[مقدار (کیلوگرم)]]&lt;0,Main[[#This Row],[تاريخ میلادی]]&gt;44276),Main[[#This Row],[مقدار (کیلوگرم)]],0)</f>
        <v>0</v>
      </c>
      <c r="N1502" s="6">
        <f ca="1">Main[[#This Row],[بدهکار (کیلوگرم)]]-Main[[#This Row],[بدهی تسویه نشده (کیلوگرم)]]</f>
        <v>0</v>
      </c>
      <c r="O1502" s="6">
        <f ca="1">Main[[#This Row],[تفکیک]]</f>
        <v>0</v>
      </c>
      <c r="P1502" s="6">
        <f ca="1">IF(Main[[#This Row],[تاخیر از سررسید]]&gt;0,Main[[#This Row],[بدهی تسویه نشده (کیلوگرم)]],0)</f>
        <v>0</v>
      </c>
      <c r="Q1502" s="6">
        <f ca="1">IF(Main[[#This Row],[بدهی تسویه نشده (کیلوگرم)]]&gt;0,'گزارش فردی'!$B$7-Main[[#This Row],[تاريخ میلادی]],0)</f>
        <v>0</v>
      </c>
      <c r="R1502" s="6">
        <f ca="1">IF(Main[[#This Row],[بدهی تسویه نشده (کیلوگرم)]]&gt;0,'گزارش فردی'!$B$7-Main[[#This Row],[تاريخ میلادی]]-'گزارش فردی'!$B$8,0)</f>
        <v>0</v>
      </c>
      <c r="S1502" s="6">
        <f ca="1">Main[[#This Row],[روز از ارسال سفارش]]*Main[[#This Row],[بدهی تسویه نشده (کیلوگرم)]]</f>
        <v>0</v>
      </c>
      <c r="T1502" s="6">
        <f ca="1">Main[[#This Row],[بدهی سررسید شده (کیلوگرم)]]*Main[[#This Row],[روز از ارسال سفارش]]</f>
        <v>0</v>
      </c>
      <c r="U1502" s="6">
        <f>-SUBTOTAL(9,INDEX(Main[مقدار (کیلوگرم)],1):Main[[#This Row],[مقدار (کیلوگرم)]])</f>
        <v>33035</v>
      </c>
      <c r="V15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2" s="6">
        <f>Main[[#This Row],[تعداد کل روزهای بدهکار (روز)]]*Main[[#This Row],[مانده در خط کل (کیلوگرم)]]</f>
        <v>33035</v>
      </c>
      <c r="X1502" s="6">
        <f ca="1">-SUBTOTAL(9,INDEX(Main[مقدار تسویه شده (کیلوگرم)],1):Main[[#This Row],[مقدار تسویه شده (کیلوگرم)]])</f>
        <v>33035</v>
      </c>
      <c r="Y1502" s="6">
        <f ca="1">IF(Main[[#This Row],[مانده در خط تسویه شده (کیلوگرم)]]&lt;&gt;0,Main[[#This Row],[تعداد کل روزهای بدهکار (روز)]],0)</f>
        <v>1</v>
      </c>
      <c r="Z1502" s="6">
        <f ca="1">Main[[#This Row],[تعداد روزهای بدهکار تسویه شده (روز)]]*Main[[#This Row],[مانده در خط تسویه شده (کیلوگرم)]]</f>
        <v>33035</v>
      </c>
      <c r="AA1502" s="6">
        <f ca="1">SUBTOTAL(9,INDEX(Main[بدهی تسویه نشده (کیلوگرم)],1):Main[[#This Row],[بدهی تسویه نشده (کیلوگرم)]])</f>
        <v>0</v>
      </c>
      <c r="AB1502" s="6">
        <f ca="1">IF(Main[[#This Row],[مانده در خط تسویه نشده (کیلوگرم)]]&lt;&gt;0,Main[[#This Row],[تعداد کل روزهای بدهکار (روز)]],0)</f>
        <v>0</v>
      </c>
      <c r="AC1502" s="6">
        <f ca="1">Main[[#This Row],[تعداد روزهای بدهکار  تسویه نشده (روز)]]*Main[[#This Row],[مانده در خط تسویه نشده (کیلوگرم)]]</f>
        <v>0</v>
      </c>
      <c r="AD1502" s="6">
        <f ca="1">SUBTOTAL(9,INDEX(Main[بدهی سررسید شده (کیلوگرم)],1):Main[[#This Row],[بدهی سررسید شده (کیلوگرم)]])</f>
        <v>0</v>
      </c>
      <c r="AE1502" s="6">
        <f ca="1">IF(Main[[#This Row],[مانده در خط سررسید شده (کیلوگرم)]]&lt;&gt;0,Main[[#This Row],[تعداد کل روزهای بدهکار (روز)]],0)</f>
        <v>0</v>
      </c>
      <c r="AF1502" s="6">
        <f ca="1">Main[[#This Row],[تعداد روزهای بدهکار سررسید شده (روز)]]*Main[[#This Row],[مانده در خط سررسید شده (کیلوگرم)]]</f>
        <v>0</v>
      </c>
    </row>
    <row r="1503" spans="1:32" hidden="1" x14ac:dyDescent="0.35">
      <c r="A1503" s="5">
        <f>ROW()-ROW(INDEX(Main[ردیف],1))+1</f>
        <v>1501</v>
      </c>
      <c r="B1503" s="31">
        <f>SUBTOTAL(2,INDEX(Main[ردیف],1):Main[[#This Row],[ردیف]])</f>
        <v>134</v>
      </c>
      <c r="C1503" s="32" t="s">
        <v>660</v>
      </c>
      <c r="D1503" s="32" t="str">
        <f>_xlfn.CONCAT("14",Main[[#This Row],[تاريخ]])</f>
        <v>1400/06/13</v>
      </c>
      <c r="E1503" s="33">
        <v>44443</v>
      </c>
      <c r="F1503" s="32">
        <v>10128</v>
      </c>
      <c r="G1503" s="5" t="str">
        <f>INDEX(customer[عنوان],MATCH(Main[[#This Row],[کد ردیابی]],customer[کد],0))</f>
        <v xml:space="preserve">رویا اصلانی </v>
      </c>
      <c r="H1503">
        <v>122</v>
      </c>
      <c r="I1503" s="6">
        <f ca="1">-Main[[#This Row],[بدهی تسویه شده (کیلوگرم)]]+Main[[#This Row],[بستانکار (کیلوگرم)]]</f>
        <v>122</v>
      </c>
      <c r="J1503" s="6">
        <f>IF(Main[[#This Row],[مقدار (کیلوگرم)]]&gt;0,Main[[#This Row],[مقدار (کیلوگرم)]],0)</f>
        <v>122</v>
      </c>
      <c r="K1503" s="6">
        <f>-IF(Main[[#This Row],[مقدار (کیلوگرم)]]&lt;0,Main[[#This Row],[مقدار (کیلوگرم)]],0)</f>
        <v>0</v>
      </c>
      <c r="L15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3" s="7">
        <f>-IF(AND(Main[[#This Row],[مقدار (کیلوگرم)]]&lt;0,Main[[#This Row],[تاريخ میلادی]]&gt;44276),Main[[#This Row],[مقدار (کیلوگرم)]],0)</f>
        <v>0</v>
      </c>
      <c r="N1503" s="6">
        <f ca="1">Main[[#This Row],[بدهکار (کیلوگرم)]]-Main[[#This Row],[بدهی تسویه نشده (کیلوگرم)]]</f>
        <v>0</v>
      </c>
      <c r="O1503" s="6">
        <f ca="1">Main[[#This Row],[تفکیک]]</f>
        <v>0</v>
      </c>
      <c r="P1503" s="6">
        <f ca="1">IF(Main[[#This Row],[تاخیر از سررسید]]&gt;0,Main[[#This Row],[بدهی تسویه نشده (کیلوگرم)]],0)</f>
        <v>0</v>
      </c>
      <c r="Q1503" s="6">
        <f ca="1">IF(Main[[#This Row],[بدهی تسویه نشده (کیلوگرم)]]&gt;0,'گزارش فردی'!$B$7-Main[[#This Row],[تاريخ میلادی]],0)</f>
        <v>0</v>
      </c>
      <c r="R1503" s="6">
        <f ca="1">IF(Main[[#This Row],[بدهی تسویه نشده (کیلوگرم)]]&gt;0,'گزارش فردی'!$B$7-Main[[#This Row],[تاريخ میلادی]]-'گزارش فردی'!$B$8,0)</f>
        <v>0</v>
      </c>
      <c r="S1503" s="6">
        <f ca="1">Main[[#This Row],[روز از ارسال سفارش]]*Main[[#This Row],[بدهی تسویه نشده (کیلوگرم)]]</f>
        <v>0</v>
      </c>
      <c r="T1503" s="6">
        <f ca="1">Main[[#This Row],[بدهی سررسید شده (کیلوگرم)]]*Main[[#This Row],[روز از ارسال سفارش]]</f>
        <v>0</v>
      </c>
      <c r="U1503" s="6">
        <f>-SUBTOTAL(9,INDEX(Main[مقدار (کیلوگرم)],1):Main[[#This Row],[مقدار (کیلوگرم)]])</f>
        <v>33035</v>
      </c>
      <c r="V15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3" s="6">
        <f>Main[[#This Row],[تعداد کل روزهای بدهکار (روز)]]*Main[[#This Row],[مانده در خط کل (کیلوگرم)]]</f>
        <v>33035</v>
      </c>
      <c r="X1503" s="6">
        <f ca="1">-SUBTOTAL(9,INDEX(Main[مقدار تسویه شده (کیلوگرم)],1):Main[[#This Row],[مقدار تسویه شده (کیلوگرم)]])</f>
        <v>33035</v>
      </c>
      <c r="Y1503" s="6">
        <f ca="1">IF(Main[[#This Row],[مانده در خط تسویه شده (کیلوگرم)]]&lt;&gt;0,Main[[#This Row],[تعداد کل روزهای بدهکار (روز)]],0)</f>
        <v>1</v>
      </c>
      <c r="Z1503" s="6">
        <f ca="1">Main[[#This Row],[تعداد روزهای بدهکار تسویه شده (روز)]]*Main[[#This Row],[مانده در خط تسویه شده (کیلوگرم)]]</f>
        <v>33035</v>
      </c>
      <c r="AA1503" s="6">
        <f ca="1">SUBTOTAL(9,INDEX(Main[بدهی تسویه نشده (کیلوگرم)],1):Main[[#This Row],[بدهی تسویه نشده (کیلوگرم)]])</f>
        <v>0</v>
      </c>
      <c r="AB1503" s="6">
        <f ca="1">IF(Main[[#This Row],[مانده در خط تسویه نشده (کیلوگرم)]]&lt;&gt;0,Main[[#This Row],[تعداد کل روزهای بدهکار (روز)]],0)</f>
        <v>0</v>
      </c>
      <c r="AC1503" s="6">
        <f ca="1">Main[[#This Row],[تعداد روزهای بدهکار  تسویه نشده (روز)]]*Main[[#This Row],[مانده در خط تسویه نشده (کیلوگرم)]]</f>
        <v>0</v>
      </c>
      <c r="AD1503" s="6">
        <f ca="1">SUBTOTAL(9,INDEX(Main[بدهی سررسید شده (کیلوگرم)],1):Main[[#This Row],[بدهی سررسید شده (کیلوگرم)]])</f>
        <v>0</v>
      </c>
      <c r="AE1503" s="6">
        <f ca="1">IF(Main[[#This Row],[مانده در خط سررسید شده (کیلوگرم)]]&lt;&gt;0,Main[[#This Row],[تعداد کل روزهای بدهکار (روز)]],0)</f>
        <v>0</v>
      </c>
      <c r="AF1503" s="6">
        <f ca="1">Main[[#This Row],[تعداد روزهای بدهکار سررسید شده (روز)]]*Main[[#This Row],[مانده در خط سررسید شده (کیلوگرم)]]</f>
        <v>0</v>
      </c>
    </row>
    <row r="1504" spans="1:32" hidden="1" x14ac:dyDescent="0.35">
      <c r="A1504" s="5">
        <f>ROW()-ROW(INDEX(Main[ردیف],1))+1</f>
        <v>1502</v>
      </c>
      <c r="B1504" s="31">
        <f>SUBTOTAL(2,INDEX(Main[ردیف],1):Main[[#This Row],[ردیف]])</f>
        <v>134</v>
      </c>
      <c r="C1504" s="32" t="s">
        <v>662</v>
      </c>
      <c r="D1504" s="32" t="str">
        <f>_xlfn.CONCAT("14",Main[[#This Row],[تاريخ]])</f>
        <v>1400/06/14</v>
      </c>
      <c r="E1504" s="33">
        <v>44444</v>
      </c>
      <c r="F1504" s="32">
        <v>30009</v>
      </c>
      <c r="G1504" s="5" t="str">
        <f>INDEX(customer[عنوان],MATCH(Main[[#This Row],[کد ردیابی]],customer[کد],0))</f>
        <v>شرکت ایمن تک پیشرو</v>
      </c>
      <c r="H1504">
        <v>-1493</v>
      </c>
      <c r="I1504" s="6">
        <f ca="1">-Main[[#This Row],[بدهی تسویه شده (کیلوگرم)]]+Main[[#This Row],[بستانکار (کیلوگرم)]]</f>
        <v>-1493</v>
      </c>
      <c r="J1504" s="6">
        <f>IF(Main[[#This Row],[مقدار (کیلوگرم)]]&gt;0,Main[[#This Row],[مقدار (کیلوگرم)]],0)</f>
        <v>0</v>
      </c>
      <c r="K1504" s="6">
        <f>-IF(Main[[#This Row],[مقدار (کیلوگرم)]]&lt;0,Main[[#This Row],[مقدار (کیلوگرم)]],0)</f>
        <v>1493</v>
      </c>
      <c r="L15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4" s="7">
        <f>-IF(AND(Main[[#This Row],[مقدار (کیلوگرم)]]&lt;0,Main[[#This Row],[تاريخ میلادی]]&gt;44276),Main[[#This Row],[مقدار (کیلوگرم)]],0)</f>
        <v>1493</v>
      </c>
      <c r="N1504" s="6">
        <f ca="1">Main[[#This Row],[بدهکار (کیلوگرم)]]-Main[[#This Row],[بدهی تسویه نشده (کیلوگرم)]]</f>
        <v>1493</v>
      </c>
      <c r="O1504" s="6">
        <f ca="1">Main[[#This Row],[تفکیک]]</f>
        <v>0</v>
      </c>
      <c r="P1504" s="6">
        <f ca="1">IF(Main[[#This Row],[تاخیر از سررسید]]&gt;0,Main[[#This Row],[بدهی تسویه نشده (کیلوگرم)]],0)</f>
        <v>0</v>
      </c>
      <c r="Q1504" s="6">
        <f ca="1">IF(Main[[#This Row],[بدهی تسویه نشده (کیلوگرم)]]&gt;0,'گزارش فردی'!$B$7-Main[[#This Row],[تاريخ میلادی]],0)</f>
        <v>0</v>
      </c>
      <c r="R1504" s="6">
        <f ca="1">IF(Main[[#This Row],[بدهی تسویه نشده (کیلوگرم)]]&gt;0,'گزارش فردی'!$B$7-Main[[#This Row],[تاريخ میلادی]]-'گزارش فردی'!$B$8,0)</f>
        <v>0</v>
      </c>
      <c r="S1504" s="6">
        <f ca="1">Main[[#This Row],[روز از ارسال سفارش]]*Main[[#This Row],[بدهی تسویه نشده (کیلوگرم)]]</f>
        <v>0</v>
      </c>
      <c r="T1504" s="6">
        <f ca="1">Main[[#This Row],[بدهی سررسید شده (کیلوگرم)]]*Main[[#This Row],[روز از ارسال سفارش]]</f>
        <v>0</v>
      </c>
      <c r="U1504" s="6">
        <f>-SUBTOTAL(9,INDEX(Main[مقدار (کیلوگرم)],1):Main[[#This Row],[مقدار (کیلوگرم)]])</f>
        <v>33035</v>
      </c>
      <c r="V15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4" s="6">
        <f>Main[[#This Row],[تعداد کل روزهای بدهکار (روز)]]*Main[[#This Row],[مانده در خط کل (کیلوگرم)]]</f>
        <v>0</v>
      </c>
      <c r="X1504" s="6">
        <f ca="1">-SUBTOTAL(9,INDEX(Main[مقدار تسویه شده (کیلوگرم)],1):Main[[#This Row],[مقدار تسویه شده (کیلوگرم)]])</f>
        <v>33035</v>
      </c>
      <c r="Y1504" s="6">
        <f ca="1">IF(Main[[#This Row],[مانده در خط تسویه شده (کیلوگرم)]]&lt;&gt;0,Main[[#This Row],[تعداد کل روزهای بدهکار (روز)]],0)</f>
        <v>0</v>
      </c>
      <c r="Z1504" s="6">
        <f ca="1">Main[[#This Row],[تعداد روزهای بدهکار تسویه شده (روز)]]*Main[[#This Row],[مانده در خط تسویه شده (کیلوگرم)]]</f>
        <v>0</v>
      </c>
      <c r="AA1504" s="6">
        <f ca="1">SUBTOTAL(9,INDEX(Main[بدهی تسویه نشده (کیلوگرم)],1):Main[[#This Row],[بدهی تسویه نشده (کیلوگرم)]])</f>
        <v>0</v>
      </c>
      <c r="AB1504" s="6">
        <f ca="1">IF(Main[[#This Row],[مانده در خط تسویه نشده (کیلوگرم)]]&lt;&gt;0,Main[[#This Row],[تعداد کل روزهای بدهکار (روز)]],0)</f>
        <v>0</v>
      </c>
      <c r="AC1504" s="6">
        <f ca="1">Main[[#This Row],[تعداد روزهای بدهکار  تسویه نشده (روز)]]*Main[[#This Row],[مانده در خط تسویه نشده (کیلوگرم)]]</f>
        <v>0</v>
      </c>
      <c r="AD1504" s="6">
        <f ca="1">SUBTOTAL(9,INDEX(Main[بدهی سررسید شده (کیلوگرم)],1):Main[[#This Row],[بدهی سررسید شده (کیلوگرم)]])</f>
        <v>0</v>
      </c>
      <c r="AE1504" s="6">
        <f ca="1">IF(Main[[#This Row],[مانده در خط سررسید شده (کیلوگرم)]]&lt;&gt;0,Main[[#This Row],[تعداد کل روزهای بدهکار (روز)]],0)</f>
        <v>0</v>
      </c>
      <c r="AF1504" s="6">
        <f ca="1">Main[[#This Row],[تعداد روزهای بدهکار سررسید شده (روز)]]*Main[[#This Row],[مانده در خط سررسید شده (کیلوگرم)]]</f>
        <v>0</v>
      </c>
    </row>
    <row r="1505" spans="1:32" hidden="1" x14ac:dyDescent="0.35">
      <c r="A1505" s="5">
        <f>ROW()-ROW(INDEX(Main[ردیف],1))+1</f>
        <v>1503</v>
      </c>
      <c r="B1505" s="31">
        <f>SUBTOTAL(2,INDEX(Main[ردیف],1):Main[[#This Row],[ردیف]])</f>
        <v>134</v>
      </c>
      <c r="C1505" s="32" t="s">
        <v>662</v>
      </c>
      <c r="D1505" s="32" t="str">
        <f>_xlfn.CONCAT("14",Main[[#This Row],[تاريخ]])</f>
        <v>1400/06/14</v>
      </c>
      <c r="E1505" s="33">
        <v>44444</v>
      </c>
      <c r="F1505" s="32">
        <v>30127</v>
      </c>
      <c r="G1505" s="5" t="str">
        <f>INDEX(customer[عنوان],MATCH(Main[[#This Row],[کد ردیابی]],customer[کد],0))</f>
        <v>شیر گاز آذران</v>
      </c>
      <c r="H1505">
        <v>13620</v>
      </c>
      <c r="I1505" s="6">
        <f ca="1">-Main[[#This Row],[بدهی تسویه شده (کیلوگرم)]]+Main[[#This Row],[بستانکار (کیلوگرم)]]</f>
        <v>13620</v>
      </c>
      <c r="J1505" s="6">
        <f>IF(Main[[#This Row],[مقدار (کیلوگرم)]]&gt;0,Main[[#This Row],[مقدار (کیلوگرم)]],0)</f>
        <v>13620</v>
      </c>
      <c r="K1505" s="6">
        <f>-IF(Main[[#This Row],[مقدار (کیلوگرم)]]&lt;0,Main[[#This Row],[مقدار (کیلوگرم)]],0)</f>
        <v>0</v>
      </c>
      <c r="L15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5" s="7">
        <f>-IF(AND(Main[[#This Row],[مقدار (کیلوگرم)]]&lt;0,Main[[#This Row],[تاريخ میلادی]]&gt;44276),Main[[#This Row],[مقدار (کیلوگرم)]],0)</f>
        <v>0</v>
      </c>
      <c r="N1505" s="6">
        <f ca="1">Main[[#This Row],[بدهکار (کیلوگرم)]]-Main[[#This Row],[بدهی تسویه نشده (کیلوگرم)]]</f>
        <v>0</v>
      </c>
      <c r="O1505" s="6">
        <f ca="1">Main[[#This Row],[تفکیک]]</f>
        <v>0</v>
      </c>
      <c r="P1505" s="6">
        <f ca="1">IF(Main[[#This Row],[تاخیر از سررسید]]&gt;0,Main[[#This Row],[بدهی تسویه نشده (کیلوگرم)]],0)</f>
        <v>0</v>
      </c>
      <c r="Q1505" s="6">
        <f ca="1">IF(Main[[#This Row],[بدهی تسویه نشده (کیلوگرم)]]&gt;0,'گزارش فردی'!$B$7-Main[[#This Row],[تاريخ میلادی]],0)</f>
        <v>0</v>
      </c>
      <c r="R1505" s="6">
        <f ca="1">IF(Main[[#This Row],[بدهی تسویه نشده (کیلوگرم)]]&gt;0,'گزارش فردی'!$B$7-Main[[#This Row],[تاريخ میلادی]]-'گزارش فردی'!$B$8,0)</f>
        <v>0</v>
      </c>
      <c r="S1505" s="6">
        <f ca="1">Main[[#This Row],[روز از ارسال سفارش]]*Main[[#This Row],[بدهی تسویه نشده (کیلوگرم)]]</f>
        <v>0</v>
      </c>
      <c r="T1505" s="6">
        <f ca="1">Main[[#This Row],[بدهی سررسید شده (کیلوگرم)]]*Main[[#This Row],[روز از ارسال سفارش]]</f>
        <v>0</v>
      </c>
      <c r="U1505" s="6">
        <f>-SUBTOTAL(9,INDEX(Main[مقدار (کیلوگرم)],1):Main[[#This Row],[مقدار (کیلوگرم)]])</f>
        <v>33035</v>
      </c>
      <c r="V15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5" s="6">
        <f>Main[[#This Row],[تعداد کل روزهای بدهکار (روز)]]*Main[[#This Row],[مانده در خط کل (کیلوگرم)]]</f>
        <v>0</v>
      </c>
      <c r="X1505" s="6">
        <f ca="1">-SUBTOTAL(9,INDEX(Main[مقدار تسویه شده (کیلوگرم)],1):Main[[#This Row],[مقدار تسویه شده (کیلوگرم)]])</f>
        <v>33035</v>
      </c>
      <c r="Y1505" s="6">
        <f ca="1">IF(Main[[#This Row],[مانده در خط تسویه شده (کیلوگرم)]]&lt;&gt;0,Main[[#This Row],[تعداد کل روزهای بدهکار (روز)]],0)</f>
        <v>0</v>
      </c>
      <c r="Z1505" s="6">
        <f ca="1">Main[[#This Row],[تعداد روزهای بدهکار تسویه شده (روز)]]*Main[[#This Row],[مانده در خط تسویه شده (کیلوگرم)]]</f>
        <v>0</v>
      </c>
      <c r="AA1505" s="6">
        <f ca="1">SUBTOTAL(9,INDEX(Main[بدهی تسویه نشده (کیلوگرم)],1):Main[[#This Row],[بدهی تسویه نشده (کیلوگرم)]])</f>
        <v>0</v>
      </c>
      <c r="AB1505" s="6">
        <f ca="1">IF(Main[[#This Row],[مانده در خط تسویه نشده (کیلوگرم)]]&lt;&gt;0,Main[[#This Row],[تعداد کل روزهای بدهکار (روز)]],0)</f>
        <v>0</v>
      </c>
      <c r="AC1505" s="6">
        <f ca="1">Main[[#This Row],[تعداد روزهای بدهکار  تسویه نشده (روز)]]*Main[[#This Row],[مانده در خط تسویه نشده (کیلوگرم)]]</f>
        <v>0</v>
      </c>
      <c r="AD1505" s="6">
        <f ca="1">SUBTOTAL(9,INDEX(Main[بدهی سررسید شده (کیلوگرم)],1):Main[[#This Row],[بدهی سررسید شده (کیلوگرم)]])</f>
        <v>0</v>
      </c>
      <c r="AE1505" s="6">
        <f ca="1">IF(Main[[#This Row],[مانده در خط سررسید شده (کیلوگرم)]]&lt;&gt;0,Main[[#This Row],[تعداد کل روزهای بدهکار (روز)]],0)</f>
        <v>0</v>
      </c>
      <c r="AF1505" s="6">
        <f ca="1">Main[[#This Row],[تعداد روزهای بدهکار سررسید شده (روز)]]*Main[[#This Row],[مانده در خط سررسید شده (کیلوگرم)]]</f>
        <v>0</v>
      </c>
    </row>
    <row r="1506" spans="1:32" hidden="1" x14ac:dyDescent="0.35">
      <c r="A1506" s="5">
        <f>ROW()-ROW(INDEX(Main[ردیف],1))+1</f>
        <v>1504</v>
      </c>
      <c r="B1506" s="31">
        <f>SUBTOTAL(2,INDEX(Main[ردیف],1):Main[[#This Row],[ردیف]])</f>
        <v>134</v>
      </c>
      <c r="C1506" s="32" t="s">
        <v>662</v>
      </c>
      <c r="D1506" s="32" t="str">
        <f>_xlfn.CONCAT("14",Main[[#This Row],[تاريخ]])</f>
        <v>1400/06/14</v>
      </c>
      <c r="E1506" s="33">
        <v>44444</v>
      </c>
      <c r="F1506" s="32">
        <v>30127</v>
      </c>
      <c r="G1506" s="5" t="str">
        <f>INDEX(customer[عنوان],MATCH(Main[[#This Row],[کد ردیابی]],customer[کد],0))</f>
        <v>شیر گاز آذران</v>
      </c>
      <c r="H1506">
        <v>-15650</v>
      </c>
      <c r="I1506" s="6">
        <f ca="1">-Main[[#This Row],[بدهی تسویه شده (کیلوگرم)]]+Main[[#This Row],[بستانکار (کیلوگرم)]]</f>
        <v>-15650</v>
      </c>
      <c r="J1506" s="6">
        <f>IF(Main[[#This Row],[مقدار (کیلوگرم)]]&gt;0,Main[[#This Row],[مقدار (کیلوگرم)]],0)</f>
        <v>0</v>
      </c>
      <c r="K1506" s="6">
        <f>-IF(Main[[#This Row],[مقدار (کیلوگرم)]]&lt;0,Main[[#This Row],[مقدار (کیلوگرم)]],0)</f>
        <v>15650</v>
      </c>
      <c r="L15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6" s="7">
        <f>-IF(AND(Main[[#This Row],[مقدار (کیلوگرم)]]&lt;0,Main[[#This Row],[تاريخ میلادی]]&gt;44276),Main[[#This Row],[مقدار (کیلوگرم)]],0)</f>
        <v>15650</v>
      </c>
      <c r="N1506" s="6">
        <f ca="1">Main[[#This Row],[بدهکار (کیلوگرم)]]-Main[[#This Row],[بدهی تسویه نشده (کیلوگرم)]]</f>
        <v>15650</v>
      </c>
      <c r="O1506" s="6">
        <f ca="1">Main[[#This Row],[تفکیک]]</f>
        <v>0</v>
      </c>
      <c r="P1506" s="6">
        <f ca="1">IF(Main[[#This Row],[تاخیر از سررسید]]&gt;0,Main[[#This Row],[بدهی تسویه نشده (کیلوگرم)]],0)</f>
        <v>0</v>
      </c>
      <c r="Q1506" s="6">
        <f ca="1">IF(Main[[#This Row],[بدهی تسویه نشده (کیلوگرم)]]&gt;0,'گزارش فردی'!$B$7-Main[[#This Row],[تاريخ میلادی]],0)</f>
        <v>0</v>
      </c>
      <c r="R1506" s="6">
        <f ca="1">IF(Main[[#This Row],[بدهی تسویه نشده (کیلوگرم)]]&gt;0,'گزارش فردی'!$B$7-Main[[#This Row],[تاريخ میلادی]]-'گزارش فردی'!$B$8,0)</f>
        <v>0</v>
      </c>
      <c r="S1506" s="6">
        <f ca="1">Main[[#This Row],[روز از ارسال سفارش]]*Main[[#This Row],[بدهی تسویه نشده (کیلوگرم)]]</f>
        <v>0</v>
      </c>
      <c r="T1506" s="6">
        <f ca="1">Main[[#This Row],[بدهی سررسید شده (کیلوگرم)]]*Main[[#This Row],[روز از ارسال سفارش]]</f>
        <v>0</v>
      </c>
      <c r="U1506" s="6">
        <f>-SUBTOTAL(9,INDEX(Main[مقدار (کیلوگرم)],1):Main[[#This Row],[مقدار (کیلوگرم)]])</f>
        <v>33035</v>
      </c>
      <c r="V15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6" s="6">
        <f>Main[[#This Row],[تعداد کل روزهای بدهکار (روز)]]*Main[[#This Row],[مانده در خط کل (کیلوگرم)]]</f>
        <v>0</v>
      </c>
      <c r="X1506" s="6">
        <f ca="1">-SUBTOTAL(9,INDEX(Main[مقدار تسویه شده (کیلوگرم)],1):Main[[#This Row],[مقدار تسویه شده (کیلوگرم)]])</f>
        <v>33035</v>
      </c>
      <c r="Y1506" s="6">
        <f ca="1">IF(Main[[#This Row],[مانده در خط تسویه شده (کیلوگرم)]]&lt;&gt;0,Main[[#This Row],[تعداد کل روزهای بدهکار (روز)]],0)</f>
        <v>0</v>
      </c>
      <c r="Z1506" s="6">
        <f ca="1">Main[[#This Row],[تعداد روزهای بدهکار تسویه شده (روز)]]*Main[[#This Row],[مانده در خط تسویه شده (کیلوگرم)]]</f>
        <v>0</v>
      </c>
      <c r="AA1506" s="6">
        <f ca="1">SUBTOTAL(9,INDEX(Main[بدهی تسویه نشده (کیلوگرم)],1):Main[[#This Row],[بدهی تسویه نشده (کیلوگرم)]])</f>
        <v>0</v>
      </c>
      <c r="AB1506" s="6">
        <f ca="1">IF(Main[[#This Row],[مانده در خط تسویه نشده (کیلوگرم)]]&lt;&gt;0,Main[[#This Row],[تعداد کل روزهای بدهکار (روز)]],0)</f>
        <v>0</v>
      </c>
      <c r="AC1506" s="6">
        <f ca="1">Main[[#This Row],[تعداد روزهای بدهکار  تسویه نشده (روز)]]*Main[[#This Row],[مانده در خط تسویه نشده (کیلوگرم)]]</f>
        <v>0</v>
      </c>
      <c r="AD1506" s="6">
        <f ca="1">SUBTOTAL(9,INDEX(Main[بدهی سررسید شده (کیلوگرم)],1):Main[[#This Row],[بدهی سررسید شده (کیلوگرم)]])</f>
        <v>0</v>
      </c>
      <c r="AE1506" s="6">
        <f ca="1">IF(Main[[#This Row],[مانده در خط سررسید شده (کیلوگرم)]]&lt;&gt;0,Main[[#This Row],[تعداد کل روزهای بدهکار (روز)]],0)</f>
        <v>0</v>
      </c>
      <c r="AF1506" s="6">
        <f ca="1">Main[[#This Row],[تعداد روزهای بدهکار سررسید شده (روز)]]*Main[[#This Row],[مانده در خط سررسید شده (کیلوگرم)]]</f>
        <v>0</v>
      </c>
    </row>
    <row r="1507" spans="1:32" hidden="1" x14ac:dyDescent="0.35">
      <c r="A1507" s="5">
        <f>ROW()-ROW(INDEX(Main[ردیف],1))+1</f>
        <v>1505</v>
      </c>
      <c r="B1507" s="31">
        <f>SUBTOTAL(2,INDEX(Main[ردیف],1):Main[[#This Row],[ردیف]])</f>
        <v>134</v>
      </c>
      <c r="C1507" s="32" t="s">
        <v>662</v>
      </c>
      <c r="D1507" s="32" t="str">
        <f>_xlfn.CONCAT("14",Main[[#This Row],[تاريخ]])</f>
        <v>1400/06/14</v>
      </c>
      <c r="E1507" s="33">
        <v>44444</v>
      </c>
      <c r="F1507" s="32">
        <v>10026</v>
      </c>
      <c r="G1507" s="5" t="str">
        <f>INDEX(customer[عنوان],MATCH(Main[[#This Row],[کد ردیابی]],customer[کد],0))</f>
        <v xml:space="preserve">محسن فیاض بخش </v>
      </c>
      <c r="H1507">
        <v>2814</v>
      </c>
      <c r="I1507" s="6">
        <f ca="1">-Main[[#This Row],[بدهی تسویه شده (کیلوگرم)]]+Main[[#This Row],[بستانکار (کیلوگرم)]]</f>
        <v>2814</v>
      </c>
      <c r="J1507" s="6">
        <f>IF(Main[[#This Row],[مقدار (کیلوگرم)]]&gt;0,Main[[#This Row],[مقدار (کیلوگرم)]],0)</f>
        <v>2814</v>
      </c>
      <c r="K1507" s="6">
        <f>-IF(Main[[#This Row],[مقدار (کیلوگرم)]]&lt;0,Main[[#This Row],[مقدار (کیلوگرم)]],0)</f>
        <v>0</v>
      </c>
      <c r="L15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7" s="7">
        <f>-IF(AND(Main[[#This Row],[مقدار (کیلوگرم)]]&lt;0,Main[[#This Row],[تاريخ میلادی]]&gt;44276),Main[[#This Row],[مقدار (کیلوگرم)]],0)</f>
        <v>0</v>
      </c>
      <c r="N1507" s="6">
        <f ca="1">Main[[#This Row],[بدهکار (کیلوگرم)]]-Main[[#This Row],[بدهی تسویه نشده (کیلوگرم)]]</f>
        <v>0</v>
      </c>
      <c r="O1507" s="6">
        <f ca="1">Main[[#This Row],[تفکیک]]</f>
        <v>0</v>
      </c>
      <c r="P1507" s="6">
        <f ca="1">IF(Main[[#This Row],[تاخیر از سررسید]]&gt;0,Main[[#This Row],[بدهی تسویه نشده (کیلوگرم)]],0)</f>
        <v>0</v>
      </c>
      <c r="Q1507" s="6">
        <f ca="1">IF(Main[[#This Row],[بدهی تسویه نشده (کیلوگرم)]]&gt;0,'گزارش فردی'!$B$7-Main[[#This Row],[تاريخ میلادی]],0)</f>
        <v>0</v>
      </c>
      <c r="R1507" s="6">
        <f ca="1">IF(Main[[#This Row],[بدهی تسویه نشده (کیلوگرم)]]&gt;0,'گزارش فردی'!$B$7-Main[[#This Row],[تاريخ میلادی]]-'گزارش فردی'!$B$8,0)</f>
        <v>0</v>
      </c>
      <c r="S1507" s="6">
        <f ca="1">Main[[#This Row],[روز از ارسال سفارش]]*Main[[#This Row],[بدهی تسویه نشده (کیلوگرم)]]</f>
        <v>0</v>
      </c>
      <c r="T1507" s="6">
        <f ca="1">Main[[#This Row],[بدهی سررسید شده (کیلوگرم)]]*Main[[#This Row],[روز از ارسال سفارش]]</f>
        <v>0</v>
      </c>
      <c r="U1507" s="6">
        <f>-SUBTOTAL(9,INDEX(Main[مقدار (کیلوگرم)],1):Main[[#This Row],[مقدار (کیلوگرم)]])</f>
        <v>33035</v>
      </c>
      <c r="V15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7" s="6">
        <f>Main[[#This Row],[تعداد کل روزهای بدهکار (روز)]]*Main[[#This Row],[مانده در خط کل (کیلوگرم)]]</f>
        <v>0</v>
      </c>
      <c r="X1507" s="6">
        <f ca="1">-SUBTOTAL(9,INDEX(Main[مقدار تسویه شده (کیلوگرم)],1):Main[[#This Row],[مقدار تسویه شده (کیلوگرم)]])</f>
        <v>33035</v>
      </c>
      <c r="Y1507" s="6">
        <f ca="1">IF(Main[[#This Row],[مانده در خط تسویه شده (کیلوگرم)]]&lt;&gt;0,Main[[#This Row],[تعداد کل روزهای بدهکار (روز)]],0)</f>
        <v>0</v>
      </c>
      <c r="Z1507" s="6">
        <f ca="1">Main[[#This Row],[تعداد روزهای بدهکار تسویه شده (روز)]]*Main[[#This Row],[مانده در خط تسویه شده (کیلوگرم)]]</f>
        <v>0</v>
      </c>
      <c r="AA1507" s="6">
        <f ca="1">SUBTOTAL(9,INDEX(Main[بدهی تسویه نشده (کیلوگرم)],1):Main[[#This Row],[بدهی تسویه نشده (کیلوگرم)]])</f>
        <v>0</v>
      </c>
      <c r="AB1507" s="6">
        <f ca="1">IF(Main[[#This Row],[مانده در خط تسویه نشده (کیلوگرم)]]&lt;&gt;0,Main[[#This Row],[تعداد کل روزهای بدهکار (روز)]],0)</f>
        <v>0</v>
      </c>
      <c r="AC1507" s="6">
        <f ca="1">Main[[#This Row],[تعداد روزهای بدهکار  تسویه نشده (روز)]]*Main[[#This Row],[مانده در خط تسویه نشده (کیلوگرم)]]</f>
        <v>0</v>
      </c>
      <c r="AD1507" s="6">
        <f ca="1">SUBTOTAL(9,INDEX(Main[بدهی سررسید شده (کیلوگرم)],1):Main[[#This Row],[بدهی سررسید شده (کیلوگرم)]])</f>
        <v>0</v>
      </c>
      <c r="AE1507" s="6">
        <f ca="1">IF(Main[[#This Row],[مانده در خط سررسید شده (کیلوگرم)]]&lt;&gt;0,Main[[#This Row],[تعداد کل روزهای بدهکار (روز)]],0)</f>
        <v>0</v>
      </c>
      <c r="AF1507" s="6">
        <f ca="1">Main[[#This Row],[تعداد روزهای بدهکار سررسید شده (روز)]]*Main[[#This Row],[مانده در خط سررسید شده (کیلوگرم)]]</f>
        <v>0</v>
      </c>
    </row>
    <row r="1508" spans="1:32" hidden="1" x14ac:dyDescent="0.35">
      <c r="A1508" s="5">
        <f>ROW()-ROW(INDEX(Main[ردیف],1))+1</f>
        <v>1506</v>
      </c>
      <c r="B1508" s="31">
        <f>SUBTOTAL(2,INDEX(Main[ردیف],1):Main[[#This Row],[ردیف]])</f>
        <v>134</v>
      </c>
      <c r="C1508" s="32" t="s">
        <v>662</v>
      </c>
      <c r="D1508" s="32" t="str">
        <f>_xlfn.CONCAT("14",Main[[#This Row],[تاريخ]])</f>
        <v>1400/06/14</v>
      </c>
      <c r="E1508" s="33">
        <v>44444</v>
      </c>
      <c r="F1508" s="32">
        <v>30155</v>
      </c>
      <c r="G1508" s="5" t="str">
        <f>INDEX(customer[عنوان],MATCH(Main[[#This Row],[کد ردیابی]],customer[کد],0))</f>
        <v>سری تراشی طاهری</v>
      </c>
      <c r="H1508">
        <v>-3000</v>
      </c>
      <c r="I1508" s="6">
        <f ca="1">-Main[[#This Row],[بدهی تسویه شده (کیلوگرم)]]+Main[[#This Row],[بستانکار (کیلوگرم)]]</f>
        <v>-3000</v>
      </c>
      <c r="J1508" s="6">
        <f>IF(Main[[#This Row],[مقدار (کیلوگرم)]]&gt;0,Main[[#This Row],[مقدار (کیلوگرم)]],0)</f>
        <v>0</v>
      </c>
      <c r="K1508" s="6">
        <f>-IF(Main[[#This Row],[مقدار (کیلوگرم)]]&lt;0,Main[[#This Row],[مقدار (کیلوگرم)]],0)</f>
        <v>3000</v>
      </c>
      <c r="L15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8" s="7">
        <f>-IF(AND(Main[[#This Row],[مقدار (کیلوگرم)]]&lt;0,Main[[#This Row],[تاريخ میلادی]]&gt;44276),Main[[#This Row],[مقدار (کیلوگرم)]],0)</f>
        <v>3000</v>
      </c>
      <c r="N1508" s="6">
        <f ca="1">Main[[#This Row],[بدهکار (کیلوگرم)]]-Main[[#This Row],[بدهی تسویه نشده (کیلوگرم)]]</f>
        <v>3000</v>
      </c>
      <c r="O1508" s="6">
        <f ca="1">Main[[#This Row],[تفکیک]]</f>
        <v>0</v>
      </c>
      <c r="P1508" s="6">
        <f ca="1">IF(Main[[#This Row],[تاخیر از سررسید]]&gt;0,Main[[#This Row],[بدهی تسویه نشده (کیلوگرم)]],0)</f>
        <v>0</v>
      </c>
      <c r="Q1508" s="6">
        <f ca="1">IF(Main[[#This Row],[بدهی تسویه نشده (کیلوگرم)]]&gt;0,'گزارش فردی'!$B$7-Main[[#This Row],[تاريخ میلادی]],0)</f>
        <v>0</v>
      </c>
      <c r="R1508" s="6">
        <f ca="1">IF(Main[[#This Row],[بدهی تسویه نشده (کیلوگرم)]]&gt;0,'گزارش فردی'!$B$7-Main[[#This Row],[تاريخ میلادی]]-'گزارش فردی'!$B$8,0)</f>
        <v>0</v>
      </c>
      <c r="S1508" s="6">
        <f ca="1">Main[[#This Row],[روز از ارسال سفارش]]*Main[[#This Row],[بدهی تسویه نشده (کیلوگرم)]]</f>
        <v>0</v>
      </c>
      <c r="T1508" s="6">
        <f ca="1">Main[[#This Row],[بدهی سررسید شده (کیلوگرم)]]*Main[[#This Row],[روز از ارسال سفارش]]</f>
        <v>0</v>
      </c>
      <c r="U1508" s="6">
        <f>-SUBTOTAL(9,INDEX(Main[مقدار (کیلوگرم)],1):Main[[#This Row],[مقدار (کیلوگرم)]])</f>
        <v>33035</v>
      </c>
      <c r="V15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8" s="6">
        <f>Main[[#This Row],[تعداد کل روزهای بدهکار (روز)]]*Main[[#This Row],[مانده در خط کل (کیلوگرم)]]</f>
        <v>0</v>
      </c>
      <c r="X1508" s="6">
        <f ca="1">-SUBTOTAL(9,INDEX(Main[مقدار تسویه شده (کیلوگرم)],1):Main[[#This Row],[مقدار تسویه شده (کیلوگرم)]])</f>
        <v>33035</v>
      </c>
      <c r="Y1508" s="6">
        <f ca="1">IF(Main[[#This Row],[مانده در خط تسویه شده (کیلوگرم)]]&lt;&gt;0,Main[[#This Row],[تعداد کل روزهای بدهکار (روز)]],0)</f>
        <v>0</v>
      </c>
      <c r="Z1508" s="6">
        <f ca="1">Main[[#This Row],[تعداد روزهای بدهکار تسویه شده (روز)]]*Main[[#This Row],[مانده در خط تسویه شده (کیلوگرم)]]</f>
        <v>0</v>
      </c>
      <c r="AA1508" s="6">
        <f ca="1">SUBTOTAL(9,INDEX(Main[بدهی تسویه نشده (کیلوگرم)],1):Main[[#This Row],[بدهی تسویه نشده (کیلوگرم)]])</f>
        <v>0</v>
      </c>
      <c r="AB1508" s="6">
        <f ca="1">IF(Main[[#This Row],[مانده در خط تسویه نشده (کیلوگرم)]]&lt;&gt;0,Main[[#This Row],[تعداد کل روزهای بدهکار (روز)]],0)</f>
        <v>0</v>
      </c>
      <c r="AC1508" s="6">
        <f ca="1">Main[[#This Row],[تعداد روزهای بدهکار  تسویه نشده (روز)]]*Main[[#This Row],[مانده در خط تسویه نشده (کیلوگرم)]]</f>
        <v>0</v>
      </c>
      <c r="AD1508" s="6">
        <f ca="1">SUBTOTAL(9,INDEX(Main[بدهی سررسید شده (کیلوگرم)],1):Main[[#This Row],[بدهی سررسید شده (کیلوگرم)]])</f>
        <v>0</v>
      </c>
      <c r="AE1508" s="6">
        <f ca="1">IF(Main[[#This Row],[مانده در خط سررسید شده (کیلوگرم)]]&lt;&gt;0,Main[[#This Row],[تعداد کل روزهای بدهکار (روز)]],0)</f>
        <v>0</v>
      </c>
      <c r="AF1508" s="6">
        <f ca="1">Main[[#This Row],[تعداد روزهای بدهکار سررسید شده (روز)]]*Main[[#This Row],[مانده در خط سررسید شده (کیلوگرم)]]</f>
        <v>0</v>
      </c>
    </row>
    <row r="1509" spans="1:32" hidden="1" x14ac:dyDescent="0.35">
      <c r="A1509" s="5">
        <f>ROW()-ROW(INDEX(Main[ردیف],1))+1</f>
        <v>1507</v>
      </c>
      <c r="B1509" s="31">
        <f>SUBTOTAL(2,INDEX(Main[ردیف],1):Main[[#This Row],[ردیف]])</f>
        <v>134</v>
      </c>
      <c r="C1509" s="32" t="s">
        <v>662</v>
      </c>
      <c r="D1509" s="32" t="str">
        <f>_xlfn.CONCAT("14",Main[[#This Row],[تاريخ]])</f>
        <v>1400/06/14</v>
      </c>
      <c r="E1509" s="33">
        <v>44444</v>
      </c>
      <c r="F1509" s="32">
        <v>30009</v>
      </c>
      <c r="G1509" s="5" t="str">
        <f>INDEX(customer[عنوان],MATCH(Main[[#This Row],[کد ردیابی]],customer[کد],0))</f>
        <v>شرکت ایمن تک پیشرو</v>
      </c>
      <c r="H1509">
        <v>1859</v>
      </c>
      <c r="I1509" s="6">
        <f ca="1">-Main[[#This Row],[بدهی تسویه شده (کیلوگرم)]]+Main[[#This Row],[بستانکار (کیلوگرم)]]</f>
        <v>1859</v>
      </c>
      <c r="J1509" s="6">
        <f>IF(Main[[#This Row],[مقدار (کیلوگرم)]]&gt;0,Main[[#This Row],[مقدار (کیلوگرم)]],0)</f>
        <v>1859</v>
      </c>
      <c r="K1509" s="6">
        <f>-IF(Main[[#This Row],[مقدار (کیلوگرم)]]&lt;0,Main[[#This Row],[مقدار (کیلوگرم)]],0)</f>
        <v>0</v>
      </c>
      <c r="L15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9" s="7">
        <f>-IF(AND(Main[[#This Row],[مقدار (کیلوگرم)]]&lt;0,Main[[#This Row],[تاريخ میلادی]]&gt;44276),Main[[#This Row],[مقدار (کیلوگرم)]],0)</f>
        <v>0</v>
      </c>
      <c r="N1509" s="6">
        <f ca="1">Main[[#This Row],[بدهکار (کیلوگرم)]]-Main[[#This Row],[بدهی تسویه نشده (کیلوگرم)]]</f>
        <v>0</v>
      </c>
      <c r="O1509" s="6">
        <f ca="1">Main[[#This Row],[تفکیک]]</f>
        <v>0</v>
      </c>
      <c r="P1509" s="6">
        <f ca="1">IF(Main[[#This Row],[تاخیر از سررسید]]&gt;0,Main[[#This Row],[بدهی تسویه نشده (کیلوگرم)]],0)</f>
        <v>0</v>
      </c>
      <c r="Q1509" s="6">
        <f ca="1">IF(Main[[#This Row],[بدهی تسویه نشده (کیلوگرم)]]&gt;0,'گزارش فردی'!$B$7-Main[[#This Row],[تاريخ میلادی]],0)</f>
        <v>0</v>
      </c>
      <c r="R1509" s="6">
        <f ca="1">IF(Main[[#This Row],[بدهی تسویه نشده (کیلوگرم)]]&gt;0,'گزارش فردی'!$B$7-Main[[#This Row],[تاريخ میلادی]]-'گزارش فردی'!$B$8,0)</f>
        <v>0</v>
      </c>
      <c r="S1509" s="6">
        <f ca="1">Main[[#This Row],[روز از ارسال سفارش]]*Main[[#This Row],[بدهی تسویه نشده (کیلوگرم)]]</f>
        <v>0</v>
      </c>
      <c r="T1509" s="6">
        <f ca="1">Main[[#This Row],[بدهی سررسید شده (کیلوگرم)]]*Main[[#This Row],[روز از ارسال سفارش]]</f>
        <v>0</v>
      </c>
      <c r="U1509" s="6">
        <f>-SUBTOTAL(9,INDEX(Main[مقدار (کیلوگرم)],1):Main[[#This Row],[مقدار (کیلوگرم)]])</f>
        <v>33035</v>
      </c>
      <c r="V15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9" s="6">
        <f>Main[[#This Row],[تعداد کل روزهای بدهکار (روز)]]*Main[[#This Row],[مانده در خط کل (کیلوگرم)]]</f>
        <v>0</v>
      </c>
      <c r="X1509" s="6">
        <f ca="1">-SUBTOTAL(9,INDEX(Main[مقدار تسویه شده (کیلوگرم)],1):Main[[#This Row],[مقدار تسویه شده (کیلوگرم)]])</f>
        <v>33035</v>
      </c>
      <c r="Y1509" s="6">
        <f ca="1">IF(Main[[#This Row],[مانده در خط تسویه شده (کیلوگرم)]]&lt;&gt;0,Main[[#This Row],[تعداد کل روزهای بدهکار (روز)]],0)</f>
        <v>0</v>
      </c>
      <c r="Z1509" s="6">
        <f ca="1">Main[[#This Row],[تعداد روزهای بدهکار تسویه شده (روز)]]*Main[[#This Row],[مانده در خط تسویه شده (کیلوگرم)]]</f>
        <v>0</v>
      </c>
      <c r="AA1509" s="6">
        <f ca="1">SUBTOTAL(9,INDEX(Main[بدهی تسویه نشده (کیلوگرم)],1):Main[[#This Row],[بدهی تسویه نشده (کیلوگرم)]])</f>
        <v>0</v>
      </c>
      <c r="AB1509" s="6">
        <f ca="1">IF(Main[[#This Row],[مانده در خط تسویه نشده (کیلوگرم)]]&lt;&gt;0,Main[[#This Row],[تعداد کل روزهای بدهکار (روز)]],0)</f>
        <v>0</v>
      </c>
      <c r="AC1509" s="6">
        <f ca="1">Main[[#This Row],[تعداد روزهای بدهکار  تسویه نشده (روز)]]*Main[[#This Row],[مانده در خط تسویه نشده (کیلوگرم)]]</f>
        <v>0</v>
      </c>
      <c r="AD1509" s="6">
        <f ca="1">SUBTOTAL(9,INDEX(Main[بدهی سررسید شده (کیلوگرم)],1):Main[[#This Row],[بدهی سررسید شده (کیلوگرم)]])</f>
        <v>0</v>
      </c>
      <c r="AE1509" s="6">
        <f ca="1">IF(Main[[#This Row],[مانده در خط سررسید شده (کیلوگرم)]]&lt;&gt;0,Main[[#This Row],[تعداد کل روزهای بدهکار (روز)]],0)</f>
        <v>0</v>
      </c>
      <c r="AF1509" s="6">
        <f ca="1">Main[[#This Row],[تعداد روزهای بدهکار سررسید شده (روز)]]*Main[[#This Row],[مانده در خط سررسید شده (کیلوگرم)]]</f>
        <v>0</v>
      </c>
    </row>
    <row r="1510" spans="1:32" hidden="1" x14ac:dyDescent="0.35">
      <c r="A1510" s="5">
        <f>ROW()-ROW(INDEX(Main[ردیف],1))+1</f>
        <v>1508</v>
      </c>
      <c r="B1510" s="31">
        <f>SUBTOTAL(2,INDEX(Main[ردیف],1):Main[[#This Row],[ردیف]])</f>
        <v>134</v>
      </c>
      <c r="C1510" s="32" t="s">
        <v>662</v>
      </c>
      <c r="D1510" s="32" t="str">
        <f>_xlfn.CONCAT("14",Main[[#This Row],[تاريخ]])</f>
        <v>1400/06/14</v>
      </c>
      <c r="E1510" s="33">
        <v>44444</v>
      </c>
      <c r="F1510" s="32">
        <v>30032</v>
      </c>
      <c r="G1510" s="5" t="str">
        <f>INDEX(customer[عنوان],MATCH(Main[[#This Row],[کد ردیابی]],customer[کد],0))</f>
        <v xml:space="preserve">گاز خودرو صنعت </v>
      </c>
      <c r="H1510">
        <v>-178</v>
      </c>
      <c r="I1510" s="6">
        <f ca="1">-Main[[#This Row],[بدهی تسویه شده (کیلوگرم)]]+Main[[#This Row],[بستانکار (کیلوگرم)]]</f>
        <v>-178</v>
      </c>
      <c r="J1510" s="6">
        <f>IF(Main[[#This Row],[مقدار (کیلوگرم)]]&gt;0,Main[[#This Row],[مقدار (کیلوگرم)]],0)</f>
        <v>0</v>
      </c>
      <c r="K1510" s="6">
        <f>-IF(Main[[#This Row],[مقدار (کیلوگرم)]]&lt;0,Main[[#This Row],[مقدار (کیلوگرم)]],0)</f>
        <v>178</v>
      </c>
      <c r="L15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0" s="7">
        <f>-IF(AND(Main[[#This Row],[مقدار (کیلوگرم)]]&lt;0,Main[[#This Row],[تاريخ میلادی]]&gt;44276),Main[[#This Row],[مقدار (کیلوگرم)]],0)</f>
        <v>178</v>
      </c>
      <c r="N1510" s="6">
        <f ca="1">Main[[#This Row],[بدهکار (کیلوگرم)]]-Main[[#This Row],[بدهی تسویه نشده (کیلوگرم)]]</f>
        <v>178</v>
      </c>
      <c r="O1510" s="6">
        <f ca="1">Main[[#This Row],[تفکیک]]</f>
        <v>0</v>
      </c>
      <c r="P1510" s="6">
        <f ca="1">IF(Main[[#This Row],[تاخیر از سررسید]]&gt;0,Main[[#This Row],[بدهی تسویه نشده (کیلوگرم)]],0)</f>
        <v>0</v>
      </c>
      <c r="Q1510" s="6">
        <f ca="1">IF(Main[[#This Row],[بدهی تسویه نشده (کیلوگرم)]]&gt;0,'گزارش فردی'!$B$7-Main[[#This Row],[تاريخ میلادی]],0)</f>
        <v>0</v>
      </c>
      <c r="R1510" s="6">
        <f ca="1">IF(Main[[#This Row],[بدهی تسویه نشده (کیلوگرم)]]&gt;0,'گزارش فردی'!$B$7-Main[[#This Row],[تاريخ میلادی]]-'گزارش فردی'!$B$8,0)</f>
        <v>0</v>
      </c>
      <c r="S1510" s="6">
        <f ca="1">Main[[#This Row],[روز از ارسال سفارش]]*Main[[#This Row],[بدهی تسویه نشده (کیلوگرم)]]</f>
        <v>0</v>
      </c>
      <c r="T1510" s="6">
        <f ca="1">Main[[#This Row],[بدهی سررسید شده (کیلوگرم)]]*Main[[#This Row],[روز از ارسال سفارش]]</f>
        <v>0</v>
      </c>
      <c r="U1510" s="6">
        <f>-SUBTOTAL(9,INDEX(Main[مقدار (کیلوگرم)],1):Main[[#This Row],[مقدار (کیلوگرم)]])</f>
        <v>33035</v>
      </c>
      <c r="V15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0" s="6">
        <f>Main[[#This Row],[تعداد کل روزهای بدهکار (روز)]]*Main[[#This Row],[مانده در خط کل (کیلوگرم)]]</f>
        <v>0</v>
      </c>
      <c r="X1510" s="6">
        <f ca="1">-SUBTOTAL(9,INDEX(Main[مقدار تسویه شده (کیلوگرم)],1):Main[[#This Row],[مقدار تسویه شده (کیلوگرم)]])</f>
        <v>33035</v>
      </c>
      <c r="Y1510" s="6">
        <f ca="1">IF(Main[[#This Row],[مانده در خط تسویه شده (کیلوگرم)]]&lt;&gt;0,Main[[#This Row],[تعداد کل روزهای بدهکار (روز)]],0)</f>
        <v>0</v>
      </c>
      <c r="Z1510" s="6">
        <f ca="1">Main[[#This Row],[تعداد روزهای بدهکار تسویه شده (روز)]]*Main[[#This Row],[مانده در خط تسویه شده (کیلوگرم)]]</f>
        <v>0</v>
      </c>
      <c r="AA1510" s="6">
        <f ca="1">SUBTOTAL(9,INDEX(Main[بدهی تسویه نشده (کیلوگرم)],1):Main[[#This Row],[بدهی تسویه نشده (کیلوگرم)]])</f>
        <v>0</v>
      </c>
      <c r="AB1510" s="6">
        <f ca="1">IF(Main[[#This Row],[مانده در خط تسویه نشده (کیلوگرم)]]&lt;&gt;0,Main[[#This Row],[تعداد کل روزهای بدهکار (روز)]],0)</f>
        <v>0</v>
      </c>
      <c r="AC1510" s="6">
        <f ca="1">Main[[#This Row],[تعداد روزهای بدهکار  تسویه نشده (روز)]]*Main[[#This Row],[مانده در خط تسویه نشده (کیلوگرم)]]</f>
        <v>0</v>
      </c>
      <c r="AD1510" s="6">
        <f ca="1">SUBTOTAL(9,INDEX(Main[بدهی سررسید شده (کیلوگرم)],1):Main[[#This Row],[بدهی سررسید شده (کیلوگرم)]])</f>
        <v>0</v>
      </c>
      <c r="AE1510" s="6">
        <f ca="1">IF(Main[[#This Row],[مانده در خط سررسید شده (کیلوگرم)]]&lt;&gt;0,Main[[#This Row],[تعداد کل روزهای بدهکار (روز)]],0)</f>
        <v>0</v>
      </c>
      <c r="AF1510" s="6">
        <f ca="1">Main[[#This Row],[تعداد روزهای بدهکار سررسید شده (روز)]]*Main[[#This Row],[مانده در خط سررسید شده (کیلوگرم)]]</f>
        <v>0</v>
      </c>
    </row>
    <row r="1511" spans="1:32" hidden="1" x14ac:dyDescent="0.35">
      <c r="A1511" s="5">
        <f>ROW()-ROW(INDEX(Main[ردیف],1))+1</f>
        <v>1509</v>
      </c>
      <c r="B1511" s="31">
        <f>SUBTOTAL(2,INDEX(Main[ردیف],1):Main[[#This Row],[ردیف]])</f>
        <v>134</v>
      </c>
      <c r="C1511" s="32" t="s">
        <v>662</v>
      </c>
      <c r="D1511" s="32" t="str">
        <f>_xlfn.CONCAT("14",Main[[#This Row],[تاريخ]])</f>
        <v>1400/06/14</v>
      </c>
      <c r="E1511" s="33">
        <v>44444</v>
      </c>
      <c r="F1511" s="32">
        <v>30155</v>
      </c>
      <c r="G1511" s="5" t="str">
        <f>INDEX(customer[عنوان],MATCH(Main[[#This Row],[کد ردیابی]],customer[کد],0))</f>
        <v>سری تراشی طاهری</v>
      </c>
      <c r="H1511">
        <v>2098</v>
      </c>
      <c r="I1511" s="6">
        <f ca="1">-Main[[#This Row],[بدهی تسویه شده (کیلوگرم)]]+Main[[#This Row],[بستانکار (کیلوگرم)]]</f>
        <v>2098</v>
      </c>
      <c r="J1511" s="6">
        <f>IF(Main[[#This Row],[مقدار (کیلوگرم)]]&gt;0,Main[[#This Row],[مقدار (کیلوگرم)]],0)</f>
        <v>2098</v>
      </c>
      <c r="K1511" s="6">
        <f>-IF(Main[[#This Row],[مقدار (کیلوگرم)]]&lt;0,Main[[#This Row],[مقدار (کیلوگرم)]],0)</f>
        <v>0</v>
      </c>
      <c r="L15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1" s="7">
        <f>-IF(AND(Main[[#This Row],[مقدار (کیلوگرم)]]&lt;0,Main[[#This Row],[تاريخ میلادی]]&gt;44276),Main[[#This Row],[مقدار (کیلوگرم)]],0)</f>
        <v>0</v>
      </c>
      <c r="N1511" s="6">
        <f ca="1">Main[[#This Row],[بدهکار (کیلوگرم)]]-Main[[#This Row],[بدهی تسویه نشده (کیلوگرم)]]</f>
        <v>0</v>
      </c>
      <c r="O1511" s="6">
        <f ca="1">Main[[#This Row],[تفکیک]]</f>
        <v>0</v>
      </c>
      <c r="P1511" s="6">
        <f ca="1">IF(Main[[#This Row],[تاخیر از سررسید]]&gt;0,Main[[#This Row],[بدهی تسویه نشده (کیلوگرم)]],0)</f>
        <v>0</v>
      </c>
      <c r="Q1511" s="6">
        <f ca="1">IF(Main[[#This Row],[بدهی تسویه نشده (کیلوگرم)]]&gt;0,'گزارش فردی'!$B$7-Main[[#This Row],[تاريخ میلادی]],0)</f>
        <v>0</v>
      </c>
      <c r="R1511" s="6">
        <f ca="1">IF(Main[[#This Row],[بدهی تسویه نشده (کیلوگرم)]]&gt;0,'گزارش فردی'!$B$7-Main[[#This Row],[تاريخ میلادی]]-'گزارش فردی'!$B$8,0)</f>
        <v>0</v>
      </c>
      <c r="S1511" s="6">
        <f ca="1">Main[[#This Row],[روز از ارسال سفارش]]*Main[[#This Row],[بدهی تسویه نشده (کیلوگرم)]]</f>
        <v>0</v>
      </c>
      <c r="T1511" s="6">
        <f ca="1">Main[[#This Row],[بدهی سررسید شده (کیلوگرم)]]*Main[[#This Row],[روز از ارسال سفارش]]</f>
        <v>0</v>
      </c>
      <c r="U1511" s="6">
        <f>-SUBTOTAL(9,INDEX(Main[مقدار (کیلوگرم)],1):Main[[#This Row],[مقدار (کیلوگرم)]])</f>
        <v>33035</v>
      </c>
      <c r="V15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1" s="6">
        <f>Main[[#This Row],[تعداد کل روزهای بدهکار (روز)]]*Main[[#This Row],[مانده در خط کل (کیلوگرم)]]</f>
        <v>0</v>
      </c>
      <c r="X1511" s="6">
        <f ca="1">-SUBTOTAL(9,INDEX(Main[مقدار تسویه شده (کیلوگرم)],1):Main[[#This Row],[مقدار تسویه شده (کیلوگرم)]])</f>
        <v>33035</v>
      </c>
      <c r="Y1511" s="6">
        <f ca="1">IF(Main[[#This Row],[مانده در خط تسویه شده (کیلوگرم)]]&lt;&gt;0,Main[[#This Row],[تعداد کل روزهای بدهکار (روز)]],0)</f>
        <v>0</v>
      </c>
      <c r="Z1511" s="6">
        <f ca="1">Main[[#This Row],[تعداد روزهای بدهکار تسویه شده (روز)]]*Main[[#This Row],[مانده در خط تسویه شده (کیلوگرم)]]</f>
        <v>0</v>
      </c>
      <c r="AA1511" s="6">
        <f ca="1">SUBTOTAL(9,INDEX(Main[بدهی تسویه نشده (کیلوگرم)],1):Main[[#This Row],[بدهی تسویه نشده (کیلوگرم)]])</f>
        <v>0</v>
      </c>
      <c r="AB1511" s="6">
        <f ca="1">IF(Main[[#This Row],[مانده در خط تسویه نشده (کیلوگرم)]]&lt;&gt;0,Main[[#This Row],[تعداد کل روزهای بدهکار (روز)]],0)</f>
        <v>0</v>
      </c>
      <c r="AC1511" s="6">
        <f ca="1">Main[[#This Row],[تعداد روزهای بدهکار  تسویه نشده (روز)]]*Main[[#This Row],[مانده در خط تسویه نشده (کیلوگرم)]]</f>
        <v>0</v>
      </c>
      <c r="AD1511" s="6">
        <f ca="1">SUBTOTAL(9,INDEX(Main[بدهی سررسید شده (کیلوگرم)],1):Main[[#This Row],[بدهی سررسید شده (کیلوگرم)]])</f>
        <v>0</v>
      </c>
      <c r="AE1511" s="6">
        <f ca="1">IF(Main[[#This Row],[مانده در خط سررسید شده (کیلوگرم)]]&lt;&gt;0,Main[[#This Row],[تعداد کل روزهای بدهکار (روز)]],0)</f>
        <v>0</v>
      </c>
      <c r="AF1511" s="6">
        <f ca="1">Main[[#This Row],[تعداد روزهای بدهکار سررسید شده (روز)]]*Main[[#This Row],[مانده در خط سررسید شده (کیلوگرم)]]</f>
        <v>0</v>
      </c>
    </row>
    <row r="1512" spans="1:32" x14ac:dyDescent="0.35">
      <c r="A1512" s="5">
        <f>ROW()-ROW(INDEX(Main[ردیف],1))+1</f>
        <v>1510</v>
      </c>
      <c r="B1512" s="31">
        <f>SUBTOTAL(2,INDEX(Main[ردیف],1):Main[[#This Row],[ردیف]])</f>
        <v>135</v>
      </c>
      <c r="C1512" s="32" t="s">
        <v>662</v>
      </c>
      <c r="D1512" s="32" t="str">
        <f>_xlfn.CONCAT("14",Main[[#This Row],[تاريخ]])</f>
        <v>1400/06/14</v>
      </c>
      <c r="E1512" s="33">
        <v>44444</v>
      </c>
      <c r="F1512" s="32">
        <v>10003</v>
      </c>
      <c r="G1512" s="5" t="str">
        <f>INDEX(customer[عنوان],MATCH(Main[[#This Row],[کد ردیابی]],customer[کد],0))</f>
        <v>اصغر نورعلی</v>
      </c>
      <c r="H1512">
        <v>-1438</v>
      </c>
      <c r="I1512" s="6">
        <f ca="1">-Main[[#This Row],[بدهی تسویه شده (کیلوگرم)]]+Main[[#This Row],[بستانکار (کیلوگرم)]]</f>
        <v>-1438</v>
      </c>
      <c r="J1512" s="6">
        <f>IF(Main[[#This Row],[مقدار (کیلوگرم)]]&gt;0,Main[[#This Row],[مقدار (کیلوگرم)]],0)</f>
        <v>0</v>
      </c>
      <c r="K1512" s="6">
        <f>-IF(Main[[#This Row],[مقدار (کیلوگرم)]]&lt;0,Main[[#This Row],[مقدار (کیلوگرم)]],0)</f>
        <v>1438</v>
      </c>
      <c r="L15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2" s="7">
        <f>-IF(AND(Main[[#This Row],[مقدار (کیلوگرم)]]&lt;0,Main[[#This Row],[تاريخ میلادی]]&gt;44276),Main[[#This Row],[مقدار (کیلوگرم)]],0)</f>
        <v>1438</v>
      </c>
      <c r="N1512" s="6">
        <f ca="1">Main[[#This Row],[بدهکار (کیلوگرم)]]-Main[[#This Row],[بدهی تسویه نشده (کیلوگرم)]]</f>
        <v>1438</v>
      </c>
      <c r="O1512" s="6">
        <f ca="1">Main[[#This Row],[تفکیک]]</f>
        <v>0</v>
      </c>
      <c r="P1512" s="6">
        <f ca="1">IF(Main[[#This Row],[تاخیر از سررسید]]&gt;0,Main[[#This Row],[بدهی تسویه نشده (کیلوگرم)]],0)</f>
        <v>0</v>
      </c>
      <c r="Q1512" s="6">
        <f ca="1">IF(Main[[#This Row],[بدهی تسویه نشده (کیلوگرم)]]&gt;0,'گزارش فردی'!$B$7-Main[[#This Row],[تاريخ میلادی]],0)</f>
        <v>0</v>
      </c>
      <c r="R1512" s="6">
        <f ca="1">IF(Main[[#This Row],[بدهی تسویه نشده (کیلوگرم)]]&gt;0,'گزارش فردی'!$B$7-Main[[#This Row],[تاريخ میلادی]]-'گزارش فردی'!$B$8,0)</f>
        <v>0</v>
      </c>
      <c r="S1512" s="6">
        <f ca="1">Main[[#This Row],[روز از ارسال سفارش]]*Main[[#This Row],[بدهی تسویه نشده (کیلوگرم)]]</f>
        <v>0</v>
      </c>
      <c r="T1512" s="6">
        <f ca="1">Main[[#This Row],[بدهی سررسید شده (کیلوگرم)]]*Main[[#This Row],[روز از ارسال سفارش]]</f>
        <v>0</v>
      </c>
      <c r="U1512" s="6">
        <f>-SUBTOTAL(9,INDEX(Main[مقدار (کیلوگرم)],1):Main[[#This Row],[مقدار (کیلوگرم)]])</f>
        <v>34473</v>
      </c>
      <c r="V15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2" s="6">
        <f>Main[[#This Row],[تعداد کل روزهای بدهکار (روز)]]*Main[[#This Row],[مانده در خط کل (کیلوگرم)]]</f>
        <v>34473</v>
      </c>
      <c r="X1512" s="6">
        <f ca="1">-SUBTOTAL(9,INDEX(Main[مقدار تسویه شده (کیلوگرم)],1):Main[[#This Row],[مقدار تسویه شده (کیلوگرم)]])</f>
        <v>34473</v>
      </c>
      <c r="Y1512" s="6">
        <f ca="1">IF(Main[[#This Row],[مانده در خط تسویه شده (کیلوگرم)]]&lt;&gt;0,Main[[#This Row],[تعداد کل روزهای بدهکار (روز)]],0)</f>
        <v>1</v>
      </c>
      <c r="Z1512" s="6">
        <f ca="1">Main[[#This Row],[تعداد روزهای بدهکار تسویه شده (روز)]]*Main[[#This Row],[مانده در خط تسویه شده (کیلوگرم)]]</f>
        <v>34473</v>
      </c>
      <c r="AA1512" s="6">
        <f ca="1">SUBTOTAL(9,INDEX(Main[بدهی تسویه نشده (کیلوگرم)],1):Main[[#This Row],[بدهی تسویه نشده (کیلوگرم)]])</f>
        <v>0</v>
      </c>
      <c r="AB1512" s="6">
        <f ca="1">IF(Main[[#This Row],[مانده در خط تسویه نشده (کیلوگرم)]]&lt;&gt;0,Main[[#This Row],[تعداد کل روزهای بدهکار (روز)]],0)</f>
        <v>0</v>
      </c>
      <c r="AC1512" s="6">
        <f ca="1">Main[[#This Row],[تعداد روزهای بدهکار  تسویه نشده (روز)]]*Main[[#This Row],[مانده در خط تسویه نشده (کیلوگرم)]]</f>
        <v>0</v>
      </c>
      <c r="AD1512" s="6">
        <f ca="1">SUBTOTAL(9,INDEX(Main[بدهی سررسید شده (کیلوگرم)],1):Main[[#This Row],[بدهی سررسید شده (کیلوگرم)]])</f>
        <v>0</v>
      </c>
      <c r="AE1512" s="6">
        <f ca="1">IF(Main[[#This Row],[مانده در خط سررسید شده (کیلوگرم)]]&lt;&gt;0,Main[[#This Row],[تعداد کل روزهای بدهکار (روز)]],0)</f>
        <v>0</v>
      </c>
      <c r="AF1512" s="6">
        <f ca="1">Main[[#This Row],[تعداد روزهای بدهکار سررسید شده (روز)]]*Main[[#This Row],[مانده در خط سررسید شده (کیلوگرم)]]</f>
        <v>0</v>
      </c>
    </row>
    <row r="1513" spans="1:32" hidden="1" x14ac:dyDescent="0.35">
      <c r="A1513" s="5">
        <f>ROW()-ROW(INDEX(Main[ردیف],1))+1</f>
        <v>1511</v>
      </c>
      <c r="B1513" s="31">
        <f>SUBTOTAL(2,INDEX(Main[ردیف],1):Main[[#This Row],[ردیف]])</f>
        <v>135</v>
      </c>
      <c r="C1513" s="32" t="s">
        <v>662</v>
      </c>
      <c r="D1513" s="32" t="str">
        <f>_xlfn.CONCAT("14",Main[[#This Row],[تاريخ]])</f>
        <v>1400/06/14</v>
      </c>
      <c r="E1513" s="33">
        <v>44444</v>
      </c>
      <c r="F1513" s="32">
        <v>30155</v>
      </c>
      <c r="G1513" s="5" t="str">
        <f>INDEX(customer[عنوان],MATCH(Main[[#This Row],[کد ردیابی]],customer[کد],0))</f>
        <v>سری تراشی طاهری</v>
      </c>
      <c r="H1513">
        <v>670</v>
      </c>
      <c r="I1513" s="6">
        <f ca="1">-Main[[#This Row],[بدهی تسویه شده (کیلوگرم)]]+Main[[#This Row],[بستانکار (کیلوگرم)]]</f>
        <v>670</v>
      </c>
      <c r="J1513" s="6">
        <f>IF(Main[[#This Row],[مقدار (کیلوگرم)]]&gt;0,Main[[#This Row],[مقدار (کیلوگرم)]],0)</f>
        <v>670</v>
      </c>
      <c r="K1513" s="6">
        <f>-IF(Main[[#This Row],[مقدار (کیلوگرم)]]&lt;0,Main[[#This Row],[مقدار (کیلوگرم)]],0)</f>
        <v>0</v>
      </c>
      <c r="L15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3" s="7">
        <f>-IF(AND(Main[[#This Row],[مقدار (کیلوگرم)]]&lt;0,Main[[#This Row],[تاريخ میلادی]]&gt;44276),Main[[#This Row],[مقدار (کیلوگرم)]],0)</f>
        <v>0</v>
      </c>
      <c r="N1513" s="6">
        <f ca="1">Main[[#This Row],[بدهکار (کیلوگرم)]]-Main[[#This Row],[بدهی تسویه نشده (کیلوگرم)]]</f>
        <v>0</v>
      </c>
      <c r="O1513" s="6">
        <f ca="1">Main[[#This Row],[تفکیک]]</f>
        <v>0</v>
      </c>
      <c r="P1513" s="6">
        <f ca="1">IF(Main[[#This Row],[تاخیر از سررسید]]&gt;0,Main[[#This Row],[بدهی تسویه نشده (کیلوگرم)]],0)</f>
        <v>0</v>
      </c>
      <c r="Q1513" s="6">
        <f ca="1">IF(Main[[#This Row],[بدهی تسویه نشده (کیلوگرم)]]&gt;0,'گزارش فردی'!$B$7-Main[[#This Row],[تاريخ میلادی]],0)</f>
        <v>0</v>
      </c>
      <c r="R1513" s="6">
        <f ca="1">IF(Main[[#This Row],[بدهی تسویه نشده (کیلوگرم)]]&gt;0,'گزارش فردی'!$B$7-Main[[#This Row],[تاريخ میلادی]]-'گزارش فردی'!$B$8,0)</f>
        <v>0</v>
      </c>
      <c r="S1513" s="6">
        <f ca="1">Main[[#This Row],[روز از ارسال سفارش]]*Main[[#This Row],[بدهی تسویه نشده (کیلوگرم)]]</f>
        <v>0</v>
      </c>
      <c r="T1513" s="6">
        <f ca="1">Main[[#This Row],[بدهی سررسید شده (کیلوگرم)]]*Main[[#This Row],[روز از ارسال سفارش]]</f>
        <v>0</v>
      </c>
      <c r="U1513" s="6">
        <f>-SUBTOTAL(9,INDEX(Main[مقدار (کیلوگرم)],1):Main[[#This Row],[مقدار (کیلوگرم)]])</f>
        <v>34473</v>
      </c>
      <c r="V15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3" s="6">
        <f>Main[[#This Row],[تعداد کل روزهای بدهکار (روز)]]*Main[[#This Row],[مانده در خط کل (کیلوگرم)]]</f>
        <v>34473</v>
      </c>
      <c r="X1513" s="6">
        <f ca="1">-SUBTOTAL(9,INDEX(Main[مقدار تسویه شده (کیلوگرم)],1):Main[[#This Row],[مقدار تسویه شده (کیلوگرم)]])</f>
        <v>34473</v>
      </c>
      <c r="Y1513" s="6">
        <f ca="1">IF(Main[[#This Row],[مانده در خط تسویه شده (کیلوگرم)]]&lt;&gt;0,Main[[#This Row],[تعداد کل روزهای بدهکار (روز)]],0)</f>
        <v>1</v>
      </c>
      <c r="Z1513" s="6">
        <f ca="1">Main[[#This Row],[تعداد روزهای بدهکار تسویه شده (روز)]]*Main[[#This Row],[مانده در خط تسویه شده (کیلوگرم)]]</f>
        <v>34473</v>
      </c>
      <c r="AA1513" s="6">
        <f ca="1">SUBTOTAL(9,INDEX(Main[بدهی تسویه نشده (کیلوگرم)],1):Main[[#This Row],[بدهی تسویه نشده (کیلوگرم)]])</f>
        <v>0</v>
      </c>
      <c r="AB1513" s="6">
        <f ca="1">IF(Main[[#This Row],[مانده در خط تسویه نشده (کیلوگرم)]]&lt;&gt;0,Main[[#This Row],[تعداد کل روزهای بدهکار (روز)]],0)</f>
        <v>0</v>
      </c>
      <c r="AC1513" s="6">
        <f ca="1">Main[[#This Row],[تعداد روزهای بدهکار  تسویه نشده (روز)]]*Main[[#This Row],[مانده در خط تسویه نشده (کیلوگرم)]]</f>
        <v>0</v>
      </c>
      <c r="AD1513" s="6">
        <f ca="1">SUBTOTAL(9,INDEX(Main[بدهی سررسید شده (کیلوگرم)],1):Main[[#This Row],[بدهی سررسید شده (کیلوگرم)]])</f>
        <v>0</v>
      </c>
      <c r="AE1513" s="6">
        <f ca="1">IF(Main[[#This Row],[مانده در خط سررسید شده (کیلوگرم)]]&lt;&gt;0,Main[[#This Row],[تعداد کل روزهای بدهکار (روز)]],0)</f>
        <v>0</v>
      </c>
      <c r="AF1513" s="6">
        <f ca="1">Main[[#This Row],[تعداد روزهای بدهکار سررسید شده (روز)]]*Main[[#This Row],[مانده در خط سررسید شده (کیلوگرم)]]</f>
        <v>0</v>
      </c>
    </row>
    <row r="1514" spans="1:32" hidden="1" x14ac:dyDescent="0.35">
      <c r="A1514" s="5">
        <f>ROW()-ROW(INDEX(Main[ردیف],1))+1</f>
        <v>1512</v>
      </c>
      <c r="B1514" s="31">
        <f>SUBTOTAL(2,INDEX(Main[ردیف],1):Main[[#This Row],[ردیف]])</f>
        <v>135</v>
      </c>
      <c r="C1514" s="32" t="s">
        <v>662</v>
      </c>
      <c r="D1514" s="32" t="str">
        <f>_xlfn.CONCAT("14",Main[[#This Row],[تاريخ]])</f>
        <v>1400/06/14</v>
      </c>
      <c r="E1514" s="33">
        <v>44444</v>
      </c>
      <c r="F1514" s="32">
        <v>10026</v>
      </c>
      <c r="G1514" s="5" t="str">
        <f>INDEX(customer[عنوان],MATCH(Main[[#This Row],[کد ردیابی]],customer[کد],0))</f>
        <v xml:space="preserve">محسن فیاض بخش </v>
      </c>
      <c r="H1514">
        <v>-3857</v>
      </c>
      <c r="I1514" s="6">
        <f ca="1">-Main[[#This Row],[بدهی تسویه شده (کیلوگرم)]]+Main[[#This Row],[بستانکار (کیلوگرم)]]</f>
        <v>-3857</v>
      </c>
      <c r="J1514" s="6">
        <f>IF(Main[[#This Row],[مقدار (کیلوگرم)]]&gt;0,Main[[#This Row],[مقدار (کیلوگرم)]],0)</f>
        <v>0</v>
      </c>
      <c r="K1514" s="6">
        <f>-IF(Main[[#This Row],[مقدار (کیلوگرم)]]&lt;0,Main[[#This Row],[مقدار (کیلوگرم)]],0)</f>
        <v>3857</v>
      </c>
      <c r="L15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4" s="7">
        <f>-IF(AND(Main[[#This Row],[مقدار (کیلوگرم)]]&lt;0,Main[[#This Row],[تاريخ میلادی]]&gt;44276),Main[[#This Row],[مقدار (کیلوگرم)]],0)</f>
        <v>3857</v>
      </c>
      <c r="N1514" s="6">
        <f ca="1">Main[[#This Row],[بدهکار (کیلوگرم)]]-Main[[#This Row],[بدهی تسویه نشده (کیلوگرم)]]</f>
        <v>3857</v>
      </c>
      <c r="O1514" s="6">
        <f ca="1">Main[[#This Row],[تفکیک]]</f>
        <v>0</v>
      </c>
      <c r="P1514" s="6">
        <f ca="1">IF(Main[[#This Row],[تاخیر از سررسید]]&gt;0,Main[[#This Row],[بدهی تسویه نشده (کیلوگرم)]],0)</f>
        <v>0</v>
      </c>
      <c r="Q1514" s="6">
        <f ca="1">IF(Main[[#This Row],[بدهی تسویه نشده (کیلوگرم)]]&gt;0,'گزارش فردی'!$B$7-Main[[#This Row],[تاريخ میلادی]],0)</f>
        <v>0</v>
      </c>
      <c r="R1514" s="6">
        <f ca="1">IF(Main[[#This Row],[بدهی تسویه نشده (کیلوگرم)]]&gt;0,'گزارش فردی'!$B$7-Main[[#This Row],[تاريخ میلادی]]-'گزارش فردی'!$B$8,0)</f>
        <v>0</v>
      </c>
      <c r="S1514" s="6">
        <f ca="1">Main[[#This Row],[روز از ارسال سفارش]]*Main[[#This Row],[بدهی تسویه نشده (کیلوگرم)]]</f>
        <v>0</v>
      </c>
      <c r="T1514" s="6">
        <f ca="1">Main[[#This Row],[بدهی سررسید شده (کیلوگرم)]]*Main[[#This Row],[روز از ارسال سفارش]]</f>
        <v>0</v>
      </c>
      <c r="U1514" s="6">
        <f>-SUBTOTAL(9,INDEX(Main[مقدار (کیلوگرم)],1):Main[[#This Row],[مقدار (کیلوگرم)]])</f>
        <v>34473</v>
      </c>
      <c r="V15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4" s="6">
        <f>Main[[#This Row],[تعداد کل روزهای بدهکار (روز)]]*Main[[#This Row],[مانده در خط کل (کیلوگرم)]]</f>
        <v>34473</v>
      </c>
      <c r="X1514" s="6">
        <f ca="1">-SUBTOTAL(9,INDEX(Main[مقدار تسویه شده (کیلوگرم)],1):Main[[#This Row],[مقدار تسویه شده (کیلوگرم)]])</f>
        <v>34473</v>
      </c>
      <c r="Y1514" s="6">
        <f ca="1">IF(Main[[#This Row],[مانده در خط تسویه شده (کیلوگرم)]]&lt;&gt;0,Main[[#This Row],[تعداد کل روزهای بدهکار (روز)]],0)</f>
        <v>1</v>
      </c>
      <c r="Z1514" s="6">
        <f ca="1">Main[[#This Row],[تعداد روزهای بدهکار تسویه شده (روز)]]*Main[[#This Row],[مانده در خط تسویه شده (کیلوگرم)]]</f>
        <v>34473</v>
      </c>
      <c r="AA1514" s="6">
        <f ca="1">SUBTOTAL(9,INDEX(Main[بدهی تسویه نشده (کیلوگرم)],1):Main[[#This Row],[بدهی تسویه نشده (کیلوگرم)]])</f>
        <v>0</v>
      </c>
      <c r="AB1514" s="6">
        <f ca="1">IF(Main[[#This Row],[مانده در خط تسویه نشده (کیلوگرم)]]&lt;&gt;0,Main[[#This Row],[تعداد کل روزهای بدهکار (روز)]],0)</f>
        <v>0</v>
      </c>
      <c r="AC1514" s="6">
        <f ca="1">Main[[#This Row],[تعداد روزهای بدهکار  تسویه نشده (روز)]]*Main[[#This Row],[مانده در خط تسویه نشده (کیلوگرم)]]</f>
        <v>0</v>
      </c>
      <c r="AD1514" s="6">
        <f ca="1">SUBTOTAL(9,INDEX(Main[بدهی سررسید شده (کیلوگرم)],1):Main[[#This Row],[بدهی سررسید شده (کیلوگرم)]])</f>
        <v>0</v>
      </c>
      <c r="AE1514" s="6">
        <f ca="1">IF(Main[[#This Row],[مانده در خط سررسید شده (کیلوگرم)]]&lt;&gt;0,Main[[#This Row],[تعداد کل روزهای بدهکار (روز)]],0)</f>
        <v>0</v>
      </c>
      <c r="AF1514" s="6">
        <f ca="1">Main[[#This Row],[تعداد روزهای بدهکار سررسید شده (روز)]]*Main[[#This Row],[مانده در خط سررسید شده (کیلوگرم)]]</f>
        <v>0</v>
      </c>
    </row>
    <row r="1515" spans="1:32" hidden="1" x14ac:dyDescent="0.35">
      <c r="A1515" s="5">
        <f>ROW()-ROW(INDEX(Main[ردیف],1))+1</f>
        <v>1513</v>
      </c>
      <c r="B1515" s="31">
        <f>SUBTOTAL(2,INDEX(Main[ردیف],1):Main[[#This Row],[ردیف]])</f>
        <v>135</v>
      </c>
      <c r="C1515" s="32" t="s">
        <v>662</v>
      </c>
      <c r="D1515" s="32" t="str">
        <f>_xlfn.CONCAT("14",Main[[#This Row],[تاريخ]])</f>
        <v>1400/06/14</v>
      </c>
      <c r="E1515" s="33">
        <v>44444</v>
      </c>
      <c r="F1515" s="32">
        <v>30155</v>
      </c>
      <c r="G1515" s="5" t="str">
        <f>INDEX(customer[عنوان],MATCH(Main[[#This Row],[کد ردیابی]],customer[کد],0))</f>
        <v>سری تراشی طاهری</v>
      </c>
      <c r="H1515">
        <v>633</v>
      </c>
      <c r="I1515" s="6">
        <f ca="1">-Main[[#This Row],[بدهی تسویه شده (کیلوگرم)]]+Main[[#This Row],[بستانکار (کیلوگرم)]]</f>
        <v>633</v>
      </c>
      <c r="J1515" s="6">
        <f>IF(Main[[#This Row],[مقدار (کیلوگرم)]]&gt;0,Main[[#This Row],[مقدار (کیلوگرم)]],0)</f>
        <v>633</v>
      </c>
      <c r="K1515" s="6">
        <f>-IF(Main[[#This Row],[مقدار (کیلوگرم)]]&lt;0,Main[[#This Row],[مقدار (کیلوگرم)]],0)</f>
        <v>0</v>
      </c>
      <c r="L15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5" s="7">
        <f>-IF(AND(Main[[#This Row],[مقدار (کیلوگرم)]]&lt;0,Main[[#This Row],[تاريخ میلادی]]&gt;44276),Main[[#This Row],[مقدار (کیلوگرم)]],0)</f>
        <v>0</v>
      </c>
      <c r="N1515" s="6">
        <f ca="1">Main[[#This Row],[بدهکار (کیلوگرم)]]-Main[[#This Row],[بدهی تسویه نشده (کیلوگرم)]]</f>
        <v>0</v>
      </c>
      <c r="O1515" s="6">
        <f ca="1">Main[[#This Row],[تفکیک]]</f>
        <v>0</v>
      </c>
      <c r="P1515" s="6">
        <f ca="1">IF(Main[[#This Row],[تاخیر از سررسید]]&gt;0,Main[[#This Row],[بدهی تسویه نشده (کیلوگرم)]],0)</f>
        <v>0</v>
      </c>
      <c r="Q1515" s="6">
        <f ca="1">IF(Main[[#This Row],[بدهی تسویه نشده (کیلوگرم)]]&gt;0,'گزارش فردی'!$B$7-Main[[#This Row],[تاريخ میلادی]],0)</f>
        <v>0</v>
      </c>
      <c r="R1515" s="6">
        <f ca="1">IF(Main[[#This Row],[بدهی تسویه نشده (کیلوگرم)]]&gt;0,'گزارش فردی'!$B$7-Main[[#This Row],[تاريخ میلادی]]-'گزارش فردی'!$B$8,0)</f>
        <v>0</v>
      </c>
      <c r="S1515" s="6">
        <f ca="1">Main[[#This Row],[روز از ارسال سفارش]]*Main[[#This Row],[بدهی تسویه نشده (کیلوگرم)]]</f>
        <v>0</v>
      </c>
      <c r="T1515" s="6">
        <f ca="1">Main[[#This Row],[بدهی سررسید شده (کیلوگرم)]]*Main[[#This Row],[روز از ارسال سفارش]]</f>
        <v>0</v>
      </c>
      <c r="U1515" s="6">
        <f>-SUBTOTAL(9,INDEX(Main[مقدار (کیلوگرم)],1):Main[[#This Row],[مقدار (کیلوگرم)]])</f>
        <v>34473</v>
      </c>
      <c r="V15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5" s="6">
        <f>Main[[#This Row],[تعداد کل روزهای بدهکار (روز)]]*Main[[#This Row],[مانده در خط کل (کیلوگرم)]]</f>
        <v>34473</v>
      </c>
      <c r="X1515" s="6">
        <f ca="1">-SUBTOTAL(9,INDEX(Main[مقدار تسویه شده (کیلوگرم)],1):Main[[#This Row],[مقدار تسویه شده (کیلوگرم)]])</f>
        <v>34473</v>
      </c>
      <c r="Y1515" s="6">
        <f ca="1">IF(Main[[#This Row],[مانده در خط تسویه شده (کیلوگرم)]]&lt;&gt;0,Main[[#This Row],[تعداد کل روزهای بدهکار (روز)]],0)</f>
        <v>1</v>
      </c>
      <c r="Z1515" s="6">
        <f ca="1">Main[[#This Row],[تعداد روزهای بدهکار تسویه شده (روز)]]*Main[[#This Row],[مانده در خط تسویه شده (کیلوگرم)]]</f>
        <v>34473</v>
      </c>
      <c r="AA1515" s="6">
        <f ca="1">SUBTOTAL(9,INDEX(Main[بدهی تسویه نشده (کیلوگرم)],1):Main[[#This Row],[بدهی تسویه نشده (کیلوگرم)]])</f>
        <v>0</v>
      </c>
      <c r="AB1515" s="6">
        <f ca="1">IF(Main[[#This Row],[مانده در خط تسویه نشده (کیلوگرم)]]&lt;&gt;0,Main[[#This Row],[تعداد کل روزهای بدهکار (روز)]],0)</f>
        <v>0</v>
      </c>
      <c r="AC1515" s="6">
        <f ca="1">Main[[#This Row],[تعداد روزهای بدهکار  تسویه نشده (روز)]]*Main[[#This Row],[مانده در خط تسویه نشده (کیلوگرم)]]</f>
        <v>0</v>
      </c>
      <c r="AD1515" s="6">
        <f ca="1">SUBTOTAL(9,INDEX(Main[بدهی سررسید شده (کیلوگرم)],1):Main[[#This Row],[بدهی سررسید شده (کیلوگرم)]])</f>
        <v>0</v>
      </c>
      <c r="AE1515" s="6">
        <f ca="1">IF(Main[[#This Row],[مانده در خط سررسید شده (کیلوگرم)]]&lt;&gt;0,Main[[#This Row],[تعداد کل روزهای بدهکار (روز)]],0)</f>
        <v>0</v>
      </c>
      <c r="AF1515" s="6">
        <f ca="1">Main[[#This Row],[تعداد روزهای بدهکار سررسید شده (روز)]]*Main[[#This Row],[مانده در خط سررسید شده (کیلوگرم)]]</f>
        <v>0</v>
      </c>
    </row>
    <row r="1516" spans="1:32" hidden="1" x14ac:dyDescent="0.35">
      <c r="A1516" s="5">
        <f>ROW()-ROW(INDEX(Main[ردیف],1))+1</f>
        <v>1514</v>
      </c>
      <c r="B1516" s="31">
        <f>SUBTOTAL(2,INDEX(Main[ردیف],1):Main[[#This Row],[ردیف]])</f>
        <v>135</v>
      </c>
      <c r="C1516" s="32" t="s">
        <v>687</v>
      </c>
      <c r="D1516" s="32" t="str">
        <f>_xlfn.CONCAT("14",Main[[#This Row],[تاريخ]])</f>
        <v>1400/06/15</v>
      </c>
      <c r="E1516" s="33">
        <v>44445</v>
      </c>
      <c r="F1516" s="32">
        <v>10131</v>
      </c>
      <c r="G1516" s="5" t="str">
        <f>INDEX(customer[عنوان],MATCH(Main[[#This Row],[کد ردیابی]],customer[کد],0))</f>
        <v>بهرام چرخیان</v>
      </c>
      <c r="H1516">
        <v>-98</v>
      </c>
      <c r="I1516" s="6">
        <f ca="1">-Main[[#This Row],[بدهی تسویه شده (کیلوگرم)]]+Main[[#This Row],[بستانکار (کیلوگرم)]]</f>
        <v>-98</v>
      </c>
      <c r="J1516" s="6">
        <f>IF(Main[[#This Row],[مقدار (کیلوگرم)]]&gt;0,Main[[#This Row],[مقدار (کیلوگرم)]],0)</f>
        <v>0</v>
      </c>
      <c r="K1516" s="6">
        <f>-IF(Main[[#This Row],[مقدار (کیلوگرم)]]&lt;0,Main[[#This Row],[مقدار (کیلوگرم)]],0)</f>
        <v>98</v>
      </c>
      <c r="L15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6" s="7">
        <f>-IF(AND(Main[[#This Row],[مقدار (کیلوگرم)]]&lt;0,Main[[#This Row],[تاريخ میلادی]]&gt;44276),Main[[#This Row],[مقدار (کیلوگرم)]],0)</f>
        <v>98</v>
      </c>
      <c r="N1516" s="6">
        <f ca="1">Main[[#This Row],[بدهکار (کیلوگرم)]]-Main[[#This Row],[بدهی تسویه نشده (کیلوگرم)]]</f>
        <v>98</v>
      </c>
      <c r="O1516" s="6">
        <f ca="1">Main[[#This Row],[تفکیک]]</f>
        <v>0</v>
      </c>
      <c r="P1516" s="6">
        <f ca="1">IF(Main[[#This Row],[تاخیر از سررسید]]&gt;0,Main[[#This Row],[بدهی تسویه نشده (کیلوگرم)]],0)</f>
        <v>0</v>
      </c>
      <c r="Q1516" s="6">
        <f ca="1">IF(Main[[#This Row],[بدهی تسویه نشده (کیلوگرم)]]&gt;0,'گزارش فردی'!$B$7-Main[[#This Row],[تاريخ میلادی]],0)</f>
        <v>0</v>
      </c>
      <c r="R1516" s="6">
        <f ca="1">IF(Main[[#This Row],[بدهی تسویه نشده (کیلوگرم)]]&gt;0,'گزارش فردی'!$B$7-Main[[#This Row],[تاريخ میلادی]]-'گزارش فردی'!$B$8,0)</f>
        <v>0</v>
      </c>
      <c r="S1516" s="6">
        <f ca="1">Main[[#This Row],[روز از ارسال سفارش]]*Main[[#This Row],[بدهی تسویه نشده (کیلوگرم)]]</f>
        <v>0</v>
      </c>
      <c r="T1516" s="6">
        <f ca="1">Main[[#This Row],[بدهی سررسید شده (کیلوگرم)]]*Main[[#This Row],[روز از ارسال سفارش]]</f>
        <v>0</v>
      </c>
      <c r="U1516" s="6">
        <f>-SUBTOTAL(9,INDEX(Main[مقدار (کیلوگرم)],1):Main[[#This Row],[مقدار (کیلوگرم)]])</f>
        <v>34473</v>
      </c>
      <c r="V15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6" s="6">
        <f>Main[[#This Row],[تعداد کل روزهای بدهکار (روز)]]*Main[[#This Row],[مانده در خط کل (کیلوگرم)]]</f>
        <v>0</v>
      </c>
      <c r="X1516" s="6">
        <f ca="1">-SUBTOTAL(9,INDEX(Main[مقدار تسویه شده (کیلوگرم)],1):Main[[#This Row],[مقدار تسویه شده (کیلوگرم)]])</f>
        <v>34473</v>
      </c>
      <c r="Y1516" s="6">
        <f ca="1">IF(Main[[#This Row],[مانده در خط تسویه شده (کیلوگرم)]]&lt;&gt;0,Main[[#This Row],[تعداد کل روزهای بدهکار (روز)]],0)</f>
        <v>0</v>
      </c>
      <c r="Z1516" s="6">
        <f ca="1">Main[[#This Row],[تعداد روزهای بدهکار تسویه شده (روز)]]*Main[[#This Row],[مانده در خط تسویه شده (کیلوگرم)]]</f>
        <v>0</v>
      </c>
      <c r="AA1516" s="6">
        <f ca="1">SUBTOTAL(9,INDEX(Main[بدهی تسویه نشده (کیلوگرم)],1):Main[[#This Row],[بدهی تسویه نشده (کیلوگرم)]])</f>
        <v>0</v>
      </c>
      <c r="AB1516" s="6">
        <f ca="1">IF(Main[[#This Row],[مانده در خط تسویه نشده (کیلوگرم)]]&lt;&gt;0,Main[[#This Row],[تعداد کل روزهای بدهکار (روز)]],0)</f>
        <v>0</v>
      </c>
      <c r="AC1516" s="6">
        <f ca="1">Main[[#This Row],[تعداد روزهای بدهکار  تسویه نشده (روز)]]*Main[[#This Row],[مانده در خط تسویه نشده (کیلوگرم)]]</f>
        <v>0</v>
      </c>
      <c r="AD1516" s="6">
        <f ca="1">SUBTOTAL(9,INDEX(Main[بدهی سررسید شده (کیلوگرم)],1):Main[[#This Row],[بدهی سررسید شده (کیلوگرم)]])</f>
        <v>0</v>
      </c>
      <c r="AE1516" s="6">
        <f ca="1">IF(Main[[#This Row],[مانده در خط سررسید شده (کیلوگرم)]]&lt;&gt;0,Main[[#This Row],[تعداد کل روزهای بدهکار (روز)]],0)</f>
        <v>0</v>
      </c>
      <c r="AF1516" s="6">
        <f ca="1">Main[[#This Row],[تعداد روزهای بدهکار سررسید شده (روز)]]*Main[[#This Row],[مانده در خط سررسید شده (کیلوگرم)]]</f>
        <v>0</v>
      </c>
    </row>
    <row r="1517" spans="1:32" hidden="1" x14ac:dyDescent="0.35">
      <c r="A1517" s="5">
        <f>ROW()-ROW(INDEX(Main[ردیف],1))+1</f>
        <v>1515</v>
      </c>
      <c r="B1517" s="31">
        <f>SUBTOTAL(2,INDEX(Main[ردیف],1):Main[[#This Row],[ردیف]])</f>
        <v>135</v>
      </c>
      <c r="C1517" s="32" t="s">
        <v>687</v>
      </c>
      <c r="D1517" s="32" t="str">
        <f>_xlfn.CONCAT("14",Main[[#This Row],[تاريخ]])</f>
        <v>1400/06/15</v>
      </c>
      <c r="E1517" s="33">
        <v>44445</v>
      </c>
      <c r="F1517" s="32">
        <v>10131</v>
      </c>
      <c r="G1517" s="5" t="str">
        <f>INDEX(customer[عنوان],MATCH(Main[[#This Row],[کد ردیابی]],customer[کد],0))</f>
        <v>بهرام چرخیان</v>
      </c>
      <c r="H1517">
        <v>210</v>
      </c>
      <c r="I1517" s="6">
        <f ca="1">-Main[[#This Row],[بدهی تسویه شده (کیلوگرم)]]+Main[[#This Row],[بستانکار (کیلوگرم)]]</f>
        <v>210</v>
      </c>
      <c r="J1517" s="6">
        <f>IF(Main[[#This Row],[مقدار (کیلوگرم)]]&gt;0,Main[[#This Row],[مقدار (کیلوگرم)]],0)</f>
        <v>210</v>
      </c>
      <c r="K1517" s="6">
        <f>-IF(Main[[#This Row],[مقدار (کیلوگرم)]]&lt;0,Main[[#This Row],[مقدار (کیلوگرم)]],0)</f>
        <v>0</v>
      </c>
      <c r="L15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7" s="7">
        <f>-IF(AND(Main[[#This Row],[مقدار (کیلوگرم)]]&lt;0,Main[[#This Row],[تاريخ میلادی]]&gt;44276),Main[[#This Row],[مقدار (کیلوگرم)]],0)</f>
        <v>0</v>
      </c>
      <c r="N1517" s="6">
        <f ca="1">Main[[#This Row],[بدهکار (کیلوگرم)]]-Main[[#This Row],[بدهی تسویه نشده (کیلوگرم)]]</f>
        <v>0</v>
      </c>
      <c r="O1517" s="6">
        <f ca="1">Main[[#This Row],[تفکیک]]</f>
        <v>0</v>
      </c>
      <c r="P1517" s="6">
        <f ca="1">IF(Main[[#This Row],[تاخیر از سررسید]]&gt;0,Main[[#This Row],[بدهی تسویه نشده (کیلوگرم)]],0)</f>
        <v>0</v>
      </c>
      <c r="Q1517" s="6">
        <f ca="1">IF(Main[[#This Row],[بدهی تسویه نشده (کیلوگرم)]]&gt;0,'گزارش فردی'!$B$7-Main[[#This Row],[تاريخ میلادی]],0)</f>
        <v>0</v>
      </c>
      <c r="R1517" s="6">
        <f ca="1">IF(Main[[#This Row],[بدهی تسویه نشده (کیلوگرم)]]&gt;0,'گزارش فردی'!$B$7-Main[[#This Row],[تاريخ میلادی]]-'گزارش فردی'!$B$8,0)</f>
        <v>0</v>
      </c>
      <c r="S1517" s="6">
        <f ca="1">Main[[#This Row],[روز از ارسال سفارش]]*Main[[#This Row],[بدهی تسویه نشده (کیلوگرم)]]</f>
        <v>0</v>
      </c>
      <c r="T1517" s="6">
        <f ca="1">Main[[#This Row],[بدهی سررسید شده (کیلوگرم)]]*Main[[#This Row],[روز از ارسال سفارش]]</f>
        <v>0</v>
      </c>
      <c r="U1517" s="6">
        <f>-SUBTOTAL(9,INDEX(Main[مقدار (کیلوگرم)],1):Main[[#This Row],[مقدار (کیلوگرم)]])</f>
        <v>34473</v>
      </c>
      <c r="V15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7" s="6">
        <f>Main[[#This Row],[تعداد کل روزهای بدهکار (روز)]]*Main[[#This Row],[مانده در خط کل (کیلوگرم)]]</f>
        <v>0</v>
      </c>
      <c r="X1517" s="6">
        <f ca="1">-SUBTOTAL(9,INDEX(Main[مقدار تسویه شده (کیلوگرم)],1):Main[[#This Row],[مقدار تسویه شده (کیلوگرم)]])</f>
        <v>34473</v>
      </c>
      <c r="Y1517" s="6">
        <f ca="1">IF(Main[[#This Row],[مانده در خط تسویه شده (کیلوگرم)]]&lt;&gt;0,Main[[#This Row],[تعداد کل روزهای بدهکار (روز)]],0)</f>
        <v>0</v>
      </c>
      <c r="Z1517" s="6">
        <f ca="1">Main[[#This Row],[تعداد روزهای بدهکار تسویه شده (روز)]]*Main[[#This Row],[مانده در خط تسویه شده (کیلوگرم)]]</f>
        <v>0</v>
      </c>
      <c r="AA1517" s="6">
        <f ca="1">SUBTOTAL(9,INDEX(Main[بدهی تسویه نشده (کیلوگرم)],1):Main[[#This Row],[بدهی تسویه نشده (کیلوگرم)]])</f>
        <v>0</v>
      </c>
      <c r="AB1517" s="6">
        <f ca="1">IF(Main[[#This Row],[مانده در خط تسویه نشده (کیلوگرم)]]&lt;&gt;0,Main[[#This Row],[تعداد کل روزهای بدهکار (روز)]],0)</f>
        <v>0</v>
      </c>
      <c r="AC1517" s="6">
        <f ca="1">Main[[#This Row],[تعداد روزهای بدهکار  تسویه نشده (روز)]]*Main[[#This Row],[مانده در خط تسویه نشده (کیلوگرم)]]</f>
        <v>0</v>
      </c>
      <c r="AD1517" s="6">
        <f ca="1">SUBTOTAL(9,INDEX(Main[بدهی سررسید شده (کیلوگرم)],1):Main[[#This Row],[بدهی سررسید شده (کیلوگرم)]])</f>
        <v>0</v>
      </c>
      <c r="AE1517" s="6">
        <f ca="1">IF(Main[[#This Row],[مانده در خط سررسید شده (کیلوگرم)]]&lt;&gt;0,Main[[#This Row],[تعداد کل روزهای بدهکار (روز)]],0)</f>
        <v>0</v>
      </c>
      <c r="AF1517" s="6">
        <f ca="1">Main[[#This Row],[تعداد روزهای بدهکار سررسید شده (روز)]]*Main[[#This Row],[مانده در خط سررسید شده (کیلوگرم)]]</f>
        <v>0</v>
      </c>
    </row>
    <row r="1518" spans="1:32" hidden="1" x14ac:dyDescent="0.35">
      <c r="A1518" s="5">
        <f>ROW()-ROW(INDEX(Main[ردیف],1))+1</f>
        <v>1516</v>
      </c>
      <c r="B1518" s="31">
        <f>SUBTOTAL(2,INDEX(Main[ردیف],1):Main[[#This Row],[ردیف]])</f>
        <v>135</v>
      </c>
      <c r="C1518" s="32" t="s">
        <v>687</v>
      </c>
      <c r="D1518" s="32" t="str">
        <f>_xlfn.CONCAT("14",Main[[#This Row],[تاريخ]])</f>
        <v>1400/06/15</v>
      </c>
      <c r="E1518" s="33">
        <v>44445</v>
      </c>
      <c r="F1518" s="32">
        <v>30003</v>
      </c>
      <c r="G1518" s="5" t="str">
        <f>INDEX(customer[عنوان],MATCH(Main[[#This Row],[کد ردیابی]],customer[کد],0))</f>
        <v xml:space="preserve">شهاب گاز سوز </v>
      </c>
      <c r="H1518">
        <v>-1749</v>
      </c>
      <c r="I1518" s="6">
        <f ca="1">-Main[[#This Row],[بدهی تسویه شده (کیلوگرم)]]+Main[[#This Row],[بستانکار (کیلوگرم)]]</f>
        <v>-1749</v>
      </c>
      <c r="J1518" s="6">
        <f>IF(Main[[#This Row],[مقدار (کیلوگرم)]]&gt;0,Main[[#This Row],[مقدار (کیلوگرم)]],0)</f>
        <v>0</v>
      </c>
      <c r="K1518" s="6">
        <f>-IF(Main[[#This Row],[مقدار (کیلوگرم)]]&lt;0,Main[[#This Row],[مقدار (کیلوگرم)]],0)</f>
        <v>1749</v>
      </c>
      <c r="L15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8" s="7">
        <f>-IF(AND(Main[[#This Row],[مقدار (کیلوگرم)]]&lt;0,Main[[#This Row],[تاريخ میلادی]]&gt;44276),Main[[#This Row],[مقدار (کیلوگرم)]],0)</f>
        <v>1749</v>
      </c>
      <c r="N1518" s="6">
        <f ca="1">Main[[#This Row],[بدهکار (کیلوگرم)]]-Main[[#This Row],[بدهی تسویه نشده (کیلوگرم)]]</f>
        <v>1749</v>
      </c>
      <c r="O1518" s="6">
        <f ca="1">Main[[#This Row],[تفکیک]]</f>
        <v>0</v>
      </c>
      <c r="P1518" s="6">
        <f ca="1">IF(Main[[#This Row],[تاخیر از سررسید]]&gt;0,Main[[#This Row],[بدهی تسویه نشده (کیلوگرم)]],0)</f>
        <v>0</v>
      </c>
      <c r="Q1518" s="6">
        <f ca="1">IF(Main[[#This Row],[بدهی تسویه نشده (کیلوگرم)]]&gt;0,'گزارش فردی'!$B$7-Main[[#This Row],[تاريخ میلادی]],0)</f>
        <v>0</v>
      </c>
      <c r="R1518" s="6">
        <f ca="1">IF(Main[[#This Row],[بدهی تسویه نشده (کیلوگرم)]]&gt;0,'گزارش فردی'!$B$7-Main[[#This Row],[تاريخ میلادی]]-'گزارش فردی'!$B$8,0)</f>
        <v>0</v>
      </c>
      <c r="S1518" s="6">
        <f ca="1">Main[[#This Row],[روز از ارسال سفارش]]*Main[[#This Row],[بدهی تسویه نشده (کیلوگرم)]]</f>
        <v>0</v>
      </c>
      <c r="T1518" s="6">
        <f ca="1">Main[[#This Row],[بدهی سررسید شده (کیلوگرم)]]*Main[[#This Row],[روز از ارسال سفارش]]</f>
        <v>0</v>
      </c>
      <c r="U1518" s="6">
        <f>-SUBTOTAL(9,INDEX(Main[مقدار (کیلوگرم)],1):Main[[#This Row],[مقدار (کیلوگرم)]])</f>
        <v>34473</v>
      </c>
      <c r="V15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8" s="6">
        <f>Main[[#This Row],[تعداد کل روزهای بدهکار (روز)]]*Main[[#This Row],[مانده در خط کل (کیلوگرم)]]</f>
        <v>0</v>
      </c>
      <c r="X1518" s="6">
        <f ca="1">-SUBTOTAL(9,INDEX(Main[مقدار تسویه شده (کیلوگرم)],1):Main[[#This Row],[مقدار تسویه شده (کیلوگرم)]])</f>
        <v>34473</v>
      </c>
      <c r="Y1518" s="6">
        <f ca="1">IF(Main[[#This Row],[مانده در خط تسویه شده (کیلوگرم)]]&lt;&gt;0,Main[[#This Row],[تعداد کل روزهای بدهکار (روز)]],0)</f>
        <v>0</v>
      </c>
      <c r="Z1518" s="6">
        <f ca="1">Main[[#This Row],[تعداد روزهای بدهکار تسویه شده (روز)]]*Main[[#This Row],[مانده در خط تسویه شده (کیلوگرم)]]</f>
        <v>0</v>
      </c>
      <c r="AA1518" s="6">
        <f ca="1">SUBTOTAL(9,INDEX(Main[بدهی تسویه نشده (کیلوگرم)],1):Main[[#This Row],[بدهی تسویه نشده (کیلوگرم)]])</f>
        <v>0</v>
      </c>
      <c r="AB1518" s="6">
        <f ca="1">IF(Main[[#This Row],[مانده در خط تسویه نشده (کیلوگرم)]]&lt;&gt;0,Main[[#This Row],[تعداد کل روزهای بدهکار (روز)]],0)</f>
        <v>0</v>
      </c>
      <c r="AC1518" s="6">
        <f ca="1">Main[[#This Row],[تعداد روزهای بدهکار  تسویه نشده (روز)]]*Main[[#This Row],[مانده در خط تسویه نشده (کیلوگرم)]]</f>
        <v>0</v>
      </c>
      <c r="AD1518" s="6">
        <f ca="1">SUBTOTAL(9,INDEX(Main[بدهی سررسید شده (کیلوگرم)],1):Main[[#This Row],[بدهی سررسید شده (کیلوگرم)]])</f>
        <v>0</v>
      </c>
      <c r="AE1518" s="6">
        <f ca="1">IF(Main[[#This Row],[مانده در خط سررسید شده (کیلوگرم)]]&lt;&gt;0,Main[[#This Row],[تعداد کل روزهای بدهکار (روز)]],0)</f>
        <v>0</v>
      </c>
      <c r="AF1518" s="6">
        <f ca="1">Main[[#This Row],[تعداد روزهای بدهکار سررسید شده (روز)]]*Main[[#This Row],[مانده در خط سررسید شده (کیلوگرم)]]</f>
        <v>0</v>
      </c>
    </row>
    <row r="1519" spans="1:32" x14ac:dyDescent="0.35">
      <c r="A1519" s="5">
        <f>ROW()-ROW(INDEX(Main[ردیف],1))+1</f>
        <v>1517</v>
      </c>
      <c r="B1519" s="31">
        <f>SUBTOTAL(2,INDEX(Main[ردیف],1):Main[[#This Row],[ردیف]])</f>
        <v>136</v>
      </c>
      <c r="C1519" s="32" t="s">
        <v>687</v>
      </c>
      <c r="D1519" s="32" t="str">
        <f>_xlfn.CONCAT("14",Main[[#This Row],[تاريخ]])</f>
        <v>1400/06/15</v>
      </c>
      <c r="E1519" s="33">
        <v>44445</v>
      </c>
      <c r="F1519" s="32">
        <v>10003</v>
      </c>
      <c r="G1519" s="5" t="str">
        <f>INDEX(customer[عنوان],MATCH(Main[[#This Row],[کد ردیابی]],customer[کد],0))</f>
        <v>اصغر نورعلی</v>
      </c>
      <c r="H1519">
        <v>2630</v>
      </c>
      <c r="I1519" s="6">
        <f ca="1">-Main[[#This Row],[بدهی تسویه شده (کیلوگرم)]]+Main[[#This Row],[بستانکار (کیلوگرم)]]</f>
        <v>2630</v>
      </c>
      <c r="J1519" s="6">
        <f>IF(Main[[#This Row],[مقدار (کیلوگرم)]]&gt;0,Main[[#This Row],[مقدار (کیلوگرم)]],0)</f>
        <v>2630</v>
      </c>
      <c r="K1519" s="6">
        <f>-IF(Main[[#This Row],[مقدار (کیلوگرم)]]&lt;0,Main[[#This Row],[مقدار (کیلوگرم)]],0)</f>
        <v>0</v>
      </c>
      <c r="L15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9" s="7">
        <f>-IF(AND(Main[[#This Row],[مقدار (کیلوگرم)]]&lt;0,Main[[#This Row],[تاريخ میلادی]]&gt;44276),Main[[#This Row],[مقدار (کیلوگرم)]],0)</f>
        <v>0</v>
      </c>
      <c r="N1519" s="6">
        <f ca="1">Main[[#This Row],[بدهکار (کیلوگرم)]]-Main[[#This Row],[بدهی تسویه نشده (کیلوگرم)]]</f>
        <v>0</v>
      </c>
      <c r="O1519" s="6">
        <f ca="1">Main[[#This Row],[تفکیک]]</f>
        <v>0</v>
      </c>
      <c r="P1519" s="6">
        <f ca="1">IF(Main[[#This Row],[تاخیر از سررسید]]&gt;0,Main[[#This Row],[بدهی تسویه نشده (کیلوگرم)]],0)</f>
        <v>0</v>
      </c>
      <c r="Q1519" s="6">
        <f ca="1">IF(Main[[#This Row],[بدهی تسویه نشده (کیلوگرم)]]&gt;0,'گزارش فردی'!$B$7-Main[[#This Row],[تاريخ میلادی]],0)</f>
        <v>0</v>
      </c>
      <c r="R1519" s="6">
        <f ca="1">IF(Main[[#This Row],[بدهی تسویه نشده (کیلوگرم)]]&gt;0,'گزارش فردی'!$B$7-Main[[#This Row],[تاريخ میلادی]]-'گزارش فردی'!$B$8,0)</f>
        <v>0</v>
      </c>
      <c r="S1519" s="6">
        <f ca="1">Main[[#This Row],[روز از ارسال سفارش]]*Main[[#This Row],[بدهی تسویه نشده (کیلوگرم)]]</f>
        <v>0</v>
      </c>
      <c r="T1519" s="6">
        <f ca="1">Main[[#This Row],[بدهی سررسید شده (کیلوگرم)]]*Main[[#This Row],[روز از ارسال سفارش]]</f>
        <v>0</v>
      </c>
      <c r="U1519" s="6">
        <f>-SUBTOTAL(9,INDEX(Main[مقدار (کیلوگرم)],1):Main[[#This Row],[مقدار (کیلوگرم)]])</f>
        <v>31843</v>
      </c>
      <c r="V15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9" s="6">
        <f>Main[[#This Row],[تعداد کل روزهای بدهکار (روز)]]*Main[[#This Row],[مانده در خط کل (کیلوگرم)]]</f>
        <v>0</v>
      </c>
      <c r="X1519" s="6">
        <f ca="1">-SUBTOTAL(9,INDEX(Main[مقدار تسویه شده (کیلوگرم)],1):Main[[#This Row],[مقدار تسویه شده (کیلوگرم)]])</f>
        <v>31843</v>
      </c>
      <c r="Y1519" s="6">
        <f ca="1">IF(Main[[#This Row],[مانده در خط تسویه شده (کیلوگرم)]]&lt;&gt;0,Main[[#This Row],[تعداد کل روزهای بدهکار (روز)]],0)</f>
        <v>0</v>
      </c>
      <c r="Z1519" s="6">
        <f ca="1">Main[[#This Row],[تعداد روزهای بدهکار تسویه شده (روز)]]*Main[[#This Row],[مانده در خط تسویه شده (کیلوگرم)]]</f>
        <v>0</v>
      </c>
      <c r="AA1519" s="6">
        <f ca="1">SUBTOTAL(9,INDEX(Main[بدهی تسویه نشده (کیلوگرم)],1):Main[[#This Row],[بدهی تسویه نشده (کیلوگرم)]])</f>
        <v>0</v>
      </c>
      <c r="AB1519" s="6">
        <f ca="1">IF(Main[[#This Row],[مانده در خط تسویه نشده (کیلوگرم)]]&lt;&gt;0,Main[[#This Row],[تعداد کل روزهای بدهکار (روز)]],0)</f>
        <v>0</v>
      </c>
      <c r="AC1519" s="6">
        <f ca="1">Main[[#This Row],[تعداد روزهای بدهکار  تسویه نشده (روز)]]*Main[[#This Row],[مانده در خط تسویه نشده (کیلوگرم)]]</f>
        <v>0</v>
      </c>
      <c r="AD1519" s="6">
        <f ca="1">SUBTOTAL(9,INDEX(Main[بدهی سررسید شده (کیلوگرم)],1):Main[[#This Row],[بدهی سررسید شده (کیلوگرم)]])</f>
        <v>0</v>
      </c>
      <c r="AE1519" s="6">
        <f ca="1">IF(Main[[#This Row],[مانده در خط سررسید شده (کیلوگرم)]]&lt;&gt;0,Main[[#This Row],[تعداد کل روزهای بدهکار (روز)]],0)</f>
        <v>0</v>
      </c>
      <c r="AF1519" s="6">
        <f ca="1">Main[[#This Row],[تعداد روزهای بدهکار سررسید شده (روز)]]*Main[[#This Row],[مانده در خط سررسید شده (کیلوگرم)]]</f>
        <v>0</v>
      </c>
    </row>
    <row r="1520" spans="1:32" hidden="1" x14ac:dyDescent="0.35">
      <c r="A1520" s="5">
        <f>ROW()-ROW(INDEX(Main[ردیف],1))+1</f>
        <v>1518</v>
      </c>
      <c r="B1520" s="31">
        <f>SUBTOTAL(2,INDEX(Main[ردیف],1):Main[[#This Row],[ردیف]])</f>
        <v>136</v>
      </c>
      <c r="C1520" s="32" t="s">
        <v>687</v>
      </c>
      <c r="D1520" s="32" t="str">
        <f>_xlfn.CONCAT("14",Main[[#This Row],[تاريخ]])</f>
        <v>1400/06/15</v>
      </c>
      <c r="E1520" s="33">
        <v>44445</v>
      </c>
      <c r="F1520" s="32">
        <v>10131</v>
      </c>
      <c r="G1520" s="5" t="str">
        <f>INDEX(customer[عنوان],MATCH(Main[[#This Row],[کد ردیابی]],customer[کد],0))</f>
        <v>بهرام چرخیان</v>
      </c>
      <c r="H1520">
        <v>-1036</v>
      </c>
      <c r="I1520" s="6">
        <f ca="1">-Main[[#This Row],[بدهی تسویه شده (کیلوگرم)]]+Main[[#This Row],[بستانکار (کیلوگرم)]]</f>
        <v>-1036</v>
      </c>
      <c r="J1520" s="6">
        <f>IF(Main[[#This Row],[مقدار (کیلوگرم)]]&gt;0,Main[[#This Row],[مقدار (کیلوگرم)]],0)</f>
        <v>0</v>
      </c>
      <c r="K1520" s="6">
        <f>-IF(Main[[#This Row],[مقدار (کیلوگرم)]]&lt;0,Main[[#This Row],[مقدار (کیلوگرم)]],0)</f>
        <v>1036</v>
      </c>
      <c r="L15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0" s="7">
        <f>-IF(AND(Main[[#This Row],[مقدار (کیلوگرم)]]&lt;0,Main[[#This Row],[تاريخ میلادی]]&gt;44276),Main[[#This Row],[مقدار (کیلوگرم)]],0)</f>
        <v>1036</v>
      </c>
      <c r="N1520" s="6">
        <f ca="1">Main[[#This Row],[بدهکار (کیلوگرم)]]-Main[[#This Row],[بدهی تسویه نشده (کیلوگرم)]]</f>
        <v>1036</v>
      </c>
      <c r="O1520" s="6">
        <f ca="1">Main[[#This Row],[تفکیک]]</f>
        <v>0</v>
      </c>
      <c r="P1520" s="6">
        <f ca="1">IF(Main[[#This Row],[تاخیر از سررسید]]&gt;0,Main[[#This Row],[بدهی تسویه نشده (کیلوگرم)]],0)</f>
        <v>0</v>
      </c>
      <c r="Q1520" s="6">
        <f ca="1">IF(Main[[#This Row],[بدهی تسویه نشده (کیلوگرم)]]&gt;0,'گزارش فردی'!$B$7-Main[[#This Row],[تاريخ میلادی]],0)</f>
        <v>0</v>
      </c>
      <c r="R1520" s="6">
        <f ca="1">IF(Main[[#This Row],[بدهی تسویه نشده (کیلوگرم)]]&gt;0,'گزارش فردی'!$B$7-Main[[#This Row],[تاريخ میلادی]]-'گزارش فردی'!$B$8,0)</f>
        <v>0</v>
      </c>
      <c r="S1520" s="6">
        <f ca="1">Main[[#This Row],[روز از ارسال سفارش]]*Main[[#This Row],[بدهی تسویه نشده (کیلوگرم)]]</f>
        <v>0</v>
      </c>
      <c r="T1520" s="6">
        <f ca="1">Main[[#This Row],[بدهی سررسید شده (کیلوگرم)]]*Main[[#This Row],[روز از ارسال سفارش]]</f>
        <v>0</v>
      </c>
      <c r="U1520" s="6">
        <f>-SUBTOTAL(9,INDEX(Main[مقدار (کیلوگرم)],1):Main[[#This Row],[مقدار (کیلوگرم)]])</f>
        <v>31843</v>
      </c>
      <c r="V15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0" s="6">
        <f>Main[[#This Row],[تعداد کل روزهای بدهکار (روز)]]*Main[[#This Row],[مانده در خط کل (کیلوگرم)]]</f>
        <v>0</v>
      </c>
      <c r="X1520" s="6">
        <f ca="1">-SUBTOTAL(9,INDEX(Main[مقدار تسویه شده (کیلوگرم)],1):Main[[#This Row],[مقدار تسویه شده (کیلوگرم)]])</f>
        <v>31843</v>
      </c>
      <c r="Y1520" s="6">
        <f ca="1">IF(Main[[#This Row],[مانده در خط تسویه شده (کیلوگرم)]]&lt;&gt;0,Main[[#This Row],[تعداد کل روزهای بدهکار (روز)]],0)</f>
        <v>0</v>
      </c>
      <c r="Z1520" s="6">
        <f ca="1">Main[[#This Row],[تعداد روزهای بدهکار تسویه شده (روز)]]*Main[[#This Row],[مانده در خط تسویه شده (کیلوگرم)]]</f>
        <v>0</v>
      </c>
      <c r="AA1520" s="6">
        <f ca="1">SUBTOTAL(9,INDEX(Main[بدهی تسویه نشده (کیلوگرم)],1):Main[[#This Row],[بدهی تسویه نشده (کیلوگرم)]])</f>
        <v>0</v>
      </c>
      <c r="AB1520" s="6">
        <f ca="1">IF(Main[[#This Row],[مانده در خط تسویه نشده (کیلوگرم)]]&lt;&gt;0,Main[[#This Row],[تعداد کل روزهای بدهکار (روز)]],0)</f>
        <v>0</v>
      </c>
      <c r="AC1520" s="6">
        <f ca="1">Main[[#This Row],[تعداد روزهای بدهکار  تسویه نشده (روز)]]*Main[[#This Row],[مانده در خط تسویه نشده (کیلوگرم)]]</f>
        <v>0</v>
      </c>
      <c r="AD1520" s="6">
        <f ca="1">SUBTOTAL(9,INDEX(Main[بدهی سررسید شده (کیلوگرم)],1):Main[[#This Row],[بدهی سررسید شده (کیلوگرم)]])</f>
        <v>0</v>
      </c>
      <c r="AE1520" s="6">
        <f ca="1">IF(Main[[#This Row],[مانده در خط سررسید شده (کیلوگرم)]]&lt;&gt;0,Main[[#This Row],[تعداد کل روزهای بدهکار (روز)]],0)</f>
        <v>0</v>
      </c>
      <c r="AF1520" s="6">
        <f ca="1">Main[[#This Row],[تعداد روزهای بدهکار سررسید شده (روز)]]*Main[[#This Row],[مانده در خط سررسید شده (کیلوگرم)]]</f>
        <v>0</v>
      </c>
    </row>
    <row r="1521" spans="1:32" hidden="1" x14ac:dyDescent="0.35">
      <c r="A1521" s="5">
        <f>ROW()-ROW(INDEX(Main[ردیف],1))+1</f>
        <v>1519</v>
      </c>
      <c r="B1521" s="31">
        <f>SUBTOTAL(2,INDEX(Main[ردیف],1):Main[[#This Row],[ردیف]])</f>
        <v>136</v>
      </c>
      <c r="C1521" s="32" t="s">
        <v>687</v>
      </c>
      <c r="D1521" s="32" t="str">
        <f>_xlfn.CONCAT("14",Main[[#This Row],[تاريخ]])</f>
        <v>1400/06/15</v>
      </c>
      <c r="E1521" s="33">
        <v>44445</v>
      </c>
      <c r="F1521" s="32">
        <v>30081</v>
      </c>
      <c r="G1521" s="5" t="str">
        <f>INDEX(customer[عنوان],MATCH(Main[[#This Row],[کد ردیابی]],customer[کد],0))</f>
        <v xml:space="preserve">شیرآلات بهداشتی راسان </v>
      </c>
      <c r="H1521">
        <v>4140</v>
      </c>
      <c r="I1521" s="6">
        <f ca="1">-Main[[#This Row],[بدهی تسویه شده (کیلوگرم)]]+Main[[#This Row],[بستانکار (کیلوگرم)]]</f>
        <v>4140</v>
      </c>
      <c r="J1521" s="6">
        <f>IF(Main[[#This Row],[مقدار (کیلوگرم)]]&gt;0,Main[[#This Row],[مقدار (کیلوگرم)]],0)</f>
        <v>4140</v>
      </c>
      <c r="K1521" s="6">
        <f>-IF(Main[[#This Row],[مقدار (کیلوگرم)]]&lt;0,Main[[#This Row],[مقدار (کیلوگرم)]],0)</f>
        <v>0</v>
      </c>
      <c r="L15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1" s="7">
        <f>-IF(AND(Main[[#This Row],[مقدار (کیلوگرم)]]&lt;0,Main[[#This Row],[تاريخ میلادی]]&gt;44276),Main[[#This Row],[مقدار (کیلوگرم)]],0)</f>
        <v>0</v>
      </c>
      <c r="N1521" s="6">
        <f ca="1">Main[[#This Row],[بدهکار (کیلوگرم)]]-Main[[#This Row],[بدهی تسویه نشده (کیلوگرم)]]</f>
        <v>0</v>
      </c>
      <c r="O1521" s="6">
        <f ca="1">Main[[#This Row],[تفکیک]]</f>
        <v>0</v>
      </c>
      <c r="P1521" s="6">
        <f ca="1">IF(Main[[#This Row],[تاخیر از سررسید]]&gt;0,Main[[#This Row],[بدهی تسویه نشده (کیلوگرم)]],0)</f>
        <v>0</v>
      </c>
      <c r="Q1521" s="6">
        <f ca="1">IF(Main[[#This Row],[بدهی تسویه نشده (کیلوگرم)]]&gt;0,'گزارش فردی'!$B$7-Main[[#This Row],[تاريخ میلادی]],0)</f>
        <v>0</v>
      </c>
      <c r="R1521" s="6">
        <f ca="1">IF(Main[[#This Row],[بدهی تسویه نشده (کیلوگرم)]]&gt;0,'گزارش فردی'!$B$7-Main[[#This Row],[تاريخ میلادی]]-'گزارش فردی'!$B$8,0)</f>
        <v>0</v>
      </c>
      <c r="S1521" s="6">
        <f ca="1">Main[[#This Row],[روز از ارسال سفارش]]*Main[[#This Row],[بدهی تسویه نشده (کیلوگرم)]]</f>
        <v>0</v>
      </c>
      <c r="T1521" s="6">
        <f ca="1">Main[[#This Row],[بدهی سررسید شده (کیلوگرم)]]*Main[[#This Row],[روز از ارسال سفارش]]</f>
        <v>0</v>
      </c>
      <c r="U1521" s="6">
        <f>-SUBTOTAL(9,INDEX(Main[مقدار (کیلوگرم)],1):Main[[#This Row],[مقدار (کیلوگرم)]])</f>
        <v>31843</v>
      </c>
      <c r="V15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1" s="6">
        <f>Main[[#This Row],[تعداد کل روزهای بدهکار (روز)]]*Main[[#This Row],[مانده در خط کل (کیلوگرم)]]</f>
        <v>0</v>
      </c>
      <c r="X1521" s="6">
        <f ca="1">-SUBTOTAL(9,INDEX(Main[مقدار تسویه شده (کیلوگرم)],1):Main[[#This Row],[مقدار تسویه شده (کیلوگرم)]])</f>
        <v>31843</v>
      </c>
      <c r="Y1521" s="6">
        <f ca="1">IF(Main[[#This Row],[مانده در خط تسویه شده (کیلوگرم)]]&lt;&gt;0,Main[[#This Row],[تعداد کل روزهای بدهکار (روز)]],0)</f>
        <v>0</v>
      </c>
      <c r="Z1521" s="6">
        <f ca="1">Main[[#This Row],[تعداد روزهای بدهکار تسویه شده (روز)]]*Main[[#This Row],[مانده در خط تسویه شده (کیلوگرم)]]</f>
        <v>0</v>
      </c>
      <c r="AA1521" s="6">
        <f ca="1">SUBTOTAL(9,INDEX(Main[بدهی تسویه نشده (کیلوگرم)],1):Main[[#This Row],[بدهی تسویه نشده (کیلوگرم)]])</f>
        <v>0</v>
      </c>
      <c r="AB1521" s="6">
        <f ca="1">IF(Main[[#This Row],[مانده در خط تسویه نشده (کیلوگرم)]]&lt;&gt;0,Main[[#This Row],[تعداد کل روزهای بدهکار (روز)]],0)</f>
        <v>0</v>
      </c>
      <c r="AC1521" s="6">
        <f ca="1">Main[[#This Row],[تعداد روزهای بدهکار  تسویه نشده (روز)]]*Main[[#This Row],[مانده در خط تسویه نشده (کیلوگرم)]]</f>
        <v>0</v>
      </c>
      <c r="AD1521" s="6">
        <f ca="1">SUBTOTAL(9,INDEX(Main[بدهی سررسید شده (کیلوگرم)],1):Main[[#This Row],[بدهی سررسید شده (کیلوگرم)]])</f>
        <v>0</v>
      </c>
      <c r="AE1521" s="6">
        <f ca="1">IF(Main[[#This Row],[مانده در خط سررسید شده (کیلوگرم)]]&lt;&gt;0,Main[[#This Row],[تعداد کل روزهای بدهکار (روز)]],0)</f>
        <v>0</v>
      </c>
      <c r="AF1521" s="6">
        <f ca="1">Main[[#This Row],[تعداد روزهای بدهکار سررسید شده (روز)]]*Main[[#This Row],[مانده در خط سررسید شده (کیلوگرم)]]</f>
        <v>0</v>
      </c>
    </row>
    <row r="1522" spans="1:32" hidden="1" x14ac:dyDescent="0.35">
      <c r="A1522" s="5">
        <f>ROW()-ROW(INDEX(Main[ردیف],1))+1</f>
        <v>1520</v>
      </c>
      <c r="B1522" s="31">
        <f>SUBTOTAL(2,INDEX(Main[ردیف],1):Main[[#This Row],[ردیف]])</f>
        <v>136</v>
      </c>
      <c r="C1522" s="32" t="s">
        <v>687</v>
      </c>
      <c r="D1522" s="32" t="str">
        <f>_xlfn.CONCAT("14",Main[[#This Row],[تاريخ]])</f>
        <v>1400/06/15</v>
      </c>
      <c r="E1522" s="33">
        <v>44445</v>
      </c>
      <c r="F1522" s="32">
        <v>10057</v>
      </c>
      <c r="G1522" s="5" t="str">
        <f>INDEX(customer[عنوان],MATCH(Main[[#This Row],[کد ردیابی]],customer[کد],0))</f>
        <v xml:space="preserve">عبدالله یادگار </v>
      </c>
      <c r="H1522">
        <v>-2073</v>
      </c>
      <c r="I1522" s="6">
        <f ca="1">-Main[[#This Row],[بدهی تسویه شده (کیلوگرم)]]+Main[[#This Row],[بستانکار (کیلوگرم)]]</f>
        <v>-2073</v>
      </c>
      <c r="J1522" s="6">
        <f>IF(Main[[#This Row],[مقدار (کیلوگرم)]]&gt;0,Main[[#This Row],[مقدار (کیلوگرم)]],0)</f>
        <v>0</v>
      </c>
      <c r="K1522" s="6">
        <f>-IF(Main[[#This Row],[مقدار (کیلوگرم)]]&lt;0,Main[[#This Row],[مقدار (کیلوگرم)]],0)</f>
        <v>2073</v>
      </c>
      <c r="L15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2" s="7">
        <f>-IF(AND(Main[[#This Row],[مقدار (کیلوگرم)]]&lt;0,Main[[#This Row],[تاريخ میلادی]]&gt;44276),Main[[#This Row],[مقدار (کیلوگرم)]],0)</f>
        <v>2073</v>
      </c>
      <c r="N1522" s="6">
        <f ca="1">Main[[#This Row],[بدهکار (کیلوگرم)]]-Main[[#This Row],[بدهی تسویه نشده (کیلوگرم)]]</f>
        <v>2073</v>
      </c>
      <c r="O1522" s="6">
        <f ca="1">Main[[#This Row],[تفکیک]]</f>
        <v>0</v>
      </c>
      <c r="P1522" s="6">
        <f ca="1">IF(Main[[#This Row],[تاخیر از سررسید]]&gt;0,Main[[#This Row],[بدهی تسویه نشده (کیلوگرم)]],0)</f>
        <v>0</v>
      </c>
      <c r="Q1522" s="6">
        <f ca="1">IF(Main[[#This Row],[بدهی تسویه نشده (کیلوگرم)]]&gt;0,'گزارش فردی'!$B$7-Main[[#This Row],[تاريخ میلادی]],0)</f>
        <v>0</v>
      </c>
      <c r="R1522" s="6">
        <f ca="1">IF(Main[[#This Row],[بدهی تسویه نشده (کیلوگرم)]]&gt;0,'گزارش فردی'!$B$7-Main[[#This Row],[تاريخ میلادی]]-'گزارش فردی'!$B$8,0)</f>
        <v>0</v>
      </c>
      <c r="S1522" s="6">
        <f ca="1">Main[[#This Row],[روز از ارسال سفارش]]*Main[[#This Row],[بدهی تسویه نشده (کیلوگرم)]]</f>
        <v>0</v>
      </c>
      <c r="T1522" s="6">
        <f ca="1">Main[[#This Row],[بدهی سررسید شده (کیلوگرم)]]*Main[[#This Row],[روز از ارسال سفارش]]</f>
        <v>0</v>
      </c>
      <c r="U1522" s="6">
        <f>-SUBTOTAL(9,INDEX(Main[مقدار (کیلوگرم)],1):Main[[#This Row],[مقدار (کیلوگرم)]])</f>
        <v>31843</v>
      </c>
      <c r="V15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2" s="6">
        <f>Main[[#This Row],[تعداد کل روزهای بدهکار (روز)]]*Main[[#This Row],[مانده در خط کل (کیلوگرم)]]</f>
        <v>0</v>
      </c>
      <c r="X1522" s="6">
        <f ca="1">-SUBTOTAL(9,INDEX(Main[مقدار تسویه شده (کیلوگرم)],1):Main[[#This Row],[مقدار تسویه شده (کیلوگرم)]])</f>
        <v>31843</v>
      </c>
      <c r="Y1522" s="6">
        <f ca="1">IF(Main[[#This Row],[مانده در خط تسویه شده (کیلوگرم)]]&lt;&gt;0,Main[[#This Row],[تعداد کل روزهای بدهکار (روز)]],0)</f>
        <v>0</v>
      </c>
      <c r="Z1522" s="6">
        <f ca="1">Main[[#This Row],[تعداد روزهای بدهکار تسویه شده (روز)]]*Main[[#This Row],[مانده در خط تسویه شده (کیلوگرم)]]</f>
        <v>0</v>
      </c>
      <c r="AA1522" s="6">
        <f ca="1">SUBTOTAL(9,INDEX(Main[بدهی تسویه نشده (کیلوگرم)],1):Main[[#This Row],[بدهی تسویه نشده (کیلوگرم)]])</f>
        <v>0</v>
      </c>
      <c r="AB1522" s="6">
        <f ca="1">IF(Main[[#This Row],[مانده در خط تسویه نشده (کیلوگرم)]]&lt;&gt;0,Main[[#This Row],[تعداد کل روزهای بدهکار (روز)]],0)</f>
        <v>0</v>
      </c>
      <c r="AC1522" s="6">
        <f ca="1">Main[[#This Row],[تعداد روزهای بدهکار  تسویه نشده (روز)]]*Main[[#This Row],[مانده در خط تسویه نشده (کیلوگرم)]]</f>
        <v>0</v>
      </c>
      <c r="AD1522" s="6">
        <f ca="1">SUBTOTAL(9,INDEX(Main[بدهی سررسید شده (کیلوگرم)],1):Main[[#This Row],[بدهی سررسید شده (کیلوگرم)]])</f>
        <v>0</v>
      </c>
      <c r="AE1522" s="6">
        <f ca="1">IF(Main[[#This Row],[مانده در خط سررسید شده (کیلوگرم)]]&lt;&gt;0,Main[[#This Row],[تعداد کل روزهای بدهکار (روز)]],0)</f>
        <v>0</v>
      </c>
      <c r="AF1522" s="6">
        <f ca="1">Main[[#This Row],[تعداد روزهای بدهکار سررسید شده (روز)]]*Main[[#This Row],[مانده در خط سررسید شده (کیلوگرم)]]</f>
        <v>0</v>
      </c>
    </row>
    <row r="1523" spans="1:32" hidden="1" x14ac:dyDescent="0.35">
      <c r="A1523" s="5">
        <f>ROW()-ROW(INDEX(Main[ردیف],1))+1</f>
        <v>1521</v>
      </c>
      <c r="B1523" s="31">
        <f>SUBTOTAL(2,INDEX(Main[ردیف],1):Main[[#This Row],[ردیف]])</f>
        <v>136</v>
      </c>
      <c r="C1523" s="32" t="s">
        <v>687</v>
      </c>
      <c r="D1523" s="32" t="str">
        <f>_xlfn.CONCAT("14",Main[[#This Row],[تاريخ]])</f>
        <v>1400/06/15</v>
      </c>
      <c r="E1523" s="33">
        <v>44445</v>
      </c>
      <c r="F1523" s="32">
        <v>10014</v>
      </c>
      <c r="G1523" s="5" t="str">
        <f>INDEX(customer[عنوان],MATCH(Main[[#This Row],[کد ردیابی]],customer[کد],0))</f>
        <v xml:space="preserve">امامی </v>
      </c>
      <c r="H1523">
        <v>1036</v>
      </c>
      <c r="I1523" s="6">
        <f ca="1">-Main[[#This Row],[بدهی تسویه شده (کیلوگرم)]]+Main[[#This Row],[بستانکار (کیلوگرم)]]</f>
        <v>1036</v>
      </c>
      <c r="J1523" s="6">
        <f>IF(Main[[#This Row],[مقدار (کیلوگرم)]]&gt;0,Main[[#This Row],[مقدار (کیلوگرم)]],0)</f>
        <v>1036</v>
      </c>
      <c r="K1523" s="6">
        <f>-IF(Main[[#This Row],[مقدار (کیلوگرم)]]&lt;0,Main[[#This Row],[مقدار (کیلوگرم)]],0)</f>
        <v>0</v>
      </c>
      <c r="L15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3" s="7">
        <f>-IF(AND(Main[[#This Row],[مقدار (کیلوگرم)]]&lt;0,Main[[#This Row],[تاريخ میلادی]]&gt;44276),Main[[#This Row],[مقدار (کیلوگرم)]],0)</f>
        <v>0</v>
      </c>
      <c r="N1523" s="6">
        <f ca="1">Main[[#This Row],[بدهکار (کیلوگرم)]]-Main[[#This Row],[بدهی تسویه نشده (کیلوگرم)]]</f>
        <v>0</v>
      </c>
      <c r="O1523" s="6">
        <f ca="1">Main[[#This Row],[تفکیک]]</f>
        <v>0</v>
      </c>
      <c r="P1523" s="6">
        <f ca="1">IF(Main[[#This Row],[تاخیر از سررسید]]&gt;0,Main[[#This Row],[بدهی تسویه نشده (کیلوگرم)]],0)</f>
        <v>0</v>
      </c>
      <c r="Q1523" s="6">
        <f ca="1">IF(Main[[#This Row],[بدهی تسویه نشده (کیلوگرم)]]&gt;0,'گزارش فردی'!$B$7-Main[[#This Row],[تاريخ میلادی]],0)</f>
        <v>0</v>
      </c>
      <c r="R1523" s="6">
        <f ca="1">IF(Main[[#This Row],[بدهی تسویه نشده (کیلوگرم)]]&gt;0,'گزارش فردی'!$B$7-Main[[#This Row],[تاريخ میلادی]]-'گزارش فردی'!$B$8,0)</f>
        <v>0</v>
      </c>
      <c r="S1523" s="6">
        <f ca="1">Main[[#This Row],[روز از ارسال سفارش]]*Main[[#This Row],[بدهی تسویه نشده (کیلوگرم)]]</f>
        <v>0</v>
      </c>
      <c r="T1523" s="6">
        <f ca="1">Main[[#This Row],[بدهی سررسید شده (کیلوگرم)]]*Main[[#This Row],[روز از ارسال سفارش]]</f>
        <v>0</v>
      </c>
      <c r="U1523" s="6">
        <f>-SUBTOTAL(9,INDEX(Main[مقدار (کیلوگرم)],1):Main[[#This Row],[مقدار (کیلوگرم)]])</f>
        <v>31843</v>
      </c>
      <c r="V15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3" s="6">
        <f>Main[[#This Row],[تعداد کل روزهای بدهکار (روز)]]*Main[[#This Row],[مانده در خط کل (کیلوگرم)]]</f>
        <v>0</v>
      </c>
      <c r="X1523" s="6">
        <f ca="1">-SUBTOTAL(9,INDEX(Main[مقدار تسویه شده (کیلوگرم)],1):Main[[#This Row],[مقدار تسویه شده (کیلوگرم)]])</f>
        <v>31843</v>
      </c>
      <c r="Y1523" s="6">
        <f ca="1">IF(Main[[#This Row],[مانده در خط تسویه شده (کیلوگرم)]]&lt;&gt;0,Main[[#This Row],[تعداد کل روزهای بدهکار (روز)]],0)</f>
        <v>0</v>
      </c>
      <c r="Z1523" s="6">
        <f ca="1">Main[[#This Row],[تعداد روزهای بدهکار تسویه شده (روز)]]*Main[[#This Row],[مانده در خط تسویه شده (کیلوگرم)]]</f>
        <v>0</v>
      </c>
      <c r="AA1523" s="6">
        <f ca="1">SUBTOTAL(9,INDEX(Main[بدهی تسویه نشده (کیلوگرم)],1):Main[[#This Row],[بدهی تسویه نشده (کیلوگرم)]])</f>
        <v>0</v>
      </c>
      <c r="AB1523" s="6">
        <f ca="1">IF(Main[[#This Row],[مانده در خط تسویه نشده (کیلوگرم)]]&lt;&gt;0,Main[[#This Row],[تعداد کل روزهای بدهکار (روز)]],0)</f>
        <v>0</v>
      </c>
      <c r="AC1523" s="6">
        <f ca="1">Main[[#This Row],[تعداد روزهای بدهکار  تسویه نشده (روز)]]*Main[[#This Row],[مانده در خط تسویه نشده (کیلوگرم)]]</f>
        <v>0</v>
      </c>
      <c r="AD1523" s="6">
        <f ca="1">SUBTOTAL(9,INDEX(Main[بدهی سررسید شده (کیلوگرم)],1):Main[[#This Row],[بدهی سررسید شده (کیلوگرم)]])</f>
        <v>0</v>
      </c>
      <c r="AE1523" s="6">
        <f ca="1">IF(Main[[#This Row],[مانده در خط سررسید شده (کیلوگرم)]]&lt;&gt;0,Main[[#This Row],[تعداد کل روزهای بدهکار (روز)]],0)</f>
        <v>0</v>
      </c>
      <c r="AF1523" s="6">
        <f ca="1">Main[[#This Row],[تعداد روزهای بدهکار سررسید شده (روز)]]*Main[[#This Row],[مانده در خط سررسید شده (کیلوگرم)]]</f>
        <v>0</v>
      </c>
    </row>
    <row r="1524" spans="1:32" x14ac:dyDescent="0.35">
      <c r="A1524" s="5">
        <f>ROW()-ROW(INDEX(Main[ردیف],1))+1</f>
        <v>1522</v>
      </c>
      <c r="B1524" s="31">
        <f>SUBTOTAL(2,INDEX(Main[ردیف],1):Main[[#This Row],[ردیف]])</f>
        <v>137</v>
      </c>
      <c r="C1524" s="32" t="s">
        <v>687</v>
      </c>
      <c r="D1524" s="32" t="str">
        <f>_xlfn.CONCAT("14",Main[[#This Row],[تاريخ]])</f>
        <v>1400/06/15</v>
      </c>
      <c r="E1524" s="33">
        <v>44445</v>
      </c>
      <c r="F1524" s="32">
        <v>10003</v>
      </c>
      <c r="G1524" s="5" t="str">
        <f>INDEX(customer[عنوان],MATCH(Main[[#This Row],[کد ردیابی]],customer[کد],0))</f>
        <v>اصغر نورعلی</v>
      </c>
      <c r="H1524">
        <v>-1889</v>
      </c>
      <c r="I1524" s="6">
        <f ca="1">-Main[[#This Row],[بدهی تسویه شده (کیلوگرم)]]+Main[[#This Row],[بستانکار (کیلوگرم)]]</f>
        <v>-1889</v>
      </c>
      <c r="J1524" s="6">
        <f>IF(Main[[#This Row],[مقدار (کیلوگرم)]]&gt;0,Main[[#This Row],[مقدار (کیلوگرم)]],0)</f>
        <v>0</v>
      </c>
      <c r="K1524" s="6">
        <f>-IF(Main[[#This Row],[مقدار (کیلوگرم)]]&lt;0,Main[[#This Row],[مقدار (کیلوگرم)]],0)</f>
        <v>1889</v>
      </c>
      <c r="L15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4" s="7">
        <f>-IF(AND(Main[[#This Row],[مقدار (کیلوگرم)]]&lt;0,Main[[#This Row],[تاريخ میلادی]]&gt;44276),Main[[#This Row],[مقدار (کیلوگرم)]],0)</f>
        <v>1889</v>
      </c>
      <c r="N1524" s="6">
        <f ca="1">Main[[#This Row],[بدهکار (کیلوگرم)]]-Main[[#This Row],[بدهی تسویه نشده (کیلوگرم)]]</f>
        <v>1889</v>
      </c>
      <c r="O1524" s="6">
        <f ca="1">Main[[#This Row],[تفکیک]]</f>
        <v>0</v>
      </c>
      <c r="P1524" s="6">
        <f ca="1">IF(Main[[#This Row],[تاخیر از سررسید]]&gt;0,Main[[#This Row],[بدهی تسویه نشده (کیلوگرم)]],0)</f>
        <v>0</v>
      </c>
      <c r="Q1524" s="6">
        <f ca="1">IF(Main[[#This Row],[بدهی تسویه نشده (کیلوگرم)]]&gt;0,'گزارش فردی'!$B$7-Main[[#This Row],[تاريخ میلادی]],0)</f>
        <v>0</v>
      </c>
      <c r="R1524" s="6">
        <f ca="1">IF(Main[[#This Row],[بدهی تسویه نشده (کیلوگرم)]]&gt;0,'گزارش فردی'!$B$7-Main[[#This Row],[تاريخ میلادی]]-'گزارش فردی'!$B$8,0)</f>
        <v>0</v>
      </c>
      <c r="S1524" s="6">
        <f ca="1">Main[[#This Row],[روز از ارسال سفارش]]*Main[[#This Row],[بدهی تسویه نشده (کیلوگرم)]]</f>
        <v>0</v>
      </c>
      <c r="T1524" s="6">
        <f ca="1">Main[[#This Row],[بدهی سررسید شده (کیلوگرم)]]*Main[[#This Row],[روز از ارسال سفارش]]</f>
        <v>0</v>
      </c>
      <c r="U1524" s="6">
        <f>-SUBTOTAL(9,INDEX(Main[مقدار (کیلوگرم)],1):Main[[#This Row],[مقدار (کیلوگرم)]])</f>
        <v>33732</v>
      </c>
      <c r="V15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4" s="6">
        <f>Main[[#This Row],[تعداد کل روزهای بدهکار (روز)]]*Main[[#This Row],[مانده در خط کل (کیلوگرم)]]</f>
        <v>0</v>
      </c>
      <c r="X1524" s="6">
        <f ca="1">-SUBTOTAL(9,INDEX(Main[مقدار تسویه شده (کیلوگرم)],1):Main[[#This Row],[مقدار تسویه شده (کیلوگرم)]])</f>
        <v>33732</v>
      </c>
      <c r="Y1524" s="6">
        <f ca="1">IF(Main[[#This Row],[مانده در خط تسویه شده (کیلوگرم)]]&lt;&gt;0,Main[[#This Row],[تعداد کل روزهای بدهکار (روز)]],0)</f>
        <v>0</v>
      </c>
      <c r="Z1524" s="6">
        <f ca="1">Main[[#This Row],[تعداد روزهای بدهکار تسویه شده (روز)]]*Main[[#This Row],[مانده در خط تسویه شده (کیلوگرم)]]</f>
        <v>0</v>
      </c>
      <c r="AA1524" s="6">
        <f ca="1">SUBTOTAL(9,INDEX(Main[بدهی تسویه نشده (کیلوگرم)],1):Main[[#This Row],[بدهی تسویه نشده (کیلوگرم)]])</f>
        <v>0</v>
      </c>
      <c r="AB1524" s="6">
        <f ca="1">IF(Main[[#This Row],[مانده در خط تسویه نشده (کیلوگرم)]]&lt;&gt;0,Main[[#This Row],[تعداد کل روزهای بدهکار (روز)]],0)</f>
        <v>0</v>
      </c>
      <c r="AC1524" s="6">
        <f ca="1">Main[[#This Row],[تعداد روزهای بدهکار  تسویه نشده (روز)]]*Main[[#This Row],[مانده در خط تسویه نشده (کیلوگرم)]]</f>
        <v>0</v>
      </c>
      <c r="AD1524" s="6">
        <f ca="1">SUBTOTAL(9,INDEX(Main[بدهی سررسید شده (کیلوگرم)],1):Main[[#This Row],[بدهی سررسید شده (کیلوگرم)]])</f>
        <v>0</v>
      </c>
      <c r="AE1524" s="6">
        <f ca="1">IF(Main[[#This Row],[مانده در خط سررسید شده (کیلوگرم)]]&lt;&gt;0,Main[[#This Row],[تعداد کل روزهای بدهکار (روز)]],0)</f>
        <v>0</v>
      </c>
      <c r="AF1524" s="6">
        <f ca="1">Main[[#This Row],[تعداد روزهای بدهکار سررسید شده (روز)]]*Main[[#This Row],[مانده در خط سررسید شده (کیلوگرم)]]</f>
        <v>0</v>
      </c>
    </row>
    <row r="1525" spans="1:32" hidden="1" x14ac:dyDescent="0.35">
      <c r="A1525" s="5">
        <f>ROW()-ROW(INDEX(Main[ردیف],1))+1</f>
        <v>1523</v>
      </c>
      <c r="B1525" s="31">
        <f>SUBTOTAL(2,INDEX(Main[ردیف],1):Main[[#This Row],[ردیف]])</f>
        <v>137</v>
      </c>
      <c r="C1525" s="32" t="s">
        <v>687</v>
      </c>
      <c r="D1525" s="32" t="str">
        <f>_xlfn.CONCAT("14",Main[[#This Row],[تاريخ]])</f>
        <v>1400/06/15</v>
      </c>
      <c r="E1525" s="33">
        <v>44445</v>
      </c>
      <c r="F1525" s="32">
        <v>10055</v>
      </c>
      <c r="G1525" s="5" t="str">
        <f>INDEX(customer[عنوان],MATCH(Main[[#This Row],[کد ردیابی]],customer[کد],0))</f>
        <v xml:space="preserve">مریم فیض آبادی  </v>
      </c>
      <c r="H1525">
        <v>4916</v>
      </c>
      <c r="I1525" s="6">
        <f ca="1">-Main[[#This Row],[بدهی تسویه شده (کیلوگرم)]]+Main[[#This Row],[بستانکار (کیلوگرم)]]</f>
        <v>4916</v>
      </c>
      <c r="J1525" s="6">
        <f>IF(Main[[#This Row],[مقدار (کیلوگرم)]]&gt;0,Main[[#This Row],[مقدار (کیلوگرم)]],0)</f>
        <v>4916</v>
      </c>
      <c r="K1525" s="6">
        <f>-IF(Main[[#This Row],[مقدار (کیلوگرم)]]&lt;0,Main[[#This Row],[مقدار (کیلوگرم)]],0)</f>
        <v>0</v>
      </c>
      <c r="L15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5" s="7">
        <f>-IF(AND(Main[[#This Row],[مقدار (کیلوگرم)]]&lt;0,Main[[#This Row],[تاريخ میلادی]]&gt;44276),Main[[#This Row],[مقدار (کیلوگرم)]],0)</f>
        <v>0</v>
      </c>
      <c r="N1525" s="6">
        <f ca="1">Main[[#This Row],[بدهکار (کیلوگرم)]]-Main[[#This Row],[بدهی تسویه نشده (کیلوگرم)]]</f>
        <v>0</v>
      </c>
      <c r="O1525" s="6">
        <f ca="1">Main[[#This Row],[تفکیک]]</f>
        <v>0</v>
      </c>
      <c r="P1525" s="6">
        <f ca="1">IF(Main[[#This Row],[تاخیر از سررسید]]&gt;0,Main[[#This Row],[بدهی تسویه نشده (کیلوگرم)]],0)</f>
        <v>0</v>
      </c>
      <c r="Q1525" s="6">
        <f ca="1">IF(Main[[#This Row],[بدهی تسویه نشده (کیلوگرم)]]&gt;0,'گزارش فردی'!$B$7-Main[[#This Row],[تاريخ میلادی]],0)</f>
        <v>0</v>
      </c>
      <c r="R1525" s="6">
        <f ca="1">IF(Main[[#This Row],[بدهی تسویه نشده (کیلوگرم)]]&gt;0,'گزارش فردی'!$B$7-Main[[#This Row],[تاريخ میلادی]]-'گزارش فردی'!$B$8,0)</f>
        <v>0</v>
      </c>
      <c r="S1525" s="6">
        <f ca="1">Main[[#This Row],[روز از ارسال سفارش]]*Main[[#This Row],[بدهی تسویه نشده (کیلوگرم)]]</f>
        <v>0</v>
      </c>
      <c r="T1525" s="6">
        <f ca="1">Main[[#This Row],[بدهی سررسید شده (کیلوگرم)]]*Main[[#This Row],[روز از ارسال سفارش]]</f>
        <v>0</v>
      </c>
      <c r="U1525" s="6">
        <f>-SUBTOTAL(9,INDEX(Main[مقدار (کیلوگرم)],1):Main[[#This Row],[مقدار (کیلوگرم)]])</f>
        <v>33732</v>
      </c>
      <c r="V15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5" s="6">
        <f>Main[[#This Row],[تعداد کل روزهای بدهکار (روز)]]*Main[[#This Row],[مانده در خط کل (کیلوگرم)]]</f>
        <v>0</v>
      </c>
      <c r="X1525" s="6">
        <f ca="1">-SUBTOTAL(9,INDEX(Main[مقدار تسویه شده (کیلوگرم)],1):Main[[#This Row],[مقدار تسویه شده (کیلوگرم)]])</f>
        <v>33732</v>
      </c>
      <c r="Y1525" s="6">
        <f ca="1">IF(Main[[#This Row],[مانده در خط تسویه شده (کیلوگرم)]]&lt;&gt;0,Main[[#This Row],[تعداد کل روزهای بدهکار (روز)]],0)</f>
        <v>0</v>
      </c>
      <c r="Z1525" s="6">
        <f ca="1">Main[[#This Row],[تعداد روزهای بدهکار تسویه شده (روز)]]*Main[[#This Row],[مانده در خط تسویه شده (کیلوگرم)]]</f>
        <v>0</v>
      </c>
      <c r="AA1525" s="6">
        <f ca="1">SUBTOTAL(9,INDEX(Main[بدهی تسویه نشده (کیلوگرم)],1):Main[[#This Row],[بدهی تسویه نشده (کیلوگرم)]])</f>
        <v>0</v>
      </c>
      <c r="AB1525" s="6">
        <f ca="1">IF(Main[[#This Row],[مانده در خط تسویه نشده (کیلوگرم)]]&lt;&gt;0,Main[[#This Row],[تعداد کل روزهای بدهکار (روز)]],0)</f>
        <v>0</v>
      </c>
      <c r="AC1525" s="6">
        <f ca="1">Main[[#This Row],[تعداد روزهای بدهکار  تسویه نشده (روز)]]*Main[[#This Row],[مانده در خط تسویه نشده (کیلوگرم)]]</f>
        <v>0</v>
      </c>
      <c r="AD1525" s="6">
        <f ca="1">SUBTOTAL(9,INDEX(Main[بدهی سررسید شده (کیلوگرم)],1):Main[[#This Row],[بدهی سررسید شده (کیلوگرم)]])</f>
        <v>0</v>
      </c>
      <c r="AE1525" s="6">
        <f ca="1">IF(Main[[#This Row],[مانده در خط سررسید شده (کیلوگرم)]]&lt;&gt;0,Main[[#This Row],[تعداد کل روزهای بدهکار (روز)]],0)</f>
        <v>0</v>
      </c>
      <c r="AF1525" s="6">
        <f ca="1">Main[[#This Row],[تعداد روزهای بدهکار سررسید شده (روز)]]*Main[[#This Row],[مانده در خط سررسید شده (کیلوگرم)]]</f>
        <v>0</v>
      </c>
    </row>
    <row r="1526" spans="1:32" hidden="1" x14ac:dyDescent="0.35">
      <c r="A1526" s="5">
        <f>ROW()-ROW(INDEX(Main[ردیف],1))+1</f>
        <v>1524</v>
      </c>
      <c r="B1526" s="31">
        <f>SUBTOTAL(2,INDEX(Main[ردیف],1):Main[[#This Row],[ردیف]])</f>
        <v>137</v>
      </c>
      <c r="C1526" s="32" t="s">
        <v>687</v>
      </c>
      <c r="D1526" s="32" t="str">
        <f>_xlfn.CONCAT("14",Main[[#This Row],[تاريخ]])</f>
        <v>1400/06/15</v>
      </c>
      <c r="E1526" s="33">
        <v>44445</v>
      </c>
      <c r="F1526" s="32">
        <v>10029</v>
      </c>
      <c r="G1526" s="5" t="str">
        <f>INDEX(customer[عنوان],MATCH(Main[[#This Row],[کد ردیابی]],customer[کد],0))</f>
        <v>رضا شریعتی</v>
      </c>
      <c r="H1526">
        <v>-1112</v>
      </c>
      <c r="I1526" s="6">
        <f ca="1">-Main[[#This Row],[بدهی تسویه شده (کیلوگرم)]]+Main[[#This Row],[بستانکار (کیلوگرم)]]</f>
        <v>-1112</v>
      </c>
      <c r="J1526" s="6">
        <f>IF(Main[[#This Row],[مقدار (کیلوگرم)]]&gt;0,Main[[#This Row],[مقدار (کیلوگرم)]],0)</f>
        <v>0</v>
      </c>
      <c r="K1526" s="6">
        <f>-IF(Main[[#This Row],[مقدار (کیلوگرم)]]&lt;0,Main[[#This Row],[مقدار (کیلوگرم)]],0)</f>
        <v>1112</v>
      </c>
      <c r="L15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6" s="7">
        <f>-IF(AND(Main[[#This Row],[مقدار (کیلوگرم)]]&lt;0,Main[[#This Row],[تاريخ میلادی]]&gt;44276),Main[[#This Row],[مقدار (کیلوگرم)]],0)</f>
        <v>1112</v>
      </c>
      <c r="N1526" s="6">
        <f ca="1">Main[[#This Row],[بدهکار (کیلوگرم)]]-Main[[#This Row],[بدهی تسویه نشده (کیلوگرم)]]</f>
        <v>1112</v>
      </c>
      <c r="O1526" s="6">
        <f ca="1">Main[[#This Row],[تفکیک]]</f>
        <v>0</v>
      </c>
      <c r="P1526" s="6">
        <f ca="1">IF(Main[[#This Row],[تاخیر از سررسید]]&gt;0,Main[[#This Row],[بدهی تسویه نشده (کیلوگرم)]],0)</f>
        <v>0</v>
      </c>
      <c r="Q1526" s="6">
        <f ca="1">IF(Main[[#This Row],[بدهی تسویه نشده (کیلوگرم)]]&gt;0,'گزارش فردی'!$B$7-Main[[#This Row],[تاريخ میلادی]],0)</f>
        <v>0</v>
      </c>
      <c r="R1526" s="6">
        <f ca="1">IF(Main[[#This Row],[بدهی تسویه نشده (کیلوگرم)]]&gt;0,'گزارش فردی'!$B$7-Main[[#This Row],[تاريخ میلادی]]-'گزارش فردی'!$B$8,0)</f>
        <v>0</v>
      </c>
      <c r="S1526" s="6">
        <f ca="1">Main[[#This Row],[روز از ارسال سفارش]]*Main[[#This Row],[بدهی تسویه نشده (کیلوگرم)]]</f>
        <v>0</v>
      </c>
      <c r="T1526" s="6">
        <f ca="1">Main[[#This Row],[بدهی سررسید شده (کیلوگرم)]]*Main[[#This Row],[روز از ارسال سفارش]]</f>
        <v>0</v>
      </c>
      <c r="U1526" s="6">
        <f>-SUBTOTAL(9,INDEX(Main[مقدار (کیلوگرم)],1):Main[[#This Row],[مقدار (کیلوگرم)]])</f>
        <v>33732</v>
      </c>
      <c r="V15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6" s="6">
        <f>Main[[#This Row],[تعداد کل روزهای بدهکار (روز)]]*Main[[#This Row],[مانده در خط کل (کیلوگرم)]]</f>
        <v>0</v>
      </c>
      <c r="X1526" s="6">
        <f ca="1">-SUBTOTAL(9,INDEX(Main[مقدار تسویه شده (کیلوگرم)],1):Main[[#This Row],[مقدار تسویه شده (کیلوگرم)]])</f>
        <v>33732</v>
      </c>
      <c r="Y1526" s="6">
        <f ca="1">IF(Main[[#This Row],[مانده در خط تسویه شده (کیلوگرم)]]&lt;&gt;0,Main[[#This Row],[تعداد کل روزهای بدهکار (روز)]],0)</f>
        <v>0</v>
      </c>
      <c r="Z1526" s="6">
        <f ca="1">Main[[#This Row],[تعداد روزهای بدهکار تسویه شده (روز)]]*Main[[#This Row],[مانده در خط تسویه شده (کیلوگرم)]]</f>
        <v>0</v>
      </c>
      <c r="AA1526" s="6">
        <f ca="1">SUBTOTAL(9,INDEX(Main[بدهی تسویه نشده (کیلوگرم)],1):Main[[#This Row],[بدهی تسویه نشده (کیلوگرم)]])</f>
        <v>0</v>
      </c>
      <c r="AB1526" s="6">
        <f ca="1">IF(Main[[#This Row],[مانده در خط تسویه نشده (کیلوگرم)]]&lt;&gt;0,Main[[#This Row],[تعداد کل روزهای بدهکار (روز)]],0)</f>
        <v>0</v>
      </c>
      <c r="AC1526" s="6">
        <f ca="1">Main[[#This Row],[تعداد روزهای بدهکار  تسویه نشده (روز)]]*Main[[#This Row],[مانده در خط تسویه نشده (کیلوگرم)]]</f>
        <v>0</v>
      </c>
      <c r="AD1526" s="6">
        <f ca="1">SUBTOTAL(9,INDEX(Main[بدهی سررسید شده (کیلوگرم)],1):Main[[#This Row],[بدهی سررسید شده (کیلوگرم)]])</f>
        <v>0</v>
      </c>
      <c r="AE1526" s="6">
        <f ca="1">IF(Main[[#This Row],[مانده در خط سررسید شده (کیلوگرم)]]&lt;&gt;0,Main[[#This Row],[تعداد کل روزهای بدهکار (روز)]],0)</f>
        <v>0</v>
      </c>
      <c r="AF1526" s="6">
        <f ca="1">Main[[#This Row],[تعداد روزهای بدهکار سررسید شده (روز)]]*Main[[#This Row],[مانده در خط سررسید شده (کیلوگرم)]]</f>
        <v>0</v>
      </c>
    </row>
    <row r="1527" spans="1:32" x14ac:dyDescent="0.35">
      <c r="A1527" s="5">
        <f>ROW()-ROW(INDEX(Main[ردیف],1))+1</f>
        <v>1525</v>
      </c>
      <c r="B1527" s="31">
        <f>SUBTOTAL(2,INDEX(Main[ردیف],1):Main[[#This Row],[ردیف]])</f>
        <v>138</v>
      </c>
      <c r="C1527" s="32" t="s">
        <v>687</v>
      </c>
      <c r="D1527" s="32" t="str">
        <f>_xlfn.CONCAT("14",Main[[#This Row],[تاريخ]])</f>
        <v>1400/06/15</v>
      </c>
      <c r="E1527" s="33">
        <v>44445</v>
      </c>
      <c r="F1527" s="32">
        <v>10003</v>
      </c>
      <c r="G1527" s="5" t="str">
        <f>INDEX(customer[عنوان],MATCH(Main[[#This Row],[کد ردیابی]],customer[کد],0))</f>
        <v>اصغر نورعلی</v>
      </c>
      <c r="H1527">
        <v>2089</v>
      </c>
      <c r="I1527" s="6">
        <f ca="1">-Main[[#This Row],[بدهی تسویه شده (کیلوگرم)]]+Main[[#This Row],[بستانکار (کیلوگرم)]]</f>
        <v>2089</v>
      </c>
      <c r="J1527" s="6">
        <f>IF(Main[[#This Row],[مقدار (کیلوگرم)]]&gt;0,Main[[#This Row],[مقدار (کیلوگرم)]],0)</f>
        <v>2089</v>
      </c>
      <c r="K1527" s="6">
        <f>-IF(Main[[#This Row],[مقدار (کیلوگرم)]]&lt;0,Main[[#This Row],[مقدار (کیلوگرم)]],0)</f>
        <v>0</v>
      </c>
      <c r="L15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7" s="7">
        <f>-IF(AND(Main[[#This Row],[مقدار (کیلوگرم)]]&lt;0,Main[[#This Row],[تاريخ میلادی]]&gt;44276),Main[[#This Row],[مقدار (کیلوگرم)]],0)</f>
        <v>0</v>
      </c>
      <c r="N1527" s="6">
        <f ca="1">Main[[#This Row],[بدهکار (کیلوگرم)]]-Main[[#This Row],[بدهی تسویه نشده (کیلوگرم)]]</f>
        <v>0</v>
      </c>
      <c r="O1527" s="6">
        <f ca="1">Main[[#This Row],[تفکیک]]</f>
        <v>0</v>
      </c>
      <c r="P1527" s="6">
        <f ca="1">IF(Main[[#This Row],[تاخیر از سررسید]]&gt;0,Main[[#This Row],[بدهی تسویه نشده (کیلوگرم)]],0)</f>
        <v>0</v>
      </c>
      <c r="Q1527" s="6">
        <f ca="1">IF(Main[[#This Row],[بدهی تسویه نشده (کیلوگرم)]]&gt;0,'گزارش فردی'!$B$7-Main[[#This Row],[تاريخ میلادی]],0)</f>
        <v>0</v>
      </c>
      <c r="R1527" s="6">
        <f ca="1">IF(Main[[#This Row],[بدهی تسویه نشده (کیلوگرم)]]&gt;0,'گزارش فردی'!$B$7-Main[[#This Row],[تاريخ میلادی]]-'گزارش فردی'!$B$8,0)</f>
        <v>0</v>
      </c>
      <c r="S1527" s="6">
        <f ca="1">Main[[#This Row],[روز از ارسال سفارش]]*Main[[#This Row],[بدهی تسویه نشده (کیلوگرم)]]</f>
        <v>0</v>
      </c>
      <c r="T1527" s="6">
        <f ca="1">Main[[#This Row],[بدهی سررسید شده (کیلوگرم)]]*Main[[#This Row],[روز از ارسال سفارش]]</f>
        <v>0</v>
      </c>
      <c r="U1527" s="6">
        <f>-SUBTOTAL(9,INDEX(Main[مقدار (کیلوگرم)],1):Main[[#This Row],[مقدار (کیلوگرم)]])</f>
        <v>31643</v>
      </c>
      <c r="V15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27" s="6">
        <f>Main[[#This Row],[تعداد کل روزهای بدهکار (روز)]]*Main[[#This Row],[مانده در خط کل (کیلوگرم)]]</f>
        <v>31643</v>
      </c>
      <c r="X1527" s="6">
        <f ca="1">-SUBTOTAL(9,INDEX(Main[مقدار تسویه شده (کیلوگرم)],1):Main[[#This Row],[مقدار تسویه شده (کیلوگرم)]])</f>
        <v>31643</v>
      </c>
      <c r="Y1527" s="6">
        <f ca="1">IF(Main[[#This Row],[مانده در خط تسویه شده (کیلوگرم)]]&lt;&gt;0,Main[[#This Row],[تعداد کل روزهای بدهکار (روز)]],0)</f>
        <v>1</v>
      </c>
      <c r="Z1527" s="6">
        <f ca="1">Main[[#This Row],[تعداد روزهای بدهکار تسویه شده (روز)]]*Main[[#This Row],[مانده در خط تسویه شده (کیلوگرم)]]</f>
        <v>31643</v>
      </c>
      <c r="AA1527" s="6">
        <f ca="1">SUBTOTAL(9,INDEX(Main[بدهی تسویه نشده (کیلوگرم)],1):Main[[#This Row],[بدهی تسویه نشده (کیلوگرم)]])</f>
        <v>0</v>
      </c>
      <c r="AB1527" s="6">
        <f ca="1">IF(Main[[#This Row],[مانده در خط تسویه نشده (کیلوگرم)]]&lt;&gt;0,Main[[#This Row],[تعداد کل روزهای بدهکار (روز)]],0)</f>
        <v>0</v>
      </c>
      <c r="AC1527" s="6">
        <f ca="1">Main[[#This Row],[تعداد روزهای بدهکار  تسویه نشده (روز)]]*Main[[#This Row],[مانده در خط تسویه نشده (کیلوگرم)]]</f>
        <v>0</v>
      </c>
      <c r="AD1527" s="6">
        <f ca="1">SUBTOTAL(9,INDEX(Main[بدهی سررسید شده (کیلوگرم)],1):Main[[#This Row],[بدهی سررسید شده (کیلوگرم)]])</f>
        <v>0</v>
      </c>
      <c r="AE1527" s="6">
        <f ca="1">IF(Main[[#This Row],[مانده در خط سررسید شده (کیلوگرم)]]&lt;&gt;0,Main[[#This Row],[تعداد کل روزهای بدهکار (روز)]],0)</f>
        <v>0</v>
      </c>
      <c r="AF1527" s="6">
        <f ca="1">Main[[#This Row],[تعداد روزهای بدهکار سررسید شده (روز)]]*Main[[#This Row],[مانده در خط سررسید شده (کیلوگرم)]]</f>
        <v>0</v>
      </c>
    </row>
    <row r="1528" spans="1:32" hidden="1" x14ac:dyDescent="0.35">
      <c r="A1528" s="5">
        <f>ROW()-ROW(INDEX(Main[ردیف],1))+1</f>
        <v>1526</v>
      </c>
      <c r="B1528" s="31">
        <f>SUBTOTAL(2,INDEX(Main[ردیف],1):Main[[#This Row],[ردیف]])</f>
        <v>138</v>
      </c>
      <c r="C1528" s="32" t="s">
        <v>687</v>
      </c>
      <c r="D1528" s="32" t="str">
        <f>_xlfn.CONCAT("14",Main[[#This Row],[تاريخ]])</f>
        <v>1400/06/15</v>
      </c>
      <c r="E1528" s="33">
        <v>44445</v>
      </c>
      <c r="F1528" s="32">
        <v>10055</v>
      </c>
      <c r="G1528" s="5" t="str">
        <f>INDEX(customer[عنوان],MATCH(Main[[#This Row],[کد ردیابی]],customer[کد],0))</f>
        <v xml:space="preserve">مریم فیض آبادی  </v>
      </c>
      <c r="H1528">
        <v>-5170</v>
      </c>
      <c r="I1528" s="6">
        <f ca="1">-Main[[#This Row],[بدهی تسویه شده (کیلوگرم)]]+Main[[#This Row],[بستانکار (کیلوگرم)]]</f>
        <v>-5170</v>
      </c>
      <c r="J1528" s="6">
        <f>IF(Main[[#This Row],[مقدار (کیلوگرم)]]&gt;0,Main[[#This Row],[مقدار (کیلوگرم)]],0)</f>
        <v>0</v>
      </c>
      <c r="K1528" s="6">
        <f>-IF(Main[[#This Row],[مقدار (کیلوگرم)]]&lt;0,Main[[#This Row],[مقدار (کیلوگرم)]],0)</f>
        <v>5170</v>
      </c>
      <c r="L15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8" s="7">
        <f>-IF(AND(Main[[#This Row],[مقدار (کیلوگرم)]]&lt;0,Main[[#This Row],[تاريخ میلادی]]&gt;44276),Main[[#This Row],[مقدار (کیلوگرم)]],0)</f>
        <v>5170</v>
      </c>
      <c r="N1528" s="6">
        <f ca="1">Main[[#This Row],[بدهکار (کیلوگرم)]]-Main[[#This Row],[بدهی تسویه نشده (کیلوگرم)]]</f>
        <v>5170</v>
      </c>
      <c r="O1528" s="6">
        <f ca="1">Main[[#This Row],[تفکیک]]</f>
        <v>0</v>
      </c>
      <c r="P1528" s="6">
        <f ca="1">IF(Main[[#This Row],[تاخیر از سررسید]]&gt;0,Main[[#This Row],[بدهی تسویه نشده (کیلوگرم)]],0)</f>
        <v>0</v>
      </c>
      <c r="Q1528" s="6">
        <f ca="1">IF(Main[[#This Row],[بدهی تسویه نشده (کیلوگرم)]]&gt;0,'گزارش فردی'!$B$7-Main[[#This Row],[تاريخ میلادی]],0)</f>
        <v>0</v>
      </c>
      <c r="R1528" s="6">
        <f ca="1">IF(Main[[#This Row],[بدهی تسویه نشده (کیلوگرم)]]&gt;0,'گزارش فردی'!$B$7-Main[[#This Row],[تاريخ میلادی]]-'گزارش فردی'!$B$8,0)</f>
        <v>0</v>
      </c>
      <c r="S1528" s="6">
        <f ca="1">Main[[#This Row],[روز از ارسال سفارش]]*Main[[#This Row],[بدهی تسویه نشده (کیلوگرم)]]</f>
        <v>0</v>
      </c>
      <c r="T1528" s="6">
        <f ca="1">Main[[#This Row],[بدهی سررسید شده (کیلوگرم)]]*Main[[#This Row],[روز از ارسال سفارش]]</f>
        <v>0</v>
      </c>
      <c r="U1528" s="6">
        <f>-SUBTOTAL(9,INDEX(Main[مقدار (کیلوگرم)],1):Main[[#This Row],[مقدار (کیلوگرم)]])</f>
        <v>31643</v>
      </c>
      <c r="V15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28" s="6">
        <f>Main[[#This Row],[تعداد کل روزهای بدهکار (روز)]]*Main[[#This Row],[مانده در خط کل (کیلوگرم)]]</f>
        <v>31643</v>
      </c>
      <c r="X1528" s="6">
        <f ca="1">-SUBTOTAL(9,INDEX(Main[مقدار تسویه شده (کیلوگرم)],1):Main[[#This Row],[مقدار تسویه شده (کیلوگرم)]])</f>
        <v>31643</v>
      </c>
      <c r="Y1528" s="6">
        <f ca="1">IF(Main[[#This Row],[مانده در خط تسویه شده (کیلوگرم)]]&lt;&gt;0,Main[[#This Row],[تعداد کل روزهای بدهکار (روز)]],0)</f>
        <v>1</v>
      </c>
      <c r="Z1528" s="6">
        <f ca="1">Main[[#This Row],[تعداد روزهای بدهکار تسویه شده (روز)]]*Main[[#This Row],[مانده در خط تسویه شده (کیلوگرم)]]</f>
        <v>31643</v>
      </c>
      <c r="AA1528" s="6">
        <f ca="1">SUBTOTAL(9,INDEX(Main[بدهی تسویه نشده (کیلوگرم)],1):Main[[#This Row],[بدهی تسویه نشده (کیلوگرم)]])</f>
        <v>0</v>
      </c>
      <c r="AB1528" s="6">
        <f ca="1">IF(Main[[#This Row],[مانده در خط تسویه نشده (کیلوگرم)]]&lt;&gt;0,Main[[#This Row],[تعداد کل روزهای بدهکار (روز)]],0)</f>
        <v>0</v>
      </c>
      <c r="AC1528" s="6">
        <f ca="1">Main[[#This Row],[تعداد روزهای بدهکار  تسویه نشده (روز)]]*Main[[#This Row],[مانده در خط تسویه نشده (کیلوگرم)]]</f>
        <v>0</v>
      </c>
      <c r="AD1528" s="6">
        <f ca="1">SUBTOTAL(9,INDEX(Main[بدهی سررسید شده (کیلوگرم)],1):Main[[#This Row],[بدهی سررسید شده (کیلوگرم)]])</f>
        <v>0</v>
      </c>
      <c r="AE1528" s="6">
        <f ca="1">IF(Main[[#This Row],[مانده در خط سررسید شده (کیلوگرم)]]&lt;&gt;0,Main[[#This Row],[تعداد کل روزهای بدهکار (روز)]],0)</f>
        <v>0</v>
      </c>
      <c r="AF1528" s="6">
        <f ca="1">Main[[#This Row],[تعداد روزهای بدهکار سررسید شده (روز)]]*Main[[#This Row],[مانده در خط سررسید شده (کیلوگرم)]]</f>
        <v>0</v>
      </c>
    </row>
    <row r="1529" spans="1:32" hidden="1" x14ac:dyDescent="0.35">
      <c r="A1529" s="5">
        <f>ROW()-ROW(INDEX(Main[ردیف],1))+1</f>
        <v>1527</v>
      </c>
      <c r="B1529" s="31">
        <f>SUBTOTAL(2,INDEX(Main[ردیف],1):Main[[#This Row],[ردیف]])</f>
        <v>138</v>
      </c>
      <c r="C1529" s="32" t="s">
        <v>687</v>
      </c>
      <c r="D1529" s="32" t="str">
        <f>_xlfn.CONCAT("14",Main[[#This Row],[تاريخ]])</f>
        <v>1400/06/15</v>
      </c>
      <c r="E1529" s="33">
        <v>44445</v>
      </c>
      <c r="F1529" s="32">
        <v>10057</v>
      </c>
      <c r="G1529" s="5" t="str">
        <f>INDEX(customer[عنوان],MATCH(Main[[#This Row],[کد ردیابی]],customer[کد],0))</f>
        <v xml:space="preserve">عبدالله یادگار </v>
      </c>
      <c r="H1529">
        <v>100</v>
      </c>
      <c r="I1529" s="6">
        <f ca="1">-Main[[#This Row],[بدهی تسویه شده (کیلوگرم)]]+Main[[#This Row],[بستانکار (کیلوگرم)]]</f>
        <v>100</v>
      </c>
      <c r="J1529" s="6">
        <f>IF(Main[[#This Row],[مقدار (کیلوگرم)]]&gt;0,Main[[#This Row],[مقدار (کیلوگرم)]],0)</f>
        <v>100</v>
      </c>
      <c r="K1529" s="6">
        <f>-IF(Main[[#This Row],[مقدار (کیلوگرم)]]&lt;0,Main[[#This Row],[مقدار (کیلوگرم)]],0)</f>
        <v>0</v>
      </c>
      <c r="L15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9" s="7">
        <f>-IF(AND(Main[[#This Row],[مقدار (کیلوگرم)]]&lt;0,Main[[#This Row],[تاريخ میلادی]]&gt;44276),Main[[#This Row],[مقدار (کیلوگرم)]],0)</f>
        <v>0</v>
      </c>
      <c r="N1529" s="6">
        <f ca="1">Main[[#This Row],[بدهکار (کیلوگرم)]]-Main[[#This Row],[بدهی تسویه نشده (کیلوگرم)]]</f>
        <v>0</v>
      </c>
      <c r="O1529" s="6">
        <f ca="1">Main[[#This Row],[تفکیک]]</f>
        <v>0</v>
      </c>
      <c r="P1529" s="6">
        <f ca="1">IF(Main[[#This Row],[تاخیر از سررسید]]&gt;0,Main[[#This Row],[بدهی تسویه نشده (کیلوگرم)]],0)</f>
        <v>0</v>
      </c>
      <c r="Q1529" s="6">
        <f ca="1">IF(Main[[#This Row],[بدهی تسویه نشده (کیلوگرم)]]&gt;0,'گزارش فردی'!$B$7-Main[[#This Row],[تاريخ میلادی]],0)</f>
        <v>0</v>
      </c>
      <c r="R1529" s="6">
        <f ca="1">IF(Main[[#This Row],[بدهی تسویه نشده (کیلوگرم)]]&gt;0,'گزارش فردی'!$B$7-Main[[#This Row],[تاريخ میلادی]]-'گزارش فردی'!$B$8,0)</f>
        <v>0</v>
      </c>
      <c r="S1529" s="6">
        <f ca="1">Main[[#This Row],[روز از ارسال سفارش]]*Main[[#This Row],[بدهی تسویه نشده (کیلوگرم)]]</f>
        <v>0</v>
      </c>
      <c r="T1529" s="6">
        <f ca="1">Main[[#This Row],[بدهی سررسید شده (کیلوگرم)]]*Main[[#This Row],[روز از ارسال سفارش]]</f>
        <v>0</v>
      </c>
      <c r="U1529" s="6">
        <f>-SUBTOTAL(9,INDEX(Main[مقدار (کیلوگرم)],1):Main[[#This Row],[مقدار (کیلوگرم)]])</f>
        <v>31643</v>
      </c>
      <c r="V15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29" s="6">
        <f>Main[[#This Row],[تعداد کل روزهای بدهکار (روز)]]*Main[[#This Row],[مانده در خط کل (کیلوگرم)]]</f>
        <v>31643</v>
      </c>
      <c r="X1529" s="6">
        <f ca="1">-SUBTOTAL(9,INDEX(Main[مقدار تسویه شده (کیلوگرم)],1):Main[[#This Row],[مقدار تسویه شده (کیلوگرم)]])</f>
        <v>31643</v>
      </c>
      <c r="Y1529" s="6">
        <f ca="1">IF(Main[[#This Row],[مانده در خط تسویه شده (کیلوگرم)]]&lt;&gt;0,Main[[#This Row],[تعداد کل روزهای بدهکار (روز)]],0)</f>
        <v>1</v>
      </c>
      <c r="Z1529" s="6">
        <f ca="1">Main[[#This Row],[تعداد روزهای بدهکار تسویه شده (روز)]]*Main[[#This Row],[مانده در خط تسویه شده (کیلوگرم)]]</f>
        <v>31643</v>
      </c>
      <c r="AA1529" s="6">
        <f ca="1">SUBTOTAL(9,INDEX(Main[بدهی تسویه نشده (کیلوگرم)],1):Main[[#This Row],[بدهی تسویه نشده (کیلوگرم)]])</f>
        <v>0</v>
      </c>
      <c r="AB1529" s="6">
        <f ca="1">IF(Main[[#This Row],[مانده در خط تسویه نشده (کیلوگرم)]]&lt;&gt;0,Main[[#This Row],[تعداد کل روزهای بدهکار (روز)]],0)</f>
        <v>0</v>
      </c>
      <c r="AC1529" s="6">
        <f ca="1">Main[[#This Row],[تعداد روزهای بدهکار  تسویه نشده (روز)]]*Main[[#This Row],[مانده در خط تسویه نشده (کیلوگرم)]]</f>
        <v>0</v>
      </c>
      <c r="AD1529" s="6">
        <f ca="1">SUBTOTAL(9,INDEX(Main[بدهی سررسید شده (کیلوگرم)],1):Main[[#This Row],[بدهی سررسید شده (کیلوگرم)]])</f>
        <v>0</v>
      </c>
      <c r="AE1529" s="6">
        <f ca="1">IF(Main[[#This Row],[مانده در خط سررسید شده (کیلوگرم)]]&lt;&gt;0,Main[[#This Row],[تعداد کل روزهای بدهکار (روز)]],0)</f>
        <v>0</v>
      </c>
      <c r="AF1529" s="6">
        <f ca="1">Main[[#This Row],[تعداد روزهای بدهکار سررسید شده (روز)]]*Main[[#This Row],[مانده در خط سررسید شده (کیلوگرم)]]</f>
        <v>0</v>
      </c>
    </row>
    <row r="1530" spans="1:32" hidden="1" x14ac:dyDescent="0.35">
      <c r="A1530" s="5">
        <f>ROW()-ROW(INDEX(Main[ردیف],1))+1</f>
        <v>1528</v>
      </c>
      <c r="B1530" s="31">
        <f>SUBTOTAL(2,INDEX(Main[ردیف],1):Main[[#This Row],[ردیف]])</f>
        <v>138</v>
      </c>
      <c r="C1530" s="32" t="s">
        <v>687</v>
      </c>
      <c r="D1530" s="32" t="str">
        <f>_xlfn.CONCAT("14",Main[[#This Row],[تاريخ]])</f>
        <v>1400/06/15</v>
      </c>
      <c r="E1530" s="33">
        <v>44445</v>
      </c>
      <c r="F1530" s="32">
        <v>10057</v>
      </c>
      <c r="G1530" s="5" t="str">
        <f>INDEX(customer[عنوان],MATCH(Main[[#This Row],[کد ردیابی]],customer[کد],0))</f>
        <v xml:space="preserve">عبدالله یادگار </v>
      </c>
      <c r="H1530">
        <v>1314</v>
      </c>
      <c r="I1530" s="6">
        <f ca="1">-Main[[#This Row],[بدهی تسویه شده (کیلوگرم)]]+Main[[#This Row],[بستانکار (کیلوگرم)]]</f>
        <v>1314</v>
      </c>
      <c r="J1530" s="6">
        <f>IF(Main[[#This Row],[مقدار (کیلوگرم)]]&gt;0,Main[[#This Row],[مقدار (کیلوگرم)]],0)</f>
        <v>1314</v>
      </c>
      <c r="K1530" s="6">
        <f>-IF(Main[[#This Row],[مقدار (کیلوگرم)]]&lt;0,Main[[#This Row],[مقدار (کیلوگرم)]],0)</f>
        <v>0</v>
      </c>
      <c r="L15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0" s="7">
        <f>-IF(AND(Main[[#This Row],[مقدار (کیلوگرم)]]&lt;0,Main[[#This Row],[تاريخ میلادی]]&gt;44276),Main[[#This Row],[مقدار (کیلوگرم)]],0)</f>
        <v>0</v>
      </c>
      <c r="N1530" s="6">
        <f ca="1">Main[[#This Row],[بدهکار (کیلوگرم)]]-Main[[#This Row],[بدهی تسویه نشده (کیلوگرم)]]</f>
        <v>0</v>
      </c>
      <c r="O1530" s="6">
        <f ca="1">Main[[#This Row],[تفکیک]]</f>
        <v>0</v>
      </c>
      <c r="P1530" s="6">
        <f ca="1">IF(Main[[#This Row],[تاخیر از سررسید]]&gt;0,Main[[#This Row],[بدهی تسویه نشده (کیلوگرم)]],0)</f>
        <v>0</v>
      </c>
      <c r="Q1530" s="6">
        <f ca="1">IF(Main[[#This Row],[بدهی تسویه نشده (کیلوگرم)]]&gt;0,'گزارش فردی'!$B$7-Main[[#This Row],[تاريخ میلادی]],0)</f>
        <v>0</v>
      </c>
      <c r="R1530" s="6">
        <f ca="1">IF(Main[[#This Row],[بدهی تسویه نشده (کیلوگرم)]]&gt;0,'گزارش فردی'!$B$7-Main[[#This Row],[تاريخ میلادی]]-'گزارش فردی'!$B$8,0)</f>
        <v>0</v>
      </c>
      <c r="S1530" s="6">
        <f ca="1">Main[[#This Row],[روز از ارسال سفارش]]*Main[[#This Row],[بدهی تسویه نشده (کیلوگرم)]]</f>
        <v>0</v>
      </c>
      <c r="T1530" s="6">
        <f ca="1">Main[[#This Row],[بدهی سررسید شده (کیلوگرم)]]*Main[[#This Row],[روز از ارسال سفارش]]</f>
        <v>0</v>
      </c>
      <c r="U1530" s="6">
        <f>-SUBTOTAL(9,INDEX(Main[مقدار (کیلوگرم)],1):Main[[#This Row],[مقدار (کیلوگرم)]])</f>
        <v>31643</v>
      </c>
      <c r="V15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0" s="6">
        <f>Main[[#This Row],[تعداد کل روزهای بدهکار (روز)]]*Main[[#This Row],[مانده در خط کل (کیلوگرم)]]</f>
        <v>31643</v>
      </c>
      <c r="X1530" s="6">
        <f ca="1">-SUBTOTAL(9,INDEX(Main[مقدار تسویه شده (کیلوگرم)],1):Main[[#This Row],[مقدار تسویه شده (کیلوگرم)]])</f>
        <v>31643</v>
      </c>
      <c r="Y1530" s="6">
        <f ca="1">IF(Main[[#This Row],[مانده در خط تسویه شده (کیلوگرم)]]&lt;&gt;0,Main[[#This Row],[تعداد کل روزهای بدهکار (روز)]],0)</f>
        <v>1</v>
      </c>
      <c r="Z1530" s="6">
        <f ca="1">Main[[#This Row],[تعداد روزهای بدهکار تسویه شده (روز)]]*Main[[#This Row],[مانده در خط تسویه شده (کیلوگرم)]]</f>
        <v>31643</v>
      </c>
      <c r="AA1530" s="6">
        <f ca="1">SUBTOTAL(9,INDEX(Main[بدهی تسویه نشده (کیلوگرم)],1):Main[[#This Row],[بدهی تسویه نشده (کیلوگرم)]])</f>
        <v>0</v>
      </c>
      <c r="AB1530" s="6">
        <f ca="1">IF(Main[[#This Row],[مانده در خط تسویه نشده (کیلوگرم)]]&lt;&gt;0,Main[[#This Row],[تعداد کل روزهای بدهکار (روز)]],0)</f>
        <v>0</v>
      </c>
      <c r="AC1530" s="6">
        <f ca="1">Main[[#This Row],[تعداد روزهای بدهکار  تسویه نشده (روز)]]*Main[[#This Row],[مانده در خط تسویه نشده (کیلوگرم)]]</f>
        <v>0</v>
      </c>
      <c r="AD1530" s="6">
        <f ca="1">SUBTOTAL(9,INDEX(Main[بدهی سررسید شده (کیلوگرم)],1):Main[[#This Row],[بدهی سررسید شده (کیلوگرم)]])</f>
        <v>0</v>
      </c>
      <c r="AE1530" s="6">
        <f ca="1">IF(Main[[#This Row],[مانده در خط سررسید شده (کیلوگرم)]]&lt;&gt;0,Main[[#This Row],[تعداد کل روزهای بدهکار (روز)]],0)</f>
        <v>0</v>
      </c>
      <c r="AF1530" s="6">
        <f ca="1">Main[[#This Row],[تعداد روزهای بدهکار سررسید شده (روز)]]*Main[[#This Row],[مانده در خط سررسید شده (کیلوگرم)]]</f>
        <v>0</v>
      </c>
    </row>
    <row r="1531" spans="1:32" hidden="1" x14ac:dyDescent="0.35">
      <c r="A1531" s="5">
        <f>ROW()-ROW(INDEX(Main[ردیف],1))+1</f>
        <v>1529</v>
      </c>
      <c r="B1531" s="31">
        <f>SUBTOTAL(2,INDEX(Main[ردیف],1):Main[[#This Row],[ردیف]])</f>
        <v>138</v>
      </c>
      <c r="C1531" s="32" t="s">
        <v>687</v>
      </c>
      <c r="D1531" s="32" t="str">
        <f>_xlfn.CONCAT("14",Main[[#This Row],[تاريخ]])</f>
        <v>1400/06/15</v>
      </c>
      <c r="E1531" s="33">
        <v>44445</v>
      </c>
      <c r="F1531" s="32">
        <v>30160</v>
      </c>
      <c r="G1531" s="5" t="str">
        <f>INDEX(customer[عنوان],MATCH(Main[[#This Row],[کد ردیابی]],customer[کد],0))</f>
        <v>کیان صنعت</v>
      </c>
      <c r="H1531">
        <v>101</v>
      </c>
      <c r="I1531" s="6">
        <f ca="1">-Main[[#This Row],[بدهی تسویه شده (کیلوگرم)]]+Main[[#This Row],[بستانکار (کیلوگرم)]]</f>
        <v>101</v>
      </c>
      <c r="J1531" s="6">
        <f>IF(Main[[#This Row],[مقدار (کیلوگرم)]]&gt;0,Main[[#This Row],[مقدار (کیلوگرم)]],0)</f>
        <v>101</v>
      </c>
      <c r="K1531" s="6">
        <f>-IF(Main[[#This Row],[مقدار (کیلوگرم)]]&lt;0,Main[[#This Row],[مقدار (کیلوگرم)]],0)</f>
        <v>0</v>
      </c>
      <c r="L15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1" s="7">
        <f>-IF(AND(Main[[#This Row],[مقدار (کیلوگرم)]]&lt;0,Main[[#This Row],[تاريخ میلادی]]&gt;44276),Main[[#This Row],[مقدار (کیلوگرم)]],0)</f>
        <v>0</v>
      </c>
      <c r="N1531" s="6">
        <f ca="1">Main[[#This Row],[بدهکار (کیلوگرم)]]-Main[[#This Row],[بدهی تسویه نشده (کیلوگرم)]]</f>
        <v>0</v>
      </c>
      <c r="O1531" s="6">
        <f ca="1">Main[[#This Row],[تفکیک]]</f>
        <v>0</v>
      </c>
      <c r="P1531" s="6">
        <f ca="1">IF(Main[[#This Row],[تاخیر از سررسید]]&gt;0,Main[[#This Row],[بدهی تسویه نشده (کیلوگرم)]],0)</f>
        <v>0</v>
      </c>
      <c r="Q1531" s="6">
        <f ca="1">IF(Main[[#This Row],[بدهی تسویه نشده (کیلوگرم)]]&gt;0,'گزارش فردی'!$B$7-Main[[#This Row],[تاريخ میلادی]],0)</f>
        <v>0</v>
      </c>
      <c r="R1531" s="6">
        <f ca="1">IF(Main[[#This Row],[بدهی تسویه نشده (کیلوگرم)]]&gt;0,'گزارش فردی'!$B$7-Main[[#This Row],[تاريخ میلادی]]-'گزارش فردی'!$B$8,0)</f>
        <v>0</v>
      </c>
      <c r="S1531" s="6">
        <f ca="1">Main[[#This Row],[روز از ارسال سفارش]]*Main[[#This Row],[بدهی تسویه نشده (کیلوگرم)]]</f>
        <v>0</v>
      </c>
      <c r="T1531" s="6">
        <f ca="1">Main[[#This Row],[بدهی سررسید شده (کیلوگرم)]]*Main[[#This Row],[روز از ارسال سفارش]]</f>
        <v>0</v>
      </c>
      <c r="U1531" s="6">
        <f>-SUBTOTAL(9,INDEX(Main[مقدار (کیلوگرم)],1):Main[[#This Row],[مقدار (کیلوگرم)]])</f>
        <v>31643</v>
      </c>
      <c r="V15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1" s="6">
        <f>Main[[#This Row],[تعداد کل روزهای بدهکار (روز)]]*Main[[#This Row],[مانده در خط کل (کیلوگرم)]]</f>
        <v>31643</v>
      </c>
      <c r="X1531" s="6">
        <f ca="1">-SUBTOTAL(9,INDEX(Main[مقدار تسویه شده (کیلوگرم)],1):Main[[#This Row],[مقدار تسویه شده (کیلوگرم)]])</f>
        <v>31643</v>
      </c>
      <c r="Y1531" s="6">
        <f ca="1">IF(Main[[#This Row],[مانده در خط تسویه شده (کیلوگرم)]]&lt;&gt;0,Main[[#This Row],[تعداد کل روزهای بدهکار (روز)]],0)</f>
        <v>1</v>
      </c>
      <c r="Z1531" s="6">
        <f ca="1">Main[[#This Row],[تعداد روزهای بدهکار تسویه شده (روز)]]*Main[[#This Row],[مانده در خط تسویه شده (کیلوگرم)]]</f>
        <v>31643</v>
      </c>
      <c r="AA1531" s="6">
        <f ca="1">SUBTOTAL(9,INDEX(Main[بدهی تسویه نشده (کیلوگرم)],1):Main[[#This Row],[بدهی تسویه نشده (کیلوگرم)]])</f>
        <v>0</v>
      </c>
      <c r="AB1531" s="6">
        <f ca="1">IF(Main[[#This Row],[مانده در خط تسویه نشده (کیلوگرم)]]&lt;&gt;0,Main[[#This Row],[تعداد کل روزهای بدهکار (روز)]],0)</f>
        <v>0</v>
      </c>
      <c r="AC1531" s="6">
        <f ca="1">Main[[#This Row],[تعداد روزهای بدهکار  تسویه نشده (روز)]]*Main[[#This Row],[مانده در خط تسویه نشده (کیلوگرم)]]</f>
        <v>0</v>
      </c>
      <c r="AD1531" s="6">
        <f ca="1">SUBTOTAL(9,INDEX(Main[بدهی سررسید شده (کیلوگرم)],1):Main[[#This Row],[بدهی سررسید شده (کیلوگرم)]])</f>
        <v>0</v>
      </c>
      <c r="AE1531" s="6">
        <f ca="1">IF(Main[[#This Row],[مانده در خط سررسید شده (کیلوگرم)]]&lt;&gt;0,Main[[#This Row],[تعداد کل روزهای بدهکار (روز)]],0)</f>
        <v>0</v>
      </c>
      <c r="AF1531" s="6">
        <f ca="1">Main[[#This Row],[تعداد روزهای بدهکار سررسید شده (روز)]]*Main[[#This Row],[مانده در خط سررسید شده (کیلوگرم)]]</f>
        <v>0</v>
      </c>
    </row>
    <row r="1532" spans="1:32" hidden="1" x14ac:dyDescent="0.35">
      <c r="A1532" s="5">
        <f>ROW()-ROW(INDEX(Main[ردیف],1))+1</f>
        <v>1530</v>
      </c>
      <c r="B1532" s="31">
        <f>SUBTOTAL(2,INDEX(Main[ردیف],1):Main[[#This Row],[ردیف]])</f>
        <v>138</v>
      </c>
      <c r="C1532" s="32" t="s">
        <v>687</v>
      </c>
      <c r="D1532" s="32" t="str">
        <f>_xlfn.CONCAT("14",Main[[#This Row],[تاريخ]])</f>
        <v>1400/06/15</v>
      </c>
      <c r="E1532" s="33">
        <v>44445</v>
      </c>
      <c r="F1532" s="32">
        <v>30003</v>
      </c>
      <c r="G1532" s="5" t="str">
        <f>INDEX(customer[عنوان],MATCH(Main[[#This Row],[کد ردیابی]],customer[کد],0))</f>
        <v xml:space="preserve">شهاب گاز سوز </v>
      </c>
      <c r="H1532">
        <v>326</v>
      </c>
      <c r="I1532" s="6">
        <f ca="1">-Main[[#This Row],[بدهی تسویه شده (کیلوگرم)]]+Main[[#This Row],[بستانکار (کیلوگرم)]]</f>
        <v>326</v>
      </c>
      <c r="J1532" s="6">
        <f>IF(Main[[#This Row],[مقدار (کیلوگرم)]]&gt;0,Main[[#This Row],[مقدار (کیلوگرم)]],0)</f>
        <v>326</v>
      </c>
      <c r="K1532" s="6">
        <f>-IF(Main[[#This Row],[مقدار (کیلوگرم)]]&lt;0,Main[[#This Row],[مقدار (کیلوگرم)]],0)</f>
        <v>0</v>
      </c>
      <c r="L15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2" s="7">
        <f>-IF(AND(Main[[#This Row],[مقدار (کیلوگرم)]]&lt;0,Main[[#This Row],[تاريخ میلادی]]&gt;44276),Main[[#This Row],[مقدار (کیلوگرم)]],0)</f>
        <v>0</v>
      </c>
      <c r="N1532" s="6">
        <f ca="1">Main[[#This Row],[بدهکار (کیلوگرم)]]-Main[[#This Row],[بدهی تسویه نشده (کیلوگرم)]]</f>
        <v>0</v>
      </c>
      <c r="O1532" s="6">
        <f ca="1">Main[[#This Row],[تفکیک]]</f>
        <v>0</v>
      </c>
      <c r="P1532" s="6">
        <f ca="1">IF(Main[[#This Row],[تاخیر از سررسید]]&gt;0,Main[[#This Row],[بدهی تسویه نشده (کیلوگرم)]],0)</f>
        <v>0</v>
      </c>
      <c r="Q1532" s="6">
        <f ca="1">IF(Main[[#This Row],[بدهی تسویه نشده (کیلوگرم)]]&gt;0,'گزارش فردی'!$B$7-Main[[#This Row],[تاريخ میلادی]],0)</f>
        <v>0</v>
      </c>
      <c r="R1532" s="6">
        <f ca="1">IF(Main[[#This Row],[بدهی تسویه نشده (کیلوگرم)]]&gt;0,'گزارش فردی'!$B$7-Main[[#This Row],[تاريخ میلادی]]-'گزارش فردی'!$B$8,0)</f>
        <v>0</v>
      </c>
      <c r="S1532" s="6">
        <f ca="1">Main[[#This Row],[روز از ارسال سفارش]]*Main[[#This Row],[بدهی تسویه نشده (کیلوگرم)]]</f>
        <v>0</v>
      </c>
      <c r="T1532" s="6">
        <f ca="1">Main[[#This Row],[بدهی سررسید شده (کیلوگرم)]]*Main[[#This Row],[روز از ارسال سفارش]]</f>
        <v>0</v>
      </c>
      <c r="U1532" s="6">
        <f>-SUBTOTAL(9,INDEX(Main[مقدار (کیلوگرم)],1):Main[[#This Row],[مقدار (کیلوگرم)]])</f>
        <v>31643</v>
      </c>
      <c r="V15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2" s="6">
        <f>Main[[#This Row],[تعداد کل روزهای بدهکار (روز)]]*Main[[#This Row],[مانده در خط کل (کیلوگرم)]]</f>
        <v>31643</v>
      </c>
      <c r="X1532" s="6">
        <f ca="1">-SUBTOTAL(9,INDEX(Main[مقدار تسویه شده (کیلوگرم)],1):Main[[#This Row],[مقدار تسویه شده (کیلوگرم)]])</f>
        <v>31643</v>
      </c>
      <c r="Y1532" s="6">
        <f ca="1">IF(Main[[#This Row],[مانده در خط تسویه شده (کیلوگرم)]]&lt;&gt;0,Main[[#This Row],[تعداد کل روزهای بدهکار (روز)]],0)</f>
        <v>1</v>
      </c>
      <c r="Z1532" s="6">
        <f ca="1">Main[[#This Row],[تعداد روزهای بدهکار تسویه شده (روز)]]*Main[[#This Row],[مانده در خط تسویه شده (کیلوگرم)]]</f>
        <v>31643</v>
      </c>
      <c r="AA1532" s="6">
        <f ca="1">SUBTOTAL(9,INDEX(Main[بدهی تسویه نشده (کیلوگرم)],1):Main[[#This Row],[بدهی تسویه نشده (کیلوگرم)]])</f>
        <v>0</v>
      </c>
      <c r="AB1532" s="6">
        <f ca="1">IF(Main[[#This Row],[مانده در خط تسویه نشده (کیلوگرم)]]&lt;&gt;0,Main[[#This Row],[تعداد کل روزهای بدهکار (روز)]],0)</f>
        <v>0</v>
      </c>
      <c r="AC1532" s="6">
        <f ca="1">Main[[#This Row],[تعداد روزهای بدهکار  تسویه نشده (روز)]]*Main[[#This Row],[مانده در خط تسویه نشده (کیلوگرم)]]</f>
        <v>0</v>
      </c>
      <c r="AD1532" s="6">
        <f ca="1">SUBTOTAL(9,INDEX(Main[بدهی سررسید شده (کیلوگرم)],1):Main[[#This Row],[بدهی سررسید شده (کیلوگرم)]])</f>
        <v>0</v>
      </c>
      <c r="AE1532" s="6">
        <f ca="1">IF(Main[[#This Row],[مانده در خط سررسید شده (کیلوگرم)]]&lt;&gt;0,Main[[#This Row],[تعداد کل روزهای بدهکار (روز)]],0)</f>
        <v>0</v>
      </c>
      <c r="AF1532" s="6">
        <f ca="1">Main[[#This Row],[تعداد روزهای بدهکار سررسید شده (روز)]]*Main[[#This Row],[مانده در خط سررسید شده (کیلوگرم)]]</f>
        <v>0</v>
      </c>
    </row>
    <row r="1533" spans="1:32" hidden="1" x14ac:dyDescent="0.35">
      <c r="A1533" s="5">
        <f>ROW()-ROW(INDEX(Main[ردیف],1))+1</f>
        <v>1531</v>
      </c>
      <c r="B1533" s="31">
        <f>SUBTOTAL(2,INDEX(Main[ردیف],1):Main[[#This Row],[ردیف]])</f>
        <v>138</v>
      </c>
      <c r="C1533" s="32" t="s">
        <v>687</v>
      </c>
      <c r="D1533" s="32" t="str">
        <f>_xlfn.CONCAT("14",Main[[#This Row],[تاريخ]])</f>
        <v>1400/06/15</v>
      </c>
      <c r="E1533" s="33">
        <v>44445</v>
      </c>
      <c r="F1533" s="32">
        <v>30003</v>
      </c>
      <c r="G1533" s="5" t="str">
        <f>INDEX(customer[عنوان],MATCH(Main[[#This Row],[کد ردیابی]],customer[کد],0))</f>
        <v xml:space="preserve">شهاب گاز سوز </v>
      </c>
      <c r="H1533">
        <v>1383</v>
      </c>
      <c r="I1533" s="6">
        <f ca="1">-Main[[#This Row],[بدهی تسویه شده (کیلوگرم)]]+Main[[#This Row],[بستانکار (کیلوگرم)]]</f>
        <v>1383</v>
      </c>
      <c r="J1533" s="6">
        <f>IF(Main[[#This Row],[مقدار (کیلوگرم)]]&gt;0,Main[[#This Row],[مقدار (کیلوگرم)]],0)</f>
        <v>1383</v>
      </c>
      <c r="K1533" s="6">
        <f>-IF(Main[[#This Row],[مقدار (کیلوگرم)]]&lt;0,Main[[#This Row],[مقدار (کیلوگرم)]],0)</f>
        <v>0</v>
      </c>
      <c r="L15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3" s="7">
        <f>-IF(AND(Main[[#This Row],[مقدار (کیلوگرم)]]&lt;0,Main[[#This Row],[تاريخ میلادی]]&gt;44276),Main[[#This Row],[مقدار (کیلوگرم)]],0)</f>
        <v>0</v>
      </c>
      <c r="N1533" s="6">
        <f ca="1">Main[[#This Row],[بدهکار (کیلوگرم)]]-Main[[#This Row],[بدهی تسویه نشده (کیلوگرم)]]</f>
        <v>0</v>
      </c>
      <c r="O1533" s="6">
        <f ca="1">Main[[#This Row],[تفکیک]]</f>
        <v>0</v>
      </c>
      <c r="P1533" s="6">
        <f ca="1">IF(Main[[#This Row],[تاخیر از سررسید]]&gt;0,Main[[#This Row],[بدهی تسویه نشده (کیلوگرم)]],0)</f>
        <v>0</v>
      </c>
      <c r="Q1533" s="6">
        <f ca="1">IF(Main[[#This Row],[بدهی تسویه نشده (کیلوگرم)]]&gt;0,'گزارش فردی'!$B$7-Main[[#This Row],[تاريخ میلادی]],0)</f>
        <v>0</v>
      </c>
      <c r="R1533" s="6">
        <f ca="1">IF(Main[[#This Row],[بدهی تسویه نشده (کیلوگرم)]]&gt;0,'گزارش فردی'!$B$7-Main[[#This Row],[تاريخ میلادی]]-'گزارش فردی'!$B$8,0)</f>
        <v>0</v>
      </c>
      <c r="S1533" s="6">
        <f ca="1">Main[[#This Row],[روز از ارسال سفارش]]*Main[[#This Row],[بدهی تسویه نشده (کیلوگرم)]]</f>
        <v>0</v>
      </c>
      <c r="T1533" s="6">
        <f ca="1">Main[[#This Row],[بدهی سررسید شده (کیلوگرم)]]*Main[[#This Row],[روز از ارسال سفارش]]</f>
        <v>0</v>
      </c>
      <c r="U1533" s="6">
        <f>-SUBTOTAL(9,INDEX(Main[مقدار (کیلوگرم)],1):Main[[#This Row],[مقدار (کیلوگرم)]])</f>
        <v>31643</v>
      </c>
      <c r="V15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3" s="6">
        <f>Main[[#This Row],[تعداد کل روزهای بدهکار (روز)]]*Main[[#This Row],[مانده در خط کل (کیلوگرم)]]</f>
        <v>31643</v>
      </c>
      <c r="X1533" s="6">
        <f ca="1">-SUBTOTAL(9,INDEX(Main[مقدار تسویه شده (کیلوگرم)],1):Main[[#This Row],[مقدار تسویه شده (کیلوگرم)]])</f>
        <v>31643</v>
      </c>
      <c r="Y1533" s="6">
        <f ca="1">IF(Main[[#This Row],[مانده در خط تسویه شده (کیلوگرم)]]&lt;&gt;0,Main[[#This Row],[تعداد کل روزهای بدهکار (روز)]],0)</f>
        <v>1</v>
      </c>
      <c r="Z1533" s="6">
        <f ca="1">Main[[#This Row],[تعداد روزهای بدهکار تسویه شده (روز)]]*Main[[#This Row],[مانده در خط تسویه شده (کیلوگرم)]]</f>
        <v>31643</v>
      </c>
      <c r="AA1533" s="6">
        <f ca="1">SUBTOTAL(9,INDEX(Main[بدهی تسویه نشده (کیلوگرم)],1):Main[[#This Row],[بدهی تسویه نشده (کیلوگرم)]])</f>
        <v>0</v>
      </c>
      <c r="AB1533" s="6">
        <f ca="1">IF(Main[[#This Row],[مانده در خط تسویه نشده (کیلوگرم)]]&lt;&gt;0,Main[[#This Row],[تعداد کل روزهای بدهکار (روز)]],0)</f>
        <v>0</v>
      </c>
      <c r="AC1533" s="6">
        <f ca="1">Main[[#This Row],[تعداد روزهای بدهکار  تسویه نشده (روز)]]*Main[[#This Row],[مانده در خط تسویه نشده (کیلوگرم)]]</f>
        <v>0</v>
      </c>
      <c r="AD1533" s="6">
        <f ca="1">SUBTOTAL(9,INDEX(Main[بدهی سررسید شده (کیلوگرم)],1):Main[[#This Row],[بدهی سررسید شده (کیلوگرم)]])</f>
        <v>0</v>
      </c>
      <c r="AE1533" s="6">
        <f ca="1">IF(Main[[#This Row],[مانده در خط سررسید شده (کیلوگرم)]]&lt;&gt;0,Main[[#This Row],[تعداد کل روزهای بدهکار (روز)]],0)</f>
        <v>0</v>
      </c>
      <c r="AF1533" s="6">
        <f ca="1">Main[[#This Row],[تعداد روزهای بدهکار سررسید شده (روز)]]*Main[[#This Row],[مانده در خط سررسید شده (کیلوگرم)]]</f>
        <v>0</v>
      </c>
    </row>
    <row r="1534" spans="1:32" hidden="1" x14ac:dyDescent="0.35">
      <c r="A1534" s="5">
        <f>ROW()-ROW(INDEX(Main[ردیف],1))+1</f>
        <v>1532</v>
      </c>
      <c r="B1534" s="31">
        <f>SUBTOTAL(2,INDEX(Main[ردیف],1):Main[[#This Row],[ردیف]])</f>
        <v>138</v>
      </c>
      <c r="C1534" s="32" t="s">
        <v>687</v>
      </c>
      <c r="D1534" s="32" t="str">
        <f>_xlfn.CONCAT("14",Main[[#This Row],[تاريخ]])</f>
        <v>1400/06/15</v>
      </c>
      <c r="E1534" s="33">
        <v>44445</v>
      </c>
      <c r="F1534" s="32">
        <v>10057</v>
      </c>
      <c r="G1534" s="5" t="str">
        <f>INDEX(customer[عنوان],MATCH(Main[[#This Row],[کد ردیابی]],customer[کد],0))</f>
        <v xml:space="preserve">عبدالله یادگار </v>
      </c>
      <c r="H1534">
        <v>98</v>
      </c>
      <c r="I1534" s="6">
        <f ca="1">-Main[[#This Row],[بدهی تسویه شده (کیلوگرم)]]+Main[[#This Row],[بستانکار (کیلوگرم)]]</f>
        <v>98</v>
      </c>
      <c r="J1534" s="6">
        <f>IF(Main[[#This Row],[مقدار (کیلوگرم)]]&gt;0,Main[[#This Row],[مقدار (کیلوگرم)]],0)</f>
        <v>98</v>
      </c>
      <c r="K1534" s="6">
        <f>-IF(Main[[#This Row],[مقدار (کیلوگرم)]]&lt;0,Main[[#This Row],[مقدار (کیلوگرم)]],0)</f>
        <v>0</v>
      </c>
      <c r="L15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4" s="7">
        <f>-IF(AND(Main[[#This Row],[مقدار (کیلوگرم)]]&lt;0,Main[[#This Row],[تاريخ میلادی]]&gt;44276),Main[[#This Row],[مقدار (کیلوگرم)]],0)</f>
        <v>0</v>
      </c>
      <c r="N1534" s="6">
        <f ca="1">Main[[#This Row],[بدهکار (کیلوگرم)]]-Main[[#This Row],[بدهی تسویه نشده (کیلوگرم)]]</f>
        <v>0</v>
      </c>
      <c r="O1534" s="6">
        <f ca="1">Main[[#This Row],[تفکیک]]</f>
        <v>0</v>
      </c>
      <c r="P1534" s="6">
        <f ca="1">IF(Main[[#This Row],[تاخیر از سررسید]]&gt;0,Main[[#This Row],[بدهی تسویه نشده (کیلوگرم)]],0)</f>
        <v>0</v>
      </c>
      <c r="Q1534" s="6">
        <f ca="1">IF(Main[[#This Row],[بدهی تسویه نشده (کیلوگرم)]]&gt;0,'گزارش فردی'!$B$7-Main[[#This Row],[تاريخ میلادی]],0)</f>
        <v>0</v>
      </c>
      <c r="R1534" s="6">
        <f ca="1">IF(Main[[#This Row],[بدهی تسویه نشده (کیلوگرم)]]&gt;0,'گزارش فردی'!$B$7-Main[[#This Row],[تاريخ میلادی]]-'گزارش فردی'!$B$8,0)</f>
        <v>0</v>
      </c>
      <c r="S1534" s="6">
        <f ca="1">Main[[#This Row],[روز از ارسال سفارش]]*Main[[#This Row],[بدهی تسویه نشده (کیلوگرم)]]</f>
        <v>0</v>
      </c>
      <c r="T1534" s="6">
        <f ca="1">Main[[#This Row],[بدهی سررسید شده (کیلوگرم)]]*Main[[#This Row],[روز از ارسال سفارش]]</f>
        <v>0</v>
      </c>
      <c r="U1534" s="6">
        <f>-SUBTOTAL(9,INDEX(Main[مقدار (کیلوگرم)],1):Main[[#This Row],[مقدار (کیلوگرم)]])</f>
        <v>31643</v>
      </c>
      <c r="V15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4" s="6">
        <f>Main[[#This Row],[تعداد کل روزهای بدهکار (روز)]]*Main[[#This Row],[مانده در خط کل (کیلوگرم)]]</f>
        <v>31643</v>
      </c>
      <c r="X1534" s="6">
        <f ca="1">-SUBTOTAL(9,INDEX(Main[مقدار تسویه شده (کیلوگرم)],1):Main[[#This Row],[مقدار تسویه شده (کیلوگرم)]])</f>
        <v>31643</v>
      </c>
      <c r="Y1534" s="6">
        <f ca="1">IF(Main[[#This Row],[مانده در خط تسویه شده (کیلوگرم)]]&lt;&gt;0,Main[[#This Row],[تعداد کل روزهای بدهکار (روز)]],0)</f>
        <v>1</v>
      </c>
      <c r="Z1534" s="6">
        <f ca="1">Main[[#This Row],[تعداد روزهای بدهکار تسویه شده (روز)]]*Main[[#This Row],[مانده در خط تسویه شده (کیلوگرم)]]</f>
        <v>31643</v>
      </c>
      <c r="AA1534" s="6">
        <f ca="1">SUBTOTAL(9,INDEX(Main[بدهی تسویه نشده (کیلوگرم)],1):Main[[#This Row],[بدهی تسویه نشده (کیلوگرم)]])</f>
        <v>0</v>
      </c>
      <c r="AB1534" s="6">
        <f ca="1">IF(Main[[#This Row],[مانده در خط تسویه نشده (کیلوگرم)]]&lt;&gt;0,Main[[#This Row],[تعداد کل روزهای بدهکار (روز)]],0)</f>
        <v>0</v>
      </c>
      <c r="AC1534" s="6">
        <f ca="1">Main[[#This Row],[تعداد روزهای بدهکار  تسویه نشده (روز)]]*Main[[#This Row],[مانده در خط تسویه نشده (کیلوگرم)]]</f>
        <v>0</v>
      </c>
      <c r="AD1534" s="6">
        <f ca="1">SUBTOTAL(9,INDEX(Main[بدهی سررسید شده (کیلوگرم)],1):Main[[#This Row],[بدهی سررسید شده (کیلوگرم)]])</f>
        <v>0</v>
      </c>
      <c r="AE1534" s="6">
        <f ca="1">IF(Main[[#This Row],[مانده در خط سررسید شده (کیلوگرم)]]&lt;&gt;0,Main[[#This Row],[تعداد کل روزهای بدهکار (روز)]],0)</f>
        <v>0</v>
      </c>
      <c r="AF1534" s="6">
        <f ca="1">Main[[#This Row],[تعداد روزهای بدهکار سررسید شده (روز)]]*Main[[#This Row],[مانده در خط سررسید شده (کیلوگرم)]]</f>
        <v>0</v>
      </c>
    </row>
    <row r="1535" spans="1:32" hidden="1" x14ac:dyDescent="0.35">
      <c r="A1535" s="5">
        <f>ROW()-ROW(INDEX(Main[ردیف],1))+1</f>
        <v>1533</v>
      </c>
      <c r="B1535" s="31">
        <f>SUBTOTAL(2,INDEX(Main[ردیف],1):Main[[#This Row],[ردیف]])</f>
        <v>138</v>
      </c>
      <c r="C1535" s="32" t="s">
        <v>688</v>
      </c>
      <c r="D1535" s="32" t="str">
        <f>_xlfn.CONCAT("14",Main[[#This Row],[تاريخ]])</f>
        <v>1400/06/16</v>
      </c>
      <c r="E1535" s="33">
        <v>44446</v>
      </c>
      <c r="F1535" s="32">
        <v>30004</v>
      </c>
      <c r="G1535" s="5" t="str">
        <f>INDEX(customer[عنوان],MATCH(Main[[#This Row],[کد ردیابی]],customer[کد],0))</f>
        <v>تولیدی صنعتی صفاشیر پارس</v>
      </c>
      <c r="H1535">
        <v>-4455</v>
      </c>
      <c r="I1535" s="6">
        <f ca="1">-Main[[#This Row],[بدهی تسویه شده (کیلوگرم)]]+Main[[#This Row],[بستانکار (کیلوگرم)]]</f>
        <v>-4455</v>
      </c>
      <c r="J1535" s="6">
        <f>IF(Main[[#This Row],[مقدار (کیلوگرم)]]&gt;0,Main[[#This Row],[مقدار (کیلوگرم)]],0)</f>
        <v>0</v>
      </c>
      <c r="K1535" s="6">
        <f>-IF(Main[[#This Row],[مقدار (کیلوگرم)]]&lt;0,Main[[#This Row],[مقدار (کیلوگرم)]],0)</f>
        <v>4455</v>
      </c>
      <c r="L15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5" s="7">
        <f>-IF(AND(Main[[#This Row],[مقدار (کیلوگرم)]]&lt;0,Main[[#This Row],[تاريخ میلادی]]&gt;44276),Main[[#This Row],[مقدار (کیلوگرم)]],0)</f>
        <v>4455</v>
      </c>
      <c r="N1535" s="6">
        <f ca="1">Main[[#This Row],[بدهکار (کیلوگرم)]]-Main[[#This Row],[بدهی تسویه نشده (کیلوگرم)]]</f>
        <v>4455</v>
      </c>
      <c r="O1535" s="6">
        <f ca="1">Main[[#This Row],[تفکیک]]</f>
        <v>0</v>
      </c>
      <c r="P1535" s="6">
        <f ca="1">IF(Main[[#This Row],[تاخیر از سررسید]]&gt;0,Main[[#This Row],[بدهی تسویه نشده (کیلوگرم)]],0)</f>
        <v>0</v>
      </c>
      <c r="Q1535" s="6">
        <f ca="1">IF(Main[[#This Row],[بدهی تسویه نشده (کیلوگرم)]]&gt;0,'گزارش فردی'!$B$7-Main[[#This Row],[تاريخ میلادی]],0)</f>
        <v>0</v>
      </c>
      <c r="R1535" s="6">
        <f ca="1">IF(Main[[#This Row],[بدهی تسویه نشده (کیلوگرم)]]&gt;0,'گزارش فردی'!$B$7-Main[[#This Row],[تاريخ میلادی]]-'گزارش فردی'!$B$8,0)</f>
        <v>0</v>
      </c>
      <c r="S1535" s="6">
        <f ca="1">Main[[#This Row],[روز از ارسال سفارش]]*Main[[#This Row],[بدهی تسویه نشده (کیلوگرم)]]</f>
        <v>0</v>
      </c>
      <c r="T1535" s="6">
        <f ca="1">Main[[#This Row],[بدهی سررسید شده (کیلوگرم)]]*Main[[#This Row],[روز از ارسال سفارش]]</f>
        <v>0</v>
      </c>
      <c r="U1535" s="6">
        <f>-SUBTOTAL(9,INDEX(Main[مقدار (کیلوگرم)],1):Main[[#This Row],[مقدار (کیلوگرم)]])</f>
        <v>31643</v>
      </c>
      <c r="V15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5" s="6">
        <f>Main[[#This Row],[تعداد کل روزهای بدهکار (روز)]]*Main[[#This Row],[مانده در خط کل (کیلوگرم)]]</f>
        <v>0</v>
      </c>
      <c r="X1535" s="6">
        <f ca="1">-SUBTOTAL(9,INDEX(Main[مقدار تسویه شده (کیلوگرم)],1):Main[[#This Row],[مقدار تسویه شده (کیلوگرم)]])</f>
        <v>31643</v>
      </c>
      <c r="Y1535" s="6">
        <f ca="1">IF(Main[[#This Row],[مانده در خط تسویه شده (کیلوگرم)]]&lt;&gt;0,Main[[#This Row],[تعداد کل روزهای بدهکار (روز)]],0)</f>
        <v>0</v>
      </c>
      <c r="Z1535" s="6">
        <f ca="1">Main[[#This Row],[تعداد روزهای بدهکار تسویه شده (روز)]]*Main[[#This Row],[مانده در خط تسویه شده (کیلوگرم)]]</f>
        <v>0</v>
      </c>
      <c r="AA1535" s="6">
        <f ca="1">SUBTOTAL(9,INDEX(Main[بدهی تسویه نشده (کیلوگرم)],1):Main[[#This Row],[بدهی تسویه نشده (کیلوگرم)]])</f>
        <v>0</v>
      </c>
      <c r="AB1535" s="6">
        <f ca="1">IF(Main[[#This Row],[مانده در خط تسویه نشده (کیلوگرم)]]&lt;&gt;0,Main[[#This Row],[تعداد کل روزهای بدهکار (روز)]],0)</f>
        <v>0</v>
      </c>
      <c r="AC1535" s="6">
        <f ca="1">Main[[#This Row],[تعداد روزهای بدهکار  تسویه نشده (روز)]]*Main[[#This Row],[مانده در خط تسویه نشده (کیلوگرم)]]</f>
        <v>0</v>
      </c>
      <c r="AD1535" s="6">
        <f ca="1">SUBTOTAL(9,INDEX(Main[بدهی سررسید شده (کیلوگرم)],1):Main[[#This Row],[بدهی سررسید شده (کیلوگرم)]])</f>
        <v>0</v>
      </c>
      <c r="AE1535" s="6">
        <f ca="1">IF(Main[[#This Row],[مانده در خط سررسید شده (کیلوگرم)]]&lt;&gt;0,Main[[#This Row],[تعداد کل روزهای بدهکار (روز)]],0)</f>
        <v>0</v>
      </c>
      <c r="AF1535" s="6">
        <f ca="1">Main[[#This Row],[تعداد روزهای بدهکار سررسید شده (روز)]]*Main[[#This Row],[مانده در خط سررسید شده (کیلوگرم)]]</f>
        <v>0</v>
      </c>
    </row>
    <row r="1536" spans="1:32" x14ac:dyDescent="0.35">
      <c r="A1536" s="5">
        <f>ROW()-ROW(INDEX(Main[ردیف],1))+1</f>
        <v>1534</v>
      </c>
      <c r="B1536" s="31">
        <f>SUBTOTAL(2,INDEX(Main[ردیف],1):Main[[#This Row],[ردیف]])</f>
        <v>139</v>
      </c>
      <c r="C1536" s="32" t="s">
        <v>688</v>
      </c>
      <c r="D1536" s="32" t="str">
        <f>_xlfn.CONCAT("14",Main[[#This Row],[تاريخ]])</f>
        <v>1400/06/16</v>
      </c>
      <c r="E1536" s="33">
        <v>44446</v>
      </c>
      <c r="F1536" s="32">
        <v>10003</v>
      </c>
      <c r="G1536" s="5" t="str">
        <f>INDEX(customer[عنوان],MATCH(Main[[#This Row],[کد ردیابی]],customer[کد],0))</f>
        <v>اصغر نورعلی</v>
      </c>
      <c r="H1536">
        <v>2841</v>
      </c>
      <c r="I1536" s="6">
        <f ca="1">-Main[[#This Row],[بدهی تسویه شده (کیلوگرم)]]+Main[[#This Row],[بستانکار (کیلوگرم)]]</f>
        <v>2841</v>
      </c>
      <c r="J1536" s="6">
        <f>IF(Main[[#This Row],[مقدار (کیلوگرم)]]&gt;0,Main[[#This Row],[مقدار (کیلوگرم)]],0)</f>
        <v>2841</v>
      </c>
      <c r="K1536" s="6">
        <f>-IF(Main[[#This Row],[مقدار (کیلوگرم)]]&lt;0,Main[[#This Row],[مقدار (کیلوگرم)]],0)</f>
        <v>0</v>
      </c>
      <c r="L15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6" s="7">
        <f>-IF(AND(Main[[#This Row],[مقدار (کیلوگرم)]]&lt;0,Main[[#This Row],[تاريخ میلادی]]&gt;44276),Main[[#This Row],[مقدار (کیلوگرم)]],0)</f>
        <v>0</v>
      </c>
      <c r="N1536" s="6">
        <f ca="1">Main[[#This Row],[بدهکار (کیلوگرم)]]-Main[[#This Row],[بدهی تسویه نشده (کیلوگرم)]]</f>
        <v>0</v>
      </c>
      <c r="O1536" s="6">
        <f ca="1">Main[[#This Row],[تفکیک]]</f>
        <v>0</v>
      </c>
      <c r="P1536" s="6">
        <f ca="1">IF(Main[[#This Row],[تاخیر از سررسید]]&gt;0,Main[[#This Row],[بدهی تسویه نشده (کیلوگرم)]],0)</f>
        <v>0</v>
      </c>
      <c r="Q1536" s="6">
        <f ca="1">IF(Main[[#This Row],[بدهی تسویه نشده (کیلوگرم)]]&gt;0,'گزارش فردی'!$B$7-Main[[#This Row],[تاريخ میلادی]],0)</f>
        <v>0</v>
      </c>
      <c r="R1536" s="6">
        <f ca="1">IF(Main[[#This Row],[بدهی تسویه نشده (کیلوگرم)]]&gt;0,'گزارش فردی'!$B$7-Main[[#This Row],[تاريخ میلادی]]-'گزارش فردی'!$B$8,0)</f>
        <v>0</v>
      </c>
      <c r="S1536" s="6">
        <f ca="1">Main[[#This Row],[روز از ارسال سفارش]]*Main[[#This Row],[بدهی تسویه نشده (کیلوگرم)]]</f>
        <v>0</v>
      </c>
      <c r="T1536" s="6">
        <f ca="1">Main[[#This Row],[بدهی سررسید شده (کیلوگرم)]]*Main[[#This Row],[روز از ارسال سفارش]]</f>
        <v>0</v>
      </c>
      <c r="U1536" s="6">
        <f>-SUBTOTAL(9,INDEX(Main[مقدار (کیلوگرم)],1):Main[[#This Row],[مقدار (کیلوگرم)]])</f>
        <v>28802</v>
      </c>
      <c r="V15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6" s="6">
        <f>Main[[#This Row],[تعداد کل روزهای بدهکار (روز)]]*Main[[#This Row],[مانده در خط کل (کیلوگرم)]]</f>
        <v>0</v>
      </c>
      <c r="X1536" s="6">
        <f ca="1">-SUBTOTAL(9,INDEX(Main[مقدار تسویه شده (کیلوگرم)],1):Main[[#This Row],[مقدار تسویه شده (کیلوگرم)]])</f>
        <v>28802</v>
      </c>
      <c r="Y1536" s="6">
        <f ca="1">IF(Main[[#This Row],[مانده در خط تسویه شده (کیلوگرم)]]&lt;&gt;0,Main[[#This Row],[تعداد کل روزهای بدهکار (روز)]],0)</f>
        <v>0</v>
      </c>
      <c r="Z1536" s="6">
        <f ca="1">Main[[#This Row],[تعداد روزهای بدهکار تسویه شده (روز)]]*Main[[#This Row],[مانده در خط تسویه شده (کیلوگرم)]]</f>
        <v>0</v>
      </c>
      <c r="AA1536" s="6">
        <f ca="1">SUBTOTAL(9,INDEX(Main[بدهی تسویه نشده (کیلوگرم)],1):Main[[#This Row],[بدهی تسویه نشده (کیلوگرم)]])</f>
        <v>0</v>
      </c>
      <c r="AB1536" s="6">
        <f ca="1">IF(Main[[#This Row],[مانده در خط تسویه نشده (کیلوگرم)]]&lt;&gt;0,Main[[#This Row],[تعداد کل روزهای بدهکار (روز)]],0)</f>
        <v>0</v>
      </c>
      <c r="AC1536" s="6">
        <f ca="1">Main[[#This Row],[تعداد روزهای بدهکار  تسویه نشده (روز)]]*Main[[#This Row],[مانده در خط تسویه نشده (کیلوگرم)]]</f>
        <v>0</v>
      </c>
      <c r="AD1536" s="6">
        <f ca="1">SUBTOTAL(9,INDEX(Main[بدهی سررسید شده (کیلوگرم)],1):Main[[#This Row],[بدهی سررسید شده (کیلوگرم)]])</f>
        <v>0</v>
      </c>
      <c r="AE1536" s="6">
        <f ca="1">IF(Main[[#This Row],[مانده در خط سررسید شده (کیلوگرم)]]&lt;&gt;0,Main[[#This Row],[تعداد کل روزهای بدهکار (روز)]],0)</f>
        <v>0</v>
      </c>
      <c r="AF1536" s="6">
        <f ca="1">Main[[#This Row],[تعداد روزهای بدهکار سررسید شده (روز)]]*Main[[#This Row],[مانده در خط سررسید شده (کیلوگرم)]]</f>
        <v>0</v>
      </c>
    </row>
    <row r="1537" spans="1:32" hidden="1" x14ac:dyDescent="0.35">
      <c r="A1537" s="5">
        <f>ROW()-ROW(INDEX(Main[ردیف],1))+1</f>
        <v>1535</v>
      </c>
      <c r="B1537" s="31">
        <f>SUBTOTAL(2,INDEX(Main[ردیف],1):Main[[#This Row],[ردیف]])</f>
        <v>139</v>
      </c>
      <c r="C1537" s="32" t="s">
        <v>688</v>
      </c>
      <c r="D1537" s="32" t="str">
        <f>_xlfn.CONCAT("14",Main[[#This Row],[تاريخ]])</f>
        <v>1400/06/16</v>
      </c>
      <c r="E1537" s="33">
        <v>44446</v>
      </c>
      <c r="F1537" s="32">
        <v>10070</v>
      </c>
      <c r="G1537" s="5" t="str">
        <f>INDEX(customer[عنوان],MATCH(Main[[#This Row],[کد ردیابی]],customer[کد],0))</f>
        <v xml:space="preserve">حمیدرضا شفیعی </v>
      </c>
      <c r="H1537">
        <v>-265</v>
      </c>
      <c r="I1537" s="6">
        <f ca="1">-Main[[#This Row],[بدهی تسویه شده (کیلوگرم)]]+Main[[#This Row],[بستانکار (کیلوگرم)]]</f>
        <v>-265</v>
      </c>
      <c r="J1537" s="6">
        <f>IF(Main[[#This Row],[مقدار (کیلوگرم)]]&gt;0,Main[[#This Row],[مقدار (کیلوگرم)]],0)</f>
        <v>0</v>
      </c>
      <c r="K1537" s="6">
        <f>-IF(Main[[#This Row],[مقدار (کیلوگرم)]]&lt;0,Main[[#This Row],[مقدار (کیلوگرم)]],0)</f>
        <v>265</v>
      </c>
      <c r="L15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7" s="7">
        <f>-IF(AND(Main[[#This Row],[مقدار (کیلوگرم)]]&lt;0,Main[[#This Row],[تاريخ میلادی]]&gt;44276),Main[[#This Row],[مقدار (کیلوگرم)]],0)</f>
        <v>265</v>
      </c>
      <c r="N1537" s="6">
        <f ca="1">Main[[#This Row],[بدهکار (کیلوگرم)]]-Main[[#This Row],[بدهی تسویه نشده (کیلوگرم)]]</f>
        <v>265</v>
      </c>
      <c r="O1537" s="6">
        <f ca="1">Main[[#This Row],[تفکیک]]</f>
        <v>0</v>
      </c>
      <c r="P1537" s="6">
        <f ca="1">IF(Main[[#This Row],[تاخیر از سررسید]]&gt;0,Main[[#This Row],[بدهی تسویه نشده (کیلوگرم)]],0)</f>
        <v>0</v>
      </c>
      <c r="Q1537" s="6">
        <f ca="1">IF(Main[[#This Row],[بدهی تسویه نشده (کیلوگرم)]]&gt;0,'گزارش فردی'!$B$7-Main[[#This Row],[تاريخ میلادی]],0)</f>
        <v>0</v>
      </c>
      <c r="R1537" s="6">
        <f ca="1">IF(Main[[#This Row],[بدهی تسویه نشده (کیلوگرم)]]&gt;0,'گزارش فردی'!$B$7-Main[[#This Row],[تاريخ میلادی]]-'گزارش فردی'!$B$8,0)</f>
        <v>0</v>
      </c>
      <c r="S1537" s="6">
        <f ca="1">Main[[#This Row],[روز از ارسال سفارش]]*Main[[#This Row],[بدهی تسویه نشده (کیلوگرم)]]</f>
        <v>0</v>
      </c>
      <c r="T1537" s="6">
        <f ca="1">Main[[#This Row],[بدهی سررسید شده (کیلوگرم)]]*Main[[#This Row],[روز از ارسال سفارش]]</f>
        <v>0</v>
      </c>
      <c r="U1537" s="6">
        <f>-SUBTOTAL(9,INDEX(Main[مقدار (کیلوگرم)],1):Main[[#This Row],[مقدار (کیلوگرم)]])</f>
        <v>28802</v>
      </c>
      <c r="V15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7" s="6">
        <f>Main[[#This Row],[تعداد کل روزهای بدهکار (روز)]]*Main[[#This Row],[مانده در خط کل (کیلوگرم)]]</f>
        <v>0</v>
      </c>
      <c r="X1537" s="6">
        <f ca="1">-SUBTOTAL(9,INDEX(Main[مقدار تسویه شده (کیلوگرم)],1):Main[[#This Row],[مقدار تسویه شده (کیلوگرم)]])</f>
        <v>28802</v>
      </c>
      <c r="Y1537" s="6">
        <f ca="1">IF(Main[[#This Row],[مانده در خط تسویه شده (کیلوگرم)]]&lt;&gt;0,Main[[#This Row],[تعداد کل روزهای بدهکار (روز)]],0)</f>
        <v>0</v>
      </c>
      <c r="Z1537" s="6">
        <f ca="1">Main[[#This Row],[تعداد روزهای بدهکار تسویه شده (روز)]]*Main[[#This Row],[مانده در خط تسویه شده (کیلوگرم)]]</f>
        <v>0</v>
      </c>
      <c r="AA1537" s="6">
        <f ca="1">SUBTOTAL(9,INDEX(Main[بدهی تسویه نشده (کیلوگرم)],1):Main[[#This Row],[بدهی تسویه نشده (کیلوگرم)]])</f>
        <v>0</v>
      </c>
      <c r="AB1537" s="6">
        <f ca="1">IF(Main[[#This Row],[مانده در خط تسویه نشده (کیلوگرم)]]&lt;&gt;0,Main[[#This Row],[تعداد کل روزهای بدهکار (روز)]],0)</f>
        <v>0</v>
      </c>
      <c r="AC1537" s="6">
        <f ca="1">Main[[#This Row],[تعداد روزهای بدهکار  تسویه نشده (روز)]]*Main[[#This Row],[مانده در خط تسویه نشده (کیلوگرم)]]</f>
        <v>0</v>
      </c>
      <c r="AD1537" s="6">
        <f ca="1">SUBTOTAL(9,INDEX(Main[بدهی سررسید شده (کیلوگرم)],1):Main[[#This Row],[بدهی سررسید شده (کیلوگرم)]])</f>
        <v>0</v>
      </c>
      <c r="AE1537" s="6">
        <f ca="1">IF(Main[[#This Row],[مانده در خط سررسید شده (کیلوگرم)]]&lt;&gt;0,Main[[#This Row],[تعداد کل روزهای بدهکار (روز)]],0)</f>
        <v>0</v>
      </c>
      <c r="AF1537" s="6">
        <f ca="1">Main[[#This Row],[تعداد روزهای بدهکار سررسید شده (روز)]]*Main[[#This Row],[مانده در خط سررسید شده (کیلوگرم)]]</f>
        <v>0</v>
      </c>
    </row>
    <row r="1538" spans="1:32" hidden="1" x14ac:dyDescent="0.35">
      <c r="A1538" s="5">
        <f>ROW()-ROW(INDEX(Main[ردیف],1))+1</f>
        <v>1536</v>
      </c>
      <c r="B1538" s="31">
        <f>SUBTOTAL(2,INDEX(Main[ردیف],1):Main[[#This Row],[ردیف]])</f>
        <v>139</v>
      </c>
      <c r="C1538" s="32" t="s">
        <v>688</v>
      </c>
      <c r="D1538" s="32" t="str">
        <f>_xlfn.CONCAT("14",Main[[#This Row],[تاريخ]])</f>
        <v>1400/06/16</v>
      </c>
      <c r="E1538" s="33">
        <v>44446</v>
      </c>
      <c r="F1538" s="32">
        <v>30022</v>
      </c>
      <c r="G1538" s="5" t="str">
        <f>INDEX(customer[عنوان],MATCH(Main[[#This Row],[کد ردیابی]],customer[کد],0))</f>
        <v xml:space="preserve">کلار پویا </v>
      </c>
      <c r="H1538">
        <v>4912</v>
      </c>
      <c r="I1538" s="6">
        <f ca="1">-Main[[#This Row],[بدهی تسویه شده (کیلوگرم)]]+Main[[#This Row],[بستانکار (کیلوگرم)]]</f>
        <v>4912</v>
      </c>
      <c r="J1538" s="6">
        <f>IF(Main[[#This Row],[مقدار (کیلوگرم)]]&gt;0,Main[[#This Row],[مقدار (کیلوگرم)]],0)</f>
        <v>4912</v>
      </c>
      <c r="K1538" s="6">
        <f>-IF(Main[[#This Row],[مقدار (کیلوگرم)]]&lt;0,Main[[#This Row],[مقدار (کیلوگرم)]],0)</f>
        <v>0</v>
      </c>
      <c r="L15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8" s="7">
        <f>-IF(AND(Main[[#This Row],[مقدار (کیلوگرم)]]&lt;0,Main[[#This Row],[تاريخ میلادی]]&gt;44276),Main[[#This Row],[مقدار (کیلوگرم)]],0)</f>
        <v>0</v>
      </c>
      <c r="N1538" s="6">
        <f ca="1">Main[[#This Row],[بدهکار (کیلوگرم)]]-Main[[#This Row],[بدهی تسویه نشده (کیلوگرم)]]</f>
        <v>0</v>
      </c>
      <c r="O1538" s="6">
        <f ca="1">Main[[#This Row],[تفکیک]]</f>
        <v>0</v>
      </c>
      <c r="P1538" s="6">
        <f ca="1">IF(Main[[#This Row],[تاخیر از سررسید]]&gt;0,Main[[#This Row],[بدهی تسویه نشده (کیلوگرم)]],0)</f>
        <v>0</v>
      </c>
      <c r="Q1538" s="6">
        <f ca="1">IF(Main[[#This Row],[بدهی تسویه نشده (کیلوگرم)]]&gt;0,'گزارش فردی'!$B$7-Main[[#This Row],[تاريخ میلادی]],0)</f>
        <v>0</v>
      </c>
      <c r="R1538" s="6">
        <f ca="1">IF(Main[[#This Row],[بدهی تسویه نشده (کیلوگرم)]]&gt;0,'گزارش فردی'!$B$7-Main[[#This Row],[تاريخ میلادی]]-'گزارش فردی'!$B$8,0)</f>
        <v>0</v>
      </c>
      <c r="S1538" s="6">
        <f ca="1">Main[[#This Row],[روز از ارسال سفارش]]*Main[[#This Row],[بدهی تسویه نشده (کیلوگرم)]]</f>
        <v>0</v>
      </c>
      <c r="T1538" s="6">
        <f ca="1">Main[[#This Row],[بدهی سررسید شده (کیلوگرم)]]*Main[[#This Row],[روز از ارسال سفارش]]</f>
        <v>0</v>
      </c>
      <c r="U1538" s="6">
        <f>-SUBTOTAL(9,INDEX(Main[مقدار (کیلوگرم)],1):Main[[#This Row],[مقدار (کیلوگرم)]])</f>
        <v>28802</v>
      </c>
      <c r="V15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8" s="6">
        <f>Main[[#This Row],[تعداد کل روزهای بدهکار (روز)]]*Main[[#This Row],[مانده در خط کل (کیلوگرم)]]</f>
        <v>0</v>
      </c>
      <c r="X1538" s="6">
        <f ca="1">-SUBTOTAL(9,INDEX(Main[مقدار تسویه شده (کیلوگرم)],1):Main[[#This Row],[مقدار تسویه شده (کیلوگرم)]])</f>
        <v>28802</v>
      </c>
      <c r="Y1538" s="6">
        <f ca="1">IF(Main[[#This Row],[مانده در خط تسویه شده (کیلوگرم)]]&lt;&gt;0,Main[[#This Row],[تعداد کل روزهای بدهکار (روز)]],0)</f>
        <v>0</v>
      </c>
      <c r="Z1538" s="6">
        <f ca="1">Main[[#This Row],[تعداد روزهای بدهکار تسویه شده (روز)]]*Main[[#This Row],[مانده در خط تسویه شده (کیلوگرم)]]</f>
        <v>0</v>
      </c>
      <c r="AA1538" s="6">
        <f ca="1">SUBTOTAL(9,INDEX(Main[بدهی تسویه نشده (کیلوگرم)],1):Main[[#This Row],[بدهی تسویه نشده (کیلوگرم)]])</f>
        <v>0</v>
      </c>
      <c r="AB1538" s="6">
        <f ca="1">IF(Main[[#This Row],[مانده در خط تسویه نشده (کیلوگرم)]]&lt;&gt;0,Main[[#This Row],[تعداد کل روزهای بدهکار (روز)]],0)</f>
        <v>0</v>
      </c>
      <c r="AC1538" s="6">
        <f ca="1">Main[[#This Row],[تعداد روزهای بدهکار  تسویه نشده (روز)]]*Main[[#This Row],[مانده در خط تسویه نشده (کیلوگرم)]]</f>
        <v>0</v>
      </c>
      <c r="AD1538" s="6">
        <f ca="1">SUBTOTAL(9,INDEX(Main[بدهی سررسید شده (کیلوگرم)],1):Main[[#This Row],[بدهی سررسید شده (کیلوگرم)]])</f>
        <v>0</v>
      </c>
      <c r="AE1538" s="6">
        <f ca="1">IF(Main[[#This Row],[مانده در خط سررسید شده (کیلوگرم)]]&lt;&gt;0,Main[[#This Row],[تعداد کل روزهای بدهکار (روز)]],0)</f>
        <v>0</v>
      </c>
      <c r="AF1538" s="6">
        <f ca="1">Main[[#This Row],[تعداد روزهای بدهکار سررسید شده (روز)]]*Main[[#This Row],[مانده در خط سررسید شده (کیلوگرم)]]</f>
        <v>0</v>
      </c>
    </row>
    <row r="1539" spans="1:32" hidden="1" x14ac:dyDescent="0.35">
      <c r="A1539" s="5">
        <f>ROW()-ROW(INDEX(Main[ردیف],1))+1</f>
        <v>1537</v>
      </c>
      <c r="B1539" s="31">
        <f>SUBTOTAL(2,INDEX(Main[ردیف],1):Main[[#This Row],[ردیف]])</f>
        <v>139</v>
      </c>
      <c r="C1539" s="32" t="s">
        <v>688</v>
      </c>
      <c r="D1539" s="32" t="str">
        <f>_xlfn.CONCAT("14",Main[[#This Row],[تاريخ]])</f>
        <v>1400/06/16</v>
      </c>
      <c r="E1539" s="33">
        <v>44446</v>
      </c>
      <c r="F1539" s="32">
        <v>30184</v>
      </c>
      <c r="G1539" s="5" t="str">
        <f>INDEX(customer[عنوان],MATCH(Main[[#This Row],[کد ردیابی]],customer[کد],0))</f>
        <v>شرکت هوم کو (هوشمند مبین کوشا)</v>
      </c>
      <c r="H1539">
        <v>-4005</v>
      </c>
      <c r="I1539" s="6">
        <f ca="1">-Main[[#This Row],[بدهی تسویه شده (کیلوگرم)]]+Main[[#This Row],[بستانکار (کیلوگرم)]]</f>
        <v>-4005</v>
      </c>
      <c r="J1539" s="6">
        <f>IF(Main[[#This Row],[مقدار (کیلوگرم)]]&gt;0,Main[[#This Row],[مقدار (کیلوگرم)]],0)</f>
        <v>0</v>
      </c>
      <c r="K1539" s="6">
        <f>-IF(Main[[#This Row],[مقدار (کیلوگرم)]]&lt;0,Main[[#This Row],[مقدار (کیلوگرم)]],0)</f>
        <v>4005</v>
      </c>
      <c r="L15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9" s="7">
        <f>-IF(AND(Main[[#This Row],[مقدار (کیلوگرم)]]&lt;0,Main[[#This Row],[تاريخ میلادی]]&gt;44276),Main[[#This Row],[مقدار (کیلوگرم)]],0)</f>
        <v>4005</v>
      </c>
      <c r="N1539" s="6">
        <f ca="1">Main[[#This Row],[بدهکار (کیلوگرم)]]-Main[[#This Row],[بدهی تسویه نشده (کیلوگرم)]]</f>
        <v>4005</v>
      </c>
      <c r="O1539" s="6">
        <f ca="1">Main[[#This Row],[تفکیک]]</f>
        <v>0</v>
      </c>
      <c r="P1539" s="6">
        <f ca="1">IF(Main[[#This Row],[تاخیر از سررسید]]&gt;0,Main[[#This Row],[بدهی تسویه نشده (کیلوگرم)]],0)</f>
        <v>0</v>
      </c>
      <c r="Q1539" s="6">
        <f ca="1">IF(Main[[#This Row],[بدهی تسویه نشده (کیلوگرم)]]&gt;0,'گزارش فردی'!$B$7-Main[[#This Row],[تاريخ میلادی]],0)</f>
        <v>0</v>
      </c>
      <c r="R1539" s="6">
        <f ca="1">IF(Main[[#This Row],[بدهی تسویه نشده (کیلوگرم)]]&gt;0,'گزارش فردی'!$B$7-Main[[#This Row],[تاريخ میلادی]]-'گزارش فردی'!$B$8,0)</f>
        <v>0</v>
      </c>
      <c r="S1539" s="6">
        <f ca="1">Main[[#This Row],[روز از ارسال سفارش]]*Main[[#This Row],[بدهی تسویه نشده (کیلوگرم)]]</f>
        <v>0</v>
      </c>
      <c r="T1539" s="6">
        <f ca="1">Main[[#This Row],[بدهی سررسید شده (کیلوگرم)]]*Main[[#This Row],[روز از ارسال سفارش]]</f>
        <v>0</v>
      </c>
      <c r="U1539" s="6">
        <f>-SUBTOTAL(9,INDEX(Main[مقدار (کیلوگرم)],1):Main[[#This Row],[مقدار (کیلوگرم)]])</f>
        <v>28802</v>
      </c>
      <c r="V15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9" s="6">
        <f>Main[[#This Row],[تعداد کل روزهای بدهکار (روز)]]*Main[[#This Row],[مانده در خط کل (کیلوگرم)]]</f>
        <v>0</v>
      </c>
      <c r="X1539" s="6">
        <f ca="1">-SUBTOTAL(9,INDEX(Main[مقدار تسویه شده (کیلوگرم)],1):Main[[#This Row],[مقدار تسویه شده (کیلوگرم)]])</f>
        <v>28802</v>
      </c>
      <c r="Y1539" s="6">
        <f ca="1">IF(Main[[#This Row],[مانده در خط تسویه شده (کیلوگرم)]]&lt;&gt;0,Main[[#This Row],[تعداد کل روزهای بدهکار (روز)]],0)</f>
        <v>0</v>
      </c>
      <c r="Z1539" s="6">
        <f ca="1">Main[[#This Row],[تعداد روزهای بدهکار تسویه شده (روز)]]*Main[[#This Row],[مانده در خط تسویه شده (کیلوگرم)]]</f>
        <v>0</v>
      </c>
      <c r="AA1539" s="6">
        <f ca="1">SUBTOTAL(9,INDEX(Main[بدهی تسویه نشده (کیلوگرم)],1):Main[[#This Row],[بدهی تسویه نشده (کیلوگرم)]])</f>
        <v>0</v>
      </c>
      <c r="AB1539" s="6">
        <f ca="1">IF(Main[[#This Row],[مانده در خط تسویه نشده (کیلوگرم)]]&lt;&gt;0,Main[[#This Row],[تعداد کل روزهای بدهکار (روز)]],0)</f>
        <v>0</v>
      </c>
      <c r="AC1539" s="6">
        <f ca="1">Main[[#This Row],[تعداد روزهای بدهکار  تسویه نشده (روز)]]*Main[[#This Row],[مانده در خط تسویه نشده (کیلوگرم)]]</f>
        <v>0</v>
      </c>
      <c r="AD1539" s="6">
        <f ca="1">SUBTOTAL(9,INDEX(Main[بدهی سررسید شده (کیلوگرم)],1):Main[[#This Row],[بدهی سررسید شده (کیلوگرم)]])</f>
        <v>0</v>
      </c>
      <c r="AE1539" s="6">
        <f ca="1">IF(Main[[#This Row],[مانده در خط سررسید شده (کیلوگرم)]]&lt;&gt;0,Main[[#This Row],[تعداد کل روزهای بدهکار (روز)]],0)</f>
        <v>0</v>
      </c>
      <c r="AF1539" s="6">
        <f ca="1">Main[[#This Row],[تعداد روزهای بدهکار سررسید شده (روز)]]*Main[[#This Row],[مانده در خط سررسید شده (کیلوگرم)]]</f>
        <v>0</v>
      </c>
    </row>
    <row r="1540" spans="1:32" hidden="1" x14ac:dyDescent="0.35">
      <c r="A1540" s="5">
        <f>ROW()-ROW(INDEX(Main[ردیف],1))+1</f>
        <v>1538</v>
      </c>
      <c r="B1540" s="31">
        <f>SUBTOTAL(2,INDEX(Main[ردیف],1):Main[[#This Row],[ردیف]])</f>
        <v>139</v>
      </c>
      <c r="C1540" s="32" t="s">
        <v>688</v>
      </c>
      <c r="D1540" s="32" t="str">
        <f>_xlfn.CONCAT("14",Main[[#This Row],[تاريخ]])</f>
        <v>1400/06/16</v>
      </c>
      <c r="E1540" s="33">
        <v>44446</v>
      </c>
      <c r="F1540" s="32">
        <v>10055</v>
      </c>
      <c r="G1540" s="5" t="str">
        <f>INDEX(customer[عنوان],MATCH(Main[[#This Row],[کد ردیابی]],customer[کد],0))</f>
        <v xml:space="preserve">مریم فیض آبادی  </v>
      </c>
      <c r="H1540">
        <v>4394</v>
      </c>
      <c r="I1540" s="6">
        <f ca="1">-Main[[#This Row],[بدهی تسویه شده (کیلوگرم)]]+Main[[#This Row],[بستانکار (کیلوگرم)]]</f>
        <v>4394</v>
      </c>
      <c r="J1540" s="6">
        <f>IF(Main[[#This Row],[مقدار (کیلوگرم)]]&gt;0,Main[[#This Row],[مقدار (کیلوگرم)]],0)</f>
        <v>4394</v>
      </c>
      <c r="K1540" s="6">
        <f>-IF(Main[[#This Row],[مقدار (کیلوگرم)]]&lt;0,Main[[#This Row],[مقدار (کیلوگرم)]],0)</f>
        <v>0</v>
      </c>
      <c r="L15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0" s="7">
        <f>-IF(AND(Main[[#This Row],[مقدار (کیلوگرم)]]&lt;0,Main[[#This Row],[تاريخ میلادی]]&gt;44276),Main[[#This Row],[مقدار (کیلوگرم)]],0)</f>
        <v>0</v>
      </c>
      <c r="N1540" s="6">
        <f ca="1">Main[[#This Row],[بدهکار (کیلوگرم)]]-Main[[#This Row],[بدهی تسویه نشده (کیلوگرم)]]</f>
        <v>0</v>
      </c>
      <c r="O1540" s="6">
        <f ca="1">Main[[#This Row],[تفکیک]]</f>
        <v>0</v>
      </c>
      <c r="P1540" s="6">
        <f ca="1">IF(Main[[#This Row],[تاخیر از سررسید]]&gt;0,Main[[#This Row],[بدهی تسویه نشده (کیلوگرم)]],0)</f>
        <v>0</v>
      </c>
      <c r="Q1540" s="6">
        <f ca="1">IF(Main[[#This Row],[بدهی تسویه نشده (کیلوگرم)]]&gt;0,'گزارش فردی'!$B$7-Main[[#This Row],[تاريخ میلادی]],0)</f>
        <v>0</v>
      </c>
      <c r="R1540" s="6">
        <f ca="1">IF(Main[[#This Row],[بدهی تسویه نشده (کیلوگرم)]]&gt;0,'گزارش فردی'!$B$7-Main[[#This Row],[تاريخ میلادی]]-'گزارش فردی'!$B$8,0)</f>
        <v>0</v>
      </c>
      <c r="S1540" s="6">
        <f ca="1">Main[[#This Row],[روز از ارسال سفارش]]*Main[[#This Row],[بدهی تسویه نشده (کیلوگرم)]]</f>
        <v>0</v>
      </c>
      <c r="T1540" s="6">
        <f ca="1">Main[[#This Row],[بدهی سررسید شده (کیلوگرم)]]*Main[[#This Row],[روز از ارسال سفارش]]</f>
        <v>0</v>
      </c>
      <c r="U1540" s="6">
        <f>-SUBTOTAL(9,INDEX(Main[مقدار (کیلوگرم)],1):Main[[#This Row],[مقدار (کیلوگرم)]])</f>
        <v>28802</v>
      </c>
      <c r="V15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0" s="6">
        <f>Main[[#This Row],[تعداد کل روزهای بدهکار (روز)]]*Main[[#This Row],[مانده در خط کل (کیلوگرم)]]</f>
        <v>0</v>
      </c>
      <c r="X1540" s="6">
        <f ca="1">-SUBTOTAL(9,INDEX(Main[مقدار تسویه شده (کیلوگرم)],1):Main[[#This Row],[مقدار تسویه شده (کیلوگرم)]])</f>
        <v>28802</v>
      </c>
      <c r="Y1540" s="6">
        <f ca="1">IF(Main[[#This Row],[مانده در خط تسویه شده (کیلوگرم)]]&lt;&gt;0,Main[[#This Row],[تعداد کل روزهای بدهکار (روز)]],0)</f>
        <v>0</v>
      </c>
      <c r="Z1540" s="6">
        <f ca="1">Main[[#This Row],[تعداد روزهای بدهکار تسویه شده (روز)]]*Main[[#This Row],[مانده در خط تسویه شده (کیلوگرم)]]</f>
        <v>0</v>
      </c>
      <c r="AA1540" s="6">
        <f ca="1">SUBTOTAL(9,INDEX(Main[بدهی تسویه نشده (کیلوگرم)],1):Main[[#This Row],[بدهی تسویه نشده (کیلوگرم)]])</f>
        <v>0</v>
      </c>
      <c r="AB1540" s="6">
        <f ca="1">IF(Main[[#This Row],[مانده در خط تسویه نشده (کیلوگرم)]]&lt;&gt;0,Main[[#This Row],[تعداد کل روزهای بدهکار (روز)]],0)</f>
        <v>0</v>
      </c>
      <c r="AC1540" s="6">
        <f ca="1">Main[[#This Row],[تعداد روزهای بدهکار  تسویه نشده (روز)]]*Main[[#This Row],[مانده در خط تسویه نشده (کیلوگرم)]]</f>
        <v>0</v>
      </c>
      <c r="AD1540" s="6">
        <f ca="1">SUBTOTAL(9,INDEX(Main[بدهی سررسید شده (کیلوگرم)],1):Main[[#This Row],[بدهی سررسید شده (کیلوگرم)]])</f>
        <v>0</v>
      </c>
      <c r="AE1540" s="6">
        <f ca="1">IF(Main[[#This Row],[مانده در خط سررسید شده (کیلوگرم)]]&lt;&gt;0,Main[[#This Row],[تعداد کل روزهای بدهکار (روز)]],0)</f>
        <v>0</v>
      </c>
      <c r="AF1540" s="6">
        <f ca="1">Main[[#This Row],[تعداد روزهای بدهکار سررسید شده (روز)]]*Main[[#This Row],[مانده در خط سررسید شده (کیلوگرم)]]</f>
        <v>0</v>
      </c>
    </row>
    <row r="1541" spans="1:32" hidden="1" x14ac:dyDescent="0.35">
      <c r="A1541" s="5">
        <f>ROW()-ROW(INDEX(Main[ردیف],1))+1</f>
        <v>1539</v>
      </c>
      <c r="B1541" s="31">
        <f>SUBTOTAL(2,INDEX(Main[ردیف],1):Main[[#This Row],[ردیف]])</f>
        <v>139</v>
      </c>
      <c r="C1541" s="32" t="s">
        <v>688</v>
      </c>
      <c r="D1541" s="32" t="str">
        <f>_xlfn.CONCAT("14",Main[[#This Row],[تاريخ]])</f>
        <v>1400/06/16</v>
      </c>
      <c r="E1541" s="33">
        <v>44446</v>
      </c>
      <c r="F1541" s="32">
        <v>30022</v>
      </c>
      <c r="G1541" s="5" t="str">
        <f>INDEX(customer[عنوان],MATCH(Main[[#This Row],[کد ردیابی]],customer[کد],0))</f>
        <v xml:space="preserve">کلار پویا </v>
      </c>
      <c r="H1541">
        <v>-5167</v>
      </c>
      <c r="I1541" s="6">
        <f ca="1">-Main[[#This Row],[بدهی تسویه شده (کیلوگرم)]]+Main[[#This Row],[بستانکار (کیلوگرم)]]</f>
        <v>-5167</v>
      </c>
      <c r="J1541" s="6">
        <f>IF(Main[[#This Row],[مقدار (کیلوگرم)]]&gt;0,Main[[#This Row],[مقدار (کیلوگرم)]],0)</f>
        <v>0</v>
      </c>
      <c r="K1541" s="6">
        <f>-IF(Main[[#This Row],[مقدار (کیلوگرم)]]&lt;0,Main[[#This Row],[مقدار (کیلوگرم)]],0)</f>
        <v>5167</v>
      </c>
      <c r="L15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1" s="7">
        <f>-IF(AND(Main[[#This Row],[مقدار (کیلوگرم)]]&lt;0,Main[[#This Row],[تاريخ میلادی]]&gt;44276),Main[[#This Row],[مقدار (کیلوگرم)]],0)</f>
        <v>5167</v>
      </c>
      <c r="N1541" s="6">
        <f ca="1">Main[[#This Row],[بدهکار (کیلوگرم)]]-Main[[#This Row],[بدهی تسویه نشده (کیلوگرم)]]</f>
        <v>5167</v>
      </c>
      <c r="O1541" s="6">
        <f ca="1">Main[[#This Row],[تفکیک]]</f>
        <v>0</v>
      </c>
      <c r="P1541" s="6">
        <f ca="1">IF(Main[[#This Row],[تاخیر از سررسید]]&gt;0,Main[[#This Row],[بدهی تسویه نشده (کیلوگرم)]],0)</f>
        <v>0</v>
      </c>
      <c r="Q1541" s="6">
        <f ca="1">IF(Main[[#This Row],[بدهی تسویه نشده (کیلوگرم)]]&gt;0,'گزارش فردی'!$B$7-Main[[#This Row],[تاريخ میلادی]],0)</f>
        <v>0</v>
      </c>
      <c r="R1541" s="6">
        <f ca="1">IF(Main[[#This Row],[بدهی تسویه نشده (کیلوگرم)]]&gt;0,'گزارش فردی'!$B$7-Main[[#This Row],[تاريخ میلادی]]-'گزارش فردی'!$B$8,0)</f>
        <v>0</v>
      </c>
      <c r="S1541" s="6">
        <f ca="1">Main[[#This Row],[روز از ارسال سفارش]]*Main[[#This Row],[بدهی تسویه نشده (کیلوگرم)]]</f>
        <v>0</v>
      </c>
      <c r="T1541" s="6">
        <f ca="1">Main[[#This Row],[بدهی سررسید شده (کیلوگرم)]]*Main[[#This Row],[روز از ارسال سفارش]]</f>
        <v>0</v>
      </c>
      <c r="U1541" s="6">
        <f>-SUBTOTAL(9,INDEX(Main[مقدار (کیلوگرم)],1):Main[[#This Row],[مقدار (کیلوگرم)]])</f>
        <v>28802</v>
      </c>
      <c r="V15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1" s="6">
        <f>Main[[#This Row],[تعداد کل روزهای بدهکار (روز)]]*Main[[#This Row],[مانده در خط کل (کیلوگرم)]]</f>
        <v>0</v>
      </c>
      <c r="X1541" s="6">
        <f ca="1">-SUBTOTAL(9,INDEX(Main[مقدار تسویه شده (کیلوگرم)],1):Main[[#This Row],[مقدار تسویه شده (کیلوگرم)]])</f>
        <v>28802</v>
      </c>
      <c r="Y1541" s="6">
        <f ca="1">IF(Main[[#This Row],[مانده در خط تسویه شده (کیلوگرم)]]&lt;&gt;0,Main[[#This Row],[تعداد کل روزهای بدهکار (روز)]],0)</f>
        <v>0</v>
      </c>
      <c r="Z1541" s="6">
        <f ca="1">Main[[#This Row],[تعداد روزهای بدهکار تسویه شده (روز)]]*Main[[#This Row],[مانده در خط تسویه شده (کیلوگرم)]]</f>
        <v>0</v>
      </c>
      <c r="AA1541" s="6">
        <f ca="1">SUBTOTAL(9,INDEX(Main[بدهی تسویه نشده (کیلوگرم)],1):Main[[#This Row],[بدهی تسویه نشده (کیلوگرم)]])</f>
        <v>0</v>
      </c>
      <c r="AB1541" s="6">
        <f ca="1">IF(Main[[#This Row],[مانده در خط تسویه نشده (کیلوگرم)]]&lt;&gt;0,Main[[#This Row],[تعداد کل روزهای بدهکار (روز)]],0)</f>
        <v>0</v>
      </c>
      <c r="AC1541" s="6">
        <f ca="1">Main[[#This Row],[تعداد روزهای بدهکار  تسویه نشده (روز)]]*Main[[#This Row],[مانده در خط تسویه نشده (کیلوگرم)]]</f>
        <v>0</v>
      </c>
      <c r="AD1541" s="6">
        <f ca="1">SUBTOTAL(9,INDEX(Main[بدهی سررسید شده (کیلوگرم)],1):Main[[#This Row],[بدهی سررسید شده (کیلوگرم)]])</f>
        <v>0</v>
      </c>
      <c r="AE1541" s="6">
        <f ca="1">IF(Main[[#This Row],[مانده در خط سررسید شده (کیلوگرم)]]&lt;&gt;0,Main[[#This Row],[تعداد کل روزهای بدهکار (روز)]],0)</f>
        <v>0</v>
      </c>
      <c r="AF1541" s="6">
        <f ca="1">Main[[#This Row],[تعداد روزهای بدهکار سررسید شده (روز)]]*Main[[#This Row],[مانده در خط سررسید شده (کیلوگرم)]]</f>
        <v>0</v>
      </c>
    </row>
    <row r="1542" spans="1:32" hidden="1" x14ac:dyDescent="0.35">
      <c r="A1542" s="5">
        <f>ROW()-ROW(INDEX(Main[ردیف],1))+1</f>
        <v>1540</v>
      </c>
      <c r="B1542" s="31">
        <f>SUBTOTAL(2,INDEX(Main[ردیف],1):Main[[#This Row],[ردیف]])</f>
        <v>139</v>
      </c>
      <c r="C1542" s="32" t="s">
        <v>688</v>
      </c>
      <c r="D1542" s="32" t="str">
        <f>_xlfn.CONCAT("14",Main[[#This Row],[تاريخ]])</f>
        <v>1400/06/16</v>
      </c>
      <c r="E1542" s="33">
        <v>44446</v>
      </c>
      <c r="F1542" s="32">
        <v>10026</v>
      </c>
      <c r="G1542" s="5" t="str">
        <f>INDEX(customer[عنوان],MATCH(Main[[#This Row],[کد ردیابی]],customer[کد],0))</f>
        <v xml:space="preserve">محسن فیاض بخش </v>
      </c>
      <c r="H1542">
        <v>916</v>
      </c>
      <c r="I1542" s="6">
        <f ca="1">-Main[[#This Row],[بدهی تسویه شده (کیلوگرم)]]+Main[[#This Row],[بستانکار (کیلوگرم)]]</f>
        <v>916</v>
      </c>
      <c r="J1542" s="6">
        <f>IF(Main[[#This Row],[مقدار (کیلوگرم)]]&gt;0,Main[[#This Row],[مقدار (کیلوگرم)]],0)</f>
        <v>916</v>
      </c>
      <c r="K1542" s="6">
        <f>-IF(Main[[#This Row],[مقدار (کیلوگرم)]]&lt;0,Main[[#This Row],[مقدار (کیلوگرم)]],0)</f>
        <v>0</v>
      </c>
      <c r="L15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2" s="7">
        <f>-IF(AND(Main[[#This Row],[مقدار (کیلوگرم)]]&lt;0,Main[[#This Row],[تاريخ میلادی]]&gt;44276),Main[[#This Row],[مقدار (کیلوگرم)]],0)</f>
        <v>0</v>
      </c>
      <c r="N1542" s="6">
        <f ca="1">Main[[#This Row],[بدهکار (کیلوگرم)]]-Main[[#This Row],[بدهی تسویه نشده (کیلوگرم)]]</f>
        <v>0</v>
      </c>
      <c r="O1542" s="6">
        <f ca="1">Main[[#This Row],[تفکیک]]</f>
        <v>0</v>
      </c>
      <c r="P1542" s="6">
        <f ca="1">IF(Main[[#This Row],[تاخیر از سررسید]]&gt;0,Main[[#This Row],[بدهی تسویه نشده (کیلوگرم)]],0)</f>
        <v>0</v>
      </c>
      <c r="Q1542" s="6">
        <f ca="1">IF(Main[[#This Row],[بدهی تسویه نشده (کیلوگرم)]]&gt;0,'گزارش فردی'!$B$7-Main[[#This Row],[تاريخ میلادی]],0)</f>
        <v>0</v>
      </c>
      <c r="R1542" s="6">
        <f ca="1">IF(Main[[#This Row],[بدهی تسویه نشده (کیلوگرم)]]&gt;0,'گزارش فردی'!$B$7-Main[[#This Row],[تاريخ میلادی]]-'گزارش فردی'!$B$8,0)</f>
        <v>0</v>
      </c>
      <c r="S1542" s="6">
        <f ca="1">Main[[#This Row],[روز از ارسال سفارش]]*Main[[#This Row],[بدهی تسویه نشده (کیلوگرم)]]</f>
        <v>0</v>
      </c>
      <c r="T1542" s="6">
        <f ca="1">Main[[#This Row],[بدهی سررسید شده (کیلوگرم)]]*Main[[#This Row],[روز از ارسال سفارش]]</f>
        <v>0</v>
      </c>
      <c r="U1542" s="6">
        <f>-SUBTOTAL(9,INDEX(Main[مقدار (کیلوگرم)],1):Main[[#This Row],[مقدار (کیلوگرم)]])</f>
        <v>28802</v>
      </c>
      <c r="V15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2" s="6">
        <f>Main[[#This Row],[تعداد کل روزهای بدهکار (روز)]]*Main[[#This Row],[مانده در خط کل (کیلوگرم)]]</f>
        <v>0</v>
      </c>
      <c r="X1542" s="6">
        <f ca="1">-SUBTOTAL(9,INDEX(Main[مقدار تسویه شده (کیلوگرم)],1):Main[[#This Row],[مقدار تسویه شده (کیلوگرم)]])</f>
        <v>28802</v>
      </c>
      <c r="Y1542" s="6">
        <f ca="1">IF(Main[[#This Row],[مانده در خط تسویه شده (کیلوگرم)]]&lt;&gt;0,Main[[#This Row],[تعداد کل روزهای بدهکار (روز)]],0)</f>
        <v>0</v>
      </c>
      <c r="Z1542" s="6">
        <f ca="1">Main[[#This Row],[تعداد روزهای بدهکار تسویه شده (روز)]]*Main[[#This Row],[مانده در خط تسویه شده (کیلوگرم)]]</f>
        <v>0</v>
      </c>
      <c r="AA1542" s="6">
        <f ca="1">SUBTOTAL(9,INDEX(Main[بدهی تسویه نشده (کیلوگرم)],1):Main[[#This Row],[بدهی تسویه نشده (کیلوگرم)]])</f>
        <v>0</v>
      </c>
      <c r="AB1542" s="6">
        <f ca="1">IF(Main[[#This Row],[مانده در خط تسویه نشده (کیلوگرم)]]&lt;&gt;0,Main[[#This Row],[تعداد کل روزهای بدهکار (روز)]],0)</f>
        <v>0</v>
      </c>
      <c r="AC1542" s="6">
        <f ca="1">Main[[#This Row],[تعداد روزهای بدهکار  تسویه نشده (روز)]]*Main[[#This Row],[مانده در خط تسویه نشده (کیلوگرم)]]</f>
        <v>0</v>
      </c>
      <c r="AD1542" s="6">
        <f ca="1">SUBTOTAL(9,INDEX(Main[بدهی سررسید شده (کیلوگرم)],1):Main[[#This Row],[بدهی سررسید شده (کیلوگرم)]])</f>
        <v>0</v>
      </c>
      <c r="AE1542" s="6">
        <f ca="1">IF(Main[[#This Row],[مانده در خط سررسید شده (کیلوگرم)]]&lt;&gt;0,Main[[#This Row],[تعداد کل روزهای بدهکار (روز)]],0)</f>
        <v>0</v>
      </c>
      <c r="AF1542" s="6">
        <f ca="1">Main[[#This Row],[تعداد روزهای بدهکار سررسید شده (روز)]]*Main[[#This Row],[مانده در خط سررسید شده (کیلوگرم)]]</f>
        <v>0</v>
      </c>
    </row>
    <row r="1543" spans="1:32" hidden="1" x14ac:dyDescent="0.35">
      <c r="A1543" s="5">
        <f>ROW()-ROW(INDEX(Main[ردیف],1))+1</f>
        <v>1541</v>
      </c>
      <c r="B1543" s="31">
        <f>SUBTOTAL(2,INDEX(Main[ردیف],1):Main[[#This Row],[ردیف]])</f>
        <v>139</v>
      </c>
      <c r="C1543" s="32" t="s">
        <v>688</v>
      </c>
      <c r="D1543" s="32" t="str">
        <f>_xlfn.CONCAT("14",Main[[#This Row],[تاريخ]])</f>
        <v>1400/06/16</v>
      </c>
      <c r="E1543" s="33">
        <v>44446</v>
      </c>
      <c r="F1543" s="32">
        <v>10014</v>
      </c>
      <c r="G1543" s="5" t="str">
        <f>INDEX(customer[عنوان],MATCH(Main[[#This Row],[کد ردیابی]],customer[کد],0))</f>
        <v xml:space="preserve">امامی </v>
      </c>
      <c r="H1543">
        <v>-1015</v>
      </c>
      <c r="I1543" s="6">
        <f ca="1">-Main[[#This Row],[بدهی تسویه شده (کیلوگرم)]]+Main[[#This Row],[بستانکار (کیلوگرم)]]</f>
        <v>-1015</v>
      </c>
      <c r="J1543" s="6">
        <f>IF(Main[[#This Row],[مقدار (کیلوگرم)]]&gt;0,Main[[#This Row],[مقدار (کیلوگرم)]],0)</f>
        <v>0</v>
      </c>
      <c r="K1543" s="6">
        <f>-IF(Main[[#This Row],[مقدار (کیلوگرم)]]&lt;0,Main[[#This Row],[مقدار (کیلوگرم)]],0)</f>
        <v>1015</v>
      </c>
      <c r="L15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3" s="7">
        <f>-IF(AND(Main[[#This Row],[مقدار (کیلوگرم)]]&lt;0,Main[[#This Row],[تاريخ میلادی]]&gt;44276),Main[[#This Row],[مقدار (کیلوگرم)]],0)</f>
        <v>1015</v>
      </c>
      <c r="N1543" s="6">
        <f ca="1">Main[[#This Row],[بدهکار (کیلوگرم)]]-Main[[#This Row],[بدهی تسویه نشده (کیلوگرم)]]</f>
        <v>1015</v>
      </c>
      <c r="O1543" s="6">
        <f ca="1">Main[[#This Row],[تفکیک]]</f>
        <v>0</v>
      </c>
      <c r="P1543" s="6">
        <f ca="1">IF(Main[[#This Row],[تاخیر از سررسید]]&gt;0,Main[[#This Row],[بدهی تسویه نشده (کیلوگرم)]],0)</f>
        <v>0</v>
      </c>
      <c r="Q1543" s="6">
        <f ca="1">IF(Main[[#This Row],[بدهی تسویه نشده (کیلوگرم)]]&gt;0,'گزارش فردی'!$B$7-Main[[#This Row],[تاريخ میلادی]],0)</f>
        <v>0</v>
      </c>
      <c r="R1543" s="6">
        <f ca="1">IF(Main[[#This Row],[بدهی تسویه نشده (کیلوگرم)]]&gt;0,'گزارش فردی'!$B$7-Main[[#This Row],[تاريخ میلادی]]-'گزارش فردی'!$B$8,0)</f>
        <v>0</v>
      </c>
      <c r="S1543" s="6">
        <f ca="1">Main[[#This Row],[روز از ارسال سفارش]]*Main[[#This Row],[بدهی تسویه نشده (کیلوگرم)]]</f>
        <v>0</v>
      </c>
      <c r="T1543" s="6">
        <f ca="1">Main[[#This Row],[بدهی سررسید شده (کیلوگرم)]]*Main[[#This Row],[روز از ارسال سفارش]]</f>
        <v>0</v>
      </c>
      <c r="U1543" s="6">
        <f>-SUBTOTAL(9,INDEX(Main[مقدار (کیلوگرم)],1):Main[[#This Row],[مقدار (کیلوگرم)]])</f>
        <v>28802</v>
      </c>
      <c r="V15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3" s="6">
        <f>Main[[#This Row],[تعداد کل روزهای بدهکار (روز)]]*Main[[#This Row],[مانده در خط کل (کیلوگرم)]]</f>
        <v>0</v>
      </c>
      <c r="X1543" s="6">
        <f ca="1">-SUBTOTAL(9,INDEX(Main[مقدار تسویه شده (کیلوگرم)],1):Main[[#This Row],[مقدار تسویه شده (کیلوگرم)]])</f>
        <v>28802</v>
      </c>
      <c r="Y1543" s="6">
        <f ca="1">IF(Main[[#This Row],[مانده در خط تسویه شده (کیلوگرم)]]&lt;&gt;0,Main[[#This Row],[تعداد کل روزهای بدهکار (روز)]],0)</f>
        <v>0</v>
      </c>
      <c r="Z1543" s="6">
        <f ca="1">Main[[#This Row],[تعداد روزهای بدهکار تسویه شده (روز)]]*Main[[#This Row],[مانده در خط تسویه شده (کیلوگرم)]]</f>
        <v>0</v>
      </c>
      <c r="AA1543" s="6">
        <f ca="1">SUBTOTAL(9,INDEX(Main[بدهی تسویه نشده (کیلوگرم)],1):Main[[#This Row],[بدهی تسویه نشده (کیلوگرم)]])</f>
        <v>0</v>
      </c>
      <c r="AB1543" s="6">
        <f ca="1">IF(Main[[#This Row],[مانده در خط تسویه نشده (کیلوگرم)]]&lt;&gt;0,Main[[#This Row],[تعداد کل روزهای بدهکار (روز)]],0)</f>
        <v>0</v>
      </c>
      <c r="AC1543" s="6">
        <f ca="1">Main[[#This Row],[تعداد روزهای بدهکار  تسویه نشده (روز)]]*Main[[#This Row],[مانده در خط تسویه نشده (کیلوگرم)]]</f>
        <v>0</v>
      </c>
      <c r="AD1543" s="6">
        <f ca="1">SUBTOTAL(9,INDEX(Main[بدهی سررسید شده (کیلوگرم)],1):Main[[#This Row],[بدهی سررسید شده (کیلوگرم)]])</f>
        <v>0</v>
      </c>
      <c r="AE1543" s="6">
        <f ca="1">IF(Main[[#This Row],[مانده در خط سررسید شده (کیلوگرم)]]&lt;&gt;0,Main[[#This Row],[تعداد کل روزهای بدهکار (روز)]],0)</f>
        <v>0</v>
      </c>
      <c r="AF1543" s="6">
        <f ca="1">Main[[#This Row],[تعداد روزهای بدهکار سررسید شده (روز)]]*Main[[#This Row],[مانده در خط سررسید شده (کیلوگرم)]]</f>
        <v>0</v>
      </c>
    </row>
    <row r="1544" spans="1:32" hidden="1" x14ac:dyDescent="0.35">
      <c r="A1544" s="5">
        <f>ROW()-ROW(INDEX(Main[ردیف],1))+1</f>
        <v>1542</v>
      </c>
      <c r="B1544" s="31">
        <f>SUBTOTAL(2,INDEX(Main[ردیف],1):Main[[#This Row],[ردیف]])</f>
        <v>139</v>
      </c>
      <c r="C1544" s="32" t="s">
        <v>688</v>
      </c>
      <c r="D1544" s="32" t="str">
        <f>_xlfn.CONCAT("14",Main[[#This Row],[تاريخ]])</f>
        <v>1400/06/16</v>
      </c>
      <c r="E1544" s="33">
        <v>44446</v>
      </c>
      <c r="F1544" s="32">
        <v>30009</v>
      </c>
      <c r="G1544" s="5" t="str">
        <f>INDEX(customer[عنوان],MATCH(Main[[#This Row],[کد ردیابی]],customer[کد],0))</f>
        <v>شرکت ایمن تک پیشرو</v>
      </c>
      <c r="H1544">
        <v>1990</v>
      </c>
      <c r="I1544" s="6">
        <f ca="1">-Main[[#This Row],[بدهی تسویه شده (کیلوگرم)]]+Main[[#This Row],[بستانکار (کیلوگرم)]]</f>
        <v>1990</v>
      </c>
      <c r="J1544" s="6">
        <f>IF(Main[[#This Row],[مقدار (کیلوگرم)]]&gt;0,Main[[#This Row],[مقدار (کیلوگرم)]],0)</f>
        <v>1990</v>
      </c>
      <c r="K1544" s="6">
        <f>-IF(Main[[#This Row],[مقدار (کیلوگرم)]]&lt;0,Main[[#This Row],[مقدار (کیلوگرم)]],0)</f>
        <v>0</v>
      </c>
      <c r="L15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4" s="7">
        <f>-IF(AND(Main[[#This Row],[مقدار (کیلوگرم)]]&lt;0,Main[[#This Row],[تاريخ میلادی]]&gt;44276),Main[[#This Row],[مقدار (کیلوگرم)]],0)</f>
        <v>0</v>
      </c>
      <c r="N1544" s="6">
        <f ca="1">Main[[#This Row],[بدهکار (کیلوگرم)]]-Main[[#This Row],[بدهی تسویه نشده (کیلوگرم)]]</f>
        <v>0</v>
      </c>
      <c r="O1544" s="6">
        <f ca="1">Main[[#This Row],[تفکیک]]</f>
        <v>0</v>
      </c>
      <c r="P1544" s="6">
        <f ca="1">IF(Main[[#This Row],[تاخیر از سررسید]]&gt;0,Main[[#This Row],[بدهی تسویه نشده (کیلوگرم)]],0)</f>
        <v>0</v>
      </c>
      <c r="Q1544" s="6">
        <f ca="1">IF(Main[[#This Row],[بدهی تسویه نشده (کیلوگرم)]]&gt;0,'گزارش فردی'!$B$7-Main[[#This Row],[تاريخ میلادی]],0)</f>
        <v>0</v>
      </c>
      <c r="R1544" s="6">
        <f ca="1">IF(Main[[#This Row],[بدهی تسویه نشده (کیلوگرم)]]&gt;0,'گزارش فردی'!$B$7-Main[[#This Row],[تاريخ میلادی]]-'گزارش فردی'!$B$8,0)</f>
        <v>0</v>
      </c>
      <c r="S1544" s="6">
        <f ca="1">Main[[#This Row],[روز از ارسال سفارش]]*Main[[#This Row],[بدهی تسویه نشده (کیلوگرم)]]</f>
        <v>0</v>
      </c>
      <c r="T1544" s="6">
        <f ca="1">Main[[#This Row],[بدهی سررسید شده (کیلوگرم)]]*Main[[#This Row],[روز از ارسال سفارش]]</f>
        <v>0</v>
      </c>
      <c r="U1544" s="6">
        <f>-SUBTOTAL(9,INDEX(Main[مقدار (کیلوگرم)],1):Main[[#This Row],[مقدار (کیلوگرم)]])</f>
        <v>28802</v>
      </c>
      <c r="V15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4" s="6">
        <f>Main[[#This Row],[تعداد کل روزهای بدهکار (روز)]]*Main[[#This Row],[مانده در خط کل (کیلوگرم)]]</f>
        <v>0</v>
      </c>
      <c r="X1544" s="6">
        <f ca="1">-SUBTOTAL(9,INDEX(Main[مقدار تسویه شده (کیلوگرم)],1):Main[[#This Row],[مقدار تسویه شده (کیلوگرم)]])</f>
        <v>28802</v>
      </c>
      <c r="Y1544" s="6">
        <f ca="1">IF(Main[[#This Row],[مانده در خط تسویه شده (کیلوگرم)]]&lt;&gt;0,Main[[#This Row],[تعداد کل روزهای بدهکار (روز)]],0)</f>
        <v>0</v>
      </c>
      <c r="Z1544" s="6">
        <f ca="1">Main[[#This Row],[تعداد روزهای بدهکار تسویه شده (روز)]]*Main[[#This Row],[مانده در خط تسویه شده (کیلوگرم)]]</f>
        <v>0</v>
      </c>
      <c r="AA1544" s="6">
        <f ca="1">SUBTOTAL(9,INDEX(Main[بدهی تسویه نشده (کیلوگرم)],1):Main[[#This Row],[بدهی تسویه نشده (کیلوگرم)]])</f>
        <v>0</v>
      </c>
      <c r="AB1544" s="6">
        <f ca="1">IF(Main[[#This Row],[مانده در خط تسویه نشده (کیلوگرم)]]&lt;&gt;0,Main[[#This Row],[تعداد کل روزهای بدهکار (روز)]],0)</f>
        <v>0</v>
      </c>
      <c r="AC1544" s="6">
        <f ca="1">Main[[#This Row],[تعداد روزهای بدهکار  تسویه نشده (روز)]]*Main[[#This Row],[مانده در خط تسویه نشده (کیلوگرم)]]</f>
        <v>0</v>
      </c>
      <c r="AD1544" s="6">
        <f ca="1">SUBTOTAL(9,INDEX(Main[بدهی سررسید شده (کیلوگرم)],1):Main[[#This Row],[بدهی سررسید شده (کیلوگرم)]])</f>
        <v>0</v>
      </c>
      <c r="AE1544" s="6">
        <f ca="1">IF(Main[[#This Row],[مانده در خط سررسید شده (کیلوگرم)]]&lt;&gt;0,Main[[#This Row],[تعداد کل روزهای بدهکار (روز)]],0)</f>
        <v>0</v>
      </c>
      <c r="AF1544" s="6">
        <f ca="1">Main[[#This Row],[تعداد روزهای بدهکار سررسید شده (روز)]]*Main[[#This Row],[مانده در خط سررسید شده (کیلوگرم)]]</f>
        <v>0</v>
      </c>
    </row>
    <row r="1545" spans="1:32" x14ac:dyDescent="0.35">
      <c r="A1545" s="5">
        <f>ROW()-ROW(INDEX(Main[ردیف],1))+1</f>
        <v>1543</v>
      </c>
      <c r="B1545" s="31">
        <f>SUBTOTAL(2,INDEX(Main[ردیف],1):Main[[#This Row],[ردیف]])</f>
        <v>140</v>
      </c>
      <c r="C1545" s="32" t="s">
        <v>688</v>
      </c>
      <c r="D1545" s="32" t="str">
        <f>_xlfn.CONCAT("14",Main[[#This Row],[تاريخ]])</f>
        <v>1400/06/16</v>
      </c>
      <c r="E1545" s="33">
        <v>44446</v>
      </c>
      <c r="F1545" s="32">
        <v>10003</v>
      </c>
      <c r="G1545" s="5" t="str">
        <f>INDEX(customer[عنوان],MATCH(Main[[#This Row],[کد ردیابی]],customer[کد],0))</f>
        <v>اصغر نورعلی</v>
      </c>
      <c r="H1545">
        <v>-4160</v>
      </c>
      <c r="I1545" s="6">
        <f ca="1">-Main[[#This Row],[بدهی تسویه شده (کیلوگرم)]]+Main[[#This Row],[بستانکار (کیلوگرم)]]</f>
        <v>-4160</v>
      </c>
      <c r="J1545" s="6">
        <f>IF(Main[[#This Row],[مقدار (کیلوگرم)]]&gt;0,Main[[#This Row],[مقدار (کیلوگرم)]],0)</f>
        <v>0</v>
      </c>
      <c r="K1545" s="6">
        <f>-IF(Main[[#This Row],[مقدار (کیلوگرم)]]&lt;0,Main[[#This Row],[مقدار (کیلوگرم)]],0)</f>
        <v>4160</v>
      </c>
      <c r="L15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5" s="7">
        <f>-IF(AND(Main[[#This Row],[مقدار (کیلوگرم)]]&lt;0,Main[[#This Row],[تاريخ میلادی]]&gt;44276),Main[[#This Row],[مقدار (کیلوگرم)]],0)</f>
        <v>4160</v>
      </c>
      <c r="N1545" s="6">
        <f ca="1">Main[[#This Row],[بدهکار (کیلوگرم)]]-Main[[#This Row],[بدهی تسویه نشده (کیلوگرم)]]</f>
        <v>4160</v>
      </c>
      <c r="O1545" s="6">
        <f ca="1">Main[[#This Row],[تفکیک]]</f>
        <v>0</v>
      </c>
      <c r="P1545" s="6">
        <f ca="1">IF(Main[[#This Row],[تاخیر از سررسید]]&gt;0,Main[[#This Row],[بدهی تسویه نشده (کیلوگرم)]],0)</f>
        <v>0</v>
      </c>
      <c r="Q1545" s="6">
        <f ca="1">IF(Main[[#This Row],[بدهی تسویه نشده (کیلوگرم)]]&gt;0,'گزارش فردی'!$B$7-Main[[#This Row],[تاريخ میلادی]],0)</f>
        <v>0</v>
      </c>
      <c r="R1545" s="6">
        <f ca="1">IF(Main[[#This Row],[بدهی تسویه نشده (کیلوگرم)]]&gt;0,'گزارش فردی'!$B$7-Main[[#This Row],[تاريخ میلادی]]-'گزارش فردی'!$B$8,0)</f>
        <v>0</v>
      </c>
      <c r="S1545" s="6">
        <f ca="1">Main[[#This Row],[روز از ارسال سفارش]]*Main[[#This Row],[بدهی تسویه نشده (کیلوگرم)]]</f>
        <v>0</v>
      </c>
      <c r="T1545" s="6">
        <f ca="1">Main[[#This Row],[بدهی سررسید شده (کیلوگرم)]]*Main[[#This Row],[روز از ارسال سفارش]]</f>
        <v>0</v>
      </c>
      <c r="U1545" s="6">
        <f>-SUBTOTAL(9,INDEX(Main[مقدار (کیلوگرم)],1):Main[[#This Row],[مقدار (کیلوگرم)]])</f>
        <v>32962</v>
      </c>
      <c r="V15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5" s="6">
        <f>Main[[#This Row],[تعداد کل روزهای بدهکار (روز)]]*Main[[#This Row],[مانده در خط کل (کیلوگرم)]]</f>
        <v>32962</v>
      </c>
      <c r="X1545" s="6">
        <f ca="1">-SUBTOTAL(9,INDEX(Main[مقدار تسویه شده (کیلوگرم)],1):Main[[#This Row],[مقدار تسویه شده (کیلوگرم)]])</f>
        <v>32962</v>
      </c>
      <c r="Y1545" s="6">
        <f ca="1">IF(Main[[#This Row],[مانده در خط تسویه شده (کیلوگرم)]]&lt;&gt;0,Main[[#This Row],[تعداد کل روزهای بدهکار (روز)]],0)</f>
        <v>1</v>
      </c>
      <c r="Z1545" s="6">
        <f ca="1">Main[[#This Row],[تعداد روزهای بدهکار تسویه شده (روز)]]*Main[[#This Row],[مانده در خط تسویه شده (کیلوگرم)]]</f>
        <v>32962</v>
      </c>
      <c r="AA1545" s="6">
        <f ca="1">SUBTOTAL(9,INDEX(Main[بدهی تسویه نشده (کیلوگرم)],1):Main[[#This Row],[بدهی تسویه نشده (کیلوگرم)]])</f>
        <v>0</v>
      </c>
      <c r="AB1545" s="6">
        <f ca="1">IF(Main[[#This Row],[مانده در خط تسویه نشده (کیلوگرم)]]&lt;&gt;0,Main[[#This Row],[تعداد کل روزهای بدهکار (روز)]],0)</f>
        <v>0</v>
      </c>
      <c r="AC1545" s="6">
        <f ca="1">Main[[#This Row],[تعداد روزهای بدهکار  تسویه نشده (روز)]]*Main[[#This Row],[مانده در خط تسویه نشده (کیلوگرم)]]</f>
        <v>0</v>
      </c>
      <c r="AD1545" s="6">
        <f ca="1">SUBTOTAL(9,INDEX(Main[بدهی سررسید شده (کیلوگرم)],1):Main[[#This Row],[بدهی سررسید شده (کیلوگرم)]])</f>
        <v>0</v>
      </c>
      <c r="AE1545" s="6">
        <f ca="1">IF(Main[[#This Row],[مانده در خط سررسید شده (کیلوگرم)]]&lt;&gt;0,Main[[#This Row],[تعداد کل روزهای بدهکار (روز)]],0)</f>
        <v>0</v>
      </c>
      <c r="AF1545" s="6">
        <f ca="1">Main[[#This Row],[تعداد روزهای بدهکار سررسید شده (روز)]]*Main[[#This Row],[مانده در خط سررسید شده (کیلوگرم)]]</f>
        <v>0</v>
      </c>
    </row>
    <row r="1546" spans="1:32" hidden="1" x14ac:dyDescent="0.35">
      <c r="A1546" s="5">
        <f>ROW()-ROW(INDEX(Main[ردیف],1))+1</f>
        <v>1544</v>
      </c>
      <c r="B1546" s="31">
        <f>SUBTOTAL(2,INDEX(Main[ردیف],1):Main[[#This Row],[ردیف]])</f>
        <v>140</v>
      </c>
      <c r="C1546" s="32" t="s">
        <v>688</v>
      </c>
      <c r="D1546" s="32" t="str">
        <f>_xlfn.CONCAT("14",Main[[#This Row],[تاريخ]])</f>
        <v>1400/06/16</v>
      </c>
      <c r="E1546" s="33">
        <v>44446</v>
      </c>
      <c r="F1546" s="32">
        <v>30004</v>
      </c>
      <c r="G1546" s="5" t="str">
        <f>INDEX(customer[عنوان],MATCH(Main[[#This Row],[کد ردیابی]],customer[کد],0))</f>
        <v>تولیدی صنعتی صفاشیر پارس</v>
      </c>
      <c r="H1546">
        <v>1735</v>
      </c>
      <c r="I1546" s="6">
        <f ca="1">-Main[[#This Row],[بدهی تسویه شده (کیلوگرم)]]+Main[[#This Row],[بستانکار (کیلوگرم)]]</f>
        <v>1735</v>
      </c>
      <c r="J1546" s="6">
        <f>IF(Main[[#This Row],[مقدار (کیلوگرم)]]&gt;0,Main[[#This Row],[مقدار (کیلوگرم)]],0)</f>
        <v>1735</v>
      </c>
      <c r="K1546" s="6">
        <f>-IF(Main[[#This Row],[مقدار (کیلوگرم)]]&lt;0,Main[[#This Row],[مقدار (کیلوگرم)]],0)</f>
        <v>0</v>
      </c>
      <c r="L15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6" s="7">
        <f>-IF(AND(Main[[#This Row],[مقدار (کیلوگرم)]]&lt;0,Main[[#This Row],[تاريخ میلادی]]&gt;44276),Main[[#This Row],[مقدار (کیلوگرم)]],0)</f>
        <v>0</v>
      </c>
      <c r="N1546" s="6">
        <f ca="1">Main[[#This Row],[بدهکار (کیلوگرم)]]-Main[[#This Row],[بدهی تسویه نشده (کیلوگرم)]]</f>
        <v>0</v>
      </c>
      <c r="O1546" s="6">
        <f ca="1">Main[[#This Row],[تفکیک]]</f>
        <v>0</v>
      </c>
      <c r="P1546" s="6">
        <f ca="1">IF(Main[[#This Row],[تاخیر از سررسید]]&gt;0,Main[[#This Row],[بدهی تسویه نشده (کیلوگرم)]],0)</f>
        <v>0</v>
      </c>
      <c r="Q1546" s="6">
        <f ca="1">IF(Main[[#This Row],[بدهی تسویه نشده (کیلوگرم)]]&gt;0,'گزارش فردی'!$B$7-Main[[#This Row],[تاريخ میلادی]],0)</f>
        <v>0</v>
      </c>
      <c r="R1546" s="6">
        <f ca="1">IF(Main[[#This Row],[بدهی تسویه نشده (کیلوگرم)]]&gt;0,'گزارش فردی'!$B$7-Main[[#This Row],[تاريخ میلادی]]-'گزارش فردی'!$B$8,0)</f>
        <v>0</v>
      </c>
      <c r="S1546" s="6">
        <f ca="1">Main[[#This Row],[روز از ارسال سفارش]]*Main[[#This Row],[بدهی تسویه نشده (کیلوگرم)]]</f>
        <v>0</v>
      </c>
      <c r="T1546" s="6">
        <f ca="1">Main[[#This Row],[بدهی سررسید شده (کیلوگرم)]]*Main[[#This Row],[روز از ارسال سفارش]]</f>
        <v>0</v>
      </c>
      <c r="U1546" s="6">
        <f>-SUBTOTAL(9,INDEX(Main[مقدار (کیلوگرم)],1):Main[[#This Row],[مقدار (کیلوگرم)]])</f>
        <v>32962</v>
      </c>
      <c r="V15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6" s="6">
        <f>Main[[#This Row],[تعداد کل روزهای بدهکار (روز)]]*Main[[#This Row],[مانده در خط کل (کیلوگرم)]]</f>
        <v>32962</v>
      </c>
      <c r="X1546" s="6">
        <f ca="1">-SUBTOTAL(9,INDEX(Main[مقدار تسویه شده (کیلوگرم)],1):Main[[#This Row],[مقدار تسویه شده (کیلوگرم)]])</f>
        <v>32962</v>
      </c>
      <c r="Y1546" s="6">
        <f ca="1">IF(Main[[#This Row],[مانده در خط تسویه شده (کیلوگرم)]]&lt;&gt;0,Main[[#This Row],[تعداد کل روزهای بدهکار (روز)]],0)</f>
        <v>1</v>
      </c>
      <c r="Z1546" s="6">
        <f ca="1">Main[[#This Row],[تعداد روزهای بدهکار تسویه شده (روز)]]*Main[[#This Row],[مانده در خط تسویه شده (کیلوگرم)]]</f>
        <v>32962</v>
      </c>
      <c r="AA1546" s="6">
        <f ca="1">SUBTOTAL(9,INDEX(Main[بدهی تسویه نشده (کیلوگرم)],1):Main[[#This Row],[بدهی تسویه نشده (کیلوگرم)]])</f>
        <v>0</v>
      </c>
      <c r="AB1546" s="6">
        <f ca="1">IF(Main[[#This Row],[مانده در خط تسویه نشده (کیلوگرم)]]&lt;&gt;0,Main[[#This Row],[تعداد کل روزهای بدهکار (روز)]],0)</f>
        <v>0</v>
      </c>
      <c r="AC1546" s="6">
        <f ca="1">Main[[#This Row],[تعداد روزهای بدهکار  تسویه نشده (روز)]]*Main[[#This Row],[مانده در خط تسویه نشده (کیلوگرم)]]</f>
        <v>0</v>
      </c>
      <c r="AD1546" s="6">
        <f ca="1">SUBTOTAL(9,INDEX(Main[بدهی سررسید شده (کیلوگرم)],1):Main[[#This Row],[بدهی سررسید شده (کیلوگرم)]])</f>
        <v>0</v>
      </c>
      <c r="AE1546" s="6">
        <f ca="1">IF(Main[[#This Row],[مانده در خط سررسید شده (کیلوگرم)]]&lt;&gt;0,Main[[#This Row],[تعداد کل روزهای بدهکار (روز)]],0)</f>
        <v>0</v>
      </c>
      <c r="AF1546" s="6">
        <f ca="1">Main[[#This Row],[تعداد روزهای بدهکار سررسید شده (روز)]]*Main[[#This Row],[مانده در خط سررسید شده (کیلوگرم)]]</f>
        <v>0</v>
      </c>
    </row>
    <row r="1547" spans="1:32" hidden="1" x14ac:dyDescent="0.35">
      <c r="A1547" s="5">
        <f>ROW()-ROW(INDEX(Main[ردیف],1))+1</f>
        <v>1545</v>
      </c>
      <c r="B1547" s="31">
        <f>SUBTOTAL(2,INDEX(Main[ردیف],1):Main[[#This Row],[ردیف]])</f>
        <v>140</v>
      </c>
      <c r="C1547" s="32" t="s">
        <v>688</v>
      </c>
      <c r="D1547" s="32" t="str">
        <f>_xlfn.CONCAT("14",Main[[#This Row],[تاريخ]])</f>
        <v>1400/06/16</v>
      </c>
      <c r="E1547" s="33">
        <v>44446</v>
      </c>
      <c r="F1547" s="32">
        <v>10055</v>
      </c>
      <c r="G1547" s="5" t="str">
        <f>INDEX(customer[عنوان],MATCH(Main[[#This Row],[کد ردیابی]],customer[کد],0))</f>
        <v xml:space="preserve">مریم فیض آبادی  </v>
      </c>
      <c r="H1547">
        <v>-5222</v>
      </c>
      <c r="I1547" s="6">
        <f ca="1">-Main[[#This Row],[بدهی تسویه شده (کیلوگرم)]]+Main[[#This Row],[بستانکار (کیلوگرم)]]</f>
        <v>-5222</v>
      </c>
      <c r="J1547" s="6">
        <f>IF(Main[[#This Row],[مقدار (کیلوگرم)]]&gt;0,Main[[#This Row],[مقدار (کیلوگرم)]],0)</f>
        <v>0</v>
      </c>
      <c r="K1547" s="6">
        <f>-IF(Main[[#This Row],[مقدار (کیلوگرم)]]&lt;0,Main[[#This Row],[مقدار (کیلوگرم)]],0)</f>
        <v>5222</v>
      </c>
      <c r="L15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7" s="7">
        <f>-IF(AND(Main[[#This Row],[مقدار (کیلوگرم)]]&lt;0,Main[[#This Row],[تاريخ میلادی]]&gt;44276),Main[[#This Row],[مقدار (کیلوگرم)]],0)</f>
        <v>5222</v>
      </c>
      <c r="N1547" s="6">
        <f ca="1">Main[[#This Row],[بدهکار (کیلوگرم)]]-Main[[#This Row],[بدهی تسویه نشده (کیلوگرم)]]</f>
        <v>5222</v>
      </c>
      <c r="O1547" s="6">
        <f ca="1">Main[[#This Row],[تفکیک]]</f>
        <v>0</v>
      </c>
      <c r="P1547" s="6">
        <f ca="1">IF(Main[[#This Row],[تاخیر از سررسید]]&gt;0,Main[[#This Row],[بدهی تسویه نشده (کیلوگرم)]],0)</f>
        <v>0</v>
      </c>
      <c r="Q1547" s="6">
        <f ca="1">IF(Main[[#This Row],[بدهی تسویه نشده (کیلوگرم)]]&gt;0,'گزارش فردی'!$B$7-Main[[#This Row],[تاريخ میلادی]],0)</f>
        <v>0</v>
      </c>
      <c r="R1547" s="6">
        <f ca="1">IF(Main[[#This Row],[بدهی تسویه نشده (کیلوگرم)]]&gt;0,'گزارش فردی'!$B$7-Main[[#This Row],[تاريخ میلادی]]-'گزارش فردی'!$B$8,0)</f>
        <v>0</v>
      </c>
      <c r="S1547" s="6">
        <f ca="1">Main[[#This Row],[روز از ارسال سفارش]]*Main[[#This Row],[بدهی تسویه نشده (کیلوگرم)]]</f>
        <v>0</v>
      </c>
      <c r="T1547" s="6">
        <f ca="1">Main[[#This Row],[بدهی سررسید شده (کیلوگرم)]]*Main[[#This Row],[روز از ارسال سفارش]]</f>
        <v>0</v>
      </c>
      <c r="U1547" s="6">
        <f>-SUBTOTAL(9,INDEX(Main[مقدار (کیلوگرم)],1):Main[[#This Row],[مقدار (کیلوگرم)]])</f>
        <v>32962</v>
      </c>
      <c r="V15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7" s="6">
        <f>Main[[#This Row],[تعداد کل روزهای بدهکار (روز)]]*Main[[#This Row],[مانده در خط کل (کیلوگرم)]]</f>
        <v>32962</v>
      </c>
      <c r="X1547" s="6">
        <f ca="1">-SUBTOTAL(9,INDEX(Main[مقدار تسویه شده (کیلوگرم)],1):Main[[#This Row],[مقدار تسویه شده (کیلوگرم)]])</f>
        <v>32962</v>
      </c>
      <c r="Y1547" s="6">
        <f ca="1">IF(Main[[#This Row],[مانده در خط تسویه شده (کیلوگرم)]]&lt;&gt;0,Main[[#This Row],[تعداد کل روزهای بدهکار (روز)]],0)</f>
        <v>1</v>
      </c>
      <c r="Z1547" s="6">
        <f ca="1">Main[[#This Row],[تعداد روزهای بدهکار تسویه شده (روز)]]*Main[[#This Row],[مانده در خط تسویه شده (کیلوگرم)]]</f>
        <v>32962</v>
      </c>
      <c r="AA1547" s="6">
        <f ca="1">SUBTOTAL(9,INDEX(Main[بدهی تسویه نشده (کیلوگرم)],1):Main[[#This Row],[بدهی تسویه نشده (کیلوگرم)]])</f>
        <v>0</v>
      </c>
      <c r="AB1547" s="6">
        <f ca="1">IF(Main[[#This Row],[مانده در خط تسویه نشده (کیلوگرم)]]&lt;&gt;0,Main[[#This Row],[تعداد کل روزهای بدهکار (روز)]],0)</f>
        <v>0</v>
      </c>
      <c r="AC1547" s="6">
        <f ca="1">Main[[#This Row],[تعداد روزهای بدهکار  تسویه نشده (روز)]]*Main[[#This Row],[مانده در خط تسویه نشده (کیلوگرم)]]</f>
        <v>0</v>
      </c>
      <c r="AD1547" s="6">
        <f ca="1">SUBTOTAL(9,INDEX(Main[بدهی سررسید شده (کیلوگرم)],1):Main[[#This Row],[بدهی سررسید شده (کیلوگرم)]])</f>
        <v>0</v>
      </c>
      <c r="AE1547" s="6">
        <f ca="1">IF(Main[[#This Row],[مانده در خط سررسید شده (کیلوگرم)]]&lt;&gt;0,Main[[#This Row],[تعداد کل روزهای بدهکار (روز)]],0)</f>
        <v>0</v>
      </c>
      <c r="AF1547" s="6">
        <f ca="1">Main[[#This Row],[تعداد روزهای بدهکار سررسید شده (روز)]]*Main[[#This Row],[مانده در خط سررسید شده (کیلوگرم)]]</f>
        <v>0</v>
      </c>
    </row>
    <row r="1548" spans="1:32" hidden="1" x14ac:dyDescent="0.35">
      <c r="A1548" s="5">
        <f>ROW()-ROW(INDEX(Main[ردیف],1))+1</f>
        <v>1546</v>
      </c>
      <c r="B1548" s="31">
        <f>SUBTOTAL(2,INDEX(Main[ردیف],1):Main[[#This Row],[ردیف]])</f>
        <v>140</v>
      </c>
      <c r="C1548" s="32" t="s">
        <v>688</v>
      </c>
      <c r="D1548" s="32" t="str">
        <f>_xlfn.CONCAT("14",Main[[#This Row],[تاريخ]])</f>
        <v>1400/06/16</v>
      </c>
      <c r="E1548" s="33">
        <v>44446</v>
      </c>
      <c r="F1548" s="32">
        <v>10020</v>
      </c>
      <c r="G1548" s="5" t="str">
        <f>INDEX(customer[عنوان],MATCH(Main[[#This Row],[کد ردیابی]],customer[کد],0))</f>
        <v>فرزاد اسماعیل زاده</v>
      </c>
      <c r="H1548">
        <v>-1006</v>
      </c>
      <c r="I1548" s="6">
        <f ca="1">-Main[[#This Row],[بدهی تسویه شده (کیلوگرم)]]+Main[[#This Row],[بستانکار (کیلوگرم)]]</f>
        <v>-1006</v>
      </c>
      <c r="J1548" s="6">
        <f>IF(Main[[#This Row],[مقدار (کیلوگرم)]]&gt;0,Main[[#This Row],[مقدار (کیلوگرم)]],0)</f>
        <v>0</v>
      </c>
      <c r="K1548" s="6">
        <f>-IF(Main[[#This Row],[مقدار (کیلوگرم)]]&lt;0,Main[[#This Row],[مقدار (کیلوگرم)]],0)</f>
        <v>1006</v>
      </c>
      <c r="L15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8" s="7">
        <f>-IF(AND(Main[[#This Row],[مقدار (کیلوگرم)]]&lt;0,Main[[#This Row],[تاريخ میلادی]]&gt;44276),Main[[#This Row],[مقدار (کیلوگرم)]],0)</f>
        <v>1006</v>
      </c>
      <c r="N1548" s="6">
        <f ca="1">Main[[#This Row],[بدهکار (کیلوگرم)]]-Main[[#This Row],[بدهی تسویه نشده (کیلوگرم)]]</f>
        <v>1006</v>
      </c>
      <c r="O1548" s="6">
        <f ca="1">Main[[#This Row],[تفکیک]]</f>
        <v>0</v>
      </c>
      <c r="P1548" s="6">
        <f ca="1">IF(Main[[#This Row],[تاخیر از سررسید]]&gt;0,Main[[#This Row],[بدهی تسویه نشده (کیلوگرم)]],0)</f>
        <v>0</v>
      </c>
      <c r="Q1548" s="6">
        <f ca="1">IF(Main[[#This Row],[بدهی تسویه نشده (کیلوگرم)]]&gt;0,'گزارش فردی'!$B$7-Main[[#This Row],[تاريخ میلادی]],0)</f>
        <v>0</v>
      </c>
      <c r="R1548" s="6">
        <f ca="1">IF(Main[[#This Row],[بدهی تسویه نشده (کیلوگرم)]]&gt;0,'گزارش فردی'!$B$7-Main[[#This Row],[تاريخ میلادی]]-'گزارش فردی'!$B$8,0)</f>
        <v>0</v>
      </c>
      <c r="S1548" s="6">
        <f ca="1">Main[[#This Row],[روز از ارسال سفارش]]*Main[[#This Row],[بدهی تسویه نشده (کیلوگرم)]]</f>
        <v>0</v>
      </c>
      <c r="T1548" s="6">
        <f ca="1">Main[[#This Row],[بدهی سررسید شده (کیلوگرم)]]*Main[[#This Row],[روز از ارسال سفارش]]</f>
        <v>0</v>
      </c>
      <c r="U1548" s="6">
        <f>-SUBTOTAL(9,INDEX(Main[مقدار (کیلوگرم)],1):Main[[#This Row],[مقدار (کیلوگرم)]])</f>
        <v>32962</v>
      </c>
      <c r="V15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8" s="6">
        <f>Main[[#This Row],[تعداد کل روزهای بدهکار (روز)]]*Main[[#This Row],[مانده در خط کل (کیلوگرم)]]</f>
        <v>32962</v>
      </c>
      <c r="X1548" s="6">
        <f ca="1">-SUBTOTAL(9,INDEX(Main[مقدار تسویه شده (کیلوگرم)],1):Main[[#This Row],[مقدار تسویه شده (کیلوگرم)]])</f>
        <v>32962</v>
      </c>
      <c r="Y1548" s="6">
        <f ca="1">IF(Main[[#This Row],[مانده در خط تسویه شده (کیلوگرم)]]&lt;&gt;0,Main[[#This Row],[تعداد کل روزهای بدهکار (روز)]],0)</f>
        <v>1</v>
      </c>
      <c r="Z1548" s="6">
        <f ca="1">Main[[#This Row],[تعداد روزهای بدهکار تسویه شده (روز)]]*Main[[#This Row],[مانده در خط تسویه شده (کیلوگرم)]]</f>
        <v>32962</v>
      </c>
      <c r="AA1548" s="6">
        <f ca="1">SUBTOTAL(9,INDEX(Main[بدهی تسویه نشده (کیلوگرم)],1):Main[[#This Row],[بدهی تسویه نشده (کیلوگرم)]])</f>
        <v>0</v>
      </c>
      <c r="AB1548" s="6">
        <f ca="1">IF(Main[[#This Row],[مانده در خط تسویه نشده (کیلوگرم)]]&lt;&gt;0,Main[[#This Row],[تعداد کل روزهای بدهکار (روز)]],0)</f>
        <v>0</v>
      </c>
      <c r="AC1548" s="6">
        <f ca="1">Main[[#This Row],[تعداد روزهای بدهکار  تسویه نشده (روز)]]*Main[[#This Row],[مانده در خط تسویه نشده (کیلوگرم)]]</f>
        <v>0</v>
      </c>
      <c r="AD1548" s="6">
        <f ca="1">SUBTOTAL(9,INDEX(Main[بدهی سررسید شده (کیلوگرم)],1):Main[[#This Row],[بدهی سررسید شده (کیلوگرم)]])</f>
        <v>0</v>
      </c>
      <c r="AE1548" s="6">
        <f ca="1">IF(Main[[#This Row],[مانده در خط سررسید شده (کیلوگرم)]]&lt;&gt;0,Main[[#This Row],[تعداد کل روزهای بدهکار (روز)]],0)</f>
        <v>0</v>
      </c>
      <c r="AF1548" s="6">
        <f ca="1">Main[[#This Row],[تعداد روزهای بدهکار سررسید شده (روز)]]*Main[[#This Row],[مانده در خط سررسید شده (کیلوگرم)]]</f>
        <v>0</v>
      </c>
    </row>
    <row r="1549" spans="1:32" hidden="1" x14ac:dyDescent="0.35">
      <c r="A1549" s="5">
        <f>ROW()-ROW(INDEX(Main[ردیف],1))+1</f>
        <v>1547</v>
      </c>
      <c r="B1549" s="31">
        <f>SUBTOTAL(2,INDEX(Main[ردیف],1):Main[[#This Row],[ردیف]])</f>
        <v>140</v>
      </c>
      <c r="C1549" s="32" t="s">
        <v>690</v>
      </c>
      <c r="D1549" s="32" t="str">
        <f>_xlfn.CONCAT("14",Main[[#This Row],[تاريخ]])</f>
        <v>1400/06/17</v>
      </c>
      <c r="E1549" s="33">
        <v>44447</v>
      </c>
      <c r="F1549" s="32">
        <v>30022</v>
      </c>
      <c r="G1549" s="5" t="str">
        <f>INDEX(customer[عنوان],MATCH(Main[[#This Row],[کد ردیابی]],customer[کد],0))</f>
        <v xml:space="preserve">کلار پویا </v>
      </c>
      <c r="H1549">
        <v>4920</v>
      </c>
      <c r="I1549" s="6">
        <f ca="1">-Main[[#This Row],[بدهی تسویه شده (کیلوگرم)]]+Main[[#This Row],[بستانکار (کیلوگرم)]]</f>
        <v>4920</v>
      </c>
      <c r="J1549" s="6">
        <f>IF(Main[[#This Row],[مقدار (کیلوگرم)]]&gt;0,Main[[#This Row],[مقدار (کیلوگرم)]],0)</f>
        <v>4920</v>
      </c>
      <c r="K1549" s="6">
        <f>-IF(Main[[#This Row],[مقدار (کیلوگرم)]]&lt;0,Main[[#This Row],[مقدار (کیلوگرم)]],0)</f>
        <v>0</v>
      </c>
      <c r="L15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9" s="7">
        <f>-IF(AND(Main[[#This Row],[مقدار (کیلوگرم)]]&lt;0,Main[[#This Row],[تاريخ میلادی]]&gt;44276),Main[[#This Row],[مقدار (کیلوگرم)]],0)</f>
        <v>0</v>
      </c>
      <c r="N1549" s="6">
        <f ca="1">Main[[#This Row],[بدهکار (کیلوگرم)]]-Main[[#This Row],[بدهی تسویه نشده (کیلوگرم)]]</f>
        <v>0</v>
      </c>
      <c r="O1549" s="6">
        <f ca="1">Main[[#This Row],[تفکیک]]</f>
        <v>0</v>
      </c>
      <c r="P1549" s="6">
        <f ca="1">IF(Main[[#This Row],[تاخیر از سررسید]]&gt;0,Main[[#This Row],[بدهی تسویه نشده (کیلوگرم)]],0)</f>
        <v>0</v>
      </c>
      <c r="Q1549" s="6">
        <f ca="1">IF(Main[[#This Row],[بدهی تسویه نشده (کیلوگرم)]]&gt;0,'گزارش فردی'!$B$7-Main[[#This Row],[تاريخ میلادی]],0)</f>
        <v>0</v>
      </c>
      <c r="R1549" s="6">
        <f ca="1">IF(Main[[#This Row],[بدهی تسویه نشده (کیلوگرم)]]&gt;0,'گزارش فردی'!$B$7-Main[[#This Row],[تاريخ میلادی]]-'گزارش فردی'!$B$8,0)</f>
        <v>0</v>
      </c>
      <c r="S1549" s="6">
        <f ca="1">Main[[#This Row],[روز از ارسال سفارش]]*Main[[#This Row],[بدهی تسویه نشده (کیلوگرم)]]</f>
        <v>0</v>
      </c>
      <c r="T1549" s="6">
        <f ca="1">Main[[#This Row],[بدهی سررسید شده (کیلوگرم)]]*Main[[#This Row],[روز از ارسال سفارش]]</f>
        <v>0</v>
      </c>
      <c r="U1549" s="6">
        <f>-SUBTOTAL(9,INDEX(Main[مقدار (کیلوگرم)],1):Main[[#This Row],[مقدار (کیلوگرم)]])</f>
        <v>32962</v>
      </c>
      <c r="V15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9" s="6">
        <f>Main[[#This Row],[تعداد کل روزهای بدهکار (روز)]]*Main[[#This Row],[مانده در خط کل (کیلوگرم)]]</f>
        <v>0</v>
      </c>
      <c r="X1549" s="6">
        <f ca="1">-SUBTOTAL(9,INDEX(Main[مقدار تسویه شده (کیلوگرم)],1):Main[[#This Row],[مقدار تسویه شده (کیلوگرم)]])</f>
        <v>32962</v>
      </c>
      <c r="Y1549" s="6">
        <f ca="1">IF(Main[[#This Row],[مانده در خط تسویه شده (کیلوگرم)]]&lt;&gt;0,Main[[#This Row],[تعداد کل روزهای بدهکار (روز)]],0)</f>
        <v>0</v>
      </c>
      <c r="Z1549" s="6">
        <f ca="1">Main[[#This Row],[تعداد روزهای بدهکار تسویه شده (روز)]]*Main[[#This Row],[مانده در خط تسویه شده (کیلوگرم)]]</f>
        <v>0</v>
      </c>
      <c r="AA1549" s="6">
        <f ca="1">SUBTOTAL(9,INDEX(Main[بدهی تسویه نشده (کیلوگرم)],1):Main[[#This Row],[بدهی تسویه نشده (کیلوگرم)]])</f>
        <v>0</v>
      </c>
      <c r="AB1549" s="6">
        <f ca="1">IF(Main[[#This Row],[مانده در خط تسویه نشده (کیلوگرم)]]&lt;&gt;0,Main[[#This Row],[تعداد کل روزهای بدهکار (روز)]],0)</f>
        <v>0</v>
      </c>
      <c r="AC1549" s="6">
        <f ca="1">Main[[#This Row],[تعداد روزهای بدهکار  تسویه نشده (روز)]]*Main[[#This Row],[مانده در خط تسویه نشده (کیلوگرم)]]</f>
        <v>0</v>
      </c>
      <c r="AD1549" s="6">
        <f ca="1">SUBTOTAL(9,INDEX(Main[بدهی سررسید شده (کیلوگرم)],1):Main[[#This Row],[بدهی سررسید شده (کیلوگرم)]])</f>
        <v>0</v>
      </c>
      <c r="AE1549" s="6">
        <f ca="1">IF(Main[[#This Row],[مانده در خط سررسید شده (کیلوگرم)]]&lt;&gt;0,Main[[#This Row],[تعداد کل روزهای بدهکار (روز)]],0)</f>
        <v>0</v>
      </c>
      <c r="AF1549" s="6">
        <f ca="1">Main[[#This Row],[تعداد روزهای بدهکار سررسید شده (روز)]]*Main[[#This Row],[مانده در خط سررسید شده (کیلوگرم)]]</f>
        <v>0</v>
      </c>
    </row>
    <row r="1550" spans="1:32" hidden="1" x14ac:dyDescent="0.35">
      <c r="A1550" s="5">
        <f>ROW()-ROW(INDEX(Main[ردیف],1))+1</f>
        <v>1548</v>
      </c>
      <c r="B1550" s="31">
        <f>SUBTOTAL(2,INDEX(Main[ردیف],1):Main[[#This Row],[ردیف]])</f>
        <v>140</v>
      </c>
      <c r="C1550" s="32" t="s">
        <v>690</v>
      </c>
      <c r="D1550" s="32" t="str">
        <f>_xlfn.CONCAT("14",Main[[#This Row],[تاريخ]])</f>
        <v>1400/06/17</v>
      </c>
      <c r="E1550" s="33">
        <v>44447</v>
      </c>
      <c r="F1550" s="32">
        <v>30191</v>
      </c>
      <c r="G1550" s="5" t="str">
        <f>INDEX(customer[عنوان],MATCH(Main[[#This Row],[کد ردیابی]],customer[کد],0))</f>
        <v>ایران گرما</v>
      </c>
      <c r="H1550">
        <v>-918</v>
      </c>
      <c r="I1550" s="6">
        <f ca="1">-Main[[#This Row],[بدهی تسویه شده (کیلوگرم)]]+Main[[#This Row],[بستانکار (کیلوگرم)]]</f>
        <v>-918</v>
      </c>
      <c r="J1550" s="6">
        <f>IF(Main[[#This Row],[مقدار (کیلوگرم)]]&gt;0,Main[[#This Row],[مقدار (کیلوگرم)]],0)</f>
        <v>0</v>
      </c>
      <c r="K1550" s="6">
        <f>-IF(Main[[#This Row],[مقدار (کیلوگرم)]]&lt;0,Main[[#This Row],[مقدار (کیلوگرم)]],0)</f>
        <v>918</v>
      </c>
      <c r="L15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0" s="7">
        <f>-IF(AND(Main[[#This Row],[مقدار (کیلوگرم)]]&lt;0,Main[[#This Row],[تاريخ میلادی]]&gt;44276),Main[[#This Row],[مقدار (کیلوگرم)]],0)</f>
        <v>918</v>
      </c>
      <c r="N1550" s="6">
        <f ca="1">Main[[#This Row],[بدهکار (کیلوگرم)]]-Main[[#This Row],[بدهی تسویه نشده (کیلوگرم)]]</f>
        <v>918</v>
      </c>
      <c r="O1550" s="6">
        <f ca="1">Main[[#This Row],[تفکیک]]</f>
        <v>0</v>
      </c>
      <c r="P1550" s="6">
        <f ca="1">IF(Main[[#This Row],[تاخیر از سررسید]]&gt;0,Main[[#This Row],[بدهی تسویه نشده (کیلوگرم)]],0)</f>
        <v>0</v>
      </c>
      <c r="Q1550" s="6">
        <f ca="1">IF(Main[[#This Row],[بدهی تسویه نشده (کیلوگرم)]]&gt;0,'گزارش فردی'!$B$7-Main[[#This Row],[تاريخ میلادی]],0)</f>
        <v>0</v>
      </c>
      <c r="R1550" s="6">
        <f ca="1">IF(Main[[#This Row],[بدهی تسویه نشده (کیلوگرم)]]&gt;0,'گزارش فردی'!$B$7-Main[[#This Row],[تاريخ میلادی]]-'گزارش فردی'!$B$8,0)</f>
        <v>0</v>
      </c>
      <c r="S1550" s="6">
        <f ca="1">Main[[#This Row],[روز از ارسال سفارش]]*Main[[#This Row],[بدهی تسویه نشده (کیلوگرم)]]</f>
        <v>0</v>
      </c>
      <c r="T1550" s="6">
        <f ca="1">Main[[#This Row],[بدهی سررسید شده (کیلوگرم)]]*Main[[#This Row],[روز از ارسال سفارش]]</f>
        <v>0</v>
      </c>
      <c r="U1550" s="6">
        <f>-SUBTOTAL(9,INDEX(Main[مقدار (کیلوگرم)],1):Main[[#This Row],[مقدار (کیلوگرم)]])</f>
        <v>32962</v>
      </c>
      <c r="V15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0" s="6">
        <f>Main[[#This Row],[تعداد کل روزهای بدهکار (روز)]]*Main[[#This Row],[مانده در خط کل (کیلوگرم)]]</f>
        <v>0</v>
      </c>
      <c r="X1550" s="6">
        <f ca="1">-SUBTOTAL(9,INDEX(Main[مقدار تسویه شده (کیلوگرم)],1):Main[[#This Row],[مقدار تسویه شده (کیلوگرم)]])</f>
        <v>32962</v>
      </c>
      <c r="Y1550" s="6">
        <f ca="1">IF(Main[[#This Row],[مانده در خط تسویه شده (کیلوگرم)]]&lt;&gt;0,Main[[#This Row],[تعداد کل روزهای بدهکار (روز)]],0)</f>
        <v>0</v>
      </c>
      <c r="Z1550" s="6">
        <f ca="1">Main[[#This Row],[تعداد روزهای بدهکار تسویه شده (روز)]]*Main[[#This Row],[مانده در خط تسویه شده (کیلوگرم)]]</f>
        <v>0</v>
      </c>
      <c r="AA1550" s="6">
        <f ca="1">SUBTOTAL(9,INDEX(Main[بدهی تسویه نشده (کیلوگرم)],1):Main[[#This Row],[بدهی تسویه نشده (کیلوگرم)]])</f>
        <v>0</v>
      </c>
      <c r="AB1550" s="6">
        <f ca="1">IF(Main[[#This Row],[مانده در خط تسویه نشده (کیلوگرم)]]&lt;&gt;0,Main[[#This Row],[تعداد کل روزهای بدهکار (روز)]],0)</f>
        <v>0</v>
      </c>
      <c r="AC1550" s="6">
        <f ca="1">Main[[#This Row],[تعداد روزهای بدهکار  تسویه نشده (روز)]]*Main[[#This Row],[مانده در خط تسویه نشده (کیلوگرم)]]</f>
        <v>0</v>
      </c>
      <c r="AD1550" s="6">
        <f ca="1">SUBTOTAL(9,INDEX(Main[بدهی سررسید شده (کیلوگرم)],1):Main[[#This Row],[بدهی سررسید شده (کیلوگرم)]])</f>
        <v>0</v>
      </c>
      <c r="AE1550" s="6">
        <f ca="1">IF(Main[[#This Row],[مانده در خط سررسید شده (کیلوگرم)]]&lt;&gt;0,Main[[#This Row],[تعداد کل روزهای بدهکار (روز)]],0)</f>
        <v>0</v>
      </c>
      <c r="AF1550" s="6">
        <f ca="1">Main[[#This Row],[تعداد روزهای بدهکار سررسید شده (روز)]]*Main[[#This Row],[مانده در خط سررسید شده (کیلوگرم)]]</f>
        <v>0</v>
      </c>
    </row>
    <row r="1551" spans="1:32" hidden="1" x14ac:dyDescent="0.35">
      <c r="A1551" s="5">
        <f>ROW()-ROW(INDEX(Main[ردیف],1))+1</f>
        <v>1549</v>
      </c>
      <c r="B1551" s="31">
        <f>SUBTOTAL(2,INDEX(Main[ردیف],1):Main[[#This Row],[ردیف]])</f>
        <v>140</v>
      </c>
      <c r="C1551" s="32" t="s">
        <v>690</v>
      </c>
      <c r="D1551" s="32" t="str">
        <f>_xlfn.CONCAT("14",Main[[#This Row],[تاريخ]])</f>
        <v>1400/06/17</v>
      </c>
      <c r="E1551" s="33">
        <v>44447</v>
      </c>
      <c r="F1551" s="32">
        <v>10084</v>
      </c>
      <c r="G1551" s="5" t="str">
        <f>INDEX(customer[عنوان],MATCH(Main[[#This Row],[کد ردیابی]],customer[کد],0))</f>
        <v xml:space="preserve">سیدحمید کاظمی </v>
      </c>
      <c r="H1551">
        <v>1199</v>
      </c>
      <c r="I1551" s="6">
        <f ca="1">-Main[[#This Row],[بدهی تسویه شده (کیلوگرم)]]+Main[[#This Row],[بستانکار (کیلوگرم)]]</f>
        <v>1199</v>
      </c>
      <c r="J1551" s="6">
        <f>IF(Main[[#This Row],[مقدار (کیلوگرم)]]&gt;0,Main[[#This Row],[مقدار (کیلوگرم)]],0)</f>
        <v>1199</v>
      </c>
      <c r="K1551" s="6">
        <f>-IF(Main[[#This Row],[مقدار (کیلوگرم)]]&lt;0,Main[[#This Row],[مقدار (کیلوگرم)]],0)</f>
        <v>0</v>
      </c>
      <c r="L15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1" s="7">
        <f>-IF(AND(Main[[#This Row],[مقدار (کیلوگرم)]]&lt;0,Main[[#This Row],[تاريخ میلادی]]&gt;44276),Main[[#This Row],[مقدار (کیلوگرم)]],0)</f>
        <v>0</v>
      </c>
      <c r="N1551" s="6">
        <f ca="1">Main[[#This Row],[بدهکار (کیلوگرم)]]-Main[[#This Row],[بدهی تسویه نشده (کیلوگرم)]]</f>
        <v>0</v>
      </c>
      <c r="O1551" s="6">
        <f ca="1">Main[[#This Row],[تفکیک]]</f>
        <v>0</v>
      </c>
      <c r="P1551" s="6">
        <f ca="1">IF(Main[[#This Row],[تاخیر از سررسید]]&gt;0,Main[[#This Row],[بدهی تسویه نشده (کیلوگرم)]],0)</f>
        <v>0</v>
      </c>
      <c r="Q1551" s="6">
        <f ca="1">IF(Main[[#This Row],[بدهی تسویه نشده (کیلوگرم)]]&gt;0,'گزارش فردی'!$B$7-Main[[#This Row],[تاريخ میلادی]],0)</f>
        <v>0</v>
      </c>
      <c r="R1551" s="6">
        <f ca="1">IF(Main[[#This Row],[بدهی تسویه نشده (کیلوگرم)]]&gt;0,'گزارش فردی'!$B$7-Main[[#This Row],[تاريخ میلادی]]-'گزارش فردی'!$B$8,0)</f>
        <v>0</v>
      </c>
      <c r="S1551" s="6">
        <f ca="1">Main[[#This Row],[روز از ارسال سفارش]]*Main[[#This Row],[بدهی تسویه نشده (کیلوگرم)]]</f>
        <v>0</v>
      </c>
      <c r="T1551" s="6">
        <f ca="1">Main[[#This Row],[بدهی سررسید شده (کیلوگرم)]]*Main[[#This Row],[روز از ارسال سفارش]]</f>
        <v>0</v>
      </c>
      <c r="U1551" s="6">
        <f>-SUBTOTAL(9,INDEX(Main[مقدار (کیلوگرم)],1):Main[[#This Row],[مقدار (کیلوگرم)]])</f>
        <v>32962</v>
      </c>
      <c r="V15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1" s="6">
        <f>Main[[#This Row],[تعداد کل روزهای بدهکار (روز)]]*Main[[#This Row],[مانده در خط کل (کیلوگرم)]]</f>
        <v>0</v>
      </c>
      <c r="X1551" s="6">
        <f ca="1">-SUBTOTAL(9,INDEX(Main[مقدار تسویه شده (کیلوگرم)],1):Main[[#This Row],[مقدار تسویه شده (کیلوگرم)]])</f>
        <v>32962</v>
      </c>
      <c r="Y1551" s="6">
        <f ca="1">IF(Main[[#This Row],[مانده در خط تسویه شده (کیلوگرم)]]&lt;&gt;0,Main[[#This Row],[تعداد کل روزهای بدهکار (روز)]],0)</f>
        <v>0</v>
      </c>
      <c r="Z1551" s="6">
        <f ca="1">Main[[#This Row],[تعداد روزهای بدهکار تسویه شده (روز)]]*Main[[#This Row],[مانده در خط تسویه شده (کیلوگرم)]]</f>
        <v>0</v>
      </c>
      <c r="AA1551" s="6">
        <f ca="1">SUBTOTAL(9,INDEX(Main[بدهی تسویه نشده (کیلوگرم)],1):Main[[#This Row],[بدهی تسویه نشده (کیلوگرم)]])</f>
        <v>0</v>
      </c>
      <c r="AB1551" s="6">
        <f ca="1">IF(Main[[#This Row],[مانده در خط تسویه نشده (کیلوگرم)]]&lt;&gt;0,Main[[#This Row],[تعداد کل روزهای بدهکار (روز)]],0)</f>
        <v>0</v>
      </c>
      <c r="AC1551" s="6">
        <f ca="1">Main[[#This Row],[تعداد روزهای بدهکار  تسویه نشده (روز)]]*Main[[#This Row],[مانده در خط تسویه نشده (کیلوگرم)]]</f>
        <v>0</v>
      </c>
      <c r="AD1551" s="6">
        <f ca="1">SUBTOTAL(9,INDEX(Main[بدهی سررسید شده (کیلوگرم)],1):Main[[#This Row],[بدهی سررسید شده (کیلوگرم)]])</f>
        <v>0</v>
      </c>
      <c r="AE1551" s="6">
        <f ca="1">IF(Main[[#This Row],[مانده در خط سررسید شده (کیلوگرم)]]&lt;&gt;0,Main[[#This Row],[تعداد کل روزهای بدهکار (روز)]],0)</f>
        <v>0</v>
      </c>
      <c r="AF1551" s="6">
        <f ca="1">Main[[#This Row],[تعداد روزهای بدهکار سررسید شده (روز)]]*Main[[#This Row],[مانده در خط سررسید شده (کیلوگرم)]]</f>
        <v>0</v>
      </c>
    </row>
    <row r="1552" spans="1:32" hidden="1" x14ac:dyDescent="0.35">
      <c r="A1552" s="5">
        <f>ROW()-ROW(INDEX(Main[ردیف],1))+1</f>
        <v>1550</v>
      </c>
      <c r="B1552" s="31">
        <f>SUBTOTAL(2,INDEX(Main[ردیف],1):Main[[#This Row],[ردیف]])</f>
        <v>140</v>
      </c>
      <c r="C1552" s="32" t="s">
        <v>690</v>
      </c>
      <c r="D1552" s="32" t="str">
        <f>_xlfn.CONCAT("14",Main[[#This Row],[تاريخ]])</f>
        <v>1400/06/17</v>
      </c>
      <c r="E1552" s="33">
        <v>44447</v>
      </c>
      <c r="F1552" s="32">
        <v>30099</v>
      </c>
      <c r="G1552" s="5" t="str">
        <f>INDEX(customer[عنوان],MATCH(Main[[#This Row],[کد ردیابی]],customer[کد],0))</f>
        <v>ایران شرق نیشابور</v>
      </c>
      <c r="H1552">
        <v>-1895</v>
      </c>
      <c r="I1552" s="6">
        <f ca="1">-Main[[#This Row],[بدهی تسویه شده (کیلوگرم)]]+Main[[#This Row],[بستانکار (کیلوگرم)]]</f>
        <v>-1895</v>
      </c>
      <c r="J1552" s="6">
        <f>IF(Main[[#This Row],[مقدار (کیلوگرم)]]&gt;0,Main[[#This Row],[مقدار (کیلوگرم)]],0)</f>
        <v>0</v>
      </c>
      <c r="K1552" s="6">
        <f>-IF(Main[[#This Row],[مقدار (کیلوگرم)]]&lt;0,Main[[#This Row],[مقدار (کیلوگرم)]],0)</f>
        <v>1895</v>
      </c>
      <c r="L15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2" s="7">
        <f>-IF(AND(Main[[#This Row],[مقدار (کیلوگرم)]]&lt;0,Main[[#This Row],[تاريخ میلادی]]&gt;44276),Main[[#This Row],[مقدار (کیلوگرم)]],0)</f>
        <v>1895</v>
      </c>
      <c r="N1552" s="6">
        <f ca="1">Main[[#This Row],[بدهکار (کیلوگرم)]]-Main[[#This Row],[بدهی تسویه نشده (کیلوگرم)]]</f>
        <v>1895</v>
      </c>
      <c r="O1552" s="6">
        <f ca="1">Main[[#This Row],[تفکیک]]</f>
        <v>0</v>
      </c>
      <c r="P1552" s="6">
        <f ca="1">IF(Main[[#This Row],[تاخیر از سررسید]]&gt;0,Main[[#This Row],[بدهی تسویه نشده (کیلوگرم)]],0)</f>
        <v>0</v>
      </c>
      <c r="Q1552" s="6">
        <f ca="1">IF(Main[[#This Row],[بدهی تسویه نشده (کیلوگرم)]]&gt;0,'گزارش فردی'!$B$7-Main[[#This Row],[تاريخ میلادی]],0)</f>
        <v>0</v>
      </c>
      <c r="R1552" s="6">
        <f ca="1">IF(Main[[#This Row],[بدهی تسویه نشده (کیلوگرم)]]&gt;0,'گزارش فردی'!$B$7-Main[[#This Row],[تاريخ میلادی]]-'گزارش فردی'!$B$8,0)</f>
        <v>0</v>
      </c>
      <c r="S1552" s="6">
        <f ca="1">Main[[#This Row],[روز از ارسال سفارش]]*Main[[#This Row],[بدهی تسویه نشده (کیلوگرم)]]</f>
        <v>0</v>
      </c>
      <c r="T1552" s="6">
        <f ca="1">Main[[#This Row],[بدهی سررسید شده (کیلوگرم)]]*Main[[#This Row],[روز از ارسال سفارش]]</f>
        <v>0</v>
      </c>
      <c r="U1552" s="6">
        <f>-SUBTOTAL(9,INDEX(Main[مقدار (کیلوگرم)],1):Main[[#This Row],[مقدار (کیلوگرم)]])</f>
        <v>32962</v>
      </c>
      <c r="V15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2" s="6">
        <f>Main[[#This Row],[تعداد کل روزهای بدهکار (روز)]]*Main[[#This Row],[مانده در خط کل (کیلوگرم)]]</f>
        <v>0</v>
      </c>
      <c r="X1552" s="6">
        <f ca="1">-SUBTOTAL(9,INDEX(Main[مقدار تسویه شده (کیلوگرم)],1):Main[[#This Row],[مقدار تسویه شده (کیلوگرم)]])</f>
        <v>32962</v>
      </c>
      <c r="Y1552" s="6">
        <f ca="1">IF(Main[[#This Row],[مانده در خط تسویه شده (کیلوگرم)]]&lt;&gt;0,Main[[#This Row],[تعداد کل روزهای بدهکار (روز)]],0)</f>
        <v>0</v>
      </c>
      <c r="Z1552" s="6">
        <f ca="1">Main[[#This Row],[تعداد روزهای بدهکار تسویه شده (روز)]]*Main[[#This Row],[مانده در خط تسویه شده (کیلوگرم)]]</f>
        <v>0</v>
      </c>
      <c r="AA1552" s="6">
        <f ca="1">SUBTOTAL(9,INDEX(Main[بدهی تسویه نشده (کیلوگرم)],1):Main[[#This Row],[بدهی تسویه نشده (کیلوگرم)]])</f>
        <v>0</v>
      </c>
      <c r="AB1552" s="6">
        <f ca="1">IF(Main[[#This Row],[مانده در خط تسویه نشده (کیلوگرم)]]&lt;&gt;0,Main[[#This Row],[تعداد کل روزهای بدهکار (روز)]],0)</f>
        <v>0</v>
      </c>
      <c r="AC1552" s="6">
        <f ca="1">Main[[#This Row],[تعداد روزهای بدهکار  تسویه نشده (روز)]]*Main[[#This Row],[مانده در خط تسویه نشده (کیلوگرم)]]</f>
        <v>0</v>
      </c>
      <c r="AD1552" s="6">
        <f ca="1">SUBTOTAL(9,INDEX(Main[بدهی سررسید شده (کیلوگرم)],1):Main[[#This Row],[بدهی سررسید شده (کیلوگرم)]])</f>
        <v>0</v>
      </c>
      <c r="AE1552" s="6">
        <f ca="1">IF(Main[[#This Row],[مانده در خط سررسید شده (کیلوگرم)]]&lt;&gt;0,Main[[#This Row],[تعداد کل روزهای بدهکار (روز)]],0)</f>
        <v>0</v>
      </c>
      <c r="AF1552" s="6">
        <f ca="1">Main[[#This Row],[تعداد روزهای بدهکار سررسید شده (روز)]]*Main[[#This Row],[مانده در خط سررسید شده (کیلوگرم)]]</f>
        <v>0</v>
      </c>
    </row>
    <row r="1553" spans="1:32" x14ac:dyDescent="0.35">
      <c r="A1553" s="5">
        <f>ROW()-ROW(INDEX(Main[ردیف],1))+1</f>
        <v>1551</v>
      </c>
      <c r="B1553" s="31">
        <f>SUBTOTAL(2,INDEX(Main[ردیف],1):Main[[#This Row],[ردیف]])</f>
        <v>141</v>
      </c>
      <c r="C1553" s="32" t="s">
        <v>690</v>
      </c>
      <c r="D1553" s="32" t="str">
        <f>_xlfn.CONCAT("14",Main[[#This Row],[تاريخ]])</f>
        <v>1400/06/17</v>
      </c>
      <c r="E1553" s="33">
        <v>44447</v>
      </c>
      <c r="F1553" s="32">
        <v>10003</v>
      </c>
      <c r="G1553" s="5" t="str">
        <f>INDEX(customer[عنوان],MATCH(Main[[#This Row],[کد ردیابی]],customer[کد],0))</f>
        <v>اصغر نورعلی</v>
      </c>
      <c r="H1553">
        <v>7000</v>
      </c>
      <c r="I1553" s="6">
        <f ca="1">-Main[[#This Row],[بدهی تسویه شده (کیلوگرم)]]+Main[[#This Row],[بستانکار (کیلوگرم)]]</f>
        <v>7000</v>
      </c>
      <c r="J1553" s="6">
        <f>IF(Main[[#This Row],[مقدار (کیلوگرم)]]&gt;0,Main[[#This Row],[مقدار (کیلوگرم)]],0)</f>
        <v>7000</v>
      </c>
      <c r="K1553" s="6">
        <f>-IF(Main[[#This Row],[مقدار (کیلوگرم)]]&lt;0,Main[[#This Row],[مقدار (کیلوگرم)]],0)</f>
        <v>0</v>
      </c>
      <c r="L15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3" s="7">
        <f>-IF(AND(Main[[#This Row],[مقدار (کیلوگرم)]]&lt;0,Main[[#This Row],[تاريخ میلادی]]&gt;44276),Main[[#This Row],[مقدار (کیلوگرم)]],0)</f>
        <v>0</v>
      </c>
      <c r="N1553" s="6">
        <f ca="1">Main[[#This Row],[بدهکار (کیلوگرم)]]-Main[[#This Row],[بدهی تسویه نشده (کیلوگرم)]]</f>
        <v>0</v>
      </c>
      <c r="O1553" s="6">
        <f ca="1">Main[[#This Row],[تفکیک]]</f>
        <v>0</v>
      </c>
      <c r="P1553" s="6">
        <f ca="1">IF(Main[[#This Row],[تاخیر از سررسید]]&gt;0,Main[[#This Row],[بدهی تسویه نشده (کیلوگرم)]],0)</f>
        <v>0</v>
      </c>
      <c r="Q1553" s="6">
        <f ca="1">IF(Main[[#This Row],[بدهی تسویه نشده (کیلوگرم)]]&gt;0,'گزارش فردی'!$B$7-Main[[#This Row],[تاريخ میلادی]],0)</f>
        <v>0</v>
      </c>
      <c r="R1553" s="6">
        <f ca="1">IF(Main[[#This Row],[بدهی تسویه نشده (کیلوگرم)]]&gt;0,'گزارش فردی'!$B$7-Main[[#This Row],[تاريخ میلادی]]-'گزارش فردی'!$B$8,0)</f>
        <v>0</v>
      </c>
      <c r="S1553" s="6">
        <f ca="1">Main[[#This Row],[روز از ارسال سفارش]]*Main[[#This Row],[بدهی تسویه نشده (کیلوگرم)]]</f>
        <v>0</v>
      </c>
      <c r="T1553" s="6">
        <f ca="1">Main[[#This Row],[بدهی سررسید شده (کیلوگرم)]]*Main[[#This Row],[روز از ارسال سفارش]]</f>
        <v>0</v>
      </c>
      <c r="U1553" s="6">
        <f>-SUBTOTAL(9,INDEX(Main[مقدار (کیلوگرم)],1):Main[[#This Row],[مقدار (کیلوگرم)]])</f>
        <v>25962</v>
      </c>
      <c r="V15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3" s="6">
        <f>Main[[#This Row],[تعداد کل روزهای بدهکار (روز)]]*Main[[#This Row],[مانده در خط کل (کیلوگرم)]]</f>
        <v>0</v>
      </c>
      <c r="X1553" s="6">
        <f ca="1">-SUBTOTAL(9,INDEX(Main[مقدار تسویه شده (کیلوگرم)],1):Main[[#This Row],[مقدار تسویه شده (کیلوگرم)]])</f>
        <v>25962</v>
      </c>
      <c r="Y1553" s="6">
        <f ca="1">IF(Main[[#This Row],[مانده در خط تسویه شده (کیلوگرم)]]&lt;&gt;0,Main[[#This Row],[تعداد کل روزهای بدهکار (روز)]],0)</f>
        <v>0</v>
      </c>
      <c r="Z1553" s="6">
        <f ca="1">Main[[#This Row],[تعداد روزهای بدهکار تسویه شده (روز)]]*Main[[#This Row],[مانده در خط تسویه شده (کیلوگرم)]]</f>
        <v>0</v>
      </c>
      <c r="AA1553" s="6">
        <f ca="1">SUBTOTAL(9,INDEX(Main[بدهی تسویه نشده (کیلوگرم)],1):Main[[#This Row],[بدهی تسویه نشده (کیلوگرم)]])</f>
        <v>0</v>
      </c>
      <c r="AB1553" s="6">
        <f ca="1">IF(Main[[#This Row],[مانده در خط تسویه نشده (کیلوگرم)]]&lt;&gt;0,Main[[#This Row],[تعداد کل روزهای بدهکار (روز)]],0)</f>
        <v>0</v>
      </c>
      <c r="AC1553" s="6">
        <f ca="1">Main[[#This Row],[تعداد روزهای بدهکار  تسویه نشده (روز)]]*Main[[#This Row],[مانده در خط تسویه نشده (کیلوگرم)]]</f>
        <v>0</v>
      </c>
      <c r="AD1553" s="6">
        <f ca="1">SUBTOTAL(9,INDEX(Main[بدهی سررسید شده (کیلوگرم)],1):Main[[#This Row],[بدهی سررسید شده (کیلوگرم)]])</f>
        <v>0</v>
      </c>
      <c r="AE1553" s="6">
        <f ca="1">IF(Main[[#This Row],[مانده در خط سررسید شده (کیلوگرم)]]&lt;&gt;0,Main[[#This Row],[تعداد کل روزهای بدهکار (روز)]],0)</f>
        <v>0</v>
      </c>
      <c r="AF1553" s="6">
        <f ca="1">Main[[#This Row],[تعداد روزهای بدهکار سررسید شده (روز)]]*Main[[#This Row],[مانده در خط سررسید شده (کیلوگرم)]]</f>
        <v>0</v>
      </c>
    </row>
    <row r="1554" spans="1:32" hidden="1" x14ac:dyDescent="0.35">
      <c r="A1554" s="5">
        <f>ROW()-ROW(INDEX(Main[ردیف],1))+1</f>
        <v>1552</v>
      </c>
      <c r="B1554" s="31">
        <f>SUBTOTAL(2,INDEX(Main[ردیف],1):Main[[#This Row],[ردیف]])</f>
        <v>141</v>
      </c>
      <c r="C1554" s="32" t="s">
        <v>690</v>
      </c>
      <c r="D1554" s="32" t="str">
        <f>_xlfn.CONCAT("14",Main[[#This Row],[تاريخ]])</f>
        <v>1400/06/17</v>
      </c>
      <c r="E1554" s="33">
        <v>44447</v>
      </c>
      <c r="F1554" s="32">
        <v>30099</v>
      </c>
      <c r="G1554" s="5" t="str">
        <f>INDEX(customer[عنوان],MATCH(Main[[#This Row],[کد ردیابی]],customer[کد],0))</f>
        <v>ایران شرق نیشابور</v>
      </c>
      <c r="H1554">
        <v>-3035</v>
      </c>
      <c r="I1554" s="6">
        <f ca="1">-Main[[#This Row],[بدهی تسویه شده (کیلوگرم)]]+Main[[#This Row],[بستانکار (کیلوگرم)]]</f>
        <v>-3035</v>
      </c>
      <c r="J1554" s="6">
        <f>IF(Main[[#This Row],[مقدار (کیلوگرم)]]&gt;0,Main[[#This Row],[مقدار (کیلوگرم)]],0)</f>
        <v>0</v>
      </c>
      <c r="K1554" s="6">
        <f>-IF(Main[[#This Row],[مقدار (کیلوگرم)]]&lt;0,Main[[#This Row],[مقدار (کیلوگرم)]],0)</f>
        <v>3035</v>
      </c>
      <c r="L15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4" s="7">
        <f>-IF(AND(Main[[#This Row],[مقدار (کیلوگرم)]]&lt;0,Main[[#This Row],[تاريخ میلادی]]&gt;44276),Main[[#This Row],[مقدار (کیلوگرم)]],0)</f>
        <v>3035</v>
      </c>
      <c r="N1554" s="6">
        <f ca="1">Main[[#This Row],[بدهکار (کیلوگرم)]]-Main[[#This Row],[بدهی تسویه نشده (کیلوگرم)]]</f>
        <v>3035</v>
      </c>
      <c r="O1554" s="6">
        <f ca="1">Main[[#This Row],[تفکیک]]</f>
        <v>0</v>
      </c>
      <c r="P1554" s="6">
        <f ca="1">IF(Main[[#This Row],[تاخیر از سررسید]]&gt;0,Main[[#This Row],[بدهی تسویه نشده (کیلوگرم)]],0)</f>
        <v>0</v>
      </c>
      <c r="Q1554" s="6">
        <f ca="1">IF(Main[[#This Row],[بدهی تسویه نشده (کیلوگرم)]]&gt;0,'گزارش فردی'!$B$7-Main[[#This Row],[تاريخ میلادی]],0)</f>
        <v>0</v>
      </c>
      <c r="R1554" s="6">
        <f ca="1">IF(Main[[#This Row],[بدهی تسویه نشده (کیلوگرم)]]&gt;0,'گزارش فردی'!$B$7-Main[[#This Row],[تاريخ میلادی]]-'گزارش فردی'!$B$8,0)</f>
        <v>0</v>
      </c>
      <c r="S1554" s="6">
        <f ca="1">Main[[#This Row],[روز از ارسال سفارش]]*Main[[#This Row],[بدهی تسویه نشده (کیلوگرم)]]</f>
        <v>0</v>
      </c>
      <c r="T1554" s="6">
        <f ca="1">Main[[#This Row],[بدهی سررسید شده (کیلوگرم)]]*Main[[#This Row],[روز از ارسال سفارش]]</f>
        <v>0</v>
      </c>
      <c r="U1554" s="6">
        <f>-SUBTOTAL(9,INDEX(Main[مقدار (کیلوگرم)],1):Main[[#This Row],[مقدار (کیلوگرم)]])</f>
        <v>25962</v>
      </c>
      <c r="V15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4" s="6">
        <f>Main[[#This Row],[تعداد کل روزهای بدهکار (روز)]]*Main[[#This Row],[مانده در خط کل (کیلوگرم)]]</f>
        <v>0</v>
      </c>
      <c r="X1554" s="6">
        <f ca="1">-SUBTOTAL(9,INDEX(Main[مقدار تسویه شده (کیلوگرم)],1):Main[[#This Row],[مقدار تسویه شده (کیلوگرم)]])</f>
        <v>25962</v>
      </c>
      <c r="Y1554" s="6">
        <f ca="1">IF(Main[[#This Row],[مانده در خط تسویه شده (کیلوگرم)]]&lt;&gt;0,Main[[#This Row],[تعداد کل روزهای بدهکار (روز)]],0)</f>
        <v>0</v>
      </c>
      <c r="Z1554" s="6">
        <f ca="1">Main[[#This Row],[تعداد روزهای بدهکار تسویه شده (روز)]]*Main[[#This Row],[مانده در خط تسویه شده (کیلوگرم)]]</f>
        <v>0</v>
      </c>
      <c r="AA1554" s="6">
        <f ca="1">SUBTOTAL(9,INDEX(Main[بدهی تسویه نشده (کیلوگرم)],1):Main[[#This Row],[بدهی تسویه نشده (کیلوگرم)]])</f>
        <v>0</v>
      </c>
      <c r="AB1554" s="6">
        <f ca="1">IF(Main[[#This Row],[مانده در خط تسویه نشده (کیلوگرم)]]&lt;&gt;0,Main[[#This Row],[تعداد کل روزهای بدهکار (روز)]],0)</f>
        <v>0</v>
      </c>
      <c r="AC1554" s="6">
        <f ca="1">Main[[#This Row],[تعداد روزهای بدهکار  تسویه نشده (روز)]]*Main[[#This Row],[مانده در خط تسویه نشده (کیلوگرم)]]</f>
        <v>0</v>
      </c>
      <c r="AD1554" s="6">
        <f ca="1">SUBTOTAL(9,INDEX(Main[بدهی سررسید شده (کیلوگرم)],1):Main[[#This Row],[بدهی سررسید شده (کیلوگرم)]])</f>
        <v>0</v>
      </c>
      <c r="AE1554" s="6">
        <f ca="1">IF(Main[[#This Row],[مانده در خط سررسید شده (کیلوگرم)]]&lt;&gt;0,Main[[#This Row],[تعداد کل روزهای بدهکار (روز)]],0)</f>
        <v>0</v>
      </c>
      <c r="AF1554" s="6">
        <f ca="1">Main[[#This Row],[تعداد روزهای بدهکار سررسید شده (روز)]]*Main[[#This Row],[مانده در خط سررسید شده (کیلوگرم)]]</f>
        <v>0</v>
      </c>
    </row>
    <row r="1555" spans="1:32" x14ac:dyDescent="0.35">
      <c r="A1555" s="5">
        <f>ROW()-ROW(INDEX(Main[ردیف],1))+1</f>
        <v>1553</v>
      </c>
      <c r="B1555" s="31">
        <f>SUBTOTAL(2,INDEX(Main[ردیف],1):Main[[#This Row],[ردیف]])</f>
        <v>142</v>
      </c>
      <c r="C1555" s="32" t="s">
        <v>690</v>
      </c>
      <c r="D1555" s="32" t="str">
        <f>_xlfn.CONCAT("14",Main[[#This Row],[تاريخ]])</f>
        <v>1400/06/17</v>
      </c>
      <c r="E1555" s="33">
        <v>44447</v>
      </c>
      <c r="F1555" s="32">
        <v>10003</v>
      </c>
      <c r="G1555" s="5" t="str">
        <f>INDEX(customer[عنوان],MATCH(Main[[#This Row],[کد ردیابی]],customer[کد],0))</f>
        <v>اصغر نورعلی</v>
      </c>
      <c r="H1555">
        <v>-1918</v>
      </c>
      <c r="I1555" s="6">
        <f ca="1">-Main[[#This Row],[بدهی تسویه شده (کیلوگرم)]]+Main[[#This Row],[بستانکار (کیلوگرم)]]</f>
        <v>-1918</v>
      </c>
      <c r="J1555" s="6">
        <f>IF(Main[[#This Row],[مقدار (کیلوگرم)]]&gt;0,Main[[#This Row],[مقدار (کیلوگرم)]],0)</f>
        <v>0</v>
      </c>
      <c r="K1555" s="6">
        <f>-IF(Main[[#This Row],[مقدار (کیلوگرم)]]&lt;0,Main[[#This Row],[مقدار (کیلوگرم)]],0)</f>
        <v>1918</v>
      </c>
      <c r="L15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5" s="7">
        <f>-IF(AND(Main[[#This Row],[مقدار (کیلوگرم)]]&lt;0,Main[[#This Row],[تاريخ میلادی]]&gt;44276),Main[[#This Row],[مقدار (کیلوگرم)]],0)</f>
        <v>1918</v>
      </c>
      <c r="N1555" s="6">
        <f ca="1">Main[[#This Row],[بدهکار (کیلوگرم)]]-Main[[#This Row],[بدهی تسویه نشده (کیلوگرم)]]</f>
        <v>1918</v>
      </c>
      <c r="O1555" s="6">
        <f ca="1">Main[[#This Row],[تفکیک]]</f>
        <v>0</v>
      </c>
      <c r="P1555" s="6">
        <f ca="1">IF(Main[[#This Row],[تاخیر از سررسید]]&gt;0,Main[[#This Row],[بدهی تسویه نشده (کیلوگرم)]],0)</f>
        <v>0</v>
      </c>
      <c r="Q1555" s="6">
        <f ca="1">IF(Main[[#This Row],[بدهی تسویه نشده (کیلوگرم)]]&gt;0,'گزارش فردی'!$B$7-Main[[#This Row],[تاريخ میلادی]],0)</f>
        <v>0</v>
      </c>
      <c r="R1555" s="6">
        <f ca="1">IF(Main[[#This Row],[بدهی تسویه نشده (کیلوگرم)]]&gt;0,'گزارش فردی'!$B$7-Main[[#This Row],[تاريخ میلادی]]-'گزارش فردی'!$B$8,0)</f>
        <v>0</v>
      </c>
      <c r="S1555" s="6">
        <f ca="1">Main[[#This Row],[روز از ارسال سفارش]]*Main[[#This Row],[بدهی تسویه نشده (کیلوگرم)]]</f>
        <v>0</v>
      </c>
      <c r="T1555" s="6">
        <f ca="1">Main[[#This Row],[بدهی سررسید شده (کیلوگرم)]]*Main[[#This Row],[روز از ارسال سفارش]]</f>
        <v>0</v>
      </c>
      <c r="U1555" s="6">
        <f>-SUBTOTAL(9,INDEX(Main[مقدار (کیلوگرم)],1):Main[[#This Row],[مقدار (کیلوگرم)]])</f>
        <v>27880</v>
      </c>
      <c r="V155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55" s="6">
        <f>Main[[#This Row],[تعداد کل روزهای بدهکار (روز)]]*Main[[#This Row],[مانده در خط کل (کیلوگرم)]]</f>
        <v>83640</v>
      </c>
      <c r="X1555" s="6">
        <f ca="1">-SUBTOTAL(9,INDEX(Main[مقدار تسویه شده (کیلوگرم)],1):Main[[#This Row],[مقدار تسویه شده (کیلوگرم)]])</f>
        <v>27880</v>
      </c>
      <c r="Y1555" s="6">
        <f ca="1">IF(Main[[#This Row],[مانده در خط تسویه شده (کیلوگرم)]]&lt;&gt;0,Main[[#This Row],[تعداد کل روزهای بدهکار (روز)]],0)</f>
        <v>3</v>
      </c>
      <c r="Z1555" s="6">
        <f ca="1">Main[[#This Row],[تعداد روزهای بدهکار تسویه شده (روز)]]*Main[[#This Row],[مانده در خط تسویه شده (کیلوگرم)]]</f>
        <v>83640</v>
      </c>
      <c r="AA1555" s="6">
        <f ca="1">SUBTOTAL(9,INDEX(Main[بدهی تسویه نشده (کیلوگرم)],1):Main[[#This Row],[بدهی تسویه نشده (کیلوگرم)]])</f>
        <v>0</v>
      </c>
      <c r="AB1555" s="6">
        <f ca="1">IF(Main[[#This Row],[مانده در خط تسویه نشده (کیلوگرم)]]&lt;&gt;0,Main[[#This Row],[تعداد کل روزهای بدهکار (روز)]],0)</f>
        <v>0</v>
      </c>
      <c r="AC1555" s="6">
        <f ca="1">Main[[#This Row],[تعداد روزهای بدهکار  تسویه نشده (روز)]]*Main[[#This Row],[مانده در خط تسویه نشده (کیلوگرم)]]</f>
        <v>0</v>
      </c>
      <c r="AD1555" s="6">
        <f ca="1">SUBTOTAL(9,INDEX(Main[بدهی سررسید شده (کیلوگرم)],1):Main[[#This Row],[بدهی سررسید شده (کیلوگرم)]])</f>
        <v>0</v>
      </c>
      <c r="AE1555" s="6">
        <f ca="1">IF(Main[[#This Row],[مانده در خط سررسید شده (کیلوگرم)]]&lt;&gt;0,Main[[#This Row],[تعداد کل روزهای بدهکار (روز)]],0)</f>
        <v>0</v>
      </c>
      <c r="AF1555" s="6">
        <f ca="1">Main[[#This Row],[تعداد روزهای بدهکار سررسید شده (روز)]]*Main[[#This Row],[مانده در خط سررسید شده (کیلوگرم)]]</f>
        <v>0</v>
      </c>
    </row>
    <row r="1556" spans="1:32" hidden="1" x14ac:dyDescent="0.35">
      <c r="A1556" s="5">
        <f>ROW()-ROW(INDEX(Main[ردیف],1))+1</f>
        <v>1554</v>
      </c>
      <c r="B1556" s="31">
        <f>SUBTOTAL(2,INDEX(Main[ردیف],1):Main[[#This Row],[ردیف]])</f>
        <v>142</v>
      </c>
      <c r="C1556" s="32" t="s">
        <v>690</v>
      </c>
      <c r="D1556" s="32" t="str">
        <f>_xlfn.CONCAT("14",Main[[#This Row],[تاريخ]])</f>
        <v>1400/06/17</v>
      </c>
      <c r="E1556" s="33">
        <v>44447</v>
      </c>
      <c r="F1556" s="32">
        <v>10084</v>
      </c>
      <c r="G1556" s="5" t="str">
        <f>INDEX(customer[عنوان],MATCH(Main[[#This Row],[کد ردیابی]],customer[کد],0))</f>
        <v xml:space="preserve">سیدحمید کاظمی </v>
      </c>
      <c r="H1556">
        <v>-1448</v>
      </c>
      <c r="I1556" s="6">
        <f ca="1">-Main[[#This Row],[بدهی تسویه شده (کیلوگرم)]]+Main[[#This Row],[بستانکار (کیلوگرم)]]</f>
        <v>-1448</v>
      </c>
      <c r="J1556" s="6">
        <f>IF(Main[[#This Row],[مقدار (کیلوگرم)]]&gt;0,Main[[#This Row],[مقدار (کیلوگرم)]],0)</f>
        <v>0</v>
      </c>
      <c r="K1556" s="6">
        <f>-IF(Main[[#This Row],[مقدار (کیلوگرم)]]&lt;0,Main[[#This Row],[مقدار (کیلوگرم)]],0)</f>
        <v>1448</v>
      </c>
      <c r="L15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6" s="7">
        <f>-IF(AND(Main[[#This Row],[مقدار (کیلوگرم)]]&lt;0,Main[[#This Row],[تاريخ میلادی]]&gt;44276),Main[[#This Row],[مقدار (کیلوگرم)]],0)</f>
        <v>1448</v>
      </c>
      <c r="N1556" s="6">
        <f ca="1">Main[[#This Row],[بدهکار (کیلوگرم)]]-Main[[#This Row],[بدهی تسویه نشده (کیلوگرم)]]</f>
        <v>1448</v>
      </c>
      <c r="O1556" s="6">
        <f ca="1">Main[[#This Row],[تفکیک]]</f>
        <v>0</v>
      </c>
      <c r="P1556" s="6">
        <f ca="1">IF(Main[[#This Row],[تاخیر از سررسید]]&gt;0,Main[[#This Row],[بدهی تسویه نشده (کیلوگرم)]],0)</f>
        <v>0</v>
      </c>
      <c r="Q1556" s="6">
        <f ca="1">IF(Main[[#This Row],[بدهی تسویه نشده (کیلوگرم)]]&gt;0,'گزارش فردی'!$B$7-Main[[#This Row],[تاريخ میلادی]],0)</f>
        <v>0</v>
      </c>
      <c r="R1556" s="6">
        <f ca="1">IF(Main[[#This Row],[بدهی تسویه نشده (کیلوگرم)]]&gt;0,'گزارش فردی'!$B$7-Main[[#This Row],[تاريخ میلادی]]-'گزارش فردی'!$B$8,0)</f>
        <v>0</v>
      </c>
      <c r="S1556" s="6">
        <f ca="1">Main[[#This Row],[روز از ارسال سفارش]]*Main[[#This Row],[بدهی تسویه نشده (کیلوگرم)]]</f>
        <v>0</v>
      </c>
      <c r="T1556" s="6">
        <f ca="1">Main[[#This Row],[بدهی سررسید شده (کیلوگرم)]]*Main[[#This Row],[روز از ارسال سفارش]]</f>
        <v>0</v>
      </c>
      <c r="U1556" s="6">
        <f>-SUBTOTAL(9,INDEX(Main[مقدار (کیلوگرم)],1):Main[[#This Row],[مقدار (کیلوگرم)]])</f>
        <v>27880</v>
      </c>
      <c r="V155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56" s="6">
        <f>Main[[#This Row],[تعداد کل روزهای بدهکار (روز)]]*Main[[#This Row],[مانده در خط کل (کیلوگرم)]]</f>
        <v>83640</v>
      </c>
      <c r="X1556" s="6">
        <f ca="1">-SUBTOTAL(9,INDEX(Main[مقدار تسویه شده (کیلوگرم)],1):Main[[#This Row],[مقدار تسویه شده (کیلوگرم)]])</f>
        <v>27880</v>
      </c>
      <c r="Y1556" s="6">
        <f ca="1">IF(Main[[#This Row],[مانده در خط تسویه شده (کیلوگرم)]]&lt;&gt;0,Main[[#This Row],[تعداد کل روزهای بدهکار (روز)]],0)</f>
        <v>3</v>
      </c>
      <c r="Z1556" s="6">
        <f ca="1">Main[[#This Row],[تعداد روزهای بدهکار تسویه شده (روز)]]*Main[[#This Row],[مانده در خط تسویه شده (کیلوگرم)]]</f>
        <v>83640</v>
      </c>
      <c r="AA1556" s="6">
        <f ca="1">SUBTOTAL(9,INDEX(Main[بدهی تسویه نشده (کیلوگرم)],1):Main[[#This Row],[بدهی تسویه نشده (کیلوگرم)]])</f>
        <v>0</v>
      </c>
      <c r="AB1556" s="6">
        <f ca="1">IF(Main[[#This Row],[مانده در خط تسویه نشده (کیلوگرم)]]&lt;&gt;0,Main[[#This Row],[تعداد کل روزهای بدهکار (روز)]],0)</f>
        <v>0</v>
      </c>
      <c r="AC1556" s="6">
        <f ca="1">Main[[#This Row],[تعداد روزهای بدهکار  تسویه نشده (روز)]]*Main[[#This Row],[مانده در خط تسویه نشده (کیلوگرم)]]</f>
        <v>0</v>
      </c>
      <c r="AD1556" s="6">
        <f ca="1">SUBTOTAL(9,INDEX(Main[بدهی سررسید شده (کیلوگرم)],1):Main[[#This Row],[بدهی سررسید شده (کیلوگرم)]])</f>
        <v>0</v>
      </c>
      <c r="AE1556" s="6">
        <f ca="1">IF(Main[[#This Row],[مانده در خط سررسید شده (کیلوگرم)]]&lt;&gt;0,Main[[#This Row],[تعداد کل روزهای بدهکار (روز)]],0)</f>
        <v>0</v>
      </c>
      <c r="AF1556" s="6">
        <f ca="1">Main[[#This Row],[تعداد روزهای بدهکار سررسید شده (روز)]]*Main[[#This Row],[مانده در خط سررسید شده (کیلوگرم)]]</f>
        <v>0</v>
      </c>
    </row>
    <row r="1557" spans="1:32" hidden="1" x14ac:dyDescent="0.35">
      <c r="A1557" s="5">
        <f>ROW()-ROW(INDEX(Main[ردیف],1))+1</f>
        <v>1555</v>
      </c>
      <c r="B1557" s="31">
        <f>SUBTOTAL(2,INDEX(Main[ردیف],1):Main[[#This Row],[ردیف]])</f>
        <v>142</v>
      </c>
      <c r="C1557" s="32" t="s">
        <v>691</v>
      </c>
      <c r="D1557" s="32" t="str">
        <f>_xlfn.CONCAT("14",Main[[#This Row],[تاريخ]])</f>
        <v>1400/06/18</v>
      </c>
      <c r="E1557" s="33">
        <v>44448</v>
      </c>
      <c r="F1557" s="32">
        <v>30009</v>
      </c>
      <c r="G1557" s="5" t="str">
        <f>INDEX(customer[عنوان],MATCH(Main[[#This Row],[کد ردیابی]],customer[کد],0))</f>
        <v>شرکت ایمن تک پیشرو</v>
      </c>
      <c r="H1557">
        <v>2021</v>
      </c>
      <c r="I1557" s="6">
        <f ca="1">-Main[[#This Row],[بدهی تسویه شده (کیلوگرم)]]+Main[[#This Row],[بستانکار (کیلوگرم)]]</f>
        <v>2021</v>
      </c>
      <c r="J1557" s="6">
        <f>IF(Main[[#This Row],[مقدار (کیلوگرم)]]&gt;0,Main[[#This Row],[مقدار (کیلوگرم)]],0)</f>
        <v>2021</v>
      </c>
      <c r="K1557" s="6">
        <f>-IF(Main[[#This Row],[مقدار (کیلوگرم)]]&lt;0,Main[[#This Row],[مقدار (کیلوگرم)]],0)</f>
        <v>0</v>
      </c>
      <c r="L15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7" s="7">
        <f>-IF(AND(Main[[#This Row],[مقدار (کیلوگرم)]]&lt;0,Main[[#This Row],[تاريخ میلادی]]&gt;44276),Main[[#This Row],[مقدار (کیلوگرم)]],0)</f>
        <v>0</v>
      </c>
      <c r="N1557" s="6">
        <f ca="1">Main[[#This Row],[بدهکار (کیلوگرم)]]-Main[[#This Row],[بدهی تسویه نشده (کیلوگرم)]]</f>
        <v>0</v>
      </c>
      <c r="O1557" s="6">
        <f ca="1">Main[[#This Row],[تفکیک]]</f>
        <v>0</v>
      </c>
      <c r="P1557" s="6">
        <f ca="1">IF(Main[[#This Row],[تاخیر از سررسید]]&gt;0,Main[[#This Row],[بدهی تسویه نشده (کیلوگرم)]],0)</f>
        <v>0</v>
      </c>
      <c r="Q1557" s="6">
        <f ca="1">IF(Main[[#This Row],[بدهی تسویه نشده (کیلوگرم)]]&gt;0,'گزارش فردی'!$B$7-Main[[#This Row],[تاريخ میلادی]],0)</f>
        <v>0</v>
      </c>
      <c r="R1557" s="6">
        <f ca="1">IF(Main[[#This Row],[بدهی تسویه نشده (کیلوگرم)]]&gt;0,'گزارش فردی'!$B$7-Main[[#This Row],[تاريخ میلادی]]-'گزارش فردی'!$B$8,0)</f>
        <v>0</v>
      </c>
      <c r="S1557" s="6">
        <f ca="1">Main[[#This Row],[روز از ارسال سفارش]]*Main[[#This Row],[بدهی تسویه نشده (کیلوگرم)]]</f>
        <v>0</v>
      </c>
      <c r="T1557" s="6">
        <f ca="1">Main[[#This Row],[بدهی سررسید شده (کیلوگرم)]]*Main[[#This Row],[روز از ارسال سفارش]]</f>
        <v>0</v>
      </c>
      <c r="U1557" s="6">
        <f>-SUBTOTAL(9,INDEX(Main[مقدار (کیلوگرم)],1):Main[[#This Row],[مقدار (کیلوگرم)]])</f>
        <v>27880</v>
      </c>
      <c r="V15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57" s="6">
        <f>Main[[#This Row],[تعداد کل روزهای بدهکار (روز)]]*Main[[#This Row],[مانده در خط کل (کیلوگرم)]]</f>
        <v>55760</v>
      </c>
      <c r="X1557" s="6">
        <f ca="1">-SUBTOTAL(9,INDEX(Main[مقدار تسویه شده (کیلوگرم)],1):Main[[#This Row],[مقدار تسویه شده (کیلوگرم)]])</f>
        <v>27880</v>
      </c>
      <c r="Y1557" s="6">
        <f ca="1">IF(Main[[#This Row],[مانده در خط تسویه شده (کیلوگرم)]]&lt;&gt;0,Main[[#This Row],[تعداد کل روزهای بدهکار (روز)]],0)</f>
        <v>2</v>
      </c>
      <c r="Z1557" s="6">
        <f ca="1">Main[[#This Row],[تعداد روزهای بدهکار تسویه شده (روز)]]*Main[[#This Row],[مانده در خط تسویه شده (کیلوگرم)]]</f>
        <v>55760</v>
      </c>
      <c r="AA1557" s="6">
        <f ca="1">SUBTOTAL(9,INDEX(Main[بدهی تسویه نشده (کیلوگرم)],1):Main[[#This Row],[بدهی تسویه نشده (کیلوگرم)]])</f>
        <v>0</v>
      </c>
      <c r="AB1557" s="6">
        <f ca="1">IF(Main[[#This Row],[مانده در خط تسویه نشده (کیلوگرم)]]&lt;&gt;0,Main[[#This Row],[تعداد کل روزهای بدهکار (روز)]],0)</f>
        <v>0</v>
      </c>
      <c r="AC1557" s="6">
        <f ca="1">Main[[#This Row],[تعداد روزهای بدهکار  تسویه نشده (روز)]]*Main[[#This Row],[مانده در خط تسویه نشده (کیلوگرم)]]</f>
        <v>0</v>
      </c>
      <c r="AD1557" s="6">
        <f ca="1">SUBTOTAL(9,INDEX(Main[بدهی سررسید شده (کیلوگرم)],1):Main[[#This Row],[بدهی سررسید شده (کیلوگرم)]])</f>
        <v>0</v>
      </c>
      <c r="AE1557" s="6">
        <f ca="1">IF(Main[[#This Row],[مانده در خط سررسید شده (کیلوگرم)]]&lt;&gt;0,Main[[#This Row],[تعداد کل روزهای بدهکار (روز)]],0)</f>
        <v>0</v>
      </c>
      <c r="AF1557" s="6">
        <f ca="1">Main[[#This Row],[تعداد روزهای بدهکار سررسید شده (روز)]]*Main[[#This Row],[مانده در خط سررسید شده (کیلوگرم)]]</f>
        <v>0</v>
      </c>
    </row>
    <row r="1558" spans="1:32" hidden="1" x14ac:dyDescent="0.35">
      <c r="A1558" s="5">
        <f>ROW()-ROW(INDEX(Main[ردیف],1))+1</f>
        <v>1556</v>
      </c>
      <c r="B1558" s="31">
        <f>SUBTOTAL(2,INDEX(Main[ردیف],1):Main[[#This Row],[ردیف]])</f>
        <v>142</v>
      </c>
      <c r="C1558" s="32" t="s">
        <v>691</v>
      </c>
      <c r="D1558" s="32" t="str">
        <f>_xlfn.CONCAT("14",Main[[#This Row],[تاريخ]])</f>
        <v>1400/06/18</v>
      </c>
      <c r="E1558" s="33">
        <v>44448</v>
      </c>
      <c r="F1558" s="32">
        <v>30127</v>
      </c>
      <c r="G1558" s="5" t="str">
        <f>INDEX(customer[عنوان],MATCH(Main[[#This Row],[کد ردیابی]],customer[کد],0))</f>
        <v>شیر گاز آذران</v>
      </c>
      <c r="H1558">
        <v>-17444</v>
      </c>
      <c r="I1558" s="6">
        <f ca="1">-Main[[#This Row],[بدهی تسویه شده (کیلوگرم)]]+Main[[#This Row],[بستانکار (کیلوگرم)]]</f>
        <v>-17444</v>
      </c>
      <c r="J1558" s="6">
        <f>IF(Main[[#This Row],[مقدار (کیلوگرم)]]&gt;0,Main[[#This Row],[مقدار (کیلوگرم)]],0)</f>
        <v>0</v>
      </c>
      <c r="K1558" s="6">
        <f>-IF(Main[[#This Row],[مقدار (کیلوگرم)]]&lt;0,Main[[#This Row],[مقدار (کیلوگرم)]],0)</f>
        <v>17444</v>
      </c>
      <c r="L15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8" s="7">
        <f>-IF(AND(Main[[#This Row],[مقدار (کیلوگرم)]]&lt;0,Main[[#This Row],[تاريخ میلادی]]&gt;44276),Main[[#This Row],[مقدار (کیلوگرم)]],0)</f>
        <v>17444</v>
      </c>
      <c r="N1558" s="6">
        <f ca="1">Main[[#This Row],[بدهکار (کیلوگرم)]]-Main[[#This Row],[بدهی تسویه نشده (کیلوگرم)]]</f>
        <v>17444</v>
      </c>
      <c r="O1558" s="6">
        <f ca="1">Main[[#This Row],[تفکیک]]</f>
        <v>0</v>
      </c>
      <c r="P1558" s="6">
        <f ca="1">IF(Main[[#This Row],[تاخیر از سررسید]]&gt;0,Main[[#This Row],[بدهی تسویه نشده (کیلوگرم)]],0)</f>
        <v>0</v>
      </c>
      <c r="Q1558" s="6">
        <f ca="1">IF(Main[[#This Row],[بدهی تسویه نشده (کیلوگرم)]]&gt;0,'گزارش فردی'!$B$7-Main[[#This Row],[تاريخ میلادی]],0)</f>
        <v>0</v>
      </c>
      <c r="R1558" s="6">
        <f ca="1">IF(Main[[#This Row],[بدهی تسویه نشده (کیلوگرم)]]&gt;0,'گزارش فردی'!$B$7-Main[[#This Row],[تاريخ میلادی]]-'گزارش فردی'!$B$8,0)</f>
        <v>0</v>
      </c>
      <c r="S1558" s="6">
        <f ca="1">Main[[#This Row],[روز از ارسال سفارش]]*Main[[#This Row],[بدهی تسویه نشده (کیلوگرم)]]</f>
        <v>0</v>
      </c>
      <c r="T1558" s="6">
        <f ca="1">Main[[#This Row],[بدهی سررسید شده (کیلوگرم)]]*Main[[#This Row],[روز از ارسال سفارش]]</f>
        <v>0</v>
      </c>
      <c r="U1558" s="6">
        <f>-SUBTOTAL(9,INDEX(Main[مقدار (کیلوگرم)],1):Main[[#This Row],[مقدار (کیلوگرم)]])</f>
        <v>27880</v>
      </c>
      <c r="V15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58" s="6">
        <f>Main[[#This Row],[تعداد کل روزهای بدهکار (روز)]]*Main[[#This Row],[مانده در خط کل (کیلوگرم)]]</f>
        <v>55760</v>
      </c>
      <c r="X1558" s="6">
        <f ca="1">-SUBTOTAL(9,INDEX(Main[مقدار تسویه شده (کیلوگرم)],1):Main[[#This Row],[مقدار تسویه شده (کیلوگرم)]])</f>
        <v>27880</v>
      </c>
      <c r="Y1558" s="6">
        <f ca="1">IF(Main[[#This Row],[مانده در خط تسویه شده (کیلوگرم)]]&lt;&gt;0,Main[[#This Row],[تعداد کل روزهای بدهکار (روز)]],0)</f>
        <v>2</v>
      </c>
      <c r="Z1558" s="6">
        <f ca="1">Main[[#This Row],[تعداد روزهای بدهکار تسویه شده (روز)]]*Main[[#This Row],[مانده در خط تسویه شده (کیلوگرم)]]</f>
        <v>55760</v>
      </c>
      <c r="AA1558" s="6">
        <f ca="1">SUBTOTAL(9,INDEX(Main[بدهی تسویه نشده (کیلوگرم)],1):Main[[#This Row],[بدهی تسویه نشده (کیلوگرم)]])</f>
        <v>0</v>
      </c>
      <c r="AB1558" s="6">
        <f ca="1">IF(Main[[#This Row],[مانده در خط تسویه نشده (کیلوگرم)]]&lt;&gt;0,Main[[#This Row],[تعداد کل روزهای بدهکار (روز)]],0)</f>
        <v>0</v>
      </c>
      <c r="AC1558" s="6">
        <f ca="1">Main[[#This Row],[تعداد روزهای بدهکار  تسویه نشده (روز)]]*Main[[#This Row],[مانده در خط تسویه نشده (کیلوگرم)]]</f>
        <v>0</v>
      </c>
      <c r="AD1558" s="6">
        <f ca="1">SUBTOTAL(9,INDEX(Main[بدهی سررسید شده (کیلوگرم)],1):Main[[#This Row],[بدهی سررسید شده (کیلوگرم)]])</f>
        <v>0</v>
      </c>
      <c r="AE1558" s="6">
        <f ca="1">IF(Main[[#This Row],[مانده در خط سررسید شده (کیلوگرم)]]&lt;&gt;0,Main[[#This Row],[تعداد کل روزهای بدهکار (روز)]],0)</f>
        <v>0</v>
      </c>
      <c r="AF1558" s="6">
        <f ca="1">Main[[#This Row],[تعداد روزهای بدهکار سررسید شده (روز)]]*Main[[#This Row],[مانده در خط سررسید شده (کیلوگرم)]]</f>
        <v>0</v>
      </c>
    </row>
    <row r="1559" spans="1:32" hidden="1" x14ac:dyDescent="0.35">
      <c r="A1559" s="5">
        <f>ROW()-ROW(INDEX(Main[ردیف],1))+1</f>
        <v>1557</v>
      </c>
      <c r="B1559" s="31">
        <f>SUBTOTAL(2,INDEX(Main[ردیف],1):Main[[#This Row],[ردیف]])</f>
        <v>142</v>
      </c>
      <c r="C1559" s="32" t="s">
        <v>691</v>
      </c>
      <c r="D1559" s="32" t="str">
        <f>_xlfn.CONCAT("14",Main[[#This Row],[تاريخ]])</f>
        <v>1400/06/18</v>
      </c>
      <c r="E1559" s="33">
        <v>44448</v>
      </c>
      <c r="F1559" s="32">
        <v>10020</v>
      </c>
      <c r="G1559" s="5" t="str">
        <f>INDEX(customer[عنوان],MATCH(Main[[#This Row],[کد ردیابی]],customer[کد],0))</f>
        <v>فرزاد اسماعیل زاده</v>
      </c>
      <c r="H1559">
        <v>2618</v>
      </c>
      <c r="I1559" s="6">
        <f ca="1">-Main[[#This Row],[بدهی تسویه شده (کیلوگرم)]]+Main[[#This Row],[بستانکار (کیلوگرم)]]</f>
        <v>2618</v>
      </c>
      <c r="J1559" s="6">
        <f>IF(Main[[#This Row],[مقدار (کیلوگرم)]]&gt;0,Main[[#This Row],[مقدار (کیلوگرم)]],0)</f>
        <v>2618</v>
      </c>
      <c r="K1559" s="6">
        <f>-IF(Main[[#This Row],[مقدار (کیلوگرم)]]&lt;0,Main[[#This Row],[مقدار (کیلوگرم)]],0)</f>
        <v>0</v>
      </c>
      <c r="L15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9" s="7">
        <f>-IF(AND(Main[[#This Row],[مقدار (کیلوگرم)]]&lt;0,Main[[#This Row],[تاريخ میلادی]]&gt;44276),Main[[#This Row],[مقدار (کیلوگرم)]],0)</f>
        <v>0</v>
      </c>
      <c r="N1559" s="6">
        <f ca="1">Main[[#This Row],[بدهکار (کیلوگرم)]]-Main[[#This Row],[بدهی تسویه نشده (کیلوگرم)]]</f>
        <v>0</v>
      </c>
      <c r="O1559" s="6">
        <f ca="1">Main[[#This Row],[تفکیک]]</f>
        <v>0</v>
      </c>
      <c r="P1559" s="6">
        <f ca="1">IF(Main[[#This Row],[تاخیر از سررسید]]&gt;0,Main[[#This Row],[بدهی تسویه نشده (کیلوگرم)]],0)</f>
        <v>0</v>
      </c>
      <c r="Q1559" s="6">
        <f ca="1">IF(Main[[#This Row],[بدهی تسویه نشده (کیلوگرم)]]&gt;0,'گزارش فردی'!$B$7-Main[[#This Row],[تاريخ میلادی]],0)</f>
        <v>0</v>
      </c>
      <c r="R1559" s="6">
        <f ca="1">IF(Main[[#This Row],[بدهی تسویه نشده (کیلوگرم)]]&gt;0,'گزارش فردی'!$B$7-Main[[#This Row],[تاريخ میلادی]]-'گزارش فردی'!$B$8,0)</f>
        <v>0</v>
      </c>
      <c r="S1559" s="6">
        <f ca="1">Main[[#This Row],[روز از ارسال سفارش]]*Main[[#This Row],[بدهی تسویه نشده (کیلوگرم)]]</f>
        <v>0</v>
      </c>
      <c r="T1559" s="6">
        <f ca="1">Main[[#This Row],[بدهی سررسید شده (کیلوگرم)]]*Main[[#This Row],[روز از ارسال سفارش]]</f>
        <v>0</v>
      </c>
      <c r="U1559" s="6">
        <f>-SUBTOTAL(9,INDEX(Main[مقدار (کیلوگرم)],1):Main[[#This Row],[مقدار (کیلوگرم)]])</f>
        <v>27880</v>
      </c>
      <c r="V15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59" s="6">
        <f>Main[[#This Row],[تعداد کل روزهای بدهکار (روز)]]*Main[[#This Row],[مانده در خط کل (کیلوگرم)]]</f>
        <v>55760</v>
      </c>
      <c r="X1559" s="6">
        <f ca="1">-SUBTOTAL(9,INDEX(Main[مقدار تسویه شده (کیلوگرم)],1):Main[[#This Row],[مقدار تسویه شده (کیلوگرم)]])</f>
        <v>27880</v>
      </c>
      <c r="Y1559" s="6">
        <f ca="1">IF(Main[[#This Row],[مانده در خط تسویه شده (کیلوگرم)]]&lt;&gt;0,Main[[#This Row],[تعداد کل روزهای بدهکار (روز)]],0)</f>
        <v>2</v>
      </c>
      <c r="Z1559" s="6">
        <f ca="1">Main[[#This Row],[تعداد روزهای بدهکار تسویه شده (روز)]]*Main[[#This Row],[مانده در خط تسویه شده (کیلوگرم)]]</f>
        <v>55760</v>
      </c>
      <c r="AA1559" s="6">
        <f ca="1">SUBTOTAL(9,INDEX(Main[بدهی تسویه نشده (کیلوگرم)],1):Main[[#This Row],[بدهی تسویه نشده (کیلوگرم)]])</f>
        <v>0</v>
      </c>
      <c r="AB1559" s="6">
        <f ca="1">IF(Main[[#This Row],[مانده در خط تسویه نشده (کیلوگرم)]]&lt;&gt;0,Main[[#This Row],[تعداد کل روزهای بدهکار (روز)]],0)</f>
        <v>0</v>
      </c>
      <c r="AC1559" s="6">
        <f ca="1">Main[[#This Row],[تعداد روزهای بدهکار  تسویه نشده (روز)]]*Main[[#This Row],[مانده در خط تسویه نشده (کیلوگرم)]]</f>
        <v>0</v>
      </c>
      <c r="AD1559" s="6">
        <f ca="1">SUBTOTAL(9,INDEX(Main[بدهی سررسید شده (کیلوگرم)],1):Main[[#This Row],[بدهی سررسید شده (کیلوگرم)]])</f>
        <v>0</v>
      </c>
      <c r="AE1559" s="6">
        <f ca="1">IF(Main[[#This Row],[مانده در خط سررسید شده (کیلوگرم)]]&lt;&gt;0,Main[[#This Row],[تعداد کل روزهای بدهکار (روز)]],0)</f>
        <v>0</v>
      </c>
      <c r="AF1559" s="6">
        <f ca="1">Main[[#This Row],[تعداد روزهای بدهکار سررسید شده (روز)]]*Main[[#This Row],[مانده در خط سررسید شده (کیلوگرم)]]</f>
        <v>0</v>
      </c>
    </row>
    <row r="1560" spans="1:32" hidden="1" x14ac:dyDescent="0.35">
      <c r="A1560" s="5">
        <f>ROW()-ROW(INDEX(Main[ردیف],1))+1</f>
        <v>1558</v>
      </c>
      <c r="B1560" s="31">
        <f>SUBTOTAL(2,INDEX(Main[ردیف],1):Main[[#This Row],[ردیف]])</f>
        <v>142</v>
      </c>
      <c r="C1560" s="32" t="s">
        <v>691</v>
      </c>
      <c r="D1560" s="32" t="str">
        <f>_xlfn.CONCAT("14",Main[[#This Row],[تاريخ]])</f>
        <v>1400/06/18</v>
      </c>
      <c r="E1560" s="33">
        <v>44448</v>
      </c>
      <c r="F1560" s="32">
        <v>10127</v>
      </c>
      <c r="G1560" s="5" t="str">
        <f>INDEX(customer[عنوان],MATCH(Main[[#This Row],[کد ردیابی]],customer[کد],0))</f>
        <v xml:space="preserve">عماد هاشمی </v>
      </c>
      <c r="H1560">
        <v>-2005</v>
      </c>
      <c r="I1560" s="6">
        <f ca="1">-Main[[#This Row],[بدهی تسویه شده (کیلوگرم)]]+Main[[#This Row],[بستانکار (کیلوگرم)]]</f>
        <v>-2005</v>
      </c>
      <c r="J1560" s="6">
        <f>IF(Main[[#This Row],[مقدار (کیلوگرم)]]&gt;0,Main[[#This Row],[مقدار (کیلوگرم)]],0)</f>
        <v>0</v>
      </c>
      <c r="K1560" s="6">
        <f>-IF(Main[[#This Row],[مقدار (کیلوگرم)]]&lt;0,Main[[#This Row],[مقدار (کیلوگرم)]],0)</f>
        <v>2005</v>
      </c>
      <c r="L15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0" s="7">
        <f>-IF(AND(Main[[#This Row],[مقدار (کیلوگرم)]]&lt;0,Main[[#This Row],[تاريخ میلادی]]&gt;44276),Main[[#This Row],[مقدار (کیلوگرم)]],0)</f>
        <v>2005</v>
      </c>
      <c r="N1560" s="6">
        <f ca="1">Main[[#This Row],[بدهکار (کیلوگرم)]]-Main[[#This Row],[بدهی تسویه نشده (کیلوگرم)]]</f>
        <v>2005</v>
      </c>
      <c r="O1560" s="6">
        <f ca="1">Main[[#This Row],[تفکیک]]</f>
        <v>0</v>
      </c>
      <c r="P1560" s="6">
        <f ca="1">IF(Main[[#This Row],[تاخیر از سررسید]]&gt;0,Main[[#This Row],[بدهی تسویه نشده (کیلوگرم)]],0)</f>
        <v>0</v>
      </c>
      <c r="Q1560" s="6">
        <f ca="1">IF(Main[[#This Row],[بدهی تسویه نشده (کیلوگرم)]]&gt;0,'گزارش فردی'!$B$7-Main[[#This Row],[تاريخ میلادی]],0)</f>
        <v>0</v>
      </c>
      <c r="R1560" s="6">
        <f ca="1">IF(Main[[#This Row],[بدهی تسویه نشده (کیلوگرم)]]&gt;0,'گزارش فردی'!$B$7-Main[[#This Row],[تاريخ میلادی]]-'گزارش فردی'!$B$8,0)</f>
        <v>0</v>
      </c>
      <c r="S1560" s="6">
        <f ca="1">Main[[#This Row],[روز از ارسال سفارش]]*Main[[#This Row],[بدهی تسویه نشده (کیلوگرم)]]</f>
        <v>0</v>
      </c>
      <c r="T1560" s="6">
        <f ca="1">Main[[#This Row],[بدهی سررسید شده (کیلوگرم)]]*Main[[#This Row],[روز از ارسال سفارش]]</f>
        <v>0</v>
      </c>
      <c r="U1560" s="6">
        <f>-SUBTOTAL(9,INDEX(Main[مقدار (کیلوگرم)],1):Main[[#This Row],[مقدار (کیلوگرم)]])</f>
        <v>27880</v>
      </c>
      <c r="V156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0" s="6">
        <f>Main[[#This Row],[تعداد کل روزهای بدهکار (روز)]]*Main[[#This Row],[مانده در خط کل (کیلوگرم)]]</f>
        <v>55760</v>
      </c>
      <c r="X1560" s="6">
        <f ca="1">-SUBTOTAL(9,INDEX(Main[مقدار تسویه شده (کیلوگرم)],1):Main[[#This Row],[مقدار تسویه شده (کیلوگرم)]])</f>
        <v>27880</v>
      </c>
      <c r="Y1560" s="6">
        <f ca="1">IF(Main[[#This Row],[مانده در خط تسویه شده (کیلوگرم)]]&lt;&gt;0,Main[[#This Row],[تعداد کل روزهای بدهکار (روز)]],0)</f>
        <v>2</v>
      </c>
      <c r="Z1560" s="6">
        <f ca="1">Main[[#This Row],[تعداد روزهای بدهکار تسویه شده (روز)]]*Main[[#This Row],[مانده در خط تسویه شده (کیلوگرم)]]</f>
        <v>55760</v>
      </c>
      <c r="AA1560" s="6">
        <f ca="1">SUBTOTAL(9,INDEX(Main[بدهی تسویه نشده (کیلوگرم)],1):Main[[#This Row],[بدهی تسویه نشده (کیلوگرم)]])</f>
        <v>0</v>
      </c>
      <c r="AB1560" s="6">
        <f ca="1">IF(Main[[#This Row],[مانده در خط تسویه نشده (کیلوگرم)]]&lt;&gt;0,Main[[#This Row],[تعداد کل روزهای بدهکار (روز)]],0)</f>
        <v>0</v>
      </c>
      <c r="AC1560" s="6">
        <f ca="1">Main[[#This Row],[تعداد روزهای بدهکار  تسویه نشده (روز)]]*Main[[#This Row],[مانده در خط تسویه نشده (کیلوگرم)]]</f>
        <v>0</v>
      </c>
      <c r="AD1560" s="6">
        <f ca="1">SUBTOTAL(9,INDEX(Main[بدهی سررسید شده (کیلوگرم)],1):Main[[#This Row],[بدهی سررسید شده (کیلوگرم)]])</f>
        <v>0</v>
      </c>
      <c r="AE1560" s="6">
        <f ca="1">IF(Main[[#This Row],[مانده در خط سررسید شده (کیلوگرم)]]&lt;&gt;0,Main[[#This Row],[تعداد کل روزهای بدهکار (روز)]],0)</f>
        <v>0</v>
      </c>
      <c r="AF1560" s="6">
        <f ca="1">Main[[#This Row],[تعداد روزهای بدهکار سررسید شده (روز)]]*Main[[#This Row],[مانده در خط سررسید شده (کیلوگرم)]]</f>
        <v>0</v>
      </c>
    </row>
    <row r="1561" spans="1:32" hidden="1" x14ac:dyDescent="0.35">
      <c r="A1561" s="5">
        <f>ROW()-ROW(INDEX(Main[ردیف],1))+1</f>
        <v>1559</v>
      </c>
      <c r="B1561" s="31">
        <f>SUBTOTAL(2,INDEX(Main[ردیف],1):Main[[#This Row],[ردیف]])</f>
        <v>142</v>
      </c>
      <c r="C1561" s="32" t="s">
        <v>691</v>
      </c>
      <c r="D1561" s="32" t="str">
        <f>_xlfn.CONCAT("14",Main[[#This Row],[تاريخ]])</f>
        <v>1400/06/18</v>
      </c>
      <c r="E1561" s="33">
        <v>44448</v>
      </c>
      <c r="F1561" s="32">
        <v>30190</v>
      </c>
      <c r="G1561" s="5" t="str">
        <f>INDEX(customer[عنوان],MATCH(Main[[#This Row],[کد ردیابی]],customer[کد],0))</f>
        <v>ایران طلق</v>
      </c>
      <c r="H1561">
        <v>2761</v>
      </c>
      <c r="I1561" s="6">
        <f ca="1">-Main[[#This Row],[بدهی تسویه شده (کیلوگرم)]]+Main[[#This Row],[بستانکار (کیلوگرم)]]</f>
        <v>2761</v>
      </c>
      <c r="J1561" s="6">
        <f>IF(Main[[#This Row],[مقدار (کیلوگرم)]]&gt;0,Main[[#This Row],[مقدار (کیلوگرم)]],0)</f>
        <v>2761</v>
      </c>
      <c r="K1561" s="6">
        <f>-IF(Main[[#This Row],[مقدار (کیلوگرم)]]&lt;0,Main[[#This Row],[مقدار (کیلوگرم)]],0)</f>
        <v>0</v>
      </c>
      <c r="L15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1" s="7">
        <f>-IF(AND(Main[[#This Row],[مقدار (کیلوگرم)]]&lt;0,Main[[#This Row],[تاريخ میلادی]]&gt;44276),Main[[#This Row],[مقدار (کیلوگرم)]],0)</f>
        <v>0</v>
      </c>
      <c r="N1561" s="6">
        <f ca="1">Main[[#This Row],[بدهکار (کیلوگرم)]]-Main[[#This Row],[بدهی تسویه نشده (کیلوگرم)]]</f>
        <v>0</v>
      </c>
      <c r="O1561" s="6">
        <f ca="1">Main[[#This Row],[تفکیک]]</f>
        <v>0</v>
      </c>
      <c r="P1561" s="6">
        <f ca="1">IF(Main[[#This Row],[تاخیر از سررسید]]&gt;0,Main[[#This Row],[بدهی تسویه نشده (کیلوگرم)]],0)</f>
        <v>0</v>
      </c>
      <c r="Q1561" s="6">
        <f ca="1">IF(Main[[#This Row],[بدهی تسویه نشده (کیلوگرم)]]&gt;0,'گزارش فردی'!$B$7-Main[[#This Row],[تاريخ میلادی]],0)</f>
        <v>0</v>
      </c>
      <c r="R1561" s="6">
        <f ca="1">IF(Main[[#This Row],[بدهی تسویه نشده (کیلوگرم)]]&gt;0,'گزارش فردی'!$B$7-Main[[#This Row],[تاريخ میلادی]]-'گزارش فردی'!$B$8,0)</f>
        <v>0</v>
      </c>
      <c r="S1561" s="6">
        <f ca="1">Main[[#This Row],[روز از ارسال سفارش]]*Main[[#This Row],[بدهی تسویه نشده (کیلوگرم)]]</f>
        <v>0</v>
      </c>
      <c r="T1561" s="6">
        <f ca="1">Main[[#This Row],[بدهی سررسید شده (کیلوگرم)]]*Main[[#This Row],[روز از ارسال سفارش]]</f>
        <v>0</v>
      </c>
      <c r="U1561" s="6">
        <f>-SUBTOTAL(9,INDEX(Main[مقدار (کیلوگرم)],1):Main[[#This Row],[مقدار (کیلوگرم)]])</f>
        <v>27880</v>
      </c>
      <c r="V156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1" s="6">
        <f>Main[[#This Row],[تعداد کل روزهای بدهکار (روز)]]*Main[[#This Row],[مانده در خط کل (کیلوگرم)]]</f>
        <v>55760</v>
      </c>
      <c r="X1561" s="6">
        <f ca="1">-SUBTOTAL(9,INDEX(Main[مقدار تسویه شده (کیلوگرم)],1):Main[[#This Row],[مقدار تسویه شده (کیلوگرم)]])</f>
        <v>27880</v>
      </c>
      <c r="Y1561" s="6">
        <f ca="1">IF(Main[[#This Row],[مانده در خط تسویه شده (کیلوگرم)]]&lt;&gt;0,Main[[#This Row],[تعداد کل روزهای بدهکار (روز)]],0)</f>
        <v>2</v>
      </c>
      <c r="Z1561" s="6">
        <f ca="1">Main[[#This Row],[تعداد روزهای بدهکار تسویه شده (روز)]]*Main[[#This Row],[مانده در خط تسویه شده (کیلوگرم)]]</f>
        <v>55760</v>
      </c>
      <c r="AA1561" s="6">
        <f ca="1">SUBTOTAL(9,INDEX(Main[بدهی تسویه نشده (کیلوگرم)],1):Main[[#This Row],[بدهی تسویه نشده (کیلوگرم)]])</f>
        <v>0</v>
      </c>
      <c r="AB1561" s="6">
        <f ca="1">IF(Main[[#This Row],[مانده در خط تسویه نشده (کیلوگرم)]]&lt;&gt;0,Main[[#This Row],[تعداد کل روزهای بدهکار (روز)]],0)</f>
        <v>0</v>
      </c>
      <c r="AC1561" s="6">
        <f ca="1">Main[[#This Row],[تعداد روزهای بدهکار  تسویه نشده (روز)]]*Main[[#This Row],[مانده در خط تسویه نشده (کیلوگرم)]]</f>
        <v>0</v>
      </c>
      <c r="AD1561" s="6">
        <f ca="1">SUBTOTAL(9,INDEX(Main[بدهی سررسید شده (کیلوگرم)],1):Main[[#This Row],[بدهی سررسید شده (کیلوگرم)]])</f>
        <v>0</v>
      </c>
      <c r="AE1561" s="6">
        <f ca="1">IF(Main[[#This Row],[مانده در خط سررسید شده (کیلوگرم)]]&lt;&gt;0,Main[[#This Row],[تعداد کل روزهای بدهکار (روز)]],0)</f>
        <v>0</v>
      </c>
      <c r="AF1561" s="6">
        <f ca="1">Main[[#This Row],[تعداد روزهای بدهکار سررسید شده (روز)]]*Main[[#This Row],[مانده در خط سررسید شده (کیلوگرم)]]</f>
        <v>0</v>
      </c>
    </row>
    <row r="1562" spans="1:32" hidden="1" x14ac:dyDescent="0.35">
      <c r="A1562" s="5">
        <f>ROW()-ROW(INDEX(Main[ردیف],1))+1</f>
        <v>1560</v>
      </c>
      <c r="B1562" s="31">
        <f>SUBTOTAL(2,INDEX(Main[ردیف],1):Main[[#This Row],[ردیف]])</f>
        <v>142</v>
      </c>
      <c r="C1562" s="32" t="s">
        <v>691</v>
      </c>
      <c r="D1562" s="32" t="str">
        <f>_xlfn.CONCAT("14",Main[[#This Row],[تاريخ]])</f>
        <v>1400/06/18</v>
      </c>
      <c r="E1562" s="33">
        <v>44448</v>
      </c>
      <c r="F1562" s="32">
        <v>10127</v>
      </c>
      <c r="G1562" s="5" t="str">
        <f>INDEX(customer[عنوان],MATCH(Main[[#This Row],[کد ردیابی]],customer[کد],0))</f>
        <v xml:space="preserve">عماد هاشمی </v>
      </c>
      <c r="H1562">
        <v>-2761</v>
      </c>
      <c r="I1562" s="6">
        <f ca="1">-Main[[#This Row],[بدهی تسویه شده (کیلوگرم)]]+Main[[#This Row],[بستانکار (کیلوگرم)]]</f>
        <v>-2761</v>
      </c>
      <c r="J1562" s="6">
        <f>IF(Main[[#This Row],[مقدار (کیلوگرم)]]&gt;0,Main[[#This Row],[مقدار (کیلوگرم)]],0)</f>
        <v>0</v>
      </c>
      <c r="K1562" s="6">
        <f>-IF(Main[[#This Row],[مقدار (کیلوگرم)]]&lt;0,Main[[#This Row],[مقدار (کیلوگرم)]],0)</f>
        <v>2761</v>
      </c>
      <c r="L15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2" s="7">
        <f>-IF(AND(Main[[#This Row],[مقدار (کیلوگرم)]]&lt;0,Main[[#This Row],[تاريخ میلادی]]&gt;44276),Main[[#This Row],[مقدار (کیلوگرم)]],0)</f>
        <v>2761</v>
      </c>
      <c r="N1562" s="6">
        <f ca="1">Main[[#This Row],[بدهکار (کیلوگرم)]]-Main[[#This Row],[بدهی تسویه نشده (کیلوگرم)]]</f>
        <v>2761</v>
      </c>
      <c r="O1562" s="6">
        <f ca="1">Main[[#This Row],[تفکیک]]</f>
        <v>0</v>
      </c>
      <c r="P1562" s="6">
        <f ca="1">IF(Main[[#This Row],[تاخیر از سررسید]]&gt;0,Main[[#This Row],[بدهی تسویه نشده (کیلوگرم)]],0)</f>
        <v>0</v>
      </c>
      <c r="Q1562" s="6">
        <f ca="1">IF(Main[[#This Row],[بدهی تسویه نشده (کیلوگرم)]]&gt;0,'گزارش فردی'!$B$7-Main[[#This Row],[تاريخ میلادی]],0)</f>
        <v>0</v>
      </c>
      <c r="R1562" s="6">
        <f ca="1">IF(Main[[#This Row],[بدهی تسویه نشده (کیلوگرم)]]&gt;0,'گزارش فردی'!$B$7-Main[[#This Row],[تاريخ میلادی]]-'گزارش فردی'!$B$8,0)</f>
        <v>0</v>
      </c>
      <c r="S1562" s="6">
        <f ca="1">Main[[#This Row],[روز از ارسال سفارش]]*Main[[#This Row],[بدهی تسویه نشده (کیلوگرم)]]</f>
        <v>0</v>
      </c>
      <c r="T1562" s="6">
        <f ca="1">Main[[#This Row],[بدهی سررسید شده (کیلوگرم)]]*Main[[#This Row],[روز از ارسال سفارش]]</f>
        <v>0</v>
      </c>
      <c r="U1562" s="6">
        <f>-SUBTOTAL(9,INDEX(Main[مقدار (کیلوگرم)],1):Main[[#This Row],[مقدار (کیلوگرم)]])</f>
        <v>27880</v>
      </c>
      <c r="V156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2" s="6">
        <f>Main[[#This Row],[تعداد کل روزهای بدهکار (روز)]]*Main[[#This Row],[مانده در خط کل (کیلوگرم)]]</f>
        <v>55760</v>
      </c>
      <c r="X1562" s="6">
        <f ca="1">-SUBTOTAL(9,INDEX(Main[مقدار تسویه شده (کیلوگرم)],1):Main[[#This Row],[مقدار تسویه شده (کیلوگرم)]])</f>
        <v>27880</v>
      </c>
      <c r="Y1562" s="6">
        <f ca="1">IF(Main[[#This Row],[مانده در خط تسویه شده (کیلوگرم)]]&lt;&gt;0,Main[[#This Row],[تعداد کل روزهای بدهکار (روز)]],0)</f>
        <v>2</v>
      </c>
      <c r="Z1562" s="6">
        <f ca="1">Main[[#This Row],[تعداد روزهای بدهکار تسویه شده (روز)]]*Main[[#This Row],[مانده در خط تسویه شده (کیلوگرم)]]</f>
        <v>55760</v>
      </c>
      <c r="AA1562" s="6">
        <f ca="1">SUBTOTAL(9,INDEX(Main[بدهی تسویه نشده (کیلوگرم)],1):Main[[#This Row],[بدهی تسویه نشده (کیلوگرم)]])</f>
        <v>0</v>
      </c>
      <c r="AB1562" s="6">
        <f ca="1">IF(Main[[#This Row],[مانده در خط تسویه نشده (کیلوگرم)]]&lt;&gt;0,Main[[#This Row],[تعداد کل روزهای بدهکار (روز)]],0)</f>
        <v>0</v>
      </c>
      <c r="AC1562" s="6">
        <f ca="1">Main[[#This Row],[تعداد روزهای بدهکار  تسویه نشده (روز)]]*Main[[#This Row],[مانده در خط تسویه نشده (کیلوگرم)]]</f>
        <v>0</v>
      </c>
      <c r="AD1562" s="6">
        <f ca="1">SUBTOTAL(9,INDEX(Main[بدهی سررسید شده (کیلوگرم)],1):Main[[#This Row],[بدهی سررسید شده (کیلوگرم)]])</f>
        <v>0</v>
      </c>
      <c r="AE1562" s="6">
        <f ca="1">IF(Main[[#This Row],[مانده در خط سررسید شده (کیلوگرم)]]&lt;&gt;0,Main[[#This Row],[تعداد کل روزهای بدهکار (روز)]],0)</f>
        <v>0</v>
      </c>
      <c r="AF1562" s="6">
        <f ca="1">Main[[#This Row],[تعداد روزهای بدهکار سررسید شده (روز)]]*Main[[#This Row],[مانده در خط سررسید شده (کیلوگرم)]]</f>
        <v>0</v>
      </c>
    </row>
    <row r="1563" spans="1:32" hidden="1" x14ac:dyDescent="0.35">
      <c r="A1563" s="5">
        <f>ROW()-ROW(INDEX(Main[ردیف],1))+1</f>
        <v>1561</v>
      </c>
      <c r="B1563" s="31">
        <f>SUBTOTAL(2,INDEX(Main[ردیف],1):Main[[#This Row],[ردیف]])</f>
        <v>142</v>
      </c>
      <c r="C1563" s="32" t="s">
        <v>691</v>
      </c>
      <c r="D1563" s="32" t="str">
        <f>_xlfn.CONCAT("14",Main[[#This Row],[تاريخ]])</f>
        <v>1400/06/18</v>
      </c>
      <c r="E1563" s="33">
        <v>44448</v>
      </c>
      <c r="F1563" s="32">
        <v>10127</v>
      </c>
      <c r="G1563" s="5" t="str">
        <f>INDEX(customer[عنوان],MATCH(Main[[#This Row],[کد ردیابی]],customer[کد],0))</f>
        <v xml:space="preserve">عماد هاشمی </v>
      </c>
      <c r="H1563">
        <v>1218</v>
      </c>
      <c r="I1563" s="6">
        <f ca="1">-Main[[#This Row],[بدهی تسویه شده (کیلوگرم)]]+Main[[#This Row],[بستانکار (کیلوگرم)]]</f>
        <v>1218</v>
      </c>
      <c r="J1563" s="6">
        <f>IF(Main[[#This Row],[مقدار (کیلوگرم)]]&gt;0,Main[[#This Row],[مقدار (کیلوگرم)]],0)</f>
        <v>1218</v>
      </c>
      <c r="K1563" s="6">
        <f>-IF(Main[[#This Row],[مقدار (کیلوگرم)]]&lt;0,Main[[#This Row],[مقدار (کیلوگرم)]],0)</f>
        <v>0</v>
      </c>
      <c r="L15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3" s="7">
        <f>-IF(AND(Main[[#This Row],[مقدار (کیلوگرم)]]&lt;0,Main[[#This Row],[تاريخ میلادی]]&gt;44276),Main[[#This Row],[مقدار (کیلوگرم)]],0)</f>
        <v>0</v>
      </c>
      <c r="N1563" s="6">
        <f ca="1">Main[[#This Row],[بدهکار (کیلوگرم)]]-Main[[#This Row],[بدهی تسویه نشده (کیلوگرم)]]</f>
        <v>0</v>
      </c>
      <c r="O1563" s="6">
        <f ca="1">Main[[#This Row],[تفکیک]]</f>
        <v>0</v>
      </c>
      <c r="P1563" s="6">
        <f ca="1">IF(Main[[#This Row],[تاخیر از سررسید]]&gt;0,Main[[#This Row],[بدهی تسویه نشده (کیلوگرم)]],0)</f>
        <v>0</v>
      </c>
      <c r="Q1563" s="6">
        <f ca="1">IF(Main[[#This Row],[بدهی تسویه نشده (کیلوگرم)]]&gt;0,'گزارش فردی'!$B$7-Main[[#This Row],[تاريخ میلادی]],0)</f>
        <v>0</v>
      </c>
      <c r="R1563" s="6">
        <f ca="1">IF(Main[[#This Row],[بدهی تسویه نشده (کیلوگرم)]]&gt;0,'گزارش فردی'!$B$7-Main[[#This Row],[تاريخ میلادی]]-'گزارش فردی'!$B$8,0)</f>
        <v>0</v>
      </c>
      <c r="S1563" s="6">
        <f ca="1">Main[[#This Row],[روز از ارسال سفارش]]*Main[[#This Row],[بدهی تسویه نشده (کیلوگرم)]]</f>
        <v>0</v>
      </c>
      <c r="T1563" s="6">
        <f ca="1">Main[[#This Row],[بدهی سررسید شده (کیلوگرم)]]*Main[[#This Row],[روز از ارسال سفارش]]</f>
        <v>0</v>
      </c>
      <c r="U1563" s="6">
        <f>-SUBTOTAL(9,INDEX(Main[مقدار (کیلوگرم)],1):Main[[#This Row],[مقدار (کیلوگرم)]])</f>
        <v>27880</v>
      </c>
      <c r="V15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3" s="6">
        <f>Main[[#This Row],[تعداد کل روزهای بدهکار (روز)]]*Main[[#This Row],[مانده در خط کل (کیلوگرم)]]</f>
        <v>55760</v>
      </c>
      <c r="X1563" s="6">
        <f ca="1">-SUBTOTAL(9,INDEX(Main[مقدار تسویه شده (کیلوگرم)],1):Main[[#This Row],[مقدار تسویه شده (کیلوگرم)]])</f>
        <v>27880</v>
      </c>
      <c r="Y1563" s="6">
        <f ca="1">IF(Main[[#This Row],[مانده در خط تسویه شده (کیلوگرم)]]&lt;&gt;0,Main[[#This Row],[تعداد کل روزهای بدهکار (روز)]],0)</f>
        <v>2</v>
      </c>
      <c r="Z1563" s="6">
        <f ca="1">Main[[#This Row],[تعداد روزهای بدهکار تسویه شده (روز)]]*Main[[#This Row],[مانده در خط تسویه شده (کیلوگرم)]]</f>
        <v>55760</v>
      </c>
      <c r="AA1563" s="6">
        <f ca="1">SUBTOTAL(9,INDEX(Main[بدهی تسویه نشده (کیلوگرم)],1):Main[[#This Row],[بدهی تسویه نشده (کیلوگرم)]])</f>
        <v>0</v>
      </c>
      <c r="AB1563" s="6">
        <f ca="1">IF(Main[[#This Row],[مانده در خط تسویه نشده (کیلوگرم)]]&lt;&gt;0,Main[[#This Row],[تعداد کل روزهای بدهکار (روز)]],0)</f>
        <v>0</v>
      </c>
      <c r="AC1563" s="6">
        <f ca="1">Main[[#This Row],[تعداد روزهای بدهکار  تسویه نشده (روز)]]*Main[[#This Row],[مانده در خط تسویه نشده (کیلوگرم)]]</f>
        <v>0</v>
      </c>
      <c r="AD1563" s="6">
        <f ca="1">SUBTOTAL(9,INDEX(Main[بدهی سررسید شده (کیلوگرم)],1):Main[[#This Row],[بدهی سررسید شده (کیلوگرم)]])</f>
        <v>0</v>
      </c>
      <c r="AE1563" s="6">
        <f ca="1">IF(Main[[#This Row],[مانده در خط سررسید شده (کیلوگرم)]]&lt;&gt;0,Main[[#This Row],[تعداد کل روزهای بدهکار (روز)]],0)</f>
        <v>0</v>
      </c>
      <c r="AF1563" s="6">
        <f ca="1">Main[[#This Row],[تعداد روزهای بدهکار سررسید شده (روز)]]*Main[[#This Row],[مانده در خط سررسید شده (کیلوگرم)]]</f>
        <v>0</v>
      </c>
    </row>
    <row r="1564" spans="1:32" hidden="1" x14ac:dyDescent="0.35">
      <c r="A1564" s="5">
        <f>ROW()-ROW(INDEX(Main[ردیف],1))+1</f>
        <v>1562</v>
      </c>
      <c r="B1564" s="31">
        <f>SUBTOTAL(2,INDEX(Main[ردیف],1):Main[[#This Row],[ردیف]])</f>
        <v>142</v>
      </c>
      <c r="C1564" s="32" t="s">
        <v>691</v>
      </c>
      <c r="D1564" s="32" t="str">
        <f>_xlfn.CONCAT("14",Main[[#This Row],[تاريخ]])</f>
        <v>1400/06/18</v>
      </c>
      <c r="E1564" s="33">
        <v>44448</v>
      </c>
      <c r="F1564" s="32">
        <v>10127</v>
      </c>
      <c r="G1564" s="5" t="str">
        <f>INDEX(customer[عنوان],MATCH(Main[[#This Row],[کد ردیابی]],customer[کد],0))</f>
        <v xml:space="preserve">عماد هاشمی </v>
      </c>
      <c r="H1564">
        <v>298</v>
      </c>
      <c r="I1564" s="6">
        <f ca="1">-Main[[#This Row],[بدهی تسویه شده (کیلوگرم)]]+Main[[#This Row],[بستانکار (کیلوگرم)]]</f>
        <v>298</v>
      </c>
      <c r="J1564" s="6">
        <f>IF(Main[[#This Row],[مقدار (کیلوگرم)]]&gt;0,Main[[#This Row],[مقدار (کیلوگرم)]],0)</f>
        <v>298</v>
      </c>
      <c r="K1564" s="6">
        <f>-IF(Main[[#This Row],[مقدار (کیلوگرم)]]&lt;0,Main[[#This Row],[مقدار (کیلوگرم)]],0)</f>
        <v>0</v>
      </c>
      <c r="L15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4" s="7">
        <f>-IF(AND(Main[[#This Row],[مقدار (کیلوگرم)]]&lt;0,Main[[#This Row],[تاريخ میلادی]]&gt;44276),Main[[#This Row],[مقدار (کیلوگرم)]],0)</f>
        <v>0</v>
      </c>
      <c r="N1564" s="6">
        <f ca="1">Main[[#This Row],[بدهکار (کیلوگرم)]]-Main[[#This Row],[بدهی تسویه نشده (کیلوگرم)]]</f>
        <v>0</v>
      </c>
      <c r="O1564" s="6">
        <f ca="1">Main[[#This Row],[تفکیک]]</f>
        <v>0</v>
      </c>
      <c r="P1564" s="6">
        <f ca="1">IF(Main[[#This Row],[تاخیر از سررسید]]&gt;0,Main[[#This Row],[بدهی تسویه نشده (کیلوگرم)]],0)</f>
        <v>0</v>
      </c>
      <c r="Q1564" s="6">
        <f ca="1">IF(Main[[#This Row],[بدهی تسویه نشده (کیلوگرم)]]&gt;0,'گزارش فردی'!$B$7-Main[[#This Row],[تاريخ میلادی]],0)</f>
        <v>0</v>
      </c>
      <c r="R1564" s="6">
        <f ca="1">IF(Main[[#This Row],[بدهی تسویه نشده (کیلوگرم)]]&gt;0,'گزارش فردی'!$B$7-Main[[#This Row],[تاريخ میلادی]]-'گزارش فردی'!$B$8,0)</f>
        <v>0</v>
      </c>
      <c r="S1564" s="6">
        <f ca="1">Main[[#This Row],[روز از ارسال سفارش]]*Main[[#This Row],[بدهی تسویه نشده (کیلوگرم)]]</f>
        <v>0</v>
      </c>
      <c r="T1564" s="6">
        <f ca="1">Main[[#This Row],[بدهی سررسید شده (کیلوگرم)]]*Main[[#This Row],[روز از ارسال سفارش]]</f>
        <v>0</v>
      </c>
      <c r="U1564" s="6">
        <f>-SUBTOTAL(9,INDEX(Main[مقدار (کیلوگرم)],1):Main[[#This Row],[مقدار (کیلوگرم)]])</f>
        <v>27880</v>
      </c>
      <c r="V15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4" s="6">
        <f>Main[[#This Row],[تعداد کل روزهای بدهکار (روز)]]*Main[[#This Row],[مانده در خط کل (کیلوگرم)]]</f>
        <v>55760</v>
      </c>
      <c r="X1564" s="6">
        <f ca="1">-SUBTOTAL(9,INDEX(Main[مقدار تسویه شده (کیلوگرم)],1):Main[[#This Row],[مقدار تسویه شده (کیلوگرم)]])</f>
        <v>27880</v>
      </c>
      <c r="Y1564" s="6">
        <f ca="1">IF(Main[[#This Row],[مانده در خط تسویه شده (کیلوگرم)]]&lt;&gt;0,Main[[#This Row],[تعداد کل روزهای بدهکار (روز)]],0)</f>
        <v>2</v>
      </c>
      <c r="Z1564" s="6">
        <f ca="1">Main[[#This Row],[تعداد روزهای بدهکار تسویه شده (روز)]]*Main[[#This Row],[مانده در خط تسویه شده (کیلوگرم)]]</f>
        <v>55760</v>
      </c>
      <c r="AA1564" s="6">
        <f ca="1">SUBTOTAL(9,INDEX(Main[بدهی تسویه نشده (کیلوگرم)],1):Main[[#This Row],[بدهی تسویه نشده (کیلوگرم)]])</f>
        <v>0</v>
      </c>
      <c r="AB1564" s="6">
        <f ca="1">IF(Main[[#This Row],[مانده در خط تسویه نشده (کیلوگرم)]]&lt;&gt;0,Main[[#This Row],[تعداد کل روزهای بدهکار (روز)]],0)</f>
        <v>0</v>
      </c>
      <c r="AC1564" s="6">
        <f ca="1">Main[[#This Row],[تعداد روزهای بدهکار  تسویه نشده (روز)]]*Main[[#This Row],[مانده در خط تسویه نشده (کیلوگرم)]]</f>
        <v>0</v>
      </c>
      <c r="AD1564" s="6">
        <f ca="1">SUBTOTAL(9,INDEX(Main[بدهی سررسید شده (کیلوگرم)],1):Main[[#This Row],[بدهی سررسید شده (کیلوگرم)]])</f>
        <v>0</v>
      </c>
      <c r="AE1564" s="6">
        <f ca="1">IF(Main[[#This Row],[مانده در خط سررسید شده (کیلوگرم)]]&lt;&gt;0,Main[[#This Row],[تعداد کل روزهای بدهکار (روز)]],0)</f>
        <v>0</v>
      </c>
      <c r="AF1564" s="6">
        <f ca="1">Main[[#This Row],[تعداد روزهای بدهکار سررسید شده (روز)]]*Main[[#This Row],[مانده در خط سررسید شده (کیلوگرم)]]</f>
        <v>0</v>
      </c>
    </row>
    <row r="1565" spans="1:32" hidden="1" x14ac:dyDescent="0.35">
      <c r="A1565" s="5">
        <f>ROW()-ROW(INDEX(Main[ردیف],1))+1</f>
        <v>1563</v>
      </c>
      <c r="B1565" s="31">
        <f>SUBTOTAL(2,INDEX(Main[ردیف],1):Main[[#This Row],[ردیف]])</f>
        <v>142</v>
      </c>
      <c r="C1565" s="32" t="s">
        <v>692</v>
      </c>
      <c r="D1565" s="32" t="str">
        <f>_xlfn.CONCAT("14",Main[[#This Row],[تاريخ]])</f>
        <v>1400/06/20</v>
      </c>
      <c r="E1565" s="33">
        <v>44450</v>
      </c>
      <c r="F1565" s="32">
        <v>30004</v>
      </c>
      <c r="G1565" s="5" t="str">
        <f>INDEX(customer[عنوان],MATCH(Main[[#This Row],[کد ردیابی]],customer[کد],0))</f>
        <v>تولیدی صنعتی صفاشیر پارس</v>
      </c>
      <c r="H1565">
        <v>-5063</v>
      </c>
      <c r="I1565" s="6">
        <f ca="1">-Main[[#This Row],[بدهی تسویه شده (کیلوگرم)]]+Main[[#This Row],[بستانکار (کیلوگرم)]]</f>
        <v>-5063</v>
      </c>
      <c r="J1565" s="6">
        <f>IF(Main[[#This Row],[مقدار (کیلوگرم)]]&gt;0,Main[[#This Row],[مقدار (کیلوگرم)]],0)</f>
        <v>0</v>
      </c>
      <c r="K1565" s="6">
        <f>-IF(Main[[#This Row],[مقدار (کیلوگرم)]]&lt;0,Main[[#This Row],[مقدار (کیلوگرم)]],0)</f>
        <v>5063</v>
      </c>
      <c r="L15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5" s="7">
        <f>-IF(AND(Main[[#This Row],[مقدار (کیلوگرم)]]&lt;0,Main[[#This Row],[تاريخ میلادی]]&gt;44276),Main[[#This Row],[مقدار (کیلوگرم)]],0)</f>
        <v>5063</v>
      </c>
      <c r="N1565" s="6">
        <f ca="1">Main[[#This Row],[بدهکار (کیلوگرم)]]-Main[[#This Row],[بدهی تسویه نشده (کیلوگرم)]]</f>
        <v>5063</v>
      </c>
      <c r="O1565" s="6">
        <f ca="1">Main[[#This Row],[تفکیک]]</f>
        <v>0</v>
      </c>
      <c r="P1565" s="6">
        <f ca="1">IF(Main[[#This Row],[تاخیر از سررسید]]&gt;0,Main[[#This Row],[بدهی تسویه نشده (کیلوگرم)]],0)</f>
        <v>0</v>
      </c>
      <c r="Q1565" s="6">
        <f ca="1">IF(Main[[#This Row],[بدهی تسویه نشده (کیلوگرم)]]&gt;0,'گزارش فردی'!$B$7-Main[[#This Row],[تاريخ میلادی]],0)</f>
        <v>0</v>
      </c>
      <c r="R1565" s="6">
        <f ca="1">IF(Main[[#This Row],[بدهی تسویه نشده (کیلوگرم)]]&gt;0,'گزارش فردی'!$B$7-Main[[#This Row],[تاريخ میلادی]]-'گزارش فردی'!$B$8,0)</f>
        <v>0</v>
      </c>
      <c r="S1565" s="6">
        <f ca="1">Main[[#This Row],[روز از ارسال سفارش]]*Main[[#This Row],[بدهی تسویه نشده (کیلوگرم)]]</f>
        <v>0</v>
      </c>
      <c r="T1565" s="6">
        <f ca="1">Main[[#This Row],[بدهی سررسید شده (کیلوگرم)]]*Main[[#This Row],[روز از ارسال سفارش]]</f>
        <v>0</v>
      </c>
      <c r="U1565" s="6">
        <f>-SUBTOTAL(9,INDEX(Main[مقدار (کیلوگرم)],1):Main[[#This Row],[مقدار (کیلوگرم)]])</f>
        <v>27880</v>
      </c>
      <c r="V15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5" s="6">
        <f>Main[[#This Row],[تعداد کل روزهای بدهکار (روز)]]*Main[[#This Row],[مانده در خط کل (کیلوگرم)]]</f>
        <v>0</v>
      </c>
      <c r="X1565" s="6">
        <f ca="1">-SUBTOTAL(9,INDEX(Main[مقدار تسویه شده (کیلوگرم)],1):Main[[#This Row],[مقدار تسویه شده (کیلوگرم)]])</f>
        <v>27880</v>
      </c>
      <c r="Y1565" s="6">
        <f ca="1">IF(Main[[#This Row],[مانده در خط تسویه شده (کیلوگرم)]]&lt;&gt;0,Main[[#This Row],[تعداد کل روزهای بدهکار (روز)]],0)</f>
        <v>0</v>
      </c>
      <c r="Z1565" s="6">
        <f ca="1">Main[[#This Row],[تعداد روزهای بدهکار تسویه شده (روز)]]*Main[[#This Row],[مانده در خط تسویه شده (کیلوگرم)]]</f>
        <v>0</v>
      </c>
      <c r="AA1565" s="6">
        <f ca="1">SUBTOTAL(9,INDEX(Main[بدهی تسویه نشده (کیلوگرم)],1):Main[[#This Row],[بدهی تسویه نشده (کیلوگرم)]])</f>
        <v>0</v>
      </c>
      <c r="AB1565" s="6">
        <f ca="1">IF(Main[[#This Row],[مانده در خط تسویه نشده (کیلوگرم)]]&lt;&gt;0,Main[[#This Row],[تعداد کل روزهای بدهکار (روز)]],0)</f>
        <v>0</v>
      </c>
      <c r="AC1565" s="6">
        <f ca="1">Main[[#This Row],[تعداد روزهای بدهکار  تسویه نشده (روز)]]*Main[[#This Row],[مانده در خط تسویه نشده (کیلوگرم)]]</f>
        <v>0</v>
      </c>
      <c r="AD1565" s="6">
        <f ca="1">SUBTOTAL(9,INDEX(Main[بدهی سررسید شده (کیلوگرم)],1):Main[[#This Row],[بدهی سررسید شده (کیلوگرم)]])</f>
        <v>0</v>
      </c>
      <c r="AE1565" s="6">
        <f ca="1">IF(Main[[#This Row],[مانده در خط سررسید شده (کیلوگرم)]]&lt;&gt;0,Main[[#This Row],[تعداد کل روزهای بدهکار (روز)]],0)</f>
        <v>0</v>
      </c>
      <c r="AF1565" s="6">
        <f ca="1">Main[[#This Row],[تعداد روزهای بدهکار سررسید شده (روز)]]*Main[[#This Row],[مانده در خط سررسید شده (کیلوگرم)]]</f>
        <v>0</v>
      </c>
    </row>
    <row r="1566" spans="1:32" hidden="1" x14ac:dyDescent="0.35">
      <c r="A1566" s="5">
        <f>ROW()-ROW(INDEX(Main[ردیف],1))+1</f>
        <v>1564</v>
      </c>
      <c r="B1566" s="31">
        <f>SUBTOTAL(2,INDEX(Main[ردیف],1):Main[[#This Row],[ردیف]])</f>
        <v>142</v>
      </c>
      <c r="C1566" s="32" t="s">
        <v>692</v>
      </c>
      <c r="D1566" s="32" t="str">
        <f>_xlfn.CONCAT("14",Main[[#This Row],[تاريخ]])</f>
        <v>1400/06/20</v>
      </c>
      <c r="E1566" s="33">
        <v>44450</v>
      </c>
      <c r="F1566" s="32">
        <v>30004</v>
      </c>
      <c r="G1566" s="5" t="str">
        <f>INDEX(customer[عنوان],MATCH(Main[[#This Row],[کد ردیابی]],customer[کد],0))</f>
        <v>تولیدی صنعتی صفاشیر پارس</v>
      </c>
      <c r="H1566">
        <v>2276</v>
      </c>
      <c r="I1566" s="6">
        <f ca="1">-Main[[#This Row],[بدهی تسویه شده (کیلوگرم)]]+Main[[#This Row],[بستانکار (کیلوگرم)]]</f>
        <v>2276</v>
      </c>
      <c r="J1566" s="6">
        <f>IF(Main[[#This Row],[مقدار (کیلوگرم)]]&gt;0,Main[[#This Row],[مقدار (کیلوگرم)]],0)</f>
        <v>2276</v>
      </c>
      <c r="K1566" s="6">
        <f>-IF(Main[[#This Row],[مقدار (کیلوگرم)]]&lt;0,Main[[#This Row],[مقدار (کیلوگرم)]],0)</f>
        <v>0</v>
      </c>
      <c r="L15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6" s="7">
        <f>-IF(AND(Main[[#This Row],[مقدار (کیلوگرم)]]&lt;0,Main[[#This Row],[تاريخ میلادی]]&gt;44276),Main[[#This Row],[مقدار (کیلوگرم)]],0)</f>
        <v>0</v>
      </c>
      <c r="N1566" s="6">
        <f ca="1">Main[[#This Row],[بدهکار (کیلوگرم)]]-Main[[#This Row],[بدهی تسویه نشده (کیلوگرم)]]</f>
        <v>0</v>
      </c>
      <c r="O1566" s="6">
        <f ca="1">Main[[#This Row],[تفکیک]]</f>
        <v>0</v>
      </c>
      <c r="P1566" s="6">
        <f ca="1">IF(Main[[#This Row],[تاخیر از سررسید]]&gt;0,Main[[#This Row],[بدهی تسویه نشده (کیلوگرم)]],0)</f>
        <v>0</v>
      </c>
      <c r="Q1566" s="6">
        <f ca="1">IF(Main[[#This Row],[بدهی تسویه نشده (کیلوگرم)]]&gt;0,'گزارش فردی'!$B$7-Main[[#This Row],[تاريخ میلادی]],0)</f>
        <v>0</v>
      </c>
      <c r="R1566" s="6">
        <f ca="1">IF(Main[[#This Row],[بدهی تسویه نشده (کیلوگرم)]]&gt;0,'گزارش فردی'!$B$7-Main[[#This Row],[تاريخ میلادی]]-'گزارش فردی'!$B$8,0)</f>
        <v>0</v>
      </c>
      <c r="S1566" s="6">
        <f ca="1">Main[[#This Row],[روز از ارسال سفارش]]*Main[[#This Row],[بدهی تسویه نشده (کیلوگرم)]]</f>
        <v>0</v>
      </c>
      <c r="T1566" s="6">
        <f ca="1">Main[[#This Row],[بدهی سررسید شده (کیلوگرم)]]*Main[[#This Row],[روز از ارسال سفارش]]</f>
        <v>0</v>
      </c>
      <c r="U1566" s="6">
        <f>-SUBTOTAL(9,INDEX(Main[مقدار (کیلوگرم)],1):Main[[#This Row],[مقدار (کیلوگرم)]])</f>
        <v>27880</v>
      </c>
      <c r="V15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6" s="6">
        <f>Main[[#This Row],[تعداد کل روزهای بدهکار (روز)]]*Main[[#This Row],[مانده در خط کل (کیلوگرم)]]</f>
        <v>0</v>
      </c>
      <c r="X1566" s="6">
        <f ca="1">-SUBTOTAL(9,INDEX(Main[مقدار تسویه شده (کیلوگرم)],1):Main[[#This Row],[مقدار تسویه شده (کیلوگرم)]])</f>
        <v>27880</v>
      </c>
      <c r="Y1566" s="6">
        <f ca="1">IF(Main[[#This Row],[مانده در خط تسویه شده (کیلوگرم)]]&lt;&gt;0,Main[[#This Row],[تعداد کل روزهای بدهکار (روز)]],0)</f>
        <v>0</v>
      </c>
      <c r="Z1566" s="6">
        <f ca="1">Main[[#This Row],[تعداد روزهای بدهکار تسویه شده (روز)]]*Main[[#This Row],[مانده در خط تسویه شده (کیلوگرم)]]</f>
        <v>0</v>
      </c>
      <c r="AA1566" s="6">
        <f ca="1">SUBTOTAL(9,INDEX(Main[بدهی تسویه نشده (کیلوگرم)],1):Main[[#This Row],[بدهی تسویه نشده (کیلوگرم)]])</f>
        <v>0</v>
      </c>
      <c r="AB1566" s="6">
        <f ca="1">IF(Main[[#This Row],[مانده در خط تسویه نشده (کیلوگرم)]]&lt;&gt;0,Main[[#This Row],[تعداد کل روزهای بدهکار (روز)]],0)</f>
        <v>0</v>
      </c>
      <c r="AC1566" s="6">
        <f ca="1">Main[[#This Row],[تعداد روزهای بدهکار  تسویه نشده (روز)]]*Main[[#This Row],[مانده در خط تسویه نشده (کیلوگرم)]]</f>
        <v>0</v>
      </c>
      <c r="AD1566" s="6">
        <f ca="1">SUBTOTAL(9,INDEX(Main[بدهی سررسید شده (کیلوگرم)],1):Main[[#This Row],[بدهی سررسید شده (کیلوگرم)]])</f>
        <v>0</v>
      </c>
      <c r="AE1566" s="6">
        <f ca="1">IF(Main[[#This Row],[مانده در خط سررسید شده (کیلوگرم)]]&lt;&gt;0,Main[[#This Row],[تعداد کل روزهای بدهکار (روز)]],0)</f>
        <v>0</v>
      </c>
      <c r="AF1566" s="6">
        <f ca="1">Main[[#This Row],[تعداد روزهای بدهکار سررسید شده (روز)]]*Main[[#This Row],[مانده در خط سررسید شده (کیلوگرم)]]</f>
        <v>0</v>
      </c>
    </row>
    <row r="1567" spans="1:32" hidden="1" x14ac:dyDescent="0.35">
      <c r="A1567" s="5">
        <f>ROW()-ROW(INDEX(Main[ردیف],1))+1</f>
        <v>1565</v>
      </c>
      <c r="B1567" s="31">
        <f>SUBTOTAL(2,INDEX(Main[ردیف],1):Main[[#This Row],[ردیف]])</f>
        <v>142</v>
      </c>
      <c r="C1567" s="32" t="s">
        <v>692</v>
      </c>
      <c r="D1567" s="32" t="str">
        <f>_xlfn.CONCAT("14",Main[[#This Row],[تاريخ]])</f>
        <v>1400/06/20</v>
      </c>
      <c r="E1567" s="33">
        <v>44450</v>
      </c>
      <c r="F1567" s="32">
        <v>10070</v>
      </c>
      <c r="G1567" s="5" t="str">
        <f>INDEX(customer[عنوان],MATCH(Main[[#This Row],[کد ردیابی]],customer[کد],0))</f>
        <v xml:space="preserve">حمیدرضا شفیعی </v>
      </c>
      <c r="H1567">
        <v>-123</v>
      </c>
      <c r="I1567" s="6">
        <f ca="1">-Main[[#This Row],[بدهی تسویه شده (کیلوگرم)]]+Main[[#This Row],[بستانکار (کیلوگرم)]]</f>
        <v>-123</v>
      </c>
      <c r="J1567" s="6">
        <f>IF(Main[[#This Row],[مقدار (کیلوگرم)]]&gt;0,Main[[#This Row],[مقدار (کیلوگرم)]],0)</f>
        <v>0</v>
      </c>
      <c r="K1567" s="6">
        <f>-IF(Main[[#This Row],[مقدار (کیلوگرم)]]&lt;0,Main[[#This Row],[مقدار (کیلوگرم)]],0)</f>
        <v>123</v>
      </c>
      <c r="L15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7" s="7">
        <f>-IF(AND(Main[[#This Row],[مقدار (کیلوگرم)]]&lt;0,Main[[#This Row],[تاريخ میلادی]]&gt;44276),Main[[#This Row],[مقدار (کیلوگرم)]],0)</f>
        <v>123</v>
      </c>
      <c r="N1567" s="6">
        <f ca="1">Main[[#This Row],[بدهکار (کیلوگرم)]]-Main[[#This Row],[بدهی تسویه نشده (کیلوگرم)]]</f>
        <v>123</v>
      </c>
      <c r="O1567" s="6">
        <f ca="1">Main[[#This Row],[تفکیک]]</f>
        <v>0</v>
      </c>
      <c r="P1567" s="6">
        <f ca="1">IF(Main[[#This Row],[تاخیر از سررسید]]&gt;0,Main[[#This Row],[بدهی تسویه نشده (کیلوگرم)]],0)</f>
        <v>0</v>
      </c>
      <c r="Q1567" s="6">
        <f ca="1">IF(Main[[#This Row],[بدهی تسویه نشده (کیلوگرم)]]&gt;0,'گزارش فردی'!$B$7-Main[[#This Row],[تاريخ میلادی]],0)</f>
        <v>0</v>
      </c>
      <c r="R1567" s="6">
        <f ca="1">IF(Main[[#This Row],[بدهی تسویه نشده (کیلوگرم)]]&gt;0,'گزارش فردی'!$B$7-Main[[#This Row],[تاريخ میلادی]]-'گزارش فردی'!$B$8,0)</f>
        <v>0</v>
      </c>
      <c r="S1567" s="6">
        <f ca="1">Main[[#This Row],[روز از ارسال سفارش]]*Main[[#This Row],[بدهی تسویه نشده (کیلوگرم)]]</f>
        <v>0</v>
      </c>
      <c r="T1567" s="6">
        <f ca="1">Main[[#This Row],[بدهی سررسید شده (کیلوگرم)]]*Main[[#This Row],[روز از ارسال سفارش]]</f>
        <v>0</v>
      </c>
      <c r="U1567" s="6">
        <f>-SUBTOTAL(9,INDEX(Main[مقدار (کیلوگرم)],1):Main[[#This Row],[مقدار (کیلوگرم)]])</f>
        <v>27880</v>
      </c>
      <c r="V15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7" s="6">
        <f>Main[[#This Row],[تعداد کل روزهای بدهکار (روز)]]*Main[[#This Row],[مانده در خط کل (کیلوگرم)]]</f>
        <v>0</v>
      </c>
      <c r="X1567" s="6">
        <f ca="1">-SUBTOTAL(9,INDEX(Main[مقدار تسویه شده (کیلوگرم)],1):Main[[#This Row],[مقدار تسویه شده (کیلوگرم)]])</f>
        <v>27880</v>
      </c>
      <c r="Y1567" s="6">
        <f ca="1">IF(Main[[#This Row],[مانده در خط تسویه شده (کیلوگرم)]]&lt;&gt;0,Main[[#This Row],[تعداد کل روزهای بدهکار (روز)]],0)</f>
        <v>0</v>
      </c>
      <c r="Z1567" s="6">
        <f ca="1">Main[[#This Row],[تعداد روزهای بدهکار تسویه شده (روز)]]*Main[[#This Row],[مانده در خط تسویه شده (کیلوگرم)]]</f>
        <v>0</v>
      </c>
      <c r="AA1567" s="6">
        <f ca="1">SUBTOTAL(9,INDEX(Main[بدهی تسویه نشده (کیلوگرم)],1):Main[[#This Row],[بدهی تسویه نشده (کیلوگرم)]])</f>
        <v>0</v>
      </c>
      <c r="AB1567" s="6">
        <f ca="1">IF(Main[[#This Row],[مانده در خط تسویه نشده (کیلوگرم)]]&lt;&gt;0,Main[[#This Row],[تعداد کل روزهای بدهکار (روز)]],0)</f>
        <v>0</v>
      </c>
      <c r="AC1567" s="6">
        <f ca="1">Main[[#This Row],[تعداد روزهای بدهکار  تسویه نشده (روز)]]*Main[[#This Row],[مانده در خط تسویه نشده (کیلوگرم)]]</f>
        <v>0</v>
      </c>
      <c r="AD1567" s="6">
        <f ca="1">SUBTOTAL(9,INDEX(Main[بدهی سررسید شده (کیلوگرم)],1):Main[[#This Row],[بدهی سررسید شده (کیلوگرم)]])</f>
        <v>0</v>
      </c>
      <c r="AE1567" s="6">
        <f ca="1">IF(Main[[#This Row],[مانده در خط سررسید شده (کیلوگرم)]]&lt;&gt;0,Main[[#This Row],[تعداد کل روزهای بدهکار (روز)]],0)</f>
        <v>0</v>
      </c>
      <c r="AF1567" s="6">
        <f ca="1">Main[[#This Row],[تعداد روزهای بدهکار سررسید شده (روز)]]*Main[[#This Row],[مانده در خط سررسید شده (کیلوگرم)]]</f>
        <v>0</v>
      </c>
    </row>
    <row r="1568" spans="1:32" hidden="1" x14ac:dyDescent="0.35">
      <c r="A1568" s="5">
        <f>ROW()-ROW(INDEX(Main[ردیف],1))+1</f>
        <v>1566</v>
      </c>
      <c r="B1568" s="31">
        <f>SUBTOTAL(2,INDEX(Main[ردیف],1):Main[[#This Row],[ردیف]])</f>
        <v>142</v>
      </c>
      <c r="C1568" s="32" t="s">
        <v>692</v>
      </c>
      <c r="D1568" s="32" t="str">
        <f>_xlfn.CONCAT("14",Main[[#This Row],[تاريخ]])</f>
        <v>1400/06/20</v>
      </c>
      <c r="E1568" s="33">
        <v>44450</v>
      </c>
      <c r="F1568" s="32">
        <v>30004</v>
      </c>
      <c r="G1568" s="5" t="str">
        <f>INDEX(customer[عنوان],MATCH(Main[[#This Row],[کد ردیابی]],customer[کد],0))</f>
        <v>تولیدی صنعتی صفاشیر پارس</v>
      </c>
      <c r="H1568">
        <v>2022</v>
      </c>
      <c r="I1568" s="6">
        <f ca="1">-Main[[#This Row],[بدهی تسویه شده (کیلوگرم)]]+Main[[#This Row],[بستانکار (کیلوگرم)]]</f>
        <v>2022</v>
      </c>
      <c r="J1568" s="6">
        <f>IF(Main[[#This Row],[مقدار (کیلوگرم)]]&gt;0,Main[[#This Row],[مقدار (کیلوگرم)]],0)</f>
        <v>2022</v>
      </c>
      <c r="K1568" s="6">
        <f>-IF(Main[[#This Row],[مقدار (کیلوگرم)]]&lt;0,Main[[#This Row],[مقدار (کیلوگرم)]],0)</f>
        <v>0</v>
      </c>
      <c r="L15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8" s="7">
        <f>-IF(AND(Main[[#This Row],[مقدار (کیلوگرم)]]&lt;0,Main[[#This Row],[تاريخ میلادی]]&gt;44276),Main[[#This Row],[مقدار (کیلوگرم)]],0)</f>
        <v>0</v>
      </c>
      <c r="N1568" s="6">
        <f ca="1">Main[[#This Row],[بدهکار (کیلوگرم)]]-Main[[#This Row],[بدهی تسویه نشده (کیلوگرم)]]</f>
        <v>0</v>
      </c>
      <c r="O1568" s="6">
        <f ca="1">Main[[#This Row],[تفکیک]]</f>
        <v>0</v>
      </c>
      <c r="P1568" s="6">
        <f ca="1">IF(Main[[#This Row],[تاخیر از سررسید]]&gt;0,Main[[#This Row],[بدهی تسویه نشده (کیلوگرم)]],0)</f>
        <v>0</v>
      </c>
      <c r="Q1568" s="6">
        <f ca="1">IF(Main[[#This Row],[بدهی تسویه نشده (کیلوگرم)]]&gt;0,'گزارش فردی'!$B$7-Main[[#This Row],[تاريخ میلادی]],0)</f>
        <v>0</v>
      </c>
      <c r="R1568" s="6">
        <f ca="1">IF(Main[[#This Row],[بدهی تسویه نشده (کیلوگرم)]]&gt;0,'گزارش فردی'!$B$7-Main[[#This Row],[تاريخ میلادی]]-'گزارش فردی'!$B$8,0)</f>
        <v>0</v>
      </c>
      <c r="S1568" s="6">
        <f ca="1">Main[[#This Row],[روز از ارسال سفارش]]*Main[[#This Row],[بدهی تسویه نشده (کیلوگرم)]]</f>
        <v>0</v>
      </c>
      <c r="T1568" s="6">
        <f ca="1">Main[[#This Row],[بدهی سررسید شده (کیلوگرم)]]*Main[[#This Row],[روز از ارسال سفارش]]</f>
        <v>0</v>
      </c>
      <c r="U1568" s="6">
        <f>-SUBTOTAL(9,INDEX(Main[مقدار (کیلوگرم)],1):Main[[#This Row],[مقدار (کیلوگرم)]])</f>
        <v>27880</v>
      </c>
      <c r="V15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8" s="6">
        <f>Main[[#This Row],[تعداد کل روزهای بدهکار (روز)]]*Main[[#This Row],[مانده در خط کل (کیلوگرم)]]</f>
        <v>0</v>
      </c>
      <c r="X1568" s="6">
        <f ca="1">-SUBTOTAL(9,INDEX(Main[مقدار تسویه شده (کیلوگرم)],1):Main[[#This Row],[مقدار تسویه شده (کیلوگرم)]])</f>
        <v>27880</v>
      </c>
      <c r="Y1568" s="6">
        <f ca="1">IF(Main[[#This Row],[مانده در خط تسویه شده (کیلوگرم)]]&lt;&gt;0,Main[[#This Row],[تعداد کل روزهای بدهکار (روز)]],0)</f>
        <v>0</v>
      </c>
      <c r="Z1568" s="6">
        <f ca="1">Main[[#This Row],[تعداد روزهای بدهکار تسویه شده (روز)]]*Main[[#This Row],[مانده در خط تسویه شده (کیلوگرم)]]</f>
        <v>0</v>
      </c>
      <c r="AA1568" s="6">
        <f ca="1">SUBTOTAL(9,INDEX(Main[بدهی تسویه نشده (کیلوگرم)],1):Main[[#This Row],[بدهی تسویه نشده (کیلوگرم)]])</f>
        <v>0</v>
      </c>
      <c r="AB1568" s="6">
        <f ca="1">IF(Main[[#This Row],[مانده در خط تسویه نشده (کیلوگرم)]]&lt;&gt;0,Main[[#This Row],[تعداد کل روزهای بدهکار (روز)]],0)</f>
        <v>0</v>
      </c>
      <c r="AC1568" s="6">
        <f ca="1">Main[[#This Row],[تعداد روزهای بدهکار  تسویه نشده (روز)]]*Main[[#This Row],[مانده در خط تسویه نشده (کیلوگرم)]]</f>
        <v>0</v>
      </c>
      <c r="AD1568" s="6">
        <f ca="1">SUBTOTAL(9,INDEX(Main[بدهی سررسید شده (کیلوگرم)],1):Main[[#This Row],[بدهی سررسید شده (کیلوگرم)]])</f>
        <v>0</v>
      </c>
      <c r="AE1568" s="6">
        <f ca="1">IF(Main[[#This Row],[مانده در خط سررسید شده (کیلوگرم)]]&lt;&gt;0,Main[[#This Row],[تعداد کل روزهای بدهکار (روز)]],0)</f>
        <v>0</v>
      </c>
      <c r="AF1568" s="6">
        <f ca="1">Main[[#This Row],[تعداد روزهای بدهکار سررسید شده (روز)]]*Main[[#This Row],[مانده در خط سررسید شده (کیلوگرم)]]</f>
        <v>0</v>
      </c>
    </row>
    <row r="1569" spans="1:32" hidden="1" x14ac:dyDescent="0.35">
      <c r="A1569" s="5">
        <f>ROW()-ROW(INDEX(Main[ردیف],1))+1</f>
        <v>1567</v>
      </c>
      <c r="B1569" s="31">
        <f>SUBTOTAL(2,INDEX(Main[ردیف],1):Main[[#This Row],[ردیف]])</f>
        <v>142</v>
      </c>
      <c r="C1569" s="32" t="s">
        <v>692</v>
      </c>
      <c r="D1569" s="32" t="str">
        <f>_xlfn.CONCAT("14",Main[[#This Row],[تاريخ]])</f>
        <v>1400/06/20</v>
      </c>
      <c r="E1569" s="33">
        <v>44450</v>
      </c>
      <c r="F1569" s="32">
        <v>30012</v>
      </c>
      <c r="G1569" s="5" t="str">
        <f>INDEX(customer[عنوان],MATCH(Main[[#This Row],[کد ردیابی]],customer[کد],0))</f>
        <v xml:space="preserve">پارس قفل </v>
      </c>
      <c r="H1569">
        <v>-1764</v>
      </c>
      <c r="I1569" s="6">
        <f ca="1">-Main[[#This Row],[بدهی تسویه شده (کیلوگرم)]]+Main[[#This Row],[بستانکار (کیلوگرم)]]</f>
        <v>-1764</v>
      </c>
      <c r="J1569" s="6">
        <f>IF(Main[[#This Row],[مقدار (کیلوگرم)]]&gt;0,Main[[#This Row],[مقدار (کیلوگرم)]],0)</f>
        <v>0</v>
      </c>
      <c r="K1569" s="6">
        <f>-IF(Main[[#This Row],[مقدار (کیلوگرم)]]&lt;0,Main[[#This Row],[مقدار (کیلوگرم)]],0)</f>
        <v>1764</v>
      </c>
      <c r="L15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9" s="7">
        <f>-IF(AND(Main[[#This Row],[مقدار (کیلوگرم)]]&lt;0,Main[[#This Row],[تاريخ میلادی]]&gt;44276),Main[[#This Row],[مقدار (کیلوگرم)]],0)</f>
        <v>1764</v>
      </c>
      <c r="N1569" s="6">
        <f ca="1">Main[[#This Row],[بدهکار (کیلوگرم)]]-Main[[#This Row],[بدهی تسویه نشده (کیلوگرم)]]</f>
        <v>1764</v>
      </c>
      <c r="O1569" s="6">
        <f ca="1">Main[[#This Row],[تفکیک]]</f>
        <v>0</v>
      </c>
      <c r="P1569" s="6">
        <f ca="1">IF(Main[[#This Row],[تاخیر از سررسید]]&gt;0,Main[[#This Row],[بدهی تسویه نشده (کیلوگرم)]],0)</f>
        <v>0</v>
      </c>
      <c r="Q1569" s="6">
        <f ca="1">IF(Main[[#This Row],[بدهی تسویه نشده (کیلوگرم)]]&gt;0,'گزارش فردی'!$B$7-Main[[#This Row],[تاريخ میلادی]],0)</f>
        <v>0</v>
      </c>
      <c r="R1569" s="6">
        <f ca="1">IF(Main[[#This Row],[بدهی تسویه نشده (کیلوگرم)]]&gt;0,'گزارش فردی'!$B$7-Main[[#This Row],[تاريخ میلادی]]-'گزارش فردی'!$B$8,0)</f>
        <v>0</v>
      </c>
      <c r="S1569" s="6">
        <f ca="1">Main[[#This Row],[روز از ارسال سفارش]]*Main[[#This Row],[بدهی تسویه نشده (کیلوگرم)]]</f>
        <v>0</v>
      </c>
      <c r="T1569" s="6">
        <f ca="1">Main[[#This Row],[بدهی سررسید شده (کیلوگرم)]]*Main[[#This Row],[روز از ارسال سفارش]]</f>
        <v>0</v>
      </c>
      <c r="U1569" s="6">
        <f>-SUBTOTAL(9,INDEX(Main[مقدار (کیلوگرم)],1):Main[[#This Row],[مقدار (کیلوگرم)]])</f>
        <v>27880</v>
      </c>
      <c r="V15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9" s="6">
        <f>Main[[#This Row],[تعداد کل روزهای بدهکار (روز)]]*Main[[#This Row],[مانده در خط کل (کیلوگرم)]]</f>
        <v>0</v>
      </c>
      <c r="X1569" s="6">
        <f ca="1">-SUBTOTAL(9,INDEX(Main[مقدار تسویه شده (کیلوگرم)],1):Main[[#This Row],[مقدار تسویه شده (کیلوگرم)]])</f>
        <v>27880</v>
      </c>
      <c r="Y1569" s="6">
        <f ca="1">IF(Main[[#This Row],[مانده در خط تسویه شده (کیلوگرم)]]&lt;&gt;0,Main[[#This Row],[تعداد کل روزهای بدهکار (روز)]],0)</f>
        <v>0</v>
      </c>
      <c r="Z1569" s="6">
        <f ca="1">Main[[#This Row],[تعداد روزهای بدهکار تسویه شده (روز)]]*Main[[#This Row],[مانده در خط تسویه شده (کیلوگرم)]]</f>
        <v>0</v>
      </c>
      <c r="AA1569" s="6">
        <f ca="1">SUBTOTAL(9,INDEX(Main[بدهی تسویه نشده (کیلوگرم)],1):Main[[#This Row],[بدهی تسویه نشده (کیلوگرم)]])</f>
        <v>0</v>
      </c>
      <c r="AB1569" s="6">
        <f ca="1">IF(Main[[#This Row],[مانده در خط تسویه نشده (کیلوگرم)]]&lt;&gt;0,Main[[#This Row],[تعداد کل روزهای بدهکار (روز)]],0)</f>
        <v>0</v>
      </c>
      <c r="AC1569" s="6">
        <f ca="1">Main[[#This Row],[تعداد روزهای بدهکار  تسویه نشده (روز)]]*Main[[#This Row],[مانده در خط تسویه نشده (کیلوگرم)]]</f>
        <v>0</v>
      </c>
      <c r="AD1569" s="6">
        <f ca="1">SUBTOTAL(9,INDEX(Main[بدهی سررسید شده (کیلوگرم)],1):Main[[#This Row],[بدهی سررسید شده (کیلوگرم)]])</f>
        <v>0</v>
      </c>
      <c r="AE1569" s="6">
        <f ca="1">IF(Main[[#This Row],[مانده در خط سررسید شده (کیلوگرم)]]&lt;&gt;0,Main[[#This Row],[تعداد کل روزهای بدهکار (روز)]],0)</f>
        <v>0</v>
      </c>
      <c r="AF1569" s="6">
        <f ca="1">Main[[#This Row],[تعداد روزهای بدهکار سررسید شده (روز)]]*Main[[#This Row],[مانده در خط سررسید شده (کیلوگرم)]]</f>
        <v>0</v>
      </c>
    </row>
    <row r="1570" spans="1:32" hidden="1" x14ac:dyDescent="0.35">
      <c r="A1570" s="5">
        <f>ROW()-ROW(INDEX(Main[ردیف],1))+1</f>
        <v>1568</v>
      </c>
      <c r="B1570" s="31">
        <f>SUBTOTAL(2,INDEX(Main[ردیف],1):Main[[#This Row],[ردیف]])</f>
        <v>142</v>
      </c>
      <c r="C1570" s="32" t="s">
        <v>692</v>
      </c>
      <c r="D1570" s="32" t="str">
        <f>_xlfn.CONCAT("14",Main[[#This Row],[تاريخ]])</f>
        <v>1400/06/20</v>
      </c>
      <c r="E1570" s="33">
        <v>44450</v>
      </c>
      <c r="F1570" s="32">
        <v>10018</v>
      </c>
      <c r="G1570" s="5" t="str">
        <f>INDEX(customer[عنوان],MATCH(Main[[#This Row],[کد ردیابی]],customer[کد],0))</f>
        <v xml:space="preserve">کوهی </v>
      </c>
      <c r="H1570">
        <v>440</v>
      </c>
      <c r="I1570" s="6">
        <f ca="1">-Main[[#This Row],[بدهی تسویه شده (کیلوگرم)]]+Main[[#This Row],[بستانکار (کیلوگرم)]]</f>
        <v>440</v>
      </c>
      <c r="J1570" s="6">
        <f>IF(Main[[#This Row],[مقدار (کیلوگرم)]]&gt;0,Main[[#This Row],[مقدار (کیلوگرم)]],0)</f>
        <v>440</v>
      </c>
      <c r="K1570" s="6">
        <f>-IF(Main[[#This Row],[مقدار (کیلوگرم)]]&lt;0,Main[[#This Row],[مقدار (کیلوگرم)]],0)</f>
        <v>0</v>
      </c>
      <c r="L15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0" s="7">
        <f>-IF(AND(Main[[#This Row],[مقدار (کیلوگرم)]]&lt;0,Main[[#This Row],[تاريخ میلادی]]&gt;44276),Main[[#This Row],[مقدار (کیلوگرم)]],0)</f>
        <v>0</v>
      </c>
      <c r="N1570" s="6">
        <f ca="1">Main[[#This Row],[بدهکار (کیلوگرم)]]-Main[[#This Row],[بدهی تسویه نشده (کیلوگرم)]]</f>
        <v>0</v>
      </c>
      <c r="O1570" s="6">
        <f ca="1">Main[[#This Row],[تفکیک]]</f>
        <v>0</v>
      </c>
      <c r="P1570" s="6">
        <f ca="1">IF(Main[[#This Row],[تاخیر از سررسید]]&gt;0,Main[[#This Row],[بدهی تسویه نشده (کیلوگرم)]],0)</f>
        <v>0</v>
      </c>
      <c r="Q1570" s="6">
        <f ca="1">IF(Main[[#This Row],[بدهی تسویه نشده (کیلوگرم)]]&gt;0,'گزارش فردی'!$B$7-Main[[#This Row],[تاريخ میلادی]],0)</f>
        <v>0</v>
      </c>
      <c r="R1570" s="6">
        <f ca="1">IF(Main[[#This Row],[بدهی تسویه نشده (کیلوگرم)]]&gt;0,'گزارش فردی'!$B$7-Main[[#This Row],[تاريخ میلادی]]-'گزارش فردی'!$B$8,0)</f>
        <v>0</v>
      </c>
      <c r="S1570" s="6">
        <f ca="1">Main[[#This Row],[روز از ارسال سفارش]]*Main[[#This Row],[بدهی تسویه نشده (کیلوگرم)]]</f>
        <v>0</v>
      </c>
      <c r="T1570" s="6">
        <f ca="1">Main[[#This Row],[بدهی سررسید شده (کیلوگرم)]]*Main[[#This Row],[روز از ارسال سفارش]]</f>
        <v>0</v>
      </c>
      <c r="U1570" s="6">
        <f>-SUBTOTAL(9,INDEX(Main[مقدار (کیلوگرم)],1):Main[[#This Row],[مقدار (کیلوگرم)]])</f>
        <v>27880</v>
      </c>
      <c r="V15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0" s="6">
        <f>Main[[#This Row],[تعداد کل روزهای بدهکار (روز)]]*Main[[#This Row],[مانده در خط کل (کیلوگرم)]]</f>
        <v>0</v>
      </c>
      <c r="X1570" s="6">
        <f ca="1">-SUBTOTAL(9,INDEX(Main[مقدار تسویه شده (کیلوگرم)],1):Main[[#This Row],[مقدار تسویه شده (کیلوگرم)]])</f>
        <v>27880</v>
      </c>
      <c r="Y1570" s="6">
        <f ca="1">IF(Main[[#This Row],[مانده در خط تسویه شده (کیلوگرم)]]&lt;&gt;0,Main[[#This Row],[تعداد کل روزهای بدهکار (روز)]],0)</f>
        <v>0</v>
      </c>
      <c r="Z1570" s="6">
        <f ca="1">Main[[#This Row],[تعداد روزهای بدهکار تسویه شده (روز)]]*Main[[#This Row],[مانده در خط تسویه شده (کیلوگرم)]]</f>
        <v>0</v>
      </c>
      <c r="AA1570" s="6">
        <f ca="1">SUBTOTAL(9,INDEX(Main[بدهی تسویه نشده (کیلوگرم)],1):Main[[#This Row],[بدهی تسویه نشده (کیلوگرم)]])</f>
        <v>0</v>
      </c>
      <c r="AB1570" s="6">
        <f ca="1">IF(Main[[#This Row],[مانده در خط تسویه نشده (کیلوگرم)]]&lt;&gt;0,Main[[#This Row],[تعداد کل روزهای بدهکار (روز)]],0)</f>
        <v>0</v>
      </c>
      <c r="AC1570" s="6">
        <f ca="1">Main[[#This Row],[تعداد روزهای بدهکار  تسویه نشده (روز)]]*Main[[#This Row],[مانده در خط تسویه نشده (کیلوگرم)]]</f>
        <v>0</v>
      </c>
      <c r="AD1570" s="6">
        <f ca="1">SUBTOTAL(9,INDEX(Main[بدهی سررسید شده (کیلوگرم)],1):Main[[#This Row],[بدهی سررسید شده (کیلوگرم)]])</f>
        <v>0</v>
      </c>
      <c r="AE1570" s="6">
        <f ca="1">IF(Main[[#This Row],[مانده در خط سررسید شده (کیلوگرم)]]&lt;&gt;0,Main[[#This Row],[تعداد کل روزهای بدهکار (روز)]],0)</f>
        <v>0</v>
      </c>
      <c r="AF1570" s="6">
        <f ca="1">Main[[#This Row],[تعداد روزهای بدهکار سررسید شده (روز)]]*Main[[#This Row],[مانده در خط سررسید شده (کیلوگرم)]]</f>
        <v>0</v>
      </c>
    </row>
    <row r="1571" spans="1:32" hidden="1" x14ac:dyDescent="0.35">
      <c r="A1571" s="5">
        <f>ROW()-ROW(INDEX(Main[ردیف],1))+1</f>
        <v>1569</v>
      </c>
      <c r="B1571" s="31">
        <f>SUBTOTAL(2,INDEX(Main[ردیف],1):Main[[#This Row],[ردیف]])</f>
        <v>142</v>
      </c>
      <c r="C1571" s="32" t="s">
        <v>692</v>
      </c>
      <c r="D1571" s="32" t="str">
        <f>_xlfn.CONCAT("14",Main[[#This Row],[تاريخ]])</f>
        <v>1400/06/20</v>
      </c>
      <c r="E1571" s="33">
        <v>44450</v>
      </c>
      <c r="F1571" s="32">
        <v>30009</v>
      </c>
      <c r="G1571" s="5" t="str">
        <f>INDEX(customer[عنوان],MATCH(Main[[#This Row],[کد ردیابی]],customer[کد],0))</f>
        <v>شرکت ایمن تک پیشرو</v>
      </c>
      <c r="H1571">
        <v>-2038</v>
      </c>
      <c r="I1571" s="6">
        <f ca="1">-Main[[#This Row],[بدهی تسویه شده (کیلوگرم)]]+Main[[#This Row],[بستانکار (کیلوگرم)]]</f>
        <v>-2038</v>
      </c>
      <c r="J1571" s="6">
        <f>IF(Main[[#This Row],[مقدار (کیلوگرم)]]&gt;0,Main[[#This Row],[مقدار (کیلوگرم)]],0)</f>
        <v>0</v>
      </c>
      <c r="K1571" s="6">
        <f>-IF(Main[[#This Row],[مقدار (کیلوگرم)]]&lt;0,Main[[#This Row],[مقدار (کیلوگرم)]],0)</f>
        <v>2038</v>
      </c>
      <c r="L15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1" s="7">
        <f>-IF(AND(Main[[#This Row],[مقدار (کیلوگرم)]]&lt;0,Main[[#This Row],[تاريخ میلادی]]&gt;44276),Main[[#This Row],[مقدار (کیلوگرم)]],0)</f>
        <v>2038</v>
      </c>
      <c r="N1571" s="6">
        <f ca="1">Main[[#This Row],[بدهکار (کیلوگرم)]]-Main[[#This Row],[بدهی تسویه نشده (کیلوگرم)]]</f>
        <v>2038</v>
      </c>
      <c r="O1571" s="6">
        <f ca="1">Main[[#This Row],[تفکیک]]</f>
        <v>0</v>
      </c>
      <c r="P1571" s="6">
        <f ca="1">IF(Main[[#This Row],[تاخیر از سررسید]]&gt;0,Main[[#This Row],[بدهی تسویه نشده (کیلوگرم)]],0)</f>
        <v>0</v>
      </c>
      <c r="Q1571" s="6">
        <f ca="1">IF(Main[[#This Row],[بدهی تسویه نشده (کیلوگرم)]]&gt;0,'گزارش فردی'!$B$7-Main[[#This Row],[تاريخ میلادی]],0)</f>
        <v>0</v>
      </c>
      <c r="R1571" s="6">
        <f ca="1">IF(Main[[#This Row],[بدهی تسویه نشده (کیلوگرم)]]&gt;0,'گزارش فردی'!$B$7-Main[[#This Row],[تاريخ میلادی]]-'گزارش فردی'!$B$8,0)</f>
        <v>0</v>
      </c>
      <c r="S1571" s="6">
        <f ca="1">Main[[#This Row],[روز از ارسال سفارش]]*Main[[#This Row],[بدهی تسویه نشده (کیلوگرم)]]</f>
        <v>0</v>
      </c>
      <c r="T1571" s="6">
        <f ca="1">Main[[#This Row],[بدهی سررسید شده (کیلوگرم)]]*Main[[#This Row],[روز از ارسال سفارش]]</f>
        <v>0</v>
      </c>
      <c r="U1571" s="6">
        <f>-SUBTOTAL(9,INDEX(Main[مقدار (کیلوگرم)],1):Main[[#This Row],[مقدار (کیلوگرم)]])</f>
        <v>27880</v>
      </c>
      <c r="V15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1" s="6">
        <f>Main[[#This Row],[تعداد کل روزهای بدهکار (روز)]]*Main[[#This Row],[مانده در خط کل (کیلوگرم)]]</f>
        <v>0</v>
      </c>
      <c r="X1571" s="6">
        <f ca="1">-SUBTOTAL(9,INDEX(Main[مقدار تسویه شده (کیلوگرم)],1):Main[[#This Row],[مقدار تسویه شده (کیلوگرم)]])</f>
        <v>27880</v>
      </c>
      <c r="Y1571" s="6">
        <f ca="1">IF(Main[[#This Row],[مانده در خط تسویه شده (کیلوگرم)]]&lt;&gt;0,Main[[#This Row],[تعداد کل روزهای بدهکار (روز)]],0)</f>
        <v>0</v>
      </c>
      <c r="Z1571" s="6">
        <f ca="1">Main[[#This Row],[تعداد روزهای بدهکار تسویه شده (روز)]]*Main[[#This Row],[مانده در خط تسویه شده (کیلوگرم)]]</f>
        <v>0</v>
      </c>
      <c r="AA1571" s="6">
        <f ca="1">SUBTOTAL(9,INDEX(Main[بدهی تسویه نشده (کیلوگرم)],1):Main[[#This Row],[بدهی تسویه نشده (کیلوگرم)]])</f>
        <v>0</v>
      </c>
      <c r="AB1571" s="6">
        <f ca="1">IF(Main[[#This Row],[مانده در خط تسویه نشده (کیلوگرم)]]&lt;&gt;0,Main[[#This Row],[تعداد کل روزهای بدهکار (روز)]],0)</f>
        <v>0</v>
      </c>
      <c r="AC1571" s="6">
        <f ca="1">Main[[#This Row],[تعداد روزهای بدهکار  تسویه نشده (روز)]]*Main[[#This Row],[مانده در خط تسویه نشده (کیلوگرم)]]</f>
        <v>0</v>
      </c>
      <c r="AD1571" s="6">
        <f ca="1">SUBTOTAL(9,INDEX(Main[بدهی سررسید شده (کیلوگرم)],1):Main[[#This Row],[بدهی سررسید شده (کیلوگرم)]])</f>
        <v>0</v>
      </c>
      <c r="AE1571" s="6">
        <f ca="1">IF(Main[[#This Row],[مانده در خط سررسید شده (کیلوگرم)]]&lt;&gt;0,Main[[#This Row],[تعداد کل روزهای بدهکار (روز)]],0)</f>
        <v>0</v>
      </c>
      <c r="AF1571" s="6">
        <f ca="1">Main[[#This Row],[تعداد روزهای بدهکار سررسید شده (روز)]]*Main[[#This Row],[مانده در خط سررسید شده (کیلوگرم)]]</f>
        <v>0</v>
      </c>
    </row>
    <row r="1572" spans="1:32" hidden="1" x14ac:dyDescent="0.35">
      <c r="A1572" s="5">
        <f>ROW()-ROW(INDEX(Main[ردیف],1))+1</f>
        <v>1570</v>
      </c>
      <c r="B1572" s="31">
        <f>SUBTOTAL(2,INDEX(Main[ردیف],1):Main[[#This Row],[ردیف]])</f>
        <v>142</v>
      </c>
      <c r="C1572" s="32" t="s">
        <v>692</v>
      </c>
      <c r="D1572" s="32" t="str">
        <f>_xlfn.CONCAT("14",Main[[#This Row],[تاريخ]])</f>
        <v>1400/06/20</v>
      </c>
      <c r="E1572" s="33">
        <v>44450</v>
      </c>
      <c r="F1572" s="32">
        <v>10018</v>
      </c>
      <c r="G1572" s="5" t="str">
        <f>INDEX(customer[عنوان],MATCH(Main[[#This Row],[کد ردیابی]],customer[کد],0))</f>
        <v xml:space="preserve">کوهی </v>
      </c>
      <c r="H1572">
        <v>74</v>
      </c>
      <c r="I1572" s="6">
        <f ca="1">-Main[[#This Row],[بدهی تسویه شده (کیلوگرم)]]+Main[[#This Row],[بستانکار (کیلوگرم)]]</f>
        <v>74</v>
      </c>
      <c r="J1572" s="6">
        <f>IF(Main[[#This Row],[مقدار (کیلوگرم)]]&gt;0,Main[[#This Row],[مقدار (کیلوگرم)]],0)</f>
        <v>74</v>
      </c>
      <c r="K1572" s="6">
        <f>-IF(Main[[#This Row],[مقدار (کیلوگرم)]]&lt;0,Main[[#This Row],[مقدار (کیلوگرم)]],0)</f>
        <v>0</v>
      </c>
      <c r="L15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2" s="7">
        <f>-IF(AND(Main[[#This Row],[مقدار (کیلوگرم)]]&lt;0,Main[[#This Row],[تاريخ میلادی]]&gt;44276),Main[[#This Row],[مقدار (کیلوگرم)]],0)</f>
        <v>0</v>
      </c>
      <c r="N1572" s="6">
        <f ca="1">Main[[#This Row],[بدهکار (کیلوگرم)]]-Main[[#This Row],[بدهی تسویه نشده (کیلوگرم)]]</f>
        <v>0</v>
      </c>
      <c r="O1572" s="6">
        <f ca="1">Main[[#This Row],[تفکیک]]</f>
        <v>0</v>
      </c>
      <c r="P1572" s="6">
        <f ca="1">IF(Main[[#This Row],[تاخیر از سررسید]]&gt;0,Main[[#This Row],[بدهی تسویه نشده (کیلوگرم)]],0)</f>
        <v>0</v>
      </c>
      <c r="Q1572" s="6">
        <f ca="1">IF(Main[[#This Row],[بدهی تسویه نشده (کیلوگرم)]]&gt;0,'گزارش فردی'!$B$7-Main[[#This Row],[تاريخ میلادی]],0)</f>
        <v>0</v>
      </c>
      <c r="R1572" s="6">
        <f ca="1">IF(Main[[#This Row],[بدهی تسویه نشده (کیلوگرم)]]&gt;0,'گزارش فردی'!$B$7-Main[[#This Row],[تاريخ میلادی]]-'گزارش فردی'!$B$8,0)</f>
        <v>0</v>
      </c>
      <c r="S1572" s="6">
        <f ca="1">Main[[#This Row],[روز از ارسال سفارش]]*Main[[#This Row],[بدهی تسویه نشده (کیلوگرم)]]</f>
        <v>0</v>
      </c>
      <c r="T1572" s="6">
        <f ca="1">Main[[#This Row],[بدهی سررسید شده (کیلوگرم)]]*Main[[#This Row],[روز از ارسال سفارش]]</f>
        <v>0</v>
      </c>
      <c r="U1572" s="6">
        <f>-SUBTOTAL(9,INDEX(Main[مقدار (کیلوگرم)],1):Main[[#This Row],[مقدار (کیلوگرم)]])</f>
        <v>27880</v>
      </c>
      <c r="V15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2" s="6">
        <f>Main[[#This Row],[تعداد کل روزهای بدهکار (روز)]]*Main[[#This Row],[مانده در خط کل (کیلوگرم)]]</f>
        <v>0</v>
      </c>
      <c r="X1572" s="6">
        <f ca="1">-SUBTOTAL(9,INDEX(Main[مقدار تسویه شده (کیلوگرم)],1):Main[[#This Row],[مقدار تسویه شده (کیلوگرم)]])</f>
        <v>27880</v>
      </c>
      <c r="Y1572" s="6">
        <f ca="1">IF(Main[[#This Row],[مانده در خط تسویه شده (کیلوگرم)]]&lt;&gt;0,Main[[#This Row],[تعداد کل روزهای بدهکار (روز)]],0)</f>
        <v>0</v>
      </c>
      <c r="Z1572" s="6">
        <f ca="1">Main[[#This Row],[تعداد روزهای بدهکار تسویه شده (روز)]]*Main[[#This Row],[مانده در خط تسویه شده (کیلوگرم)]]</f>
        <v>0</v>
      </c>
      <c r="AA1572" s="6">
        <f ca="1">SUBTOTAL(9,INDEX(Main[بدهی تسویه نشده (کیلوگرم)],1):Main[[#This Row],[بدهی تسویه نشده (کیلوگرم)]])</f>
        <v>0</v>
      </c>
      <c r="AB1572" s="6">
        <f ca="1">IF(Main[[#This Row],[مانده در خط تسویه نشده (کیلوگرم)]]&lt;&gt;0,Main[[#This Row],[تعداد کل روزهای بدهکار (روز)]],0)</f>
        <v>0</v>
      </c>
      <c r="AC1572" s="6">
        <f ca="1">Main[[#This Row],[تعداد روزهای بدهکار  تسویه نشده (روز)]]*Main[[#This Row],[مانده در خط تسویه نشده (کیلوگرم)]]</f>
        <v>0</v>
      </c>
      <c r="AD1572" s="6">
        <f ca="1">SUBTOTAL(9,INDEX(Main[بدهی سررسید شده (کیلوگرم)],1):Main[[#This Row],[بدهی سررسید شده (کیلوگرم)]])</f>
        <v>0</v>
      </c>
      <c r="AE1572" s="6">
        <f ca="1">IF(Main[[#This Row],[مانده در خط سررسید شده (کیلوگرم)]]&lt;&gt;0,Main[[#This Row],[تعداد کل روزهای بدهکار (روز)]],0)</f>
        <v>0</v>
      </c>
      <c r="AF1572" s="6">
        <f ca="1">Main[[#This Row],[تعداد روزهای بدهکار سررسید شده (روز)]]*Main[[#This Row],[مانده در خط سررسید شده (کیلوگرم)]]</f>
        <v>0</v>
      </c>
    </row>
    <row r="1573" spans="1:32" hidden="1" x14ac:dyDescent="0.35">
      <c r="A1573" s="5">
        <f>ROW()-ROW(INDEX(Main[ردیف],1))+1</f>
        <v>1571</v>
      </c>
      <c r="B1573" s="31">
        <f>SUBTOTAL(2,INDEX(Main[ردیف],1):Main[[#This Row],[ردیف]])</f>
        <v>142</v>
      </c>
      <c r="C1573" s="32" t="s">
        <v>692</v>
      </c>
      <c r="D1573" s="32" t="str">
        <f>_xlfn.CONCAT("14",Main[[#This Row],[تاريخ]])</f>
        <v>1400/06/20</v>
      </c>
      <c r="E1573" s="33">
        <v>44450</v>
      </c>
      <c r="F1573" s="32">
        <v>10009</v>
      </c>
      <c r="G1573" s="5" t="str">
        <f>INDEX(customer[عنوان],MATCH(Main[[#This Row],[کد ردیابی]],customer[کد],0))</f>
        <v>محمد نمازی</v>
      </c>
      <c r="H1573">
        <v>-2139</v>
      </c>
      <c r="I1573" s="6">
        <f ca="1">-Main[[#This Row],[بدهی تسویه شده (کیلوگرم)]]+Main[[#This Row],[بستانکار (کیلوگرم)]]</f>
        <v>-2139</v>
      </c>
      <c r="J1573" s="6">
        <f>IF(Main[[#This Row],[مقدار (کیلوگرم)]]&gt;0,Main[[#This Row],[مقدار (کیلوگرم)]],0)</f>
        <v>0</v>
      </c>
      <c r="K1573" s="6">
        <f>-IF(Main[[#This Row],[مقدار (کیلوگرم)]]&lt;0,Main[[#This Row],[مقدار (کیلوگرم)]],0)</f>
        <v>2139</v>
      </c>
      <c r="L15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3" s="7">
        <f>-IF(AND(Main[[#This Row],[مقدار (کیلوگرم)]]&lt;0,Main[[#This Row],[تاريخ میلادی]]&gt;44276),Main[[#This Row],[مقدار (کیلوگرم)]],0)</f>
        <v>2139</v>
      </c>
      <c r="N1573" s="6">
        <f ca="1">Main[[#This Row],[بدهکار (کیلوگرم)]]-Main[[#This Row],[بدهی تسویه نشده (کیلوگرم)]]</f>
        <v>2139</v>
      </c>
      <c r="O1573" s="6">
        <f ca="1">Main[[#This Row],[تفکیک]]</f>
        <v>0</v>
      </c>
      <c r="P1573" s="6">
        <f ca="1">IF(Main[[#This Row],[تاخیر از سررسید]]&gt;0,Main[[#This Row],[بدهی تسویه نشده (کیلوگرم)]],0)</f>
        <v>0</v>
      </c>
      <c r="Q1573" s="6">
        <f ca="1">IF(Main[[#This Row],[بدهی تسویه نشده (کیلوگرم)]]&gt;0,'گزارش فردی'!$B$7-Main[[#This Row],[تاريخ میلادی]],0)</f>
        <v>0</v>
      </c>
      <c r="R1573" s="6">
        <f ca="1">IF(Main[[#This Row],[بدهی تسویه نشده (کیلوگرم)]]&gt;0,'گزارش فردی'!$B$7-Main[[#This Row],[تاريخ میلادی]]-'گزارش فردی'!$B$8,0)</f>
        <v>0</v>
      </c>
      <c r="S1573" s="6">
        <f ca="1">Main[[#This Row],[روز از ارسال سفارش]]*Main[[#This Row],[بدهی تسویه نشده (کیلوگرم)]]</f>
        <v>0</v>
      </c>
      <c r="T1573" s="6">
        <f ca="1">Main[[#This Row],[بدهی سررسید شده (کیلوگرم)]]*Main[[#This Row],[روز از ارسال سفارش]]</f>
        <v>0</v>
      </c>
      <c r="U1573" s="6">
        <f>-SUBTOTAL(9,INDEX(Main[مقدار (کیلوگرم)],1):Main[[#This Row],[مقدار (کیلوگرم)]])</f>
        <v>27880</v>
      </c>
      <c r="V15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3" s="6">
        <f>Main[[#This Row],[تعداد کل روزهای بدهکار (روز)]]*Main[[#This Row],[مانده در خط کل (کیلوگرم)]]</f>
        <v>0</v>
      </c>
      <c r="X1573" s="6">
        <f ca="1">-SUBTOTAL(9,INDEX(Main[مقدار تسویه شده (کیلوگرم)],1):Main[[#This Row],[مقدار تسویه شده (کیلوگرم)]])</f>
        <v>27880</v>
      </c>
      <c r="Y1573" s="6">
        <f ca="1">IF(Main[[#This Row],[مانده در خط تسویه شده (کیلوگرم)]]&lt;&gt;0,Main[[#This Row],[تعداد کل روزهای بدهکار (روز)]],0)</f>
        <v>0</v>
      </c>
      <c r="Z1573" s="6">
        <f ca="1">Main[[#This Row],[تعداد روزهای بدهکار تسویه شده (روز)]]*Main[[#This Row],[مانده در خط تسویه شده (کیلوگرم)]]</f>
        <v>0</v>
      </c>
      <c r="AA1573" s="6">
        <f ca="1">SUBTOTAL(9,INDEX(Main[بدهی تسویه نشده (کیلوگرم)],1):Main[[#This Row],[بدهی تسویه نشده (کیلوگرم)]])</f>
        <v>0</v>
      </c>
      <c r="AB1573" s="6">
        <f ca="1">IF(Main[[#This Row],[مانده در خط تسویه نشده (کیلوگرم)]]&lt;&gt;0,Main[[#This Row],[تعداد کل روزهای بدهکار (روز)]],0)</f>
        <v>0</v>
      </c>
      <c r="AC1573" s="6">
        <f ca="1">Main[[#This Row],[تعداد روزهای بدهکار  تسویه نشده (روز)]]*Main[[#This Row],[مانده در خط تسویه نشده (کیلوگرم)]]</f>
        <v>0</v>
      </c>
      <c r="AD1573" s="6">
        <f ca="1">SUBTOTAL(9,INDEX(Main[بدهی سررسید شده (کیلوگرم)],1):Main[[#This Row],[بدهی سررسید شده (کیلوگرم)]])</f>
        <v>0</v>
      </c>
      <c r="AE1573" s="6">
        <f ca="1">IF(Main[[#This Row],[مانده در خط سررسید شده (کیلوگرم)]]&lt;&gt;0,Main[[#This Row],[تعداد کل روزهای بدهکار (روز)]],0)</f>
        <v>0</v>
      </c>
      <c r="AF1573" s="6">
        <f ca="1">Main[[#This Row],[تعداد روزهای بدهکار سررسید شده (روز)]]*Main[[#This Row],[مانده در خط سررسید شده (کیلوگرم)]]</f>
        <v>0</v>
      </c>
    </row>
    <row r="1574" spans="1:32" x14ac:dyDescent="0.35">
      <c r="A1574" s="5">
        <f>ROW()-ROW(INDEX(Main[ردیف],1))+1</f>
        <v>1572</v>
      </c>
      <c r="B1574" s="31">
        <f>SUBTOTAL(2,INDEX(Main[ردیف],1):Main[[#This Row],[ردیف]])</f>
        <v>143</v>
      </c>
      <c r="C1574" s="32" t="s">
        <v>692</v>
      </c>
      <c r="D1574" s="32" t="str">
        <f>_xlfn.CONCAT("14",Main[[#This Row],[تاريخ]])</f>
        <v>1400/06/20</v>
      </c>
      <c r="E1574" s="33">
        <v>44450</v>
      </c>
      <c r="F1574" s="32">
        <v>10003</v>
      </c>
      <c r="G1574" s="5" t="str">
        <f>INDEX(customer[عنوان],MATCH(Main[[#This Row],[کد ردیابی]],customer[کد],0))</f>
        <v>اصغر نورعلی</v>
      </c>
      <c r="H1574">
        <v>-6107</v>
      </c>
      <c r="I1574" s="6">
        <f ca="1">-Main[[#This Row],[بدهی تسویه شده (کیلوگرم)]]+Main[[#This Row],[بستانکار (کیلوگرم)]]</f>
        <v>-6107</v>
      </c>
      <c r="J1574" s="6">
        <f>IF(Main[[#This Row],[مقدار (کیلوگرم)]]&gt;0,Main[[#This Row],[مقدار (کیلوگرم)]],0)</f>
        <v>0</v>
      </c>
      <c r="K1574" s="6">
        <f>-IF(Main[[#This Row],[مقدار (کیلوگرم)]]&lt;0,Main[[#This Row],[مقدار (کیلوگرم)]],0)</f>
        <v>6107</v>
      </c>
      <c r="L15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4" s="7">
        <f>-IF(AND(Main[[#This Row],[مقدار (کیلوگرم)]]&lt;0,Main[[#This Row],[تاريخ میلادی]]&gt;44276),Main[[#This Row],[مقدار (کیلوگرم)]],0)</f>
        <v>6107</v>
      </c>
      <c r="N1574" s="6">
        <f ca="1">Main[[#This Row],[بدهکار (کیلوگرم)]]-Main[[#This Row],[بدهی تسویه نشده (کیلوگرم)]]</f>
        <v>6107</v>
      </c>
      <c r="O1574" s="6">
        <f ca="1">Main[[#This Row],[تفکیک]]</f>
        <v>0</v>
      </c>
      <c r="P1574" s="6">
        <f ca="1">IF(Main[[#This Row],[تاخیر از سررسید]]&gt;0,Main[[#This Row],[بدهی تسویه نشده (کیلوگرم)]],0)</f>
        <v>0</v>
      </c>
      <c r="Q1574" s="6">
        <f ca="1">IF(Main[[#This Row],[بدهی تسویه نشده (کیلوگرم)]]&gt;0,'گزارش فردی'!$B$7-Main[[#This Row],[تاريخ میلادی]],0)</f>
        <v>0</v>
      </c>
      <c r="R1574" s="6">
        <f ca="1">IF(Main[[#This Row],[بدهی تسویه نشده (کیلوگرم)]]&gt;0,'گزارش فردی'!$B$7-Main[[#This Row],[تاريخ میلادی]]-'گزارش فردی'!$B$8,0)</f>
        <v>0</v>
      </c>
      <c r="S1574" s="6">
        <f ca="1">Main[[#This Row],[روز از ارسال سفارش]]*Main[[#This Row],[بدهی تسویه نشده (کیلوگرم)]]</f>
        <v>0</v>
      </c>
      <c r="T1574" s="6">
        <f ca="1">Main[[#This Row],[بدهی سررسید شده (کیلوگرم)]]*Main[[#This Row],[روز از ارسال سفارش]]</f>
        <v>0</v>
      </c>
      <c r="U1574" s="6">
        <f>-SUBTOTAL(9,INDEX(Main[مقدار (کیلوگرم)],1):Main[[#This Row],[مقدار (کیلوگرم)]])</f>
        <v>33987</v>
      </c>
      <c r="V15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74" s="6">
        <f>Main[[#This Row],[تعداد کل روزهای بدهکار (روز)]]*Main[[#This Row],[مانده در خط کل (کیلوگرم)]]</f>
        <v>33987</v>
      </c>
      <c r="X1574" s="6">
        <f ca="1">-SUBTOTAL(9,INDEX(Main[مقدار تسویه شده (کیلوگرم)],1):Main[[#This Row],[مقدار تسویه شده (کیلوگرم)]])</f>
        <v>33987</v>
      </c>
      <c r="Y1574" s="6">
        <f ca="1">IF(Main[[#This Row],[مانده در خط تسویه شده (کیلوگرم)]]&lt;&gt;0,Main[[#This Row],[تعداد کل روزهای بدهکار (روز)]],0)</f>
        <v>1</v>
      </c>
      <c r="Z1574" s="6">
        <f ca="1">Main[[#This Row],[تعداد روزهای بدهکار تسویه شده (روز)]]*Main[[#This Row],[مانده در خط تسویه شده (کیلوگرم)]]</f>
        <v>33987</v>
      </c>
      <c r="AA1574" s="6">
        <f ca="1">SUBTOTAL(9,INDEX(Main[بدهی تسویه نشده (کیلوگرم)],1):Main[[#This Row],[بدهی تسویه نشده (کیلوگرم)]])</f>
        <v>0</v>
      </c>
      <c r="AB1574" s="6">
        <f ca="1">IF(Main[[#This Row],[مانده در خط تسویه نشده (کیلوگرم)]]&lt;&gt;0,Main[[#This Row],[تعداد کل روزهای بدهکار (روز)]],0)</f>
        <v>0</v>
      </c>
      <c r="AC1574" s="6">
        <f ca="1">Main[[#This Row],[تعداد روزهای بدهکار  تسویه نشده (روز)]]*Main[[#This Row],[مانده در خط تسویه نشده (کیلوگرم)]]</f>
        <v>0</v>
      </c>
      <c r="AD1574" s="6">
        <f ca="1">SUBTOTAL(9,INDEX(Main[بدهی سررسید شده (کیلوگرم)],1):Main[[#This Row],[بدهی سررسید شده (کیلوگرم)]])</f>
        <v>0</v>
      </c>
      <c r="AE1574" s="6">
        <f ca="1">IF(Main[[#This Row],[مانده در خط سررسید شده (کیلوگرم)]]&lt;&gt;0,Main[[#This Row],[تعداد کل روزهای بدهکار (روز)]],0)</f>
        <v>0</v>
      </c>
      <c r="AF1574" s="6">
        <f ca="1">Main[[#This Row],[تعداد روزهای بدهکار سررسید شده (روز)]]*Main[[#This Row],[مانده در خط سررسید شده (کیلوگرم)]]</f>
        <v>0</v>
      </c>
    </row>
    <row r="1575" spans="1:32" hidden="1" x14ac:dyDescent="0.35">
      <c r="A1575" s="5">
        <f>ROW()-ROW(INDEX(Main[ردیف],1))+1</f>
        <v>1573</v>
      </c>
      <c r="B1575" s="31">
        <f>SUBTOTAL(2,INDEX(Main[ردیف],1):Main[[#This Row],[ردیف]])</f>
        <v>143</v>
      </c>
      <c r="C1575" s="32" t="s">
        <v>692</v>
      </c>
      <c r="D1575" s="32" t="str">
        <f>_xlfn.CONCAT("14",Main[[#This Row],[تاريخ]])</f>
        <v>1400/06/20</v>
      </c>
      <c r="E1575" s="33">
        <v>44450</v>
      </c>
      <c r="F1575" s="32">
        <v>10029</v>
      </c>
      <c r="G1575" s="5" t="str">
        <f>INDEX(customer[عنوان],MATCH(Main[[#This Row],[کد ردیابی]],customer[کد],0))</f>
        <v>رضا شریعتی</v>
      </c>
      <c r="H1575">
        <v>-523</v>
      </c>
      <c r="I1575" s="6">
        <f ca="1">-Main[[#This Row],[بدهی تسویه شده (کیلوگرم)]]+Main[[#This Row],[بستانکار (کیلوگرم)]]</f>
        <v>-523</v>
      </c>
      <c r="J1575" s="6">
        <f>IF(Main[[#This Row],[مقدار (کیلوگرم)]]&gt;0,Main[[#This Row],[مقدار (کیلوگرم)]],0)</f>
        <v>0</v>
      </c>
      <c r="K1575" s="6">
        <f>-IF(Main[[#This Row],[مقدار (کیلوگرم)]]&lt;0,Main[[#This Row],[مقدار (کیلوگرم)]],0)</f>
        <v>523</v>
      </c>
      <c r="L15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5" s="7">
        <f>-IF(AND(Main[[#This Row],[مقدار (کیلوگرم)]]&lt;0,Main[[#This Row],[تاريخ میلادی]]&gt;44276),Main[[#This Row],[مقدار (کیلوگرم)]],0)</f>
        <v>523</v>
      </c>
      <c r="N1575" s="6">
        <f ca="1">Main[[#This Row],[بدهکار (کیلوگرم)]]-Main[[#This Row],[بدهی تسویه نشده (کیلوگرم)]]</f>
        <v>523</v>
      </c>
      <c r="O1575" s="6">
        <f ca="1">Main[[#This Row],[تفکیک]]</f>
        <v>0</v>
      </c>
      <c r="P1575" s="6">
        <f ca="1">IF(Main[[#This Row],[تاخیر از سررسید]]&gt;0,Main[[#This Row],[بدهی تسویه نشده (کیلوگرم)]],0)</f>
        <v>0</v>
      </c>
      <c r="Q1575" s="6">
        <f ca="1">IF(Main[[#This Row],[بدهی تسویه نشده (کیلوگرم)]]&gt;0,'گزارش فردی'!$B$7-Main[[#This Row],[تاريخ میلادی]],0)</f>
        <v>0</v>
      </c>
      <c r="R1575" s="6">
        <f ca="1">IF(Main[[#This Row],[بدهی تسویه نشده (کیلوگرم)]]&gt;0,'گزارش فردی'!$B$7-Main[[#This Row],[تاريخ میلادی]]-'گزارش فردی'!$B$8,0)</f>
        <v>0</v>
      </c>
      <c r="S1575" s="6">
        <f ca="1">Main[[#This Row],[روز از ارسال سفارش]]*Main[[#This Row],[بدهی تسویه نشده (کیلوگرم)]]</f>
        <v>0</v>
      </c>
      <c r="T1575" s="6">
        <f ca="1">Main[[#This Row],[بدهی سررسید شده (کیلوگرم)]]*Main[[#This Row],[روز از ارسال سفارش]]</f>
        <v>0</v>
      </c>
      <c r="U1575" s="6">
        <f>-SUBTOTAL(9,INDEX(Main[مقدار (کیلوگرم)],1):Main[[#This Row],[مقدار (کیلوگرم)]])</f>
        <v>33987</v>
      </c>
      <c r="V15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75" s="6">
        <f>Main[[#This Row],[تعداد کل روزهای بدهکار (روز)]]*Main[[#This Row],[مانده در خط کل (کیلوگرم)]]</f>
        <v>33987</v>
      </c>
      <c r="X1575" s="6">
        <f ca="1">-SUBTOTAL(9,INDEX(Main[مقدار تسویه شده (کیلوگرم)],1):Main[[#This Row],[مقدار تسویه شده (کیلوگرم)]])</f>
        <v>33987</v>
      </c>
      <c r="Y1575" s="6">
        <f ca="1">IF(Main[[#This Row],[مانده در خط تسویه شده (کیلوگرم)]]&lt;&gt;0,Main[[#This Row],[تعداد کل روزهای بدهکار (روز)]],0)</f>
        <v>1</v>
      </c>
      <c r="Z1575" s="6">
        <f ca="1">Main[[#This Row],[تعداد روزهای بدهکار تسویه شده (روز)]]*Main[[#This Row],[مانده در خط تسویه شده (کیلوگرم)]]</f>
        <v>33987</v>
      </c>
      <c r="AA1575" s="6">
        <f ca="1">SUBTOTAL(9,INDEX(Main[بدهی تسویه نشده (کیلوگرم)],1):Main[[#This Row],[بدهی تسویه نشده (کیلوگرم)]])</f>
        <v>0</v>
      </c>
      <c r="AB1575" s="6">
        <f ca="1">IF(Main[[#This Row],[مانده در خط تسویه نشده (کیلوگرم)]]&lt;&gt;0,Main[[#This Row],[تعداد کل روزهای بدهکار (روز)]],0)</f>
        <v>0</v>
      </c>
      <c r="AC1575" s="6">
        <f ca="1">Main[[#This Row],[تعداد روزهای بدهکار  تسویه نشده (روز)]]*Main[[#This Row],[مانده در خط تسویه نشده (کیلوگرم)]]</f>
        <v>0</v>
      </c>
      <c r="AD1575" s="6">
        <f ca="1">SUBTOTAL(9,INDEX(Main[بدهی سررسید شده (کیلوگرم)],1):Main[[#This Row],[بدهی سررسید شده (کیلوگرم)]])</f>
        <v>0</v>
      </c>
      <c r="AE1575" s="6">
        <f ca="1">IF(Main[[#This Row],[مانده در خط سررسید شده (کیلوگرم)]]&lt;&gt;0,Main[[#This Row],[تعداد کل روزهای بدهکار (روز)]],0)</f>
        <v>0</v>
      </c>
      <c r="AF1575" s="6">
        <f ca="1">Main[[#This Row],[تعداد روزهای بدهکار سررسید شده (روز)]]*Main[[#This Row],[مانده در خط سررسید شده (کیلوگرم)]]</f>
        <v>0</v>
      </c>
    </row>
    <row r="1576" spans="1:32" hidden="1" x14ac:dyDescent="0.35">
      <c r="A1576" s="5">
        <f>ROW()-ROW(INDEX(Main[ردیف],1))+1</f>
        <v>1574</v>
      </c>
      <c r="B1576" s="31">
        <f>SUBTOTAL(2,INDEX(Main[ردیف],1):Main[[#This Row],[ردیف]])</f>
        <v>143</v>
      </c>
      <c r="C1576" s="32" t="s">
        <v>692</v>
      </c>
      <c r="D1576" s="32" t="str">
        <f>_xlfn.CONCAT("14",Main[[#This Row],[تاريخ]])</f>
        <v>1400/06/20</v>
      </c>
      <c r="E1576" s="33">
        <v>44450</v>
      </c>
      <c r="F1576" s="32">
        <v>10018</v>
      </c>
      <c r="G1576" s="5" t="str">
        <f>INDEX(customer[عنوان],MATCH(Main[[#This Row],[کد ردیابی]],customer[کد],0))</f>
        <v xml:space="preserve">کوهی </v>
      </c>
      <c r="H1576">
        <v>-514</v>
      </c>
      <c r="I1576" s="6">
        <f ca="1">-Main[[#This Row],[بدهی تسویه شده (کیلوگرم)]]+Main[[#This Row],[بستانکار (کیلوگرم)]]</f>
        <v>-514</v>
      </c>
      <c r="J1576" s="6">
        <f>IF(Main[[#This Row],[مقدار (کیلوگرم)]]&gt;0,Main[[#This Row],[مقدار (کیلوگرم)]],0)</f>
        <v>0</v>
      </c>
      <c r="K1576" s="6">
        <f>-IF(Main[[#This Row],[مقدار (کیلوگرم)]]&lt;0,Main[[#This Row],[مقدار (کیلوگرم)]],0)</f>
        <v>514</v>
      </c>
      <c r="L15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6" s="7">
        <f>-IF(AND(Main[[#This Row],[مقدار (کیلوگرم)]]&lt;0,Main[[#This Row],[تاريخ میلادی]]&gt;44276),Main[[#This Row],[مقدار (کیلوگرم)]],0)</f>
        <v>514</v>
      </c>
      <c r="N1576" s="6">
        <f ca="1">Main[[#This Row],[بدهکار (کیلوگرم)]]-Main[[#This Row],[بدهی تسویه نشده (کیلوگرم)]]</f>
        <v>514</v>
      </c>
      <c r="O1576" s="6">
        <f ca="1">Main[[#This Row],[تفکیک]]</f>
        <v>0</v>
      </c>
      <c r="P1576" s="6">
        <f ca="1">IF(Main[[#This Row],[تاخیر از سررسید]]&gt;0,Main[[#This Row],[بدهی تسویه نشده (کیلوگرم)]],0)</f>
        <v>0</v>
      </c>
      <c r="Q1576" s="6">
        <f ca="1">IF(Main[[#This Row],[بدهی تسویه نشده (کیلوگرم)]]&gt;0,'گزارش فردی'!$B$7-Main[[#This Row],[تاريخ میلادی]],0)</f>
        <v>0</v>
      </c>
      <c r="R1576" s="6">
        <f ca="1">IF(Main[[#This Row],[بدهی تسویه نشده (کیلوگرم)]]&gt;0,'گزارش فردی'!$B$7-Main[[#This Row],[تاريخ میلادی]]-'گزارش فردی'!$B$8,0)</f>
        <v>0</v>
      </c>
      <c r="S1576" s="6">
        <f ca="1">Main[[#This Row],[روز از ارسال سفارش]]*Main[[#This Row],[بدهی تسویه نشده (کیلوگرم)]]</f>
        <v>0</v>
      </c>
      <c r="T1576" s="6">
        <f ca="1">Main[[#This Row],[بدهی سررسید شده (کیلوگرم)]]*Main[[#This Row],[روز از ارسال سفارش]]</f>
        <v>0</v>
      </c>
      <c r="U1576" s="6">
        <f>-SUBTOTAL(9,INDEX(Main[مقدار (کیلوگرم)],1):Main[[#This Row],[مقدار (کیلوگرم)]])</f>
        <v>33987</v>
      </c>
      <c r="V15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76" s="6">
        <f>Main[[#This Row],[تعداد کل روزهای بدهکار (روز)]]*Main[[#This Row],[مانده در خط کل (کیلوگرم)]]</f>
        <v>33987</v>
      </c>
      <c r="X1576" s="6">
        <f ca="1">-SUBTOTAL(9,INDEX(Main[مقدار تسویه شده (کیلوگرم)],1):Main[[#This Row],[مقدار تسویه شده (کیلوگرم)]])</f>
        <v>33987</v>
      </c>
      <c r="Y1576" s="6">
        <f ca="1">IF(Main[[#This Row],[مانده در خط تسویه شده (کیلوگرم)]]&lt;&gt;0,Main[[#This Row],[تعداد کل روزهای بدهکار (روز)]],0)</f>
        <v>1</v>
      </c>
      <c r="Z1576" s="6">
        <f ca="1">Main[[#This Row],[تعداد روزهای بدهکار تسویه شده (روز)]]*Main[[#This Row],[مانده در خط تسویه شده (کیلوگرم)]]</f>
        <v>33987</v>
      </c>
      <c r="AA1576" s="6">
        <f ca="1">SUBTOTAL(9,INDEX(Main[بدهی تسویه نشده (کیلوگرم)],1):Main[[#This Row],[بدهی تسویه نشده (کیلوگرم)]])</f>
        <v>0</v>
      </c>
      <c r="AB1576" s="6">
        <f ca="1">IF(Main[[#This Row],[مانده در خط تسویه نشده (کیلوگرم)]]&lt;&gt;0,Main[[#This Row],[تعداد کل روزهای بدهکار (روز)]],0)</f>
        <v>0</v>
      </c>
      <c r="AC1576" s="6">
        <f ca="1">Main[[#This Row],[تعداد روزهای بدهکار  تسویه نشده (روز)]]*Main[[#This Row],[مانده در خط تسویه نشده (کیلوگرم)]]</f>
        <v>0</v>
      </c>
      <c r="AD1576" s="6">
        <f ca="1">SUBTOTAL(9,INDEX(Main[بدهی سررسید شده (کیلوگرم)],1):Main[[#This Row],[بدهی سررسید شده (کیلوگرم)]])</f>
        <v>0</v>
      </c>
      <c r="AE1576" s="6">
        <f ca="1">IF(Main[[#This Row],[مانده در خط سررسید شده (کیلوگرم)]]&lt;&gt;0,Main[[#This Row],[تعداد کل روزهای بدهکار (روز)]],0)</f>
        <v>0</v>
      </c>
      <c r="AF1576" s="6">
        <f ca="1">Main[[#This Row],[تعداد روزهای بدهکار سررسید شده (روز)]]*Main[[#This Row],[مانده در خط سررسید شده (کیلوگرم)]]</f>
        <v>0</v>
      </c>
    </row>
    <row r="1577" spans="1:32" hidden="1" x14ac:dyDescent="0.35">
      <c r="A1577" s="5">
        <f>ROW()-ROW(INDEX(Main[ردیف],1))+1</f>
        <v>1575</v>
      </c>
      <c r="B1577" s="31">
        <f>SUBTOTAL(2,INDEX(Main[ردیف],1):Main[[#This Row],[ردیف]])</f>
        <v>143</v>
      </c>
      <c r="C1577" s="32" t="s">
        <v>697</v>
      </c>
      <c r="D1577" s="32" t="str">
        <f>_xlfn.CONCAT("14",Main[[#This Row],[تاريخ]])</f>
        <v>1400/06/21</v>
      </c>
      <c r="E1577" s="33">
        <v>44451</v>
      </c>
      <c r="F1577" s="32">
        <v>10055</v>
      </c>
      <c r="G1577" s="5" t="str">
        <f>INDEX(customer[عنوان],MATCH(Main[[#This Row],[کد ردیابی]],customer[کد],0))</f>
        <v xml:space="preserve">مریم فیض آبادی  </v>
      </c>
      <c r="H1577">
        <v>7013</v>
      </c>
      <c r="I1577" s="6">
        <f ca="1">-Main[[#This Row],[بدهی تسویه شده (کیلوگرم)]]+Main[[#This Row],[بستانکار (کیلوگرم)]]</f>
        <v>7013</v>
      </c>
      <c r="J1577" s="6">
        <f>IF(Main[[#This Row],[مقدار (کیلوگرم)]]&gt;0,Main[[#This Row],[مقدار (کیلوگرم)]],0)</f>
        <v>7013</v>
      </c>
      <c r="K1577" s="6">
        <f>-IF(Main[[#This Row],[مقدار (کیلوگرم)]]&lt;0,Main[[#This Row],[مقدار (کیلوگرم)]],0)</f>
        <v>0</v>
      </c>
      <c r="L15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7" s="7">
        <f>-IF(AND(Main[[#This Row],[مقدار (کیلوگرم)]]&lt;0,Main[[#This Row],[تاريخ میلادی]]&gt;44276),Main[[#This Row],[مقدار (کیلوگرم)]],0)</f>
        <v>0</v>
      </c>
      <c r="N1577" s="6">
        <f ca="1">Main[[#This Row],[بدهکار (کیلوگرم)]]-Main[[#This Row],[بدهی تسویه نشده (کیلوگرم)]]</f>
        <v>0</v>
      </c>
      <c r="O1577" s="6">
        <f ca="1">Main[[#This Row],[تفکیک]]</f>
        <v>0</v>
      </c>
      <c r="P1577" s="6">
        <f ca="1">IF(Main[[#This Row],[تاخیر از سررسید]]&gt;0,Main[[#This Row],[بدهی تسویه نشده (کیلوگرم)]],0)</f>
        <v>0</v>
      </c>
      <c r="Q1577" s="6">
        <f ca="1">IF(Main[[#This Row],[بدهی تسویه نشده (کیلوگرم)]]&gt;0,'گزارش فردی'!$B$7-Main[[#This Row],[تاريخ میلادی]],0)</f>
        <v>0</v>
      </c>
      <c r="R1577" s="6">
        <f ca="1">IF(Main[[#This Row],[بدهی تسویه نشده (کیلوگرم)]]&gt;0,'گزارش فردی'!$B$7-Main[[#This Row],[تاريخ میلادی]]-'گزارش فردی'!$B$8,0)</f>
        <v>0</v>
      </c>
      <c r="S1577" s="6">
        <f ca="1">Main[[#This Row],[روز از ارسال سفارش]]*Main[[#This Row],[بدهی تسویه نشده (کیلوگرم)]]</f>
        <v>0</v>
      </c>
      <c r="T1577" s="6">
        <f ca="1">Main[[#This Row],[بدهی سررسید شده (کیلوگرم)]]*Main[[#This Row],[روز از ارسال سفارش]]</f>
        <v>0</v>
      </c>
      <c r="U1577" s="6">
        <f>-SUBTOTAL(9,INDEX(Main[مقدار (کیلوگرم)],1):Main[[#This Row],[مقدار (کیلوگرم)]])</f>
        <v>33987</v>
      </c>
      <c r="V15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7" s="6">
        <f>Main[[#This Row],[تعداد کل روزهای بدهکار (روز)]]*Main[[#This Row],[مانده در خط کل (کیلوگرم)]]</f>
        <v>0</v>
      </c>
      <c r="X1577" s="6">
        <f ca="1">-SUBTOTAL(9,INDEX(Main[مقدار تسویه شده (کیلوگرم)],1):Main[[#This Row],[مقدار تسویه شده (کیلوگرم)]])</f>
        <v>33987</v>
      </c>
      <c r="Y1577" s="6">
        <f ca="1">IF(Main[[#This Row],[مانده در خط تسویه شده (کیلوگرم)]]&lt;&gt;0,Main[[#This Row],[تعداد کل روزهای بدهکار (روز)]],0)</f>
        <v>0</v>
      </c>
      <c r="Z1577" s="6">
        <f ca="1">Main[[#This Row],[تعداد روزهای بدهکار تسویه شده (روز)]]*Main[[#This Row],[مانده در خط تسویه شده (کیلوگرم)]]</f>
        <v>0</v>
      </c>
      <c r="AA1577" s="6">
        <f ca="1">SUBTOTAL(9,INDEX(Main[بدهی تسویه نشده (کیلوگرم)],1):Main[[#This Row],[بدهی تسویه نشده (کیلوگرم)]])</f>
        <v>0</v>
      </c>
      <c r="AB1577" s="6">
        <f ca="1">IF(Main[[#This Row],[مانده در خط تسویه نشده (کیلوگرم)]]&lt;&gt;0,Main[[#This Row],[تعداد کل روزهای بدهکار (روز)]],0)</f>
        <v>0</v>
      </c>
      <c r="AC1577" s="6">
        <f ca="1">Main[[#This Row],[تعداد روزهای بدهکار  تسویه نشده (روز)]]*Main[[#This Row],[مانده در خط تسویه نشده (کیلوگرم)]]</f>
        <v>0</v>
      </c>
      <c r="AD1577" s="6">
        <f ca="1">SUBTOTAL(9,INDEX(Main[بدهی سررسید شده (کیلوگرم)],1):Main[[#This Row],[بدهی سررسید شده (کیلوگرم)]])</f>
        <v>0</v>
      </c>
      <c r="AE1577" s="6">
        <f ca="1">IF(Main[[#This Row],[مانده در خط سررسید شده (کیلوگرم)]]&lt;&gt;0,Main[[#This Row],[تعداد کل روزهای بدهکار (روز)]],0)</f>
        <v>0</v>
      </c>
      <c r="AF1577" s="6">
        <f ca="1">Main[[#This Row],[تعداد روزهای بدهکار سررسید شده (روز)]]*Main[[#This Row],[مانده در خط سررسید شده (کیلوگرم)]]</f>
        <v>0</v>
      </c>
    </row>
    <row r="1578" spans="1:32" hidden="1" x14ac:dyDescent="0.35">
      <c r="A1578" s="5">
        <f>ROW()-ROW(INDEX(Main[ردیف],1))+1</f>
        <v>1576</v>
      </c>
      <c r="B1578" s="31">
        <f>SUBTOTAL(2,INDEX(Main[ردیف],1):Main[[#This Row],[ردیف]])</f>
        <v>143</v>
      </c>
      <c r="C1578" s="32" t="s">
        <v>697</v>
      </c>
      <c r="D1578" s="32" t="str">
        <f>_xlfn.CONCAT("14",Main[[#This Row],[تاريخ]])</f>
        <v>1400/06/21</v>
      </c>
      <c r="E1578" s="33">
        <v>44451</v>
      </c>
      <c r="F1578" s="32">
        <v>10055</v>
      </c>
      <c r="G1578" s="5" t="str">
        <f>INDEX(customer[عنوان],MATCH(Main[[#This Row],[کد ردیابی]],customer[کد],0))</f>
        <v xml:space="preserve">مریم فیض آبادی  </v>
      </c>
      <c r="H1578">
        <v>-4939</v>
      </c>
      <c r="I1578" s="6">
        <f ca="1">-Main[[#This Row],[بدهی تسویه شده (کیلوگرم)]]+Main[[#This Row],[بستانکار (کیلوگرم)]]</f>
        <v>-4939</v>
      </c>
      <c r="J1578" s="6">
        <f>IF(Main[[#This Row],[مقدار (کیلوگرم)]]&gt;0,Main[[#This Row],[مقدار (کیلوگرم)]],0)</f>
        <v>0</v>
      </c>
      <c r="K1578" s="6">
        <f>-IF(Main[[#This Row],[مقدار (کیلوگرم)]]&lt;0,Main[[#This Row],[مقدار (کیلوگرم)]],0)</f>
        <v>4939</v>
      </c>
      <c r="L15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8" s="7">
        <f>-IF(AND(Main[[#This Row],[مقدار (کیلوگرم)]]&lt;0,Main[[#This Row],[تاريخ میلادی]]&gt;44276),Main[[#This Row],[مقدار (کیلوگرم)]],0)</f>
        <v>4939</v>
      </c>
      <c r="N1578" s="6">
        <f ca="1">Main[[#This Row],[بدهکار (کیلوگرم)]]-Main[[#This Row],[بدهی تسویه نشده (کیلوگرم)]]</f>
        <v>4939</v>
      </c>
      <c r="O1578" s="6">
        <f ca="1">Main[[#This Row],[تفکیک]]</f>
        <v>0</v>
      </c>
      <c r="P1578" s="6">
        <f ca="1">IF(Main[[#This Row],[تاخیر از سررسید]]&gt;0,Main[[#This Row],[بدهی تسویه نشده (کیلوگرم)]],0)</f>
        <v>0</v>
      </c>
      <c r="Q1578" s="6">
        <f ca="1">IF(Main[[#This Row],[بدهی تسویه نشده (کیلوگرم)]]&gt;0,'گزارش فردی'!$B$7-Main[[#This Row],[تاريخ میلادی]],0)</f>
        <v>0</v>
      </c>
      <c r="R1578" s="6">
        <f ca="1">IF(Main[[#This Row],[بدهی تسویه نشده (کیلوگرم)]]&gt;0,'گزارش فردی'!$B$7-Main[[#This Row],[تاريخ میلادی]]-'گزارش فردی'!$B$8,0)</f>
        <v>0</v>
      </c>
      <c r="S1578" s="6">
        <f ca="1">Main[[#This Row],[روز از ارسال سفارش]]*Main[[#This Row],[بدهی تسویه نشده (کیلوگرم)]]</f>
        <v>0</v>
      </c>
      <c r="T1578" s="6">
        <f ca="1">Main[[#This Row],[بدهی سررسید شده (کیلوگرم)]]*Main[[#This Row],[روز از ارسال سفارش]]</f>
        <v>0</v>
      </c>
      <c r="U1578" s="6">
        <f>-SUBTOTAL(9,INDEX(Main[مقدار (کیلوگرم)],1):Main[[#This Row],[مقدار (کیلوگرم)]])</f>
        <v>33987</v>
      </c>
      <c r="V15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8" s="6">
        <f>Main[[#This Row],[تعداد کل روزهای بدهکار (روز)]]*Main[[#This Row],[مانده در خط کل (کیلوگرم)]]</f>
        <v>0</v>
      </c>
      <c r="X1578" s="6">
        <f ca="1">-SUBTOTAL(9,INDEX(Main[مقدار تسویه شده (کیلوگرم)],1):Main[[#This Row],[مقدار تسویه شده (کیلوگرم)]])</f>
        <v>33987</v>
      </c>
      <c r="Y1578" s="6">
        <f ca="1">IF(Main[[#This Row],[مانده در خط تسویه شده (کیلوگرم)]]&lt;&gt;0,Main[[#This Row],[تعداد کل روزهای بدهکار (روز)]],0)</f>
        <v>0</v>
      </c>
      <c r="Z1578" s="6">
        <f ca="1">Main[[#This Row],[تعداد روزهای بدهکار تسویه شده (روز)]]*Main[[#This Row],[مانده در خط تسویه شده (کیلوگرم)]]</f>
        <v>0</v>
      </c>
      <c r="AA1578" s="6">
        <f ca="1">SUBTOTAL(9,INDEX(Main[بدهی تسویه نشده (کیلوگرم)],1):Main[[#This Row],[بدهی تسویه نشده (کیلوگرم)]])</f>
        <v>0</v>
      </c>
      <c r="AB1578" s="6">
        <f ca="1">IF(Main[[#This Row],[مانده در خط تسویه نشده (کیلوگرم)]]&lt;&gt;0,Main[[#This Row],[تعداد کل روزهای بدهکار (روز)]],0)</f>
        <v>0</v>
      </c>
      <c r="AC1578" s="6">
        <f ca="1">Main[[#This Row],[تعداد روزهای بدهکار  تسویه نشده (روز)]]*Main[[#This Row],[مانده در خط تسویه نشده (کیلوگرم)]]</f>
        <v>0</v>
      </c>
      <c r="AD1578" s="6">
        <f ca="1">SUBTOTAL(9,INDEX(Main[بدهی سررسید شده (کیلوگرم)],1):Main[[#This Row],[بدهی سررسید شده (کیلوگرم)]])</f>
        <v>0</v>
      </c>
      <c r="AE1578" s="6">
        <f ca="1">IF(Main[[#This Row],[مانده در خط سررسید شده (کیلوگرم)]]&lt;&gt;0,Main[[#This Row],[تعداد کل روزهای بدهکار (روز)]],0)</f>
        <v>0</v>
      </c>
      <c r="AF1578" s="6">
        <f ca="1">Main[[#This Row],[تعداد روزهای بدهکار سررسید شده (روز)]]*Main[[#This Row],[مانده در خط سررسید شده (کیلوگرم)]]</f>
        <v>0</v>
      </c>
    </row>
    <row r="1579" spans="1:32" hidden="1" x14ac:dyDescent="0.35">
      <c r="A1579" s="5">
        <f>ROW()-ROW(INDEX(Main[ردیف],1))+1</f>
        <v>1577</v>
      </c>
      <c r="B1579" s="31">
        <f>SUBTOTAL(2,INDEX(Main[ردیف],1):Main[[#This Row],[ردیف]])</f>
        <v>143</v>
      </c>
      <c r="C1579" s="32" t="s">
        <v>697</v>
      </c>
      <c r="D1579" s="32" t="str">
        <f>_xlfn.CONCAT("14",Main[[#This Row],[تاريخ]])</f>
        <v>1400/06/21</v>
      </c>
      <c r="E1579" s="33">
        <v>44451</v>
      </c>
      <c r="F1579" s="32">
        <v>30009</v>
      </c>
      <c r="G1579" s="5" t="str">
        <f>INDEX(customer[عنوان],MATCH(Main[[#This Row],[کد ردیابی]],customer[کد],0))</f>
        <v>شرکت ایمن تک پیشرو</v>
      </c>
      <c r="H1579">
        <v>1785</v>
      </c>
      <c r="I1579" s="6">
        <f ca="1">-Main[[#This Row],[بدهی تسویه شده (کیلوگرم)]]+Main[[#This Row],[بستانکار (کیلوگرم)]]</f>
        <v>1785</v>
      </c>
      <c r="J1579" s="6">
        <f>IF(Main[[#This Row],[مقدار (کیلوگرم)]]&gt;0,Main[[#This Row],[مقدار (کیلوگرم)]],0)</f>
        <v>1785</v>
      </c>
      <c r="K1579" s="6">
        <f>-IF(Main[[#This Row],[مقدار (کیلوگرم)]]&lt;0,Main[[#This Row],[مقدار (کیلوگرم)]],0)</f>
        <v>0</v>
      </c>
      <c r="L15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9" s="7">
        <f>-IF(AND(Main[[#This Row],[مقدار (کیلوگرم)]]&lt;0,Main[[#This Row],[تاريخ میلادی]]&gt;44276),Main[[#This Row],[مقدار (کیلوگرم)]],0)</f>
        <v>0</v>
      </c>
      <c r="N1579" s="6">
        <f ca="1">Main[[#This Row],[بدهکار (کیلوگرم)]]-Main[[#This Row],[بدهی تسویه نشده (کیلوگرم)]]</f>
        <v>0</v>
      </c>
      <c r="O1579" s="6">
        <f ca="1">Main[[#This Row],[تفکیک]]</f>
        <v>0</v>
      </c>
      <c r="P1579" s="6">
        <f ca="1">IF(Main[[#This Row],[تاخیر از سررسید]]&gt;0,Main[[#This Row],[بدهی تسویه نشده (کیلوگرم)]],0)</f>
        <v>0</v>
      </c>
      <c r="Q1579" s="6">
        <f ca="1">IF(Main[[#This Row],[بدهی تسویه نشده (کیلوگرم)]]&gt;0,'گزارش فردی'!$B$7-Main[[#This Row],[تاريخ میلادی]],0)</f>
        <v>0</v>
      </c>
      <c r="R1579" s="6">
        <f ca="1">IF(Main[[#This Row],[بدهی تسویه نشده (کیلوگرم)]]&gt;0,'گزارش فردی'!$B$7-Main[[#This Row],[تاريخ میلادی]]-'گزارش فردی'!$B$8,0)</f>
        <v>0</v>
      </c>
      <c r="S1579" s="6">
        <f ca="1">Main[[#This Row],[روز از ارسال سفارش]]*Main[[#This Row],[بدهی تسویه نشده (کیلوگرم)]]</f>
        <v>0</v>
      </c>
      <c r="T1579" s="6">
        <f ca="1">Main[[#This Row],[بدهی سررسید شده (کیلوگرم)]]*Main[[#This Row],[روز از ارسال سفارش]]</f>
        <v>0</v>
      </c>
      <c r="U1579" s="6">
        <f>-SUBTOTAL(9,INDEX(Main[مقدار (کیلوگرم)],1):Main[[#This Row],[مقدار (کیلوگرم)]])</f>
        <v>33987</v>
      </c>
      <c r="V15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9" s="6">
        <f>Main[[#This Row],[تعداد کل روزهای بدهکار (روز)]]*Main[[#This Row],[مانده در خط کل (کیلوگرم)]]</f>
        <v>0</v>
      </c>
      <c r="X1579" s="6">
        <f ca="1">-SUBTOTAL(9,INDEX(Main[مقدار تسویه شده (کیلوگرم)],1):Main[[#This Row],[مقدار تسویه شده (کیلوگرم)]])</f>
        <v>33987</v>
      </c>
      <c r="Y1579" s="6">
        <f ca="1">IF(Main[[#This Row],[مانده در خط تسویه شده (کیلوگرم)]]&lt;&gt;0,Main[[#This Row],[تعداد کل روزهای بدهکار (روز)]],0)</f>
        <v>0</v>
      </c>
      <c r="Z1579" s="6">
        <f ca="1">Main[[#This Row],[تعداد روزهای بدهکار تسویه شده (روز)]]*Main[[#This Row],[مانده در خط تسویه شده (کیلوگرم)]]</f>
        <v>0</v>
      </c>
      <c r="AA1579" s="6">
        <f ca="1">SUBTOTAL(9,INDEX(Main[بدهی تسویه نشده (کیلوگرم)],1):Main[[#This Row],[بدهی تسویه نشده (کیلوگرم)]])</f>
        <v>0</v>
      </c>
      <c r="AB1579" s="6">
        <f ca="1">IF(Main[[#This Row],[مانده در خط تسویه نشده (کیلوگرم)]]&lt;&gt;0,Main[[#This Row],[تعداد کل روزهای بدهکار (روز)]],0)</f>
        <v>0</v>
      </c>
      <c r="AC1579" s="6">
        <f ca="1">Main[[#This Row],[تعداد روزهای بدهکار  تسویه نشده (روز)]]*Main[[#This Row],[مانده در خط تسویه نشده (کیلوگرم)]]</f>
        <v>0</v>
      </c>
      <c r="AD1579" s="6">
        <f ca="1">SUBTOTAL(9,INDEX(Main[بدهی سررسید شده (کیلوگرم)],1):Main[[#This Row],[بدهی سررسید شده (کیلوگرم)]])</f>
        <v>0</v>
      </c>
      <c r="AE1579" s="6">
        <f ca="1">IF(Main[[#This Row],[مانده در خط سررسید شده (کیلوگرم)]]&lt;&gt;0,Main[[#This Row],[تعداد کل روزهای بدهکار (روز)]],0)</f>
        <v>0</v>
      </c>
      <c r="AF1579" s="6">
        <f ca="1">Main[[#This Row],[تعداد روزهای بدهکار سررسید شده (روز)]]*Main[[#This Row],[مانده در خط سررسید شده (کیلوگرم)]]</f>
        <v>0</v>
      </c>
    </row>
    <row r="1580" spans="1:32" hidden="1" x14ac:dyDescent="0.35">
      <c r="A1580" s="5">
        <f>ROW()-ROW(INDEX(Main[ردیف],1))+1</f>
        <v>1578</v>
      </c>
      <c r="B1580" s="31">
        <f>SUBTOTAL(2,INDEX(Main[ردیف],1):Main[[#This Row],[ردیف]])</f>
        <v>143</v>
      </c>
      <c r="C1580" s="32" t="s">
        <v>697</v>
      </c>
      <c r="D1580" s="32" t="str">
        <f>_xlfn.CONCAT("14",Main[[#This Row],[تاريخ]])</f>
        <v>1400/06/21</v>
      </c>
      <c r="E1580" s="33">
        <v>44451</v>
      </c>
      <c r="F1580" s="32">
        <v>10026</v>
      </c>
      <c r="G1580" s="5" t="str">
        <f>INDEX(customer[عنوان],MATCH(Main[[#This Row],[کد ردیابی]],customer[کد],0))</f>
        <v xml:space="preserve">محسن فیاض بخش </v>
      </c>
      <c r="H1580">
        <v>-38</v>
      </c>
      <c r="I1580" s="6">
        <f ca="1">-Main[[#This Row],[بدهی تسویه شده (کیلوگرم)]]+Main[[#This Row],[بستانکار (کیلوگرم)]]</f>
        <v>-38</v>
      </c>
      <c r="J1580" s="6">
        <f>IF(Main[[#This Row],[مقدار (کیلوگرم)]]&gt;0,Main[[#This Row],[مقدار (کیلوگرم)]],0)</f>
        <v>0</v>
      </c>
      <c r="K1580" s="6">
        <f>-IF(Main[[#This Row],[مقدار (کیلوگرم)]]&lt;0,Main[[#This Row],[مقدار (کیلوگرم)]],0)</f>
        <v>38</v>
      </c>
      <c r="L15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0" s="7">
        <f>-IF(AND(Main[[#This Row],[مقدار (کیلوگرم)]]&lt;0,Main[[#This Row],[تاريخ میلادی]]&gt;44276),Main[[#This Row],[مقدار (کیلوگرم)]],0)</f>
        <v>38</v>
      </c>
      <c r="N1580" s="6">
        <f ca="1">Main[[#This Row],[بدهکار (کیلوگرم)]]-Main[[#This Row],[بدهی تسویه نشده (کیلوگرم)]]</f>
        <v>38</v>
      </c>
      <c r="O1580" s="6">
        <f ca="1">Main[[#This Row],[تفکیک]]</f>
        <v>0</v>
      </c>
      <c r="P1580" s="6">
        <f ca="1">IF(Main[[#This Row],[تاخیر از سررسید]]&gt;0,Main[[#This Row],[بدهی تسویه نشده (کیلوگرم)]],0)</f>
        <v>0</v>
      </c>
      <c r="Q1580" s="6">
        <f ca="1">IF(Main[[#This Row],[بدهی تسویه نشده (کیلوگرم)]]&gt;0,'گزارش فردی'!$B$7-Main[[#This Row],[تاريخ میلادی]],0)</f>
        <v>0</v>
      </c>
      <c r="R1580" s="6">
        <f ca="1">IF(Main[[#This Row],[بدهی تسویه نشده (کیلوگرم)]]&gt;0,'گزارش فردی'!$B$7-Main[[#This Row],[تاريخ میلادی]]-'گزارش فردی'!$B$8,0)</f>
        <v>0</v>
      </c>
      <c r="S1580" s="6">
        <f ca="1">Main[[#This Row],[روز از ارسال سفارش]]*Main[[#This Row],[بدهی تسویه نشده (کیلوگرم)]]</f>
        <v>0</v>
      </c>
      <c r="T1580" s="6">
        <f ca="1">Main[[#This Row],[بدهی سررسید شده (کیلوگرم)]]*Main[[#This Row],[روز از ارسال سفارش]]</f>
        <v>0</v>
      </c>
      <c r="U1580" s="6">
        <f>-SUBTOTAL(9,INDEX(Main[مقدار (کیلوگرم)],1):Main[[#This Row],[مقدار (کیلوگرم)]])</f>
        <v>33987</v>
      </c>
      <c r="V15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80" s="6">
        <f>Main[[#This Row],[تعداد کل روزهای بدهکار (روز)]]*Main[[#This Row],[مانده در خط کل (کیلوگرم)]]</f>
        <v>0</v>
      </c>
      <c r="X1580" s="6">
        <f ca="1">-SUBTOTAL(9,INDEX(Main[مقدار تسویه شده (کیلوگرم)],1):Main[[#This Row],[مقدار تسویه شده (کیلوگرم)]])</f>
        <v>33987</v>
      </c>
      <c r="Y1580" s="6">
        <f ca="1">IF(Main[[#This Row],[مانده در خط تسویه شده (کیلوگرم)]]&lt;&gt;0,Main[[#This Row],[تعداد کل روزهای بدهکار (روز)]],0)</f>
        <v>0</v>
      </c>
      <c r="Z1580" s="6">
        <f ca="1">Main[[#This Row],[تعداد روزهای بدهکار تسویه شده (روز)]]*Main[[#This Row],[مانده در خط تسویه شده (کیلوگرم)]]</f>
        <v>0</v>
      </c>
      <c r="AA1580" s="6">
        <f ca="1">SUBTOTAL(9,INDEX(Main[بدهی تسویه نشده (کیلوگرم)],1):Main[[#This Row],[بدهی تسویه نشده (کیلوگرم)]])</f>
        <v>0</v>
      </c>
      <c r="AB1580" s="6">
        <f ca="1">IF(Main[[#This Row],[مانده در خط تسویه نشده (کیلوگرم)]]&lt;&gt;0,Main[[#This Row],[تعداد کل روزهای بدهکار (روز)]],0)</f>
        <v>0</v>
      </c>
      <c r="AC1580" s="6">
        <f ca="1">Main[[#This Row],[تعداد روزهای بدهکار  تسویه نشده (روز)]]*Main[[#This Row],[مانده در خط تسویه نشده (کیلوگرم)]]</f>
        <v>0</v>
      </c>
      <c r="AD1580" s="6">
        <f ca="1">SUBTOTAL(9,INDEX(Main[بدهی سررسید شده (کیلوگرم)],1):Main[[#This Row],[بدهی سررسید شده (کیلوگرم)]])</f>
        <v>0</v>
      </c>
      <c r="AE1580" s="6">
        <f ca="1">IF(Main[[#This Row],[مانده در خط سررسید شده (کیلوگرم)]]&lt;&gt;0,Main[[#This Row],[تعداد کل روزهای بدهکار (روز)]],0)</f>
        <v>0</v>
      </c>
      <c r="AF1580" s="6">
        <f ca="1">Main[[#This Row],[تعداد روزهای بدهکار سررسید شده (روز)]]*Main[[#This Row],[مانده در خط سررسید شده (کیلوگرم)]]</f>
        <v>0</v>
      </c>
    </row>
    <row r="1581" spans="1:32" x14ac:dyDescent="0.35">
      <c r="A1581" s="5">
        <f>ROW()-ROW(INDEX(Main[ردیف],1))+1</f>
        <v>1579</v>
      </c>
      <c r="B1581" s="31">
        <f>SUBTOTAL(2,INDEX(Main[ردیف],1):Main[[#This Row],[ردیف]])</f>
        <v>144</v>
      </c>
      <c r="C1581" s="32" t="s">
        <v>697</v>
      </c>
      <c r="D1581" s="32" t="str">
        <f>_xlfn.CONCAT("14",Main[[#This Row],[تاريخ]])</f>
        <v>1400/06/21</v>
      </c>
      <c r="E1581" s="33">
        <v>44451</v>
      </c>
      <c r="F1581" s="32">
        <v>10003</v>
      </c>
      <c r="G1581" s="5" t="str">
        <f>INDEX(customer[عنوان],MATCH(Main[[#This Row],[کد ردیابی]],customer[کد],0))</f>
        <v>اصغر نورعلی</v>
      </c>
      <c r="H1581">
        <v>-2196</v>
      </c>
      <c r="I1581" s="6">
        <f ca="1">-Main[[#This Row],[بدهی تسویه شده (کیلوگرم)]]+Main[[#This Row],[بستانکار (کیلوگرم)]]</f>
        <v>-2196</v>
      </c>
      <c r="J1581" s="6">
        <f>IF(Main[[#This Row],[مقدار (کیلوگرم)]]&gt;0,Main[[#This Row],[مقدار (کیلوگرم)]],0)</f>
        <v>0</v>
      </c>
      <c r="K1581" s="6">
        <f>-IF(Main[[#This Row],[مقدار (کیلوگرم)]]&lt;0,Main[[#This Row],[مقدار (کیلوگرم)]],0)</f>
        <v>2196</v>
      </c>
      <c r="L15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1" s="7">
        <f>-IF(AND(Main[[#This Row],[مقدار (کیلوگرم)]]&lt;0,Main[[#This Row],[تاريخ میلادی]]&gt;44276),Main[[#This Row],[مقدار (کیلوگرم)]],0)</f>
        <v>2196</v>
      </c>
      <c r="N1581" s="6">
        <f ca="1">Main[[#This Row],[بدهکار (کیلوگرم)]]-Main[[#This Row],[بدهی تسویه نشده (کیلوگرم)]]</f>
        <v>2196</v>
      </c>
      <c r="O1581" s="6">
        <f ca="1">Main[[#This Row],[تفکیک]]</f>
        <v>0</v>
      </c>
      <c r="P1581" s="6">
        <f ca="1">IF(Main[[#This Row],[تاخیر از سررسید]]&gt;0,Main[[#This Row],[بدهی تسویه نشده (کیلوگرم)]],0)</f>
        <v>0</v>
      </c>
      <c r="Q1581" s="6">
        <f ca="1">IF(Main[[#This Row],[بدهی تسویه نشده (کیلوگرم)]]&gt;0,'گزارش فردی'!$B$7-Main[[#This Row],[تاريخ میلادی]],0)</f>
        <v>0</v>
      </c>
      <c r="R1581" s="6">
        <f ca="1">IF(Main[[#This Row],[بدهی تسویه نشده (کیلوگرم)]]&gt;0,'گزارش فردی'!$B$7-Main[[#This Row],[تاريخ میلادی]]-'گزارش فردی'!$B$8,0)</f>
        <v>0</v>
      </c>
      <c r="S1581" s="6">
        <f ca="1">Main[[#This Row],[روز از ارسال سفارش]]*Main[[#This Row],[بدهی تسویه نشده (کیلوگرم)]]</f>
        <v>0</v>
      </c>
      <c r="T1581" s="6">
        <f ca="1">Main[[#This Row],[بدهی سررسید شده (کیلوگرم)]]*Main[[#This Row],[روز از ارسال سفارش]]</f>
        <v>0</v>
      </c>
      <c r="U1581" s="6">
        <f>-SUBTOTAL(9,INDEX(Main[مقدار (کیلوگرم)],1):Main[[#This Row],[مقدار (کیلوگرم)]])</f>
        <v>36183</v>
      </c>
      <c r="V158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581" s="6">
        <f>Main[[#This Row],[تعداد کل روزهای بدهکار (روز)]]*Main[[#This Row],[مانده در خط کل (کیلوگرم)]]</f>
        <v>144732</v>
      </c>
      <c r="X1581" s="6">
        <f ca="1">-SUBTOTAL(9,INDEX(Main[مقدار تسویه شده (کیلوگرم)],1):Main[[#This Row],[مقدار تسویه شده (کیلوگرم)]])</f>
        <v>36183</v>
      </c>
      <c r="Y1581" s="6">
        <f ca="1">IF(Main[[#This Row],[مانده در خط تسویه شده (کیلوگرم)]]&lt;&gt;0,Main[[#This Row],[تعداد کل روزهای بدهکار (روز)]],0)</f>
        <v>4</v>
      </c>
      <c r="Z1581" s="6">
        <f ca="1">Main[[#This Row],[تعداد روزهای بدهکار تسویه شده (روز)]]*Main[[#This Row],[مانده در خط تسویه شده (کیلوگرم)]]</f>
        <v>144732</v>
      </c>
      <c r="AA1581" s="6">
        <f ca="1">SUBTOTAL(9,INDEX(Main[بدهی تسویه نشده (کیلوگرم)],1):Main[[#This Row],[بدهی تسویه نشده (کیلوگرم)]])</f>
        <v>0</v>
      </c>
      <c r="AB1581" s="6">
        <f ca="1">IF(Main[[#This Row],[مانده در خط تسویه نشده (کیلوگرم)]]&lt;&gt;0,Main[[#This Row],[تعداد کل روزهای بدهکار (روز)]],0)</f>
        <v>0</v>
      </c>
      <c r="AC1581" s="6">
        <f ca="1">Main[[#This Row],[تعداد روزهای بدهکار  تسویه نشده (روز)]]*Main[[#This Row],[مانده در خط تسویه نشده (کیلوگرم)]]</f>
        <v>0</v>
      </c>
      <c r="AD1581" s="6">
        <f ca="1">SUBTOTAL(9,INDEX(Main[بدهی سررسید شده (کیلوگرم)],1):Main[[#This Row],[بدهی سررسید شده (کیلوگرم)]])</f>
        <v>0</v>
      </c>
      <c r="AE1581" s="6">
        <f ca="1">IF(Main[[#This Row],[مانده در خط سررسید شده (کیلوگرم)]]&lt;&gt;0,Main[[#This Row],[تعداد کل روزهای بدهکار (روز)]],0)</f>
        <v>0</v>
      </c>
      <c r="AF1581" s="6">
        <f ca="1">Main[[#This Row],[تعداد روزهای بدهکار سررسید شده (روز)]]*Main[[#This Row],[مانده در خط سررسید شده (کیلوگرم)]]</f>
        <v>0</v>
      </c>
    </row>
    <row r="1582" spans="1:32" hidden="1" x14ac:dyDescent="0.35">
      <c r="A1582" s="5">
        <f>ROW()-ROW(INDEX(Main[ردیف],1))+1</f>
        <v>1580</v>
      </c>
      <c r="B1582" s="31">
        <f>SUBTOTAL(2,INDEX(Main[ردیف],1):Main[[#This Row],[ردیف]])</f>
        <v>144</v>
      </c>
      <c r="C1582" s="32" t="s">
        <v>698</v>
      </c>
      <c r="D1582" s="32" t="str">
        <f>_xlfn.CONCAT("14",Main[[#This Row],[تاريخ]])</f>
        <v>1400/06/22</v>
      </c>
      <c r="E1582" s="33">
        <v>44452</v>
      </c>
      <c r="F1582" s="32">
        <v>30009</v>
      </c>
      <c r="G1582" s="5" t="str">
        <f>INDEX(customer[عنوان],MATCH(Main[[#This Row],[کد ردیابی]],customer[کد],0))</f>
        <v>شرکت ایمن تک پیشرو</v>
      </c>
      <c r="H1582">
        <v>2232</v>
      </c>
      <c r="I1582" s="6">
        <f ca="1">-Main[[#This Row],[بدهی تسویه شده (کیلوگرم)]]+Main[[#This Row],[بستانکار (کیلوگرم)]]</f>
        <v>2232</v>
      </c>
      <c r="J1582" s="6">
        <f>IF(Main[[#This Row],[مقدار (کیلوگرم)]]&gt;0,Main[[#This Row],[مقدار (کیلوگرم)]],0)</f>
        <v>2232</v>
      </c>
      <c r="K1582" s="6">
        <f>-IF(Main[[#This Row],[مقدار (کیلوگرم)]]&lt;0,Main[[#This Row],[مقدار (کیلوگرم)]],0)</f>
        <v>0</v>
      </c>
      <c r="L15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2" s="7">
        <f>-IF(AND(Main[[#This Row],[مقدار (کیلوگرم)]]&lt;0,Main[[#This Row],[تاريخ میلادی]]&gt;44276),Main[[#This Row],[مقدار (کیلوگرم)]],0)</f>
        <v>0</v>
      </c>
      <c r="N1582" s="6">
        <f ca="1">Main[[#This Row],[بدهکار (کیلوگرم)]]-Main[[#This Row],[بدهی تسویه نشده (کیلوگرم)]]</f>
        <v>0</v>
      </c>
      <c r="O1582" s="6">
        <f ca="1">Main[[#This Row],[تفکیک]]</f>
        <v>0</v>
      </c>
      <c r="P1582" s="6">
        <f ca="1">IF(Main[[#This Row],[تاخیر از سررسید]]&gt;0,Main[[#This Row],[بدهی تسویه نشده (کیلوگرم)]],0)</f>
        <v>0</v>
      </c>
      <c r="Q1582" s="6">
        <f ca="1">IF(Main[[#This Row],[بدهی تسویه نشده (کیلوگرم)]]&gt;0,'گزارش فردی'!$B$7-Main[[#This Row],[تاريخ میلادی]],0)</f>
        <v>0</v>
      </c>
      <c r="R1582" s="6">
        <f ca="1">IF(Main[[#This Row],[بدهی تسویه نشده (کیلوگرم)]]&gt;0,'گزارش فردی'!$B$7-Main[[#This Row],[تاريخ میلادی]]-'گزارش فردی'!$B$8,0)</f>
        <v>0</v>
      </c>
      <c r="S1582" s="6">
        <f ca="1">Main[[#This Row],[روز از ارسال سفارش]]*Main[[#This Row],[بدهی تسویه نشده (کیلوگرم)]]</f>
        <v>0</v>
      </c>
      <c r="T1582" s="6">
        <f ca="1">Main[[#This Row],[بدهی سررسید شده (کیلوگرم)]]*Main[[#This Row],[روز از ارسال سفارش]]</f>
        <v>0</v>
      </c>
      <c r="U1582" s="6">
        <f>-SUBTOTAL(9,INDEX(Main[مقدار (کیلوگرم)],1):Main[[#This Row],[مقدار (کیلوگرم)]])</f>
        <v>36183</v>
      </c>
      <c r="V158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2" s="6">
        <f>Main[[#This Row],[تعداد کل روزهای بدهکار (روز)]]*Main[[#This Row],[مانده در خط کل (کیلوگرم)]]</f>
        <v>108549</v>
      </c>
      <c r="X1582" s="6">
        <f ca="1">-SUBTOTAL(9,INDEX(Main[مقدار تسویه شده (کیلوگرم)],1):Main[[#This Row],[مقدار تسویه شده (کیلوگرم)]])</f>
        <v>36183</v>
      </c>
      <c r="Y1582" s="6">
        <f ca="1">IF(Main[[#This Row],[مانده در خط تسویه شده (کیلوگرم)]]&lt;&gt;0,Main[[#This Row],[تعداد کل روزهای بدهکار (روز)]],0)</f>
        <v>3</v>
      </c>
      <c r="Z1582" s="6">
        <f ca="1">Main[[#This Row],[تعداد روزهای بدهکار تسویه شده (روز)]]*Main[[#This Row],[مانده در خط تسویه شده (کیلوگرم)]]</f>
        <v>108549</v>
      </c>
      <c r="AA1582" s="6">
        <f ca="1">SUBTOTAL(9,INDEX(Main[بدهی تسویه نشده (کیلوگرم)],1):Main[[#This Row],[بدهی تسویه نشده (کیلوگرم)]])</f>
        <v>0</v>
      </c>
      <c r="AB1582" s="6">
        <f ca="1">IF(Main[[#This Row],[مانده در خط تسویه نشده (کیلوگرم)]]&lt;&gt;0,Main[[#This Row],[تعداد کل روزهای بدهکار (روز)]],0)</f>
        <v>0</v>
      </c>
      <c r="AC1582" s="6">
        <f ca="1">Main[[#This Row],[تعداد روزهای بدهکار  تسویه نشده (روز)]]*Main[[#This Row],[مانده در خط تسویه نشده (کیلوگرم)]]</f>
        <v>0</v>
      </c>
      <c r="AD1582" s="6">
        <f ca="1">SUBTOTAL(9,INDEX(Main[بدهی سررسید شده (کیلوگرم)],1):Main[[#This Row],[بدهی سررسید شده (کیلوگرم)]])</f>
        <v>0</v>
      </c>
      <c r="AE1582" s="6">
        <f ca="1">IF(Main[[#This Row],[مانده در خط سررسید شده (کیلوگرم)]]&lt;&gt;0,Main[[#This Row],[تعداد کل روزهای بدهکار (روز)]],0)</f>
        <v>0</v>
      </c>
      <c r="AF1582" s="6">
        <f ca="1">Main[[#This Row],[تعداد روزهای بدهکار سررسید شده (روز)]]*Main[[#This Row],[مانده در خط سررسید شده (کیلوگرم)]]</f>
        <v>0</v>
      </c>
    </row>
    <row r="1583" spans="1:32" hidden="1" x14ac:dyDescent="0.35">
      <c r="A1583" s="5">
        <f>ROW()-ROW(INDEX(Main[ردیف],1))+1</f>
        <v>1581</v>
      </c>
      <c r="B1583" s="31">
        <f>SUBTOTAL(2,INDEX(Main[ردیف],1):Main[[#This Row],[ردیف]])</f>
        <v>144</v>
      </c>
      <c r="C1583" s="32" t="s">
        <v>698</v>
      </c>
      <c r="D1583" s="32" t="str">
        <f>_xlfn.CONCAT("14",Main[[#This Row],[تاريخ]])</f>
        <v>1400/06/22</v>
      </c>
      <c r="E1583" s="33">
        <v>44452</v>
      </c>
      <c r="F1583" s="32">
        <v>10128</v>
      </c>
      <c r="G1583" s="5" t="str">
        <f>INDEX(customer[عنوان],MATCH(Main[[#This Row],[کد ردیابی]],customer[کد],0))</f>
        <v xml:space="preserve">رویا اصلانی </v>
      </c>
      <c r="H1583">
        <v>-100</v>
      </c>
      <c r="I1583" s="6">
        <f ca="1">-Main[[#This Row],[بدهی تسویه شده (کیلوگرم)]]+Main[[#This Row],[بستانکار (کیلوگرم)]]</f>
        <v>-100</v>
      </c>
      <c r="J1583" s="6">
        <f>IF(Main[[#This Row],[مقدار (کیلوگرم)]]&gt;0,Main[[#This Row],[مقدار (کیلوگرم)]],0)</f>
        <v>0</v>
      </c>
      <c r="K1583" s="6">
        <f>-IF(Main[[#This Row],[مقدار (کیلوگرم)]]&lt;0,Main[[#This Row],[مقدار (کیلوگرم)]],0)</f>
        <v>100</v>
      </c>
      <c r="L15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3" s="7">
        <f>-IF(AND(Main[[#This Row],[مقدار (کیلوگرم)]]&lt;0,Main[[#This Row],[تاريخ میلادی]]&gt;44276),Main[[#This Row],[مقدار (کیلوگرم)]],0)</f>
        <v>100</v>
      </c>
      <c r="N1583" s="6">
        <f ca="1">Main[[#This Row],[بدهکار (کیلوگرم)]]-Main[[#This Row],[بدهی تسویه نشده (کیلوگرم)]]</f>
        <v>100</v>
      </c>
      <c r="O1583" s="6">
        <f ca="1">Main[[#This Row],[تفکیک]]</f>
        <v>0</v>
      </c>
      <c r="P1583" s="6">
        <f ca="1">IF(Main[[#This Row],[تاخیر از سررسید]]&gt;0,Main[[#This Row],[بدهی تسویه نشده (کیلوگرم)]],0)</f>
        <v>0</v>
      </c>
      <c r="Q1583" s="6">
        <f ca="1">IF(Main[[#This Row],[بدهی تسویه نشده (کیلوگرم)]]&gt;0,'گزارش فردی'!$B$7-Main[[#This Row],[تاريخ میلادی]],0)</f>
        <v>0</v>
      </c>
      <c r="R1583" s="6">
        <f ca="1">IF(Main[[#This Row],[بدهی تسویه نشده (کیلوگرم)]]&gt;0,'گزارش فردی'!$B$7-Main[[#This Row],[تاريخ میلادی]]-'گزارش فردی'!$B$8,0)</f>
        <v>0</v>
      </c>
      <c r="S1583" s="6">
        <f ca="1">Main[[#This Row],[روز از ارسال سفارش]]*Main[[#This Row],[بدهی تسویه نشده (کیلوگرم)]]</f>
        <v>0</v>
      </c>
      <c r="T1583" s="6">
        <f ca="1">Main[[#This Row],[بدهی سررسید شده (کیلوگرم)]]*Main[[#This Row],[روز از ارسال سفارش]]</f>
        <v>0</v>
      </c>
      <c r="U1583" s="6">
        <f>-SUBTOTAL(9,INDEX(Main[مقدار (کیلوگرم)],1):Main[[#This Row],[مقدار (کیلوگرم)]])</f>
        <v>36183</v>
      </c>
      <c r="V158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3" s="6">
        <f>Main[[#This Row],[تعداد کل روزهای بدهکار (روز)]]*Main[[#This Row],[مانده در خط کل (کیلوگرم)]]</f>
        <v>108549</v>
      </c>
      <c r="X1583" s="6">
        <f ca="1">-SUBTOTAL(9,INDEX(Main[مقدار تسویه شده (کیلوگرم)],1):Main[[#This Row],[مقدار تسویه شده (کیلوگرم)]])</f>
        <v>36183</v>
      </c>
      <c r="Y1583" s="6">
        <f ca="1">IF(Main[[#This Row],[مانده در خط تسویه شده (کیلوگرم)]]&lt;&gt;0,Main[[#This Row],[تعداد کل روزهای بدهکار (روز)]],0)</f>
        <v>3</v>
      </c>
      <c r="Z1583" s="6">
        <f ca="1">Main[[#This Row],[تعداد روزهای بدهکار تسویه شده (روز)]]*Main[[#This Row],[مانده در خط تسویه شده (کیلوگرم)]]</f>
        <v>108549</v>
      </c>
      <c r="AA1583" s="6">
        <f ca="1">SUBTOTAL(9,INDEX(Main[بدهی تسویه نشده (کیلوگرم)],1):Main[[#This Row],[بدهی تسویه نشده (کیلوگرم)]])</f>
        <v>0</v>
      </c>
      <c r="AB1583" s="6">
        <f ca="1">IF(Main[[#This Row],[مانده در خط تسویه نشده (کیلوگرم)]]&lt;&gt;0,Main[[#This Row],[تعداد کل روزهای بدهکار (روز)]],0)</f>
        <v>0</v>
      </c>
      <c r="AC1583" s="6">
        <f ca="1">Main[[#This Row],[تعداد روزهای بدهکار  تسویه نشده (روز)]]*Main[[#This Row],[مانده در خط تسویه نشده (کیلوگرم)]]</f>
        <v>0</v>
      </c>
      <c r="AD1583" s="6">
        <f ca="1">SUBTOTAL(9,INDEX(Main[بدهی سررسید شده (کیلوگرم)],1):Main[[#This Row],[بدهی سررسید شده (کیلوگرم)]])</f>
        <v>0</v>
      </c>
      <c r="AE1583" s="6">
        <f ca="1">IF(Main[[#This Row],[مانده در خط سررسید شده (کیلوگرم)]]&lt;&gt;0,Main[[#This Row],[تعداد کل روزهای بدهکار (روز)]],0)</f>
        <v>0</v>
      </c>
      <c r="AF1583" s="6">
        <f ca="1">Main[[#This Row],[تعداد روزهای بدهکار سررسید شده (روز)]]*Main[[#This Row],[مانده در خط سررسید شده (کیلوگرم)]]</f>
        <v>0</v>
      </c>
    </row>
    <row r="1584" spans="1:32" hidden="1" x14ac:dyDescent="0.35">
      <c r="A1584" s="5">
        <f>ROW()-ROW(INDEX(Main[ردیف],1))+1</f>
        <v>1582</v>
      </c>
      <c r="B1584" s="31">
        <f>SUBTOTAL(2,INDEX(Main[ردیف],1):Main[[#This Row],[ردیف]])</f>
        <v>144</v>
      </c>
      <c r="C1584" s="32" t="s">
        <v>698</v>
      </c>
      <c r="D1584" s="32" t="str">
        <f>_xlfn.CONCAT("14",Main[[#This Row],[تاريخ]])</f>
        <v>1400/06/22</v>
      </c>
      <c r="E1584" s="33">
        <v>44452</v>
      </c>
      <c r="F1584" s="32">
        <v>10126</v>
      </c>
      <c r="G1584" s="5" t="str">
        <f>INDEX(customer[عنوان],MATCH(Main[[#This Row],[کد ردیابی]],customer[کد],0))</f>
        <v xml:space="preserve">کریم اسمعیلی </v>
      </c>
      <c r="H1584">
        <v>462</v>
      </c>
      <c r="I1584" s="6">
        <f ca="1">-Main[[#This Row],[بدهی تسویه شده (کیلوگرم)]]+Main[[#This Row],[بستانکار (کیلوگرم)]]</f>
        <v>462</v>
      </c>
      <c r="J1584" s="6">
        <f>IF(Main[[#This Row],[مقدار (کیلوگرم)]]&gt;0,Main[[#This Row],[مقدار (کیلوگرم)]],0)</f>
        <v>462</v>
      </c>
      <c r="K1584" s="6">
        <f>-IF(Main[[#This Row],[مقدار (کیلوگرم)]]&lt;0,Main[[#This Row],[مقدار (کیلوگرم)]],0)</f>
        <v>0</v>
      </c>
      <c r="L15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4" s="7">
        <f>-IF(AND(Main[[#This Row],[مقدار (کیلوگرم)]]&lt;0,Main[[#This Row],[تاريخ میلادی]]&gt;44276),Main[[#This Row],[مقدار (کیلوگرم)]],0)</f>
        <v>0</v>
      </c>
      <c r="N1584" s="6">
        <f ca="1">Main[[#This Row],[بدهکار (کیلوگرم)]]-Main[[#This Row],[بدهی تسویه نشده (کیلوگرم)]]</f>
        <v>0</v>
      </c>
      <c r="O1584" s="6">
        <f ca="1">Main[[#This Row],[تفکیک]]</f>
        <v>0</v>
      </c>
      <c r="P1584" s="6">
        <f ca="1">IF(Main[[#This Row],[تاخیر از سررسید]]&gt;0,Main[[#This Row],[بدهی تسویه نشده (کیلوگرم)]],0)</f>
        <v>0</v>
      </c>
      <c r="Q1584" s="6">
        <f ca="1">IF(Main[[#This Row],[بدهی تسویه نشده (کیلوگرم)]]&gt;0,'گزارش فردی'!$B$7-Main[[#This Row],[تاريخ میلادی]],0)</f>
        <v>0</v>
      </c>
      <c r="R1584" s="6">
        <f ca="1">IF(Main[[#This Row],[بدهی تسویه نشده (کیلوگرم)]]&gt;0,'گزارش فردی'!$B$7-Main[[#This Row],[تاريخ میلادی]]-'گزارش فردی'!$B$8,0)</f>
        <v>0</v>
      </c>
      <c r="S1584" s="6">
        <f ca="1">Main[[#This Row],[روز از ارسال سفارش]]*Main[[#This Row],[بدهی تسویه نشده (کیلوگرم)]]</f>
        <v>0</v>
      </c>
      <c r="T1584" s="6">
        <f ca="1">Main[[#This Row],[بدهی سررسید شده (کیلوگرم)]]*Main[[#This Row],[روز از ارسال سفارش]]</f>
        <v>0</v>
      </c>
      <c r="U1584" s="6">
        <f>-SUBTOTAL(9,INDEX(Main[مقدار (کیلوگرم)],1):Main[[#This Row],[مقدار (کیلوگرم)]])</f>
        <v>36183</v>
      </c>
      <c r="V158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4" s="6">
        <f>Main[[#This Row],[تعداد کل روزهای بدهکار (روز)]]*Main[[#This Row],[مانده در خط کل (کیلوگرم)]]</f>
        <v>108549</v>
      </c>
      <c r="X1584" s="6">
        <f ca="1">-SUBTOTAL(9,INDEX(Main[مقدار تسویه شده (کیلوگرم)],1):Main[[#This Row],[مقدار تسویه شده (کیلوگرم)]])</f>
        <v>36183</v>
      </c>
      <c r="Y1584" s="6">
        <f ca="1">IF(Main[[#This Row],[مانده در خط تسویه شده (کیلوگرم)]]&lt;&gt;0,Main[[#This Row],[تعداد کل روزهای بدهکار (روز)]],0)</f>
        <v>3</v>
      </c>
      <c r="Z1584" s="6">
        <f ca="1">Main[[#This Row],[تعداد روزهای بدهکار تسویه شده (روز)]]*Main[[#This Row],[مانده در خط تسویه شده (کیلوگرم)]]</f>
        <v>108549</v>
      </c>
      <c r="AA1584" s="6">
        <f ca="1">SUBTOTAL(9,INDEX(Main[بدهی تسویه نشده (کیلوگرم)],1):Main[[#This Row],[بدهی تسویه نشده (کیلوگرم)]])</f>
        <v>0</v>
      </c>
      <c r="AB1584" s="6">
        <f ca="1">IF(Main[[#This Row],[مانده در خط تسویه نشده (کیلوگرم)]]&lt;&gt;0,Main[[#This Row],[تعداد کل روزهای بدهکار (روز)]],0)</f>
        <v>0</v>
      </c>
      <c r="AC1584" s="6">
        <f ca="1">Main[[#This Row],[تعداد روزهای بدهکار  تسویه نشده (روز)]]*Main[[#This Row],[مانده در خط تسویه نشده (کیلوگرم)]]</f>
        <v>0</v>
      </c>
      <c r="AD1584" s="6">
        <f ca="1">SUBTOTAL(9,INDEX(Main[بدهی سررسید شده (کیلوگرم)],1):Main[[#This Row],[بدهی سررسید شده (کیلوگرم)]])</f>
        <v>0</v>
      </c>
      <c r="AE1584" s="6">
        <f ca="1">IF(Main[[#This Row],[مانده در خط سررسید شده (کیلوگرم)]]&lt;&gt;0,Main[[#This Row],[تعداد کل روزهای بدهکار (روز)]],0)</f>
        <v>0</v>
      </c>
      <c r="AF1584" s="6">
        <f ca="1">Main[[#This Row],[تعداد روزهای بدهکار سررسید شده (روز)]]*Main[[#This Row],[مانده در خط سررسید شده (کیلوگرم)]]</f>
        <v>0</v>
      </c>
    </row>
    <row r="1585" spans="1:32" hidden="1" x14ac:dyDescent="0.35">
      <c r="A1585" s="5">
        <f>ROW()-ROW(INDEX(Main[ردیف],1))+1</f>
        <v>1583</v>
      </c>
      <c r="B1585" s="31">
        <f>SUBTOTAL(2,INDEX(Main[ردیف],1):Main[[#This Row],[ردیف]])</f>
        <v>144</v>
      </c>
      <c r="C1585" s="32" t="s">
        <v>698</v>
      </c>
      <c r="D1585" s="32" t="str">
        <f>_xlfn.CONCAT("14",Main[[#This Row],[تاريخ]])</f>
        <v>1400/06/22</v>
      </c>
      <c r="E1585" s="33">
        <v>44452</v>
      </c>
      <c r="F1585" s="32">
        <v>30140</v>
      </c>
      <c r="G1585" s="5" t="str">
        <f>INDEX(customer[عنوان],MATCH(Main[[#This Row],[کد ردیابی]],customer[کد],0))</f>
        <v>شرکت سیتکو</v>
      </c>
      <c r="H1585">
        <v>1062</v>
      </c>
      <c r="I1585" s="6">
        <f ca="1">-Main[[#This Row],[بدهی تسویه شده (کیلوگرم)]]+Main[[#This Row],[بستانکار (کیلوگرم)]]</f>
        <v>1062</v>
      </c>
      <c r="J1585" s="6">
        <f>IF(Main[[#This Row],[مقدار (کیلوگرم)]]&gt;0,Main[[#This Row],[مقدار (کیلوگرم)]],0)</f>
        <v>1062</v>
      </c>
      <c r="K1585" s="6">
        <f>-IF(Main[[#This Row],[مقدار (کیلوگرم)]]&lt;0,Main[[#This Row],[مقدار (کیلوگرم)]],0)</f>
        <v>0</v>
      </c>
      <c r="L15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5" s="7">
        <f>-IF(AND(Main[[#This Row],[مقدار (کیلوگرم)]]&lt;0,Main[[#This Row],[تاريخ میلادی]]&gt;44276),Main[[#This Row],[مقدار (کیلوگرم)]],0)</f>
        <v>0</v>
      </c>
      <c r="N1585" s="6">
        <f ca="1">Main[[#This Row],[بدهکار (کیلوگرم)]]-Main[[#This Row],[بدهی تسویه نشده (کیلوگرم)]]</f>
        <v>0</v>
      </c>
      <c r="O1585" s="6">
        <f ca="1">Main[[#This Row],[تفکیک]]</f>
        <v>0</v>
      </c>
      <c r="P1585" s="6">
        <f ca="1">IF(Main[[#This Row],[تاخیر از سررسید]]&gt;0,Main[[#This Row],[بدهی تسویه نشده (کیلوگرم)]],0)</f>
        <v>0</v>
      </c>
      <c r="Q1585" s="6">
        <f ca="1">IF(Main[[#This Row],[بدهی تسویه نشده (کیلوگرم)]]&gt;0,'گزارش فردی'!$B$7-Main[[#This Row],[تاريخ میلادی]],0)</f>
        <v>0</v>
      </c>
      <c r="R1585" s="6">
        <f ca="1">IF(Main[[#This Row],[بدهی تسویه نشده (کیلوگرم)]]&gt;0,'گزارش فردی'!$B$7-Main[[#This Row],[تاريخ میلادی]]-'گزارش فردی'!$B$8,0)</f>
        <v>0</v>
      </c>
      <c r="S1585" s="6">
        <f ca="1">Main[[#This Row],[روز از ارسال سفارش]]*Main[[#This Row],[بدهی تسویه نشده (کیلوگرم)]]</f>
        <v>0</v>
      </c>
      <c r="T1585" s="6">
        <f ca="1">Main[[#This Row],[بدهی سررسید شده (کیلوگرم)]]*Main[[#This Row],[روز از ارسال سفارش]]</f>
        <v>0</v>
      </c>
      <c r="U1585" s="6">
        <f>-SUBTOTAL(9,INDEX(Main[مقدار (کیلوگرم)],1):Main[[#This Row],[مقدار (کیلوگرم)]])</f>
        <v>36183</v>
      </c>
      <c r="V158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5" s="6">
        <f>Main[[#This Row],[تعداد کل روزهای بدهکار (روز)]]*Main[[#This Row],[مانده در خط کل (کیلوگرم)]]</f>
        <v>108549</v>
      </c>
      <c r="X1585" s="6">
        <f ca="1">-SUBTOTAL(9,INDEX(Main[مقدار تسویه شده (کیلوگرم)],1):Main[[#This Row],[مقدار تسویه شده (کیلوگرم)]])</f>
        <v>36183</v>
      </c>
      <c r="Y1585" s="6">
        <f ca="1">IF(Main[[#This Row],[مانده در خط تسویه شده (کیلوگرم)]]&lt;&gt;0,Main[[#This Row],[تعداد کل روزهای بدهکار (روز)]],0)</f>
        <v>3</v>
      </c>
      <c r="Z1585" s="6">
        <f ca="1">Main[[#This Row],[تعداد روزهای بدهکار تسویه شده (روز)]]*Main[[#This Row],[مانده در خط تسویه شده (کیلوگرم)]]</f>
        <v>108549</v>
      </c>
      <c r="AA1585" s="6">
        <f ca="1">SUBTOTAL(9,INDEX(Main[بدهی تسویه نشده (کیلوگرم)],1):Main[[#This Row],[بدهی تسویه نشده (کیلوگرم)]])</f>
        <v>0</v>
      </c>
      <c r="AB1585" s="6">
        <f ca="1">IF(Main[[#This Row],[مانده در خط تسویه نشده (کیلوگرم)]]&lt;&gt;0,Main[[#This Row],[تعداد کل روزهای بدهکار (روز)]],0)</f>
        <v>0</v>
      </c>
      <c r="AC1585" s="6">
        <f ca="1">Main[[#This Row],[تعداد روزهای بدهکار  تسویه نشده (روز)]]*Main[[#This Row],[مانده در خط تسویه نشده (کیلوگرم)]]</f>
        <v>0</v>
      </c>
      <c r="AD1585" s="6">
        <f ca="1">SUBTOTAL(9,INDEX(Main[بدهی سررسید شده (کیلوگرم)],1):Main[[#This Row],[بدهی سررسید شده (کیلوگرم)]])</f>
        <v>0</v>
      </c>
      <c r="AE1585" s="6">
        <f ca="1">IF(Main[[#This Row],[مانده در خط سررسید شده (کیلوگرم)]]&lt;&gt;0,Main[[#This Row],[تعداد کل روزهای بدهکار (روز)]],0)</f>
        <v>0</v>
      </c>
      <c r="AF1585" s="6">
        <f ca="1">Main[[#This Row],[تعداد روزهای بدهکار سررسید شده (روز)]]*Main[[#This Row],[مانده در خط سررسید شده (کیلوگرم)]]</f>
        <v>0</v>
      </c>
    </row>
    <row r="1586" spans="1:32" hidden="1" x14ac:dyDescent="0.35">
      <c r="A1586" s="5">
        <f>ROW()-ROW(INDEX(Main[ردیف],1))+1</f>
        <v>1584</v>
      </c>
      <c r="B1586" s="31">
        <f>SUBTOTAL(2,INDEX(Main[ردیف],1):Main[[#This Row],[ردیف]])</f>
        <v>144</v>
      </c>
      <c r="C1586" s="32" t="s">
        <v>698</v>
      </c>
      <c r="D1586" s="32" t="str">
        <f>_xlfn.CONCAT("14",Main[[#This Row],[تاريخ]])</f>
        <v>1400/06/22</v>
      </c>
      <c r="E1586" s="33">
        <v>44452</v>
      </c>
      <c r="F1586" s="32">
        <v>30099</v>
      </c>
      <c r="G1586" s="5" t="str">
        <f>INDEX(customer[عنوان],MATCH(Main[[#This Row],[کد ردیابی]],customer[کد],0))</f>
        <v>ایران شرق نیشابور</v>
      </c>
      <c r="H1586">
        <v>4195</v>
      </c>
      <c r="I1586" s="6">
        <f ca="1">-Main[[#This Row],[بدهی تسویه شده (کیلوگرم)]]+Main[[#This Row],[بستانکار (کیلوگرم)]]</f>
        <v>4195</v>
      </c>
      <c r="J1586" s="6">
        <f>IF(Main[[#This Row],[مقدار (کیلوگرم)]]&gt;0,Main[[#This Row],[مقدار (کیلوگرم)]],0)</f>
        <v>4195</v>
      </c>
      <c r="K1586" s="6">
        <f>-IF(Main[[#This Row],[مقدار (کیلوگرم)]]&lt;0,Main[[#This Row],[مقدار (کیلوگرم)]],0)</f>
        <v>0</v>
      </c>
      <c r="L15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6" s="7">
        <f>-IF(AND(Main[[#This Row],[مقدار (کیلوگرم)]]&lt;0,Main[[#This Row],[تاريخ میلادی]]&gt;44276),Main[[#This Row],[مقدار (کیلوگرم)]],0)</f>
        <v>0</v>
      </c>
      <c r="N1586" s="6">
        <f ca="1">Main[[#This Row],[بدهکار (کیلوگرم)]]-Main[[#This Row],[بدهی تسویه نشده (کیلوگرم)]]</f>
        <v>0</v>
      </c>
      <c r="O1586" s="6">
        <f ca="1">Main[[#This Row],[تفکیک]]</f>
        <v>0</v>
      </c>
      <c r="P1586" s="6">
        <f ca="1">IF(Main[[#This Row],[تاخیر از سررسید]]&gt;0,Main[[#This Row],[بدهی تسویه نشده (کیلوگرم)]],0)</f>
        <v>0</v>
      </c>
      <c r="Q1586" s="6">
        <f ca="1">IF(Main[[#This Row],[بدهی تسویه نشده (کیلوگرم)]]&gt;0,'گزارش فردی'!$B$7-Main[[#This Row],[تاريخ میلادی]],0)</f>
        <v>0</v>
      </c>
      <c r="R1586" s="6">
        <f ca="1">IF(Main[[#This Row],[بدهی تسویه نشده (کیلوگرم)]]&gt;0,'گزارش فردی'!$B$7-Main[[#This Row],[تاريخ میلادی]]-'گزارش فردی'!$B$8,0)</f>
        <v>0</v>
      </c>
      <c r="S1586" s="6">
        <f ca="1">Main[[#This Row],[روز از ارسال سفارش]]*Main[[#This Row],[بدهی تسویه نشده (کیلوگرم)]]</f>
        <v>0</v>
      </c>
      <c r="T1586" s="6">
        <f ca="1">Main[[#This Row],[بدهی سررسید شده (کیلوگرم)]]*Main[[#This Row],[روز از ارسال سفارش]]</f>
        <v>0</v>
      </c>
      <c r="U1586" s="6">
        <f>-SUBTOTAL(9,INDEX(Main[مقدار (کیلوگرم)],1):Main[[#This Row],[مقدار (کیلوگرم)]])</f>
        <v>36183</v>
      </c>
      <c r="V158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6" s="6">
        <f>Main[[#This Row],[تعداد کل روزهای بدهکار (روز)]]*Main[[#This Row],[مانده در خط کل (کیلوگرم)]]</f>
        <v>108549</v>
      </c>
      <c r="X1586" s="6">
        <f ca="1">-SUBTOTAL(9,INDEX(Main[مقدار تسویه شده (کیلوگرم)],1):Main[[#This Row],[مقدار تسویه شده (کیلوگرم)]])</f>
        <v>36183</v>
      </c>
      <c r="Y1586" s="6">
        <f ca="1">IF(Main[[#This Row],[مانده در خط تسویه شده (کیلوگرم)]]&lt;&gt;0,Main[[#This Row],[تعداد کل روزهای بدهکار (روز)]],0)</f>
        <v>3</v>
      </c>
      <c r="Z1586" s="6">
        <f ca="1">Main[[#This Row],[تعداد روزهای بدهکار تسویه شده (روز)]]*Main[[#This Row],[مانده در خط تسویه شده (کیلوگرم)]]</f>
        <v>108549</v>
      </c>
      <c r="AA1586" s="6">
        <f ca="1">SUBTOTAL(9,INDEX(Main[بدهی تسویه نشده (کیلوگرم)],1):Main[[#This Row],[بدهی تسویه نشده (کیلوگرم)]])</f>
        <v>0</v>
      </c>
      <c r="AB1586" s="6">
        <f ca="1">IF(Main[[#This Row],[مانده در خط تسویه نشده (کیلوگرم)]]&lt;&gt;0,Main[[#This Row],[تعداد کل روزهای بدهکار (روز)]],0)</f>
        <v>0</v>
      </c>
      <c r="AC1586" s="6">
        <f ca="1">Main[[#This Row],[تعداد روزهای بدهکار  تسویه نشده (روز)]]*Main[[#This Row],[مانده در خط تسویه نشده (کیلوگرم)]]</f>
        <v>0</v>
      </c>
      <c r="AD1586" s="6">
        <f ca="1">SUBTOTAL(9,INDEX(Main[بدهی سررسید شده (کیلوگرم)],1):Main[[#This Row],[بدهی سررسید شده (کیلوگرم)]])</f>
        <v>0</v>
      </c>
      <c r="AE1586" s="6">
        <f ca="1">IF(Main[[#This Row],[مانده در خط سررسید شده (کیلوگرم)]]&lt;&gt;0,Main[[#This Row],[تعداد کل روزهای بدهکار (روز)]],0)</f>
        <v>0</v>
      </c>
      <c r="AF1586" s="6">
        <f ca="1">Main[[#This Row],[تعداد روزهای بدهکار سررسید شده (روز)]]*Main[[#This Row],[مانده در خط سررسید شده (کیلوگرم)]]</f>
        <v>0</v>
      </c>
    </row>
    <row r="1587" spans="1:32" hidden="1" x14ac:dyDescent="0.35">
      <c r="A1587" s="5">
        <f>ROW()-ROW(INDEX(Main[ردیف],1))+1</f>
        <v>1585</v>
      </c>
      <c r="B1587" s="31">
        <f>SUBTOTAL(2,INDEX(Main[ردیف],1):Main[[#This Row],[ردیف]])</f>
        <v>144</v>
      </c>
      <c r="C1587" s="32" t="s">
        <v>699</v>
      </c>
      <c r="D1587" s="32" t="str">
        <f>_xlfn.CONCAT("14",Main[[#This Row],[تاريخ]])</f>
        <v>1400/06/23</v>
      </c>
      <c r="E1587" s="33">
        <v>44453</v>
      </c>
      <c r="F1587" s="32">
        <v>30127</v>
      </c>
      <c r="G1587" s="5" t="str">
        <f>INDEX(customer[عنوان],MATCH(Main[[#This Row],[کد ردیابی]],customer[کد],0))</f>
        <v>شیر گاز آذران</v>
      </c>
      <c r="H1587">
        <v>-15628</v>
      </c>
      <c r="I1587" s="6">
        <f ca="1">-Main[[#This Row],[بدهی تسویه شده (کیلوگرم)]]+Main[[#This Row],[بستانکار (کیلوگرم)]]</f>
        <v>-15628</v>
      </c>
      <c r="J1587" s="6">
        <f>IF(Main[[#This Row],[مقدار (کیلوگرم)]]&gt;0,Main[[#This Row],[مقدار (کیلوگرم)]],0)</f>
        <v>0</v>
      </c>
      <c r="K1587" s="6">
        <f>-IF(Main[[#This Row],[مقدار (کیلوگرم)]]&lt;0,Main[[#This Row],[مقدار (کیلوگرم)]],0)</f>
        <v>15628</v>
      </c>
      <c r="L15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7" s="7">
        <f>-IF(AND(Main[[#This Row],[مقدار (کیلوگرم)]]&lt;0,Main[[#This Row],[تاريخ میلادی]]&gt;44276),Main[[#This Row],[مقدار (کیلوگرم)]],0)</f>
        <v>15628</v>
      </c>
      <c r="N1587" s="6">
        <f ca="1">Main[[#This Row],[بدهکار (کیلوگرم)]]-Main[[#This Row],[بدهی تسویه نشده (کیلوگرم)]]</f>
        <v>15628</v>
      </c>
      <c r="O1587" s="6">
        <f ca="1">Main[[#This Row],[تفکیک]]</f>
        <v>0</v>
      </c>
      <c r="P1587" s="6">
        <f ca="1">IF(Main[[#This Row],[تاخیر از سررسید]]&gt;0,Main[[#This Row],[بدهی تسویه نشده (کیلوگرم)]],0)</f>
        <v>0</v>
      </c>
      <c r="Q1587" s="6">
        <f ca="1">IF(Main[[#This Row],[بدهی تسویه نشده (کیلوگرم)]]&gt;0,'گزارش فردی'!$B$7-Main[[#This Row],[تاريخ میلادی]],0)</f>
        <v>0</v>
      </c>
      <c r="R1587" s="6">
        <f ca="1">IF(Main[[#This Row],[بدهی تسویه نشده (کیلوگرم)]]&gt;0,'گزارش فردی'!$B$7-Main[[#This Row],[تاريخ میلادی]]-'گزارش فردی'!$B$8,0)</f>
        <v>0</v>
      </c>
      <c r="S1587" s="6">
        <f ca="1">Main[[#This Row],[روز از ارسال سفارش]]*Main[[#This Row],[بدهی تسویه نشده (کیلوگرم)]]</f>
        <v>0</v>
      </c>
      <c r="T1587" s="6">
        <f ca="1">Main[[#This Row],[بدهی سررسید شده (کیلوگرم)]]*Main[[#This Row],[روز از ارسال سفارش]]</f>
        <v>0</v>
      </c>
      <c r="U1587" s="6">
        <f>-SUBTOTAL(9,INDEX(Main[مقدار (کیلوگرم)],1):Main[[#This Row],[مقدار (کیلوگرم)]])</f>
        <v>36183</v>
      </c>
      <c r="V158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87" s="6">
        <f>Main[[#This Row],[تعداد کل روزهای بدهکار (روز)]]*Main[[#This Row],[مانده در خط کل (کیلوگرم)]]</f>
        <v>72366</v>
      </c>
      <c r="X1587" s="6">
        <f ca="1">-SUBTOTAL(9,INDEX(Main[مقدار تسویه شده (کیلوگرم)],1):Main[[#This Row],[مقدار تسویه شده (کیلوگرم)]])</f>
        <v>36183</v>
      </c>
      <c r="Y1587" s="6">
        <f ca="1">IF(Main[[#This Row],[مانده در خط تسویه شده (کیلوگرم)]]&lt;&gt;0,Main[[#This Row],[تعداد کل روزهای بدهکار (روز)]],0)</f>
        <v>2</v>
      </c>
      <c r="Z1587" s="6">
        <f ca="1">Main[[#This Row],[تعداد روزهای بدهکار تسویه شده (روز)]]*Main[[#This Row],[مانده در خط تسویه شده (کیلوگرم)]]</f>
        <v>72366</v>
      </c>
      <c r="AA1587" s="6">
        <f ca="1">SUBTOTAL(9,INDEX(Main[بدهی تسویه نشده (کیلوگرم)],1):Main[[#This Row],[بدهی تسویه نشده (کیلوگرم)]])</f>
        <v>0</v>
      </c>
      <c r="AB1587" s="6">
        <f ca="1">IF(Main[[#This Row],[مانده در خط تسویه نشده (کیلوگرم)]]&lt;&gt;0,Main[[#This Row],[تعداد کل روزهای بدهکار (روز)]],0)</f>
        <v>0</v>
      </c>
      <c r="AC1587" s="6">
        <f ca="1">Main[[#This Row],[تعداد روزهای بدهکار  تسویه نشده (روز)]]*Main[[#This Row],[مانده در خط تسویه نشده (کیلوگرم)]]</f>
        <v>0</v>
      </c>
      <c r="AD1587" s="6">
        <f ca="1">SUBTOTAL(9,INDEX(Main[بدهی سررسید شده (کیلوگرم)],1):Main[[#This Row],[بدهی سررسید شده (کیلوگرم)]])</f>
        <v>0</v>
      </c>
      <c r="AE1587" s="6">
        <f ca="1">IF(Main[[#This Row],[مانده در خط سررسید شده (کیلوگرم)]]&lt;&gt;0,Main[[#This Row],[تعداد کل روزهای بدهکار (روز)]],0)</f>
        <v>0</v>
      </c>
      <c r="AF1587" s="6">
        <f ca="1">Main[[#This Row],[تعداد روزهای بدهکار سررسید شده (روز)]]*Main[[#This Row],[مانده در خط سررسید شده (کیلوگرم)]]</f>
        <v>0</v>
      </c>
    </row>
    <row r="1588" spans="1:32" hidden="1" x14ac:dyDescent="0.35">
      <c r="A1588" s="5">
        <f>ROW()-ROW(INDEX(Main[ردیف],1))+1</f>
        <v>1586</v>
      </c>
      <c r="B1588" s="31">
        <f>SUBTOTAL(2,INDEX(Main[ردیف],1):Main[[#This Row],[ردیف]])</f>
        <v>144</v>
      </c>
      <c r="C1588" s="32" t="s">
        <v>699</v>
      </c>
      <c r="D1588" s="32" t="str">
        <f>_xlfn.CONCAT("14",Main[[#This Row],[تاريخ]])</f>
        <v>1400/06/23</v>
      </c>
      <c r="E1588" s="33">
        <v>44453</v>
      </c>
      <c r="F1588" s="32">
        <v>30146</v>
      </c>
      <c r="G1588" s="5" t="str">
        <f>INDEX(customer[عنوان],MATCH(Main[[#This Row],[کد ردیابی]],customer[کد],0))</f>
        <v>شرکت آذرپاد</v>
      </c>
      <c r="H1588">
        <v>783</v>
      </c>
      <c r="I1588" s="6">
        <f ca="1">-Main[[#This Row],[بدهی تسویه شده (کیلوگرم)]]+Main[[#This Row],[بستانکار (کیلوگرم)]]</f>
        <v>783</v>
      </c>
      <c r="J1588" s="6">
        <f>IF(Main[[#This Row],[مقدار (کیلوگرم)]]&gt;0,Main[[#This Row],[مقدار (کیلوگرم)]],0)</f>
        <v>783</v>
      </c>
      <c r="K1588" s="6">
        <f>-IF(Main[[#This Row],[مقدار (کیلوگرم)]]&lt;0,Main[[#This Row],[مقدار (کیلوگرم)]],0)</f>
        <v>0</v>
      </c>
      <c r="L15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8" s="7">
        <f>-IF(AND(Main[[#This Row],[مقدار (کیلوگرم)]]&lt;0,Main[[#This Row],[تاريخ میلادی]]&gt;44276),Main[[#This Row],[مقدار (کیلوگرم)]],0)</f>
        <v>0</v>
      </c>
      <c r="N1588" s="6">
        <f ca="1">Main[[#This Row],[بدهکار (کیلوگرم)]]-Main[[#This Row],[بدهی تسویه نشده (کیلوگرم)]]</f>
        <v>0</v>
      </c>
      <c r="O1588" s="6">
        <f ca="1">Main[[#This Row],[تفکیک]]</f>
        <v>0</v>
      </c>
      <c r="P1588" s="6">
        <f ca="1">IF(Main[[#This Row],[تاخیر از سررسید]]&gt;0,Main[[#This Row],[بدهی تسویه نشده (کیلوگرم)]],0)</f>
        <v>0</v>
      </c>
      <c r="Q1588" s="6">
        <f ca="1">IF(Main[[#This Row],[بدهی تسویه نشده (کیلوگرم)]]&gt;0,'گزارش فردی'!$B$7-Main[[#This Row],[تاريخ میلادی]],0)</f>
        <v>0</v>
      </c>
      <c r="R1588" s="6">
        <f ca="1">IF(Main[[#This Row],[بدهی تسویه نشده (کیلوگرم)]]&gt;0,'گزارش فردی'!$B$7-Main[[#This Row],[تاريخ میلادی]]-'گزارش فردی'!$B$8,0)</f>
        <v>0</v>
      </c>
      <c r="S1588" s="6">
        <f ca="1">Main[[#This Row],[روز از ارسال سفارش]]*Main[[#This Row],[بدهی تسویه نشده (کیلوگرم)]]</f>
        <v>0</v>
      </c>
      <c r="T1588" s="6">
        <f ca="1">Main[[#This Row],[بدهی سررسید شده (کیلوگرم)]]*Main[[#This Row],[روز از ارسال سفارش]]</f>
        <v>0</v>
      </c>
      <c r="U1588" s="6">
        <f>-SUBTOTAL(9,INDEX(Main[مقدار (کیلوگرم)],1):Main[[#This Row],[مقدار (کیلوگرم)]])</f>
        <v>36183</v>
      </c>
      <c r="V15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88" s="6">
        <f>Main[[#This Row],[تعداد کل روزهای بدهکار (روز)]]*Main[[#This Row],[مانده در خط کل (کیلوگرم)]]</f>
        <v>72366</v>
      </c>
      <c r="X1588" s="6">
        <f ca="1">-SUBTOTAL(9,INDEX(Main[مقدار تسویه شده (کیلوگرم)],1):Main[[#This Row],[مقدار تسویه شده (کیلوگرم)]])</f>
        <v>36183</v>
      </c>
      <c r="Y1588" s="6">
        <f ca="1">IF(Main[[#This Row],[مانده در خط تسویه شده (کیلوگرم)]]&lt;&gt;0,Main[[#This Row],[تعداد کل روزهای بدهکار (روز)]],0)</f>
        <v>2</v>
      </c>
      <c r="Z1588" s="6">
        <f ca="1">Main[[#This Row],[تعداد روزهای بدهکار تسویه شده (روز)]]*Main[[#This Row],[مانده در خط تسویه شده (کیلوگرم)]]</f>
        <v>72366</v>
      </c>
      <c r="AA1588" s="6">
        <f ca="1">SUBTOTAL(9,INDEX(Main[بدهی تسویه نشده (کیلوگرم)],1):Main[[#This Row],[بدهی تسویه نشده (کیلوگرم)]])</f>
        <v>0</v>
      </c>
      <c r="AB1588" s="6">
        <f ca="1">IF(Main[[#This Row],[مانده در خط تسویه نشده (کیلوگرم)]]&lt;&gt;0,Main[[#This Row],[تعداد کل روزهای بدهکار (روز)]],0)</f>
        <v>0</v>
      </c>
      <c r="AC1588" s="6">
        <f ca="1">Main[[#This Row],[تعداد روزهای بدهکار  تسویه نشده (روز)]]*Main[[#This Row],[مانده در خط تسویه نشده (کیلوگرم)]]</f>
        <v>0</v>
      </c>
      <c r="AD1588" s="6">
        <f ca="1">SUBTOTAL(9,INDEX(Main[بدهی سررسید شده (کیلوگرم)],1):Main[[#This Row],[بدهی سررسید شده (کیلوگرم)]])</f>
        <v>0</v>
      </c>
      <c r="AE1588" s="6">
        <f ca="1">IF(Main[[#This Row],[مانده در خط سررسید شده (کیلوگرم)]]&lt;&gt;0,Main[[#This Row],[تعداد کل روزهای بدهکار (روز)]],0)</f>
        <v>0</v>
      </c>
      <c r="AF1588" s="6">
        <f ca="1">Main[[#This Row],[تعداد روزهای بدهکار سررسید شده (روز)]]*Main[[#This Row],[مانده در خط سررسید شده (کیلوگرم)]]</f>
        <v>0</v>
      </c>
    </row>
    <row r="1589" spans="1:32" hidden="1" x14ac:dyDescent="0.35">
      <c r="A1589" s="5">
        <f>ROW()-ROW(INDEX(Main[ردیف],1))+1</f>
        <v>1587</v>
      </c>
      <c r="B1589" s="31">
        <f>SUBTOTAL(2,INDEX(Main[ردیف],1):Main[[#This Row],[ردیف]])</f>
        <v>144</v>
      </c>
      <c r="C1589" s="32" t="s">
        <v>699</v>
      </c>
      <c r="D1589" s="32" t="str">
        <f>_xlfn.CONCAT("14",Main[[#This Row],[تاريخ]])</f>
        <v>1400/06/23</v>
      </c>
      <c r="E1589" s="33">
        <v>44453</v>
      </c>
      <c r="F1589" s="32">
        <v>30146</v>
      </c>
      <c r="G1589" s="5" t="str">
        <f>INDEX(customer[عنوان],MATCH(Main[[#This Row],[کد ردیابی]],customer[کد],0))</f>
        <v>شرکت آذرپاد</v>
      </c>
      <c r="H1589">
        <v>-5580</v>
      </c>
      <c r="I1589" s="6">
        <f ca="1">-Main[[#This Row],[بدهی تسویه شده (کیلوگرم)]]+Main[[#This Row],[بستانکار (کیلوگرم)]]</f>
        <v>-5580</v>
      </c>
      <c r="J1589" s="6">
        <f>IF(Main[[#This Row],[مقدار (کیلوگرم)]]&gt;0,Main[[#This Row],[مقدار (کیلوگرم)]],0)</f>
        <v>0</v>
      </c>
      <c r="K1589" s="6">
        <f>-IF(Main[[#This Row],[مقدار (کیلوگرم)]]&lt;0,Main[[#This Row],[مقدار (کیلوگرم)]],0)</f>
        <v>5580</v>
      </c>
      <c r="L15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9" s="7">
        <f>-IF(AND(Main[[#This Row],[مقدار (کیلوگرم)]]&lt;0,Main[[#This Row],[تاريخ میلادی]]&gt;44276),Main[[#This Row],[مقدار (کیلوگرم)]],0)</f>
        <v>5580</v>
      </c>
      <c r="N1589" s="6">
        <f ca="1">Main[[#This Row],[بدهکار (کیلوگرم)]]-Main[[#This Row],[بدهی تسویه نشده (کیلوگرم)]]</f>
        <v>5580</v>
      </c>
      <c r="O1589" s="6">
        <f ca="1">Main[[#This Row],[تفکیک]]</f>
        <v>0</v>
      </c>
      <c r="P1589" s="6">
        <f ca="1">IF(Main[[#This Row],[تاخیر از سررسید]]&gt;0,Main[[#This Row],[بدهی تسویه نشده (کیلوگرم)]],0)</f>
        <v>0</v>
      </c>
      <c r="Q1589" s="6">
        <f ca="1">IF(Main[[#This Row],[بدهی تسویه نشده (کیلوگرم)]]&gt;0,'گزارش فردی'!$B$7-Main[[#This Row],[تاريخ میلادی]],0)</f>
        <v>0</v>
      </c>
      <c r="R1589" s="6">
        <f ca="1">IF(Main[[#This Row],[بدهی تسویه نشده (کیلوگرم)]]&gt;0,'گزارش فردی'!$B$7-Main[[#This Row],[تاريخ میلادی]]-'گزارش فردی'!$B$8,0)</f>
        <v>0</v>
      </c>
      <c r="S1589" s="6">
        <f ca="1">Main[[#This Row],[روز از ارسال سفارش]]*Main[[#This Row],[بدهی تسویه نشده (کیلوگرم)]]</f>
        <v>0</v>
      </c>
      <c r="T1589" s="6">
        <f ca="1">Main[[#This Row],[بدهی سررسید شده (کیلوگرم)]]*Main[[#This Row],[روز از ارسال سفارش]]</f>
        <v>0</v>
      </c>
      <c r="U1589" s="6">
        <f>-SUBTOTAL(9,INDEX(Main[مقدار (کیلوگرم)],1):Main[[#This Row],[مقدار (کیلوگرم)]])</f>
        <v>36183</v>
      </c>
      <c r="V158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89" s="6">
        <f>Main[[#This Row],[تعداد کل روزهای بدهکار (روز)]]*Main[[#This Row],[مانده در خط کل (کیلوگرم)]]</f>
        <v>72366</v>
      </c>
      <c r="X1589" s="6">
        <f ca="1">-SUBTOTAL(9,INDEX(Main[مقدار تسویه شده (کیلوگرم)],1):Main[[#This Row],[مقدار تسویه شده (کیلوگرم)]])</f>
        <v>36183</v>
      </c>
      <c r="Y1589" s="6">
        <f ca="1">IF(Main[[#This Row],[مانده در خط تسویه شده (کیلوگرم)]]&lt;&gt;0,Main[[#This Row],[تعداد کل روزهای بدهکار (روز)]],0)</f>
        <v>2</v>
      </c>
      <c r="Z1589" s="6">
        <f ca="1">Main[[#This Row],[تعداد روزهای بدهکار تسویه شده (روز)]]*Main[[#This Row],[مانده در خط تسویه شده (کیلوگرم)]]</f>
        <v>72366</v>
      </c>
      <c r="AA1589" s="6">
        <f ca="1">SUBTOTAL(9,INDEX(Main[بدهی تسویه نشده (کیلوگرم)],1):Main[[#This Row],[بدهی تسویه نشده (کیلوگرم)]])</f>
        <v>0</v>
      </c>
      <c r="AB1589" s="6">
        <f ca="1">IF(Main[[#This Row],[مانده در خط تسویه نشده (کیلوگرم)]]&lt;&gt;0,Main[[#This Row],[تعداد کل روزهای بدهکار (روز)]],0)</f>
        <v>0</v>
      </c>
      <c r="AC1589" s="6">
        <f ca="1">Main[[#This Row],[تعداد روزهای بدهکار  تسویه نشده (روز)]]*Main[[#This Row],[مانده در خط تسویه نشده (کیلوگرم)]]</f>
        <v>0</v>
      </c>
      <c r="AD1589" s="6">
        <f ca="1">SUBTOTAL(9,INDEX(Main[بدهی سررسید شده (کیلوگرم)],1):Main[[#This Row],[بدهی سررسید شده (کیلوگرم)]])</f>
        <v>0</v>
      </c>
      <c r="AE1589" s="6">
        <f ca="1">IF(Main[[#This Row],[مانده در خط سررسید شده (کیلوگرم)]]&lt;&gt;0,Main[[#This Row],[تعداد کل روزهای بدهکار (روز)]],0)</f>
        <v>0</v>
      </c>
      <c r="AF1589" s="6">
        <f ca="1">Main[[#This Row],[تعداد روزهای بدهکار سررسید شده (روز)]]*Main[[#This Row],[مانده در خط سررسید شده (کیلوگرم)]]</f>
        <v>0</v>
      </c>
    </row>
    <row r="1590" spans="1:32" hidden="1" x14ac:dyDescent="0.35">
      <c r="A1590" s="5">
        <f>ROW()-ROW(INDEX(Main[ردیف],1))+1</f>
        <v>1588</v>
      </c>
      <c r="B1590" s="31">
        <f>SUBTOTAL(2,INDEX(Main[ردیف],1):Main[[#This Row],[ردیف]])</f>
        <v>144</v>
      </c>
      <c r="C1590" s="32" t="s">
        <v>699</v>
      </c>
      <c r="D1590" s="32" t="str">
        <f>_xlfn.CONCAT("14",Main[[#This Row],[تاريخ]])</f>
        <v>1400/06/23</v>
      </c>
      <c r="E1590" s="33">
        <v>44453</v>
      </c>
      <c r="F1590" s="32">
        <v>30004</v>
      </c>
      <c r="G1590" s="5" t="str">
        <f>INDEX(customer[عنوان],MATCH(Main[[#This Row],[کد ردیابی]],customer[کد],0))</f>
        <v>تولیدی صنعتی صفاشیر پارس</v>
      </c>
      <c r="H1590">
        <v>4502</v>
      </c>
      <c r="I1590" s="6">
        <f ca="1">-Main[[#This Row],[بدهی تسویه شده (کیلوگرم)]]+Main[[#This Row],[بستانکار (کیلوگرم)]]</f>
        <v>4502</v>
      </c>
      <c r="J1590" s="6">
        <f>IF(Main[[#This Row],[مقدار (کیلوگرم)]]&gt;0,Main[[#This Row],[مقدار (کیلوگرم)]],0)</f>
        <v>4502</v>
      </c>
      <c r="K1590" s="6">
        <f>-IF(Main[[#This Row],[مقدار (کیلوگرم)]]&lt;0,Main[[#This Row],[مقدار (کیلوگرم)]],0)</f>
        <v>0</v>
      </c>
      <c r="L15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0" s="7">
        <f>-IF(AND(Main[[#This Row],[مقدار (کیلوگرم)]]&lt;0,Main[[#This Row],[تاريخ میلادی]]&gt;44276),Main[[#This Row],[مقدار (کیلوگرم)]],0)</f>
        <v>0</v>
      </c>
      <c r="N1590" s="6">
        <f ca="1">Main[[#This Row],[بدهکار (کیلوگرم)]]-Main[[#This Row],[بدهی تسویه نشده (کیلوگرم)]]</f>
        <v>0</v>
      </c>
      <c r="O1590" s="6">
        <f ca="1">Main[[#This Row],[تفکیک]]</f>
        <v>0</v>
      </c>
      <c r="P1590" s="6">
        <f ca="1">IF(Main[[#This Row],[تاخیر از سررسید]]&gt;0,Main[[#This Row],[بدهی تسویه نشده (کیلوگرم)]],0)</f>
        <v>0</v>
      </c>
      <c r="Q1590" s="6">
        <f ca="1">IF(Main[[#This Row],[بدهی تسویه نشده (کیلوگرم)]]&gt;0,'گزارش فردی'!$B$7-Main[[#This Row],[تاريخ میلادی]],0)</f>
        <v>0</v>
      </c>
      <c r="R1590" s="6">
        <f ca="1">IF(Main[[#This Row],[بدهی تسویه نشده (کیلوگرم)]]&gt;0,'گزارش فردی'!$B$7-Main[[#This Row],[تاريخ میلادی]]-'گزارش فردی'!$B$8,0)</f>
        <v>0</v>
      </c>
      <c r="S1590" s="6">
        <f ca="1">Main[[#This Row],[روز از ارسال سفارش]]*Main[[#This Row],[بدهی تسویه نشده (کیلوگرم)]]</f>
        <v>0</v>
      </c>
      <c r="T1590" s="6">
        <f ca="1">Main[[#This Row],[بدهی سررسید شده (کیلوگرم)]]*Main[[#This Row],[روز از ارسال سفارش]]</f>
        <v>0</v>
      </c>
      <c r="U1590" s="6">
        <f>-SUBTOTAL(9,INDEX(Main[مقدار (کیلوگرم)],1):Main[[#This Row],[مقدار (کیلوگرم)]])</f>
        <v>36183</v>
      </c>
      <c r="V159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0" s="6">
        <f>Main[[#This Row],[تعداد کل روزهای بدهکار (روز)]]*Main[[#This Row],[مانده در خط کل (کیلوگرم)]]</f>
        <v>72366</v>
      </c>
      <c r="X1590" s="6">
        <f ca="1">-SUBTOTAL(9,INDEX(Main[مقدار تسویه شده (کیلوگرم)],1):Main[[#This Row],[مقدار تسویه شده (کیلوگرم)]])</f>
        <v>36183</v>
      </c>
      <c r="Y1590" s="6">
        <f ca="1">IF(Main[[#This Row],[مانده در خط تسویه شده (کیلوگرم)]]&lt;&gt;0,Main[[#This Row],[تعداد کل روزهای بدهکار (روز)]],0)</f>
        <v>2</v>
      </c>
      <c r="Z1590" s="6">
        <f ca="1">Main[[#This Row],[تعداد روزهای بدهکار تسویه شده (روز)]]*Main[[#This Row],[مانده در خط تسویه شده (کیلوگرم)]]</f>
        <v>72366</v>
      </c>
      <c r="AA1590" s="6">
        <f ca="1">SUBTOTAL(9,INDEX(Main[بدهی تسویه نشده (کیلوگرم)],1):Main[[#This Row],[بدهی تسویه نشده (کیلوگرم)]])</f>
        <v>0</v>
      </c>
      <c r="AB1590" s="6">
        <f ca="1">IF(Main[[#This Row],[مانده در خط تسویه نشده (کیلوگرم)]]&lt;&gt;0,Main[[#This Row],[تعداد کل روزهای بدهکار (روز)]],0)</f>
        <v>0</v>
      </c>
      <c r="AC1590" s="6">
        <f ca="1">Main[[#This Row],[تعداد روزهای بدهکار  تسویه نشده (روز)]]*Main[[#This Row],[مانده در خط تسویه نشده (کیلوگرم)]]</f>
        <v>0</v>
      </c>
      <c r="AD1590" s="6">
        <f ca="1">SUBTOTAL(9,INDEX(Main[بدهی سررسید شده (کیلوگرم)],1):Main[[#This Row],[بدهی سررسید شده (کیلوگرم)]])</f>
        <v>0</v>
      </c>
      <c r="AE1590" s="6">
        <f ca="1">IF(Main[[#This Row],[مانده در خط سررسید شده (کیلوگرم)]]&lt;&gt;0,Main[[#This Row],[تعداد کل روزهای بدهکار (روز)]],0)</f>
        <v>0</v>
      </c>
      <c r="AF1590" s="6">
        <f ca="1">Main[[#This Row],[تعداد روزهای بدهکار سررسید شده (روز)]]*Main[[#This Row],[مانده در خط سررسید شده (کیلوگرم)]]</f>
        <v>0</v>
      </c>
    </row>
    <row r="1591" spans="1:32" hidden="1" x14ac:dyDescent="0.35">
      <c r="A1591" s="5">
        <f>ROW()-ROW(INDEX(Main[ردیف],1))+1</f>
        <v>1589</v>
      </c>
      <c r="B1591" s="31">
        <f>SUBTOTAL(2,INDEX(Main[ردیف],1):Main[[#This Row],[ردیف]])</f>
        <v>144</v>
      </c>
      <c r="C1591" s="32" t="s">
        <v>699</v>
      </c>
      <c r="D1591" s="32" t="str">
        <f>_xlfn.CONCAT("14",Main[[#This Row],[تاريخ]])</f>
        <v>1400/06/23</v>
      </c>
      <c r="E1591" s="33">
        <v>44453</v>
      </c>
      <c r="F1591" s="32">
        <v>30191</v>
      </c>
      <c r="G1591" s="5" t="str">
        <f>INDEX(customer[عنوان],MATCH(Main[[#This Row],[کد ردیابی]],customer[کد],0))</f>
        <v>ایران گرما</v>
      </c>
      <c r="H1591">
        <v>-914</v>
      </c>
      <c r="I1591" s="6">
        <f ca="1">-Main[[#This Row],[بدهی تسویه شده (کیلوگرم)]]+Main[[#This Row],[بستانکار (کیلوگرم)]]</f>
        <v>-914</v>
      </c>
      <c r="J1591" s="6">
        <f>IF(Main[[#This Row],[مقدار (کیلوگرم)]]&gt;0,Main[[#This Row],[مقدار (کیلوگرم)]],0)</f>
        <v>0</v>
      </c>
      <c r="K1591" s="6">
        <f>-IF(Main[[#This Row],[مقدار (کیلوگرم)]]&lt;0,Main[[#This Row],[مقدار (کیلوگرم)]],0)</f>
        <v>914</v>
      </c>
      <c r="L15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1" s="7">
        <f>-IF(AND(Main[[#This Row],[مقدار (کیلوگرم)]]&lt;0,Main[[#This Row],[تاريخ میلادی]]&gt;44276),Main[[#This Row],[مقدار (کیلوگرم)]],0)</f>
        <v>914</v>
      </c>
      <c r="N1591" s="6">
        <f ca="1">Main[[#This Row],[بدهکار (کیلوگرم)]]-Main[[#This Row],[بدهی تسویه نشده (کیلوگرم)]]</f>
        <v>914</v>
      </c>
      <c r="O1591" s="6">
        <f ca="1">Main[[#This Row],[تفکیک]]</f>
        <v>0</v>
      </c>
      <c r="P1591" s="6">
        <f ca="1">IF(Main[[#This Row],[تاخیر از سررسید]]&gt;0,Main[[#This Row],[بدهی تسویه نشده (کیلوگرم)]],0)</f>
        <v>0</v>
      </c>
      <c r="Q1591" s="6">
        <f ca="1">IF(Main[[#This Row],[بدهی تسویه نشده (کیلوگرم)]]&gt;0,'گزارش فردی'!$B$7-Main[[#This Row],[تاريخ میلادی]],0)</f>
        <v>0</v>
      </c>
      <c r="R1591" s="6">
        <f ca="1">IF(Main[[#This Row],[بدهی تسویه نشده (کیلوگرم)]]&gt;0,'گزارش فردی'!$B$7-Main[[#This Row],[تاريخ میلادی]]-'گزارش فردی'!$B$8,0)</f>
        <v>0</v>
      </c>
      <c r="S1591" s="6">
        <f ca="1">Main[[#This Row],[روز از ارسال سفارش]]*Main[[#This Row],[بدهی تسویه نشده (کیلوگرم)]]</f>
        <v>0</v>
      </c>
      <c r="T1591" s="6">
        <f ca="1">Main[[#This Row],[بدهی سررسید شده (کیلوگرم)]]*Main[[#This Row],[روز از ارسال سفارش]]</f>
        <v>0</v>
      </c>
      <c r="U1591" s="6">
        <f>-SUBTOTAL(9,INDEX(Main[مقدار (کیلوگرم)],1):Main[[#This Row],[مقدار (کیلوگرم)]])</f>
        <v>36183</v>
      </c>
      <c r="V15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1" s="6">
        <f>Main[[#This Row],[تعداد کل روزهای بدهکار (روز)]]*Main[[#This Row],[مانده در خط کل (کیلوگرم)]]</f>
        <v>72366</v>
      </c>
      <c r="X1591" s="6">
        <f ca="1">-SUBTOTAL(9,INDEX(Main[مقدار تسویه شده (کیلوگرم)],1):Main[[#This Row],[مقدار تسویه شده (کیلوگرم)]])</f>
        <v>36183</v>
      </c>
      <c r="Y1591" s="6">
        <f ca="1">IF(Main[[#This Row],[مانده در خط تسویه شده (کیلوگرم)]]&lt;&gt;0,Main[[#This Row],[تعداد کل روزهای بدهکار (روز)]],0)</f>
        <v>2</v>
      </c>
      <c r="Z1591" s="6">
        <f ca="1">Main[[#This Row],[تعداد روزهای بدهکار تسویه شده (روز)]]*Main[[#This Row],[مانده در خط تسویه شده (کیلوگرم)]]</f>
        <v>72366</v>
      </c>
      <c r="AA1591" s="6">
        <f ca="1">SUBTOTAL(9,INDEX(Main[بدهی تسویه نشده (کیلوگرم)],1):Main[[#This Row],[بدهی تسویه نشده (کیلوگرم)]])</f>
        <v>0</v>
      </c>
      <c r="AB1591" s="6">
        <f ca="1">IF(Main[[#This Row],[مانده در خط تسویه نشده (کیلوگرم)]]&lt;&gt;0,Main[[#This Row],[تعداد کل روزهای بدهکار (روز)]],0)</f>
        <v>0</v>
      </c>
      <c r="AC1591" s="6">
        <f ca="1">Main[[#This Row],[تعداد روزهای بدهکار  تسویه نشده (روز)]]*Main[[#This Row],[مانده در خط تسویه نشده (کیلوگرم)]]</f>
        <v>0</v>
      </c>
      <c r="AD1591" s="6">
        <f ca="1">SUBTOTAL(9,INDEX(Main[بدهی سررسید شده (کیلوگرم)],1):Main[[#This Row],[بدهی سررسید شده (کیلوگرم)]])</f>
        <v>0</v>
      </c>
      <c r="AE1591" s="6">
        <f ca="1">IF(Main[[#This Row],[مانده در خط سررسید شده (کیلوگرم)]]&lt;&gt;0,Main[[#This Row],[تعداد کل روزهای بدهکار (روز)]],0)</f>
        <v>0</v>
      </c>
      <c r="AF1591" s="6">
        <f ca="1">Main[[#This Row],[تعداد روزهای بدهکار سررسید شده (روز)]]*Main[[#This Row],[مانده در خط سررسید شده (کیلوگرم)]]</f>
        <v>0</v>
      </c>
    </row>
    <row r="1592" spans="1:32" hidden="1" x14ac:dyDescent="0.35">
      <c r="A1592" s="5">
        <f>ROW()-ROW(INDEX(Main[ردیف],1))+1</f>
        <v>1590</v>
      </c>
      <c r="B1592" s="31">
        <f>SUBTOTAL(2,INDEX(Main[ردیف],1):Main[[#This Row],[ردیف]])</f>
        <v>144</v>
      </c>
      <c r="C1592" s="32" t="s">
        <v>699</v>
      </c>
      <c r="D1592" s="32" t="str">
        <f>_xlfn.CONCAT("14",Main[[#This Row],[تاريخ]])</f>
        <v>1400/06/23</v>
      </c>
      <c r="E1592" s="33">
        <v>44453</v>
      </c>
      <c r="F1592" s="32">
        <v>30146</v>
      </c>
      <c r="G1592" s="5" t="str">
        <f>INDEX(customer[عنوان],MATCH(Main[[#This Row],[کد ردیابی]],customer[کد],0))</f>
        <v>شرکت آذرپاد</v>
      </c>
      <c r="H1592">
        <v>154</v>
      </c>
      <c r="I1592" s="6">
        <f ca="1">-Main[[#This Row],[بدهی تسویه شده (کیلوگرم)]]+Main[[#This Row],[بستانکار (کیلوگرم)]]</f>
        <v>154</v>
      </c>
      <c r="J1592" s="6">
        <f>IF(Main[[#This Row],[مقدار (کیلوگرم)]]&gt;0,Main[[#This Row],[مقدار (کیلوگرم)]],0)</f>
        <v>154</v>
      </c>
      <c r="K1592" s="6">
        <f>-IF(Main[[#This Row],[مقدار (کیلوگرم)]]&lt;0,Main[[#This Row],[مقدار (کیلوگرم)]],0)</f>
        <v>0</v>
      </c>
      <c r="L15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2" s="7">
        <f>-IF(AND(Main[[#This Row],[مقدار (کیلوگرم)]]&lt;0,Main[[#This Row],[تاريخ میلادی]]&gt;44276),Main[[#This Row],[مقدار (کیلوگرم)]],0)</f>
        <v>0</v>
      </c>
      <c r="N1592" s="6">
        <f ca="1">Main[[#This Row],[بدهکار (کیلوگرم)]]-Main[[#This Row],[بدهی تسویه نشده (کیلوگرم)]]</f>
        <v>0</v>
      </c>
      <c r="O1592" s="6">
        <f ca="1">Main[[#This Row],[تفکیک]]</f>
        <v>0</v>
      </c>
      <c r="P1592" s="6">
        <f ca="1">IF(Main[[#This Row],[تاخیر از سررسید]]&gt;0,Main[[#This Row],[بدهی تسویه نشده (کیلوگرم)]],0)</f>
        <v>0</v>
      </c>
      <c r="Q1592" s="6">
        <f ca="1">IF(Main[[#This Row],[بدهی تسویه نشده (کیلوگرم)]]&gt;0,'گزارش فردی'!$B$7-Main[[#This Row],[تاريخ میلادی]],0)</f>
        <v>0</v>
      </c>
      <c r="R1592" s="6">
        <f ca="1">IF(Main[[#This Row],[بدهی تسویه نشده (کیلوگرم)]]&gt;0,'گزارش فردی'!$B$7-Main[[#This Row],[تاريخ میلادی]]-'گزارش فردی'!$B$8,0)</f>
        <v>0</v>
      </c>
      <c r="S1592" s="6">
        <f ca="1">Main[[#This Row],[روز از ارسال سفارش]]*Main[[#This Row],[بدهی تسویه نشده (کیلوگرم)]]</f>
        <v>0</v>
      </c>
      <c r="T1592" s="6">
        <f ca="1">Main[[#This Row],[بدهی سررسید شده (کیلوگرم)]]*Main[[#This Row],[روز از ارسال سفارش]]</f>
        <v>0</v>
      </c>
      <c r="U1592" s="6">
        <f>-SUBTOTAL(9,INDEX(Main[مقدار (کیلوگرم)],1):Main[[#This Row],[مقدار (کیلوگرم)]])</f>
        <v>36183</v>
      </c>
      <c r="V15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2" s="6">
        <f>Main[[#This Row],[تعداد کل روزهای بدهکار (روز)]]*Main[[#This Row],[مانده در خط کل (کیلوگرم)]]</f>
        <v>72366</v>
      </c>
      <c r="X1592" s="6">
        <f ca="1">-SUBTOTAL(9,INDEX(Main[مقدار تسویه شده (کیلوگرم)],1):Main[[#This Row],[مقدار تسویه شده (کیلوگرم)]])</f>
        <v>36183</v>
      </c>
      <c r="Y1592" s="6">
        <f ca="1">IF(Main[[#This Row],[مانده در خط تسویه شده (کیلوگرم)]]&lt;&gt;0,Main[[#This Row],[تعداد کل روزهای بدهکار (روز)]],0)</f>
        <v>2</v>
      </c>
      <c r="Z1592" s="6">
        <f ca="1">Main[[#This Row],[تعداد روزهای بدهکار تسویه شده (روز)]]*Main[[#This Row],[مانده در خط تسویه شده (کیلوگرم)]]</f>
        <v>72366</v>
      </c>
      <c r="AA1592" s="6">
        <f ca="1">SUBTOTAL(9,INDEX(Main[بدهی تسویه نشده (کیلوگرم)],1):Main[[#This Row],[بدهی تسویه نشده (کیلوگرم)]])</f>
        <v>0</v>
      </c>
      <c r="AB1592" s="6">
        <f ca="1">IF(Main[[#This Row],[مانده در خط تسویه نشده (کیلوگرم)]]&lt;&gt;0,Main[[#This Row],[تعداد کل روزهای بدهکار (روز)]],0)</f>
        <v>0</v>
      </c>
      <c r="AC1592" s="6">
        <f ca="1">Main[[#This Row],[تعداد روزهای بدهکار  تسویه نشده (روز)]]*Main[[#This Row],[مانده در خط تسویه نشده (کیلوگرم)]]</f>
        <v>0</v>
      </c>
      <c r="AD1592" s="6">
        <f ca="1">SUBTOTAL(9,INDEX(Main[بدهی سررسید شده (کیلوگرم)],1):Main[[#This Row],[بدهی سررسید شده (کیلوگرم)]])</f>
        <v>0</v>
      </c>
      <c r="AE1592" s="6">
        <f ca="1">IF(Main[[#This Row],[مانده در خط سررسید شده (کیلوگرم)]]&lt;&gt;0,Main[[#This Row],[تعداد کل روزهای بدهکار (روز)]],0)</f>
        <v>0</v>
      </c>
      <c r="AF1592" s="6">
        <f ca="1">Main[[#This Row],[تعداد روزهای بدهکار سررسید شده (روز)]]*Main[[#This Row],[مانده در خط سررسید شده (کیلوگرم)]]</f>
        <v>0</v>
      </c>
    </row>
    <row r="1593" spans="1:32" hidden="1" x14ac:dyDescent="0.35">
      <c r="A1593" s="5">
        <f>ROW()-ROW(INDEX(Main[ردیف],1))+1</f>
        <v>1591</v>
      </c>
      <c r="B1593" s="31">
        <f>SUBTOTAL(2,INDEX(Main[ردیف],1):Main[[#This Row],[ردیف]])</f>
        <v>144</v>
      </c>
      <c r="C1593" s="32" t="s">
        <v>699</v>
      </c>
      <c r="D1593" s="32" t="str">
        <f>_xlfn.CONCAT("14",Main[[#This Row],[تاريخ]])</f>
        <v>1400/06/23</v>
      </c>
      <c r="E1593" s="33">
        <v>44453</v>
      </c>
      <c r="F1593" s="32">
        <v>10026</v>
      </c>
      <c r="G1593" s="5" t="str">
        <f>INDEX(customer[عنوان],MATCH(Main[[#This Row],[کد ردیابی]],customer[کد],0))</f>
        <v xml:space="preserve">محسن فیاض بخش </v>
      </c>
      <c r="H1593">
        <v>-1478</v>
      </c>
      <c r="I1593" s="6">
        <f ca="1">-Main[[#This Row],[بدهی تسویه شده (کیلوگرم)]]+Main[[#This Row],[بستانکار (کیلوگرم)]]</f>
        <v>-1478</v>
      </c>
      <c r="J1593" s="6">
        <f>IF(Main[[#This Row],[مقدار (کیلوگرم)]]&gt;0,Main[[#This Row],[مقدار (کیلوگرم)]],0)</f>
        <v>0</v>
      </c>
      <c r="K1593" s="6">
        <f>-IF(Main[[#This Row],[مقدار (کیلوگرم)]]&lt;0,Main[[#This Row],[مقدار (کیلوگرم)]],0)</f>
        <v>1478</v>
      </c>
      <c r="L15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3" s="7">
        <f>-IF(AND(Main[[#This Row],[مقدار (کیلوگرم)]]&lt;0,Main[[#This Row],[تاريخ میلادی]]&gt;44276),Main[[#This Row],[مقدار (کیلوگرم)]],0)</f>
        <v>1478</v>
      </c>
      <c r="N1593" s="6">
        <f ca="1">Main[[#This Row],[بدهکار (کیلوگرم)]]-Main[[#This Row],[بدهی تسویه نشده (کیلوگرم)]]</f>
        <v>1478</v>
      </c>
      <c r="O1593" s="6">
        <f ca="1">Main[[#This Row],[تفکیک]]</f>
        <v>0</v>
      </c>
      <c r="P1593" s="6">
        <f ca="1">IF(Main[[#This Row],[تاخیر از سررسید]]&gt;0,Main[[#This Row],[بدهی تسویه نشده (کیلوگرم)]],0)</f>
        <v>0</v>
      </c>
      <c r="Q1593" s="6">
        <f ca="1">IF(Main[[#This Row],[بدهی تسویه نشده (کیلوگرم)]]&gt;0,'گزارش فردی'!$B$7-Main[[#This Row],[تاريخ میلادی]],0)</f>
        <v>0</v>
      </c>
      <c r="R1593" s="6">
        <f ca="1">IF(Main[[#This Row],[بدهی تسویه نشده (کیلوگرم)]]&gt;0,'گزارش فردی'!$B$7-Main[[#This Row],[تاريخ میلادی]]-'گزارش فردی'!$B$8,0)</f>
        <v>0</v>
      </c>
      <c r="S1593" s="6">
        <f ca="1">Main[[#This Row],[روز از ارسال سفارش]]*Main[[#This Row],[بدهی تسویه نشده (کیلوگرم)]]</f>
        <v>0</v>
      </c>
      <c r="T1593" s="6">
        <f ca="1">Main[[#This Row],[بدهی سررسید شده (کیلوگرم)]]*Main[[#This Row],[روز از ارسال سفارش]]</f>
        <v>0</v>
      </c>
      <c r="U1593" s="6">
        <f>-SUBTOTAL(9,INDEX(Main[مقدار (کیلوگرم)],1):Main[[#This Row],[مقدار (کیلوگرم)]])</f>
        <v>36183</v>
      </c>
      <c r="V15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3" s="6">
        <f>Main[[#This Row],[تعداد کل روزهای بدهکار (روز)]]*Main[[#This Row],[مانده در خط کل (کیلوگرم)]]</f>
        <v>72366</v>
      </c>
      <c r="X1593" s="6">
        <f ca="1">-SUBTOTAL(9,INDEX(Main[مقدار تسویه شده (کیلوگرم)],1):Main[[#This Row],[مقدار تسویه شده (کیلوگرم)]])</f>
        <v>36183</v>
      </c>
      <c r="Y1593" s="6">
        <f ca="1">IF(Main[[#This Row],[مانده در خط تسویه شده (کیلوگرم)]]&lt;&gt;0,Main[[#This Row],[تعداد کل روزهای بدهکار (روز)]],0)</f>
        <v>2</v>
      </c>
      <c r="Z1593" s="6">
        <f ca="1">Main[[#This Row],[تعداد روزهای بدهکار تسویه شده (روز)]]*Main[[#This Row],[مانده در خط تسویه شده (کیلوگرم)]]</f>
        <v>72366</v>
      </c>
      <c r="AA1593" s="6">
        <f ca="1">SUBTOTAL(9,INDEX(Main[بدهی تسویه نشده (کیلوگرم)],1):Main[[#This Row],[بدهی تسویه نشده (کیلوگرم)]])</f>
        <v>0</v>
      </c>
      <c r="AB1593" s="6">
        <f ca="1">IF(Main[[#This Row],[مانده در خط تسویه نشده (کیلوگرم)]]&lt;&gt;0,Main[[#This Row],[تعداد کل روزهای بدهکار (روز)]],0)</f>
        <v>0</v>
      </c>
      <c r="AC1593" s="6">
        <f ca="1">Main[[#This Row],[تعداد روزهای بدهکار  تسویه نشده (روز)]]*Main[[#This Row],[مانده در خط تسویه نشده (کیلوگرم)]]</f>
        <v>0</v>
      </c>
      <c r="AD1593" s="6">
        <f ca="1">SUBTOTAL(9,INDEX(Main[بدهی سررسید شده (کیلوگرم)],1):Main[[#This Row],[بدهی سررسید شده (کیلوگرم)]])</f>
        <v>0</v>
      </c>
      <c r="AE1593" s="6">
        <f ca="1">IF(Main[[#This Row],[مانده در خط سررسید شده (کیلوگرم)]]&lt;&gt;0,Main[[#This Row],[تعداد کل روزهای بدهکار (روز)]],0)</f>
        <v>0</v>
      </c>
      <c r="AF1593" s="6">
        <f ca="1">Main[[#This Row],[تعداد روزهای بدهکار سررسید شده (روز)]]*Main[[#This Row],[مانده در خط سررسید شده (کیلوگرم)]]</f>
        <v>0</v>
      </c>
    </row>
    <row r="1594" spans="1:32" hidden="1" x14ac:dyDescent="0.35">
      <c r="A1594" s="5">
        <f>ROW()-ROW(INDEX(Main[ردیف],1))+1</f>
        <v>1592</v>
      </c>
      <c r="B1594" s="31">
        <f>SUBTOTAL(2,INDEX(Main[ردیف],1):Main[[#This Row],[ردیف]])</f>
        <v>144</v>
      </c>
      <c r="C1594" s="32" t="s">
        <v>699</v>
      </c>
      <c r="D1594" s="32" t="str">
        <f>_xlfn.CONCAT("14",Main[[#This Row],[تاريخ]])</f>
        <v>1400/06/23</v>
      </c>
      <c r="E1594" s="33">
        <v>44453</v>
      </c>
      <c r="F1594" s="32">
        <v>30146</v>
      </c>
      <c r="G1594" s="5" t="str">
        <f>INDEX(customer[عنوان],MATCH(Main[[#This Row],[کد ردیابی]],customer[کد],0))</f>
        <v>شرکت آذرپاد</v>
      </c>
      <c r="H1594">
        <v>367</v>
      </c>
      <c r="I1594" s="6">
        <f ca="1">-Main[[#This Row],[بدهی تسویه شده (کیلوگرم)]]+Main[[#This Row],[بستانکار (کیلوگرم)]]</f>
        <v>367</v>
      </c>
      <c r="J1594" s="6">
        <f>IF(Main[[#This Row],[مقدار (کیلوگرم)]]&gt;0,Main[[#This Row],[مقدار (کیلوگرم)]],0)</f>
        <v>367</v>
      </c>
      <c r="K1594" s="6">
        <f>-IF(Main[[#This Row],[مقدار (کیلوگرم)]]&lt;0,Main[[#This Row],[مقدار (کیلوگرم)]],0)</f>
        <v>0</v>
      </c>
      <c r="L15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4" s="7">
        <f>-IF(AND(Main[[#This Row],[مقدار (کیلوگرم)]]&lt;0,Main[[#This Row],[تاريخ میلادی]]&gt;44276),Main[[#This Row],[مقدار (کیلوگرم)]],0)</f>
        <v>0</v>
      </c>
      <c r="N1594" s="6">
        <f ca="1">Main[[#This Row],[بدهکار (کیلوگرم)]]-Main[[#This Row],[بدهی تسویه نشده (کیلوگرم)]]</f>
        <v>0</v>
      </c>
      <c r="O1594" s="6">
        <f ca="1">Main[[#This Row],[تفکیک]]</f>
        <v>0</v>
      </c>
      <c r="P1594" s="6">
        <f ca="1">IF(Main[[#This Row],[تاخیر از سررسید]]&gt;0,Main[[#This Row],[بدهی تسویه نشده (کیلوگرم)]],0)</f>
        <v>0</v>
      </c>
      <c r="Q1594" s="6">
        <f ca="1">IF(Main[[#This Row],[بدهی تسویه نشده (کیلوگرم)]]&gt;0,'گزارش فردی'!$B$7-Main[[#This Row],[تاريخ میلادی]],0)</f>
        <v>0</v>
      </c>
      <c r="R1594" s="6">
        <f ca="1">IF(Main[[#This Row],[بدهی تسویه نشده (کیلوگرم)]]&gt;0,'گزارش فردی'!$B$7-Main[[#This Row],[تاريخ میلادی]]-'گزارش فردی'!$B$8,0)</f>
        <v>0</v>
      </c>
      <c r="S1594" s="6">
        <f ca="1">Main[[#This Row],[روز از ارسال سفارش]]*Main[[#This Row],[بدهی تسویه نشده (کیلوگرم)]]</f>
        <v>0</v>
      </c>
      <c r="T1594" s="6">
        <f ca="1">Main[[#This Row],[بدهی سررسید شده (کیلوگرم)]]*Main[[#This Row],[روز از ارسال سفارش]]</f>
        <v>0</v>
      </c>
      <c r="U1594" s="6">
        <f>-SUBTOTAL(9,INDEX(Main[مقدار (کیلوگرم)],1):Main[[#This Row],[مقدار (کیلوگرم)]])</f>
        <v>36183</v>
      </c>
      <c r="V159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4" s="6">
        <f>Main[[#This Row],[تعداد کل روزهای بدهکار (روز)]]*Main[[#This Row],[مانده در خط کل (کیلوگرم)]]</f>
        <v>72366</v>
      </c>
      <c r="X1594" s="6">
        <f ca="1">-SUBTOTAL(9,INDEX(Main[مقدار تسویه شده (کیلوگرم)],1):Main[[#This Row],[مقدار تسویه شده (کیلوگرم)]])</f>
        <v>36183</v>
      </c>
      <c r="Y1594" s="6">
        <f ca="1">IF(Main[[#This Row],[مانده در خط تسویه شده (کیلوگرم)]]&lt;&gt;0,Main[[#This Row],[تعداد کل روزهای بدهکار (روز)]],0)</f>
        <v>2</v>
      </c>
      <c r="Z1594" s="6">
        <f ca="1">Main[[#This Row],[تعداد روزهای بدهکار تسویه شده (روز)]]*Main[[#This Row],[مانده در خط تسویه شده (کیلوگرم)]]</f>
        <v>72366</v>
      </c>
      <c r="AA1594" s="6">
        <f ca="1">SUBTOTAL(9,INDEX(Main[بدهی تسویه نشده (کیلوگرم)],1):Main[[#This Row],[بدهی تسویه نشده (کیلوگرم)]])</f>
        <v>0</v>
      </c>
      <c r="AB1594" s="6">
        <f ca="1">IF(Main[[#This Row],[مانده در خط تسویه نشده (کیلوگرم)]]&lt;&gt;0,Main[[#This Row],[تعداد کل روزهای بدهکار (روز)]],0)</f>
        <v>0</v>
      </c>
      <c r="AC1594" s="6">
        <f ca="1">Main[[#This Row],[تعداد روزهای بدهکار  تسویه نشده (روز)]]*Main[[#This Row],[مانده در خط تسویه نشده (کیلوگرم)]]</f>
        <v>0</v>
      </c>
      <c r="AD1594" s="6">
        <f ca="1">SUBTOTAL(9,INDEX(Main[بدهی سررسید شده (کیلوگرم)],1):Main[[#This Row],[بدهی سررسید شده (کیلوگرم)]])</f>
        <v>0</v>
      </c>
      <c r="AE1594" s="6">
        <f ca="1">IF(Main[[#This Row],[مانده در خط سررسید شده (کیلوگرم)]]&lt;&gt;0,Main[[#This Row],[تعداد کل روزهای بدهکار (روز)]],0)</f>
        <v>0</v>
      </c>
      <c r="AF1594" s="6">
        <f ca="1">Main[[#This Row],[تعداد روزهای بدهکار سررسید شده (روز)]]*Main[[#This Row],[مانده در خط سررسید شده (کیلوگرم)]]</f>
        <v>0</v>
      </c>
    </row>
    <row r="1595" spans="1:32" hidden="1" x14ac:dyDescent="0.35">
      <c r="A1595" s="5">
        <f>ROW()-ROW(INDEX(Main[ردیف],1))+1</f>
        <v>1593</v>
      </c>
      <c r="B1595" s="31">
        <f>SUBTOTAL(2,INDEX(Main[ردیف],1):Main[[#This Row],[ردیف]])</f>
        <v>144</v>
      </c>
      <c r="C1595" s="32" t="s">
        <v>699</v>
      </c>
      <c r="D1595" s="32" t="str">
        <f>_xlfn.CONCAT("14",Main[[#This Row],[تاريخ]])</f>
        <v>1400/06/23</v>
      </c>
      <c r="E1595" s="33">
        <v>44453</v>
      </c>
      <c r="F1595" s="32">
        <v>30004</v>
      </c>
      <c r="G1595" s="5" t="str">
        <f>INDEX(customer[عنوان],MATCH(Main[[#This Row],[کد ردیابی]],customer[کد],0))</f>
        <v>تولیدی صنعتی صفاشیر پارس</v>
      </c>
      <c r="H1595">
        <v>-5189</v>
      </c>
      <c r="I1595" s="6">
        <f ca="1">-Main[[#This Row],[بدهی تسویه شده (کیلوگرم)]]+Main[[#This Row],[بستانکار (کیلوگرم)]]</f>
        <v>-5189</v>
      </c>
      <c r="J1595" s="6">
        <f>IF(Main[[#This Row],[مقدار (کیلوگرم)]]&gt;0,Main[[#This Row],[مقدار (کیلوگرم)]],0)</f>
        <v>0</v>
      </c>
      <c r="K1595" s="6">
        <f>-IF(Main[[#This Row],[مقدار (کیلوگرم)]]&lt;0,Main[[#This Row],[مقدار (کیلوگرم)]],0)</f>
        <v>5189</v>
      </c>
      <c r="L15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5" s="7">
        <f>-IF(AND(Main[[#This Row],[مقدار (کیلوگرم)]]&lt;0,Main[[#This Row],[تاريخ میلادی]]&gt;44276),Main[[#This Row],[مقدار (کیلوگرم)]],0)</f>
        <v>5189</v>
      </c>
      <c r="N1595" s="6">
        <f ca="1">Main[[#This Row],[بدهکار (کیلوگرم)]]-Main[[#This Row],[بدهی تسویه نشده (کیلوگرم)]]</f>
        <v>5189</v>
      </c>
      <c r="O1595" s="6">
        <f ca="1">Main[[#This Row],[تفکیک]]</f>
        <v>0</v>
      </c>
      <c r="P1595" s="6">
        <f ca="1">IF(Main[[#This Row],[تاخیر از سررسید]]&gt;0,Main[[#This Row],[بدهی تسویه نشده (کیلوگرم)]],0)</f>
        <v>0</v>
      </c>
      <c r="Q1595" s="6">
        <f ca="1">IF(Main[[#This Row],[بدهی تسویه نشده (کیلوگرم)]]&gt;0,'گزارش فردی'!$B$7-Main[[#This Row],[تاريخ میلادی]],0)</f>
        <v>0</v>
      </c>
      <c r="R1595" s="6">
        <f ca="1">IF(Main[[#This Row],[بدهی تسویه نشده (کیلوگرم)]]&gt;0,'گزارش فردی'!$B$7-Main[[#This Row],[تاريخ میلادی]]-'گزارش فردی'!$B$8,0)</f>
        <v>0</v>
      </c>
      <c r="S1595" s="6">
        <f ca="1">Main[[#This Row],[روز از ارسال سفارش]]*Main[[#This Row],[بدهی تسویه نشده (کیلوگرم)]]</f>
        <v>0</v>
      </c>
      <c r="T1595" s="6">
        <f ca="1">Main[[#This Row],[بدهی سررسید شده (کیلوگرم)]]*Main[[#This Row],[روز از ارسال سفارش]]</f>
        <v>0</v>
      </c>
      <c r="U1595" s="6">
        <f>-SUBTOTAL(9,INDEX(Main[مقدار (کیلوگرم)],1):Main[[#This Row],[مقدار (کیلوگرم)]])</f>
        <v>36183</v>
      </c>
      <c r="V159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5" s="6">
        <f>Main[[#This Row],[تعداد کل روزهای بدهکار (روز)]]*Main[[#This Row],[مانده در خط کل (کیلوگرم)]]</f>
        <v>72366</v>
      </c>
      <c r="X1595" s="6">
        <f ca="1">-SUBTOTAL(9,INDEX(Main[مقدار تسویه شده (کیلوگرم)],1):Main[[#This Row],[مقدار تسویه شده (کیلوگرم)]])</f>
        <v>36183</v>
      </c>
      <c r="Y1595" s="6">
        <f ca="1">IF(Main[[#This Row],[مانده در خط تسویه شده (کیلوگرم)]]&lt;&gt;0,Main[[#This Row],[تعداد کل روزهای بدهکار (روز)]],0)</f>
        <v>2</v>
      </c>
      <c r="Z1595" s="6">
        <f ca="1">Main[[#This Row],[تعداد روزهای بدهکار تسویه شده (روز)]]*Main[[#This Row],[مانده در خط تسویه شده (کیلوگرم)]]</f>
        <v>72366</v>
      </c>
      <c r="AA1595" s="6">
        <f ca="1">SUBTOTAL(9,INDEX(Main[بدهی تسویه نشده (کیلوگرم)],1):Main[[#This Row],[بدهی تسویه نشده (کیلوگرم)]])</f>
        <v>0</v>
      </c>
      <c r="AB1595" s="6">
        <f ca="1">IF(Main[[#This Row],[مانده در خط تسویه نشده (کیلوگرم)]]&lt;&gt;0,Main[[#This Row],[تعداد کل روزهای بدهکار (روز)]],0)</f>
        <v>0</v>
      </c>
      <c r="AC1595" s="6">
        <f ca="1">Main[[#This Row],[تعداد روزهای بدهکار  تسویه نشده (روز)]]*Main[[#This Row],[مانده در خط تسویه نشده (کیلوگرم)]]</f>
        <v>0</v>
      </c>
      <c r="AD1595" s="6">
        <f ca="1">SUBTOTAL(9,INDEX(Main[بدهی سررسید شده (کیلوگرم)],1):Main[[#This Row],[بدهی سررسید شده (کیلوگرم)]])</f>
        <v>0</v>
      </c>
      <c r="AE1595" s="6">
        <f ca="1">IF(Main[[#This Row],[مانده در خط سررسید شده (کیلوگرم)]]&lt;&gt;0,Main[[#This Row],[تعداد کل روزهای بدهکار (روز)]],0)</f>
        <v>0</v>
      </c>
      <c r="AF1595" s="6">
        <f ca="1">Main[[#This Row],[تعداد روزهای بدهکار سررسید شده (روز)]]*Main[[#This Row],[مانده در خط سررسید شده (کیلوگرم)]]</f>
        <v>0</v>
      </c>
    </row>
    <row r="1596" spans="1:32" hidden="1" x14ac:dyDescent="0.35">
      <c r="A1596" s="5">
        <f>ROW()-ROW(INDEX(Main[ردیف],1))+1</f>
        <v>1594</v>
      </c>
      <c r="B1596" s="31">
        <f>SUBTOTAL(2,INDEX(Main[ردیف],1):Main[[#This Row],[ردیف]])</f>
        <v>144</v>
      </c>
      <c r="C1596" s="32" t="s">
        <v>699</v>
      </c>
      <c r="D1596" s="32" t="str">
        <f>_xlfn.CONCAT("14",Main[[#This Row],[تاريخ]])</f>
        <v>1400/06/23</v>
      </c>
      <c r="E1596" s="33">
        <v>44453</v>
      </c>
      <c r="F1596" s="32">
        <v>30191</v>
      </c>
      <c r="G1596" s="5" t="str">
        <f>INDEX(customer[عنوان],MATCH(Main[[#This Row],[کد ردیابی]],customer[کد],0))</f>
        <v>ایران گرما</v>
      </c>
      <c r="H1596">
        <v>11</v>
      </c>
      <c r="I1596" s="6">
        <f ca="1">-Main[[#This Row],[بدهی تسویه شده (کیلوگرم)]]+Main[[#This Row],[بستانکار (کیلوگرم)]]</f>
        <v>11</v>
      </c>
      <c r="J1596" s="6">
        <f>IF(Main[[#This Row],[مقدار (کیلوگرم)]]&gt;0,Main[[#This Row],[مقدار (کیلوگرم)]],0)</f>
        <v>11</v>
      </c>
      <c r="K1596" s="6">
        <f>-IF(Main[[#This Row],[مقدار (کیلوگرم)]]&lt;0,Main[[#This Row],[مقدار (کیلوگرم)]],0)</f>
        <v>0</v>
      </c>
      <c r="L15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6" s="7">
        <f>-IF(AND(Main[[#This Row],[مقدار (کیلوگرم)]]&lt;0,Main[[#This Row],[تاريخ میلادی]]&gt;44276),Main[[#This Row],[مقدار (کیلوگرم)]],0)</f>
        <v>0</v>
      </c>
      <c r="N1596" s="6">
        <f ca="1">Main[[#This Row],[بدهکار (کیلوگرم)]]-Main[[#This Row],[بدهی تسویه نشده (کیلوگرم)]]</f>
        <v>0</v>
      </c>
      <c r="O1596" s="6">
        <f ca="1">Main[[#This Row],[تفکیک]]</f>
        <v>0</v>
      </c>
      <c r="P1596" s="6">
        <f ca="1">IF(Main[[#This Row],[تاخیر از سررسید]]&gt;0,Main[[#This Row],[بدهی تسویه نشده (کیلوگرم)]],0)</f>
        <v>0</v>
      </c>
      <c r="Q1596" s="6">
        <f ca="1">IF(Main[[#This Row],[بدهی تسویه نشده (کیلوگرم)]]&gt;0,'گزارش فردی'!$B$7-Main[[#This Row],[تاريخ میلادی]],0)</f>
        <v>0</v>
      </c>
      <c r="R1596" s="6">
        <f ca="1">IF(Main[[#This Row],[بدهی تسویه نشده (کیلوگرم)]]&gt;0,'گزارش فردی'!$B$7-Main[[#This Row],[تاريخ میلادی]]-'گزارش فردی'!$B$8,0)</f>
        <v>0</v>
      </c>
      <c r="S1596" s="6">
        <f ca="1">Main[[#This Row],[روز از ارسال سفارش]]*Main[[#This Row],[بدهی تسویه نشده (کیلوگرم)]]</f>
        <v>0</v>
      </c>
      <c r="T1596" s="6">
        <f ca="1">Main[[#This Row],[بدهی سررسید شده (کیلوگرم)]]*Main[[#This Row],[روز از ارسال سفارش]]</f>
        <v>0</v>
      </c>
      <c r="U1596" s="6">
        <f>-SUBTOTAL(9,INDEX(Main[مقدار (کیلوگرم)],1):Main[[#This Row],[مقدار (کیلوگرم)]])</f>
        <v>36183</v>
      </c>
      <c r="V159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6" s="6">
        <f>Main[[#This Row],[تعداد کل روزهای بدهکار (روز)]]*Main[[#This Row],[مانده در خط کل (کیلوگرم)]]</f>
        <v>72366</v>
      </c>
      <c r="X1596" s="6">
        <f ca="1">-SUBTOTAL(9,INDEX(Main[مقدار تسویه شده (کیلوگرم)],1):Main[[#This Row],[مقدار تسویه شده (کیلوگرم)]])</f>
        <v>36183</v>
      </c>
      <c r="Y1596" s="6">
        <f ca="1">IF(Main[[#This Row],[مانده در خط تسویه شده (کیلوگرم)]]&lt;&gt;0,Main[[#This Row],[تعداد کل روزهای بدهکار (روز)]],0)</f>
        <v>2</v>
      </c>
      <c r="Z1596" s="6">
        <f ca="1">Main[[#This Row],[تعداد روزهای بدهکار تسویه شده (روز)]]*Main[[#This Row],[مانده در خط تسویه شده (کیلوگرم)]]</f>
        <v>72366</v>
      </c>
      <c r="AA1596" s="6">
        <f ca="1">SUBTOTAL(9,INDEX(Main[بدهی تسویه نشده (کیلوگرم)],1):Main[[#This Row],[بدهی تسویه نشده (کیلوگرم)]])</f>
        <v>0</v>
      </c>
      <c r="AB1596" s="6">
        <f ca="1">IF(Main[[#This Row],[مانده در خط تسویه نشده (کیلوگرم)]]&lt;&gt;0,Main[[#This Row],[تعداد کل روزهای بدهکار (روز)]],0)</f>
        <v>0</v>
      </c>
      <c r="AC1596" s="6">
        <f ca="1">Main[[#This Row],[تعداد روزهای بدهکار  تسویه نشده (روز)]]*Main[[#This Row],[مانده در خط تسویه نشده (کیلوگرم)]]</f>
        <v>0</v>
      </c>
      <c r="AD1596" s="6">
        <f ca="1">SUBTOTAL(9,INDEX(Main[بدهی سررسید شده (کیلوگرم)],1):Main[[#This Row],[بدهی سررسید شده (کیلوگرم)]])</f>
        <v>0</v>
      </c>
      <c r="AE1596" s="6">
        <f ca="1">IF(Main[[#This Row],[مانده در خط سررسید شده (کیلوگرم)]]&lt;&gt;0,Main[[#This Row],[تعداد کل روزهای بدهکار (روز)]],0)</f>
        <v>0</v>
      </c>
      <c r="AF1596" s="6">
        <f ca="1">Main[[#This Row],[تعداد روزهای بدهکار سررسید شده (روز)]]*Main[[#This Row],[مانده در خط سررسید شده (کیلوگرم)]]</f>
        <v>0</v>
      </c>
    </row>
    <row r="1597" spans="1:32" hidden="1" x14ac:dyDescent="0.35">
      <c r="A1597" s="5">
        <f>ROW()-ROW(INDEX(Main[ردیف],1))+1</f>
        <v>1595</v>
      </c>
      <c r="B1597" s="31">
        <f>SUBTOTAL(2,INDEX(Main[ردیف],1):Main[[#This Row],[ردیف]])</f>
        <v>144</v>
      </c>
      <c r="C1597" s="32" t="s">
        <v>699</v>
      </c>
      <c r="D1597" s="32" t="str">
        <f>_xlfn.CONCAT("14",Main[[#This Row],[تاريخ]])</f>
        <v>1400/06/23</v>
      </c>
      <c r="E1597" s="33">
        <v>44453</v>
      </c>
      <c r="F1597" s="32">
        <v>30014</v>
      </c>
      <c r="G1597" s="5" t="str">
        <f>INDEX(customer[عنوان],MATCH(Main[[#This Row],[کد ردیابی]],customer[کد],0))</f>
        <v>کلون</v>
      </c>
      <c r="H1597">
        <v>-1688</v>
      </c>
      <c r="I1597" s="6">
        <f ca="1">-Main[[#This Row],[بدهی تسویه شده (کیلوگرم)]]+Main[[#This Row],[بستانکار (کیلوگرم)]]</f>
        <v>-1688</v>
      </c>
      <c r="J1597" s="6">
        <f>IF(Main[[#This Row],[مقدار (کیلوگرم)]]&gt;0,Main[[#This Row],[مقدار (کیلوگرم)]],0)</f>
        <v>0</v>
      </c>
      <c r="K1597" s="6">
        <f>-IF(Main[[#This Row],[مقدار (کیلوگرم)]]&lt;0,Main[[#This Row],[مقدار (کیلوگرم)]],0)</f>
        <v>1688</v>
      </c>
      <c r="L15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7" s="7">
        <f>-IF(AND(Main[[#This Row],[مقدار (کیلوگرم)]]&lt;0,Main[[#This Row],[تاريخ میلادی]]&gt;44276),Main[[#This Row],[مقدار (کیلوگرم)]],0)</f>
        <v>1688</v>
      </c>
      <c r="N1597" s="6">
        <f ca="1">Main[[#This Row],[بدهکار (کیلوگرم)]]-Main[[#This Row],[بدهی تسویه نشده (کیلوگرم)]]</f>
        <v>1688</v>
      </c>
      <c r="O1597" s="6">
        <f ca="1">Main[[#This Row],[تفکیک]]</f>
        <v>0</v>
      </c>
      <c r="P1597" s="6">
        <f ca="1">IF(Main[[#This Row],[تاخیر از سررسید]]&gt;0,Main[[#This Row],[بدهی تسویه نشده (کیلوگرم)]],0)</f>
        <v>0</v>
      </c>
      <c r="Q1597" s="6">
        <f ca="1">IF(Main[[#This Row],[بدهی تسویه نشده (کیلوگرم)]]&gt;0,'گزارش فردی'!$B$7-Main[[#This Row],[تاريخ میلادی]],0)</f>
        <v>0</v>
      </c>
      <c r="R1597" s="6">
        <f ca="1">IF(Main[[#This Row],[بدهی تسویه نشده (کیلوگرم)]]&gt;0,'گزارش فردی'!$B$7-Main[[#This Row],[تاريخ میلادی]]-'گزارش فردی'!$B$8,0)</f>
        <v>0</v>
      </c>
      <c r="S1597" s="6">
        <f ca="1">Main[[#This Row],[روز از ارسال سفارش]]*Main[[#This Row],[بدهی تسویه نشده (کیلوگرم)]]</f>
        <v>0</v>
      </c>
      <c r="T1597" s="6">
        <f ca="1">Main[[#This Row],[بدهی سررسید شده (کیلوگرم)]]*Main[[#This Row],[روز از ارسال سفارش]]</f>
        <v>0</v>
      </c>
      <c r="U1597" s="6">
        <f>-SUBTOTAL(9,INDEX(Main[مقدار (کیلوگرم)],1):Main[[#This Row],[مقدار (کیلوگرم)]])</f>
        <v>36183</v>
      </c>
      <c r="V159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7" s="6">
        <f>Main[[#This Row],[تعداد کل روزهای بدهکار (روز)]]*Main[[#This Row],[مانده در خط کل (کیلوگرم)]]</f>
        <v>72366</v>
      </c>
      <c r="X1597" s="6">
        <f ca="1">-SUBTOTAL(9,INDEX(Main[مقدار تسویه شده (کیلوگرم)],1):Main[[#This Row],[مقدار تسویه شده (کیلوگرم)]])</f>
        <v>36183</v>
      </c>
      <c r="Y1597" s="6">
        <f ca="1">IF(Main[[#This Row],[مانده در خط تسویه شده (کیلوگرم)]]&lt;&gt;0,Main[[#This Row],[تعداد کل روزهای بدهکار (روز)]],0)</f>
        <v>2</v>
      </c>
      <c r="Z1597" s="6">
        <f ca="1">Main[[#This Row],[تعداد روزهای بدهکار تسویه شده (روز)]]*Main[[#This Row],[مانده در خط تسویه شده (کیلوگرم)]]</f>
        <v>72366</v>
      </c>
      <c r="AA1597" s="6">
        <f ca="1">SUBTOTAL(9,INDEX(Main[بدهی تسویه نشده (کیلوگرم)],1):Main[[#This Row],[بدهی تسویه نشده (کیلوگرم)]])</f>
        <v>0</v>
      </c>
      <c r="AB1597" s="6">
        <f ca="1">IF(Main[[#This Row],[مانده در خط تسویه نشده (کیلوگرم)]]&lt;&gt;0,Main[[#This Row],[تعداد کل روزهای بدهکار (روز)]],0)</f>
        <v>0</v>
      </c>
      <c r="AC1597" s="6">
        <f ca="1">Main[[#This Row],[تعداد روزهای بدهکار  تسویه نشده (روز)]]*Main[[#This Row],[مانده در خط تسویه نشده (کیلوگرم)]]</f>
        <v>0</v>
      </c>
      <c r="AD1597" s="6">
        <f ca="1">SUBTOTAL(9,INDEX(Main[بدهی سررسید شده (کیلوگرم)],1):Main[[#This Row],[بدهی سررسید شده (کیلوگرم)]])</f>
        <v>0</v>
      </c>
      <c r="AE1597" s="6">
        <f ca="1">IF(Main[[#This Row],[مانده در خط سررسید شده (کیلوگرم)]]&lt;&gt;0,Main[[#This Row],[تعداد کل روزهای بدهکار (روز)]],0)</f>
        <v>0</v>
      </c>
      <c r="AF1597" s="6">
        <f ca="1">Main[[#This Row],[تعداد روزهای بدهکار سررسید شده (روز)]]*Main[[#This Row],[مانده در خط سررسید شده (کیلوگرم)]]</f>
        <v>0</v>
      </c>
    </row>
    <row r="1598" spans="1:32" hidden="1" x14ac:dyDescent="0.35">
      <c r="A1598" s="5">
        <f>ROW()-ROW(INDEX(Main[ردیف],1))+1</f>
        <v>1596</v>
      </c>
      <c r="B1598" s="31">
        <f>SUBTOTAL(2,INDEX(Main[ردیف],1):Main[[#This Row],[ردیف]])</f>
        <v>144</v>
      </c>
      <c r="C1598" s="32" t="s">
        <v>699</v>
      </c>
      <c r="D1598" s="32" t="str">
        <f>_xlfn.CONCAT("14",Main[[#This Row],[تاريخ]])</f>
        <v>1400/06/23</v>
      </c>
      <c r="E1598" s="33">
        <v>44453</v>
      </c>
      <c r="F1598" s="32">
        <v>30009</v>
      </c>
      <c r="G1598" s="5" t="str">
        <f>INDEX(customer[عنوان],MATCH(Main[[#This Row],[کد ردیابی]],customer[کد],0))</f>
        <v>شرکت ایمن تک پیشرو</v>
      </c>
      <c r="H1598">
        <v>1968</v>
      </c>
      <c r="I1598" s="6">
        <f ca="1">-Main[[#This Row],[بدهی تسویه شده (کیلوگرم)]]+Main[[#This Row],[بستانکار (کیلوگرم)]]</f>
        <v>1968</v>
      </c>
      <c r="J1598" s="6">
        <f>IF(Main[[#This Row],[مقدار (کیلوگرم)]]&gt;0,Main[[#This Row],[مقدار (کیلوگرم)]],0)</f>
        <v>1968</v>
      </c>
      <c r="K1598" s="6">
        <f>-IF(Main[[#This Row],[مقدار (کیلوگرم)]]&lt;0,Main[[#This Row],[مقدار (کیلوگرم)]],0)</f>
        <v>0</v>
      </c>
      <c r="L15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8" s="7">
        <f>-IF(AND(Main[[#This Row],[مقدار (کیلوگرم)]]&lt;0,Main[[#This Row],[تاريخ میلادی]]&gt;44276),Main[[#This Row],[مقدار (کیلوگرم)]],0)</f>
        <v>0</v>
      </c>
      <c r="N1598" s="6">
        <f ca="1">Main[[#This Row],[بدهکار (کیلوگرم)]]-Main[[#This Row],[بدهی تسویه نشده (کیلوگرم)]]</f>
        <v>0</v>
      </c>
      <c r="O1598" s="6">
        <f ca="1">Main[[#This Row],[تفکیک]]</f>
        <v>0</v>
      </c>
      <c r="P1598" s="6">
        <f ca="1">IF(Main[[#This Row],[تاخیر از سررسید]]&gt;0,Main[[#This Row],[بدهی تسویه نشده (کیلوگرم)]],0)</f>
        <v>0</v>
      </c>
      <c r="Q1598" s="6">
        <f ca="1">IF(Main[[#This Row],[بدهی تسویه نشده (کیلوگرم)]]&gt;0,'گزارش فردی'!$B$7-Main[[#This Row],[تاريخ میلادی]],0)</f>
        <v>0</v>
      </c>
      <c r="R1598" s="6">
        <f ca="1">IF(Main[[#This Row],[بدهی تسویه نشده (کیلوگرم)]]&gt;0,'گزارش فردی'!$B$7-Main[[#This Row],[تاريخ میلادی]]-'گزارش فردی'!$B$8,0)</f>
        <v>0</v>
      </c>
      <c r="S1598" s="6">
        <f ca="1">Main[[#This Row],[روز از ارسال سفارش]]*Main[[#This Row],[بدهی تسویه نشده (کیلوگرم)]]</f>
        <v>0</v>
      </c>
      <c r="T1598" s="6">
        <f ca="1">Main[[#This Row],[بدهی سررسید شده (کیلوگرم)]]*Main[[#This Row],[روز از ارسال سفارش]]</f>
        <v>0</v>
      </c>
      <c r="U1598" s="6">
        <f>-SUBTOTAL(9,INDEX(Main[مقدار (کیلوگرم)],1):Main[[#This Row],[مقدار (کیلوگرم)]])</f>
        <v>36183</v>
      </c>
      <c r="V159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8" s="6">
        <f>Main[[#This Row],[تعداد کل روزهای بدهکار (روز)]]*Main[[#This Row],[مانده در خط کل (کیلوگرم)]]</f>
        <v>72366</v>
      </c>
      <c r="X1598" s="6">
        <f ca="1">-SUBTOTAL(9,INDEX(Main[مقدار تسویه شده (کیلوگرم)],1):Main[[#This Row],[مقدار تسویه شده (کیلوگرم)]])</f>
        <v>36183</v>
      </c>
      <c r="Y1598" s="6">
        <f ca="1">IF(Main[[#This Row],[مانده در خط تسویه شده (کیلوگرم)]]&lt;&gt;0,Main[[#This Row],[تعداد کل روزهای بدهکار (روز)]],0)</f>
        <v>2</v>
      </c>
      <c r="Z1598" s="6">
        <f ca="1">Main[[#This Row],[تعداد روزهای بدهکار تسویه شده (روز)]]*Main[[#This Row],[مانده در خط تسویه شده (کیلوگرم)]]</f>
        <v>72366</v>
      </c>
      <c r="AA1598" s="6">
        <f ca="1">SUBTOTAL(9,INDEX(Main[بدهی تسویه نشده (کیلوگرم)],1):Main[[#This Row],[بدهی تسویه نشده (کیلوگرم)]])</f>
        <v>0</v>
      </c>
      <c r="AB1598" s="6">
        <f ca="1">IF(Main[[#This Row],[مانده در خط تسویه نشده (کیلوگرم)]]&lt;&gt;0,Main[[#This Row],[تعداد کل روزهای بدهکار (روز)]],0)</f>
        <v>0</v>
      </c>
      <c r="AC1598" s="6">
        <f ca="1">Main[[#This Row],[تعداد روزهای بدهکار  تسویه نشده (روز)]]*Main[[#This Row],[مانده در خط تسویه نشده (کیلوگرم)]]</f>
        <v>0</v>
      </c>
      <c r="AD1598" s="6">
        <f ca="1">SUBTOTAL(9,INDEX(Main[بدهی سررسید شده (کیلوگرم)],1):Main[[#This Row],[بدهی سررسید شده (کیلوگرم)]])</f>
        <v>0</v>
      </c>
      <c r="AE1598" s="6">
        <f ca="1">IF(Main[[#This Row],[مانده در خط سررسید شده (کیلوگرم)]]&lt;&gt;0,Main[[#This Row],[تعداد کل روزهای بدهکار (روز)]],0)</f>
        <v>0</v>
      </c>
      <c r="AF1598" s="6">
        <f ca="1">Main[[#This Row],[تعداد روزهای بدهکار سررسید شده (روز)]]*Main[[#This Row],[مانده در خط سررسید شده (کیلوگرم)]]</f>
        <v>0</v>
      </c>
    </row>
    <row r="1599" spans="1:32" hidden="1" x14ac:dyDescent="0.35">
      <c r="A1599" s="5">
        <f>ROW()-ROW(INDEX(Main[ردیف],1))+1</f>
        <v>1597</v>
      </c>
      <c r="B1599" s="31">
        <f>SUBTOTAL(2,INDEX(Main[ردیف],1):Main[[#This Row],[ردیف]])</f>
        <v>144</v>
      </c>
      <c r="C1599" s="32" t="s">
        <v>699</v>
      </c>
      <c r="D1599" s="32" t="str">
        <f>_xlfn.CONCAT("14",Main[[#This Row],[تاريخ]])</f>
        <v>1400/06/23</v>
      </c>
      <c r="E1599" s="33">
        <v>44453</v>
      </c>
      <c r="F1599" s="32">
        <v>30191</v>
      </c>
      <c r="G1599" s="5" t="str">
        <f>INDEX(customer[عنوان],MATCH(Main[[#This Row],[کد ردیابی]],customer[کد],0))</f>
        <v>ایران گرما</v>
      </c>
      <c r="H1599">
        <v>2200</v>
      </c>
      <c r="I1599" s="6">
        <f ca="1">-Main[[#This Row],[بدهی تسویه شده (کیلوگرم)]]+Main[[#This Row],[بستانکار (کیلوگرم)]]</f>
        <v>2200</v>
      </c>
      <c r="J1599" s="6">
        <f>IF(Main[[#This Row],[مقدار (کیلوگرم)]]&gt;0,Main[[#This Row],[مقدار (کیلوگرم)]],0)</f>
        <v>2200</v>
      </c>
      <c r="K1599" s="6">
        <f>-IF(Main[[#This Row],[مقدار (کیلوگرم)]]&lt;0,Main[[#This Row],[مقدار (کیلوگرم)]],0)</f>
        <v>0</v>
      </c>
      <c r="L15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9" s="7">
        <f>-IF(AND(Main[[#This Row],[مقدار (کیلوگرم)]]&lt;0,Main[[#This Row],[تاريخ میلادی]]&gt;44276),Main[[#This Row],[مقدار (کیلوگرم)]],0)</f>
        <v>0</v>
      </c>
      <c r="N1599" s="6">
        <f ca="1">Main[[#This Row],[بدهکار (کیلوگرم)]]-Main[[#This Row],[بدهی تسویه نشده (کیلوگرم)]]</f>
        <v>0</v>
      </c>
      <c r="O1599" s="6">
        <f ca="1">Main[[#This Row],[تفکیک]]</f>
        <v>0</v>
      </c>
      <c r="P1599" s="6">
        <f ca="1">IF(Main[[#This Row],[تاخیر از سررسید]]&gt;0,Main[[#This Row],[بدهی تسویه نشده (کیلوگرم)]],0)</f>
        <v>0</v>
      </c>
      <c r="Q1599" s="6">
        <f ca="1">IF(Main[[#This Row],[بدهی تسویه نشده (کیلوگرم)]]&gt;0,'گزارش فردی'!$B$7-Main[[#This Row],[تاريخ میلادی]],0)</f>
        <v>0</v>
      </c>
      <c r="R1599" s="6">
        <f ca="1">IF(Main[[#This Row],[بدهی تسویه نشده (کیلوگرم)]]&gt;0,'گزارش فردی'!$B$7-Main[[#This Row],[تاريخ میلادی]]-'گزارش فردی'!$B$8,0)</f>
        <v>0</v>
      </c>
      <c r="S1599" s="6">
        <f ca="1">Main[[#This Row],[روز از ارسال سفارش]]*Main[[#This Row],[بدهی تسویه نشده (کیلوگرم)]]</f>
        <v>0</v>
      </c>
      <c r="T1599" s="6">
        <f ca="1">Main[[#This Row],[بدهی سررسید شده (کیلوگرم)]]*Main[[#This Row],[روز از ارسال سفارش]]</f>
        <v>0</v>
      </c>
      <c r="U1599" s="6">
        <f>-SUBTOTAL(9,INDEX(Main[مقدار (کیلوگرم)],1):Main[[#This Row],[مقدار (کیلوگرم)]])</f>
        <v>36183</v>
      </c>
      <c r="V159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9" s="6">
        <f>Main[[#This Row],[تعداد کل روزهای بدهکار (روز)]]*Main[[#This Row],[مانده در خط کل (کیلوگرم)]]</f>
        <v>72366</v>
      </c>
      <c r="X1599" s="6">
        <f ca="1">-SUBTOTAL(9,INDEX(Main[مقدار تسویه شده (کیلوگرم)],1):Main[[#This Row],[مقدار تسویه شده (کیلوگرم)]])</f>
        <v>36183</v>
      </c>
      <c r="Y1599" s="6">
        <f ca="1">IF(Main[[#This Row],[مانده در خط تسویه شده (کیلوگرم)]]&lt;&gt;0,Main[[#This Row],[تعداد کل روزهای بدهکار (روز)]],0)</f>
        <v>2</v>
      </c>
      <c r="Z1599" s="6">
        <f ca="1">Main[[#This Row],[تعداد روزهای بدهکار تسویه شده (روز)]]*Main[[#This Row],[مانده در خط تسویه شده (کیلوگرم)]]</f>
        <v>72366</v>
      </c>
      <c r="AA1599" s="6">
        <f ca="1">SUBTOTAL(9,INDEX(Main[بدهی تسویه نشده (کیلوگرم)],1):Main[[#This Row],[بدهی تسویه نشده (کیلوگرم)]])</f>
        <v>0</v>
      </c>
      <c r="AB1599" s="6">
        <f ca="1">IF(Main[[#This Row],[مانده در خط تسویه نشده (کیلوگرم)]]&lt;&gt;0,Main[[#This Row],[تعداد کل روزهای بدهکار (روز)]],0)</f>
        <v>0</v>
      </c>
      <c r="AC1599" s="6">
        <f ca="1">Main[[#This Row],[تعداد روزهای بدهکار  تسویه نشده (روز)]]*Main[[#This Row],[مانده در خط تسویه نشده (کیلوگرم)]]</f>
        <v>0</v>
      </c>
      <c r="AD1599" s="6">
        <f ca="1">SUBTOTAL(9,INDEX(Main[بدهی سررسید شده (کیلوگرم)],1):Main[[#This Row],[بدهی سررسید شده (کیلوگرم)]])</f>
        <v>0</v>
      </c>
      <c r="AE1599" s="6">
        <f ca="1">IF(Main[[#This Row],[مانده در خط سررسید شده (کیلوگرم)]]&lt;&gt;0,Main[[#This Row],[تعداد کل روزهای بدهکار (روز)]],0)</f>
        <v>0</v>
      </c>
      <c r="AF1599" s="6">
        <f ca="1">Main[[#This Row],[تعداد روزهای بدهکار سررسید شده (روز)]]*Main[[#This Row],[مانده در خط سررسید شده (کیلوگرم)]]</f>
        <v>0</v>
      </c>
    </row>
    <row r="1600" spans="1:32" hidden="1" x14ac:dyDescent="0.35">
      <c r="A1600" s="5">
        <f>ROW()-ROW(INDEX(Main[ردیف],1))+1</f>
        <v>1598</v>
      </c>
      <c r="B1600" s="31">
        <f>SUBTOTAL(2,INDEX(Main[ردیف],1):Main[[#This Row],[ردیف]])</f>
        <v>144</v>
      </c>
      <c r="C1600" s="32" t="s">
        <v>699</v>
      </c>
      <c r="D1600" s="32" t="str">
        <f>_xlfn.CONCAT("14",Main[[#This Row],[تاريخ]])</f>
        <v>1400/06/23</v>
      </c>
      <c r="E1600" s="33">
        <v>44453</v>
      </c>
      <c r="F1600" s="32">
        <v>30191</v>
      </c>
      <c r="G1600" s="5" t="str">
        <f>INDEX(customer[عنوان],MATCH(Main[[#This Row],[کد ردیابی]],customer[کد],0))</f>
        <v>ایران گرما</v>
      </c>
      <c r="H1600">
        <v>94</v>
      </c>
      <c r="I1600" s="6">
        <f ca="1">-Main[[#This Row],[بدهی تسویه شده (کیلوگرم)]]+Main[[#This Row],[بستانکار (کیلوگرم)]]</f>
        <v>94</v>
      </c>
      <c r="J1600" s="6">
        <f>IF(Main[[#This Row],[مقدار (کیلوگرم)]]&gt;0,Main[[#This Row],[مقدار (کیلوگرم)]],0)</f>
        <v>94</v>
      </c>
      <c r="K1600" s="6">
        <f>-IF(Main[[#This Row],[مقدار (کیلوگرم)]]&lt;0,Main[[#This Row],[مقدار (کیلوگرم)]],0)</f>
        <v>0</v>
      </c>
      <c r="L16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0" s="7">
        <f>-IF(AND(Main[[#This Row],[مقدار (کیلوگرم)]]&lt;0,Main[[#This Row],[تاريخ میلادی]]&gt;44276),Main[[#This Row],[مقدار (کیلوگرم)]],0)</f>
        <v>0</v>
      </c>
      <c r="N1600" s="6">
        <f ca="1">Main[[#This Row],[بدهکار (کیلوگرم)]]-Main[[#This Row],[بدهی تسویه نشده (کیلوگرم)]]</f>
        <v>0</v>
      </c>
      <c r="O1600" s="6">
        <f ca="1">Main[[#This Row],[تفکیک]]</f>
        <v>0</v>
      </c>
      <c r="P1600" s="6">
        <f ca="1">IF(Main[[#This Row],[تاخیر از سررسید]]&gt;0,Main[[#This Row],[بدهی تسویه نشده (کیلوگرم)]],0)</f>
        <v>0</v>
      </c>
      <c r="Q1600" s="6">
        <f ca="1">IF(Main[[#This Row],[بدهی تسویه نشده (کیلوگرم)]]&gt;0,'گزارش فردی'!$B$7-Main[[#This Row],[تاريخ میلادی]],0)</f>
        <v>0</v>
      </c>
      <c r="R1600" s="6">
        <f ca="1">IF(Main[[#This Row],[بدهی تسویه نشده (کیلوگرم)]]&gt;0,'گزارش فردی'!$B$7-Main[[#This Row],[تاريخ میلادی]]-'گزارش فردی'!$B$8,0)</f>
        <v>0</v>
      </c>
      <c r="S1600" s="6">
        <f ca="1">Main[[#This Row],[روز از ارسال سفارش]]*Main[[#This Row],[بدهی تسویه نشده (کیلوگرم)]]</f>
        <v>0</v>
      </c>
      <c r="T1600" s="6">
        <f ca="1">Main[[#This Row],[بدهی سررسید شده (کیلوگرم)]]*Main[[#This Row],[روز از ارسال سفارش]]</f>
        <v>0</v>
      </c>
      <c r="U1600" s="6">
        <f>-SUBTOTAL(9,INDEX(Main[مقدار (کیلوگرم)],1):Main[[#This Row],[مقدار (کیلوگرم)]])</f>
        <v>36183</v>
      </c>
      <c r="V160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00" s="6">
        <f>Main[[#This Row],[تعداد کل روزهای بدهکار (روز)]]*Main[[#This Row],[مانده در خط کل (کیلوگرم)]]</f>
        <v>72366</v>
      </c>
      <c r="X1600" s="6">
        <f ca="1">-SUBTOTAL(9,INDEX(Main[مقدار تسویه شده (کیلوگرم)],1):Main[[#This Row],[مقدار تسویه شده (کیلوگرم)]])</f>
        <v>36183</v>
      </c>
      <c r="Y1600" s="6">
        <f ca="1">IF(Main[[#This Row],[مانده در خط تسویه شده (کیلوگرم)]]&lt;&gt;0,Main[[#This Row],[تعداد کل روزهای بدهکار (روز)]],0)</f>
        <v>2</v>
      </c>
      <c r="Z1600" s="6">
        <f ca="1">Main[[#This Row],[تعداد روزهای بدهکار تسویه شده (روز)]]*Main[[#This Row],[مانده در خط تسویه شده (کیلوگرم)]]</f>
        <v>72366</v>
      </c>
      <c r="AA1600" s="6">
        <f ca="1">SUBTOTAL(9,INDEX(Main[بدهی تسویه نشده (کیلوگرم)],1):Main[[#This Row],[بدهی تسویه نشده (کیلوگرم)]])</f>
        <v>0</v>
      </c>
      <c r="AB1600" s="6">
        <f ca="1">IF(Main[[#This Row],[مانده در خط تسویه نشده (کیلوگرم)]]&lt;&gt;0,Main[[#This Row],[تعداد کل روزهای بدهکار (روز)]],0)</f>
        <v>0</v>
      </c>
      <c r="AC1600" s="6">
        <f ca="1">Main[[#This Row],[تعداد روزهای بدهکار  تسویه نشده (روز)]]*Main[[#This Row],[مانده در خط تسویه نشده (کیلوگرم)]]</f>
        <v>0</v>
      </c>
      <c r="AD1600" s="6">
        <f ca="1">SUBTOTAL(9,INDEX(Main[بدهی سررسید شده (کیلوگرم)],1):Main[[#This Row],[بدهی سررسید شده (کیلوگرم)]])</f>
        <v>0</v>
      </c>
      <c r="AE1600" s="6">
        <f ca="1">IF(Main[[#This Row],[مانده در خط سررسید شده (کیلوگرم)]]&lt;&gt;0,Main[[#This Row],[تعداد کل روزهای بدهکار (روز)]],0)</f>
        <v>0</v>
      </c>
      <c r="AF1600" s="6">
        <f ca="1">Main[[#This Row],[تعداد روزهای بدهکار سررسید شده (روز)]]*Main[[#This Row],[مانده در خط سررسید شده (کیلوگرم)]]</f>
        <v>0</v>
      </c>
    </row>
    <row r="1601" spans="1:32" hidden="1" x14ac:dyDescent="0.35">
      <c r="A1601" s="5">
        <f>ROW()-ROW(INDEX(Main[ردیف],1))+1</f>
        <v>1599</v>
      </c>
      <c r="B1601" s="31">
        <f>SUBTOTAL(2,INDEX(Main[ردیف],1):Main[[#This Row],[ردیف]])</f>
        <v>144</v>
      </c>
      <c r="C1601" s="32" t="s">
        <v>699</v>
      </c>
      <c r="D1601" s="32" t="str">
        <f>_xlfn.CONCAT("14",Main[[#This Row],[تاريخ]])</f>
        <v>1400/06/23</v>
      </c>
      <c r="E1601" s="33">
        <v>44453</v>
      </c>
      <c r="F1601" s="32">
        <v>30009</v>
      </c>
      <c r="G1601" s="5" t="str">
        <f>INDEX(customer[عنوان],MATCH(Main[[#This Row],[کد ردیابی]],customer[کد],0))</f>
        <v>شرکت ایمن تک پیشرو</v>
      </c>
      <c r="H1601">
        <v>913</v>
      </c>
      <c r="I1601" s="6">
        <f ca="1">-Main[[#This Row],[بدهی تسویه شده (کیلوگرم)]]+Main[[#This Row],[بستانکار (کیلوگرم)]]</f>
        <v>913</v>
      </c>
      <c r="J1601" s="6">
        <f>IF(Main[[#This Row],[مقدار (کیلوگرم)]]&gt;0,Main[[#This Row],[مقدار (کیلوگرم)]],0)</f>
        <v>913</v>
      </c>
      <c r="K1601" s="6">
        <f>-IF(Main[[#This Row],[مقدار (کیلوگرم)]]&lt;0,Main[[#This Row],[مقدار (کیلوگرم)]],0)</f>
        <v>0</v>
      </c>
      <c r="L16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1" s="7">
        <f>-IF(AND(Main[[#This Row],[مقدار (کیلوگرم)]]&lt;0,Main[[#This Row],[تاريخ میلادی]]&gt;44276),Main[[#This Row],[مقدار (کیلوگرم)]],0)</f>
        <v>0</v>
      </c>
      <c r="N1601" s="6">
        <f ca="1">Main[[#This Row],[بدهکار (کیلوگرم)]]-Main[[#This Row],[بدهی تسویه نشده (کیلوگرم)]]</f>
        <v>0</v>
      </c>
      <c r="O1601" s="6">
        <f ca="1">Main[[#This Row],[تفکیک]]</f>
        <v>0</v>
      </c>
      <c r="P1601" s="6">
        <f ca="1">IF(Main[[#This Row],[تاخیر از سررسید]]&gt;0,Main[[#This Row],[بدهی تسویه نشده (کیلوگرم)]],0)</f>
        <v>0</v>
      </c>
      <c r="Q1601" s="6">
        <f ca="1">IF(Main[[#This Row],[بدهی تسویه نشده (کیلوگرم)]]&gt;0,'گزارش فردی'!$B$7-Main[[#This Row],[تاريخ میلادی]],0)</f>
        <v>0</v>
      </c>
      <c r="R1601" s="6">
        <f ca="1">IF(Main[[#This Row],[بدهی تسویه نشده (کیلوگرم)]]&gt;0,'گزارش فردی'!$B$7-Main[[#This Row],[تاريخ میلادی]]-'گزارش فردی'!$B$8,0)</f>
        <v>0</v>
      </c>
      <c r="S1601" s="6">
        <f ca="1">Main[[#This Row],[روز از ارسال سفارش]]*Main[[#This Row],[بدهی تسویه نشده (کیلوگرم)]]</f>
        <v>0</v>
      </c>
      <c r="T1601" s="6">
        <f ca="1">Main[[#This Row],[بدهی سررسید شده (کیلوگرم)]]*Main[[#This Row],[روز از ارسال سفارش]]</f>
        <v>0</v>
      </c>
      <c r="U1601" s="6">
        <f>-SUBTOTAL(9,INDEX(Main[مقدار (کیلوگرم)],1):Main[[#This Row],[مقدار (کیلوگرم)]])</f>
        <v>36183</v>
      </c>
      <c r="V16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01" s="6">
        <f>Main[[#This Row],[تعداد کل روزهای بدهکار (روز)]]*Main[[#This Row],[مانده در خط کل (کیلوگرم)]]</f>
        <v>72366</v>
      </c>
      <c r="X1601" s="6">
        <f ca="1">-SUBTOTAL(9,INDEX(Main[مقدار تسویه شده (کیلوگرم)],1):Main[[#This Row],[مقدار تسویه شده (کیلوگرم)]])</f>
        <v>36183</v>
      </c>
      <c r="Y1601" s="6">
        <f ca="1">IF(Main[[#This Row],[مانده در خط تسویه شده (کیلوگرم)]]&lt;&gt;0,Main[[#This Row],[تعداد کل روزهای بدهکار (روز)]],0)</f>
        <v>2</v>
      </c>
      <c r="Z1601" s="6">
        <f ca="1">Main[[#This Row],[تعداد روزهای بدهکار تسویه شده (روز)]]*Main[[#This Row],[مانده در خط تسویه شده (کیلوگرم)]]</f>
        <v>72366</v>
      </c>
      <c r="AA1601" s="6">
        <f ca="1">SUBTOTAL(9,INDEX(Main[بدهی تسویه نشده (کیلوگرم)],1):Main[[#This Row],[بدهی تسویه نشده (کیلوگرم)]])</f>
        <v>0</v>
      </c>
      <c r="AB1601" s="6">
        <f ca="1">IF(Main[[#This Row],[مانده در خط تسویه نشده (کیلوگرم)]]&lt;&gt;0,Main[[#This Row],[تعداد کل روزهای بدهکار (روز)]],0)</f>
        <v>0</v>
      </c>
      <c r="AC1601" s="6">
        <f ca="1">Main[[#This Row],[تعداد روزهای بدهکار  تسویه نشده (روز)]]*Main[[#This Row],[مانده در خط تسویه نشده (کیلوگرم)]]</f>
        <v>0</v>
      </c>
      <c r="AD1601" s="6">
        <f ca="1">SUBTOTAL(9,INDEX(Main[بدهی سررسید شده (کیلوگرم)],1):Main[[#This Row],[بدهی سررسید شده (کیلوگرم)]])</f>
        <v>0</v>
      </c>
      <c r="AE1601" s="6">
        <f ca="1">IF(Main[[#This Row],[مانده در خط سررسید شده (کیلوگرم)]]&lt;&gt;0,Main[[#This Row],[تعداد کل روزهای بدهکار (روز)]],0)</f>
        <v>0</v>
      </c>
      <c r="AF1601" s="6">
        <f ca="1">Main[[#This Row],[تعداد روزهای بدهکار سررسید شده (روز)]]*Main[[#This Row],[مانده در خط سررسید شده (کیلوگرم)]]</f>
        <v>0</v>
      </c>
    </row>
    <row r="1602" spans="1:32" hidden="1" x14ac:dyDescent="0.35">
      <c r="A1602" s="5">
        <f>ROW()-ROW(INDEX(Main[ردیف],1))+1</f>
        <v>1600</v>
      </c>
      <c r="B1602" s="31">
        <f>SUBTOTAL(2,INDEX(Main[ردیف],1):Main[[#This Row],[ردیف]])</f>
        <v>144</v>
      </c>
      <c r="C1602" s="32" t="s">
        <v>700</v>
      </c>
      <c r="D1602" s="32" t="str">
        <f>_xlfn.CONCAT("14",Main[[#This Row],[تاريخ]])</f>
        <v>1400/06/24</v>
      </c>
      <c r="E1602" s="33">
        <v>44454</v>
      </c>
      <c r="F1602" s="32">
        <v>30022</v>
      </c>
      <c r="G1602" s="5" t="str">
        <f>INDEX(customer[عنوان],MATCH(Main[[#This Row],[کد ردیابی]],customer[کد],0))</f>
        <v xml:space="preserve">کلار پویا </v>
      </c>
      <c r="H1602">
        <v>-5167</v>
      </c>
      <c r="I1602" s="6">
        <f ca="1">-Main[[#This Row],[بدهی تسویه شده (کیلوگرم)]]+Main[[#This Row],[بستانکار (کیلوگرم)]]</f>
        <v>-5167</v>
      </c>
      <c r="J1602" s="6">
        <f>IF(Main[[#This Row],[مقدار (کیلوگرم)]]&gt;0,Main[[#This Row],[مقدار (کیلوگرم)]],0)</f>
        <v>0</v>
      </c>
      <c r="K1602" s="6">
        <f>-IF(Main[[#This Row],[مقدار (کیلوگرم)]]&lt;0,Main[[#This Row],[مقدار (کیلوگرم)]],0)</f>
        <v>5167</v>
      </c>
      <c r="L16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2" s="7">
        <f>-IF(AND(Main[[#This Row],[مقدار (کیلوگرم)]]&lt;0,Main[[#This Row],[تاريخ میلادی]]&gt;44276),Main[[#This Row],[مقدار (کیلوگرم)]],0)</f>
        <v>5167</v>
      </c>
      <c r="N1602" s="6">
        <f ca="1">Main[[#This Row],[بدهکار (کیلوگرم)]]-Main[[#This Row],[بدهی تسویه نشده (کیلوگرم)]]</f>
        <v>5167</v>
      </c>
      <c r="O1602" s="6">
        <f ca="1">Main[[#This Row],[تفکیک]]</f>
        <v>0</v>
      </c>
      <c r="P1602" s="6">
        <f ca="1">IF(Main[[#This Row],[تاخیر از سررسید]]&gt;0,Main[[#This Row],[بدهی تسویه نشده (کیلوگرم)]],0)</f>
        <v>0</v>
      </c>
      <c r="Q1602" s="6">
        <f ca="1">IF(Main[[#This Row],[بدهی تسویه نشده (کیلوگرم)]]&gt;0,'گزارش فردی'!$B$7-Main[[#This Row],[تاريخ میلادی]],0)</f>
        <v>0</v>
      </c>
      <c r="R1602" s="6">
        <f ca="1">IF(Main[[#This Row],[بدهی تسویه نشده (کیلوگرم)]]&gt;0,'گزارش فردی'!$B$7-Main[[#This Row],[تاريخ میلادی]]-'گزارش فردی'!$B$8,0)</f>
        <v>0</v>
      </c>
      <c r="S1602" s="6">
        <f ca="1">Main[[#This Row],[روز از ارسال سفارش]]*Main[[#This Row],[بدهی تسویه نشده (کیلوگرم)]]</f>
        <v>0</v>
      </c>
      <c r="T1602" s="6">
        <f ca="1">Main[[#This Row],[بدهی سررسید شده (کیلوگرم)]]*Main[[#This Row],[روز از ارسال سفارش]]</f>
        <v>0</v>
      </c>
      <c r="U1602" s="6">
        <f>-SUBTOTAL(9,INDEX(Main[مقدار (کیلوگرم)],1):Main[[#This Row],[مقدار (کیلوگرم)]])</f>
        <v>36183</v>
      </c>
      <c r="V16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2" s="6">
        <f>Main[[#This Row],[تعداد کل روزهای بدهکار (روز)]]*Main[[#This Row],[مانده در خط کل (کیلوگرم)]]</f>
        <v>36183</v>
      </c>
      <c r="X1602" s="6">
        <f ca="1">-SUBTOTAL(9,INDEX(Main[مقدار تسویه شده (کیلوگرم)],1):Main[[#This Row],[مقدار تسویه شده (کیلوگرم)]])</f>
        <v>36183</v>
      </c>
      <c r="Y1602" s="6">
        <f ca="1">IF(Main[[#This Row],[مانده در خط تسویه شده (کیلوگرم)]]&lt;&gt;0,Main[[#This Row],[تعداد کل روزهای بدهکار (روز)]],0)</f>
        <v>1</v>
      </c>
      <c r="Z1602" s="6">
        <f ca="1">Main[[#This Row],[تعداد روزهای بدهکار تسویه شده (روز)]]*Main[[#This Row],[مانده در خط تسویه شده (کیلوگرم)]]</f>
        <v>36183</v>
      </c>
      <c r="AA1602" s="6">
        <f ca="1">SUBTOTAL(9,INDEX(Main[بدهی تسویه نشده (کیلوگرم)],1):Main[[#This Row],[بدهی تسویه نشده (کیلوگرم)]])</f>
        <v>0</v>
      </c>
      <c r="AB1602" s="6">
        <f ca="1">IF(Main[[#This Row],[مانده در خط تسویه نشده (کیلوگرم)]]&lt;&gt;0,Main[[#This Row],[تعداد کل روزهای بدهکار (روز)]],0)</f>
        <v>0</v>
      </c>
      <c r="AC1602" s="6">
        <f ca="1">Main[[#This Row],[تعداد روزهای بدهکار  تسویه نشده (روز)]]*Main[[#This Row],[مانده در خط تسویه نشده (کیلوگرم)]]</f>
        <v>0</v>
      </c>
      <c r="AD1602" s="6">
        <f ca="1">SUBTOTAL(9,INDEX(Main[بدهی سررسید شده (کیلوگرم)],1):Main[[#This Row],[بدهی سررسید شده (کیلوگرم)]])</f>
        <v>0</v>
      </c>
      <c r="AE1602" s="6">
        <f ca="1">IF(Main[[#This Row],[مانده در خط سررسید شده (کیلوگرم)]]&lt;&gt;0,Main[[#This Row],[تعداد کل روزهای بدهکار (روز)]],0)</f>
        <v>0</v>
      </c>
      <c r="AF1602" s="6">
        <f ca="1">Main[[#This Row],[تعداد روزهای بدهکار سررسید شده (روز)]]*Main[[#This Row],[مانده در خط سررسید شده (کیلوگرم)]]</f>
        <v>0</v>
      </c>
    </row>
    <row r="1603" spans="1:32" hidden="1" x14ac:dyDescent="0.35">
      <c r="A1603" s="5">
        <f>ROW()-ROW(INDEX(Main[ردیف],1))+1</f>
        <v>1601</v>
      </c>
      <c r="B1603" s="31">
        <f>SUBTOTAL(2,INDEX(Main[ردیف],1):Main[[#This Row],[ردیف]])</f>
        <v>144</v>
      </c>
      <c r="C1603" s="32" t="s">
        <v>700</v>
      </c>
      <c r="D1603" s="32" t="str">
        <f>_xlfn.CONCAT("14",Main[[#This Row],[تاريخ]])</f>
        <v>1400/06/24</v>
      </c>
      <c r="E1603" s="33">
        <v>44454</v>
      </c>
      <c r="F1603" s="32">
        <v>10119</v>
      </c>
      <c r="G1603" s="5" t="str">
        <f>INDEX(customer[عنوان],MATCH(Main[[#This Row],[کد ردیابی]],customer[کد],0))</f>
        <v>سیف الله اکبری</v>
      </c>
      <c r="H1603">
        <v>151</v>
      </c>
      <c r="I1603" s="6">
        <f ca="1">-Main[[#This Row],[بدهی تسویه شده (کیلوگرم)]]+Main[[#This Row],[بستانکار (کیلوگرم)]]</f>
        <v>151</v>
      </c>
      <c r="J1603" s="6">
        <f>IF(Main[[#This Row],[مقدار (کیلوگرم)]]&gt;0,Main[[#This Row],[مقدار (کیلوگرم)]],0)</f>
        <v>151</v>
      </c>
      <c r="K1603" s="6">
        <f>-IF(Main[[#This Row],[مقدار (کیلوگرم)]]&lt;0,Main[[#This Row],[مقدار (کیلوگرم)]],0)</f>
        <v>0</v>
      </c>
      <c r="L16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3" s="7">
        <f>-IF(AND(Main[[#This Row],[مقدار (کیلوگرم)]]&lt;0,Main[[#This Row],[تاريخ میلادی]]&gt;44276),Main[[#This Row],[مقدار (کیلوگرم)]],0)</f>
        <v>0</v>
      </c>
      <c r="N1603" s="6">
        <f ca="1">Main[[#This Row],[بدهکار (کیلوگرم)]]-Main[[#This Row],[بدهی تسویه نشده (کیلوگرم)]]</f>
        <v>0</v>
      </c>
      <c r="O1603" s="6">
        <f ca="1">Main[[#This Row],[تفکیک]]</f>
        <v>0</v>
      </c>
      <c r="P1603" s="6">
        <f ca="1">IF(Main[[#This Row],[تاخیر از سررسید]]&gt;0,Main[[#This Row],[بدهی تسویه نشده (کیلوگرم)]],0)</f>
        <v>0</v>
      </c>
      <c r="Q1603" s="6">
        <f ca="1">IF(Main[[#This Row],[بدهی تسویه نشده (کیلوگرم)]]&gt;0,'گزارش فردی'!$B$7-Main[[#This Row],[تاريخ میلادی]],0)</f>
        <v>0</v>
      </c>
      <c r="R1603" s="6">
        <f ca="1">IF(Main[[#This Row],[بدهی تسویه نشده (کیلوگرم)]]&gt;0,'گزارش فردی'!$B$7-Main[[#This Row],[تاريخ میلادی]]-'گزارش فردی'!$B$8,0)</f>
        <v>0</v>
      </c>
      <c r="S1603" s="6">
        <f ca="1">Main[[#This Row],[روز از ارسال سفارش]]*Main[[#This Row],[بدهی تسویه نشده (کیلوگرم)]]</f>
        <v>0</v>
      </c>
      <c r="T1603" s="6">
        <f ca="1">Main[[#This Row],[بدهی سررسید شده (کیلوگرم)]]*Main[[#This Row],[روز از ارسال سفارش]]</f>
        <v>0</v>
      </c>
      <c r="U1603" s="6">
        <f>-SUBTOTAL(9,INDEX(Main[مقدار (کیلوگرم)],1):Main[[#This Row],[مقدار (کیلوگرم)]])</f>
        <v>36183</v>
      </c>
      <c r="V16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3" s="6">
        <f>Main[[#This Row],[تعداد کل روزهای بدهکار (روز)]]*Main[[#This Row],[مانده در خط کل (کیلوگرم)]]</f>
        <v>36183</v>
      </c>
      <c r="X1603" s="6">
        <f ca="1">-SUBTOTAL(9,INDEX(Main[مقدار تسویه شده (کیلوگرم)],1):Main[[#This Row],[مقدار تسویه شده (کیلوگرم)]])</f>
        <v>36183</v>
      </c>
      <c r="Y1603" s="6">
        <f ca="1">IF(Main[[#This Row],[مانده در خط تسویه شده (کیلوگرم)]]&lt;&gt;0,Main[[#This Row],[تعداد کل روزهای بدهکار (روز)]],0)</f>
        <v>1</v>
      </c>
      <c r="Z1603" s="6">
        <f ca="1">Main[[#This Row],[تعداد روزهای بدهکار تسویه شده (روز)]]*Main[[#This Row],[مانده در خط تسویه شده (کیلوگرم)]]</f>
        <v>36183</v>
      </c>
      <c r="AA1603" s="6">
        <f ca="1">SUBTOTAL(9,INDEX(Main[بدهی تسویه نشده (کیلوگرم)],1):Main[[#This Row],[بدهی تسویه نشده (کیلوگرم)]])</f>
        <v>0</v>
      </c>
      <c r="AB1603" s="6">
        <f ca="1">IF(Main[[#This Row],[مانده در خط تسویه نشده (کیلوگرم)]]&lt;&gt;0,Main[[#This Row],[تعداد کل روزهای بدهکار (روز)]],0)</f>
        <v>0</v>
      </c>
      <c r="AC1603" s="6">
        <f ca="1">Main[[#This Row],[تعداد روزهای بدهکار  تسویه نشده (روز)]]*Main[[#This Row],[مانده در خط تسویه نشده (کیلوگرم)]]</f>
        <v>0</v>
      </c>
      <c r="AD1603" s="6">
        <f ca="1">SUBTOTAL(9,INDEX(Main[بدهی سررسید شده (کیلوگرم)],1):Main[[#This Row],[بدهی سررسید شده (کیلوگرم)]])</f>
        <v>0</v>
      </c>
      <c r="AE1603" s="6">
        <f ca="1">IF(Main[[#This Row],[مانده در خط سررسید شده (کیلوگرم)]]&lt;&gt;0,Main[[#This Row],[تعداد کل روزهای بدهکار (روز)]],0)</f>
        <v>0</v>
      </c>
      <c r="AF1603" s="6">
        <f ca="1">Main[[#This Row],[تعداد روزهای بدهکار سررسید شده (روز)]]*Main[[#This Row],[مانده در خط سررسید شده (کیلوگرم)]]</f>
        <v>0</v>
      </c>
    </row>
    <row r="1604" spans="1:32" hidden="1" x14ac:dyDescent="0.35">
      <c r="A1604" s="5">
        <f>ROW()-ROW(INDEX(Main[ردیف],1))+1</f>
        <v>1602</v>
      </c>
      <c r="B1604" s="31">
        <f>SUBTOTAL(2,INDEX(Main[ردیف],1):Main[[#This Row],[ردیف]])</f>
        <v>144</v>
      </c>
      <c r="C1604" s="32" t="s">
        <v>700</v>
      </c>
      <c r="D1604" s="32" t="str">
        <f>_xlfn.CONCAT("14",Main[[#This Row],[تاريخ]])</f>
        <v>1400/06/24</v>
      </c>
      <c r="E1604" s="33">
        <v>44454</v>
      </c>
      <c r="F1604" s="32">
        <v>30099</v>
      </c>
      <c r="G1604" s="5" t="str">
        <f>INDEX(customer[عنوان],MATCH(Main[[#This Row],[کد ردیابی]],customer[کد],0))</f>
        <v>ایران شرق نیشابور</v>
      </c>
      <c r="H1604">
        <v>-2537</v>
      </c>
      <c r="I1604" s="6">
        <f ca="1">-Main[[#This Row],[بدهی تسویه شده (کیلوگرم)]]+Main[[#This Row],[بستانکار (کیلوگرم)]]</f>
        <v>-2537</v>
      </c>
      <c r="J1604" s="6">
        <f>IF(Main[[#This Row],[مقدار (کیلوگرم)]]&gt;0,Main[[#This Row],[مقدار (کیلوگرم)]],0)</f>
        <v>0</v>
      </c>
      <c r="K1604" s="6">
        <f>-IF(Main[[#This Row],[مقدار (کیلوگرم)]]&lt;0,Main[[#This Row],[مقدار (کیلوگرم)]],0)</f>
        <v>2537</v>
      </c>
      <c r="L16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4" s="7">
        <f>-IF(AND(Main[[#This Row],[مقدار (کیلوگرم)]]&lt;0,Main[[#This Row],[تاريخ میلادی]]&gt;44276),Main[[#This Row],[مقدار (کیلوگرم)]],0)</f>
        <v>2537</v>
      </c>
      <c r="N1604" s="6">
        <f ca="1">Main[[#This Row],[بدهکار (کیلوگرم)]]-Main[[#This Row],[بدهی تسویه نشده (کیلوگرم)]]</f>
        <v>2537</v>
      </c>
      <c r="O1604" s="6">
        <f ca="1">Main[[#This Row],[تفکیک]]</f>
        <v>0</v>
      </c>
      <c r="P1604" s="6">
        <f ca="1">IF(Main[[#This Row],[تاخیر از سررسید]]&gt;0,Main[[#This Row],[بدهی تسویه نشده (کیلوگرم)]],0)</f>
        <v>0</v>
      </c>
      <c r="Q1604" s="6">
        <f ca="1">IF(Main[[#This Row],[بدهی تسویه نشده (کیلوگرم)]]&gt;0,'گزارش فردی'!$B$7-Main[[#This Row],[تاريخ میلادی]],0)</f>
        <v>0</v>
      </c>
      <c r="R1604" s="6">
        <f ca="1">IF(Main[[#This Row],[بدهی تسویه نشده (کیلوگرم)]]&gt;0,'گزارش فردی'!$B$7-Main[[#This Row],[تاريخ میلادی]]-'گزارش فردی'!$B$8,0)</f>
        <v>0</v>
      </c>
      <c r="S1604" s="6">
        <f ca="1">Main[[#This Row],[روز از ارسال سفارش]]*Main[[#This Row],[بدهی تسویه نشده (کیلوگرم)]]</f>
        <v>0</v>
      </c>
      <c r="T1604" s="6">
        <f ca="1">Main[[#This Row],[بدهی سررسید شده (کیلوگرم)]]*Main[[#This Row],[روز از ارسال سفارش]]</f>
        <v>0</v>
      </c>
      <c r="U1604" s="6">
        <f>-SUBTOTAL(9,INDEX(Main[مقدار (کیلوگرم)],1):Main[[#This Row],[مقدار (کیلوگرم)]])</f>
        <v>36183</v>
      </c>
      <c r="V16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4" s="6">
        <f>Main[[#This Row],[تعداد کل روزهای بدهکار (روز)]]*Main[[#This Row],[مانده در خط کل (کیلوگرم)]]</f>
        <v>36183</v>
      </c>
      <c r="X1604" s="6">
        <f ca="1">-SUBTOTAL(9,INDEX(Main[مقدار تسویه شده (کیلوگرم)],1):Main[[#This Row],[مقدار تسویه شده (کیلوگرم)]])</f>
        <v>36183</v>
      </c>
      <c r="Y1604" s="6">
        <f ca="1">IF(Main[[#This Row],[مانده در خط تسویه شده (کیلوگرم)]]&lt;&gt;0,Main[[#This Row],[تعداد کل روزهای بدهکار (روز)]],0)</f>
        <v>1</v>
      </c>
      <c r="Z1604" s="6">
        <f ca="1">Main[[#This Row],[تعداد روزهای بدهکار تسویه شده (روز)]]*Main[[#This Row],[مانده در خط تسویه شده (کیلوگرم)]]</f>
        <v>36183</v>
      </c>
      <c r="AA1604" s="6">
        <f ca="1">SUBTOTAL(9,INDEX(Main[بدهی تسویه نشده (کیلوگرم)],1):Main[[#This Row],[بدهی تسویه نشده (کیلوگرم)]])</f>
        <v>0</v>
      </c>
      <c r="AB1604" s="6">
        <f ca="1">IF(Main[[#This Row],[مانده در خط تسویه نشده (کیلوگرم)]]&lt;&gt;0,Main[[#This Row],[تعداد کل روزهای بدهکار (روز)]],0)</f>
        <v>0</v>
      </c>
      <c r="AC1604" s="6">
        <f ca="1">Main[[#This Row],[تعداد روزهای بدهکار  تسویه نشده (روز)]]*Main[[#This Row],[مانده در خط تسویه نشده (کیلوگرم)]]</f>
        <v>0</v>
      </c>
      <c r="AD1604" s="6">
        <f ca="1">SUBTOTAL(9,INDEX(Main[بدهی سررسید شده (کیلوگرم)],1):Main[[#This Row],[بدهی سررسید شده (کیلوگرم)]])</f>
        <v>0</v>
      </c>
      <c r="AE1604" s="6">
        <f ca="1">IF(Main[[#This Row],[مانده در خط سررسید شده (کیلوگرم)]]&lt;&gt;0,Main[[#This Row],[تعداد کل روزهای بدهکار (روز)]],0)</f>
        <v>0</v>
      </c>
      <c r="AF1604" s="6">
        <f ca="1">Main[[#This Row],[تعداد روزهای بدهکار سررسید شده (روز)]]*Main[[#This Row],[مانده در خط سررسید شده (کیلوگرم)]]</f>
        <v>0</v>
      </c>
    </row>
    <row r="1605" spans="1:32" hidden="1" x14ac:dyDescent="0.35">
      <c r="A1605" s="5">
        <f>ROW()-ROW(INDEX(Main[ردیف],1))+1</f>
        <v>1603</v>
      </c>
      <c r="B1605" s="31">
        <f>SUBTOTAL(2,INDEX(Main[ردیف],1):Main[[#This Row],[ردیف]])</f>
        <v>144</v>
      </c>
      <c r="C1605" s="32" t="s">
        <v>700</v>
      </c>
      <c r="D1605" s="32" t="str">
        <f>_xlfn.CONCAT("14",Main[[#This Row],[تاريخ]])</f>
        <v>1400/06/24</v>
      </c>
      <c r="E1605" s="33">
        <v>44454</v>
      </c>
      <c r="F1605" s="32">
        <v>30004</v>
      </c>
      <c r="G1605" s="5" t="str">
        <f>INDEX(customer[عنوان],MATCH(Main[[#This Row],[کد ردیابی]],customer[کد],0))</f>
        <v>تولیدی صنعتی صفاشیر پارس</v>
      </c>
      <c r="H1605">
        <v>1384</v>
      </c>
      <c r="I1605" s="6">
        <f ca="1">-Main[[#This Row],[بدهی تسویه شده (کیلوگرم)]]+Main[[#This Row],[بستانکار (کیلوگرم)]]</f>
        <v>1384</v>
      </c>
      <c r="J1605" s="6">
        <f>IF(Main[[#This Row],[مقدار (کیلوگرم)]]&gt;0,Main[[#This Row],[مقدار (کیلوگرم)]],0)</f>
        <v>1384</v>
      </c>
      <c r="K1605" s="6">
        <f>-IF(Main[[#This Row],[مقدار (کیلوگرم)]]&lt;0,Main[[#This Row],[مقدار (کیلوگرم)]],0)</f>
        <v>0</v>
      </c>
      <c r="L16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5" s="7">
        <f>-IF(AND(Main[[#This Row],[مقدار (کیلوگرم)]]&lt;0,Main[[#This Row],[تاريخ میلادی]]&gt;44276),Main[[#This Row],[مقدار (کیلوگرم)]],0)</f>
        <v>0</v>
      </c>
      <c r="N1605" s="6">
        <f ca="1">Main[[#This Row],[بدهکار (کیلوگرم)]]-Main[[#This Row],[بدهی تسویه نشده (کیلوگرم)]]</f>
        <v>0</v>
      </c>
      <c r="O1605" s="6">
        <f ca="1">Main[[#This Row],[تفکیک]]</f>
        <v>0</v>
      </c>
      <c r="P1605" s="6">
        <f ca="1">IF(Main[[#This Row],[تاخیر از سررسید]]&gt;0,Main[[#This Row],[بدهی تسویه نشده (کیلوگرم)]],0)</f>
        <v>0</v>
      </c>
      <c r="Q1605" s="6">
        <f ca="1">IF(Main[[#This Row],[بدهی تسویه نشده (کیلوگرم)]]&gt;0,'گزارش فردی'!$B$7-Main[[#This Row],[تاريخ میلادی]],0)</f>
        <v>0</v>
      </c>
      <c r="R1605" s="6">
        <f ca="1">IF(Main[[#This Row],[بدهی تسویه نشده (کیلوگرم)]]&gt;0,'گزارش فردی'!$B$7-Main[[#This Row],[تاريخ میلادی]]-'گزارش فردی'!$B$8,0)</f>
        <v>0</v>
      </c>
      <c r="S1605" s="6">
        <f ca="1">Main[[#This Row],[روز از ارسال سفارش]]*Main[[#This Row],[بدهی تسویه نشده (کیلوگرم)]]</f>
        <v>0</v>
      </c>
      <c r="T1605" s="6">
        <f ca="1">Main[[#This Row],[بدهی سررسید شده (کیلوگرم)]]*Main[[#This Row],[روز از ارسال سفارش]]</f>
        <v>0</v>
      </c>
      <c r="U1605" s="6">
        <f>-SUBTOTAL(9,INDEX(Main[مقدار (کیلوگرم)],1):Main[[#This Row],[مقدار (کیلوگرم)]])</f>
        <v>36183</v>
      </c>
      <c r="V16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5" s="6">
        <f>Main[[#This Row],[تعداد کل روزهای بدهکار (روز)]]*Main[[#This Row],[مانده در خط کل (کیلوگرم)]]</f>
        <v>36183</v>
      </c>
      <c r="X1605" s="6">
        <f ca="1">-SUBTOTAL(9,INDEX(Main[مقدار تسویه شده (کیلوگرم)],1):Main[[#This Row],[مقدار تسویه شده (کیلوگرم)]])</f>
        <v>36183</v>
      </c>
      <c r="Y1605" s="6">
        <f ca="1">IF(Main[[#This Row],[مانده در خط تسویه شده (کیلوگرم)]]&lt;&gt;0,Main[[#This Row],[تعداد کل روزهای بدهکار (روز)]],0)</f>
        <v>1</v>
      </c>
      <c r="Z1605" s="6">
        <f ca="1">Main[[#This Row],[تعداد روزهای بدهکار تسویه شده (روز)]]*Main[[#This Row],[مانده در خط تسویه شده (کیلوگرم)]]</f>
        <v>36183</v>
      </c>
      <c r="AA1605" s="6">
        <f ca="1">SUBTOTAL(9,INDEX(Main[بدهی تسویه نشده (کیلوگرم)],1):Main[[#This Row],[بدهی تسویه نشده (کیلوگرم)]])</f>
        <v>0</v>
      </c>
      <c r="AB1605" s="6">
        <f ca="1">IF(Main[[#This Row],[مانده در خط تسویه نشده (کیلوگرم)]]&lt;&gt;0,Main[[#This Row],[تعداد کل روزهای بدهکار (روز)]],0)</f>
        <v>0</v>
      </c>
      <c r="AC1605" s="6">
        <f ca="1">Main[[#This Row],[تعداد روزهای بدهکار  تسویه نشده (روز)]]*Main[[#This Row],[مانده در خط تسویه نشده (کیلوگرم)]]</f>
        <v>0</v>
      </c>
      <c r="AD1605" s="6">
        <f ca="1">SUBTOTAL(9,INDEX(Main[بدهی سررسید شده (کیلوگرم)],1):Main[[#This Row],[بدهی سررسید شده (کیلوگرم)]])</f>
        <v>0</v>
      </c>
      <c r="AE1605" s="6">
        <f ca="1">IF(Main[[#This Row],[مانده در خط سررسید شده (کیلوگرم)]]&lt;&gt;0,Main[[#This Row],[تعداد کل روزهای بدهکار (روز)]],0)</f>
        <v>0</v>
      </c>
      <c r="AF1605" s="6">
        <f ca="1">Main[[#This Row],[تعداد روزهای بدهکار سررسید شده (روز)]]*Main[[#This Row],[مانده در خط سررسید شده (کیلوگرم)]]</f>
        <v>0</v>
      </c>
    </row>
    <row r="1606" spans="1:32" hidden="1" x14ac:dyDescent="0.35">
      <c r="A1606" s="5">
        <f>ROW()-ROW(INDEX(Main[ردیف],1))+1</f>
        <v>1604</v>
      </c>
      <c r="B1606" s="31">
        <f>SUBTOTAL(2,INDEX(Main[ردیف],1):Main[[#This Row],[ردیف]])</f>
        <v>144</v>
      </c>
      <c r="C1606" s="32" t="s">
        <v>700</v>
      </c>
      <c r="D1606" s="32" t="str">
        <f>_xlfn.CONCAT("14",Main[[#This Row],[تاريخ]])</f>
        <v>1400/06/24</v>
      </c>
      <c r="E1606" s="33">
        <v>44454</v>
      </c>
      <c r="F1606" s="32">
        <v>30004</v>
      </c>
      <c r="G1606" s="5" t="str">
        <f>INDEX(customer[عنوان],MATCH(Main[[#This Row],[کد ردیابی]],customer[کد],0))</f>
        <v>تولیدی صنعتی صفاشیر پارس</v>
      </c>
      <c r="H1606">
        <v>-4609</v>
      </c>
      <c r="I1606" s="6">
        <f ca="1">-Main[[#This Row],[بدهی تسویه شده (کیلوگرم)]]+Main[[#This Row],[بستانکار (کیلوگرم)]]</f>
        <v>-4609</v>
      </c>
      <c r="J1606" s="6">
        <f>IF(Main[[#This Row],[مقدار (کیلوگرم)]]&gt;0,Main[[#This Row],[مقدار (کیلوگرم)]],0)</f>
        <v>0</v>
      </c>
      <c r="K1606" s="6">
        <f>-IF(Main[[#This Row],[مقدار (کیلوگرم)]]&lt;0,Main[[#This Row],[مقدار (کیلوگرم)]],0)</f>
        <v>4609</v>
      </c>
      <c r="L16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6" s="7">
        <f>-IF(AND(Main[[#This Row],[مقدار (کیلوگرم)]]&lt;0,Main[[#This Row],[تاريخ میلادی]]&gt;44276),Main[[#This Row],[مقدار (کیلوگرم)]],0)</f>
        <v>4609</v>
      </c>
      <c r="N1606" s="6">
        <f ca="1">Main[[#This Row],[بدهکار (کیلوگرم)]]-Main[[#This Row],[بدهی تسویه نشده (کیلوگرم)]]</f>
        <v>4609</v>
      </c>
      <c r="O1606" s="6">
        <f ca="1">Main[[#This Row],[تفکیک]]</f>
        <v>0</v>
      </c>
      <c r="P1606" s="6">
        <f ca="1">IF(Main[[#This Row],[تاخیر از سررسید]]&gt;0,Main[[#This Row],[بدهی تسویه نشده (کیلوگرم)]],0)</f>
        <v>0</v>
      </c>
      <c r="Q1606" s="6">
        <f ca="1">IF(Main[[#This Row],[بدهی تسویه نشده (کیلوگرم)]]&gt;0,'گزارش فردی'!$B$7-Main[[#This Row],[تاريخ میلادی]],0)</f>
        <v>0</v>
      </c>
      <c r="R1606" s="6">
        <f ca="1">IF(Main[[#This Row],[بدهی تسویه نشده (کیلوگرم)]]&gt;0,'گزارش فردی'!$B$7-Main[[#This Row],[تاريخ میلادی]]-'گزارش فردی'!$B$8,0)</f>
        <v>0</v>
      </c>
      <c r="S1606" s="6">
        <f ca="1">Main[[#This Row],[روز از ارسال سفارش]]*Main[[#This Row],[بدهی تسویه نشده (کیلوگرم)]]</f>
        <v>0</v>
      </c>
      <c r="T1606" s="6">
        <f ca="1">Main[[#This Row],[بدهی سررسید شده (کیلوگرم)]]*Main[[#This Row],[روز از ارسال سفارش]]</f>
        <v>0</v>
      </c>
      <c r="U1606" s="6">
        <f>-SUBTOTAL(9,INDEX(Main[مقدار (کیلوگرم)],1):Main[[#This Row],[مقدار (کیلوگرم)]])</f>
        <v>36183</v>
      </c>
      <c r="V16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6" s="6">
        <f>Main[[#This Row],[تعداد کل روزهای بدهکار (روز)]]*Main[[#This Row],[مانده در خط کل (کیلوگرم)]]</f>
        <v>36183</v>
      </c>
      <c r="X1606" s="6">
        <f ca="1">-SUBTOTAL(9,INDEX(Main[مقدار تسویه شده (کیلوگرم)],1):Main[[#This Row],[مقدار تسویه شده (کیلوگرم)]])</f>
        <v>36183</v>
      </c>
      <c r="Y1606" s="6">
        <f ca="1">IF(Main[[#This Row],[مانده در خط تسویه شده (کیلوگرم)]]&lt;&gt;0,Main[[#This Row],[تعداد کل روزهای بدهکار (روز)]],0)</f>
        <v>1</v>
      </c>
      <c r="Z1606" s="6">
        <f ca="1">Main[[#This Row],[تعداد روزهای بدهکار تسویه شده (روز)]]*Main[[#This Row],[مانده در خط تسویه شده (کیلوگرم)]]</f>
        <v>36183</v>
      </c>
      <c r="AA1606" s="6">
        <f ca="1">SUBTOTAL(9,INDEX(Main[بدهی تسویه نشده (کیلوگرم)],1):Main[[#This Row],[بدهی تسویه نشده (کیلوگرم)]])</f>
        <v>0</v>
      </c>
      <c r="AB1606" s="6">
        <f ca="1">IF(Main[[#This Row],[مانده در خط تسویه نشده (کیلوگرم)]]&lt;&gt;0,Main[[#This Row],[تعداد کل روزهای بدهکار (روز)]],0)</f>
        <v>0</v>
      </c>
      <c r="AC1606" s="6">
        <f ca="1">Main[[#This Row],[تعداد روزهای بدهکار  تسویه نشده (روز)]]*Main[[#This Row],[مانده در خط تسویه نشده (کیلوگرم)]]</f>
        <v>0</v>
      </c>
      <c r="AD1606" s="6">
        <f ca="1">SUBTOTAL(9,INDEX(Main[بدهی سررسید شده (کیلوگرم)],1):Main[[#This Row],[بدهی سررسید شده (کیلوگرم)]])</f>
        <v>0</v>
      </c>
      <c r="AE1606" s="6">
        <f ca="1">IF(Main[[#This Row],[مانده در خط سررسید شده (کیلوگرم)]]&lt;&gt;0,Main[[#This Row],[تعداد کل روزهای بدهکار (روز)]],0)</f>
        <v>0</v>
      </c>
      <c r="AF1606" s="6">
        <f ca="1">Main[[#This Row],[تعداد روزهای بدهکار سررسید شده (روز)]]*Main[[#This Row],[مانده در خط سررسید شده (کیلوگرم)]]</f>
        <v>0</v>
      </c>
    </row>
    <row r="1607" spans="1:32" hidden="1" x14ac:dyDescent="0.35">
      <c r="A1607" s="5">
        <f>ROW()-ROW(INDEX(Main[ردیف],1))+1</f>
        <v>1605</v>
      </c>
      <c r="B1607" s="31">
        <f>SUBTOTAL(2,INDEX(Main[ردیف],1):Main[[#This Row],[ردیف]])</f>
        <v>144</v>
      </c>
      <c r="C1607" s="32" t="s">
        <v>700</v>
      </c>
      <c r="D1607" s="32" t="str">
        <f>_xlfn.CONCAT("14",Main[[#This Row],[تاريخ]])</f>
        <v>1400/06/24</v>
      </c>
      <c r="E1607" s="33">
        <v>44454</v>
      </c>
      <c r="F1607" s="32">
        <v>30022</v>
      </c>
      <c r="G1607" s="5" t="str">
        <f>INDEX(customer[عنوان],MATCH(Main[[#This Row],[کد ردیابی]],customer[کد],0))</f>
        <v xml:space="preserve">کلار پویا </v>
      </c>
      <c r="H1607">
        <v>2818</v>
      </c>
      <c r="I1607" s="6">
        <f ca="1">-Main[[#This Row],[بدهی تسویه شده (کیلوگرم)]]+Main[[#This Row],[بستانکار (کیلوگرم)]]</f>
        <v>2818</v>
      </c>
      <c r="J1607" s="6">
        <f>IF(Main[[#This Row],[مقدار (کیلوگرم)]]&gt;0,Main[[#This Row],[مقدار (کیلوگرم)]],0)</f>
        <v>2818</v>
      </c>
      <c r="K1607" s="6">
        <f>-IF(Main[[#This Row],[مقدار (کیلوگرم)]]&lt;0,Main[[#This Row],[مقدار (کیلوگرم)]],0)</f>
        <v>0</v>
      </c>
      <c r="L16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7" s="7">
        <f>-IF(AND(Main[[#This Row],[مقدار (کیلوگرم)]]&lt;0,Main[[#This Row],[تاريخ میلادی]]&gt;44276),Main[[#This Row],[مقدار (کیلوگرم)]],0)</f>
        <v>0</v>
      </c>
      <c r="N1607" s="6">
        <f ca="1">Main[[#This Row],[بدهکار (کیلوگرم)]]-Main[[#This Row],[بدهی تسویه نشده (کیلوگرم)]]</f>
        <v>0</v>
      </c>
      <c r="O1607" s="6">
        <f ca="1">Main[[#This Row],[تفکیک]]</f>
        <v>0</v>
      </c>
      <c r="P1607" s="6">
        <f ca="1">IF(Main[[#This Row],[تاخیر از سررسید]]&gt;0,Main[[#This Row],[بدهی تسویه نشده (کیلوگرم)]],0)</f>
        <v>0</v>
      </c>
      <c r="Q1607" s="6">
        <f ca="1">IF(Main[[#This Row],[بدهی تسویه نشده (کیلوگرم)]]&gt;0,'گزارش فردی'!$B$7-Main[[#This Row],[تاريخ میلادی]],0)</f>
        <v>0</v>
      </c>
      <c r="R1607" s="6">
        <f ca="1">IF(Main[[#This Row],[بدهی تسویه نشده (کیلوگرم)]]&gt;0,'گزارش فردی'!$B$7-Main[[#This Row],[تاريخ میلادی]]-'گزارش فردی'!$B$8,0)</f>
        <v>0</v>
      </c>
      <c r="S1607" s="6">
        <f ca="1">Main[[#This Row],[روز از ارسال سفارش]]*Main[[#This Row],[بدهی تسویه نشده (کیلوگرم)]]</f>
        <v>0</v>
      </c>
      <c r="T1607" s="6">
        <f ca="1">Main[[#This Row],[بدهی سررسید شده (کیلوگرم)]]*Main[[#This Row],[روز از ارسال سفارش]]</f>
        <v>0</v>
      </c>
      <c r="U1607" s="6">
        <f>-SUBTOTAL(9,INDEX(Main[مقدار (کیلوگرم)],1):Main[[#This Row],[مقدار (کیلوگرم)]])</f>
        <v>36183</v>
      </c>
      <c r="V16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7" s="6">
        <f>Main[[#This Row],[تعداد کل روزهای بدهکار (روز)]]*Main[[#This Row],[مانده در خط کل (کیلوگرم)]]</f>
        <v>36183</v>
      </c>
      <c r="X1607" s="6">
        <f ca="1">-SUBTOTAL(9,INDEX(Main[مقدار تسویه شده (کیلوگرم)],1):Main[[#This Row],[مقدار تسویه شده (کیلوگرم)]])</f>
        <v>36183</v>
      </c>
      <c r="Y1607" s="6">
        <f ca="1">IF(Main[[#This Row],[مانده در خط تسویه شده (کیلوگرم)]]&lt;&gt;0,Main[[#This Row],[تعداد کل روزهای بدهکار (روز)]],0)</f>
        <v>1</v>
      </c>
      <c r="Z1607" s="6">
        <f ca="1">Main[[#This Row],[تعداد روزهای بدهکار تسویه شده (روز)]]*Main[[#This Row],[مانده در خط تسویه شده (کیلوگرم)]]</f>
        <v>36183</v>
      </c>
      <c r="AA1607" s="6">
        <f ca="1">SUBTOTAL(9,INDEX(Main[بدهی تسویه نشده (کیلوگرم)],1):Main[[#This Row],[بدهی تسویه نشده (کیلوگرم)]])</f>
        <v>0</v>
      </c>
      <c r="AB1607" s="6">
        <f ca="1">IF(Main[[#This Row],[مانده در خط تسویه نشده (کیلوگرم)]]&lt;&gt;0,Main[[#This Row],[تعداد کل روزهای بدهکار (روز)]],0)</f>
        <v>0</v>
      </c>
      <c r="AC1607" s="6">
        <f ca="1">Main[[#This Row],[تعداد روزهای بدهکار  تسویه نشده (روز)]]*Main[[#This Row],[مانده در خط تسویه نشده (کیلوگرم)]]</f>
        <v>0</v>
      </c>
      <c r="AD1607" s="6">
        <f ca="1">SUBTOTAL(9,INDEX(Main[بدهی سررسید شده (کیلوگرم)],1):Main[[#This Row],[بدهی سررسید شده (کیلوگرم)]])</f>
        <v>0</v>
      </c>
      <c r="AE1607" s="6">
        <f ca="1">IF(Main[[#This Row],[مانده در خط سررسید شده (کیلوگرم)]]&lt;&gt;0,Main[[#This Row],[تعداد کل روزهای بدهکار (روز)]],0)</f>
        <v>0</v>
      </c>
      <c r="AF1607" s="6">
        <f ca="1">Main[[#This Row],[تعداد روزهای بدهکار سررسید شده (روز)]]*Main[[#This Row],[مانده در خط سررسید شده (کیلوگرم)]]</f>
        <v>0</v>
      </c>
    </row>
    <row r="1608" spans="1:32" hidden="1" x14ac:dyDescent="0.35">
      <c r="A1608" s="5">
        <f>ROW()-ROW(INDEX(Main[ردیف],1))+1</f>
        <v>1606</v>
      </c>
      <c r="B1608" s="31">
        <f>SUBTOTAL(2,INDEX(Main[ردیف],1):Main[[#This Row],[ردیف]])</f>
        <v>144</v>
      </c>
      <c r="C1608" s="32" t="s">
        <v>700</v>
      </c>
      <c r="D1608" s="32" t="str">
        <f>_xlfn.CONCAT("14",Main[[#This Row],[تاريخ]])</f>
        <v>1400/06/24</v>
      </c>
      <c r="E1608" s="33">
        <v>44454</v>
      </c>
      <c r="F1608" s="32">
        <v>10119</v>
      </c>
      <c r="G1608" s="5" t="str">
        <f>INDEX(customer[عنوان],MATCH(Main[[#This Row],[کد ردیابی]],customer[کد],0))</f>
        <v>سیف الله اکبری</v>
      </c>
      <c r="H1608">
        <v>-35</v>
      </c>
      <c r="I1608" s="6">
        <f ca="1">-Main[[#This Row],[بدهی تسویه شده (کیلوگرم)]]+Main[[#This Row],[بستانکار (کیلوگرم)]]</f>
        <v>-35</v>
      </c>
      <c r="J1608" s="6">
        <f>IF(Main[[#This Row],[مقدار (کیلوگرم)]]&gt;0,Main[[#This Row],[مقدار (کیلوگرم)]],0)</f>
        <v>0</v>
      </c>
      <c r="K1608" s="6">
        <f>-IF(Main[[#This Row],[مقدار (کیلوگرم)]]&lt;0,Main[[#This Row],[مقدار (کیلوگرم)]],0)</f>
        <v>35</v>
      </c>
      <c r="L16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8" s="7">
        <f>-IF(AND(Main[[#This Row],[مقدار (کیلوگرم)]]&lt;0,Main[[#This Row],[تاريخ میلادی]]&gt;44276),Main[[#This Row],[مقدار (کیلوگرم)]],0)</f>
        <v>35</v>
      </c>
      <c r="N1608" s="6">
        <f ca="1">Main[[#This Row],[بدهکار (کیلوگرم)]]-Main[[#This Row],[بدهی تسویه نشده (کیلوگرم)]]</f>
        <v>35</v>
      </c>
      <c r="O1608" s="6">
        <f ca="1">Main[[#This Row],[تفکیک]]</f>
        <v>0</v>
      </c>
      <c r="P1608" s="6">
        <f ca="1">IF(Main[[#This Row],[تاخیر از سررسید]]&gt;0,Main[[#This Row],[بدهی تسویه نشده (کیلوگرم)]],0)</f>
        <v>0</v>
      </c>
      <c r="Q1608" s="6">
        <f ca="1">IF(Main[[#This Row],[بدهی تسویه نشده (کیلوگرم)]]&gt;0,'گزارش فردی'!$B$7-Main[[#This Row],[تاريخ میلادی]],0)</f>
        <v>0</v>
      </c>
      <c r="R1608" s="6">
        <f ca="1">IF(Main[[#This Row],[بدهی تسویه نشده (کیلوگرم)]]&gt;0,'گزارش فردی'!$B$7-Main[[#This Row],[تاريخ میلادی]]-'گزارش فردی'!$B$8,0)</f>
        <v>0</v>
      </c>
      <c r="S1608" s="6">
        <f ca="1">Main[[#This Row],[روز از ارسال سفارش]]*Main[[#This Row],[بدهی تسویه نشده (کیلوگرم)]]</f>
        <v>0</v>
      </c>
      <c r="T1608" s="6">
        <f ca="1">Main[[#This Row],[بدهی سررسید شده (کیلوگرم)]]*Main[[#This Row],[روز از ارسال سفارش]]</f>
        <v>0</v>
      </c>
      <c r="U1608" s="6">
        <f>-SUBTOTAL(9,INDEX(Main[مقدار (کیلوگرم)],1):Main[[#This Row],[مقدار (کیلوگرم)]])</f>
        <v>36183</v>
      </c>
      <c r="V16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8" s="6">
        <f>Main[[#This Row],[تعداد کل روزهای بدهکار (روز)]]*Main[[#This Row],[مانده در خط کل (کیلوگرم)]]</f>
        <v>36183</v>
      </c>
      <c r="X1608" s="6">
        <f ca="1">-SUBTOTAL(9,INDEX(Main[مقدار تسویه شده (کیلوگرم)],1):Main[[#This Row],[مقدار تسویه شده (کیلوگرم)]])</f>
        <v>36183</v>
      </c>
      <c r="Y1608" s="6">
        <f ca="1">IF(Main[[#This Row],[مانده در خط تسویه شده (کیلوگرم)]]&lt;&gt;0,Main[[#This Row],[تعداد کل روزهای بدهکار (روز)]],0)</f>
        <v>1</v>
      </c>
      <c r="Z1608" s="6">
        <f ca="1">Main[[#This Row],[تعداد روزهای بدهکار تسویه شده (روز)]]*Main[[#This Row],[مانده در خط تسویه شده (کیلوگرم)]]</f>
        <v>36183</v>
      </c>
      <c r="AA1608" s="6">
        <f ca="1">SUBTOTAL(9,INDEX(Main[بدهی تسویه نشده (کیلوگرم)],1):Main[[#This Row],[بدهی تسویه نشده (کیلوگرم)]])</f>
        <v>0</v>
      </c>
      <c r="AB1608" s="6">
        <f ca="1">IF(Main[[#This Row],[مانده در خط تسویه نشده (کیلوگرم)]]&lt;&gt;0,Main[[#This Row],[تعداد کل روزهای بدهکار (روز)]],0)</f>
        <v>0</v>
      </c>
      <c r="AC1608" s="6">
        <f ca="1">Main[[#This Row],[تعداد روزهای بدهکار  تسویه نشده (روز)]]*Main[[#This Row],[مانده در خط تسویه نشده (کیلوگرم)]]</f>
        <v>0</v>
      </c>
      <c r="AD1608" s="6">
        <f ca="1">SUBTOTAL(9,INDEX(Main[بدهی سررسید شده (کیلوگرم)],1):Main[[#This Row],[بدهی سررسید شده (کیلوگرم)]])</f>
        <v>0</v>
      </c>
      <c r="AE1608" s="6">
        <f ca="1">IF(Main[[#This Row],[مانده در خط سررسید شده (کیلوگرم)]]&lt;&gt;0,Main[[#This Row],[تعداد کل روزهای بدهکار (روز)]],0)</f>
        <v>0</v>
      </c>
      <c r="AF1608" s="6">
        <f ca="1">Main[[#This Row],[تعداد روزهای بدهکار سررسید شده (روز)]]*Main[[#This Row],[مانده در خط سررسید شده (کیلوگرم)]]</f>
        <v>0</v>
      </c>
    </row>
    <row r="1609" spans="1:32" hidden="1" x14ac:dyDescent="0.35">
      <c r="A1609" s="5">
        <f>ROW()-ROW(INDEX(Main[ردیف],1))+1</f>
        <v>1607</v>
      </c>
      <c r="B1609" s="31">
        <f>SUBTOTAL(2,INDEX(Main[ردیف],1):Main[[#This Row],[ردیف]])</f>
        <v>144</v>
      </c>
      <c r="C1609" s="32" t="s">
        <v>700</v>
      </c>
      <c r="D1609" s="32" t="str">
        <f>_xlfn.CONCAT("14",Main[[#This Row],[تاريخ]])</f>
        <v>1400/06/24</v>
      </c>
      <c r="E1609" s="33">
        <v>44454</v>
      </c>
      <c r="F1609" s="32">
        <v>10026</v>
      </c>
      <c r="G1609" s="5" t="str">
        <f>INDEX(customer[عنوان],MATCH(Main[[#This Row],[کد ردیابی]],customer[کد],0))</f>
        <v xml:space="preserve">محسن فیاض بخش </v>
      </c>
      <c r="H1609">
        <v>2855</v>
      </c>
      <c r="I1609" s="6">
        <f ca="1">-Main[[#This Row],[بدهی تسویه شده (کیلوگرم)]]+Main[[#This Row],[بستانکار (کیلوگرم)]]</f>
        <v>2855</v>
      </c>
      <c r="J1609" s="6">
        <f>IF(Main[[#This Row],[مقدار (کیلوگرم)]]&gt;0,Main[[#This Row],[مقدار (کیلوگرم)]],0)</f>
        <v>2855</v>
      </c>
      <c r="K1609" s="6">
        <f>-IF(Main[[#This Row],[مقدار (کیلوگرم)]]&lt;0,Main[[#This Row],[مقدار (کیلوگرم)]],0)</f>
        <v>0</v>
      </c>
      <c r="L16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9" s="7">
        <f>-IF(AND(Main[[#This Row],[مقدار (کیلوگرم)]]&lt;0,Main[[#This Row],[تاريخ میلادی]]&gt;44276),Main[[#This Row],[مقدار (کیلوگرم)]],0)</f>
        <v>0</v>
      </c>
      <c r="N1609" s="6">
        <f ca="1">Main[[#This Row],[بدهکار (کیلوگرم)]]-Main[[#This Row],[بدهی تسویه نشده (کیلوگرم)]]</f>
        <v>0</v>
      </c>
      <c r="O1609" s="6">
        <f ca="1">Main[[#This Row],[تفکیک]]</f>
        <v>0</v>
      </c>
      <c r="P1609" s="6">
        <f ca="1">IF(Main[[#This Row],[تاخیر از سررسید]]&gt;0,Main[[#This Row],[بدهی تسویه نشده (کیلوگرم)]],0)</f>
        <v>0</v>
      </c>
      <c r="Q1609" s="6">
        <f ca="1">IF(Main[[#This Row],[بدهی تسویه نشده (کیلوگرم)]]&gt;0,'گزارش فردی'!$B$7-Main[[#This Row],[تاريخ میلادی]],0)</f>
        <v>0</v>
      </c>
      <c r="R1609" s="6">
        <f ca="1">IF(Main[[#This Row],[بدهی تسویه نشده (کیلوگرم)]]&gt;0,'گزارش فردی'!$B$7-Main[[#This Row],[تاريخ میلادی]]-'گزارش فردی'!$B$8,0)</f>
        <v>0</v>
      </c>
      <c r="S1609" s="6">
        <f ca="1">Main[[#This Row],[روز از ارسال سفارش]]*Main[[#This Row],[بدهی تسویه نشده (کیلوگرم)]]</f>
        <v>0</v>
      </c>
      <c r="T1609" s="6">
        <f ca="1">Main[[#This Row],[بدهی سررسید شده (کیلوگرم)]]*Main[[#This Row],[روز از ارسال سفارش]]</f>
        <v>0</v>
      </c>
      <c r="U1609" s="6">
        <f>-SUBTOTAL(9,INDEX(Main[مقدار (کیلوگرم)],1):Main[[#This Row],[مقدار (کیلوگرم)]])</f>
        <v>36183</v>
      </c>
      <c r="V16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9" s="6">
        <f>Main[[#This Row],[تعداد کل روزهای بدهکار (روز)]]*Main[[#This Row],[مانده در خط کل (کیلوگرم)]]</f>
        <v>36183</v>
      </c>
      <c r="X1609" s="6">
        <f ca="1">-SUBTOTAL(9,INDEX(Main[مقدار تسویه شده (کیلوگرم)],1):Main[[#This Row],[مقدار تسویه شده (کیلوگرم)]])</f>
        <v>36183</v>
      </c>
      <c r="Y1609" s="6">
        <f ca="1">IF(Main[[#This Row],[مانده در خط تسویه شده (کیلوگرم)]]&lt;&gt;0,Main[[#This Row],[تعداد کل روزهای بدهکار (روز)]],0)</f>
        <v>1</v>
      </c>
      <c r="Z1609" s="6">
        <f ca="1">Main[[#This Row],[تعداد روزهای بدهکار تسویه شده (روز)]]*Main[[#This Row],[مانده در خط تسویه شده (کیلوگرم)]]</f>
        <v>36183</v>
      </c>
      <c r="AA1609" s="6">
        <f ca="1">SUBTOTAL(9,INDEX(Main[بدهی تسویه نشده (کیلوگرم)],1):Main[[#This Row],[بدهی تسویه نشده (کیلوگرم)]])</f>
        <v>0</v>
      </c>
      <c r="AB1609" s="6">
        <f ca="1">IF(Main[[#This Row],[مانده در خط تسویه نشده (کیلوگرم)]]&lt;&gt;0,Main[[#This Row],[تعداد کل روزهای بدهکار (روز)]],0)</f>
        <v>0</v>
      </c>
      <c r="AC1609" s="6">
        <f ca="1">Main[[#This Row],[تعداد روزهای بدهکار  تسویه نشده (روز)]]*Main[[#This Row],[مانده در خط تسویه نشده (کیلوگرم)]]</f>
        <v>0</v>
      </c>
      <c r="AD1609" s="6">
        <f ca="1">SUBTOTAL(9,INDEX(Main[بدهی سررسید شده (کیلوگرم)],1):Main[[#This Row],[بدهی سررسید شده (کیلوگرم)]])</f>
        <v>0</v>
      </c>
      <c r="AE1609" s="6">
        <f ca="1">IF(Main[[#This Row],[مانده در خط سررسید شده (کیلوگرم)]]&lt;&gt;0,Main[[#This Row],[تعداد کل روزهای بدهکار (روز)]],0)</f>
        <v>0</v>
      </c>
      <c r="AF1609" s="6">
        <f ca="1">Main[[#This Row],[تعداد روزهای بدهکار سررسید شده (روز)]]*Main[[#This Row],[مانده در خط سررسید شده (کیلوگرم)]]</f>
        <v>0</v>
      </c>
    </row>
    <row r="1610" spans="1:32" hidden="1" x14ac:dyDescent="0.35">
      <c r="A1610" s="5">
        <f>ROW()-ROW(INDEX(Main[ردیف],1))+1</f>
        <v>1608</v>
      </c>
      <c r="B1610" s="31">
        <f>SUBTOTAL(2,INDEX(Main[ردیف],1):Main[[#This Row],[ردیف]])</f>
        <v>144</v>
      </c>
      <c r="C1610" s="32" t="s">
        <v>700</v>
      </c>
      <c r="D1610" s="32" t="str">
        <f>_xlfn.CONCAT("14",Main[[#This Row],[تاريخ]])</f>
        <v>1400/06/24</v>
      </c>
      <c r="E1610" s="33">
        <v>44454</v>
      </c>
      <c r="F1610" s="32">
        <v>10126</v>
      </c>
      <c r="G1610" s="5" t="str">
        <f>INDEX(customer[عنوان],MATCH(Main[[#This Row],[کد ردیابی]],customer[کد],0))</f>
        <v xml:space="preserve">کریم اسمعیلی </v>
      </c>
      <c r="H1610">
        <v>-1996</v>
      </c>
      <c r="I1610" s="6">
        <f ca="1">-Main[[#This Row],[بدهی تسویه شده (کیلوگرم)]]+Main[[#This Row],[بستانکار (کیلوگرم)]]</f>
        <v>-1996</v>
      </c>
      <c r="J1610" s="6">
        <f>IF(Main[[#This Row],[مقدار (کیلوگرم)]]&gt;0,Main[[#This Row],[مقدار (کیلوگرم)]],0)</f>
        <v>0</v>
      </c>
      <c r="K1610" s="6">
        <f>-IF(Main[[#This Row],[مقدار (کیلوگرم)]]&lt;0,Main[[#This Row],[مقدار (کیلوگرم)]],0)</f>
        <v>1996</v>
      </c>
      <c r="L16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0" s="7">
        <f>-IF(AND(Main[[#This Row],[مقدار (کیلوگرم)]]&lt;0,Main[[#This Row],[تاريخ میلادی]]&gt;44276),Main[[#This Row],[مقدار (کیلوگرم)]],0)</f>
        <v>1996</v>
      </c>
      <c r="N1610" s="6">
        <f ca="1">Main[[#This Row],[بدهکار (کیلوگرم)]]-Main[[#This Row],[بدهی تسویه نشده (کیلوگرم)]]</f>
        <v>1996</v>
      </c>
      <c r="O1610" s="6">
        <f ca="1">Main[[#This Row],[تفکیک]]</f>
        <v>0</v>
      </c>
      <c r="P1610" s="6">
        <f ca="1">IF(Main[[#This Row],[تاخیر از سررسید]]&gt;0,Main[[#This Row],[بدهی تسویه نشده (کیلوگرم)]],0)</f>
        <v>0</v>
      </c>
      <c r="Q1610" s="6">
        <f ca="1">IF(Main[[#This Row],[بدهی تسویه نشده (کیلوگرم)]]&gt;0,'گزارش فردی'!$B$7-Main[[#This Row],[تاريخ میلادی]],0)</f>
        <v>0</v>
      </c>
      <c r="R1610" s="6">
        <f ca="1">IF(Main[[#This Row],[بدهی تسویه نشده (کیلوگرم)]]&gt;0,'گزارش فردی'!$B$7-Main[[#This Row],[تاريخ میلادی]]-'گزارش فردی'!$B$8,0)</f>
        <v>0</v>
      </c>
      <c r="S1610" s="6">
        <f ca="1">Main[[#This Row],[روز از ارسال سفارش]]*Main[[#This Row],[بدهی تسویه نشده (کیلوگرم)]]</f>
        <v>0</v>
      </c>
      <c r="T1610" s="6">
        <f ca="1">Main[[#This Row],[بدهی سررسید شده (کیلوگرم)]]*Main[[#This Row],[روز از ارسال سفارش]]</f>
        <v>0</v>
      </c>
      <c r="U1610" s="6">
        <f>-SUBTOTAL(9,INDEX(Main[مقدار (کیلوگرم)],1):Main[[#This Row],[مقدار (کیلوگرم)]])</f>
        <v>36183</v>
      </c>
      <c r="V16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10" s="6">
        <f>Main[[#This Row],[تعداد کل روزهای بدهکار (روز)]]*Main[[#This Row],[مانده در خط کل (کیلوگرم)]]</f>
        <v>36183</v>
      </c>
      <c r="X1610" s="6">
        <f ca="1">-SUBTOTAL(9,INDEX(Main[مقدار تسویه شده (کیلوگرم)],1):Main[[#This Row],[مقدار تسویه شده (کیلوگرم)]])</f>
        <v>36183</v>
      </c>
      <c r="Y1610" s="6">
        <f ca="1">IF(Main[[#This Row],[مانده در خط تسویه شده (کیلوگرم)]]&lt;&gt;0,Main[[#This Row],[تعداد کل روزهای بدهکار (روز)]],0)</f>
        <v>1</v>
      </c>
      <c r="Z1610" s="6">
        <f ca="1">Main[[#This Row],[تعداد روزهای بدهکار تسویه شده (روز)]]*Main[[#This Row],[مانده در خط تسویه شده (کیلوگرم)]]</f>
        <v>36183</v>
      </c>
      <c r="AA1610" s="6">
        <f ca="1">SUBTOTAL(9,INDEX(Main[بدهی تسویه نشده (کیلوگرم)],1):Main[[#This Row],[بدهی تسویه نشده (کیلوگرم)]])</f>
        <v>0</v>
      </c>
      <c r="AB1610" s="6">
        <f ca="1">IF(Main[[#This Row],[مانده در خط تسویه نشده (کیلوگرم)]]&lt;&gt;0,Main[[#This Row],[تعداد کل روزهای بدهکار (روز)]],0)</f>
        <v>0</v>
      </c>
      <c r="AC1610" s="6">
        <f ca="1">Main[[#This Row],[تعداد روزهای بدهکار  تسویه نشده (روز)]]*Main[[#This Row],[مانده در خط تسویه نشده (کیلوگرم)]]</f>
        <v>0</v>
      </c>
      <c r="AD1610" s="6">
        <f ca="1">SUBTOTAL(9,INDEX(Main[بدهی سررسید شده (کیلوگرم)],1):Main[[#This Row],[بدهی سررسید شده (کیلوگرم)]])</f>
        <v>0</v>
      </c>
      <c r="AE1610" s="6">
        <f ca="1">IF(Main[[#This Row],[مانده در خط سررسید شده (کیلوگرم)]]&lt;&gt;0,Main[[#This Row],[تعداد کل روزهای بدهکار (روز)]],0)</f>
        <v>0</v>
      </c>
      <c r="AF1610" s="6">
        <f ca="1">Main[[#This Row],[تعداد روزهای بدهکار سررسید شده (روز)]]*Main[[#This Row],[مانده در خط سررسید شده (کیلوگرم)]]</f>
        <v>0</v>
      </c>
    </row>
    <row r="1611" spans="1:32" hidden="1" x14ac:dyDescent="0.35">
      <c r="A1611" s="5">
        <f>ROW()-ROW(INDEX(Main[ردیف],1))+1</f>
        <v>1609</v>
      </c>
      <c r="B1611" s="31">
        <f>SUBTOTAL(2,INDEX(Main[ردیف],1):Main[[#This Row],[ردیف]])</f>
        <v>144</v>
      </c>
      <c r="C1611" s="32" t="s">
        <v>700</v>
      </c>
      <c r="D1611" s="32" t="str">
        <f>_xlfn.CONCAT("14",Main[[#This Row],[تاريخ]])</f>
        <v>1400/06/24</v>
      </c>
      <c r="E1611" s="33">
        <v>44454</v>
      </c>
      <c r="F1611" s="32">
        <v>10126</v>
      </c>
      <c r="G1611" s="5" t="str">
        <f>INDEX(customer[عنوان],MATCH(Main[[#This Row],[کد ردیابی]],customer[کد],0))</f>
        <v xml:space="preserve">کریم اسمعیلی </v>
      </c>
      <c r="H1611">
        <v>1105</v>
      </c>
      <c r="I1611" s="6">
        <f ca="1">-Main[[#This Row],[بدهی تسویه شده (کیلوگرم)]]+Main[[#This Row],[بستانکار (کیلوگرم)]]</f>
        <v>1105</v>
      </c>
      <c r="J1611" s="6">
        <f>IF(Main[[#This Row],[مقدار (کیلوگرم)]]&gt;0,Main[[#This Row],[مقدار (کیلوگرم)]],0)</f>
        <v>1105</v>
      </c>
      <c r="K1611" s="6">
        <f>-IF(Main[[#This Row],[مقدار (کیلوگرم)]]&lt;0,Main[[#This Row],[مقدار (کیلوگرم)]],0)</f>
        <v>0</v>
      </c>
      <c r="L16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1" s="7">
        <f>-IF(AND(Main[[#This Row],[مقدار (کیلوگرم)]]&lt;0,Main[[#This Row],[تاريخ میلادی]]&gt;44276),Main[[#This Row],[مقدار (کیلوگرم)]],0)</f>
        <v>0</v>
      </c>
      <c r="N1611" s="6">
        <f ca="1">Main[[#This Row],[بدهکار (کیلوگرم)]]-Main[[#This Row],[بدهی تسویه نشده (کیلوگرم)]]</f>
        <v>0</v>
      </c>
      <c r="O1611" s="6">
        <f ca="1">Main[[#This Row],[تفکیک]]</f>
        <v>0</v>
      </c>
      <c r="P1611" s="6">
        <f ca="1">IF(Main[[#This Row],[تاخیر از سررسید]]&gt;0,Main[[#This Row],[بدهی تسویه نشده (کیلوگرم)]],0)</f>
        <v>0</v>
      </c>
      <c r="Q1611" s="6">
        <f ca="1">IF(Main[[#This Row],[بدهی تسویه نشده (کیلوگرم)]]&gt;0,'گزارش فردی'!$B$7-Main[[#This Row],[تاريخ میلادی]],0)</f>
        <v>0</v>
      </c>
      <c r="R1611" s="6">
        <f ca="1">IF(Main[[#This Row],[بدهی تسویه نشده (کیلوگرم)]]&gt;0,'گزارش فردی'!$B$7-Main[[#This Row],[تاريخ میلادی]]-'گزارش فردی'!$B$8,0)</f>
        <v>0</v>
      </c>
      <c r="S1611" s="6">
        <f ca="1">Main[[#This Row],[روز از ارسال سفارش]]*Main[[#This Row],[بدهی تسویه نشده (کیلوگرم)]]</f>
        <v>0</v>
      </c>
      <c r="T1611" s="6">
        <f ca="1">Main[[#This Row],[بدهی سررسید شده (کیلوگرم)]]*Main[[#This Row],[روز از ارسال سفارش]]</f>
        <v>0</v>
      </c>
      <c r="U1611" s="6">
        <f>-SUBTOTAL(9,INDEX(Main[مقدار (کیلوگرم)],1):Main[[#This Row],[مقدار (کیلوگرم)]])</f>
        <v>36183</v>
      </c>
      <c r="V16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11" s="6">
        <f>Main[[#This Row],[تعداد کل روزهای بدهکار (روز)]]*Main[[#This Row],[مانده در خط کل (کیلوگرم)]]</f>
        <v>36183</v>
      </c>
      <c r="X1611" s="6">
        <f ca="1">-SUBTOTAL(9,INDEX(Main[مقدار تسویه شده (کیلوگرم)],1):Main[[#This Row],[مقدار تسویه شده (کیلوگرم)]])</f>
        <v>36183</v>
      </c>
      <c r="Y1611" s="6">
        <f ca="1">IF(Main[[#This Row],[مانده در خط تسویه شده (کیلوگرم)]]&lt;&gt;0,Main[[#This Row],[تعداد کل روزهای بدهکار (روز)]],0)</f>
        <v>1</v>
      </c>
      <c r="Z1611" s="6">
        <f ca="1">Main[[#This Row],[تعداد روزهای بدهکار تسویه شده (روز)]]*Main[[#This Row],[مانده در خط تسویه شده (کیلوگرم)]]</f>
        <v>36183</v>
      </c>
      <c r="AA1611" s="6">
        <f ca="1">SUBTOTAL(9,INDEX(Main[بدهی تسویه نشده (کیلوگرم)],1):Main[[#This Row],[بدهی تسویه نشده (کیلوگرم)]])</f>
        <v>0</v>
      </c>
      <c r="AB1611" s="6">
        <f ca="1">IF(Main[[#This Row],[مانده در خط تسویه نشده (کیلوگرم)]]&lt;&gt;0,Main[[#This Row],[تعداد کل روزهای بدهکار (روز)]],0)</f>
        <v>0</v>
      </c>
      <c r="AC1611" s="6">
        <f ca="1">Main[[#This Row],[تعداد روزهای بدهکار  تسویه نشده (روز)]]*Main[[#This Row],[مانده در خط تسویه نشده (کیلوگرم)]]</f>
        <v>0</v>
      </c>
      <c r="AD1611" s="6">
        <f ca="1">SUBTOTAL(9,INDEX(Main[بدهی سررسید شده (کیلوگرم)],1):Main[[#This Row],[بدهی سررسید شده (کیلوگرم)]])</f>
        <v>0</v>
      </c>
      <c r="AE1611" s="6">
        <f ca="1">IF(Main[[#This Row],[مانده در خط سررسید شده (کیلوگرم)]]&lt;&gt;0,Main[[#This Row],[تعداد کل روزهای بدهکار (روز)]],0)</f>
        <v>0</v>
      </c>
      <c r="AF1611" s="6">
        <f ca="1">Main[[#This Row],[تعداد روزهای بدهکار سررسید شده (روز)]]*Main[[#This Row],[مانده در خط سررسید شده (کیلوگرم)]]</f>
        <v>0</v>
      </c>
    </row>
    <row r="1612" spans="1:32" hidden="1" x14ac:dyDescent="0.35">
      <c r="A1612" s="5">
        <f>ROW()-ROW(INDEX(Main[ردیف],1))+1</f>
        <v>1610</v>
      </c>
      <c r="B1612" s="31">
        <f>SUBTOTAL(2,INDEX(Main[ردیف],1):Main[[#This Row],[ردیف]])</f>
        <v>144</v>
      </c>
      <c r="C1612" s="32" t="s">
        <v>700</v>
      </c>
      <c r="D1612" s="32" t="str">
        <f>_xlfn.CONCAT("14",Main[[#This Row],[تاريخ]])</f>
        <v>1400/06/24</v>
      </c>
      <c r="E1612" s="33">
        <v>44454</v>
      </c>
      <c r="F1612" s="32">
        <v>10119</v>
      </c>
      <c r="G1612" s="5" t="str">
        <f>INDEX(customer[عنوان],MATCH(Main[[#This Row],[کد ردیابی]],customer[کد],0))</f>
        <v>سیف الله اکبری</v>
      </c>
      <c r="H1612">
        <v>65</v>
      </c>
      <c r="I1612" s="6">
        <f ca="1">-Main[[#This Row],[بدهی تسویه شده (کیلوگرم)]]+Main[[#This Row],[بستانکار (کیلوگرم)]]</f>
        <v>65</v>
      </c>
      <c r="J1612" s="6">
        <f>IF(Main[[#This Row],[مقدار (کیلوگرم)]]&gt;0,Main[[#This Row],[مقدار (کیلوگرم)]],0)</f>
        <v>65</v>
      </c>
      <c r="K1612" s="6">
        <f>-IF(Main[[#This Row],[مقدار (کیلوگرم)]]&lt;0,Main[[#This Row],[مقدار (کیلوگرم)]],0)</f>
        <v>0</v>
      </c>
      <c r="L16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2" s="7">
        <f>-IF(AND(Main[[#This Row],[مقدار (کیلوگرم)]]&lt;0,Main[[#This Row],[تاريخ میلادی]]&gt;44276),Main[[#This Row],[مقدار (کیلوگرم)]],0)</f>
        <v>0</v>
      </c>
      <c r="N1612" s="6">
        <f ca="1">Main[[#This Row],[بدهکار (کیلوگرم)]]-Main[[#This Row],[بدهی تسویه نشده (کیلوگرم)]]</f>
        <v>0</v>
      </c>
      <c r="O1612" s="6">
        <f ca="1">Main[[#This Row],[تفکیک]]</f>
        <v>0</v>
      </c>
      <c r="P1612" s="6">
        <f ca="1">IF(Main[[#This Row],[تاخیر از سررسید]]&gt;0,Main[[#This Row],[بدهی تسویه نشده (کیلوگرم)]],0)</f>
        <v>0</v>
      </c>
      <c r="Q1612" s="6">
        <f ca="1">IF(Main[[#This Row],[بدهی تسویه نشده (کیلوگرم)]]&gt;0,'گزارش فردی'!$B$7-Main[[#This Row],[تاريخ میلادی]],0)</f>
        <v>0</v>
      </c>
      <c r="R1612" s="6">
        <f ca="1">IF(Main[[#This Row],[بدهی تسویه نشده (کیلوگرم)]]&gt;0,'گزارش فردی'!$B$7-Main[[#This Row],[تاريخ میلادی]]-'گزارش فردی'!$B$8,0)</f>
        <v>0</v>
      </c>
      <c r="S1612" s="6">
        <f ca="1">Main[[#This Row],[روز از ارسال سفارش]]*Main[[#This Row],[بدهی تسویه نشده (کیلوگرم)]]</f>
        <v>0</v>
      </c>
      <c r="T1612" s="6">
        <f ca="1">Main[[#This Row],[بدهی سررسید شده (کیلوگرم)]]*Main[[#This Row],[روز از ارسال سفارش]]</f>
        <v>0</v>
      </c>
      <c r="U1612" s="6">
        <f>-SUBTOTAL(9,INDEX(Main[مقدار (کیلوگرم)],1):Main[[#This Row],[مقدار (کیلوگرم)]])</f>
        <v>36183</v>
      </c>
      <c r="V16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12" s="6">
        <f>Main[[#This Row],[تعداد کل روزهای بدهکار (روز)]]*Main[[#This Row],[مانده در خط کل (کیلوگرم)]]</f>
        <v>36183</v>
      </c>
      <c r="X1612" s="6">
        <f ca="1">-SUBTOTAL(9,INDEX(Main[مقدار تسویه شده (کیلوگرم)],1):Main[[#This Row],[مقدار تسویه شده (کیلوگرم)]])</f>
        <v>36183</v>
      </c>
      <c r="Y1612" s="6">
        <f ca="1">IF(Main[[#This Row],[مانده در خط تسویه شده (کیلوگرم)]]&lt;&gt;0,Main[[#This Row],[تعداد کل روزهای بدهکار (روز)]],0)</f>
        <v>1</v>
      </c>
      <c r="Z1612" s="6">
        <f ca="1">Main[[#This Row],[تعداد روزهای بدهکار تسویه شده (روز)]]*Main[[#This Row],[مانده در خط تسویه شده (کیلوگرم)]]</f>
        <v>36183</v>
      </c>
      <c r="AA1612" s="6">
        <f ca="1">SUBTOTAL(9,INDEX(Main[بدهی تسویه نشده (کیلوگرم)],1):Main[[#This Row],[بدهی تسویه نشده (کیلوگرم)]])</f>
        <v>0</v>
      </c>
      <c r="AB1612" s="6">
        <f ca="1">IF(Main[[#This Row],[مانده در خط تسویه نشده (کیلوگرم)]]&lt;&gt;0,Main[[#This Row],[تعداد کل روزهای بدهکار (روز)]],0)</f>
        <v>0</v>
      </c>
      <c r="AC1612" s="6">
        <f ca="1">Main[[#This Row],[تعداد روزهای بدهکار  تسویه نشده (روز)]]*Main[[#This Row],[مانده در خط تسویه نشده (کیلوگرم)]]</f>
        <v>0</v>
      </c>
      <c r="AD1612" s="6">
        <f ca="1">SUBTOTAL(9,INDEX(Main[بدهی سررسید شده (کیلوگرم)],1):Main[[#This Row],[بدهی سررسید شده (کیلوگرم)]])</f>
        <v>0</v>
      </c>
      <c r="AE1612" s="6">
        <f ca="1">IF(Main[[#This Row],[مانده در خط سررسید شده (کیلوگرم)]]&lt;&gt;0,Main[[#This Row],[تعداد کل روزهای بدهکار (روز)]],0)</f>
        <v>0</v>
      </c>
      <c r="AF1612" s="6">
        <f ca="1">Main[[#This Row],[تعداد روزهای بدهکار سررسید شده (روز)]]*Main[[#This Row],[مانده در خط سررسید شده (کیلوگرم)]]</f>
        <v>0</v>
      </c>
    </row>
    <row r="1613" spans="1:32" hidden="1" x14ac:dyDescent="0.35">
      <c r="A1613" s="5">
        <f>ROW()-ROW(INDEX(Main[ردیف],1))+1</f>
        <v>1611</v>
      </c>
      <c r="B1613" s="31">
        <f>SUBTOTAL(2,INDEX(Main[ردیف],1):Main[[#This Row],[ردیف]])</f>
        <v>144</v>
      </c>
      <c r="C1613" s="32" t="s">
        <v>701</v>
      </c>
      <c r="D1613" s="32" t="str">
        <f>_xlfn.CONCAT("14",Main[[#This Row],[تاريخ]])</f>
        <v>1400/06/25</v>
      </c>
      <c r="E1613" s="33">
        <v>44455</v>
      </c>
      <c r="F1613" s="32">
        <v>30066</v>
      </c>
      <c r="G1613" s="5" t="str">
        <f>INDEX(customer[عنوان],MATCH(Main[[#This Row],[کد ردیابی]],customer[کد],0))</f>
        <v xml:space="preserve">شیر آلات بهداشتی قهرمان </v>
      </c>
      <c r="H1613">
        <v>-5274</v>
      </c>
      <c r="I1613" s="6">
        <f ca="1">-Main[[#This Row],[بدهی تسویه شده (کیلوگرم)]]+Main[[#This Row],[بستانکار (کیلوگرم)]]</f>
        <v>-5274</v>
      </c>
      <c r="J1613" s="6">
        <f>IF(Main[[#This Row],[مقدار (کیلوگرم)]]&gt;0,Main[[#This Row],[مقدار (کیلوگرم)]],0)</f>
        <v>0</v>
      </c>
      <c r="K1613" s="6">
        <f>-IF(Main[[#This Row],[مقدار (کیلوگرم)]]&lt;0,Main[[#This Row],[مقدار (کیلوگرم)]],0)</f>
        <v>5274</v>
      </c>
      <c r="L16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3" s="7">
        <f>-IF(AND(Main[[#This Row],[مقدار (کیلوگرم)]]&lt;0,Main[[#This Row],[تاريخ میلادی]]&gt;44276),Main[[#This Row],[مقدار (کیلوگرم)]],0)</f>
        <v>5274</v>
      </c>
      <c r="N1613" s="6">
        <f ca="1">Main[[#This Row],[بدهکار (کیلوگرم)]]-Main[[#This Row],[بدهی تسویه نشده (کیلوگرم)]]</f>
        <v>5274</v>
      </c>
      <c r="O1613" s="6">
        <f ca="1">Main[[#This Row],[تفکیک]]</f>
        <v>0</v>
      </c>
      <c r="P1613" s="6">
        <f ca="1">IF(Main[[#This Row],[تاخیر از سررسید]]&gt;0,Main[[#This Row],[بدهی تسویه نشده (کیلوگرم)]],0)</f>
        <v>0</v>
      </c>
      <c r="Q1613" s="6">
        <f ca="1">IF(Main[[#This Row],[بدهی تسویه نشده (کیلوگرم)]]&gt;0,'گزارش فردی'!$B$7-Main[[#This Row],[تاريخ میلادی]],0)</f>
        <v>0</v>
      </c>
      <c r="R1613" s="6">
        <f ca="1">IF(Main[[#This Row],[بدهی تسویه نشده (کیلوگرم)]]&gt;0,'گزارش فردی'!$B$7-Main[[#This Row],[تاريخ میلادی]]-'گزارش فردی'!$B$8,0)</f>
        <v>0</v>
      </c>
      <c r="S1613" s="6">
        <f ca="1">Main[[#This Row],[روز از ارسال سفارش]]*Main[[#This Row],[بدهی تسویه نشده (کیلوگرم)]]</f>
        <v>0</v>
      </c>
      <c r="T1613" s="6">
        <f ca="1">Main[[#This Row],[بدهی سررسید شده (کیلوگرم)]]*Main[[#This Row],[روز از ارسال سفارش]]</f>
        <v>0</v>
      </c>
      <c r="U1613" s="6">
        <f>-SUBTOTAL(9,INDEX(Main[مقدار (کیلوگرم)],1):Main[[#This Row],[مقدار (کیلوگرم)]])</f>
        <v>36183</v>
      </c>
      <c r="V16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3" s="6">
        <f>Main[[#This Row],[تعداد کل روزهای بدهکار (روز)]]*Main[[#This Row],[مانده در خط کل (کیلوگرم)]]</f>
        <v>0</v>
      </c>
      <c r="X1613" s="6">
        <f ca="1">-SUBTOTAL(9,INDEX(Main[مقدار تسویه شده (کیلوگرم)],1):Main[[#This Row],[مقدار تسویه شده (کیلوگرم)]])</f>
        <v>36183</v>
      </c>
      <c r="Y1613" s="6">
        <f ca="1">IF(Main[[#This Row],[مانده در خط تسویه شده (کیلوگرم)]]&lt;&gt;0,Main[[#This Row],[تعداد کل روزهای بدهکار (روز)]],0)</f>
        <v>0</v>
      </c>
      <c r="Z1613" s="6">
        <f ca="1">Main[[#This Row],[تعداد روزهای بدهکار تسویه شده (روز)]]*Main[[#This Row],[مانده در خط تسویه شده (کیلوگرم)]]</f>
        <v>0</v>
      </c>
      <c r="AA1613" s="6">
        <f ca="1">SUBTOTAL(9,INDEX(Main[بدهی تسویه نشده (کیلوگرم)],1):Main[[#This Row],[بدهی تسویه نشده (کیلوگرم)]])</f>
        <v>0</v>
      </c>
      <c r="AB1613" s="6">
        <f ca="1">IF(Main[[#This Row],[مانده در خط تسویه نشده (کیلوگرم)]]&lt;&gt;0,Main[[#This Row],[تعداد کل روزهای بدهکار (روز)]],0)</f>
        <v>0</v>
      </c>
      <c r="AC1613" s="6">
        <f ca="1">Main[[#This Row],[تعداد روزهای بدهکار  تسویه نشده (روز)]]*Main[[#This Row],[مانده در خط تسویه نشده (کیلوگرم)]]</f>
        <v>0</v>
      </c>
      <c r="AD1613" s="6">
        <f ca="1">SUBTOTAL(9,INDEX(Main[بدهی سررسید شده (کیلوگرم)],1):Main[[#This Row],[بدهی سررسید شده (کیلوگرم)]])</f>
        <v>0</v>
      </c>
      <c r="AE1613" s="6">
        <f ca="1">IF(Main[[#This Row],[مانده در خط سررسید شده (کیلوگرم)]]&lt;&gt;0,Main[[#This Row],[تعداد کل روزهای بدهکار (روز)]],0)</f>
        <v>0</v>
      </c>
      <c r="AF1613" s="6">
        <f ca="1">Main[[#This Row],[تعداد روزهای بدهکار سررسید شده (روز)]]*Main[[#This Row],[مانده در خط سررسید شده (کیلوگرم)]]</f>
        <v>0</v>
      </c>
    </row>
    <row r="1614" spans="1:32" hidden="1" x14ac:dyDescent="0.35">
      <c r="A1614" s="5">
        <f>ROW()-ROW(INDEX(Main[ردیف],1))+1</f>
        <v>1612</v>
      </c>
      <c r="B1614" s="31">
        <f>SUBTOTAL(2,INDEX(Main[ردیف],1):Main[[#This Row],[ردیف]])</f>
        <v>144</v>
      </c>
      <c r="C1614" s="32" t="s">
        <v>701</v>
      </c>
      <c r="D1614" s="32" t="str">
        <f>_xlfn.CONCAT("14",Main[[#This Row],[تاريخ]])</f>
        <v>1400/06/25</v>
      </c>
      <c r="E1614" s="33">
        <v>44455</v>
      </c>
      <c r="F1614" s="32">
        <v>30058</v>
      </c>
      <c r="G1614" s="5" t="str">
        <f>INDEX(customer[عنوان],MATCH(Main[[#This Row],[کد ردیابی]],customer[کد],0))</f>
        <v xml:space="preserve">پارس شیر </v>
      </c>
      <c r="H1614">
        <v>5232</v>
      </c>
      <c r="I1614" s="6">
        <f ca="1">-Main[[#This Row],[بدهی تسویه شده (کیلوگرم)]]+Main[[#This Row],[بستانکار (کیلوگرم)]]</f>
        <v>5232</v>
      </c>
      <c r="J1614" s="6">
        <f>IF(Main[[#This Row],[مقدار (کیلوگرم)]]&gt;0,Main[[#This Row],[مقدار (کیلوگرم)]],0)</f>
        <v>5232</v>
      </c>
      <c r="K1614" s="6">
        <f>-IF(Main[[#This Row],[مقدار (کیلوگرم)]]&lt;0,Main[[#This Row],[مقدار (کیلوگرم)]],0)</f>
        <v>0</v>
      </c>
      <c r="L16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4" s="7">
        <f>-IF(AND(Main[[#This Row],[مقدار (کیلوگرم)]]&lt;0,Main[[#This Row],[تاريخ میلادی]]&gt;44276),Main[[#This Row],[مقدار (کیلوگرم)]],0)</f>
        <v>0</v>
      </c>
      <c r="N1614" s="6">
        <f ca="1">Main[[#This Row],[بدهکار (کیلوگرم)]]-Main[[#This Row],[بدهی تسویه نشده (کیلوگرم)]]</f>
        <v>0</v>
      </c>
      <c r="O1614" s="6">
        <f ca="1">Main[[#This Row],[تفکیک]]</f>
        <v>0</v>
      </c>
      <c r="P1614" s="6">
        <f ca="1">IF(Main[[#This Row],[تاخیر از سررسید]]&gt;0,Main[[#This Row],[بدهی تسویه نشده (کیلوگرم)]],0)</f>
        <v>0</v>
      </c>
      <c r="Q1614" s="6">
        <f ca="1">IF(Main[[#This Row],[بدهی تسویه نشده (کیلوگرم)]]&gt;0,'گزارش فردی'!$B$7-Main[[#This Row],[تاريخ میلادی]],0)</f>
        <v>0</v>
      </c>
      <c r="R1614" s="6">
        <f ca="1">IF(Main[[#This Row],[بدهی تسویه نشده (کیلوگرم)]]&gt;0,'گزارش فردی'!$B$7-Main[[#This Row],[تاريخ میلادی]]-'گزارش فردی'!$B$8,0)</f>
        <v>0</v>
      </c>
      <c r="S1614" s="6">
        <f ca="1">Main[[#This Row],[روز از ارسال سفارش]]*Main[[#This Row],[بدهی تسویه نشده (کیلوگرم)]]</f>
        <v>0</v>
      </c>
      <c r="T1614" s="6">
        <f ca="1">Main[[#This Row],[بدهی سررسید شده (کیلوگرم)]]*Main[[#This Row],[روز از ارسال سفارش]]</f>
        <v>0</v>
      </c>
      <c r="U1614" s="6">
        <f>-SUBTOTAL(9,INDEX(Main[مقدار (کیلوگرم)],1):Main[[#This Row],[مقدار (کیلوگرم)]])</f>
        <v>36183</v>
      </c>
      <c r="V16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4" s="6">
        <f>Main[[#This Row],[تعداد کل روزهای بدهکار (روز)]]*Main[[#This Row],[مانده در خط کل (کیلوگرم)]]</f>
        <v>0</v>
      </c>
      <c r="X1614" s="6">
        <f ca="1">-SUBTOTAL(9,INDEX(Main[مقدار تسویه شده (کیلوگرم)],1):Main[[#This Row],[مقدار تسویه شده (کیلوگرم)]])</f>
        <v>36183</v>
      </c>
      <c r="Y1614" s="6">
        <f ca="1">IF(Main[[#This Row],[مانده در خط تسویه شده (کیلوگرم)]]&lt;&gt;0,Main[[#This Row],[تعداد کل روزهای بدهکار (روز)]],0)</f>
        <v>0</v>
      </c>
      <c r="Z1614" s="6">
        <f ca="1">Main[[#This Row],[تعداد روزهای بدهکار تسویه شده (روز)]]*Main[[#This Row],[مانده در خط تسویه شده (کیلوگرم)]]</f>
        <v>0</v>
      </c>
      <c r="AA1614" s="6">
        <f ca="1">SUBTOTAL(9,INDEX(Main[بدهی تسویه نشده (کیلوگرم)],1):Main[[#This Row],[بدهی تسویه نشده (کیلوگرم)]])</f>
        <v>0</v>
      </c>
      <c r="AB1614" s="6">
        <f ca="1">IF(Main[[#This Row],[مانده در خط تسویه نشده (کیلوگرم)]]&lt;&gt;0,Main[[#This Row],[تعداد کل روزهای بدهکار (روز)]],0)</f>
        <v>0</v>
      </c>
      <c r="AC1614" s="6">
        <f ca="1">Main[[#This Row],[تعداد روزهای بدهکار  تسویه نشده (روز)]]*Main[[#This Row],[مانده در خط تسویه نشده (کیلوگرم)]]</f>
        <v>0</v>
      </c>
      <c r="AD1614" s="6">
        <f ca="1">SUBTOTAL(9,INDEX(Main[بدهی سررسید شده (کیلوگرم)],1):Main[[#This Row],[بدهی سررسید شده (کیلوگرم)]])</f>
        <v>0</v>
      </c>
      <c r="AE1614" s="6">
        <f ca="1">IF(Main[[#This Row],[مانده در خط سررسید شده (کیلوگرم)]]&lt;&gt;0,Main[[#This Row],[تعداد کل روزهای بدهکار (روز)]],0)</f>
        <v>0</v>
      </c>
      <c r="AF1614" s="6">
        <f ca="1">Main[[#This Row],[تعداد روزهای بدهکار سررسید شده (روز)]]*Main[[#This Row],[مانده در خط سررسید شده (کیلوگرم)]]</f>
        <v>0</v>
      </c>
    </row>
    <row r="1615" spans="1:32" x14ac:dyDescent="0.35">
      <c r="A1615" s="5">
        <f>ROW()-ROW(INDEX(Main[ردیف],1))+1</f>
        <v>1613</v>
      </c>
      <c r="B1615" s="31">
        <f>SUBTOTAL(2,INDEX(Main[ردیف],1):Main[[#This Row],[ردیف]])</f>
        <v>145</v>
      </c>
      <c r="C1615" s="32" t="s">
        <v>701</v>
      </c>
      <c r="D1615" s="32" t="str">
        <f>_xlfn.CONCAT("14",Main[[#This Row],[تاريخ]])</f>
        <v>1400/06/25</v>
      </c>
      <c r="E1615" s="33">
        <v>44455</v>
      </c>
      <c r="F1615" s="32">
        <v>10003</v>
      </c>
      <c r="G1615" s="5" t="str">
        <f>INDEX(customer[عنوان],MATCH(Main[[#This Row],[کد ردیابی]],customer[کد],0))</f>
        <v>اصغر نورعلی</v>
      </c>
      <c r="H1615">
        <v>-1362</v>
      </c>
      <c r="I1615" s="6">
        <f ca="1">-Main[[#This Row],[بدهی تسویه شده (کیلوگرم)]]+Main[[#This Row],[بستانکار (کیلوگرم)]]</f>
        <v>-1362</v>
      </c>
      <c r="J1615" s="6">
        <f>IF(Main[[#This Row],[مقدار (کیلوگرم)]]&gt;0,Main[[#This Row],[مقدار (کیلوگرم)]],0)</f>
        <v>0</v>
      </c>
      <c r="K1615" s="6">
        <f>-IF(Main[[#This Row],[مقدار (کیلوگرم)]]&lt;0,Main[[#This Row],[مقدار (کیلوگرم)]],0)</f>
        <v>1362</v>
      </c>
      <c r="L16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5" s="7">
        <f>-IF(AND(Main[[#This Row],[مقدار (کیلوگرم)]]&lt;0,Main[[#This Row],[تاريخ میلادی]]&gt;44276),Main[[#This Row],[مقدار (کیلوگرم)]],0)</f>
        <v>1362</v>
      </c>
      <c r="N1615" s="6">
        <f ca="1">Main[[#This Row],[بدهکار (کیلوگرم)]]-Main[[#This Row],[بدهی تسویه نشده (کیلوگرم)]]</f>
        <v>1362</v>
      </c>
      <c r="O1615" s="6">
        <f ca="1">Main[[#This Row],[تفکیک]]</f>
        <v>0</v>
      </c>
      <c r="P1615" s="6">
        <f ca="1">IF(Main[[#This Row],[تاخیر از سررسید]]&gt;0,Main[[#This Row],[بدهی تسویه نشده (کیلوگرم)]],0)</f>
        <v>0</v>
      </c>
      <c r="Q1615" s="6">
        <f ca="1">IF(Main[[#This Row],[بدهی تسویه نشده (کیلوگرم)]]&gt;0,'گزارش فردی'!$B$7-Main[[#This Row],[تاريخ میلادی]],0)</f>
        <v>0</v>
      </c>
      <c r="R1615" s="6">
        <f ca="1">IF(Main[[#This Row],[بدهی تسویه نشده (کیلوگرم)]]&gt;0,'گزارش فردی'!$B$7-Main[[#This Row],[تاريخ میلادی]]-'گزارش فردی'!$B$8,0)</f>
        <v>0</v>
      </c>
      <c r="S1615" s="6">
        <f ca="1">Main[[#This Row],[روز از ارسال سفارش]]*Main[[#This Row],[بدهی تسویه نشده (کیلوگرم)]]</f>
        <v>0</v>
      </c>
      <c r="T1615" s="6">
        <f ca="1">Main[[#This Row],[بدهی سررسید شده (کیلوگرم)]]*Main[[#This Row],[روز از ارسال سفارش]]</f>
        <v>0</v>
      </c>
      <c r="U1615" s="6">
        <f>-SUBTOTAL(9,INDEX(Main[مقدار (کیلوگرم)],1):Main[[#This Row],[مقدار (کیلوگرم)]])</f>
        <v>37545</v>
      </c>
      <c r="V16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15" s="6">
        <f>Main[[#This Row],[تعداد کل روزهای بدهکار (روز)]]*Main[[#This Row],[مانده در خط کل (کیلوگرم)]]</f>
        <v>75090</v>
      </c>
      <c r="X1615" s="6">
        <f ca="1">-SUBTOTAL(9,INDEX(Main[مقدار تسویه شده (کیلوگرم)],1):Main[[#This Row],[مقدار تسویه شده (کیلوگرم)]])</f>
        <v>37545</v>
      </c>
      <c r="Y1615" s="6">
        <f ca="1">IF(Main[[#This Row],[مانده در خط تسویه شده (کیلوگرم)]]&lt;&gt;0,Main[[#This Row],[تعداد کل روزهای بدهکار (روز)]],0)</f>
        <v>2</v>
      </c>
      <c r="Z1615" s="6">
        <f ca="1">Main[[#This Row],[تعداد روزهای بدهکار تسویه شده (روز)]]*Main[[#This Row],[مانده در خط تسویه شده (کیلوگرم)]]</f>
        <v>75090</v>
      </c>
      <c r="AA1615" s="6">
        <f ca="1">SUBTOTAL(9,INDEX(Main[بدهی تسویه نشده (کیلوگرم)],1):Main[[#This Row],[بدهی تسویه نشده (کیلوگرم)]])</f>
        <v>0</v>
      </c>
      <c r="AB1615" s="6">
        <f ca="1">IF(Main[[#This Row],[مانده در خط تسویه نشده (کیلوگرم)]]&lt;&gt;0,Main[[#This Row],[تعداد کل روزهای بدهکار (روز)]],0)</f>
        <v>0</v>
      </c>
      <c r="AC1615" s="6">
        <f ca="1">Main[[#This Row],[تعداد روزهای بدهکار  تسویه نشده (روز)]]*Main[[#This Row],[مانده در خط تسویه نشده (کیلوگرم)]]</f>
        <v>0</v>
      </c>
      <c r="AD1615" s="6">
        <f ca="1">SUBTOTAL(9,INDEX(Main[بدهی سررسید شده (کیلوگرم)],1):Main[[#This Row],[بدهی سررسید شده (کیلوگرم)]])</f>
        <v>0</v>
      </c>
      <c r="AE1615" s="6">
        <f ca="1">IF(Main[[#This Row],[مانده در خط سررسید شده (کیلوگرم)]]&lt;&gt;0,Main[[#This Row],[تعداد کل روزهای بدهکار (روز)]],0)</f>
        <v>0</v>
      </c>
      <c r="AF1615" s="6">
        <f ca="1">Main[[#This Row],[تعداد روزهای بدهکار سررسید شده (روز)]]*Main[[#This Row],[مانده در خط سررسید شده (کیلوگرم)]]</f>
        <v>0</v>
      </c>
    </row>
    <row r="1616" spans="1:32" hidden="1" x14ac:dyDescent="0.35">
      <c r="A1616" s="5">
        <f>ROW()-ROW(INDEX(Main[ردیف],1))+1</f>
        <v>1614</v>
      </c>
      <c r="B1616" s="31">
        <f>SUBTOTAL(2,INDEX(Main[ردیف],1):Main[[#This Row],[ردیف]])</f>
        <v>145</v>
      </c>
      <c r="C1616" s="32" t="s">
        <v>701</v>
      </c>
      <c r="D1616" s="32" t="str">
        <f>_xlfn.CONCAT("14",Main[[#This Row],[تاريخ]])</f>
        <v>1400/06/25</v>
      </c>
      <c r="E1616" s="33">
        <v>44455</v>
      </c>
      <c r="F1616" s="32">
        <v>30066</v>
      </c>
      <c r="G1616" s="5" t="str">
        <f>INDEX(customer[عنوان],MATCH(Main[[#This Row],[کد ردیابی]],customer[کد],0))</f>
        <v xml:space="preserve">شیر آلات بهداشتی قهرمان </v>
      </c>
      <c r="H1616">
        <v>1542</v>
      </c>
      <c r="I1616" s="6">
        <f ca="1">-Main[[#This Row],[بدهی تسویه شده (کیلوگرم)]]+Main[[#This Row],[بستانکار (کیلوگرم)]]</f>
        <v>1542</v>
      </c>
      <c r="J1616" s="6">
        <f>IF(Main[[#This Row],[مقدار (کیلوگرم)]]&gt;0,Main[[#This Row],[مقدار (کیلوگرم)]],0)</f>
        <v>1542</v>
      </c>
      <c r="K1616" s="6">
        <f>-IF(Main[[#This Row],[مقدار (کیلوگرم)]]&lt;0,Main[[#This Row],[مقدار (کیلوگرم)]],0)</f>
        <v>0</v>
      </c>
      <c r="L16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6" s="7">
        <f>-IF(AND(Main[[#This Row],[مقدار (کیلوگرم)]]&lt;0,Main[[#This Row],[تاريخ میلادی]]&gt;44276),Main[[#This Row],[مقدار (کیلوگرم)]],0)</f>
        <v>0</v>
      </c>
      <c r="N1616" s="6">
        <f ca="1">Main[[#This Row],[بدهکار (کیلوگرم)]]-Main[[#This Row],[بدهی تسویه نشده (کیلوگرم)]]</f>
        <v>0</v>
      </c>
      <c r="O1616" s="6">
        <f ca="1">Main[[#This Row],[تفکیک]]</f>
        <v>0</v>
      </c>
      <c r="P1616" s="6">
        <f ca="1">IF(Main[[#This Row],[تاخیر از سررسید]]&gt;0,Main[[#This Row],[بدهی تسویه نشده (کیلوگرم)]],0)</f>
        <v>0</v>
      </c>
      <c r="Q1616" s="6">
        <f ca="1">IF(Main[[#This Row],[بدهی تسویه نشده (کیلوگرم)]]&gt;0,'گزارش فردی'!$B$7-Main[[#This Row],[تاريخ میلادی]],0)</f>
        <v>0</v>
      </c>
      <c r="R1616" s="6">
        <f ca="1">IF(Main[[#This Row],[بدهی تسویه نشده (کیلوگرم)]]&gt;0,'گزارش فردی'!$B$7-Main[[#This Row],[تاريخ میلادی]]-'گزارش فردی'!$B$8,0)</f>
        <v>0</v>
      </c>
      <c r="S1616" s="6">
        <f ca="1">Main[[#This Row],[روز از ارسال سفارش]]*Main[[#This Row],[بدهی تسویه نشده (کیلوگرم)]]</f>
        <v>0</v>
      </c>
      <c r="T1616" s="6">
        <f ca="1">Main[[#This Row],[بدهی سررسید شده (کیلوگرم)]]*Main[[#This Row],[روز از ارسال سفارش]]</f>
        <v>0</v>
      </c>
      <c r="U1616" s="6">
        <f>-SUBTOTAL(9,INDEX(Main[مقدار (کیلوگرم)],1):Main[[#This Row],[مقدار (کیلوگرم)]])</f>
        <v>37545</v>
      </c>
      <c r="V16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16" s="6">
        <f>Main[[#This Row],[تعداد کل روزهای بدهکار (روز)]]*Main[[#This Row],[مانده در خط کل (کیلوگرم)]]</f>
        <v>75090</v>
      </c>
      <c r="X1616" s="6">
        <f ca="1">-SUBTOTAL(9,INDEX(Main[مقدار تسویه شده (کیلوگرم)],1):Main[[#This Row],[مقدار تسویه شده (کیلوگرم)]])</f>
        <v>37545</v>
      </c>
      <c r="Y1616" s="6">
        <f ca="1">IF(Main[[#This Row],[مانده در خط تسویه شده (کیلوگرم)]]&lt;&gt;0,Main[[#This Row],[تعداد کل روزهای بدهکار (روز)]],0)</f>
        <v>2</v>
      </c>
      <c r="Z1616" s="6">
        <f ca="1">Main[[#This Row],[تعداد روزهای بدهکار تسویه شده (روز)]]*Main[[#This Row],[مانده در خط تسویه شده (کیلوگرم)]]</f>
        <v>75090</v>
      </c>
      <c r="AA1616" s="6">
        <f ca="1">SUBTOTAL(9,INDEX(Main[بدهی تسویه نشده (کیلوگرم)],1):Main[[#This Row],[بدهی تسویه نشده (کیلوگرم)]])</f>
        <v>0</v>
      </c>
      <c r="AB1616" s="6">
        <f ca="1">IF(Main[[#This Row],[مانده در خط تسویه نشده (کیلوگرم)]]&lt;&gt;0,Main[[#This Row],[تعداد کل روزهای بدهکار (روز)]],0)</f>
        <v>0</v>
      </c>
      <c r="AC1616" s="6">
        <f ca="1">Main[[#This Row],[تعداد روزهای بدهکار  تسویه نشده (روز)]]*Main[[#This Row],[مانده در خط تسویه نشده (کیلوگرم)]]</f>
        <v>0</v>
      </c>
      <c r="AD1616" s="6">
        <f ca="1">SUBTOTAL(9,INDEX(Main[بدهی سررسید شده (کیلوگرم)],1):Main[[#This Row],[بدهی سررسید شده (کیلوگرم)]])</f>
        <v>0</v>
      </c>
      <c r="AE1616" s="6">
        <f ca="1">IF(Main[[#This Row],[مانده در خط سررسید شده (کیلوگرم)]]&lt;&gt;0,Main[[#This Row],[تعداد کل روزهای بدهکار (روز)]],0)</f>
        <v>0</v>
      </c>
      <c r="AF1616" s="6">
        <f ca="1">Main[[#This Row],[تعداد روزهای بدهکار سررسید شده (روز)]]*Main[[#This Row],[مانده در خط سررسید شده (کیلوگرم)]]</f>
        <v>0</v>
      </c>
    </row>
    <row r="1617" spans="1:32" hidden="1" x14ac:dyDescent="0.35">
      <c r="A1617" s="5">
        <f>ROW()-ROW(INDEX(Main[ردیف],1))+1</f>
        <v>1615</v>
      </c>
      <c r="B1617" s="31">
        <f>SUBTOTAL(2,INDEX(Main[ردیف],1):Main[[#This Row],[ردیف]])</f>
        <v>145</v>
      </c>
      <c r="C1617" s="32" t="s">
        <v>701</v>
      </c>
      <c r="D1617" s="32" t="str">
        <f>_xlfn.CONCAT("14",Main[[#This Row],[تاريخ]])</f>
        <v>1400/06/25</v>
      </c>
      <c r="E1617" s="33">
        <v>44455</v>
      </c>
      <c r="F1617" s="32">
        <v>30012</v>
      </c>
      <c r="G1617" s="5" t="str">
        <f>INDEX(customer[عنوان],MATCH(Main[[#This Row],[کد ردیابی]],customer[کد],0))</f>
        <v xml:space="preserve">پارس قفل </v>
      </c>
      <c r="H1617">
        <v>2413</v>
      </c>
      <c r="I1617" s="6">
        <f ca="1">-Main[[#This Row],[بدهی تسویه شده (کیلوگرم)]]+Main[[#This Row],[بستانکار (کیلوگرم)]]</f>
        <v>2413</v>
      </c>
      <c r="J1617" s="6">
        <f>IF(Main[[#This Row],[مقدار (کیلوگرم)]]&gt;0,Main[[#This Row],[مقدار (کیلوگرم)]],0)</f>
        <v>2413</v>
      </c>
      <c r="K1617" s="6">
        <f>-IF(Main[[#This Row],[مقدار (کیلوگرم)]]&lt;0,Main[[#This Row],[مقدار (کیلوگرم)]],0)</f>
        <v>0</v>
      </c>
      <c r="L16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7" s="7">
        <f>-IF(AND(Main[[#This Row],[مقدار (کیلوگرم)]]&lt;0,Main[[#This Row],[تاريخ میلادی]]&gt;44276),Main[[#This Row],[مقدار (کیلوگرم)]],0)</f>
        <v>0</v>
      </c>
      <c r="N1617" s="6">
        <f ca="1">Main[[#This Row],[بدهکار (کیلوگرم)]]-Main[[#This Row],[بدهی تسویه نشده (کیلوگرم)]]</f>
        <v>0</v>
      </c>
      <c r="O1617" s="6">
        <f ca="1">Main[[#This Row],[تفکیک]]</f>
        <v>0</v>
      </c>
      <c r="P1617" s="6">
        <f ca="1">IF(Main[[#This Row],[تاخیر از سررسید]]&gt;0,Main[[#This Row],[بدهی تسویه نشده (کیلوگرم)]],0)</f>
        <v>0</v>
      </c>
      <c r="Q1617" s="6">
        <f ca="1">IF(Main[[#This Row],[بدهی تسویه نشده (کیلوگرم)]]&gt;0,'گزارش فردی'!$B$7-Main[[#This Row],[تاريخ میلادی]],0)</f>
        <v>0</v>
      </c>
      <c r="R1617" s="6">
        <f ca="1">IF(Main[[#This Row],[بدهی تسویه نشده (کیلوگرم)]]&gt;0,'گزارش فردی'!$B$7-Main[[#This Row],[تاريخ میلادی]]-'گزارش فردی'!$B$8,0)</f>
        <v>0</v>
      </c>
      <c r="S1617" s="6">
        <f ca="1">Main[[#This Row],[روز از ارسال سفارش]]*Main[[#This Row],[بدهی تسویه نشده (کیلوگرم)]]</f>
        <v>0</v>
      </c>
      <c r="T1617" s="6">
        <f ca="1">Main[[#This Row],[بدهی سررسید شده (کیلوگرم)]]*Main[[#This Row],[روز از ارسال سفارش]]</f>
        <v>0</v>
      </c>
      <c r="U1617" s="6">
        <f>-SUBTOTAL(9,INDEX(Main[مقدار (کیلوگرم)],1):Main[[#This Row],[مقدار (کیلوگرم)]])</f>
        <v>37545</v>
      </c>
      <c r="V16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17" s="6">
        <f>Main[[#This Row],[تعداد کل روزهای بدهکار (روز)]]*Main[[#This Row],[مانده در خط کل (کیلوگرم)]]</f>
        <v>75090</v>
      </c>
      <c r="X1617" s="6">
        <f ca="1">-SUBTOTAL(9,INDEX(Main[مقدار تسویه شده (کیلوگرم)],1):Main[[#This Row],[مقدار تسویه شده (کیلوگرم)]])</f>
        <v>37545</v>
      </c>
      <c r="Y1617" s="6">
        <f ca="1">IF(Main[[#This Row],[مانده در خط تسویه شده (کیلوگرم)]]&lt;&gt;0,Main[[#This Row],[تعداد کل روزهای بدهکار (روز)]],0)</f>
        <v>2</v>
      </c>
      <c r="Z1617" s="6">
        <f ca="1">Main[[#This Row],[تعداد روزهای بدهکار تسویه شده (روز)]]*Main[[#This Row],[مانده در خط تسویه شده (کیلوگرم)]]</f>
        <v>75090</v>
      </c>
      <c r="AA1617" s="6">
        <f ca="1">SUBTOTAL(9,INDEX(Main[بدهی تسویه نشده (کیلوگرم)],1):Main[[#This Row],[بدهی تسویه نشده (کیلوگرم)]])</f>
        <v>0</v>
      </c>
      <c r="AB1617" s="6">
        <f ca="1">IF(Main[[#This Row],[مانده در خط تسویه نشده (کیلوگرم)]]&lt;&gt;0,Main[[#This Row],[تعداد کل روزهای بدهکار (روز)]],0)</f>
        <v>0</v>
      </c>
      <c r="AC1617" s="6">
        <f ca="1">Main[[#This Row],[تعداد روزهای بدهکار  تسویه نشده (روز)]]*Main[[#This Row],[مانده در خط تسویه نشده (کیلوگرم)]]</f>
        <v>0</v>
      </c>
      <c r="AD1617" s="6">
        <f ca="1">SUBTOTAL(9,INDEX(Main[بدهی سررسید شده (کیلوگرم)],1):Main[[#This Row],[بدهی سررسید شده (کیلوگرم)]])</f>
        <v>0</v>
      </c>
      <c r="AE1617" s="6">
        <f ca="1">IF(Main[[#This Row],[مانده در خط سررسید شده (کیلوگرم)]]&lt;&gt;0,Main[[#This Row],[تعداد کل روزهای بدهکار (روز)]],0)</f>
        <v>0</v>
      </c>
      <c r="AF1617" s="6">
        <f ca="1">Main[[#This Row],[تعداد روزهای بدهکار سررسید شده (روز)]]*Main[[#This Row],[مانده در خط سررسید شده (کیلوگرم)]]</f>
        <v>0</v>
      </c>
    </row>
    <row r="1618" spans="1:32" hidden="1" x14ac:dyDescent="0.35">
      <c r="A1618" s="5">
        <f>ROW()-ROW(INDEX(Main[ردیف],1))+1</f>
        <v>1616</v>
      </c>
      <c r="B1618" s="31">
        <f>SUBTOTAL(2,INDEX(Main[ردیف],1):Main[[#This Row],[ردیف]])</f>
        <v>145</v>
      </c>
      <c r="C1618" s="32" t="s">
        <v>702</v>
      </c>
      <c r="D1618" s="32" t="str">
        <f>_xlfn.CONCAT("14",Main[[#This Row],[تاريخ]])</f>
        <v>1400/06/27</v>
      </c>
      <c r="E1618" s="33">
        <v>44457</v>
      </c>
      <c r="F1618" s="32">
        <v>30127</v>
      </c>
      <c r="G1618" s="5" t="str">
        <f>INDEX(customer[عنوان],MATCH(Main[[#This Row],[کد ردیابی]],customer[کد],0))</f>
        <v>شیر گاز آذران</v>
      </c>
      <c r="H1618">
        <v>-16727</v>
      </c>
      <c r="I1618" s="6">
        <f ca="1">-Main[[#This Row],[بدهی تسویه شده (کیلوگرم)]]+Main[[#This Row],[بستانکار (کیلوگرم)]]</f>
        <v>-16727</v>
      </c>
      <c r="J1618" s="6">
        <f>IF(Main[[#This Row],[مقدار (کیلوگرم)]]&gt;0,Main[[#This Row],[مقدار (کیلوگرم)]],0)</f>
        <v>0</v>
      </c>
      <c r="K1618" s="6">
        <f>-IF(Main[[#This Row],[مقدار (کیلوگرم)]]&lt;0,Main[[#This Row],[مقدار (کیلوگرم)]],0)</f>
        <v>16727</v>
      </c>
      <c r="L16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8" s="7">
        <f>-IF(AND(Main[[#This Row],[مقدار (کیلوگرم)]]&lt;0,Main[[#This Row],[تاريخ میلادی]]&gt;44276),Main[[#This Row],[مقدار (کیلوگرم)]],0)</f>
        <v>16727</v>
      </c>
      <c r="N1618" s="6">
        <f ca="1">Main[[#This Row],[بدهکار (کیلوگرم)]]-Main[[#This Row],[بدهی تسویه نشده (کیلوگرم)]]</f>
        <v>16727</v>
      </c>
      <c r="O1618" s="6">
        <f ca="1">Main[[#This Row],[تفکیک]]</f>
        <v>0</v>
      </c>
      <c r="P1618" s="6">
        <f ca="1">IF(Main[[#This Row],[تاخیر از سررسید]]&gt;0,Main[[#This Row],[بدهی تسویه نشده (کیلوگرم)]],0)</f>
        <v>0</v>
      </c>
      <c r="Q1618" s="6">
        <f ca="1">IF(Main[[#This Row],[بدهی تسویه نشده (کیلوگرم)]]&gt;0,'گزارش فردی'!$B$7-Main[[#This Row],[تاريخ میلادی]],0)</f>
        <v>0</v>
      </c>
      <c r="R1618" s="6">
        <f ca="1">IF(Main[[#This Row],[بدهی تسویه نشده (کیلوگرم)]]&gt;0,'گزارش فردی'!$B$7-Main[[#This Row],[تاريخ میلادی]]-'گزارش فردی'!$B$8,0)</f>
        <v>0</v>
      </c>
      <c r="S1618" s="6">
        <f ca="1">Main[[#This Row],[روز از ارسال سفارش]]*Main[[#This Row],[بدهی تسویه نشده (کیلوگرم)]]</f>
        <v>0</v>
      </c>
      <c r="T1618" s="6">
        <f ca="1">Main[[#This Row],[بدهی سررسید شده (کیلوگرم)]]*Main[[#This Row],[روز از ارسال سفارش]]</f>
        <v>0</v>
      </c>
      <c r="U1618" s="6">
        <f>-SUBTOTAL(9,INDEX(Main[مقدار (کیلوگرم)],1):Main[[#This Row],[مقدار (کیلوگرم)]])</f>
        <v>37545</v>
      </c>
      <c r="V16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8" s="6">
        <f>Main[[#This Row],[تعداد کل روزهای بدهکار (روز)]]*Main[[#This Row],[مانده در خط کل (کیلوگرم)]]</f>
        <v>0</v>
      </c>
      <c r="X1618" s="6">
        <f ca="1">-SUBTOTAL(9,INDEX(Main[مقدار تسویه شده (کیلوگرم)],1):Main[[#This Row],[مقدار تسویه شده (کیلوگرم)]])</f>
        <v>37545</v>
      </c>
      <c r="Y1618" s="6">
        <f ca="1">IF(Main[[#This Row],[مانده در خط تسویه شده (کیلوگرم)]]&lt;&gt;0,Main[[#This Row],[تعداد کل روزهای بدهکار (روز)]],0)</f>
        <v>0</v>
      </c>
      <c r="Z1618" s="6">
        <f ca="1">Main[[#This Row],[تعداد روزهای بدهکار تسویه شده (روز)]]*Main[[#This Row],[مانده در خط تسویه شده (کیلوگرم)]]</f>
        <v>0</v>
      </c>
      <c r="AA1618" s="6">
        <f ca="1">SUBTOTAL(9,INDEX(Main[بدهی تسویه نشده (کیلوگرم)],1):Main[[#This Row],[بدهی تسویه نشده (کیلوگرم)]])</f>
        <v>0</v>
      </c>
      <c r="AB1618" s="6">
        <f ca="1">IF(Main[[#This Row],[مانده در خط تسویه نشده (کیلوگرم)]]&lt;&gt;0,Main[[#This Row],[تعداد کل روزهای بدهکار (روز)]],0)</f>
        <v>0</v>
      </c>
      <c r="AC1618" s="6">
        <f ca="1">Main[[#This Row],[تعداد روزهای بدهکار  تسویه نشده (روز)]]*Main[[#This Row],[مانده در خط تسویه نشده (کیلوگرم)]]</f>
        <v>0</v>
      </c>
      <c r="AD1618" s="6">
        <f ca="1">SUBTOTAL(9,INDEX(Main[بدهی سررسید شده (کیلوگرم)],1):Main[[#This Row],[بدهی سررسید شده (کیلوگرم)]])</f>
        <v>0</v>
      </c>
      <c r="AE1618" s="6">
        <f ca="1">IF(Main[[#This Row],[مانده در خط سررسید شده (کیلوگرم)]]&lt;&gt;0,Main[[#This Row],[تعداد کل روزهای بدهکار (روز)]],0)</f>
        <v>0</v>
      </c>
      <c r="AF1618" s="6">
        <f ca="1">Main[[#This Row],[تعداد روزهای بدهکار سررسید شده (روز)]]*Main[[#This Row],[مانده در خط سررسید شده (کیلوگرم)]]</f>
        <v>0</v>
      </c>
    </row>
    <row r="1619" spans="1:32" hidden="1" x14ac:dyDescent="0.35">
      <c r="A1619" s="5">
        <f>ROW()-ROW(INDEX(Main[ردیف],1))+1</f>
        <v>1617</v>
      </c>
      <c r="B1619" s="31">
        <f>SUBTOTAL(2,INDEX(Main[ردیف],1):Main[[#This Row],[ردیف]])</f>
        <v>145</v>
      </c>
      <c r="C1619" s="32" t="s">
        <v>702</v>
      </c>
      <c r="D1619" s="32" t="str">
        <f>_xlfn.CONCAT("14",Main[[#This Row],[تاريخ]])</f>
        <v>1400/06/27</v>
      </c>
      <c r="E1619" s="33">
        <v>44457</v>
      </c>
      <c r="F1619" s="32">
        <v>30160</v>
      </c>
      <c r="G1619" s="5" t="str">
        <f>INDEX(customer[عنوان],MATCH(Main[[#This Row],[کد ردیابی]],customer[کد],0))</f>
        <v>کیان صنعت</v>
      </c>
      <c r="H1619">
        <v>110</v>
      </c>
      <c r="I1619" s="6">
        <f ca="1">-Main[[#This Row],[بدهی تسویه شده (کیلوگرم)]]+Main[[#This Row],[بستانکار (کیلوگرم)]]</f>
        <v>110</v>
      </c>
      <c r="J1619" s="6">
        <f>IF(Main[[#This Row],[مقدار (کیلوگرم)]]&gt;0,Main[[#This Row],[مقدار (کیلوگرم)]],0)</f>
        <v>110</v>
      </c>
      <c r="K1619" s="6">
        <f>-IF(Main[[#This Row],[مقدار (کیلوگرم)]]&lt;0,Main[[#This Row],[مقدار (کیلوگرم)]],0)</f>
        <v>0</v>
      </c>
      <c r="L16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9" s="7">
        <f>-IF(AND(Main[[#This Row],[مقدار (کیلوگرم)]]&lt;0,Main[[#This Row],[تاريخ میلادی]]&gt;44276),Main[[#This Row],[مقدار (کیلوگرم)]],0)</f>
        <v>0</v>
      </c>
      <c r="N1619" s="6">
        <f ca="1">Main[[#This Row],[بدهکار (کیلوگرم)]]-Main[[#This Row],[بدهی تسویه نشده (کیلوگرم)]]</f>
        <v>0</v>
      </c>
      <c r="O1619" s="6">
        <f ca="1">Main[[#This Row],[تفکیک]]</f>
        <v>0</v>
      </c>
      <c r="P1619" s="6">
        <f ca="1">IF(Main[[#This Row],[تاخیر از سررسید]]&gt;0,Main[[#This Row],[بدهی تسویه نشده (کیلوگرم)]],0)</f>
        <v>0</v>
      </c>
      <c r="Q1619" s="6">
        <f ca="1">IF(Main[[#This Row],[بدهی تسویه نشده (کیلوگرم)]]&gt;0,'گزارش فردی'!$B$7-Main[[#This Row],[تاريخ میلادی]],0)</f>
        <v>0</v>
      </c>
      <c r="R1619" s="6">
        <f ca="1">IF(Main[[#This Row],[بدهی تسویه نشده (کیلوگرم)]]&gt;0,'گزارش فردی'!$B$7-Main[[#This Row],[تاريخ میلادی]]-'گزارش فردی'!$B$8,0)</f>
        <v>0</v>
      </c>
      <c r="S1619" s="6">
        <f ca="1">Main[[#This Row],[روز از ارسال سفارش]]*Main[[#This Row],[بدهی تسویه نشده (کیلوگرم)]]</f>
        <v>0</v>
      </c>
      <c r="T1619" s="6">
        <f ca="1">Main[[#This Row],[بدهی سررسید شده (کیلوگرم)]]*Main[[#This Row],[روز از ارسال سفارش]]</f>
        <v>0</v>
      </c>
      <c r="U1619" s="6">
        <f>-SUBTOTAL(9,INDEX(Main[مقدار (کیلوگرم)],1):Main[[#This Row],[مقدار (کیلوگرم)]])</f>
        <v>37545</v>
      </c>
      <c r="V16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9" s="6">
        <f>Main[[#This Row],[تعداد کل روزهای بدهکار (روز)]]*Main[[#This Row],[مانده در خط کل (کیلوگرم)]]</f>
        <v>0</v>
      </c>
      <c r="X1619" s="6">
        <f ca="1">-SUBTOTAL(9,INDEX(Main[مقدار تسویه شده (کیلوگرم)],1):Main[[#This Row],[مقدار تسویه شده (کیلوگرم)]])</f>
        <v>37545</v>
      </c>
      <c r="Y1619" s="6">
        <f ca="1">IF(Main[[#This Row],[مانده در خط تسویه شده (کیلوگرم)]]&lt;&gt;0,Main[[#This Row],[تعداد کل روزهای بدهکار (روز)]],0)</f>
        <v>0</v>
      </c>
      <c r="Z1619" s="6">
        <f ca="1">Main[[#This Row],[تعداد روزهای بدهکار تسویه شده (روز)]]*Main[[#This Row],[مانده در خط تسویه شده (کیلوگرم)]]</f>
        <v>0</v>
      </c>
      <c r="AA1619" s="6">
        <f ca="1">SUBTOTAL(9,INDEX(Main[بدهی تسویه نشده (کیلوگرم)],1):Main[[#This Row],[بدهی تسویه نشده (کیلوگرم)]])</f>
        <v>0</v>
      </c>
      <c r="AB1619" s="6">
        <f ca="1">IF(Main[[#This Row],[مانده در خط تسویه نشده (کیلوگرم)]]&lt;&gt;0,Main[[#This Row],[تعداد کل روزهای بدهکار (روز)]],0)</f>
        <v>0</v>
      </c>
      <c r="AC1619" s="6">
        <f ca="1">Main[[#This Row],[تعداد روزهای بدهکار  تسویه نشده (روز)]]*Main[[#This Row],[مانده در خط تسویه نشده (کیلوگرم)]]</f>
        <v>0</v>
      </c>
      <c r="AD1619" s="6">
        <f ca="1">SUBTOTAL(9,INDEX(Main[بدهی سررسید شده (کیلوگرم)],1):Main[[#This Row],[بدهی سررسید شده (کیلوگرم)]])</f>
        <v>0</v>
      </c>
      <c r="AE1619" s="6">
        <f ca="1">IF(Main[[#This Row],[مانده در خط سررسید شده (کیلوگرم)]]&lt;&gt;0,Main[[#This Row],[تعداد کل روزهای بدهکار (روز)]],0)</f>
        <v>0</v>
      </c>
      <c r="AF1619" s="6">
        <f ca="1">Main[[#This Row],[تعداد روزهای بدهکار سررسید شده (روز)]]*Main[[#This Row],[مانده در خط سررسید شده (کیلوگرم)]]</f>
        <v>0</v>
      </c>
    </row>
    <row r="1620" spans="1:32" hidden="1" x14ac:dyDescent="0.35">
      <c r="A1620" s="5">
        <f>ROW()-ROW(INDEX(Main[ردیف],1))+1</f>
        <v>1618</v>
      </c>
      <c r="B1620" s="31">
        <f>SUBTOTAL(2,INDEX(Main[ردیف],1):Main[[#This Row],[ردیف]])</f>
        <v>145</v>
      </c>
      <c r="C1620" s="32" t="s">
        <v>702</v>
      </c>
      <c r="D1620" s="32" t="str">
        <f>_xlfn.CONCAT("14",Main[[#This Row],[تاريخ]])</f>
        <v>1400/06/27</v>
      </c>
      <c r="E1620" s="33">
        <v>44457</v>
      </c>
      <c r="F1620" s="32">
        <v>30160</v>
      </c>
      <c r="G1620" s="5" t="str">
        <f>INDEX(customer[عنوان],MATCH(Main[[#This Row],[کد ردیابی]],customer[کد],0))</f>
        <v>کیان صنعت</v>
      </c>
      <c r="H1620">
        <v>-272</v>
      </c>
      <c r="I1620" s="6">
        <f ca="1">-Main[[#This Row],[بدهی تسویه شده (کیلوگرم)]]+Main[[#This Row],[بستانکار (کیلوگرم)]]</f>
        <v>-272</v>
      </c>
      <c r="J1620" s="6">
        <f>IF(Main[[#This Row],[مقدار (کیلوگرم)]]&gt;0,Main[[#This Row],[مقدار (کیلوگرم)]],0)</f>
        <v>0</v>
      </c>
      <c r="K1620" s="6">
        <f>-IF(Main[[#This Row],[مقدار (کیلوگرم)]]&lt;0,Main[[#This Row],[مقدار (کیلوگرم)]],0)</f>
        <v>272</v>
      </c>
      <c r="L16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0" s="7">
        <f>-IF(AND(Main[[#This Row],[مقدار (کیلوگرم)]]&lt;0,Main[[#This Row],[تاريخ میلادی]]&gt;44276),Main[[#This Row],[مقدار (کیلوگرم)]],0)</f>
        <v>272</v>
      </c>
      <c r="N1620" s="6">
        <f ca="1">Main[[#This Row],[بدهکار (کیلوگرم)]]-Main[[#This Row],[بدهی تسویه نشده (کیلوگرم)]]</f>
        <v>272</v>
      </c>
      <c r="O1620" s="6">
        <f ca="1">Main[[#This Row],[تفکیک]]</f>
        <v>0</v>
      </c>
      <c r="P1620" s="6">
        <f ca="1">IF(Main[[#This Row],[تاخیر از سررسید]]&gt;0,Main[[#This Row],[بدهی تسویه نشده (کیلوگرم)]],0)</f>
        <v>0</v>
      </c>
      <c r="Q1620" s="6">
        <f ca="1">IF(Main[[#This Row],[بدهی تسویه نشده (کیلوگرم)]]&gt;0,'گزارش فردی'!$B$7-Main[[#This Row],[تاريخ میلادی]],0)</f>
        <v>0</v>
      </c>
      <c r="R1620" s="6">
        <f ca="1">IF(Main[[#This Row],[بدهی تسویه نشده (کیلوگرم)]]&gt;0,'گزارش فردی'!$B$7-Main[[#This Row],[تاريخ میلادی]]-'گزارش فردی'!$B$8,0)</f>
        <v>0</v>
      </c>
      <c r="S1620" s="6">
        <f ca="1">Main[[#This Row],[روز از ارسال سفارش]]*Main[[#This Row],[بدهی تسویه نشده (کیلوگرم)]]</f>
        <v>0</v>
      </c>
      <c r="T1620" s="6">
        <f ca="1">Main[[#This Row],[بدهی سررسید شده (کیلوگرم)]]*Main[[#This Row],[روز از ارسال سفارش]]</f>
        <v>0</v>
      </c>
      <c r="U1620" s="6">
        <f>-SUBTOTAL(9,INDEX(Main[مقدار (کیلوگرم)],1):Main[[#This Row],[مقدار (کیلوگرم)]])</f>
        <v>37545</v>
      </c>
      <c r="V16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0" s="6">
        <f>Main[[#This Row],[تعداد کل روزهای بدهکار (روز)]]*Main[[#This Row],[مانده در خط کل (کیلوگرم)]]</f>
        <v>0</v>
      </c>
      <c r="X1620" s="6">
        <f ca="1">-SUBTOTAL(9,INDEX(Main[مقدار تسویه شده (کیلوگرم)],1):Main[[#This Row],[مقدار تسویه شده (کیلوگرم)]])</f>
        <v>37545</v>
      </c>
      <c r="Y1620" s="6">
        <f ca="1">IF(Main[[#This Row],[مانده در خط تسویه شده (کیلوگرم)]]&lt;&gt;0,Main[[#This Row],[تعداد کل روزهای بدهکار (روز)]],0)</f>
        <v>0</v>
      </c>
      <c r="Z1620" s="6">
        <f ca="1">Main[[#This Row],[تعداد روزهای بدهکار تسویه شده (روز)]]*Main[[#This Row],[مانده در خط تسویه شده (کیلوگرم)]]</f>
        <v>0</v>
      </c>
      <c r="AA1620" s="6">
        <f ca="1">SUBTOTAL(9,INDEX(Main[بدهی تسویه نشده (کیلوگرم)],1):Main[[#This Row],[بدهی تسویه نشده (کیلوگرم)]])</f>
        <v>0</v>
      </c>
      <c r="AB1620" s="6">
        <f ca="1">IF(Main[[#This Row],[مانده در خط تسویه نشده (کیلوگرم)]]&lt;&gt;0,Main[[#This Row],[تعداد کل روزهای بدهکار (روز)]],0)</f>
        <v>0</v>
      </c>
      <c r="AC1620" s="6">
        <f ca="1">Main[[#This Row],[تعداد روزهای بدهکار  تسویه نشده (روز)]]*Main[[#This Row],[مانده در خط تسویه نشده (کیلوگرم)]]</f>
        <v>0</v>
      </c>
      <c r="AD1620" s="6">
        <f ca="1">SUBTOTAL(9,INDEX(Main[بدهی سررسید شده (کیلوگرم)],1):Main[[#This Row],[بدهی سررسید شده (کیلوگرم)]])</f>
        <v>0</v>
      </c>
      <c r="AE1620" s="6">
        <f ca="1">IF(Main[[#This Row],[مانده در خط سررسید شده (کیلوگرم)]]&lt;&gt;0,Main[[#This Row],[تعداد کل روزهای بدهکار (روز)]],0)</f>
        <v>0</v>
      </c>
      <c r="AF1620" s="6">
        <f ca="1">Main[[#This Row],[تعداد روزهای بدهکار سررسید شده (روز)]]*Main[[#This Row],[مانده در خط سررسید شده (کیلوگرم)]]</f>
        <v>0</v>
      </c>
    </row>
    <row r="1621" spans="1:32" hidden="1" x14ac:dyDescent="0.35">
      <c r="A1621" s="5">
        <f>ROW()-ROW(INDEX(Main[ردیف],1))+1</f>
        <v>1619</v>
      </c>
      <c r="B1621" s="31">
        <f>SUBTOTAL(2,INDEX(Main[ردیف],1):Main[[#This Row],[ردیف]])</f>
        <v>145</v>
      </c>
      <c r="C1621" s="32" t="s">
        <v>702</v>
      </c>
      <c r="D1621" s="32" t="str">
        <f>_xlfn.CONCAT("14",Main[[#This Row],[تاريخ]])</f>
        <v>1400/06/27</v>
      </c>
      <c r="E1621" s="33">
        <v>44457</v>
      </c>
      <c r="F1621" s="32">
        <v>30066</v>
      </c>
      <c r="G1621" s="5" t="str">
        <f>INDEX(customer[عنوان],MATCH(Main[[#This Row],[کد ردیابی]],customer[کد],0))</f>
        <v xml:space="preserve">شیر آلات بهداشتی قهرمان </v>
      </c>
      <c r="H1621">
        <v>10353</v>
      </c>
      <c r="I1621" s="6">
        <f ca="1">-Main[[#This Row],[بدهی تسویه شده (کیلوگرم)]]+Main[[#This Row],[بستانکار (کیلوگرم)]]</f>
        <v>10353</v>
      </c>
      <c r="J1621" s="6">
        <f>IF(Main[[#This Row],[مقدار (کیلوگرم)]]&gt;0,Main[[#This Row],[مقدار (کیلوگرم)]],0)</f>
        <v>10353</v>
      </c>
      <c r="K1621" s="6">
        <f>-IF(Main[[#This Row],[مقدار (کیلوگرم)]]&lt;0,Main[[#This Row],[مقدار (کیلوگرم)]],0)</f>
        <v>0</v>
      </c>
      <c r="L16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1" s="7">
        <f>-IF(AND(Main[[#This Row],[مقدار (کیلوگرم)]]&lt;0,Main[[#This Row],[تاريخ میلادی]]&gt;44276),Main[[#This Row],[مقدار (کیلوگرم)]],0)</f>
        <v>0</v>
      </c>
      <c r="N1621" s="6">
        <f ca="1">Main[[#This Row],[بدهکار (کیلوگرم)]]-Main[[#This Row],[بدهی تسویه نشده (کیلوگرم)]]</f>
        <v>0</v>
      </c>
      <c r="O1621" s="6">
        <f ca="1">Main[[#This Row],[تفکیک]]</f>
        <v>0</v>
      </c>
      <c r="P1621" s="6">
        <f ca="1">IF(Main[[#This Row],[تاخیر از سررسید]]&gt;0,Main[[#This Row],[بدهی تسویه نشده (کیلوگرم)]],0)</f>
        <v>0</v>
      </c>
      <c r="Q1621" s="6">
        <f ca="1">IF(Main[[#This Row],[بدهی تسویه نشده (کیلوگرم)]]&gt;0,'گزارش فردی'!$B$7-Main[[#This Row],[تاريخ میلادی]],0)</f>
        <v>0</v>
      </c>
      <c r="R1621" s="6">
        <f ca="1">IF(Main[[#This Row],[بدهی تسویه نشده (کیلوگرم)]]&gt;0,'گزارش فردی'!$B$7-Main[[#This Row],[تاريخ میلادی]]-'گزارش فردی'!$B$8,0)</f>
        <v>0</v>
      </c>
      <c r="S1621" s="6">
        <f ca="1">Main[[#This Row],[روز از ارسال سفارش]]*Main[[#This Row],[بدهی تسویه نشده (کیلوگرم)]]</f>
        <v>0</v>
      </c>
      <c r="T1621" s="6">
        <f ca="1">Main[[#This Row],[بدهی سررسید شده (کیلوگرم)]]*Main[[#This Row],[روز از ارسال سفارش]]</f>
        <v>0</v>
      </c>
      <c r="U1621" s="6">
        <f>-SUBTOTAL(9,INDEX(Main[مقدار (کیلوگرم)],1):Main[[#This Row],[مقدار (کیلوگرم)]])</f>
        <v>37545</v>
      </c>
      <c r="V16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1" s="6">
        <f>Main[[#This Row],[تعداد کل روزهای بدهکار (روز)]]*Main[[#This Row],[مانده در خط کل (کیلوگرم)]]</f>
        <v>0</v>
      </c>
      <c r="X1621" s="6">
        <f ca="1">-SUBTOTAL(9,INDEX(Main[مقدار تسویه شده (کیلوگرم)],1):Main[[#This Row],[مقدار تسویه شده (کیلوگرم)]])</f>
        <v>37545</v>
      </c>
      <c r="Y1621" s="6">
        <f ca="1">IF(Main[[#This Row],[مانده در خط تسویه شده (کیلوگرم)]]&lt;&gt;0,Main[[#This Row],[تعداد کل روزهای بدهکار (روز)]],0)</f>
        <v>0</v>
      </c>
      <c r="Z1621" s="6">
        <f ca="1">Main[[#This Row],[تعداد روزهای بدهکار تسویه شده (روز)]]*Main[[#This Row],[مانده در خط تسویه شده (کیلوگرم)]]</f>
        <v>0</v>
      </c>
      <c r="AA1621" s="6">
        <f ca="1">SUBTOTAL(9,INDEX(Main[بدهی تسویه نشده (کیلوگرم)],1):Main[[#This Row],[بدهی تسویه نشده (کیلوگرم)]])</f>
        <v>0</v>
      </c>
      <c r="AB1621" s="6">
        <f ca="1">IF(Main[[#This Row],[مانده در خط تسویه نشده (کیلوگرم)]]&lt;&gt;0,Main[[#This Row],[تعداد کل روزهای بدهکار (روز)]],0)</f>
        <v>0</v>
      </c>
      <c r="AC1621" s="6">
        <f ca="1">Main[[#This Row],[تعداد روزهای بدهکار  تسویه نشده (روز)]]*Main[[#This Row],[مانده در خط تسویه نشده (کیلوگرم)]]</f>
        <v>0</v>
      </c>
      <c r="AD1621" s="6">
        <f ca="1">SUBTOTAL(9,INDEX(Main[بدهی سررسید شده (کیلوگرم)],1):Main[[#This Row],[بدهی سررسید شده (کیلوگرم)]])</f>
        <v>0</v>
      </c>
      <c r="AE1621" s="6">
        <f ca="1">IF(Main[[#This Row],[مانده در خط سررسید شده (کیلوگرم)]]&lt;&gt;0,Main[[#This Row],[تعداد کل روزهای بدهکار (روز)]],0)</f>
        <v>0</v>
      </c>
      <c r="AF1621" s="6">
        <f ca="1">Main[[#This Row],[تعداد روزهای بدهکار سررسید شده (روز)]]*Main[[#This Row],[مانده در خط سررسید شده (کیلوگرم)]]</f>
        <v>0</v>
      </c>
    </row>
    <row r="1622" spans="1:32" hidden="1" x14ac:dyDescent="0.35">
      <c r="A1622" s="5">
        <f>ROW()-ROW(INDEX(Main[ردیف],1))+1</f>
        <v>1620</v>
      </c>
      <c r="B1622" s="31">
        <f>SUBTOTAL(2,INDEX(Main[ردیف],1):Main[[#This Row],[ردیف]])</f>
        <v>145</v>
      </c>
      <c r="C1622" s="32" t="s">
        <v>702</v>
      </c>
      <c r="D1622" s="32" t="str">
        <f>_xlfn.CONCAT("14",Main[[#This Row],[تاريخ]])</f>
        <v>1400/06/27</v>
      </c>
      <c r="E1622" s="33">
        <v>44457</v>
      </c>
      <c r="F1622" s="32">
        <v>30099</v>
      </c>
      <c r="G1622" s="5" t="str">
        <f>INDEX(customer[عنوان],MATCH(Main[[#This Row],[کد ردیابی]],customer[کد],0))</f>
        <v>ایران شرق نیشابور</v>
      </c>
      <c r="H1622">
        <v>-2523</v>
      </c>
      <c r="I1622" s="6">
        <f ca="1">-Main[[#This Row],[بدهی تسویه شده (کیلوگرم)]]+Main[[#This Row],[بستانکار (کیلوگرم)]]</f>
        <v>-2523</v>
      </c>
      <c r="J1622" s="6">
        <f>IF(Main[[#This Row],[مقدار (کیلوگرم)]]&gt;0,Main[[#This Row],[مقدار (کیلوگرم)]],0)</f>
        <v>0</v>
      </c>
      <c r="K1622" s="6">
        <f>-IF(Main[[#This Row],[مقدار (کیلوگرم)]]&lt;0,Main[[#This Row],[مقدار (کیلوگرم)]],0)</f>
        <v>2523</v>
      </c>
      <c r="L16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2" s="7">
        <f>-IF(AND(Main[[#This Row],[مقدار (کیلوگرم)]]&lt;0,Main[[#This Row],[تاريخ میلادی]]&gt;44276),Main[[#This Row],[مقدار (کیلوگرم)]],0)</f>
        <v>2523</v>
      </c>
      <c r="N1622" s="6">
        <f ca="1">Main[[#This Row],[بدهکار (کیلوگرم)]]-Main[[#This Row],[بدهی تسویه نشده (کیلوگرم)]]</f>
        <v>2523</v>
      </c>
      <c r="O1622" s="6">
        <f ca="1">Main[[#This Row],[تفکیک]]</f>
        <v>0</v>
      </c>
      <c r="P1622" s="6">
        <f ca="1">IF(Main[[#This Row],[تاخیر از سررسید]]&gt;0,Main[[#This Row],[بدهی تسویه نشده (کیلوگرم)]],0)</f>
        <v>0</v>
      </c>
      <c r="Q1622" s="6">
        <f ca="1">IF(Main[[#This Row],[بدهی تسویه نشده (کیلوگرم)]]&gt;0,'گزارش فردی'!$B$7-Main[[#This Row],[تاريخ میلادی]],0)</f>
        <v>0</v>
      </c>
      <c r="R1622" s="6">
        <f ca="1">IF(Main[[#This Row],[بدهی تسویه نشده (کیلوگرم)]]&gt;0,'گزارش فردی'!$B$7-Main[[#This Row],[تاريخ میلادی]]-'گزارش فردی'!$B$8,0)</f>
        <v>0</v>
      </c>
      <c r="S1622" s="6">
        <f ca="1">Main[[#This Row],[روز از ارسال سفارش]]*Main[[#This Row],[بدهی تسویه نشده (کیلوگرم)]]</f>
        <v>0</v>
      </c>
      <c r="T1622" s="6">
        <f ca="1">Main[[#This Row],[بدهی سررسید شده (کیلوگرم)]]*Main[[#This Row],[روز از ارسال سفارش]]</f>
        <v>0</v>
      </c>
      <c r="U1622" s="6">
        <f>-SUBTOTAL(9,INDEX(Main[مقدار (کیلوگرم)],1):Main[[#This Row],[مقدار (کیلوگرم)]])</f>
        <v>37545</v>
      </c>
      <c r="V16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2" s="6">
        <f>Main[[#This Row],[تعداد کل روزهای بدهکار (روز)]]*Main[[#This Row],[مانده در خط کل (کیلوگرم)]]</f>
        <v>0</v>
      </c>
      <c r="X1622" s="6">
        <f ca="1">-SUBTOTAL(9,INDEX(Main[مقدار تسویه شده (کیلوگرم)],1):Main[[#This Row],[مقدار تسویه شده (کیلوگرم)]])</f>
        <v>37545</v>
      </c>
      <c r="Y1622" s="6">
        <f ca="1">IF(Main[[#This Row],[مانده در خط تسویه شده (کیلوگرم)]]&lt;&gt;0,Main[[#This Row],[تعداد کل روزهای بدهکار (روز)]],0)</f>
        <v>0</v>
      </c>
      <c r="Z1622" s="6">
        <f ca="1">Main[[#This Row],[تعداد روزهای بدهکار تسویه شده (روز)]]*Main[[#This Row],[مانده در خط تسویه شده (کیلوگرم)]]</f>
        <v>0</v>
      </c>
      <c r="AA1622" s="6">
        <f ca="1">SUBTOTAL(9,INDEX(Main[بدهی تسویه نشده (کیلوگرم)],1):Main[[#This Row],[بدهی تسویه نشده (کیلوگرم)]])</f>
        <v>0</v>
      </c>
      <c r="AB1622" s="6">
        <f ca="1">IF(Main[[#This Row],[مانده در خط تسویه نشده (کیلوگرم)]]&lt;&gt;0,Main[[#This Row],[تعداد کل روزهای بدهکار (روز)]],0)</f>
        <v>0</v>
      </c>
      <c r="AC1622" s="6">
        <f ca="1">Main[[#This Row],[تعداد روزهای بدهکار  تسویه نشده (روز)]]*Main[[#This Row],[مانده در خط تسویه نشده (کیلوگرم)]]</f>
        <v>0</v>
      </c>
      <c r="AD1622" s="6">
        <f ca="1">SUBTOTAL(9,INDEX(Main[بدهی سررسید شده (کیلوگرم)],1):Main[[#This Row],[بدهی سررسید شده (کیلوگرم)]])</f>
        <v>0</v>
      </c>
      <c r="AE1622" s="6">
        <f ca="1">IF(Main[[#This Row],[مانده در خط سررسید شده (کیلوگرم)]]&lt;&gt;0,Main[[#This Row],[تعداد کل روزهای بدهکار (روز)]],0)</f>
        <v>0</v>
      </c>
      <c r="AF1622" s="6">
        <f ca="1">Main[[#This Row],[تعداد روزهای بدهکار سررسید شده (روز)]]*Main[[#This Row],[مانده در خط سررسید شده (کیلوگرم)]]</f>
        <v>0</v>
      </c>
    </row>
    <row r="1623" spans="1:32" hidden="1" x14ac:dyDescent="0.35">
      <c r="A1623" s="5">
        <f>ROW()-ROW(INDEX(Main[ردیف],1))+1</f>
        <v>1621</v>
      </c>
      <c r="B1623" s="31">
        <f>SUBTOTAL(2,INDEX(Main[ردیف],1):Main[[#This Row],[ردیف]])</f>
        <v>145</v>
      </c>
      <c r="C1623" s="32" t="s">
        <v>702</v>
      </c>
      <c r="D1623" s="32" t="str">
        <f>_xlfn.CONCAT("14",Main[[#This Row],[تاريخ]])</f>
        <v>1400/06/27</v>
      </c>
      <c r="E1623" s="33">
        <v>44457</v>
      </c>
      <c r="F1623" s="32">
        <v>30066</v>
      </c>
      <c r="G1623" s="5" t="str">
        <f>INDEX(customer[عنوان],MATCH(Main[[#This Row],[کد ردیابی]],customer[کد],0))</f>
        <v xml:space="preserve">شیر آلات بهداشتی قهرمان </v>
      </c>
      <c r="H1623">
        <v>9925</v>
      </c>
      <c r="I1623" s="6">
        <f ca="1">-Main[[#This Row],[بدهی تسویه شده (کیلوگرم)]]+Main[[#This Row],[بستانکار (کیلوگرم)]]</f>
        <v>9925</v>
      </c>
      <c r="J1623" s="6">
        <f>IF(Main[[#This Row],[مقدار (کیلوگرم)]]&gt;0,Main[[#This Row],[مقدار (کیلوگرم)]],0)</f>
        <v>9925</v>
      </c>
      <c r="K1623" s="6">
        <f>-IF(Main[[#This Row],[مقدار (کیلوگرم)]]&lt;0,Main[[#This Row],[مقدار (کیلوگرم)]],0)</f>
        <v>0</v>
      </c>
      <c r="L16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3" s="7">
        <f>-IF(AND(Main[[#This Row],[مقدار (کیلوگرم)]]&lt;0,Main[[#This Row],[تاريخ میلادی]]&gt;44276),Main[[#This Row],[مقدار (کیلوگرم)]],0)</f>
        <v>0</v>
      </c>
      <c r="N1623" s="6">
        <f ca="1">Main[[#This Row],[بدهکار (کیلوگرم)]]-Main[[#This Row],[بدهی تسویه نشده (کیلوگرم)]]</f>
        <v>0</v>
      </c>
      <c r="O1623" s="6">
        <f ca="1">Main[[#This Row],[تفکیک]]</f>
        <v>0</v>
      </c>
      <c r="P1623" s="6">
        <f ca="1">IF(Main[[#This Row],[تاخیر از سررسید]]&gt;0,Main[[#This Row],[بدهی تسویه نشده (کیلوگرم)]],0)</f>
        <v>0</v>
      </c>
      <c r="Q1623" s="6">
        <f ca="1">IF(Main[[#This Row],[بدهی تسویه نشده (کیلوگرم)]]&gt;0,'گزارش فردی'!$B$7-Main[[#This Row],[تاريخ میلادی]],0)</f>
        <v>0</v>
      </c>
      <c r="R1623" s="6">
        <f ca="1">IF(Main[[#This Row],[بدهی تسویه نشده (کیلوگرم)]]&gt;0,'گزارش فردی'!$B$7-Main[[#This Row],[تاريخ میلادی]]-'گزارش فردی'!$B$8,0)</f>
        <v>0</v>
      </c>
      <c r="S1623" s="6">
        <f ca="1">Main[[#This Row],[روز از ارسال سفارش]]*Main[[#This Row],[بدهی تسویه نشده (کیلوگرم)]]</f>
        <v>0</v>
      </c>
      <c r="T1623" s="6">
        <f ca="1">Main[[#This Row],[بدهی سررسید شده (کیلوگرم)]]*Main[[#This Row],[روز از ارسال سفارش]]</f>
        <v>0</v>
      </c>
      <c r="U1623" s="6">
        <f>-SUBTOTAL(9,INDEX(Main[مقدار (کیلوگرم)],1):Main[[#This Row],[مقدار (کیلوگرم)]])</f>
        <v>37545</v>
      </c>
      <c r="V16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3" s="6">
        <f>Main[[#This Row],[تعداد کل روزهای بدهکار (روز)]]*Main[[#This Row],[مانده در خط کل (کیلوگرم)]]</f>
        <v>0</v>
      </c>
      <c r="X1623" s="6">
        <f ca="1">-SUBTOTAL(9,INDEX(Main[مقدار تسویه شده (کیلوگرم)],1):Main[[#This Row],[مقدار تسویه شده (کیلوگرم)]])</f>
        <v>37545</v>
      </c>
      <c r="Y1623" s="6">
        <f ca="1">IF(Main[[#This Row],[مانده در خط تسویه شده (کیلوگرم)]]&lt;&gt;0,Main[[#This Row],[تعداد کل روزهای بدهکار (روز)]],0)</f>
        <v>0</v>
      </c>
      <c r="Z1623" s="6">
        <f ca="1">Main[[#This Row],[تعداد روزهای بدهکار تسویه شده (روز)]]*Main[[#This Row],[مانده در خط تسویه شده (کیلوگرم)]]</f>
        <v>0</v>
      </c>
      <c r="AA1623" s="6">
        <f ca="1">SUBTOTAL(9,INDEX(Main[بدهی تسویه نشده (کیلوگرم)],1):Main[[#This Row],[بدهی تسویه نشده (کیلوگرم)]])</f>
        <v>0</v>
      </c>
      <c r="AB1623" s="6">
        <f ca="1">IF(Main[[#This Row],[مانده در خط تسویه نشده (کیلوگرم)]]&lt;&gt;0,Main[[#This Row],[تعداد کل روزهای بدهکار (روز)]],0)</f>
        <v>0</v>
      </c>
      <c r="AC1623" s="6">
        <f ca="1">Main[[#This Row],[تعداد روزهای بدهکار  تسویه نشده (روز)]]*Main[[#This Row],[مانده در خط تسویه نشده (کیلوگرم)]]</f>
        <v>0</v>
      </c>
      <c r="AD1623" s="6">
        <f ca="1">SUBTOTAL(9,INDEX(Main[بدهی سررسید شده (کیلوگرم)],1):Main[[#This Row],[بدهی سررسید شده (کیلوگرم)]])</f>
        <v>0</v>
      </c>
      <c r="AE1623" s="6">
        <f ca="1">IF(Main[[#This Row],[مانده در خط سررسید شده (کیلوگرم)]]&lt;&gt;0,Main[[#This Row],[تعداد کل روزهای بدهکار (روز)]],0)</f>
        <v>0</v>
      </c>
      <c r="AF1623" s="6">
        <f ca="1">Main[[#This Row],[تعداد روزهای بدهکار سررسید شده (روز)]]*Main[[#This Row],[مانده در خط سررسید شده (کیلوگرم)]]</f>
        <v>0</v>
      </c>
    </row>
    <row r="1624" spans="1:32" x14ac:dyDescent="0.35">
      <c r="A1624" s="5">
        <f>ROW()-ROW(INDEX(Main[ردیف],1))+1</f>
        <v>1622</v>
      </c>
      <c r="B1624" s="31">
        <f>SUBTOTAL(2,INDEX(Main[ردیف],1):Main[[#This Row],[ردیف]])</f>
        <v>146</v>
      </c>
      <c r="C1624" s="32" t="s">
        <v>702</v>
      </c>
      <c r="D1624" s="32" t="str">
        <f>_xlfn.CONCAT("14",Main[[#This Row],[تاريخ]])</f>
        <v>1400/06/27</v>
      </c>
      <c r="E1624" s="33">
        <v>44457</v>
      </c>
      <c r="F1624" s="32">
        <v>10003</v>
      </c>
      <c r="G1624" s="5" t="str">
        <f>INDEX(customer[عنوان],MATCH(Main[[#This Row],[کد ردیابی]],customer[کد],0))</f>
        <v>اصغر نورعلی</v>
      </c>
      <c r="H1624">
        <v>-2499</v>
      </c>
      <c r="I1624" s="6">
        <f ca="1">-Main[[#This Row],[بدهی تسویه شده (کیلوگرم)]]+Main[[#This Row],[بستانکار (کیلوگرم)]]</f>
        <v>-2499</v>
      </c>
      <c r="J1624" s="6">
        <f>IF(Main[[#This Row],[مقدار (کیلوگرم)]]&gt;0,Main[[#This Row],[مقدار (کیلوگرم)]],0)</f>
        <v>0</v>
      </c>
      <c r="K1624" s="6">
        <f>-IF(Main[[#This Row],[مقدار (کیلوگرم)]]&lt;0,Main[[#This Row],[مقدار (کیلوگرم)]],0)</f>
        <v>2499</v>
      </c>
      <c r="L16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4" s="7">
        <f>-IF(AND(Main[[#This Row],[مقدار (کیلوگرم)]]&lt;0,Main[[#This Row],[تاريخ میلادی]]&gt;44276),Main[[#This Row],[مقدار (کیلوگرم)]],0)</f>
        <v>2499</v>
      </c>
      <c r="N1624" s="6">
        <f ca="1">Main[[#This Row],[بدهکار (کیلوگرم)]]-Main[[#This Row],[بدهی تسویه نشده (کیلوگرم)]]</f>
        <v>2499</v>
      </c>
      <c r="O1624" s="6">
        <f ca="1">Main[[#This Row],[تفکیک]]</f>
        <v>0</v>
      </c>
      <c r="P1624" s="6">
        <f ca="1">IF(Main[[#This Row],[تاخیر از سررسید]]&gt;0,Main[[#This Row],[بدهی تسویه نشده (کیلوگرم)]],0)</f>
        <v>0</v>
      </c>
      <c r="Q1624" s="6">
        <f ca="1">IF(Main[[#This Row],[بدهی تسویه نشده (کیلوگرم)]]&gt;0,'گزارش فردی'!$B$7-Main[[#This Row],[تاريخ میلادی]],0)</f>
        <v>0</v>
      </c>
      <c r="R1624" s="6">
        <f ca="1">IF(Main[[#This Row],[بدهی تسویه نشده (کیلوگرم)]]&gt;0,'گزارش فردی'!$B$7-Main[[#This Row],[تاريخ میلادی]]-'گزارش فردی'!$B$8,0)</f>
        <v>0</v>
      </c>
      <c r="S1624" s="6">
        <f ca="1">Main[[#This Row],[روز از ارسال سفارش]]*Main[[#This Row],[بدهی تسویه نشده (کیلوگرم)]]</f>
        <v>0</v>
      </c>
      <c r="T1624" s="6">
        <f ca="1">Main[[#This Row],[بدهی سررسید شده (کیلوگرم)]]*Main[[#This Row],[روز از ارسال سفارش]]</f>
        <v>0</v>
      </c>
      <c r="U1624" s="6">
        <f>-SUBTOTAL(9,INDEX(Main[مقدار (کیلوگرم)],1):Main[[#This Row],[مقدار (کیلوگرم)]])</f>
        <v>40044</v>
      </c>
      <c r="V16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4" s="6">
        <f>Main[[#This Row],[تعداد کل روزهای بدهکار (روز)]]*Main[[#This Row],[مانده در خط کل (کیلوگرم)]]</f>
        <v>0</v>
      </c>
      <c r="X1624" s="6">
        <f ca="1">-SUBTOTAL(9,INDEX(Main[مقدار تسویه شده (کیلوگرم)],1):Main[[#This Row],[مقدار تسویه شده (کیلوگرم)]])</f>
        <v>40044</v>
      </c>
      <c r="Y1624" s="6">
        <f ca="1">IF(Main[[#This Row],[مانده در خط تسویه شده (کیلوگرم)]]&lt;&gt;0,Main[[#This Row],[تعداد کل روزهای بدهکار (روز)]],0)</f>
        <v>0</v>
      </c>
      <c r="Z1624" s="6">
        <f ca="1">Main[[#This Row],[تعداد روزهای بدهکار تسویه شده (روز)]]*Main[[#This Row],[مانده در خط تسویه شده (کیلوگرم)]]</f>
        <v>0</v>
      </c>
      <c r="AA1624" s="6">
        <f ca="1">SUBTOTAL(9,INDEX(Main[بدهی تسویه نشده (کیلوگرم)],1):Main[[#This Row],[بدهی تسویه نشده (کیلوگرم)]])</f>
        <v>0</v>
      </c>
      <c r="AB1624" s="6">
        <f ca="1">IF(Main[[#This Row],[مانده در خط تسویه نشده (کیلوگرم)]]&lt;&gt;0,Main[[#This Row],[تعداد کل روزهای بدهکار (روز)]],0)</f>
        <v>0</v>
      </c>
      <c r="AC1624" s="6">
        <f ca="1">Main[[#This Row],[تعداد روزهای بدهکار  تسویه نشده (روز)]]*Main[[#This Row],[مانده در خط تسویه نشده (کیلوگرم)]]</f>
        <v>0</v>
      </c>
      <c r="AD1624" s="6">
        <f ca="1">SUBTOTAL(9,INDEX(Main[بدهی سررسید شده (کیلوگرم)],1):Main[[#This Row],[بدهی سررسید شده (کیلوگرم)]])</f>
        <v>0</v>
      </c>
      <c r="AE1624" s="6">
        <f ca="1">IF(Main[[#This Row],[مانده در خط سررسید شده (کیلوگرم)]]&lt;&gt;0,Main[[#This Row],[تعداد کل روزهای بدهکار (روز)]],0)</f>
        <v>0</v>
      </c>
      <c r="AF1624" s="6">
        <f ca="1">Main[[#This Row],[تعداد روزهای بدهکار سررسید شده (روز)]]*Main[[#This Row],[مانده در خط سررسید شده (کیلوگرم)]]</f>
        <v>0</v>
      </c>
    </row>
    <row r="1625" spans="1:32" x14ac:dyDescent="0.35">
      <c r="A1625" s="5">
        <f>ROW()-ROW(INDEX(Main[ردیف],1))+1</f>
        <v>1623</v>
      </c>
      <c r="B1625" s="31">
        <f>SUBTOTAL(2,INDEX(Main[ردیف],1):Main[[#This Row],[ردیف]])</f>
        <v>147</v>
      </c>
      <c r="C1625" s="32" t="s">
        <v>702</v>
      </c>
      <c r="D1625" s="32" t="str">
        <f>_xlfn.CONCAT("14",Main[[#This Row],[تاريخ]])</f>
        <v>1400/06/27</v>
      </c>
      <c r="E1625" s="33">
        <v>44457</v>
      </c>
      <c r="F1625" s="32">
        <v>10003</v>
      </c>
      <c r="G1625" s="5" t="str">
        <f>INDEX(customer[عنوان],MATCH(Main[[#This Row],[کد ردیابی]],customer[کد],0))</f>
        <v>اصغر نورعلی</v>
      </c>
      <c r="H1625">
        <v>19800</v>
      </c>
      <c r="I1625" s="6">
        <f ca="1">-Main[[#This Row],[بدهی تسویه شده (کیلوگرم)]]+Main[[#This Row],[بستانکار (کیلوگرم)]]</f>
        <v>19800</v>
      </c>
      <c r="J1625" s="6">
        <f>IF(Main[[#This Row],[مقدار (کیلوگرم)]]&gt;0,Main[[#This Row],[مقدار (کیلوگرم)]],0)</f>
        <v>19800</v>
      </c>
      <c r="K1625" s="6">
        <f>-IF(Main[[#This Row],[مقدار (کیلوگرم)]]&lt;0,Main[[#This Row],[مقدار (کیلوگرم)]],0)</f>
        <v>0</v>
      </c>
      <c r="L16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5" s="7">
        <f>-IF(AND(Main[[#This Row],[مقدار (کیلوگرم)]]&lt;0,Main[[#This Row],[تاريخ میلادی]]&gt;44276),Main[[#This Row],[مقدار (کیلوگرم)]],0)</f>
        <v>0</v>
      </c>
      <c r="N1625" s="6">
        <f ca="1">Main[[#This Row],[بدهکار (کیلوگرم)]]-Main[[#This Row],[بدهی تسویه نشده (کیلوگرم)]]</f>
        <v>0</v>
      </c>
      <c r="O1625" s="6">
        <f ca="1">Main[[#This Row],[تفکیک]]</f>
        <v>0</v>
      </c>
      <c r="P1625" s="6">
        <f ca="1">IF(Main[[#This Row],[تاخیر از سررسید]]&gt;0,Main[[#This Row],[بدهی تسویه نشده (کیلوگرم)]],0)</f>
        <v>0</v>
      </c>
      <c r="Q1625" s="6">
        <f ca="1">IF(Main[[#This Row],[بدهی تسویه نشده (کیلوگرم)]]&gt;0,'گزارش فردی'!$B$7-Main[[#This Row],[تاريخ میلادی]],0)</f>
        <v>0</v>
      </c>
      <c r="R1625" s="6">
        <f ca="1">IF(Main[[#This Row],[بدهی تسویه نشده (کیلوگرم)]]&gt;0,'گزارش فردی'!$B$7-Main[[#This Row],[تاريخ میلادی]]-'گزارش فردی'!$B$8,0)</f>
        <v>0</v>
      </c>
      <c r="S1625" s="6">
        <f ca="1">Main[[#This Row],[روز از ارسال سفارش]]*Main[[#This Row],[بدهی تسویه نشده (کیلوگرم)]]</f>
        <v>0</v>
      </c>
      <c r="T1625" s="6">
        <f ca="1">Main[[#This Row],[بدهی سررسید شده (کیلوگرم)]]*Main[[#This Row],[روز از ارسال سفارش]]</f>
        <v>0</v>
      </c>
      <c r="U1625" s="6">
        <f>-SUBTOTAL(9,INDEX(Main[مقدار (کیلوگرم)],1):Main[[#This Row],[مقدار (کیلوگرم)]])</f>
        <v>20244</v>
      </c>
      <c r="V16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5" s="6">
        <f>Main[[#This Row],[تعداد کل روزهای بدهکار (روز)]]*Main[[#This Row],[مانده در خط کل (کیلوگرم)]]</f>
        <v>20244</v>
      </c>
      <c r="X1625" s="6">
        <f ca="1">-SUBTOTAL(9,INDEX(Main[مقدار تسویه شده (کیلوگرم)],1):Main[[#This Row],[مقدار تسویه شده (کیلوگرم)]])</f>
        <v>20244</v>
      </c>
      <c r="Y1625" s="6">
        <f ca="1">IF(Main[[#This Row],[مانده در خط تسویه شده (کیلوگرم)]]&lt;&gt;0,Main[[#This Row],[تعداد کل روزهای بدهکار (روز)]],0)</f>
        <v>1</v>
      </c>
      <c r="Z1625" s="6">
        <f ca="1">Main[[#This Row],[تعداد روزهای بدهکار تسویه شده (روز)]]*Main[[#This Row],[مانده در خط تسویه شده (کیلوگرم)]]</f>
        <v>20244</v>
      </c>
      <c r="AA1625" s="6">
        <f ca="1">SUBTOTAL(9,INDEX(Main[بدهی تسویه نشده (کیلوگرم)],1):Main[[#This Row],[بدهی تسویه نشده (کیلوگرم)]])</f>
        <v>0</v>
      </c>
      <c r="AB1625" s="6">
        <f ca="1">IF(Main[[#This Row],[مانده در خط تسویه نشده (کیلوگرم)]]&lt;&gt;0,Main[[#This Row],[تعداد کل روزهای بدهکار (روز)]],0)</f>
        <v>0</v>
      </c>
      <c r="AC1625" s="6">
        <f ca="1">Main[[#This Row],[تعداد روزهای بدهکار  تسویه نشده (روز)]]*Main[[#This Row],[مانده در خط تسویه نشده (کیلوگرم)]]</f>
        <v>0</v>
      </c>
      <c r="AD1625" s="6">
        <f ca="1">SUBTOTAL(9,INDEX(Main[بدهی سررسید شده (کیلوگرم)],1):Main[[#This Row],[بدهی سررسید شده (کیلوگرم)]])</f>
        <v>0</v>
      </c>
      <c r="AE1625" s="6">
        <f ca="1">IF(Main[[#This Row],[مانده در خط سررسید شده (کیلوگرم)]]&lt;&gt;0,Main[[#This Row],[تعداد کل روزهای بدهکار (روز)]],0)</f>
        <v>0</v>
      </c>
      <c r="AF1625" s="6">
        <f ca="1">Main[[#This Row],[تعداد روزهای بدهکار سررسید شده (روز)]]*Main[[#This Row],[مانده در خط سررسید شده (کیلوگرم)]]</f>
        <v>0</v>
      </c>
    </row>
    <row r="1626" spans="1:32" hidden="1" x14ac:dyDescent="0.35">
      <c r="A1626" s="5">
        <f>ROW()-ROW(INDEX(Main[ردیف],1))+1</f>
        <v>1624</v>
      </c>
      <c r="B1626" s="31">
        <f>SUBTOTAL(2,INDEX(Main[ردیف],1):Main[[#This Row],[ردیف]])</f>
        <v>147</v>
      </c>
      <c r="C1626" s="32" t="s">
        <v>702</v>
      </c>
      <c r="D1626" s="32" t="str">
        <f>_xlfn.CONCAT("14",Main[[#This Row],[تاريخ]])</f>
        <v>1400/06/27</v>
      </c>
      <c r="E1626" s="33">
        <v>44457</v>
      </c>
      <c r="F1626" s="32">
        <v>10026</v>
      </c>
      <c r="G1626" s="5" t="str">
        <f>INDEX(customer[عنوان],MATCH(Main[[#This Row],[کد ردیابی]],customer[کد],0))</f>
        <v xml:space="preserve">محسن فیاض بخش </v>
      </c>
      <c r="H1626">
        <v>-4070</v>
      </c>
      <c r="I1626" s="6">
        <f ca="1">-Main[[#This Row],[بدهی تسویه شده (کیلوگرم)]]+Main[[#This Row],[بستانکار (کیلوگرم)]]</f>
        <v>-4070</v>
      </c>
      <c r="J1626" s="6">
        <f>IF(Main[[#This Row],[مقدار (کیلوگرم)]]&gt;0,Main[[#This Row],[مقدار (کیلوگرم)]],0)</f>
        <v>0</v>
      </c>
      <c r="K1626" s="6">
        <f>-IF(Main[[#This Row],[مقدار (کیلوگرم)]]&lt;0,Main[[#This Row],[مقدار (کیلوگرم)]],0)</f>
        <v>4070</v>
      </c>
      <c r="L16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6" s="7">
        <f>-IF(AND(Main[[#This Row],[مقدار (کیلوگرم)]]&lt;0,Main[[#This Row],[تاريخ میلادی]]&gt;44276),Main[[#This Row],[مقدار (کیلوگرم)]],0)</f>
        <v>4070</v>
      </c>
      <c r="N1626" s="6">
        <f ca="1">Main[[#This Row],[بدهکار (کیلوگرم)]]-Main[[#This Row],[بدهی تسویه نشده (کیلوگرم)]]</f>
        <v>4070</v>
      </c>
      <c r="O1626" s="6">
        <f ca="1">Main[[#This Row],[تفکیک]]</f>
        <v>0</v>
      </c>
      <c r="P1626" s="6">
        <f ca="1">IF(Main[[#This Row],[تاخیر از سررسید]]&gt;0,Main[[#This Row],[بدهی تسویه نشده (کیلوگرم)]],0)</f>
        <v>0</v>
      </c>
      <c r="Q1626" s="6">
        <f ca="1">IF(Main[[#This Row],[بدهی تسویه نشده (کیلوگرم)]]&gt;0,'گزارش فردی'!$B$7-Main[[#This Row],[تاريخ میلادی]],0)</f>
        <v>0</v>
      </c>
      <c r="R1626" s="6">
        <f ca="1">IF(Main[[#This Row],[بدهی تسویه نشده (کیلوگرم)]]&gt;0,'گزارش فردی'!$B$7-Main[[#This Row],[تاريخ میلادی]]-'گزارش فردی'!$B$8,0)</f>
        <v>0</v>
      </c>
      <c r="S1626" s="6">
        <f ca="1">Main[[#This Row],[روز از ارسال سفارش]]*Main[[#This Row],[بدهی تسویه نشده (کیلوگرم)]]</f>
        <v>0</v>
      </c>
      <c r="T1626" s="6">
        <f ca="1">Main[[#This Row],[بدهی سررسید شده (کیلوگرم)]]*Main[[#This Row],[روز از ارسال سفارش]]</f>
        <v>0</v>
      </c>
      <c r="U1626" s="6">
        <f>-SUBTOTAL(9,INDEX(Main[مقدار (کیلوگرم)],1):Main[[#This Row],[مقدار (کیلوگرم)]])</f>
        <v>20244</v>
      </c>
      <c r="V16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6" s="6">
        <f>Main[[#This Row],[تعداد کل روزهای بدهکار (روز)]]*Main[[#This Row],[مانده در خط کل (کیلوگرم)]]</f>
        <v>20244</v>
      </c>
      <c r="X1626" s="6">
        <f ca="1">-SUBTOTAL(9,INDEX(Main[مقدار تسویه شده (کیلوگرم)],1):Main[[#This Row],[مقدار تسویه شده (کیلوگرم)]])</f>
        <v>20244</v>
      </c>
      <c r="Y1626" s="6">
        <f ca="1">IF(Main[[#This Row],[مانده در خط تسویه شده (کیلوگرم)]]&lt;&gt;0,Main[[#This Row],[تعداد کل روزهای بدهکار (روز)]],0)</f>
        <v>1</v>
      </c>
      <c r="Z1626" s="6">
        <f ca="1">Main[[#This Row],[تعداد روزهای بدهکار تسویه شده (روز)]]*Main[[#This Row],[مانده در خط تسویه شده (کیلوگرم)]]</f>
        <v>20244</v>
      </c>
      <c r="AA1626" s="6">
        <f ca="1">SUBTOTAL(9,INDEX(Main[بدهی تسویه نشده (کیلوگرم)],1):Main[[#This Row],[بدهی تسویه نشده (کیلوگرم)]])</f>
        <v>0</v>
      </c>
      <c r="AB1626" s="6">
        <f ca="1">IF(Main[[#This Row],[مانده در خط تسویه نشده (کیلوگرم)]]&lt;&gt;0,Main[[#This Row],[تعداد کل روزهای بدهکار (روز)]],0)</f>
        <v>0</v>
      </c>
      <c r="AC1626" s="6">
        <f ca="1">Main[[#This Row],[تعداد روزهای بدهکار  تسویه نشده (روز)]]*Main[[#This Row],[مانده در خط تسویه نشده (کیلوگرم)]]</f>
        <v>0</v>
      </c>
      <c r="AD1626" s="6">
        <f ca="1">SUBTOTAL(9,INDEX(Main[بدهی سررسید شده (کیلوگرم)],1):Main[[#This Row],[بدهی سررسید شده (کیلوگرم)]])</f>
        <v>0</v>
      </c>
      <c r="AE1626" s="6">
        <f ca="1">IF(Main[[#This Row],[مانده در خط سررسید شده (کیلوگرم)]]&lt;&gt;0,Main[[#This Row],[تعداد کل روزهای بدهکار (روز)]],0)</f>
        <v>0</v>
      </c>
      <c r="AF1626" s="6">
        <f ca="1">Main[[#This Row],[تعداد روزهای بدهکار سررسید شده (روز)]]*Main[[#This Row],[مانده در خط سررسید شده (کیلوگرم)]]</f>
        <v>0</v>
      </c>
    </row>
    <row r="1627" spans="1:32" hidden="1" x14ac:dyDescent="0.35">
      <c r="A1627" s="5">
        <f>ROW()-ROW(INDEX(Main[ردیف],1))+1</f>
        <v>1625</v>
      </c>
      <c r="B1627" s="31">
        <f>SUBTOTAL(2,INDEX(Main[ردیف],1):Main[[#This Row],[ردیف]])</f>
        <v>147</v>
      </c>
      <c r="C1627" s="32" t="s">
        <v>702</v>
      </c>
      <c r="D1627" s="32" t="str">
        <f>_xlfn.CONCAT("14",Main[[#This Row],[تاريخ]])</f>
        <v>1400/06/27</v>
      </c>
      <c r="E1627" s="33">
        <v>44457</v>
      </c>
      <c r="F1627" s="32">
        <v>10070</v>
      </c>
      <c r="G1627" s="5" t="str">
        <f>INDEX(customer[عنوان],MATCH(Main[[#This Row],[کد ردیابی]],customer[کد],0))</f>
        <v xml:space="preserve">حمیدرضا شفیعی </v>
      </c>
      <c r="H1627">
        <v>2092</v>
      </c>
      <c r="I1627" s="6">
        <f ca="1">-Main[[#This Row],[بدهی تسویه شده (کیلوگرم)]]+Main[[#This Row],[بستانکار (کیلوگرم)]]</f>
        <v>2092</v>
      </c>
      <c r="J1627" s="6">
        <f>IF(Main[[#This Row],[مقدار (کیلوگرم)]]&gt;0,Main[[#This Row],[مقدار (کیلوگرم)]],0)</f>
        <v>2092</v>
      </c>
      <c r="K1627" s="6">
        <f>-IF(Main[[#This Row],[مقدار (کیلوگرم)]]&lt;0,Main[[#This Row],[مقدار (کیلوگرم)]],0)</f>
        <v>0</v>
      </c>
      <c r="L16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7" s="7">
        <f>-IF(AND(Main[[#This Row],[مقدار (کیلوگرم)]]&lt;0,Main[[#This Row],[تاريخ میلادی]]&gt;44276),Main[[#This Row],[مقدار (کیلوگرم)]],0)</f>
        <v>0</v>
      </c>
      <c r="N1627" s="6">
        <f ca="1">Main[[#This Row],[بدهکار (کیلوگرم)]]-Main[[#This Row],[بدهی تسویه نشده (کیلوگرم)]]</f>
        <v>0</v>
      </c>
      <c r="O1627" s="6">
        <f ca="1">Main[[#This Row],[تفکیک]]</f>
        <v>0</v>
      </c>
      <c r="P1627" s="6">
        <f ca="1">IF(Main[[#This Row],[تاخیر از سررسید]]&gt;0,Main[[#This Row],[بدهی تسویه نشده (کیلوگرم)]],0)</f>
        <v>0</v>
      </c>
      <c r="Q1627" s="6">
        <f ca="1">IF(Main[[#This Row],[بدهی تسویه نشده (کیلوگرم)]]&gt;0,'گزارش فردی'!$B$7-Main[[#This Row],[تاريخ میلادی]],0)</f>
        <v>0</v>
      </c>
      <c r="R1627" s="6">
        <f ca="1">IF(Main[[#This Row],[بدهی تسویه نشده (کیلوگرم)]]&gt;0,'گزارش فردی'!$B$7-Main[[#This Row],[تاريخ میلادی]]-'گزارش فردی'!$B$8,0)</f>
        <v>0</v>
      </c>
      <c r="S1627" s="6">
        <f ca="1">Main[[#This Row],[روز از ارسال سفارش]]*Main[[#This Row],[بدهی تسویه نشده (کیلوگرم)]]</f>
        <v>0</v>
      </c>
      <c r="T1627" s="6">
        <f ca="1">Main[[#This Row],[بدهی سررسید شده (کیلوگرم)]]*Main[[#This Row],[روز از ارسال سفارش]]</f>
        <v>0</v>
      </c>
      <c r="U1627" s="6">
        <f>-SUBTOTAL(9,INDEX(Main[مقدار (کیلوگرم)],1):Main[[#This Row],[مقدار (کیلوگرم)]])</f>
        <v>20244</v>
      </c>
      <c r="V16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7" s="6">
        <f>Main[[#This Row],[تعداد کل روزهای بدهکار (روز)]]*Main[[#This Row],[مانده در خط کل (کیلوگرم)]]</f>
        <v>20244</v>
      </c>
      <c r="X1627" s="6">
        <f ca="1">-SUBTOTAL(9,INDEX(Main[مقدار تسویه شده (کیلوگرم)],1):Main[[#This Row],[مقدار تسویه شده (کیلوگرم)]])</f>
        <v>20244</v>
      </c>
      <c r="Y1627" s="6">
        <f ca="1">IF(Main[[#This Row],[مانده در خط تسویه شده (کیلوگرم)]]&lt;&gt;0,Main[[#This Row],[تعداد کل روزهای بدهکار (روز)]],0)</f>
        <v>1</v>
      </c>
      <c r="Z1627" s="6">
        <f ca="1">Main[[#This Row],[تعداد روزهای بدهکار تسویه شده (روز)]]*Main[[#This Row],[مانده در خط تسویه شده (کیلوگرم)]]</f>
        <v>20244</v>
      </c>
      <c r="AA1627" s="6">
        <f ca="1">SUBTOTAL(9,INDEX(Main[بدهی تسویه نشده (کیلوگرم)],1):Main[[#This Row],[بدهی تسویه نشده (کیلوگرم)]])</f>
        <v>0</v>
      </c>
      <c r="AB1627" s="6">
        <f ca="1">IF(Main[[#This Row],[مانده در خط تسویه نشده (کیلوگرم)]]&lt;&gt;0,Main[[#This Row],[تعداد کل روزهای بدهکار (روز)]],0)</f>
        <v>0</v>
      </c>
      <c r="AC1627" s="6">
        <f ca="1">Main[[#This Row],[تعداد روزهای بدهکار  تسویه نشده (روز)]]*Main[[#This Row],[مانده در خط تسویه نشده (کیلوگرم)]]</f>
        <v>0</v>
      </c>
      <c r="AD1627" s="6">
        <f ca="1">SUBTOTAL(9,INDEX(Main[بدهی سررسید شده (کیلوگرم)],1):Main[[#This Row],[بدهی سررسید شده (کیلوگرم)]])</f>
        <v>0</v>
      </c>
      <c r="AE1627" s="6">
        <f ca="1">IF(Main[[#This Row],[مانده در خط سررسید شده (کیلوگرم)]]&lt;&gt;0,Main[[#This Row],[تعداد کل روزهای بدهکار (روز)]],0)</f>
        <v>0</v>
      </c>
      <c r="AF1627" s="6">
        <f ca="1">Main[[#This Row],[تعداد روزهای بدهکار سررسید شده (روز)]]*Main[[#This Row],[مانده در خط سررسید شده (کیلوگرم)]]</f>
        <v>0</v>
      </c>
    </row>
    <row r="1628" spans="1:32" hidden="1" x14ac:dyDescent="0.35">
      <c r="A1628" s="5">
        <f>ROW()-ROW(INDEX(Main[ردیف],1))+1</f>
        <v>1626</v>
      </c>
      <c r="B1628" s="31">
        <f>SUBTOTAL(2,INDEX(Main[ردیف],1):Main[[#This Row],[ردیف]])</f>
        <v>147</v>
      </c>
      <c r="C1628" s="32" t="s">
        <v>702</v>
      </c>
      <c r="D1628" s="32" t="str">
        <f>_xlfn.CONCAT("14",Main[[#This Row],[تاريخ]])</f>
        <v>1400/06/27</v>
      </c>
      <c r="E1628" s="33">
        <v>44457</v>
      </c>
      <c r="F1628" s="32">
        <v>10055</v>
      </c>
      <c r="G1628" s="5" t="str">
        <f>INDEX(customer[عنوان],MATCH(Main[[#This Row],[کد ردیابی]],customer[کد],0))</f>
        <v xml:space="preserve">مریم فیض آبادی  </v>
      </c>
      <c r="H1628">
        <v>-5031</v>
      </c>
      <c r="I1628" s="6">
        <f ca="1">-Main[[#This Row],[بدهی تسویه شده (کیلوگرم)]]+Main[[#This Row],[بستانکار (کیلوگرم)]]</f>
        <v>-5031</v>
      </c>
      <c r="J1628" s="6">
        <f>IF(Main[[#This Row],[مقدار (کیلوگرم)]]&gt;0,Main[[#This Row],[مقدار (کیلوگرم)]],0)</f>
        <v>0</v>
      </c>
      <c r="K1628" s="6">
        <f>-IF(Main[[#This Row],[مقدار (کیلوگرم)]]&lt;0,Main[[#This Row],[مقدار (کیلوگرم)]],0)</f>
        <v>5031</v>
      </c>
      <c r="L16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8" s="7">
        <f>-IF(AND(Main[[#This Row],[مقدار (کیلوگرم)]]&lt;0,Main[[#This Row],[تاريخ میلادی]]&gt;44276),Main[[#This Row],[مقدار (کیلوگرم)]],0)</f>
        <v>5031</v>
      </c>
      <c r="N1628" s="6">
        <f ca="1">Main[[#This Row],[بدهکار (کیلوگرم)]]-Main[[#This Row],[بدهی تسویه نشده (کیلوگرم)]]</f>
        <v>5031</v>
      </c>
      <c r="O1628" s="6">
        <f ca="1">Main[[#This Row],[تفکیک]]</f>
        <v>0</v>
      </c>
      <c r="P1628" s="6">
        <f ca="1">IF(Main[[#This Row],[تاخیر از سررسید]]&gt;0,Main[[#This Row],[بدهی تسویه نشده (کیلوگرم)]],0)</f>
        <v>0</v>
      </c>
      <c r="Q1628" s="6">
        <f ca="1">IF(Main[[#This Row],[بدهی تسویه نشده (کیلوگرم)]]&gt;0,'گزارش فردی'!$B$7-Main[[#This Row],[تاريخ میلادی]],0)</f>
        <v>0</v>
      </c>
      <c r="R1628" s="6">
        <f ca="1">IF(Main[[#This Row],[بدهی تسویه نشده (کیلوگرم)]]&gt;0,'گزارش فردی'!$B$7-Main[[#This Row],[تاريخ میلادی]]-'گزارش فردی'!$B$8,0)</f>
        <v>0</v>
      </c>
      <c r="S1628" s="6">
        <f ca="1">Main[[#This Row],[روز از ارسال سفارش]]*Main[[#This Row],[بدهی تسویه نشده (کیلوگرم)]]</f>
        <v>0</v>
      </c>
      <c r="T1628" s="6">
        <f ca="1">Main[[#This Row],[بدهی سررسید شده (کیلوگرم)]]*Main[[#This Row],[روز از ارسال سفارش]]</f>
        <v>0</v>
      </c>
      <c r="U1628" s="6">
        <f>-SUBTOTAL(9,INDEX(Main[مقدار (کیلوگرم)],1):Main[[#This Row],[مقدار (کیلوگرم)]])</f>
        <v>20244</v>
      </c>
      <c r="V16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8" s="6">
        <f>Main[[#This Row],[تعداد کل روزهای بدهکار (روز)]]*Main[[#This Row],[مانده در خط کل (کیلوگرم)]]</f>
        <v>20244</v>
      </c>
      <c r="X1628" s="6">
        <f ca="1">-SUBTOTAL(9,INDEX(Main[مقدار تسویه شده (کیلوگرم)],1):Main[[#This Row],[مقدار تسویه شده (کیلوگرم)]])</f>
        <v>20244</v>
      </c>
      <c r="Y1628" s="6">
        <f ca="1">IF(Main[[#This Row],[مانده در خط تسویه شده (کیلوگرم)]]&lt;&gt;0,Main[[#This Row],[تعداد کل روزهای بدهکار (روز)]],0)</f>
        <v>1</v>
      </c>
      <c r="Z1628" s="6">
        <f ca="1">Main[[#This Row],[تعداد روزهای بدهکار تسویه شده (روز)]]*Main[[#This Row],[مانده در خط تسویه شده (کیلوگرم)]]</f>
        <v>20244</v>
      </c>
      <c r="AA1628" s="6">
        <f ca="1">SUBTOTAL(9,INDEX(Main[بدهی تسویه نشده (کیلوگرم)],1):Main[[#This Row],[بدهی تسویه نشده (کیلوگرم)]])</f>
        <v>0</v>
      </c>
      <c r="AB1628" s="6">
        <f ca="1">IF(Main[[#This Row],[مانده در خط تسویه نشده (کیلوگرم)]]&lt;&gt;0,Main[[#This Row],[تعداد کل روزهای بدهکار (روز)]],0)</f>
        <v>0</v>
      </c>
      <c r="AC1628" s="6">
        <f ca="1">Main[[#This Row],[تعداد روزهای بدهکار  تسویه نشده (روز)]]*Main[[#This Row],[مانده در خط تسویه نشده (کیلوگرم)]]</f>
        <v>0</v>
      </c>
      <c r="AD1628" s="6">
        <f ca="1">SUBTOTAL(9,INDEX(Main[بدهی سررسید شده (کیلوگرم)],1):Main[[#This Row],[بدهی سررسید شده (کیلوگرم)]])</f>
        <v>0</v>
      </c>
      <c r="AE1628" s="6">
        <f ca="1">IF(Main[[#This Row],[مانده در خط سررسید شده (کیلوگرم)]]&lt;&gt;0,Main[[#This Row],[تعداد کل روزهای بدهکار (روز)]],0)</f>
        <v>0</v>
      </c>
      <c r="AF1628" s="6">
        <f ca="1">Main[[#This Row],[تعداد روزهای بدهکار سررسید شده (روز)]]*Main[[#This Row],[مانده در خط سررسید شده (کیلوگرم)]]</f>
        <v>0</v>
      </c>
    </row>
    <row r="1629" spans="1:32" hidden="1" x14ac:dyDescent="0.35">
      <c r="A1629" s="5">
        <f>ROW()-ROW(INDEX(Main[ردیف],1))+1</f>
        <v>1627</v>
      </c>
      <c r="B1629" s="31">
        <f>SUBTOTAL(2,INDEX(Main[ردیف],1):Main[[#This Row],[ردیف]])</f>
        <v>147</v>
      </c>
      <c r="C1629" s="32" t="s">
        <v>702</v>
      </c>
      <c r="D1629" s="32" t="str">
        <f>_xlfn.CONCAT("14",Main[[#This Row],[تاريخ]])</f>
        <v>1400/06/27</v>
      </c>
      <c r="E1629" s="33">
        <v>44457</v>
      </c>
      <c r="F1629" s="32">
        <v>30160</v>
      </c>
      <c r="G1629" s="5" t="str">
        <f>INDEX(customer[عنوان],MATCH(Main[[#This Row],[کد ردیابی]],customer[کد],0))</f>
        <v>کیان صنعت</v>
      </c>
      <c r="H1629">
        <v>53</v>
      </c>
      <c r="I1629" s="6">
        <f ca="1">-Main[[#This Row],[بدهی تسویه شده (کیلوگرم)]]+Main[[#This Row],[بستانکار (کیلوگرم)]]</f>
        <v>53</v>
      </c>
      <c r="J1629" s="6">
        <f>IF(Main[[#This Row],[مقدار (کیلوگرم)]]&gt;0,Main[[#This Row],[مقدار (کیلوگرم)]],0)</f>
        <v>53</v>
      </c>
      <c r="K1629" s="6">
        <f>-IF(Main[[#This Row],[مقدار (کیلوگرم)]]&lt;0,Main[[#This Row],[مقدار (کیلوگرم)]],0)</f>
        <v>0</v>
      </c>
      <c r="L16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9" s="7">
        <f>-IF(AND(Main[[#This Row],[مقدار (کیلوگرم)]]&lt;0,Main[[#This Row],[تاريخ میلادی]]&gt;44276),Main[[#This Row],[مقدار (کیلوگرم)]],0)</f>
        <v>0</v>
      </c>
      <c r="N1629" s="6">
        <f ca="1">Main[[#This Row],[بدهکار (کیلوگرم)]]-Main[[#This Row],[بدهی تسویه نشده (کیلوگرم)]]</f>
        <v>0</v>
      </c>
      <c r="O1629" s="6">
        <f ca="1">Main[[#This Row],[تفکیک]]</f>
        <v>0</v>
      </c>
      <c r="P1629" s="6">
        <f ca="1">IF(Main[[#This Row],[تاخیر از سررسید]]&gt;0,Main[[#This Row],[بدهی تسویه نشده (کیلوگرم)]],0)</f>
        <v>0</v>
      </c>
      <c r="Q1629" s="6">
        <f ca="1">IF(Main[[#This Row],[بدهی تسویه نشده (کیلوگرم)]]&gt;0,'گزارش فردی'!$B$7-Main[[#This Row],[تاريخ میلادی]],0)</f>
        <v>0</v>
      </c>
      <c r="R1629" s="6">
        <f ca="1">IF(Main[[#This Row],[بدهی تسویه نشده (کیلوگرم)]]&gt;0,'گزارش فردی'!$B$7-Main[[#This Row],[تاريخ میلادی]]-'گزارش فردی'!$B$8,0)</f>
        <v>0</v>
      </c>
      <c r="S1629" s="6">
        <f ca="1">Main[[#This Row],[روز از ارسال سفارش]]*Main[[#This Row],[بدهی تسویه نشده (کیلوگرم)]]</f>
        <v>0</v>
      </c>
      <c r="T1629" s="6">
        <f ca="1">Main[[#This Row],[بدهی سررسید شده (کیلوگرم)]]*Main[[#This Row],[روز از ارسال سفارش]]</f>
        <v>0</v>
      </c>
      <c r="U1629" s="6">
        <f>-SUBTOTAL(9,INDEX(Main[مقدار (کیلوگرم)],1):Main[[#This Row],[مقدار (کیلوگرم)]])</f>
        <v>20244</v>
      </c>
      <c r="V16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9" s="6">
        <f>Main[[#This Row],[تعداد کل روزهای بدهکار (روز)]]*Main[[#This Row],[مانده در خط کل (کیلوگرم)]]</f>
        <v>20244</v>
      </c>
      <c r="X1629" s="6">
        <f ca="1">-SUBTOTAL(9,INDEX(Main[مقدار تسویه شده (کیلوگرم)],1):Main[[#This Row],[مقدار تسویه شده (کیلوگرم)]])</f>
        <v>20244</v>
      </c>
      <c r="Y1629" s="6">
        <f ca="1">IF(Main[[#This Row],[مانده در خط تسویه شده (کیلوگرم)]]&lt;&gt;0,Main[[#This Row],[تعداد کل روزهای بدهکار (روز)]],0)</f>
        <v>1</v>
      </c>
      <c r="Z1629" s="6">
        <f ca="1">Main[[#This Row],[تعداد روزهای بدهکار تسویه شده (روز)]]*Main[[#This Row],[مانده در خط تسویه شده (کیلوگرم)]]</f>
        <v>20244</v>
      </c>
      <c r="AA1629" s="6">
        <f ca="1">SUBTOTAL(9,INDEX(Main[بدهی تسویه نشده (کیلوگرم)],1):Main[[#This Row],[بدهی تسویه نشده (کیلوگرم)]])</f>
        <v>0</v>
      </c>
      <c r="AB1629" s="6">
        <f ca="1">IF(Main[[#This Row],[مانده در خط تسویه نشده (کیلوگرم)]]&lt;&gt;0,Main[[#This Row],[تعداد کل روزهای بدهکار (روز)]],0)</f>
        <v>0</v>
      </c>
      <c r="AC1629" s="6">
        <f ca="1">Main[[#This Row],[تعداد روزهای بدهکار  تسویه نشده (روز)]]*Main[[#This Row],[مانده در خط تسویه نشده (کیلوگرم)]]</f>
        <v>0</v>
      </c>
      <c r="AD1629" s="6">
        <f ca="1">SUBTOTAL(9,INDEX(Main[بدهی سررسید شده (کیلوگرم)],1):Main[[#This Row],[بدهی سررسید شده (کیلوگرم)]])</f>
        <v>0</v>
      </c>
      <c r="AE1629" s="6">
        <f ca="1">IF(Main[[#This Row],[مانده در خط سررسید شده (کیلوگرم)]]&lt;&gt;0,Main[[#This Row],[تعداد کل روزهای بدهکار (روز)]],0)</f>
        <v>0</v>
      </c>
      <c r="AF1629" s="6">
        <f ca="1">Main[[#This Row],[تعداد روزهای بدهکار سررسید شده (روز)]]*Main[[#This Row],[مانده در خط سررسید شده (کیلوگرم)]]</f>
        <v>0</v>
      </c>
    </row>
    <row r="1630" spans="1:32" hidden="1" x14ac:dyDescent="0.35">
      <c r="A1630" s="5">
        <f>ROW()-ROW(INDEX(Main[ردیف],1))+1</f>
        <v>1628</v>
      </c>
      <c r="B1630" s="31">
        <f>SUBTOTAL(2,INDEX(Main[ردیف],1):Main[[#This Row],[ردیف]])</f>
        <v>147</v>
      </c>
      <c r="C1630" s="32" t="s">
        <v>703</v>
      </c>
      <c r="D1630" s="32" t="str">
        <f>_xlfn.CONCAT("14",Main[[#This Row],[تاريخ]])</f>
        <v>1400/06/28</v>
      </c>
      <c r="E1630" s="33">
        <v>44458</v>
      </c>
      <c r="F1630" s="32">
        <v>30066</v>
      </c>
      <c r="G1630" s="5" t="str">
        <f>INDEX(customer[عنوان],MATCH(Main[[#This Row],[کد ردیابی]],customer[کد],0))</f>
        <v xml:space="preserve">شیر آلات بهداشتی قهرمان </v>
      </c>
      <c r="H1630">
        <v>-2922</v>
      </c>
      <c r="I1630" s="6">
        <f ca="1">-Main[[#This Row],[بدهی تسویه شده (کیلوگرم)]]+Main[[#This Row],[بستانکار (کیلوگرم)]]</f>
        <v>-2922</v>
      </c>
      <c r="J1630" s="6">
        <f>IF(Main[[#This Row],[مقدار (کیلوگرم)]]&gt;0,Main[[#This Row],[مقدار (کیلوگرم)]],0)</f>
        <v>0</v>
      </c>
      <c r="K1630" s="6">
        <f>-IF(Main[[#This Row],[مقدار (کیلوگرم)]]&lt;0,Main[[#This Row],[مقدار (کیلوگرم)]],0)</f>
        <v>2922</v>
      </c>
      <c r="L16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0" s="7">
        <f>-IF(AND(Main[[#This Row],[مقدار (کیلوگرم)]]&lt;0,Main[[#This Row],[تاريخ میلادی]]&gt;44276),Main[[#This Row],[مقدار (کیلوگرم)]],0)</f>
        <v>2922</v>
      </c>
      <c r="N1630" s="6">
        <f ca="1">Main[[#This Row],[بدهکار (کیلوگرم)]]-Main[[#This Row],[بدهی تسویه نشده (کیلوگرم)]]</f>
        <v>2922</v>
      </c>
      <c r="O1630" s="6">
        <f ca="1">Main[[#This Row],[تفکیک]]</f>
        <v>0</v>
      </c>
      <c r="P1630" s="6">
        <f ca="1">IF(Main[[#This Row],[تاخیر از سررسید]]&gt;0,Main[[#This Row],[بدهی تسویه نشده (کیلوگرم)]],0)</f>
        <v>0</v>
      </c>
      <c r="Q1630" s="6">
        <f ca="1">IF(Main[[#This Row],[بدهی تسویه نشده (کیلوگرم)]]&gt;0,'گزارش فردی'!$B$7-Main[[#This Row],[تاريخ میلادی]],0)</f>
        <v>0</v>
      </c>
      <c r="R1630" s="6">
        <f ca="1">IF(Main[[#This Row],[بدهی تسویه نشده (کیلوگرم)]]&gt;0,'گزارش فردی'!$B$7-Main[[#This Row],[تاريخ میلادی]]-'گزارش فردی'!$B$8,0)</f>
        <v>0</v>
      </c>
      <c r="S1630" s="6">
        <f ca="1">Main[[#This Row],[روز از ارسال سفارش]]*Main[[#This Row],[بدهی تسویه نشده (کیلوگرم)]]</f>
        <v>0</v>
      </c>
      <c r="T1630" s="6">
        <f ca="1">Main[[#This Row],[بدهی سررسید شده (کیلوگرم)]]*Main[[#This Row],[روز از ارسال سفارش]]</f>
        <v>0</v>
      </c>
      <c r="U1630" s="6">
        <f>-SUBTOTAL(9,INDEX(Main[مقدار (کیلوگرم)],1):Main[[#This Row],[مقدار (کیلوگرم)]])</f>
        <v>20244</v>
      </c>
      <c r="V16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0" s="6">
        <f>Main[[#This Row],[تعداد کل روزهای بدهکار (روز)]]*Main[[#This Row],[مانده در خط کل (کیلوگرم)]]</f>
        <v>0</v>
      </c>
      <c r="X1630" s="6">
        <f ca="1">-SUBTOTAL(9,INDEX(Main[مقدار تسویه شده (کیلوگرم)],1):Main[[#This Row],[مقدار تسویه شده (کیلوگرم)]])</f>
        <v>20244</v>
      </c>
      <c r="Y1630" s="6">
        <f ca="1">IF(Main[[#This Row],[مانده در خط تسویه شده (کیلوگرم)]]&lt;&gt;0,Main[[#This Row],[تعداد کل روزهای بدهکار (روز)]],0)</f>
        <v>0</v>
      </c>
      <c r="Z1630" s="6">
        <f ca="1">Main[[#This Row],[تعداد روزهای بدهکار تسویه شده (روز)]]*Main[[#This Row],[مانده در خط تسویه شده (کیلوگرم)]]</f>
        <v>0</v>
      </c>
      <c r="AA1630" s="6">
        <f ca="1">SUBTOTAL(9,INDEX(Main[بدهی تسویه نشده (کیلوگرم)],1):Main[[#This Row],[بدهی تسویه نشده (کیلوگرم)]])</f>
        <v>0</v>
      </c>
      <c r="AB1630" s="6">
        <f ca="1">IF(Main[[#This Row],[مانده در خط تسویه نشده (کیلوگرم)]]&lt;&gt;0,Main[[#This Row],[تعداد کل روزهای بدهکار (روز)]],0)</f>
        <v>0</v>
      </c>
      <c r="AC1630" s="6">
        <f ca="1">Main[[#This Row],[تعداد روزهای بدهکار  تسویه نشده (روز)]]*Main[[#This Row],[مانده در خط تسویه نشده (کیلوگرم)]]</f>
        <v>0</v>
      </c>
      <c r="AD1630" s="6">
        <f ca="1">SUBTOTAL(9,INDEX(Main[بدهی سررسید شده (کیلوگرم)],1):Main[[#This Row],[بدهی سررسید شده (کیلوگرم)]])</f>
        <v>0</v>
      </c>
      <c r="AE1630" s="6">
        <f ca="1">IF(Main[[#This Row],[مانده در خط سررسید شده (کیلوگرم)]]&lt;&gt;0,Main[[#This Row],[تعداد کل روزهای بدهکار (روز)]],0)</f>
        <v>0</v>
      </c>
      <c r="AF1630" s="6">
        <f ca="1">Main[[#This Row],[تعداد روزهای بدهکار سررسید شده (روز)]]*Main[[#This Row],[مانده در خط سررسید شده (کیلوگرم)]]</f>
        <v>0</v>
      </c>
    </row>
    <row r="1631" spans="1:32" hidden="1" x14ac:dyDescent="0.35">
      <c r="A1631" s="5">
        <f>ROW()-ROW(INDEX(Main[ردیف],1))+1</f>
        <v>1629</v>
      </c>
      <c r="B1631" s="31">
        <f>SUBTOTAL(2,INDEX(Main[ردیف],1):Main[[#This Row],[ردیف]])</f>
        <v>147</v>
      </c>
      <c r="C1631" s="32" t="s">
        <v>703</v>
      </c>
      <c r="D1631" s="32" t="str">
        <f>_xlfn.CONCAT("14",Main[[#This Row],[تاريخ]])</f>
        <v>1400/06/28</v>
      </c>
      <c r="E1631" s="33">
        <v>44458</v>
      </c>
      <c r="F1631" s="32">
        <v>10018</v>
      </c>
      <c r="G1631" s="5" t="str">
        <f>INDEX(customer[عنوان],MATCH(Main[[#This Row],[کد ردیابی]],customer[کد],0))</f>
        <v xml:space="preserve">کوهی </v>
      </c>
      <c r="H1631">
        <v>240</v>
      </c>
      <c r="I1631" s="6">
        <f ca="1">-Main[[#This Row],[بدهی تسویه شده (کیلوگرم)]]+Main[[#This Row],[بستانکار (کیلوگرم)]]</f>
        <v>240</v>
      </c>
      <c r="J1631" s="6">
        <f>IF(Main[[#This Row],[مقدار (کیلوگرم)]]&gt;0,Main[[#This Row],[مقدار (کیلوگرم)]],0)</f>
        <v>240</v>
      </c>
      <c r="K1631" s="6">
        <f>-IF(Main[[#This Row],[مقدار (کیلوگرم)]]&lt;0,Main[[#This Row],[مقدار (کیلوگرم)]],0)</f>
        <v>0</v>
      </c>
      <c r="L16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1" s="7">
        <f>-IF(AND(Main[[#This Row],[مقدار (کیلوگرم)]]&lt;0,Main[[#This Row],[تاريخ میلادی]]&gt;44276),Main[[#This Row],[مقدار (کیلوگرم)]],0)</f>
        <v>0</v>
      </c>
      <c r="N1631" s="6">
        <f ca="1">Main[[#This Row],[بدهکار (کیلوگرم)]]-Main[[#This Row],[بدهی تسویه نشده (کیلوگرم)]]</f>
        <v>0</v>
      </c>
      <c r="O1631" s="6">
        <f ca="1">Main[[#This Row],[تفکیک]]</f>
        <v>0</v>
      </c>
      <c r="P1631" s="6">
        <f ca="1">IF(Main[[#This Row],[تاخیر از سررسید]]&gt;0,Main[[#This Row],[بدهی تسویه نشده (کیلوگرم)]],0)</f>
        <v>0</v>
      </c>
      <c r="Q1631" s="6">
        <f ca="1">IF(Main[[#This Row],[بدهی تسویه نشده (کیلوگرم)]]&gt;0,'گزارش فردی'!$B$7-Main[[#This Row],[تاريخ میلادی]],0)</f>
        <v>0</v>
      </c>
      <c r="R1631" s="6">
        <f ca="1">IF(Main[[#This Row],[بدهی تسویه نشده (کیلوگرم)]]&gt;0,'گزارش فردی'!$B$7-Main[[#This Row],[تاريخ میلادی]]-'گزارش فردی'!$B$8,0)</f>
        <v>0</v>
      </c>
      <c r="S1631" s="6">
        <f ca="1">Main[[#This Row],[روز از ارسال سفارش]]*Main[[#This Row],[بدهی تسویه نشده (کیلوگرم)]]</f>
        <v>0</v>
      </c>
      <c r="T1631" s="6">
        <f ca="1">Main[[#This Row],[بدهی سررسید شده (کیلوگرم)]]*Main[[#This Row],[روز از ارسال سفارش]]</f>
        <v>0</v>
      </c>
      <c r="U1631" s="6">
        <f>-SUBTOTAL(9,INDEX(Main[مقدار (کیلوگرم)],1):Main[[#This Row],[مقدار (کیلوگرم)]])</f>
        <v>20244</v>
      </c>
      <c r="V16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1" s="6">
        <f>Main[[#This Row],[تعداد کل روزهای بدهکار (روز)]]*Main[[#This Row],[مانده در خط کل (کیلوگرم)]]</f>
        <v>0</v>
      </c>
      <c r="X1631" s="6">
        <f ca="1">-SUBTOTAL(9,INDEX(Main[مقدار تسویه شده (کیلوگرم)],1):Main[[#This Row],[مقدار تسویه شده (کیلوگرم)]])</f>
        <v>20244</v>
      </c>
      <c r="Y1631" s="6">
        <f ca="1">IF(Main[[#This Row],[مانده در خط تسویه شده (کیلوگرم)]]&lt;&gt;0,Main[[#This Row],[تعداد کل روزهای بدهکار (روز)]],0)</f>
        <v>0</v>
      </c>
      <c r="Z1631" s="6">
        <f ca="1">Main[[#This Row],[تعداد روزهای بدهکار تسویه شده (روز)]]*Main[[#This Row],[مانده در خط تسویه شده (کیلوگرم)]]</f>
        <v>0</v>
      </c>
      <c r="AA1631" s="6">
        <f ca="1">SUBTOTAL(9,INDEX(Main[بدهی تسویه نشده (کیلوگرم)],1):Main[[#This Row],[بدهی تسویه نشده (کیلوگرم)]])</f>
        <v>0</v>
      </c>
      <c r="AB1631" s="6">
        <f ca="1">IF(Main[[#This Row],[مانده در خط تسویه نشده (کیلوگرم)]]&lt;&gt;0,Main[[#This Row],[تعداد کل روزهای بدهکار (روز)]],0)</f>
        <v>0</v>
      </c>
      <c r="AC1631" s="6">
        <f ca="1">Main[[#This Row],[تعداد روزهای بدهکار  تسویه نشده (روز)]]*Main[[#This Row],[مانده در خط تسویه نشده (کیلوگرم)]]</f>
        <v>0</v>
      </c>
      <c r="AD1631" s="6">
        <f ca="1">SUBTOTAL(9,INDEX(Main[بدهی سررسید شده (کیلوگرم)],1):Main[[#This Row],[بدهی سررسید شده (کیلوگرم)]])</f>
        <v>0</v>
      </c>
      <c r="AE1631" s="6">
        <f ca="1">IF(Main[[#This Row],[مانده در خط سررسید شده (کیلوگرم)]]&lt;&gt;0,Main[[#This Row],[تعداد کل روزهای بدهکار (روز)]],0)</f>
        <v>0</v>
      </c>
      <c r="AF1631" s="6">
        <f ca="1">Main[[#This Row],[تعداد روزهای بدهکار سررسید شده (روز)]]*Main[[#This Row],[مانده در خط سررسید شده (کیلوگرم)]]</f>
        <v>0</v>
      </c>
    </row>
    <row r="1632" spans="1:32" hidden="1" x14ac:dyDescent="0.35">
      <c r="A1632" s="5">
        <f>ROW()-ROW(INDEX(Main[ردیف],1))+1</f>
        <v>1630</v>
      </c>
      <c r="B1632" s="31">
        <f>SUBTOTAL(2,INDEX(Main[ردیف],1):Main[[#This Row],[ردیف]])</f>
        <v>147</v>
      </c>
      <c r="C1632" s="32" t="s">
        <v>703</v>
      </c>
      <c r="D1632" s="32" t="str">
        <f>_xlfn.CONCAT("14",Main[[#This Row],[تاريخ]])</f>
        <v>1400/06/28</v>
      </c>
      <c r="E1632" s="33">
        <v>44458</v>
      </c>
      <c r="F1632" s="32">
        <v>10070</v>
      </c>
      <c r="G1632" s="5" t="str">
        <f>INDEX(customer[عنوان],MATCH(Main[[#This Row],[کد ردیابی]],customer[کد],0))</f>
        <v xml:space="preserve">حمیدرضا شفیعی </v>
      </c>
      <c r="H1632">
        <v>-974</v>
      </c>
      <c r="I1632" s="6">
        <f ca="1">-Main[[#This Row],[بدهی تسویه شده (کیلوگرم)]]+Main[[#This Row],[بستانکار (کیلوگرم)]]</f>
        <v>-974</v>
      </c>
      <c r="J1632" s="6">
        <f>IF(Main[[#This Row],[مقدار (کیلوگرم)]]&gt;0,Main[[#This Row],[مقدار (کیلوگرم)]],0)</f>
        <v>0</v>
      </c>
      <c r="K1632" s="6">
        <f>-IF(Main[[#This Row],[مقدار (کیلوگرم)]]&lt;0,Main[[#This Row],[مقدار (کیلوگرم)]],0)</f>
        <v>974</v>
      </c>
      <c r="L16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2" s="7">
        <f>-IF(AND(Main[[#This Row],[مقدار (کیلوگرم)]]&lt;0,Main[[#This Row],[تاريخ میلادی]]&gt;44276),Main[[#This Row],[مقدار (کیلوگرم)]],0)</f>
        <v>974</v>
      </c>
      <c r="N1632" s="6">
        <f ca="1">Main[[#This Row],[بدهکار (کیلوگرم)]]-Main[[#This Row],[بدهی تسویه نشده (کیلوگرم)]]</f>
        <v>974</v>
      </c>
      <c r="O1632" s="6">
        <f ca="1">Main[[#This Row],[تفکیک]]</f>
        <v>0</v>
      </c>
      <c r="P1632" s="6">
        <f ca="1">IF(Main[[#This Row],[تاخیر از سررسید]]&gt;0,Main[[#This Row],[بدهی تسویه نشده (کیلوگرم)]],0)</f>
        <v>0</v>
      </c>
      <c r="Q1632" s="6">
        <f ca="1">IF(Main[[#This Row],[بدهی تسویه نشده (کیلوگرم)]]&gt;0,'گزارش فردی'!$B$7-Main[[#This Row],[تاريخ میلادی]],0)</f>
        <v>0</v>
      </c>
      <c r="R1632" s="6">
        <f ca="1">IF(Main[[#This Row],[بدهی تسویه نشده (کیلوگرم)]]&gt;0,'گزارش فردی'!$B$7-Main[[#This Row],[تاريخ میلادی]]-'گزارش فردی'!$B$8,0)</f>
        <v>0</v>
      </c>
      <c r="S1632" s="6">
        <f ca="1">Main[[#This Row],[روز از ارسال سفارش]]*Main[[#This Row],[بدهی تسویه نشده (کیلوگرم)]]</f>
        <v>0</v>
      </c>
      <c r="T1632" s="6">
        <f ca="1">Main[[#This Row],[بدهی سررسید شده (کیلوگرم)]]*Main[[#This Row],[روز از ارسال سفارش]]</f>
        <v>0</v>
      </c>
      <c r="U1632" s="6">
        <f>-SUBTOTAL(9,INDEX(Main[مقدار (کیلوگرم)],1):Main[[#This Row],[مقدار (کیلوگرم)]])</f>
        <v>20244</v>
      </c>
      <c r="V16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2" s="6">
        <f>Main[[#This Row],[تعداد کل روزهای بدهکار (روز)]]*Main[[#This Row],[مانده در خط کل (کیلوگرم)]]</f>
        <v>0</v>
      </c>
      <c r="X1632" s="6">
        <f ca="1">-SUBTOTAL(9,INDEX(Main[مقدار تسویه شده (کیلوگرم)],1):Main[[#This Row],[مقدار تسویه شده (کیلوگرم)]])</f>
        <v>20244</v>
      </c>
      <c r="Y1632" s="6">
        <f ca="1">IF(Main[[#This Row],[مانده در خط تسویه شده (کیلوگرم)]]&lt;&gt;0,Main[[#This Row],[تعداد کل روزهای بدهکار (روز)]],0)</f>
        <v>0</v>
      </c>
      <c r="Z1632" s="6">
        <f ca="1">Main[[#This Row],[تعداد روزهای بدهکار تسویه شده (روز)]]*Main[[#This Row],[مانده در خط تسویه شده (کیلوگرم)]]</f>
        <v>0</v>
      </c>
      <c r="AA1632" s="6">
        <f ca="1">SUBTOTAL(9,INDEX(Main[بدهی تسویه نشده (کیلوگرم)],1):Main[[#This Row],[بدهی تسویه نشده (کیلوگرم)]])</f>
        <v>0</v>
      </c>
      <c r="AB1632" s="6">
        <f ca="1">IF(Main[[#This Row],[مانده در خط تسویه نشده (کیلوگرم)]]&lt;&gt;0,Main[[#This Row],[تعداد کل روزهای بدهکار (روز)]],0)</f>
        <v>0</v>
      </c>
      <c r="AC1632" s="6">
        <f ca="1">Main[[#This Row],[تعداد روزهای بدهکار  تسویه نشده (روز)]]*Main[[#This Row],[مانده در خط تسویه نشده (کیلوگرم)]]</f>
        <v>0</v>
      </c>
      <c r="AD1632" s="6">
        <f ca="1">SUBTOTAL(9,INDEX(Main[بدهی سررسید شده (کیلوگرم)],1):Main[[#This Row],[بدهی سررسید شده (کیلوگرم)]])</f>
        <v>0</v>
      </c>
      <c r="AE1632" s="6">
        <f ca="1">IF(Main[[#This Row],[مانده در خط سررسید شده (کیلوگرم)]]&lt;&gt;0,Main[[#This Row],[تعداد کل روزهای بدهکار (روز)]],0)</f>
        <v>0</v>
      </c>
      <c r="AF1632" s="6">
        <f ca="1">Main[[#This Row],[تعداد روزهای بدهکار سررسید شده (روز)]]*Main[[#This Row],[مانده در خط سررسید شده (کیلوگرم)]]</f>
        <v>0</v>
      </c>
    </row>
    <row r="1633" spans="1:32" hidden="1" x14ac:dyDescent="0.35">
      <c r="A1633" s="5">
        <f>ROW()-ROW(INDEX(Main[ردیف],1))+1</f>
        <v>1631</v>
      </c>
      <c r="B1633" s="31">
        <f>SUBTOTAL(2,INDEX(Main[ردیف],1):Main[[#This Row],[ردیف]])</f>
        <v>147</v>
      </c>
      <c r="C1633" s="32" t="s">
        <v>703</v>
      </c>
      <c r="D1633" s="32" t="str">
        <f>_xlfn.CONCAT("14",Main[[#This Row],[تاريخ]])</f>
        <v>1400/06/28</v>
      </c>
      <c r="E1633" s="33">
        <v>44458</v>
      </c>
      <c r="F1633" s="32">
        <v>30019</v>
      </c>
      <c r="G1633" s="5" t="str">
        <f>INDEX(customer[عنوان],MATCH(Main[[#This Row],[کد ردیابی]],customer[کد],0))</f>
        <v xml:space="preserve">گسترش ارتباطات بهداد </v>
      </c>
      <c r="H1633">
        <v>657</v>
      </c>
      <c r="I1633" s="6">
        <f ca="1">-Main[[#This Row],[بدهی تسویه شده (کیلوگرم)]]+Main[[#This Row],[بستانکار (کیلوگرم)]]</f>
        <v>657</v>
      </c>
      <c r="J1633" s="6">
        <f>IF(Main[[#This Row],[مقدار (کیلوگرم)]]&gt;0,Main[[#This Row],[مقدار (کیلوگرم)]],0)</f>
        <v>657</v>
      </c>
      <c r="K1633" s="6">
        <f>-IF(Main[[#This Row],[مقدار (کیلوگرم)]]&lt;0,Main[[#This Row],[مقدار (کیلوگرم)]],0)</f>
        <v>0</v>
      </c>
      <c r="L16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3" s="7">
        <f>-IF(AND(Main[[#This Row],[مقدار (کیلوگرم)]]&lt;0,Main[[#This Row],[تاريخ میلادی]]&gt;44276),Main[[#This Row],[مقدار (کیلوگرم)]],0)</f>
        <v>0</v>
      </c>
      <c r="N1633" s="6">
        <f ca="1">Main[[#This Row],[بدهکار (کیلوگرم)]]-Main[[#This Row],[بدهی تسویه نشده (کیلوگرم)]]</f>
        <v>0</v>
      </c>
      <c r="O1633" s="6">
        <f ca="1">Main[[#This Row],[تفکیک]]</f>
        <v>0</v>
      </c>
      <c r="P1633" s="6">
        <f ca="1">IF(Main[[#This Row],[تاخیر از سررسید]]&gt;0,Main[[#This Row],[بدهی تسویه نشده (کیلوگرم)]],0)</f>
        <v>0</v>
      </c>
      <c r="Q1633" s="6">
        <f ca="1">IF(Main[[#This Row],[بدهی تسویه نشده (کیلوگرم)]]&gt;0,'گزارش فردی'!$B$7-Main[[#This Row],[تاريخ میلادی]],0)</f>
        <v>0</v>
      </c>
      <c r="R1633" s="6">
        <f ca="1">IF(Main[[#This Row],[بدهی تسویه نشده (کیلوگرم)]]&gt;0,'گزارش فردی'!$B$7-Main[[#This Row],[تاريخ میلادی]]-'گزارش فردی'!$B$8,0)</f>
        <v>0</v>
      </c>
      <c r="S1633" s="6">
        <f ca="1">Main[[#This Row],[روز از ارسال سفارش]]*Main[[#This Row],[بدهی تسویه نشده (کیلوگرم)]]</f>
        <v>0</v>
      </c>
      <c r="T1633" s="6">
        <f ca="1">Main[[#This Row],[بدهی سررسید شده (کیلوگرم)]]*Main[[#This Row],[روز از ارسال سفارش]]</f>
        <v>0</v>
      </c>
      <c r="U1633" s="6">
        <f>-SUBTOTAL(9,INDEX(Main[مقدار (کیلوگرم)],1):Main[[#This Row],[مقدار (کیلوگرم)]])</f>
        <v>20244</v>
      </c>
      <c r="V16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3" s="6">
        <f>Main[[#This Row],[تعداد کل روزهای بدهکار (روز)]]*Main[[#This Row],[مانده در خط کل (کیلوگرم)]]</f>
        <v>0</v>
      </c>
      <c r="X1633" s="6">
        <f ca="1">-SUBTOTAL(9,INDEX(Main[مقدار تسویه شده (کیلوگرم)],1):Main[[#This Row],[مقدار تسویه شده (کیلوگرم)]])</f>
        <v>20244</v>
      </c>
      <c r="Y1633" s="6">
        <f ca="1">IF(Main[[#This Row],[مانده در خط تسویه شده (کیلوگرم)]]&lt;&gt;0,Main[[#This Row],[تعداد کل روزهای بدهکار (روز)]],0)</f>
        <v>0</v>
      </c>
      <c r="Z1633" s="6">
        <f ca="1">Main[[#This Row],[تعداد روزهای بدهکار تسویه شده (روز)]]*Main[[#This Row],[مانده در خط تسویه شده (کیلوگرم)]]</f>
        <v>0</v>
      </c>
      <c r="AA1633" s="6">
        <f ca="1">SUBTOTAL(9,INDEX(Main[بدهی تسویه نشده (کیلوگرم)],1):Main[[#This Row],[بدهی تسویه نشده (کیلوگرم)]])</f>
        <v>0</v>
      </c>
      <c r="AB1633" s="6">
        <f ca="1">IF(Main[[#This Row],[مانده در خط تسویه نشده (کیلوگرم)]]&lt;&gt;0,Main[[#This Row],[تعداد کل روزهای بدهکار (روز)]],0)</f>
        <v>0</v>
      </c>
      <c r="AC1633" s="6">
        <f ca="1">Main[[#This Row],[تعداد روزهای بدهکار  تسویه نشده (روز)]]*Main[[#This Row],[مانده در خط تسویه نشده (کیلوگرم)]]</f>
        <v>0</v>
      </c>
      <c r="AD1633" s="6">
        <f ca="1">SUBTOTAL(9,INDEX(Main[بدهی سررسید شده (کیلوگرم)],1):Main[[#This Row],[بدهی سررسید شده (کیلوگرم)]])</f>
        <v>0</v>
      </c>
      <c r="AE1633" s="6">
        <f ca="1">IF(Main[[#This Row],[مانده در خط سررسید شده (کیلوگرم)]]&lt;&gt;0,Main[[#This Row],[تعداد کل روزهای بدهکار (روز)]],0)</f>
        <v>0</v>
      </c>
      <c r="AF1633" s="6">
        <f ca="1">Main[[#This Row],[تعداد روزهای بدهکار سررسید شده (روز)]]*Main[[#This Row],[مانده در خط سررسید شده (کیلوگرم)]]</f>
        <v>0</v>
      </c>
    </row>
    <row r="1634" spans="1:32" hidden="1" x14ac:dyDescent="0.35">
      <c r="A1634" s="5">
        <f>ROW()-ROW(INDEX(Main[ردیف],1))+1</f>
        <v>1632</v>
      </c>
      <c r="B1634" s="31">
        <f>SUBTOTAL(2,INDEX(Main[ردیف],1):Main[[#This Row],[ردیف]])</f>
        <v>147</v>
      </c>
      <c r="C1634" s="32" t="s">
        <v>703</v>
      </c>
      <c r="D1634" s="32" t="str">
        <f>_xlfn.CONCAT("14",Main[[#This Row],[تاريخ]])</f>
        <v>1400/06/28</v>
      </c>
      <c r="E1634" s="33">
        <v>44458</v>
      </c>
      <c r="F1634" s="32">
        <v>30191</v>
      </c>
      <c r="G1634" s="5" t="str">
        <f>INDEX(customer[عنوان],MATCH(Main[[#This Row],[کد ردیابی]],customer[کد],0))</f>
        <v>ایران گرما</v>
      </c>
      <c r="H1634">
        <v>-892</v>
      </c>
      <c r="I1634" s="6">
        <f ca="1">-Main[[#This Row],[بدهی تسویه شده (کیلوگرم)]]+Main[[#This Row],[بستانکار (کیلوگرم)]]</f>
        <v>-892</v>
      </c>
      <c r="J1634" s="6">
        <f>IF(Main[[#This Row],[مقدار (کیلوگرم)]]&gt;0,Main[[#This Row],[مقدار (کیلوگرم)]],0)</f>
        <v>0</v>
      </c>
      <c r="K1634" s="6">
        <f>-IF(Main[[#This Row],[مقدار (کیلوگرم)]]&lt;0,Main[[#This Row],[مقدار (کیلوگرم)]],0)</f>
        <v>892</v>
      </c>
      <c r="L16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4" s="7">
        <f>-IF(AND(Main[[#This Row],[مقدار (کیلوگرم)]]&lt;0,Main[[#This Row],[تاريخ میلادی]]&gt;44276),Main[[#This Row],[مقدار (کیلوگرم)]],0)</f>
        <v>892</v>
      </c>
      <c r="N1634" s="6">
        <f ca="1">Main[[#This Row],[بدهکار (کیلوگرم)]]-Main[[#This Row],[بدهی تسویه نشده (کیلوگرم)]]</f>
        <v>892</v>
      </c>
      <c r="O1634" s="6">
        <f ca="1">Main[[#This Row],[تفکیک]]</f>
        <v>0</v>
      </c>
      <c r="P1634" s="6">
        <f ca="1">IF(Main[[#This Row],[تاخیر از سررسید]]&gt;0,Main[[#This Row],[بدهی تسویه نشده (کیلوگرم)]],0)</f>
        <v>0</v>
      </c>
      <c r="Q1634" s="6">
        <f ca="1">IF(Main[[#This Row],[بدهی تسویه نشده (کیلوگرم)]]&gt;0,'گزارش فردی'!$B$7-Main[[#This Row],[تاريخ میلادی]],0)</f>
        <v>0</v>
      </c>
      <c r="R1634" s="6">
        <f ca="1">IF(Main[[#This Row],[بدهی تسویه نشده (کیلوگرم)]]&gt;0,'گزارش فردی'!$B$7-Main[[#This Row],[تاريخ میلادی]]-'گزارش فردی'!$B$8,0)</f>
        <v>0</v>
      </c>
      <c r="S1634" s="6">
        <f ca="1">Main[[#This Row],[روز از ارسال سفارش]]*Main[[#This Row],[بدهی تسویه نشده (کیلوگرم)]]</f>
        <v>0</v>
      </c>
      <c r="T1634" s="6">
        <f ca="1">Main[[#This Row],[بدهی سررسید شده (کیلوگرم)]]*Main[[#This Row],[روز از ارسال سفارش]]</f>
        <v>0</v>
      </c>
      <c r="U1634" s="6">
        <f>-SUBTOTAL(9,INDEX(Main[مقدار (کیلوگرم)],1):Main[[#This Row],[مقدار (کیلوگرم)]])</f>
        <v>20244</v>
      </c>
      <c r="V16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4" s="6">
        <f>Main[[#This Row],[تعداد کل روزهای بدهکار (روز)]]*Main[[#This Row],[مانده در خط کل (کیلوگرم)]]</f>
        <v>0</v>
      </c>
      <c r="X1634" s="6">
        <f ca="1">-SUBTOTAL(9,INDEX(Main[مقدار تسویه شده (کیلوگرم)],1):Main[[#This Row],[مقدار تسویه شده (کیلوگرم)]])</f>
        <v>20244</v>
      </c>
      <c r="Y1634" s="6">
        <f ca="1">IF(Main[[#This Row],[مانده در خط تسویه شده (کیلوگرم)]]&lt;&gt;0,Main[[#This Row],[تعداد کل روزهای بدهکار (روز)]],0)</f>
        <v>0</v>
      </c>
      <c r="Z1634" s="6">
        <f ca="1">Main[[#This Row],[تعداد روزهای بدهکار تسویه شده (روز)]]*Main[[#This Row],[مانده در خط تسویه شده (کیلوگرم)]]</f>
        <v>0</v>
      </c>
      <c r="AA1634" s="6">
        <f ca="1">SUBTOTAL(9,INDEX(Main[بدهی تسویه نشده (کیلوگرم)],1):Main[[#This Row],[بدهی تسویه نشده (کیلوگرم)]])</f>
        <v>0</v>
      </c>
      <c r="AB1634" s="6">
        <f ca="1">IF(Main[[#This Row],[مانده در خط تسویه نشده (کیلوگرم)]]&lt;&gt;0,Main[[#This Row],[تعداد کل روزهای بدهکار (روز)]],0)</f>
        <v>0</v>
      </c>
      <c r="AC1634" s="6">
        <f ca="1">Main[[#This Row],[تعداد روزهای بدهکار  تسویه نشده (روز)]]*Main[[#This Row],[مانده در خط تسویه نشده (کیلوگرم)]]</f>
        <v>0</v>
      </c>
      <c r="AD1634" s="6">
        <f ca="1">SUBTOTAL(9,INDEX(Main[بدهی سررسید شده (کیلوگرم)],1):Main[[#This Row],[بدهی سررسید شده (کیلوگرم)]])</f>
        <v>0</v>
      </c>
      <c r="AE1634" s="6">
        <f ca="1">IF(Main[[#This Row],[مانده در خط سررسید شده (کیلوگرم)]]&lt;&gt;0,Main[[#This Row],[تعداد کل روزهای بدهکار (روز)]],0)</f>
        <v>0</v>
      </c>
      <c r="AF1634" s="6">
        <f ca="1">Main[[#This Row],[تعداد روزهای بدهکار سررسید شده (روز)]]*Main[[#This Row],[مانده در خط سررسید شده (کیلوگرم)]]</f>
        <v>0</v>
      </c>
    </row>
    <row r="1635" spans="1:32" hidden="1" x14ac:dyDescent="0.35">
      <c r="A1635" s="5">
        <f>ROW()-ROW(INDEX(Main[ردیف],1))+1</f>
        <v>1633</v>
      </c>
      <c r="B1635" s="31">
        <f>SUBTOTAL(2,INDEX(Main[ردیف],1):Main[[#This Row],[ردیف]])</f>
        <v>147</v>
      </c>
      <c r="C1635" s="32" t="s">
        <v>703</v>
      </c>
      <c r="D1635" s="32" t="str">
        <f>_xlfn.CONCAT("14",Main[[#This Row],[تاريخ]])</f>
        <v>1400/06/28</v>
      </c>
      <c r="E1635" s="33">
        <v>44458</v>
      </c>
      <c r="F1635" s="32">
        <v>10055</v>
      </c>
      <c r="G1635" s="5" t="str">
        <f>INDEX(customer[عنوان],MATCH(Main[[#This Row],[کد ردیابی]],customer[کد],0))</f>
        <v xml:space="preserve">مریم فیض آبادی  </v>
      </c>
      <c r="H1635">
        <v>5062</v>
      </c>
      <c r="I1635" s="6">
        <f ca="1">-Main[[#This Row],[بدهی تسویه شده (کیلوگرم)]]+Main[[#This Row],[بستانکار (کیلوگرم)]]</f>
        <v>5062</v>
      </c>
      <c r="J1635" s="6">
        <f>IF(Main[[#This Row],[مقدار (کیلوگرم)]]&gt;0,Main[[#This Row],[مقدار (کیلوگرم)]],0)</f>
        <v>5062</v>
      </c>
      <c r="K1635" s="6">
        <f>-IF(Main[[#This Row],[مقدار (کیلوگرم)]]&lt;0,Main[[#This Row],[مقدار (کیلوگرم)]],0)</f>
        <v>0</v>
      </c>
      <c r="L16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5" s="7">
        <f>-IF(AND(Main[[#This Row],[مقدار (کیلوگرم)]]&lt;0,Main[[#This Row],[تاريخ میلادی]]&gt;44276),Main[[#This Row],[مقدار (کیلوگرم)]],0)</f>
        <v>0</v>
      </c>
      <c r="N1635" s="6">
        <f ca="1">Main[[#This Row],[بدهکار (کیلوگرم)]]-Main[[#This Row],[بدهی تسویه نشده (کیلوگرم)]]</f>
        <v>0</v>
      </c>
      <c r="O1635" s="6">
        <f ca="1">Main[[#This Row],[تفکیک]]</f>
        <v>0</v>
      </c>
      <c r="P1635" s="6">
        <f ca="1">IF(Main[[#This Row],[تاخیر از سررسید]]&gt;0,Main[[#This Row],[بدهی تسویه نشده (کیلوگرم)]],0)</f>
        <v>0</v>
      </c>
      <c r="Q1635" s="6">
        <f ca="1">IF(Main[[#This Row],[بدهی تسویه نشده (کیلوگرم)]]&gt;0,'گزارش فردی'!$B$7-Main[[#This Row],[تاريخ میلادی]],0)</f>
        <v>0</v>
      </c>
      <c r="R1635" s="6">
        <f ca="1">IF(Main[[#This Row],[بدهی تسویه نشده (کیلوگرم)]]&gt;0,'گزارش فردی'!$B$7-Main[[#This Row],[تاريخ میلادی]]-'گزارش فردی'!$B$8,0)</f>
        <v>0</v>
      </c>
      <c r="S1635" s="6">
        <f ca="1">Main[[#This Row],[روز از ارسال سفارش]]*Main[[#This Row],[بدهی تسویه نشده (کیلوگرم)]]</f>
        <v>0</v>
      </c>
      <c r="T1635" s="6">
        <f ca="1">Main[[#This Row],[بدهی سررسید شده (کیلوگرم)]]*Main[[#This Row],[روز از ارسال سفارش]]</f>
        <v>0</v>
      </c>
      <c r="U1635" s="6">
        <f>-SUBTOTAL(9,INDEX(Main[مقدار (کیلوگرم)],1):Main[[#This Row],[مقدار (کیلوگرم)]])</f>
        <v>20244</v>
      </c>
      <c r="V16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5" s="6">
        <f>Main[[#This Row],[تعداد کل روزهای بدهکار (روز)]]*Main[[#This Row],[مانده در خط کل (کیلوگرم)]]</f>
        <v>0</v>
      </c>
      <c r="X1635" s="6">
        <f ca="1">-SUBTOTAL(9,INDEX(Main[مقدار تسویه شده (کیلوگرم)],1):Main[[#This Row],[مقدار تسویه شده (کیلوگرم)]])</f>
        <v>20244</v>
      </c>
      <c r="Y1635" s="6">
        <f ca="1">IF(Main[[#This Row],[مانده در خط تسویه شده (کیلوگرم)]]&lt;&gt;0,Main[[#This Row],[تعداد کل روزهای بدهکار (روز)]],0)</f>
        <v>0</v>
      </c>
      <c r="Z1635" s="6">
        <f ca="1">Main[[#This Row],[تعداد روزهای بدهکار تسویه شده (روز)]]*Main[[#This Row],[مانده در خط تسویه شده (کیلوگرم)]]</f>
        <v>0</v>
      </c>
      <c r="AA1635" s="6">
        <f ca="1">SUBTOTAL(9,INDEX(Main[بدهی تسویه نشده (کیلوگرم)],1):Main[[#This Row],[بدهی تسویه نشده (کیلوگرم)]])</f>
        <v>0</v>
      </c>
      <c r="AB1635" s="6">
        <f ca="1">IF(Main[[#This Row],[مانده در خط تسویه نشده (کیلوگرم)]]&lt;&gt;0,Main[[#This Row],[تعداد کل روزهای بدهکار (روز)]],0)</f>
        <v>0</v>
      </c>
      <c r="AC1635" s="6">
        <f ca="1">Main[[#This Row],[تعداد روزهای بدهکار  تسویه نشده (روز)]]*Main[[#This Row],[مانده در خط تسویه نشده (کیلوگرم)]]</f>
        <v>0</v>
      </c>
      <c r="AD1635" s="6">
        <f ca="1">SUBTOTAL(9,INDEX(Main[بدهی سررسید شده (کیلوگرم)],1):Main[[#This Row],[بدهی سررسید شده (کیلوگرم)]])</f>
        <v>0</v>
      </c>
      <c r="AE1635" s="6">
        <f ca="1">IF(Main[[#This Row],[مانده در خط سررسید شده (کیلوگرم)]]&lt;&gt;0,Main[[#This Row],[تعداد کل روزهای بدهکار (روز)]],0)</f>
        <v>0</v>
      </c>
      <c r="AF1635" s="6">
        <f ca="1">Main[[#This Row],[تعداد روزهای بدهکار سررسید شده (روز)]]*Main[[#This Row],[مانده در خط سررسید شده (کیلوگرم)]]</f>
        <v>0</v>
      </c>
    </row>
    <row r="1636" spans="1:32" hidden="1" x14ac:dyDescent="0.35">
      <c r="A1636" s="5">
        <f>ROW()-ROW(INDEX(Main[ردیف],1))+1</f>
        <v>1634</v>
      </c>
      <c r="B1636" s="31">
        <f>SUBTOTAL(2,INDEX(Main[ردیف],1):Main[[#This Row],[ردیف]])</f>
        <v>147</v>
      </c>
      <c r="C1636" s="32" t="s">
        <v>703</v>
      </c>
      <c r="D1636" s="32" t="str">
        <f>_xlfn.CONCAT("14",Main[[#This Row],[تاريخ]])</f>
        <v>1400/06/28</v>
      </c>
      <c r="E1636" s="33">
        <v>44458</v>
      </c>
      <c r="F1636" s="32">
        <v>30066</v>
      </c>
      <c r="G1636" s="5" t="str">
        <f>INDEX(customer[عنوان],MATCH(Main[[#This Row],[کد ردیابی]],customer[کد],0))</f>
        <v xml:space="preserve">شیر آلات بهداشتی قهرمان </v>
      </c>
      <c r="H1636">
        <v>-1390</v>
      </c>
      <c r="I1636" s="6">
        <f ca="1">-Main[[#This Row],[بدهی تسویه شده (کیلوگرم)]]+Main[[#This Row],[بستانکار (کیلوگرم)]]</f>
        <v>-1390</v>
      </c>
      <c r="J1636" s="6">
        <f>IF(Main[[#This Row],[مقدار (کیلوگرم)]]&gt;0,Main[[#This Row],[مقدار (کیلوگرم)]],0)</f>
        <v>0</v>
      </c>
      <c r="K1636" s="6">
        <f>-IF(Main[[#This Row],[مقدار (کیلوگرم)]]&lt;0,Main[[#This Row],[مقدار (کیلوگرم)]],0)</f>
        <v>1390</v>
      </c>
      <c r="L16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6" s="7">
        <f>-IF(AND(Main[[#This Row],[مقدار (کیلوگرم)]]&lt;0,Main[[#This Row],[تاريخ میلادی]]&gt;44276),Main[[#This Row],[مقدار (کیلوگرم)]],0)</f>
        <v>1390</v>
      </c>
      <c r="N1636" s="6">
        <f ca="1">Main[[#This Row],[بدهکار (کیلوگرم)]]-Main[[#This Row],[بدهی تسویه نشده (کیلوگرم)]]</f>
        <v>1390</v>
      </c>
      <c r="O1636" s="6">
        <f ca="1">Main[[#This Row],[تفکیک]]</f>
        <v>0</v>
      </c>
      <c r="P1636" s="6">
        <f ca="1">IF(Main[[#This Row],[تاخیر از سررسید]]&gt;0,Main[[#This Row],[بدهی تسویه نشده (کیلوگرم)]],0)</f>
        <v>0</v>
      </c>
      <c r="Q1636" s="6">
        <f ca="1">IF(Main[[#This Row],[بدهی تسویه نشده (کیلوگرم)]]&gt;0,'گزارش فردی'!$B$7-Main[[#This Row],[تاريخ میلادی]],0)</f>
        <v>0</v>
      </c>
      <c r="R1636" s="6">
        <f ca="1">IF(Main[[#This Row],[بدهی تسویه نشده (کیلوگرم)]]&gt;0,'گزارش فردی'!$B$7-Main[[#This Row],[تاريخ میلادی]]-'گزارش فردی'!$B$8,0)</f>
        <v>0</v>
      </c>
      <c r="S1636" s="6">
        <f ca="1">Main[[#This Row],[روز از ارسال سفارش]]*Main[[#This Row],[بدهی تسویه نشده (کیلوگرم)]]</f>
        <v>0</v>
      </c>
      <c r="T1636" s="6">
        <f ca="1">Main[[#This Row],[بدهی سررسید شده (کیلوگرم)]]*Main[[#This Row],[روز از ارسال سفارش]]</f>
        <v>0</v>
      </c>
      <c r="U1636" s="6">
        <f>-SUBTOTAL(9,INDEX(Main[مقدار (کیلوگرم)],1):Main[[#This Row],[مقدار (کیلوگرم)]])</f>
        <v>20244</v>
      </c>
      <c r="V16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6" s="6">
        <f>Main[[#This Row],[تعداد کل روزهای بدهکار (روز)]]*Main[[#This Row],[مانده در خط کل (کیلوگرم)]]</f>
        <v>0</v>
      </c>
      <c r="X1636" s="6">
        <f ca="1">-SUBTOTAL(9,INDEX(Main[مقدار تسویه شده (کیلوگرم)],1):Main[[#This Row],[مقدار تسویه شده (کیلوگرم)]])</f>
        <v>20244</v>
      </c>
      <c r="Y1636" s="6">
        <f ca="1">IF(Main[[#This Row],[مانده در خط تسویه شده (کیلوگرم)]]&lt;&gt;0,Main[[#This Row],[تعداد کل روزهای بدهکار (روز)]],0)</f>
        <v>0</v>
      </c>
      <c r="Z1636" s="6">
        <f ca="1">Main[[#This Row],[تعداد روزهای بدهکار تسویه شده (روز)]]*Main[[#This Row],[مانده در خط تسویه شده (کیلوگرم)]]</f>
        <v>0</v>
      </c>
      <c r="AA1636" s="6">
        <f ca="1">SUBTOTAL(9,INDEX(Main[بدهی تسویه نشده (کیلوگرم)],1):Main[[#This Row],[بدهی تسویه نشده (کیلوگرم)]])</f>
        <v>0</v>
      </c>
      <c r="AB1636" s="6">
        <f ca="1">IF(Main[[#This Row],[مانده در خط تسویه نشده (کیلوگرم)]]&lt;&gt;0,Main[[#This Row],[تعداد کل روزهای بدهکار (روز)]],0)</f>
        <v>0</v>
      </c>
      <c r="AC1636" s="6">
        <f ca="1">Main[[#This Row],[تعداد روزهای بدهکار  تسویه نشده (روز)]]*Main[[#This Row],[مانده در خط تسویه نشده (کیلوگرم)]]</f>
        <v>0</v>
      </c>
      <c r="AD1636" s="6">
        <f ca="1">SUBTOTAL(9,INDEX(Main[بدهی سررسید شده (کیلوگرم)],1):Main[[#This Row],[بدهی سررسید شده (کیلوگرم)]])</f>
        <v>0</v>
      </c>
      <c r="AE1636" s="6">
        <f ca="1">IF(Main[[#This Row],[مانده در خط سررسید شده (کیلوگرم)]]&lt;&gt;0,Main[[#This Row],[تعداد کل روزهای بدهکار (روز)]],0)</f>
        <v>0</v>
      </c>
      <c r="AF1636" s="6">
        <f ca="1">Main[[#This Row],[تعداد روزهای بدهکار سررسید شده (روز)]]*Main[[#This Row],[مانده در خط سررسید شده (کیلوگرم)]]</f>
        <v>0</v>
      </c>
    </row>
    <row r="1637" spans="1:32" hidden="1" x14ac:dyDescent="0.35">
      <c r="A1637" s="5">
        <f>ROW()-ROW(INDEX(Main[ردیف],1))+1</f>
        <v>1635</v>
      </c>
      <c r="B1637" s="31">
        <f>SUBTOTAL(2,INDEX(Main[ردیف],1):Main[[#This Row],[ردیف]])</f>
        <v>147</v>
      </c>
      <c r="C1637" s="32" t="s">
        <v>703</v>
      </c>
      <c r="D1637" s="32" t="str">
        <f>_xlfn.CONCAT("14",Main[[#This Row],[تاريخ]])</f>
        <v>1400/06/28</v>
      </c>
      <c r="E1637" s="33">
        <v>44458</v>
      </c>
      <c r="F1637" s="32">
        <v>10026</v>
      </c>
      <c r="G1637" s="5" t="str">
        <f>INDEX(customer[عنوان],MATCH(Main[[#This Row],[کد ردیابی]],customer[کد],0))</f>
        <v xml:space="preserve">محسن فیاض بخش </v>
      </c>
      <c r="H1637">
        <v>12616</v>
      </c>
      <c r="I1637" s="6">
        <f ca="1">-Main[[#This Row],[بدهی تسویه شده (کیلوگرم)]]+Main[[#This Row],[بستانکار (کیلوگرم)]]</f>
        <v>12616</v>
      </c>
      <c r="J1637" s="6">
        <f>IF(Main[[#This Row],[مقدار (کیلوگرم)]]&gt;0,Main[[#This Row],[مقدار (کیلوگرم)]],0)</f>
        <v>12616</v>
      </c>
      <c r="K1637" s="6">
        <f>-IF(Main[[#This Row],[مقدار (کیلوگرم)]]&lt;0,Main[[#This Row],[مقدار (کیلوگرم)]],0)</f>
        <v>0</v>
      </c>
      <c r="L16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7" s="7">
        <f>-IF(AND(Main[[#This Row],[مقدار (کیلوگرم)]]&lt;0,Main[[#This Row],[تاريخ میلادی]]&gt;44276),Main[[#This Row],[مقدار (کیلوگرم)]],0)</f>
        <v>0</v>
      </c>
      <c r="N1637" s="6">
        <f ca="1">Main[[#This Row],[بدهکار (کیلوگرم)]]-Main[[#This Row],[بدهی تسویه نشده (کیلوگرم)]]</f>
        <v>0</v>
      </c>
      <c r="O1637" s="6">
        <f ca="1">Main[[#This Row],[تفکیک]]</f>
        <v>0</v>
      </c>
      <c r="P1637" s="6">
        <f ca="1">IF(Main[[#This Row],[تاخیر از سررسید]]&gt;0,Main[[#This Row],[بدهی تسویه نشده (کیلوگرم)]],0)</f>
        <v>0</v>
      </c>
      <c r="Q1637" s="6">
        <f ca="1">IF(Main[[#This Row],[بدهی تسویه نشده (کیلوگرم)]]&gt;0,'گزارش فردی'!$B$7-Main[[#This Row],[تاريخ میلادی]],0)</f>
        <v>0</v>
      </c>
      <c r="R1637" s="6">
        <f ca="1">IF(Main[[#This Row],[بدهی تسویه نشده (کیلوگرم)]]&gt;0,'گزارش فردی'!$B$7-Main[[#This Row],[تاريخ میلادی]]-'گزارش فردی'!$B$8,0)</f>
        <v>0</v>
      </c>
      <c r="S1637" s="6">
        <f ca="1">Main[[#This Row],[روز از ارسال سفارش]]*Main[[#This Row],[بدهی تسویه نشده (کیلوگرم)]]</f>
        <v>0</v>
      </c>
      <c r="T1637" s="6">
        <f ca="1">Main[[#This Row],[بدهی سررسید شده (کیلوگرم)]]*Main[[#This Row],[روز از ارسال سفارش]]</f>
        <v>0</v>
      </c>
      <c r="U1637" s="6">
        <f>-SUBTOTAL(9,INDEX(Main[مقدار (کیلوگرم)],1):Main[[#This Row],[مقدار (کیلوگرم)]])</f>
        <v>20244</v>
      </c>
      <c r="V16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7" s="6">
        <f>Main[[#This Row],[تعداد کل روزهای بدهکار (روز)]]*Main[[#This Row],[مانده در خط کل (کیلوگرم)]]</f>
        <v>0</v>
      </c>
      <c r="X1637" s="6">
        <f ca="1">-SUBTOTAL(9,INDEX(Main[مقدار تسویه شده (کیلوگرم)],1):Main[[#This Row],[مقدار تسویه شده (کیلوگرم)]])</f>
        <v>20244</v>
      </c>
      <c r="Y1637" s="6">
        <f ca="1">IF(Main[[#This Row],[مانده در خط تسویه شده (کیلوگرم)]]&lt;&gt;0,Main[[#This Row],[تعداد کل روزهای بدهکار (روز)]],0)</f>
        <v>0</v>
      </c>
      <c r="Z1637" s="6">
        <f ca="1">Main[[#This Row],[تعداد روزهای بدهکار تسویه شده (روز)]]*Main[[#This Row],[مانده در خط تسویه شده (کیلوگرم)]]</f>
        <v>0</v>
      </c>
      <c r="AA1637" s="6">
        <f ca="1">SUBTOTAL(9,INDEX(Main[بدهی تسویه نشده (کیلوگرم)],1):Main[[#This Row],[بدهی تسویه نشده (کیلوگرم)]])</f>
        <v>0</v>
      </c>
      <c r="AB1637" s="6">
        <f ca="1">IF(Main[[#This Row],[مانده در خط تسویه نشده (کیلوگرم)]]&lt;&gt;0,Main[[#This Row],[تعداد کل روزهای بدهکار (روز)]],0)</f>
        <v>0</v>
      </c>
      <c r="AC1637" s="6">
        <f ca="1">Main[[#This Row],[تعداد روزهای بدهکار  تسویه نشده (روز)]]*Main[[#This Row],[مانده در خط تسویه نشده (کیلوگرم)]]</f>
        <v>0</v>
      </c>
      <c r="AD1637" s="6">
        <f ca="1">SUBTOTAL(9,INDEX(Main[بدهی سررسید شده (کیلوگرم)],1):Main[[#This Row],[بدهی سررسید شده (کیلوگرم)]])</f>
        <v>0</v>
      </c>
      <c r="AE1637" s="6">
        <f ca="1">IF(Main[[#This Row],[مانده در خط سررسید شده (کیلوگرم)]]&lt;&gt;0,Main[[#This Row],[تعداد کل روزهای بدهکار (روز)]],0)</f>
        <v>0</v>
      </c>
      <c r="AF1637" s="6">
        <f ca="1">Main[[#This Row],[تعداد روزهای بدهکار سررسید شده (روز)]]*Main[[#This Row],[مانده در خط سررسید شده (کیلوگرم)]]</f>
        <v>0</v>
      </c>
    </row>
    <row r="1638" spans="1:32" hidden="1" x14ac:dyDescent="0.35">
      <c r="A1638" s="5">
        <f>ROW()-ROW(INDEX(Main[ردیف],1))+1</f>
        <v>1636</v>
      </c>
      <c r="B1638" s="31">
        <f>SUBTOTAL(2,INDEX(Main[ردیف],1):Main[[#This Row],[ردیف]])</f>
        <v>147</v>
      </c>
      <c r="C1638" s="32" t="s">
        <v>703</v>
      </c>
      <c r="D1638" s="32" t="str">
        <f>_xlfn.CONCAT("14",Main[[#This Row],[تاريخ]])</f>
        <v>1400/06/28</v>
      </c>
      <c r="E1638" s="33">
        <v>44458</v>
      </c>
      <c r="F1638" s="32">
        <v>10070</v>
      </c>
      <c r="G1638" s="5" t="str">
        <f>INDEX(customer[عنوان],MATCH(Main[[#This Row],[کد ردیابی]],customer[کد],0))</f>
        <v xml:space="preserve">حمیدرضا شفیعی </v>
      </c>
      <c r="H1638">
        <v>-1006</v>
      </c>
      <c r="I1638" s="6">
        <f ca="1">-Main[[#This Row],[بدهی تسویه شده (کیلوگرم)]]+Main[[#This Row],[بستانکار (کیلوگرم)]]</f>
        <v>-1006</v>
      </c>
      <c r="J1638" s="6">
        <f>IF(Main[[#This Row],[مقدار (کیلوگرم)]]&gt;0,Main[[#This Row],[مقدار (کیلوگرم)]],0)</f>
        <v>0</v>
      </c>
      <c r="K1638" s="6">
        <f>-IF(Main[[#This Row],[مقدار (کیلوگرم)]]&lt;0,Main[[#This Row],[مقدار (کیلوگرم)]],0)</f>
        <v>1006</v>
      </c>
      <c r="L16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8" s="7">
        <f>-IF(AND(Main[[#This Row],[مقدار (کیلوگرم)]]&lt;0,Main[[#This Row],[تاريخ میلادی]]&gt;44276),Main[[#This Row],[مقدار (کیلوگرم)]],0)</f>
        <v>1006</v>
      </c>
      <c r="N1638" s="6">
        <f ca="1">Main[[#This Row],[بدهکار (کیلوگرم)]]-Main[[#This Row],[بدهی تسویه نشده (کیلوگرم)]]</f>
        <v>1006</v>
      </c>
      <c r="O1638" s="6">
        <f ca="1">Main[[#This Row],[تفکیک]]</f>
        <v>0</v>
      </c>
      <c r="P1638" s="6">
        <f ca="1">IF(Main[[#This Row],[تاخیر از سررسید]]&gt;0,Main[[#This Row],[بدهی تسویه نشده (کیلوگرم)]],0)</f>
        <v>0</v>
      </c>
      <c r="Q1638" s="6">
        <f ca="1">IF(Main[[#This Row],[بدهی تسویه نشده (کیلوگرم)]]&gt;0,'گزارش فردی'!$B$7-Main[[#This Row],[تاريخ میلادی]],0)</f>
        <v>0</v>
      </c>
      <c r="R1638" s="6">
        <f ca="1">IF(Main[[#This Row],[بدهی تسویه نشده (کیلوگرم)]]&gt;0,'گزارش فردی'!$B$7-Main[[#This Row],[تاريخ میلادی]]-'گزارش فردی'!$B$8,0)</f>
        <v>0</v>
      </c>
      <c r="S1638" s="6">
        <f ca="1">Main[[#This Row],[روز از ارسال سفارش]]*Main[[#This Row],[بدهی تسویه نشده (کیلوگرم)]]</f>
        <v>0</v>
      </c>
      <c r="T1638" s="6">
        <f ca="1">Main[[#This Row],[بدهی سررسید شده (کیلوگرم)]]*Main[[#This Row],[روز از ارسال سفارش]]</f>
        <v>0</v>
      </c>
      <c r="U1638" s="6">
        <f>-SUBTOTAL(9,INDEX(Main[مقدار (کیلوگرم)],1):Main[[#This Row],[مقدار (کیلوگرم)]])</f>
        <v>20244</v>
      </c>
      <c r="V16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8" s="6">
        <f>Main[[#This Row],[تعداد کل روزهای بدهکار (روز)]]*Main[[#This Row],[مانده در خط کل (کیلوگرم)]]</f>
        <v>0</v>
      </c>
      <c r="X1638" s="6">
        <f ca="1">-SUBTOTAL(9,INDEX(Main[مقدار تسویه شده (کیلوگرم)],1):Main[[#This Row],[مقدار تسویه شده (کیلوگرم)]])</f>
        <v>20244</v>
      </c>
      <c r="Y1638" s="6">
        <f ca="1">IF(Main[[#This Row],[مانده در خط تسویه شده (کیلوگرم)]]&lt;&gt;0,Main[[#This Row],[تعداد کل روزهای بدهکار (روز)]],0)</f>
        <v>0</v>
      </c>
      <c r="Z1638" s="6">
        <f ca="1">Main[[#This Row],[تعداد روزهای بدهکار تسویه شده (روز)]]*Main[[#This Row],[مانده در خط تسویه شده (کیلوگرم)]]</f>
        <v>0</v>
      </c>
      <c r="AA1638" s="6">
        <f ca="1">SUBTOTAL(9,INDEX(Main[بدهی تسویه نشده (کیلوگرم)],1):Main[[#This Row],[بدهی تسویه نشده (کیلوگرم)]])</f>
        <v>0</v>
      </c>
      <c r="AB1638" s="6">
        <f ca="1">IF(Main[[#This Row],[مانده در خط تسویه نشده (کیلوگرم)]]&lt;&gt;0,Main[[#This Row],[تعداد کل روزهای بدهکار (روز)]],0)</f>
        <v>0</v>
      </c>
      <c r="AC1638" s="6">
        <f ca="1">Main[[#This Row],[تعداد روزهای بدهکار  تسویه نشده (روز)]]*Main[[#This Row],[مانده در خط تسویه نشده (کیلوگرم)]]</f>
        <v>0</v>
      </c>
      <c r="AD1638" s="6">
        <f ca="1">SUBTOTAL(9,INDEX(Main[بدهی سررسید شده (کیلوگرم)],1):Main[[#This Row],[بدهی سررسید شده (کیلوگرم)]])</f>
        <v>0</v>
      </c>
      <c r="AE1638" s="6">
        <f ca="1">IF(Main[[#This Row],[مانده در خط سررسید شده (کیلوگرم)]]&lt;&gt;0,Main[[#This Row],[تعداد کل روزهای بدهکار (روز)]],0)</f>
        <v>0</v>
      </c>
      <c r="AF1638" s="6">
        <f ca="1">Main[[#This Row],[تعداد روزهای بدهکار سررسید شده (روز)]]*Main[[#This Row],[مانده در خط سررسید شده (کیلوگرم)]]</f>
        <v>0</v>
      </c>
    </row>
    <row r="1639" spans="1:32" hidden="1" x14ac:dyDescent="0.35">
      <c r="A1639" s="5">
        <f>ROW()-ROW(INDEX(Main[ردیف],1))+1</f>
        <v>1637</v>
      </c>
      <c r="B1639" s="31">
        <f>SUBTOTAL(2,INDEX(Main[ردیف],1):Main[[#This Row],[ردیف]])</f>
        <v>147</v>
      </c>
      <c r="C1639" s="32" t="s">
        <v>703</v>
      </c>
      <c r="D1639" s="32" t="str">
        <f>_xlfn.CONCAT("14",Main[[#This Row],[تاريخ]])</f>
        <v>1400/06/28</v>
      </c>
      <c r="E1639" s="33">
        <v>44458</v>
      </c>
      <c r="F1639" s="32">
        <v>30191</v>
      </c>
      <c r="G1639" s="5" t="str">
        <f>INDEX(customer[عنوان],MATCH(Main[[#This Row],[کد ردیابی]],customer[کد],0))</f>
        <v>ایران گرما</v>
      </c>
      <c r="H1639">
        <v>5</v>
      </c>
      <c r="I1639" s="6">
        <f ca="1">-Main[[#This Row],[بدهی تسویه شده (کیلوگرم)]]+Main[[#This Row],[بستانکار (کیلوگرم)]]</f>
        <v>5</v>
      </c>
      <c r="J1639" s="6">
        <f>IF(Main[[#This Row],[مقدار (کیلوگرم)]]&gt;0,Main[[#This Row],[مقدار (کیلوگرم)]],0)</f>
        <v>5</v>
      </c>
      <c r="K1639" s="6">
        <f>-IF(Main[[#This Row],[مقدار (کیلوگرم)]]&lt;0,Main[[#This Row],[مقدار (کیلوگرم)]],0)</f>
        <v>0</v>
      </c>
      <c r="L16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9" s="7">
        <f>-IF(AND(Main[[#This Row],[مقدار (کیلوگرم)]]&lt;0,Main[[#This Row],[تاريخ میلادی]]&gt;44276),Main[[#This Row],[مقدار (کیلوگرم)]],0)</f>
        <v>0</v>
      </c>
      <c r="N1639" s="6">
        <f ca="1">Main[[#This Row],[بدهکار (کیلوگرم)]]-Main[[#This Row],[بدهی تسویه نشده (کیلوگرم)]]</f>
        <v>0</v>
      </c>
      <c r="O1639" s="6">
        <f ca="1">Main[[#This Row],[تفکیک]]</f>
        <v>0</v>
      </c>
      <c r="P1639" s="6">
        <f ca="1">IF(Main[[#This Row],[تاخیر از سررسید]]&gt;0,Main[[#This Row],[بدهی تسویه نشده (کیلوگرم)]],0)</f>
        <v>0</v>
      </c>
      <c r="Q1639" s="6">
        <f ca="1">IF(Main[[#This Row],[بدهی تسویه نشده (کیلوگرم)]]&gt;0,'گزارش فردی'!$B$7-Main[[#This Row],[تاريخ میلادی]],0)</f>
        <v>0</v>
      </c>
      <c r="R1639" s="6">
        <f ca="1">IF(Main[[#This Row],[بدهی تسویه نشده (کیلوگرم)]]&gt;0,'گزارش فردی'!$B$7-Main[[#This Row],[تاريخ میلادی]]-'گزارش فردی'!$B$8,0)</f>
        <v>0</v>
      </c>
      <c r="S1639" s="6">
        <f ca="1">Main[[#This Row],[روز از ارسال سفارش]]*Main[[#This Row],[بدهی تسویه نشده (کیلوگرم)]]</f>
        <v>0</v>
      </c>
      <c r="T1639" s="6">
        <f ca="1">Main[[#This Row],[بدهی سررسید شده (کیلوگرم)]]*Main[[#This Row],[روز از ارسال سفارش]]</f>
        <v>0</v>
      </c>
      <c r="U1639" s="6">
        <f>-SUBTOTAL(9,INDEX(Main[مقدار (کیلوگرم)],1):Main[[#This Row],[مقدار (کیلوگرم)]])</f>
        <v>20244</v>
      </c>
      <c r="V16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9" s="6">
        <f>Main[[#This Row],[تعداد کل روزهای بدهکار (روز)]]*Main[[#This Row],[مانده در خط کل (کیلوگرم)]]</f>
        <v>0</v>
      </c>
      <c r="X1639" s="6">
        <f ca="1">-SUBTOTAL(9,INDEX(Main[مقدار تسویه شده (کیلوگرم)],1):Main[[#This Row],[مقدار تسویه شده (کیلوگرم)]])</f>
        <v>20244</v>
      </c>
      <c r="Y1639" s="6">
        <f ca="1">IF(Main[[#This Row],[مانده در خط تسویه شده (کیلوگرم)]]&lt;&gt;0,Main[[#This Row],[تعداد کل روزهای بدهکار (روز)]],0)</f>
        <v>0</v>
      </c>
      <c r="Z1639" s="6">
        <f ca="1">Main[[#This Row],[تعداد روزهای بدهکار تسویه شده (روز)]]*Main[[#This Row],[مانده در خط تسویه شده (کیلوگرم)]]</f>
        <v>0</v>
      </c>
      <c r="AA1639" s="6">
        <f ca="1">SUBTOTAL(9,INDEX(Main[بدهی تسویه نشده (کیلوگرم)],1):Main[[#This Row],[بدهی تسویه نشده (کیلوگرم)]])</f>
        <v>0</v>
      </c>
      <c r="AB1639" s="6">
        <f ca="1">IF(Main[[#This Row],[مانده در خط تسویه نشده (کیلوگرم)]]&lt;&gt;0,Main[[#This Row],[تعداد کل روزهای بدهکار (روز)]],0)</f>
        <v>0</v>
      </c>
      <c r="AC1639" s="6">
        <f ca="1">Main[[#This Row],[تعداد روزهای بدهکار  تسویه نشده (روز)]]*Main[[#This Row],[مانده در خط تسویه نشده (کیلوگرم)]]</f>
        <v>0</v>
      </c>
      <c r="AD1639" s="6">
        <f ca="1">SUBTOTAL(9,INDEX(Main[بدهی سررسید شده (کیلوگرم)],1):Main[[#This Row],[بدهی سررسید شده (کیلوگرم)]])</f>
        <v>0</v>
      </c>
      <c r="AE1639" s="6">
        <f ca="1">IF(Main[[#This Row],[مانده در خط سررسید شده (کیلوگرم)]]&lt;&gt;0,Main[[#This Row],[تعداد کل روزهای بدهکار (روز)]],0)</f>
        <v>0</v>
      </c>
      <c r="AF1639" s="6">
        <f ca="1">Main[[#This Row],[تعداد روزهای بدهکار سررسید شده (روز)]]*Main[[#This Row],[مانده در خط سررسید شده (کیلوگرم)]]</f>
        <v>0</v>
      </c>
    </row>
    <row r="1640" spans="1:32" hidden="1" x14ac:dyDescent="0.35">
      <c r="A1640" s="5">
        <f>ROW()-ROW(INDEX(Main[ردیف],1))+1</f>
        <v>1638</v>
      </c>
      <c r="B1640" s="31">
        <f>SUBTOTAL(2,INDEX(Main[ردیف],1):Main[[#This Row],[ردیف]])</f>
        <v>147</v>
      </c>
      <c r="C1640" s="32" t="s">
        <v>703</v>
      </c>
      <c r="D1640" s="32" t="str">
        <f>_xlfn.CONCAT("14",Main[[#This Row],[تاريخ]])</f>
        <v>1400/06/28</v>
      </c>
      <c r="E1640" s="33">
        <v>44458</v>
      </c>
      <c r="F1640" s="32">
        <v>10004</v>
      </c>
      <c r="G1640" s="5" t="str">
        <f>INDEX(customer[عنوان],MATCH(Main[[#This Row],[کد ردیابی]],customer[کد],0))</f>
        <v xml:space="preserve">محمد عباسی </v>
      </c>
      <c r="H1640">
        <v>-500</v>
      </c>
      <c r="I1640" s="6">
        <f ca="1">-Main[[#This Row],[بدهی تسویه شده (کیلوگرم)]]+Main[[#This Row],[بستانکار (کیلوگرم)]]</f>
        <v>-500</v>
      </c>
      <c r="J1640" s="6">
        <f>IF(Main[[#This Row],[مقدار (کیلوگرم)]]&gt;0,Main[[#This Row],[مقدار (کیلوگرم)]],0)</f>
        <v>0</v>
      </c>
      <c r="K1640" s="6">
        <f>-IF(Main[[#This Row],[مقدار (کیلوگرم)]]&lt;0,Main[[#This Row],[مقدار (کیلوگرم)]],0)</f>
        <v>500</v>
      </c>
      <c r="L16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0" s="7">
        <f>-IF(AND(Main[[#This Row],[مقدار (کیلوگرم)]]&lt;0,Main[[#This Row],[تاريخ میلادی]]&gt;44276),Main[[#This Row],[مقدار (کیلوگرم)]],0)</f>
        <v>500</v>
      </c>
      <c r="N1640" s="6">
        <f ca="1">Main[[#This Row],[بدهکار (کیلوگرم)]]-Main[[#This Row],[بدهی تسویه نشده (کیلوگرم)]]</f>
        <v>500</v>
      </c>
      <c r="O1640" s="6">
        <f ca="1">Main[[#This Row],[تفکیک]]</f>
        <v>0</v>
      </c>
      <c r="P1640" s="6">
        <f ca="1">IF(Main[[#This Row],[تاخیر از سررسید]]&gt;0,Main[[#This Row],[بدهی تسویه نشده (کیلوگرم)]],0)</f>
        <v>0</v>
      </c>
      <c r="Q1640" s="6">
        <f ca="1">IF(Main[[#This Row],[بدهی تسویه نشده (کیلوگرم)]]&gt;0,'گزارش فردی'!$B$7-Main[[#This Row],[تاريخ میلادی]],0)</f>
        <v>0</v>
      </c>
      <c r="R1640" s="6">
        <f ca="1">IF(Main[[#This Row],[بدهی تسویه نشده (کیلوگرم)]]&gt;0,'گزارش فردی'!$B$7-Main[[#This Row],[تاريخ میلادی]]-'گزارش فردی'!$B$8,0)</f>
        <v>0</v>
      </c>
      <c r="S1640" s="6">
        <f ca="1">Main[[#This Row],[روز از ارسال سفارش]]*Main[[#This Row],[بدهی تسویه نشده (کیلوگرم)]]</f>
        <v>0</v>
      </c>
      <c r="T1640" s="6">
        <f ca="1">Main[[#This Row],[بدهی سررسید شده (کیلوگرم)]]*Main[[#This Row],[روز از ارسال سفارش]]</f>
        <v>0</v>
      </c>
      <c r="U1640" s="6">
        <f>-SUBTOTAL(9,INDEX(Main[مقدار (کیلوگرم)],1):Main[[#This Row],[مقدار (کیلوگرم)]])</f>
        <v>20244</v>
      </c>
      <c r="V16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40" s="6">
        <f>Main[[#This Row],[تعداد کل روزهای بدهکار (روز)]]*Main[[#This Row],[مانده در خط کل (کیلوگرم)]]</f>
        <v>0</v>
      </c>
      <c r="X1640" s="6">
        <f ca="1">-SUBTOTAL(9,INDEX(Main[مقدار تسویه شده (کیلوگرم)],1):Main[[#This Row],[مقدار تسویه شده (کیلوگرم)]])</f>
        <v>20244</v>
      </c>
      <c r="Y1640" s="6">
        <f ca="1">IF(Main[[#This Row],[مانده در خط تسویه شده (کیلوگرم)]]&lt;&gt;0,Main[[#This Row],[تعداد کل روزهای بدهکار (روز)]],0)</f>
        <v>0</v>
      </c>
      <c r="Z1640" s="6">
        <f ca="1">Main[[#This Row],[تعداد روزهای بدهکار تسویه شده (روز)]]*Main[[#This Row],[مانده در خط تسویه شده (کیلوگرم)]]</f>
        <v>0</v>
      </c>
      <c r="AA1640" s="6">
        <f ca="1">SUBTOTAL(9,INDEX(Main[بدهی تسویه نشده (کیلوگرم)],1):Main[[#This Row],[بدهی تسویه نشده (کیلوگرم)]])</f>
        <v>0</v>
      </c>
      <c r="AB1640" s="6">
        <f ca="1">IF(Main[[#This Row],[مانده در خط تسویه نشده (کیلوگرم)]]&lt;&gt;0,Main[[#This Row],[تعداد کل روزهای بدهکار (روز)]],0)</f>
        <v>0</v>
      </c>
      <c r="AC1640" s="6">
        <f ca="1">Main[[#This Row],[تعداد روزهای بدهکار  تسویه نشده (روز)]]*Main[[#This Row],[مانده در خط تسویه نشده (کیلوگرم)]]</f>
        <v>0</v>
      </c>
      <c r="AD1640" s="6">
        <f ca="1">SUBTOTAL(9,INDEX(Main[بدهی سررسید شده (کیلوگرم)],1):Main[[#This Row],[بدهی سررسید شده (کیلوگرم)]])</f>
        <v>0</v>
      </c>
      <c r="AE1640" s="6">
        <f ca="1">IF(Main[[#This Row],[مانده در خط سررسید شده (کیلوگرم)]]&lt;&gt;0,Main[[#This Row],[تعداد کل روزهای بدهکار (روز)]],0)</f>
        <v>0</v>
      </c>
      <c r="AF1640" s="6">
        <f ca="1">Main[[#This Row],[تعداد روزهای بدهکار سررسید شده (روز)]]*Main[[#This Row],[مانده در خط سررسید شده (کیلوگرم)]]</f>
        <v>0</v>
      </c>
    </row>
    <row r="1641" spans="1:32" hidden="1" x14ac:dyDescent="0.35">
      <c r="A1641" s="5">
        <f>ROW()-ROW(INDEX(Main[ردیف],1))+1</f>
        <v>1639</v>
      </c>
      <c r="B1641" s="31">
        <f>SUBTOTAL(2,INDEX(Main[ردیف],1):Main[[#This Row],[ردیف]])</f>
        <v>147</v>
      </c>
      <c r="C1641" s="32" t="s">
        <v>703</v>
      </c>
      <c r="D1641" s="32" t="str">
        <f>_xlfn.CONCAT("14",Main[[#This Row],[تاريخ]])</f>
        <v>1400/06/28</v>
      </c>
      <c r="E1641" s="33">
        <v>44458</v>
      </c>
      <c r="F1641" s="32">
        <v>30191</v>
      </c>
      <c r="G1641" s="5" t="str">
        <f>INDEX(customer[عنوان],MATCH(Main[[#This Row],[کد ردیابی]],customer[کد],0))</f>
        <v>ایران گرما</v>
      </c>
      <c r="H1641">
        <v>47</v>
      </c>
      <c r="I1641" s="6">
        <f ca="1">-Main[[#This Row],[بدهی تسویه شده (کیلوگرم)]]+Main[[#This Row],[بستانکار (کیلوگرم)]]</f>
        <v>47</v>
      </c>
      <c r="J1641" s="6">
        <f>IF(Main[[#This Row],[مقدار (کیلوگرم)]]&gt;0,Main[[#This Row],[مقدار (کیلوگرم)]],0)</f>
        <v>47</v>
      </c>
      <c r="K1641" s="6">
        <f>-IF(Main[[#This Row],[مقدار (کیلوگرم)]]&lt;0,Main[[#This Row],[مقدار (کیلوگرم)]],0)</f>
        <v>0</v>
      </c>
      <c r="L16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1" s="7">
        <f>-IF(AND(Main[[#This Row],[مقدار (کیلوگرم)]]&lt;0,Main[[#This Row],[تاريخ میلادی]]&gt;44276),Main[[#This Row],[مقدار (کیلوگرم)]],0)</f>
        <v>0</v>
      </c>
      <c r="N1641" s="6">
        <f ca="1">Main[[#This Row],[بدهکار (کیلوگرم)]]-Main[[#This Row],[بدهی تسویه نشده (کیلوگرم)]]</f>
        <v>0</v>
      </c>
      <c r="O1641" s="6">
        <f ca="1">Main[[#This Row],[تفکیک]]</f>
        <v>0</v>
      </c>
      <c r="P1641" s="6">
        <f ca="1">IF(Main[[#This Row],[تاخیر از سررسید]]&gt;0,Main[[#This Row],[بدهی تسویه نشده (کیلوگرم)]],0)</f>
        <v>0</v>
      </c>
      <c r="Q1641" s="6">
        <f ca="1">IF(Main[[#This Row],[بدهی تسویه نشده (کیلوگرم)]]&gt;0,'گزارش فردی'!$B$7-Main[[#This Row],[تاريخ میلادی]],0)</f>
        <v>0</v>
      </c>
      <c r="R1641" s="6">
        <f ca="1">IF(Main[[#This Row],[بدهی تسویه نشده (کیلوگرم)]]&gt;0,'گزارش فردی'!$B$7-Main[[#This Row],[تاريخ میلادی]]-'گزارش فردی'!$B$8,0)</f>
        <v>0</v>
      </c>
      <c r="S1641" s="6">
        <f ca="1">Main[[#This Row],[روز از ارسال سفارش]]*Main[[#This Row],[بدهی تسویه نشده (کیلوگرم)]]</f>
        <v>0</v>
      </c>
      <c r="T1641" s="6">
        <f ca="1">Main[[#This Row],[بدهی سررسید شده (کیلوگرم)]]*Main[[#This Row],[روز از ارسال سفارش]]</f>
        <v>0</v>
      </c>
      <c r="U1641" s="6">
        <f>-SUBTOTAL(9,INDEX(Main[مقدار (کیلوگرم)],1):Main[[#This Row],[مقدار (کیلوگرم)]])</f>
        <v>20244</v>
      </c>
      <c r="V16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41" s="6">
        <f>Main[[#This Row],[تعداد کل روزهای بدهکار (روز)]]*Main[[#This Row],[مانده در خط کل (کیلوگرم)]]</f>
        <v>0</v>
      </c>
      <c r="X1641" s="6">
        <f ca="1">-SUBTOTAL(9,INDEX(Main[مقدار تسویه شده (کیلوگرم)],1):Main[[#This Row],[مقدار تسویه شده (کیلوگرم)]])</f>
        <v>20244</v>
      </c>
      <c r="Y1641" s="6">
        <f ca="1">IF(Main[[#This Row],[مانده در خط تسویه شده (کیلوگرم)]]&lt;&gt;0,Main[[#This Row],[تعداد کل روزهای بدهکار (روز)]],0)</f>
        <v>0</v>
      </c>
      <c r="Z1641" s="6">
        <f ca="1">Main[[#This Row],[تعداد روزهای بدهکار تسویه شده (روز)]]*Main[[#This Row],[مانده در خط تسویه شده (کیلوگرم)]]</f>
        <v>0</v>
      </c>
      <c r="AA1641" s="6">
        <f ca="1">SUBTOTAL(9,INDEX(Main[بدهی تسویه نشده (کیلوگرم)],1):Main[[#This Row],[بدهی تسویه نشده (کیلوگرم)]])</f>
        <v>0</v>
      </c>
      <c r="AB1641" s="6">
        <f ca="1">IF(Main[[#This Row],[مانده در خط تسویه نشده (کیلوگرم)]]&lt;&gt;0,Main[[#This Row],[تعداد کل روزهای بدهکار (روز)]],0)</f>
        <v>0</v>
      </c>
      <c r="AC1641" s="6">
        <f ca="1">Main[[#This Row],[تعداد روزهای بدهکار  تسویه نشده (روز)]]*Main[[#This Row],[مانده در خط تسویه نشده (کیلوگرم)]]</f>
        <v>0</v>
      </c>
      <c r="AD1641" s="6">
        <f ca="1">SUBTOTAL(9,INDEX(Main[بدهی سررسید شده (کیلوگرم)],1):Main[[#This Row],[بدهی سررسید شده (کیلوگرم)]])</f>
        <v>0</v>
      </c>
      <c r="AE1641" s="6">
        <f ca="1">IF(Main[[#This Row],[مانده در خط سررسید شده (کیلوگرم)]]&lt;&gt;0,Main[[#This Row],[تعداد کل روزهای بدهکار (روز)]],0)</f>
        <v>0</v>
      </c>
      <c r="AF1641" s="6">
        <f ca="1">Main[[#This Row],[تعداد روزهای بدهکار سررسید شده (روز)]]*Main[[#This Row],[مانده در خط سررسید شده (کیلوگرم)]]</f>
        <v>0</v>
      </c>
    </row>
    <row r="1642" spans="1:32" x14ac:dyDescent="0.35">
      <c r="A1642" s="5">
        <f>ROW()-ROW(INDEX(Main[ردیف],1))+1</f>
        <v>1640</v>
      </c>
      <c r="B1642" s="31">
        <f>SUBTOTAL(2,INDEX(Main[ردیف],1):Main[[#This Row],[ردیف]])</f>
        <v>148</v>
      </c>
      <c r="C1642" s="32" t="s">
        <v>703</v>
      </c>
      <c r="D1642" s="32" t="str">
        <f>_xlfn.CONCAT("14",Main[[#This Row],[تاريخ]])</f>
        <v>1400/06/28</v>
      </c>
      <c r="E1642" s="33">
        <v>44458</v>
      </c>
      <c r="F1642" s="32">
        <v>10003</v>
      </c>
      <c r="G1642" s="5" t="str">
        <f>INDEX(customer[عنوان],MATCH(Main[[#This Row],[کد ردیابی]],customer[کد],0))</f>
        <v>اصغر نورعلی</v>
      </c>
      <c r="H1642">
        <v>-2054</v>
      </c>
      <c r="I1642" s="6">
        <f ca="1">-Main[[#This Row],[بدهی تسویه شده (کیلوگرم)]]+Main[[#This Row],[بستانکار (کیلوگرم)]]</f>
        <v>-2054</v>
      </c>
      <c r="J1642" s="6">
        <f>IF(Main[[#This Row],[مقدار (کیلوگرم)]]&gt;0,Main[[#This Row],[مقدار (کیلوگرم)]],0)</f>
        <v>0</v>
      </c>
      <c r="K1642" s="6">
        <f>-IF(Main[[#This Row],[مقدار (کیلوگرم)]]&lt;0,Main[[#This Row],[مقدار (کیلوگرم)]],0)</f>
        <v>2054</v>
      </c>
      <c r="L16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2" s="7">
        <f>-IF(AND(Main[[#This Row],[مقدار (کیلوگرم)]]&lt;0,Main[[#This Row],[تاريخ میلادی]]&gt;44276),Main[[#This Row],[مقدار (کیلوگرم)]],0)</f>
        <v>2054</v>
      </c>
      <c r="N1642" s="6">
        <f ca="1">Main[[#This Row],[بدهکار (کیلوگرم)]]-Main[[#This Row],[بدهی تسویه نشده (کیلوگرم)]]</f>
        <v>2054</v>
      </c>
      <c r="O1642" s="6">
        <f ca="1">Main[[#This Row],[تفکیک]]</f>
        <v>0</v>
      </c>
      <c r="P1642" s="6">
        <f ca="1">IF(Main[[#This Row],[تاخیر از سررسید]]&gt;0,Main[[#This Row],[بدهی تسویه نشده (کیلوگرم)]],0)</f>
        <v>0</v>
      </c>
      <c r="Q1642" s="6">
        <f ca="1">IF(Main[[#This Row],[بدهی تسویه نشده (کیلوگرم)]]&gt;0,'گزارش فردی'!$B$7-Main[[#This Row],[تاريخ میلادی]],0)</f>
        <v>0</v>
      </c>
      <c r="R1642" s="6">
        <f ca="1">IF(Main[[#This Row],[بدهی تسویه نشده (کیلوگرم)]]&gt;0,'گزارش فردی'!$B$7-Main[[#This Row],[تاريخ میلادی]]-'گزارش فردی'!$B$8,0)</f>
        <v>0</v>
      </c>
      <c r="S1642" s="6">
        <f ca="1">Main[[#This Row],[روز از ارسال سفارش]]*Main[[#This Row],[بدهی تسویه نشده (کیلوگرم)]]</f>
        <v>0</v>
      </c>
      <c r="T1642" s="6">
        <f ca="1">Main[[#This Row],[بدهی سررسید شده (کیلوگرم)]]*Main[[#This Row],[روز از ارسال سفارش]]</f>
        <v>0</v>
      </c>
      <c r="U1642" s="6">
        <f>-SUBTOTAL(9,INDEX(Main[مقدار (کیلوگرم)],1):Main[[#This Row],[مقدار (کیلوگرم)]])</f>
        <v>22298</v>
      </c>
      <c r="V16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2" s="6">
        <f>Main[[#This Row],[تعداد کل روزهای بدهکار (روز)]]*Main[[#This Row],[مانده در خط کل (کیلوگرم)]]</f>
        <v>22298</v>
      </c>
      <c r="X1642" s="6">
        <f ca="1">-SUBTOTAL(9,INDEX(Main[مقدار تسویه شده (کیلوگرم)],1):Main[[#This Row],[مقدار تسویه شده (کیلوگرم)]])</f>
        <v>22298</v>
      </c>
      <c r="Y1642" s="6">
        <f ca="1">IF(Main[[#This Row],[مانده در خط تسویه شده (کیلوگرم)]]&lt;&gt;0,Main[[#This Row],[تعداد کل روزهای بدهکار (روز)]],0)</f>
        <v>1</v>
      </c>
      <c r="Z1642" s="6">
        <f ca="1">Main[[#This Row],[تعداد روزهای بدهکار تسویه شده (روز)]]*Main[[#This Row],[مانده در خط تسویه شده (کیلوگرم)]]</f>
        <v>22298</v>
      </c>
      <c r="AA1642" s="6">
        <f ca="1">SUBTOTAL(9,INDEX(Main[بدهی تسویه نشده (کیلوگرم)],1):Main[[#This Row],[بدهی تسویه نشده (کیلوگرم)]])</f>
        <v>0</v>
      </c>
      <c r="AB1642" s="6">
        <f ca="1">IF(Main[[#This Row],[مانده در خط تسویه نشده (کیلوگرم)]]&lt;&gt;0,Main[[#This Row],[تعداد کل روزهای بدهکار (روز)]],0)</f>
        <v>0</v>
      </c>
      <c r="AC1642" s="6">
        <f ca="1">Main[[#This Row],[تعداد روزهای بدهکار  تسویه نشده (روز)]]*Main[[#This Row],[مانده در خط تسویه نشده (کیلوگرم)]]</f>
        <v>0</v>
      </c>
      <c r="AD1642" s="6">
        <f ca="1">SUBTOTAL(9,INDEX(Main[بدهی سررسید شده (کیلوگرم)],1):Main[[#This Row],[بدهی سررسید شده (کیلوگرم)]])</f>
        <v>0</v>
      </c>
      <c r="AE1642" s="6">
        <f ca="1">IF(Main[[#This Row],[مانده در خط سررسید شده (کیلوگرم)]]&lt;&gt;0,Main[[#This Row],[تعداد کل روزهای بدهکار (روز)]],0)</f>
        <v>0</v>
      </c>
      <c r="AF1642" s="6">
        <f ca="1">Main[[#This Row],[تعداد روزهای بدهکار سررسید شده (روز)]]*Main[[#This Row],[مانده در خط سررسید شده (کیلوگرم)]]</f>
        <v>0</v>
      </c>
    </row>
    <row r="1643" spans="1:32" hidden="1" x14ac:dyDescent="0.35">
      <c r="A1643" s="5">
        <f>ROW()-ROW(INDEX(Main[ردیف],1))+1</f>
        <v>1641</v>
      </c>
      <c r="B1643" s="31">
        <f>SUBTOTAL(2,INDEX(Main[ردیف],1):Main[[#This Row],[ردیف]])</f>
        <v>148</v>
      </c>
      <c r="C1643" s="32" t="s">
        <v>703</v>
      </c>
      <c r="D1643" s="32" t="str">
        <f>_xlfn.CONCAT("14",Main[[#This Row],[تاريخ]])</f>
        <v>1400/06/28</v>
      </c>
      <c r="E1643" s="33">
        <v>44458</v>
      </c>
      <c r="F1643" s="32">
        <v>10069</v>
      </c>
      <c r="G1643" s="5" t="str">
        <f>INDEX(customer[عنوان],MATCH(Main[[#This Row],[کد ردیابی]],customer[کد],0))</f>
        <v xml:space="preserve">جواد عرب </v>
      </c>
      <c r="H1643">
        <v>601</v>
      </c>
      <c r="I1643" s="6">
        <f ca="1">-Main[[#This Row],[بدهی تسویه شده (کیلوگرم)]]+Main[[#This Row],[بستانکار (کیلوگرم)]]</f>
        <v>601</v>
      </c>
      <c r="J1643" s="6">
        <f>IF(Main[[#This Row],[مقدار (کیلوگرم)]]&gt;0,Main[[#This Row],[مقدار (کیلوگرم)]],0)</f>
        <v>601</v>
      </c>
      <c r="K1643" s="6">
        <f>-IF(Main[[#This Row],[مقدار (کیلوگرم)]]&lt;0,Main[[#This Row],[مقدار (کیلوگرم)]],0)</f>
        <v>0</v>
      </c>
      <c r="L16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3" s="7">
        <f>-IF(AND(Main[[#This Row],[مقدار (کیلوگرم)]]&lt;0,Main[[#This Row],[تاريخ میلادی]]&gt;44276),Main[[#This Row],[مقدار (کیلوگرم)]],0)</f>
        <v>0</v>
      </c>
      <c r="N1643" s="6">
        <f ca="1">Main[[#This Row],[بدهکار (کیلوگرم)]]-Main[[#This Row],[بدهی تسویه نشده (کیلوگرم)]]</f>
        <v>0</v>
      </c>
      <c r="O1643" s="6">
        <f ca="1">Main[[#This Row],[تفکیک]]</f>
        <v>0</v>
      </c>
      <c r="P1643" s="6">
        <f ca="1">IF(Main[[#This Row],[تاخیر از سررسید]]&gt;0,Main[[#This Row],[بدهی تسویه نشده (کیلوگرم)]],0)</f>
        <v>0</v>
      </c>
      <c r="Q1643" s="6">
        <f ca="1">IF(Main[[#This Row],[بدهی تسویه نشده (کیلوگرم)]]&gt;0,'گزارش فردی'!$B$7-Main[[#This Row],[تاريخ میلادی]],0)</f>
        <v>0</v>
      </c>
      <c r="R1643" s="6">
        <f ca="1">IF(Main[[#This Row],[بدهی تسویه نشده (کیلوگرم)]]&gt;0,'گزارش فردی'!$B$7-Main[[#This Row],[تاريخ میلادی]]-'گزارش فردی'!$B$8,0)</f>
        <v>0</v>
      </c>
      <c r="S1643" s="6">
        <f ca="1">Main[[#This Row],[روز از ارسال سفارش]]*Main[[#This Row],[بدهی تسویه نشده (کیلوگرم)]]</f>
        <v>0</v>
      </c>
      <c r="T1643" s="6">
        <f ca="1">Main[[#This Row],[بدهی سررسید شده (کیلوگرم)]]*Main[[#This Row],[روز از ارسال سفارش]]</f>
        <v>0</v>
      </c>
      <c r="U1643" s="6">
        <f>-SUBTOTAL(9,INDEX(Main[مقدار (کیلوگرم)],1):Main[[#This Row],[مقدار (کیلوگرم)]])</f>
        <v>22298</v>
      </c>
      <c r="V16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3" s="6">
        <f>Main[[#This Row],[تعداد کل روزهای بدهکار (روز)]]*Main[[#This Row],[مانده در خط کل (کیلوگرم)]]</f>
        <v>22298</v>
      </c>
      <c r="X1643" s="6">
        <f ca="1">-SUBTOTAL(9,INDEX(Main[مقدار تسویه شده (کیلوگرم)],1):Main[[#This Row],[مقدار تسویه شده (کیلوگرم)]])</f>
        <v>22298</v>
      </c>
      <c r="Y1643" s="6">
        <f ca="1">IF(Main[[#This Row],[مانده در خط تسویه شده (کیلوگرم)]]&lt;&gt;0,Main[[#This Row],[تعداد کل روزهای بدهکار (روز)]],0)</f>
        <v>1</v>
      </c>
      <c r="Z1643" s="6">
        <f ca="1">Main[[#This Row],[تعداد روزهای بدهکار تسویه شده (روز)]]*Main[[#This Row],[مانده در خط تسویه شده (کیلوگرم)]]</f>
        <v>22298</v>
      </c>
      <c r="AA1643" s="6">
        <f ca="1">SUBTOTAL(9,INDEX(Main[بدهی تسویه نشده (کیلوگرم)],1):Main[[#This Row],[بدهی تسویه نشده (کیلوگرم)]])</f>
        <v>0</v>
      </c>
      <c r="AB1643" s="6">
        <f ca="1">IF(Main[[#This Row],[مانده در خط تسویه نشده (کیلوگرم)]]&lt;&gt;0,Main[[#This Row],[تعداد کل روزهای بدهکار (روز)]],0)</f>
        <v>0</v>
      </c>
      <c r="AC1643" s="6">
        <f ca="1">Main[[#This Row],[تعداد روزهای بدهکار  تسویه نشده (روز)]]*Main[[#This Row],[مانده در خط تسویه نشده (کیلوگرم)]]</f>
        <v>0</v>
      </c>
      <c r="AD1643" s="6">
        <f ca="1">SUBTOTAL(9,INDEX(Main[بدهی سررسید شده (کیلوگرم)],1):Main[[#This Row],[بدهی سررسید شده (کیلوگرم)]])</f>
        <v>0</v>
      </c>
      <c r="AE1643" s="6">
        <f ca="1">IF(Main[[#This Row],[مانده در خط سررسید شده (کیلوگرم)]]&lt;&gt;0,Main[[#This Row],[تعداد کل روزهای بدهکار (روز)]],0)</f>
        <v>0</v>
      </c>
      <c r="AF1643" s="6">
        <f ca="1">Main[[#This Row],[تعداد روزهای بدهکار سررسید شده (روز)]]*Main[[#This Row],[مانده در خط سررسید شده (کیلوگرم)]]</f>
        <v>0</v>
      </c>
    </row>
    <row r="1644" spans="1:32" hidden="1" x14ac:dyDescent="0.35">
      <c r="A1644" s="5">
        <f>ROW()-ROW(INDEX(Main[ردیف],1))+1</f>
        <v>1642</v>
      </c>
      <c r="B1644" s="31">
        <f>SUBTOTAL(2,INDEX(Main[ردیف],1):Main[[#This Row],[ردیف]])</f>
        <v>148</v>
      </c>
      <c r="C1644" s="32" t="s">
        <v>703</v>
      </c>
      <c r="D1644" s="32" t="str">
        <f>_xlfn.CONCAT("14",Main[[#This Row],[تاريخ]])</f>
        <v>1400/06/28</v>
      </c>
      <c r="E1644" s="33">
        <v>44458</v>
      </c>
      <c r="F1644" s="32">
        <v>10018</v>
      </c>
      <c r="G1644" s="5" t="str">
        <f>INDEX(customer[عنوان],MATCH(Main[[#This Row],[کد ردیابی]],customer[کد],0))</f>
        <v xml:space="preserve">کوهی </v>
      </c>
      <c r="H1644">
        <v>-512</v>
      </c>
      <c r="I1644" s="6">
        <f ca="1">-Main[[#This Row],[بدهی تسویه شده (کیلوگرم)]]+Main[[#This Row],[بستانکار (کیلوگرم)]]</f>
        <v>-512</v>
      </c>
      <c r="J1644" s="6">
        <f>IF(Main[[#This Row],[مقدار (کیلوگرم)]]&gt;0,Main[[#This Row],[مقدار (کیلوگرم)]],0)</f>
        <v>0</v>
      </c>
      <c r="K1644" s="6">
        <f>-IF(Main[[#This Row],[مقدار (کیلوگرم)]]&lt;0,Main[[#This Row],[مقدار (کیلوگرم)]],0)</f>
        <v>512</v>
      </c>
      <c r="L16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4" s="7">
        <f>-IF(AND(Main[[#This Row],[مقدار (کیلوگرم)]]&lt;0,Main[[#This Row],[تاريخ میلادی]]&gt;44276),Main[[#This Row],[مقدار (کیلوگرم)]],0)</f>
        <v>512</v>
      </c>
      <c r="N1644" s="6">
        <f ca="1">Main[[#This Row],[بدهکار (کیلوگرم)]]-Main[[#This Row],[بدهی تسویه نشده (کیلوگرم)]]</f>
        <v>512</v>
      </c>
      <c r="O1644" s="6">
        <f ca="1">Main[[#This Row],[تفکیک]]</f>
        <v>0</v>
      </c>
      <c r="P1644" s="6">
        <f ca="1">IF(Main[[#This Row],[تاخیر از سررسید]]&gt;0,Main[[#This Row],[بدهی تسویه نشده (کیلوگرم)]],0)</f>
        <v>0</v>
      </c>
      <c r="Q1644" s="6">
        <f ca="1">IF(Main[[#This Row],[بدهی تسویه نشده (کیلوگرم)]]&gt;0,'گزارش فردی'!$B$7-Main[[#This Row],[تاريخ میلادی]],0)</f>
        <v>0</v>
      </c>
      <c r="R1644" s="6">
        <f ca="1">IF(Main[[#This Row],[بدهی تسویه نشده (کیلوگرم)]]&gt;0,'گزارش فردی'!$B$7-Main[[#This Row],[تاريخ میلادی]]-'گزارش فردی'!$B$8,0)</f>
        <v>0</v>
      </c>
      <c r="S1644" s="6">
        <f ca="1">Main[[#This Row],[روز از ارسال سفارش]]*Main[[#This Row],[بدهی تسویه نشده (کیلوگرم)]]</f>
        <v>0</v>
      </c>
      <c r="T1644" s="6">
        <f ca="1">Main[[#This Row],[بدهی سررسید شده (کیلوگرم)]]*Main[[#This Row],[روز از ارسال سفارش]]</f>
        <v>0</v>
      </c>
      <c r="U1644" s="6">
        <f>-SUBTOTAL(9,INDEX(Main[مقدار (کیلوگرم)],1):Main[[#This Row],[مقدار (کیلوگرم)]])</f>
        <v>22298</v>
      </c>
      <c r="V16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4" s="6">
        <f>Main[[#This Row],[تعداد کل روزهای بدهکار (روز)]]*Main[[#This Row],[مانده در خط کل (کیلوگرم)]]</f>
        <v>22298</v>
      </c>
      <c r="X1644" s="6">
        <f ca="1">-SUBTOTAL(9,INDEX(Main[مقدار تسویه شده (کیلوگرم)],1):Main[[#This Row],[مقدار تسویه شده (کیلوگرم)]])</f>
        <v>22298</v>
      </c>
      <c r="Y1644" s="6">
        <f ca="1">IF(Main[[#This Row],[مانده در خط تسویه شده (کیلوگرم)]]&lt;&gt;0,Main[[#This Row],[تعداد کل روزهای بدهکار (روز)]],0)</f>
        <v>1</v>
      </c>
      <c r="Z1644" s="6">
        <f ca="1">Main[[#This Row],[تعداد روزهای بدهکار تسویه شده (روز)]]*Main[[#This Row],[مانده در خط تسویه شده (کیلوگرم)]]</f>
        <v>22298</v>
      </c>
      <c r="AA1644" s="6">
        <f ca="1">SUBTOTAL(9,INDEX(Main[بدهی تسویه نشده (کیلوگرم)],1):Main[[#This Row],[بدهی تسویه نشده (کیلوگرم)]])</f>
        <v>0</v>
      </c>
      <c r="AB1644" s="6">
        <f ca="1">IF(Main[[#This Row],[مانده در خط تسویه نشده (کیلوگرم)]]&lt;&gt;0,Main[[#This Row],[تعداد کل روزهای بدهکار (روز)]],0)</f>
        <v>0</v>
      </c>
      <c r="AC1644" s="6">
        <f ca="1">Main[[#This Row],[تعداد روزهای بدهکار  تسویه نشده (روز)]]*Main[[#This Row],[مانده در خط تسویه نشده (کیلوگرم)]]</f>
        <v>0</v>
      </c>
      <c r="AD1644" s="6">
        <f ca="1">SUBTOTAL(9,INDEX(Main[بدهی سررسید شده (کیلوگرم)],1):Main[[#This Row],[بدهی سررسید شده (کیلوگرم)]])</f>
        <v>0</v>
      </c>
      <c r="AE1644" s="6">
        <f ca="1">IF(Main[[#This Row],[مانده در خط سررسید شده (کیلوگرم)]]&lt;&gt;0,Main[[#This Row],[تعداد کل روزهای بدهکار (روز)]],0)</f>
        <v>0</v>
      </c>
      <c r="AF1644" s="6">
        <f ca="1">Main[[#This Row],[تعداد روزهای بدهکار سررسید شده (روز)]]*Main[[#This Row],[مانده در خط سررسید شده (کیلوگرم)]]</f>
        <v>0</v>
      </c>
    </row>
    <row r="1645" spans="1:32" hidden="1" x14ac:dyDescent="0.35">
      <c r="A1645" s="5">
        <f>ROW()-ROW(INDEX(Main[ردیف],1))+1</f>
        <v>1643</v>
      </c>
      <c r="B1645" s="31">
        <f>SUBTOTAL(2,INDEX(Main[ردیف],1):Main[[#This Row],[ردیف]])</f>
        <v>148</v>
      </c>
      <c r="C1645" s="32" t="s">
        <v>703</v>
      </c>
      <c r="D1645" s="32" t="str">
        <f>_xlfn.CONCAT("14",Main[[#This Row],[تاريخ]])</f>
        <v>1400/06/28</v>
      </c>
      <c r="E1645" s="33">
        <v>44458</v>
      </c>
      <c r="F1645" s="32">
        <v>10069</v>
      </c>
      <c r="G1645" s="5" t="str">
        <f>INDEX(customer[عنوان],MATCH(Main[[#This Row],[کد ردیابی]],customer[کد],0))</f>
        <v xml:space="preserve">جواد عرب </v>
      </c>
      <c r="H1645">
        <v>701</v>
      </c>
      <c r="I1645" s="6">
        <f ca="1">-Main[[#This Row],[بدهی تسویه شده (کیلوگرم)]]+Main[[#This Row],[بستانکار (کیلوگرم)]]</f>
        <v>701</v>
      </c>
      <c r="J1645" s="6">
        <f>IF(Main[[#This Row],[مقدار (کیلوگرم)]]&gt;0,Main[[#This Row],[مقدار (کیلوگرم)]],0)</f>
        <v>701</v>
      </c>
      <c r="K1645" s="6">
        <f>-IF(Main[[#This Row],[مقدار (کیلوگرم)]]&lt;0,Main[[#This Row],[مقدار (کیلوگرم)]],0)</f>
        <v>0</v>
      </c>
      <c r="L16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5" s="7">
        <f>-IF(AND(Main[[#This Row],[مقدار (کیلوگرم)]]&lt;0,Main[[#This Row],[تاريخ میلادی]]&gt;44276),Main[[#This Row],[مقدار (کیلوگرم)]],0)</f>
        <v>0</v>
      </c>
      <c r="N1645" s="6">
        <f ca="1">Main[[#This Row],[بدهکار (کیلوگرم)]]-Main[[#This Row],[بدهی تسویه نشده (کیلوگرم)]]</f>
        <v>0</v>
      </c>
      <c r="O1645" s="6">
        <f ca="1">Main[[#This Row],[تفکیک]]</f>
        <v>0</v>
      </c>
      <c r="P1645" s="6">
        <f ca="1">IF(Main[[#This Row],[تاخیر از سررسید]]&gt;0,Main[[#This Row],[بدهی تسویه نشده (کیلوگرم)]],0)</f>
        <v>0</v>
      </c>
      <c r="Q1645" s="6">
        <f ca="1">IF(Main[[#This Row],[بدهی تسویه نشده (کیلوگرم)]]&gt;0,'گزارش فردی'!$B$7-Main[[#This Row],[تاريخ میلادی]],0)</f>
        <v>0</v>
      </c>
      <c r="R1645" s="6">
        <f ca="1">IF(Main[[#This Row],[بدهی تسویه نشده (کیلوگرم)]]&gt;0,'گزارش فردی'!$B$7-Main[[#This Row],[تاريخ میلادی]]-'گزارش فردی'!$B$8,0)</f>
        <v>0</v>
      </c>
      <c r="S1645" s="6">
        <f ca="1">Main[[#This Row],[روز از ارسال سفارش]]*Main[[#This Row],[بدهی تسویه نشده (کیلوگرم)]]</f>
        <v>0</v>
      </c>
      <c r="T1645" s="6">
        <f ca="1">Main[[#This Row],[بدهی سررسید شده (کیلوگرم)]]*Main[[#This Row],[روز از ارسال سفارش]]</f>
        <v>0</v>
      </c>
      <c r="U1645" s="6">
        <f>-SUBTOTAL(9,INDEX(Main[مقدار (کیلوگرم)],1):Main[[#This Row],[مقدار (کیلوگرم)]])</f>
        <v>22298</v>
      </c>
      <c r="V16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5" s="6">
        <f>Main[[#This Row],[تعداد کل روزهای بدهکار (روز)]]*Main[[#This Row],[مانده در خط کل (کیلوگرم)]]</f>
        <v>22298</v>
      </c>
      <c r="X1645" s="6">
        <f ca="1">-SUBTOTAL(9,INDEX(Main[مقدار تسویه شده (کیلوگرم)],1):Main[[#This Row],[مقدار تسویه شده (کیلوگرم)]])</f>
        <v>22298</v>
      </c>
      <c r="Y1645" s="6">
        <f ca="1">IF(Main[[#This Row],[مانده در خط تسویه شده (کیلوگرم)]]&lt;&gt;0,Main[[#This Row],[تعداد کل روزهای بدهکار (روز)]],0)</f>
        <v>1</v>
      </c>
      <c r="Z1645" s="6">
        <f ca="1">Main[[#This Row],[تعداد روزهای بدهکار تسویه شده (روز)]]*Main[[#This Row],[مانده در خط تسویه شده (کیلوگرم)]]</f>
        <v>22298</v>
      </c>
      <c r="AA1645" s="6">
        <f ca="1">SUBTOTAL(9,INDEX(Main[بدهی تسویه نشده (کیلوگرم)],1):Main[[#This Row],[بدهی تسویه نشده (کیلوگرم)]])</f>
        <v>0</v>
      </c>
      <c r="AB1645" s="6">
        <f ca="1">IF(Main[[#This Row],[مانده در خط تسویه نشده (کیلوگرم)]]&lt;&gt;0,Main[[#This Row],[تعداد کل روزهای بدهکار (روز)]],0)</f>
        <v>0</v>
      </c>
      <c r="AC1645" s="6">
        <f ca="1">Main[[#This Row],[تعداد روزهای بدهکار  تسویه نشده (روز)]]*Main[[#This Row],[مانده در خط تسویه نشده (کیلوگرم)]]</f>
        <v>0</v>
      </c>
      <c r="AD1645" s="6">
        <f ca="1">SUBTOTAL(9,INDEX(Main[بدهی سررسید شده (کیلوگرم)],1):Main[[#This Row],[بدهی سررسید شده (کیلوگرم)]])</f>
        <v>0</v>
      </c>
      <c r="AE1645" s="6">
        <f ca="1">IF(Main[[#This Row],[مانده در خط سررسید شده (کیلوگرم)]]&lt;&gt;0,Main[[#This Row],[تعداد کل روزهای بدهکار (روز)]],0)</f>
        <v>0</v>
      </c>
      <c r="AF1645" s="6">
        <f ca="1">Main[[#This Row],[تعداد روزهای بدهکار سررسید شده (روز)]]*Main[[#This Row],[مانده در خط سررسید شده (کیلوگرم)]]</f>
        <v>0</v>
      </c>
    </row>
    <row r="1646" spans="1:32" hidden="1" x14ac:dyDescent="0.35">
      <c r="A1646" s="5">
        <f>ROW()-ROW(INDEX(Main[ردیف],1))+1</f>
        <v>1644</v>
      </c>
      <c r="B1646" s="31">
        <f>SUBTOTAL(2,INDEX(Main[ردیف],1):Main[[#This Row],[ردیف]])</f>
        <v>148</v>
      </c>
      <c r="C1646" s="32" t="s">
        <v>703</v>
      </c>
      <c r="D1646" s="32" t="str">
        <f>_xlfn.CONCAT("14",Main[[#This Row],[تاريخ]])</f>
        <v>1400/06/28</v>
      </c>
      <c r="E1646" s="33">
        <v>44458</v>
      </c>
      <c r="F1646" s="32">
        <v>10069</v>
      </c>
      <c r="G1646" s="5" t="str">
        <f>INDEX(customer[عنوان],MATCH(Main[[#This Row],[کد ردیابی]],customer[کد],0))</f>
        <v xml:space="preserve">جواد عرب </v>
      </c>
      <c r="H1646">
        <v>-1513</v>
      </c>
      <c r="I1646" s="6">
        <f ca="1">-Main[[#This Row],[بدهی تسویه شده (کیلوگرم)]]+Main[[#This Row],[بستانکار (کیلوگرم)]]</f>
        <v>-1513</v>
      </c>
      <c r="J1646" s="6">
        <f>IF(Main[[#This Row],[مقدار (کیلوگرم)]]&gt;0,Main[[#This Row],[مقدار (کیلوگرم)]],0)</f>
        <v>0</v>
      </c>
      <c r="K1646" s="6">
        <f>-IF(Main[[#This Row],[مقدار (کیلوگرم)]]&lt;0,Main[[#This Row],[مقدار (کیلوگرم)]],0)</f>
        <v>1513</v>
      </c>
      <c r="L16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6" s="7">
        <f>-IF(AND(Main[[#This Row],[مقدار (کیلوگرم)]]&lt;0,Main[[#This Row],[تاريخ میلادی]]&gt;44276),Main[[#This Row],[مقدار (کیلوگرم)]],0)</f>
        <v>1513</v>
      </c>
      <c r="N1646" s="6">
        <f ca="1">Main[[#This Row],[بدهکار (کیلوگرم)]]-Main[[#This Row],[بدهی تسویه نشده (کیلوگرم)]]</f>
        <v>1513</v>
      </c>
      <c r="O1646" s="6">
        <f ca="1">Main[[#This Row],[تفکیک]]</f>
        <v>0</v>
      </c>
      <c r="P1646" s="6">
        <f ca="1">IF(Main[[#This Row],[تاخیر از سررسید]]&gt;0,Main[[#This Row],[بدهی تسویه نشده (کیلوگرم)]],0)</f>
        <v>0</v>
      </c>
      <c r="Q1646" s="6">
        <f ca="1">IF(Main[[#This Row],[بدهی تسویه نشده (کیلوگرم)]]&gt;0,'گزارش فردی'!$B$7-Main[[#This Row],[تاريخ میلادی]],0)</f>
        <v>0</v>
      </c>
      <c r="R1646" s="6">
        <f ca="1">IF(Main[[#This Row],[بدهی تسویه نشده (کیلوگرم)]]&gt;0,'گزارش فردی'!$B$7-Main[[#This Row],[تاريخ میلادی]]-'گزارش فردی'!$B$8,0)</f>
        <v>0</v>
      </c>
      <c r="S1646" s="6">
        <f ca="1">Main[[#This Row],[روز از ارسال سفارش]]*Main[[#This Row],[بدهی تسویه نشده (کیلوگرم)]]</f>
        <v>0</v>
      </c>
      <c r="T1646" s="6">
        <f ca="1">Main[[#This Row],[بدهی سررسید شده (کیلوگرم)]]*Main[[#This Row],[روز از ارسال سفارش]]</f>
        <v>0</v>
      </c>
      <c r="U1646" s="6">
        <f>-SUBTOTAL(9,INDEX(Main[مقدار (کیلوگرم)],1):Main[[#This Row],[مقدار (کیلوگرم)]])</f>
        <v>22298</v>
      </c>
      <c r="V16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6" s="6">
        <f>Main[[#This Row],[تعداد کل روزهای بدهکار (روز)]]*Main[[#This Row],[مانده در خط کل (کیلوگرم)]]</f>
        <v>22298</v>
      </c>
      <c r="X1646" s="6">
        <f ca="1">-SUBTOTAL(9,INDEX(Main[مقدار تسویه شده (کیلوگرم)],1):Main[[#This Row],[مقدار تسویه شده (کیلوگرم)]])</f>
        <v>22298</v>
      </c>
      <c r="Y1646" s="6">
        <f ca="1">IF(Main[[#This Row],[مانده در خط تسویه شده (کیلوگرم)]]&lt;&gt;0,Main[[#This Row],[تعداد کل روزهای بدهکار (روز)]],0)</f>
        <v>1</v>
      </c>
      <c r="Z1646" s="6">
        <f ca="1">Main[[#This Row],[تعداد روزهای بدهکار تسویه شده (روز)]]*Main[[#This Row],[مانده در خط تسویه شده (کیلوگرم)]]</f>
        <v>22298</v>
      </c>
      <c r="AA1646" s="6">
        <f ca="1">SUBTOTAL(9,INDEX(Main[بدهی تسویه نشده (کیلوگرم)],1):Main[[#This Row],[بدهی تسویه نشده (کیلوگرم)]])</f>
        <v>0</v>
      </c>
      <c r="AB1646" s="6">
        <f ca="1">IF(Main[[#This Row],[مانده در خط تسویه نشده (کیلوگرم)]]&lt;&gt;0,Main[[#This Row],[تعداد کل روزهای بدهکار (روز)]],0)</f>
        <v>0</v>
      </c>
      <c r="AC1646" s="6">
        <f ca="1">Main[[#This Row],[تعداد روزهای بدهکار  تسویه نشده (روز)]]*Main[[#This Row],[مانده در خط تسویه نشده (کیلوگرم)]]</f>
        <v>0</v>
      </c>
      <c r="AD1646" s="6">
        <f ca="1">SUBTOTAL(9,INDEX(Main[بدهی سررسید شده (کیلوگرم)],1):Main[[#This Row],[بدهی سررسید شده (کیلوگرم)]])</f>
        <v>0</v>
      </c>
      <c r="AE1646" s="6">
        <f ca="1">IF(Main[[#This Row],[مانده در خط سررسید شده (کیلوگرم)]]&lt;&gt;0,Main[[#This Row],[تعداد کل روزهای بدهکار (روز)]],0)</f>
        <v>0</v>
      </c>
      <c r="AF1646" s="6">
        <f ca="1">Main[[#This Row],[تعداد روزهای بدهکار سررسید شده (روز)]]*Main[[#This Row],[مانده در خط سررسید شده (کیلوگرم)]]</f>
        <v>0</v>
      </c>
    </row>
    <row r="1647" spans="1:32" hidden="1" x14ac:dyDescent="0.35">
      <c r="A1647" s="5">
        <f>ROW()-ROW(INDEX(Main[ردیف],1))+1</f>
        <v>1645</v>
      </c>
      <c r="B1647" s="31">
        <f>SUBTOTAL(2,INDEX(Main[ردیف],1):Main[[#This Row],[ردیف]])</f>
        <v>148</v>
      </c>
      <c r="C1647" s="32" t="s">
        <v>703</v>
      </c>
      <c r="D1647" s="32" t="str">
        <f>_xlfn.CONCAT("14",Main[[#This Row],[تاريخ]])</f>
        <v>1400/06/28</v>
      </c>
      <c r="E1647" s="33">
        <v>44458</v>
      </c>
      <c r="F1647" s="32">
        <v>10004</v>
      </c>
      <c r="G1647" s="5" t="str">
        <f>INDEX(customer[عنوان],MATCH(Main[[#This Row],[کد ردیابی]],customer[کد],0))</f>
        <v xml:space="preserve">محمد عباسی </v>
      </c>
      <c r="H1647">
        <v>500</v>
      </c>
      <c r="I1647" s="6">
        <f ca="1">-Main[[#This Row],[بدهی تسویه شده (کیلوگرم)]]+Main[[#This Row],[بستانکار (کیلوگرم)]]</f>
        <v>500</v>
      </c>
      <c r="J1647" s="6">
        <f>IF(Main[[#This Row],[مقدار (کیلوگرم)]]&gt;0,Main[[#This Row],[مقدار (کیلوگرم)]],0)</f>
        <v>500</v>
      </c>
      <c r="K1647" s="6">
        <f>-IF(Main[[#This Row],[مقدار (کیلوگرم)]]&lt;0,Main[[#This Row],[مقدار (کیلوگرم)]],0)</f>
        <v>0</v>
      </c>
      <c r="L16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7" s="7">
        <f>-IF(AND(Main[[#This Row],[مقدار (کیلوگرم)]]&lt;0,Main[[#This Row],[تاريخ میلادی]]&gt;44276),Main[[#This Row],[مقدار (کیلوگرم)]],0)</f>
        <v>0</v>
      </c>
      <c r="N1647" s="6">
        <f ca="1">Main[[#This Row],[بدهکار (کیلوگرم)]]-Main[[#This Row],[بدهی تسویه نشده (کیلوگرم)]]</f>
        <v>0</v>
      </c>
      <c r="O1647" s="6">
        <f ca="1">Main[[#This Row],[تفکیک]]</f>
        <v>0</v>
      </c>
      <c r="P1647" s="6">
        <f ca="1">IF(Main[[#This Row],[تاخیر از سررسید]]&gt;0,Main[[#This Row],[بدهی تسویه نشده (کیلوگرم)]],0)</f>
        <v>0</v>
      </c>
      <c r="Q1647" s="6">
        <f ca="1">IF(Main[[#This Row],[بدهی تسویه نشده (کیلوگرم)]]&gt;0,'گزارش فردی'!$B$7-Main[[#This Row],[تاريخ میلادی]],0)</f>
        <v>0</v>
      </c>
      <c r="R1647" s="6">
        <f ca="1">IF(Main[[#This Row],[بدهی تسویه نشده (کیلوگرم)]]&gt;0,'گزارش فردی'!$B$7-Main[[#This Row],[تاريخ میلادی]]-'گزارش فردی'!$B$8,0)</f>
        <v>0</v>
      </c>
      <c r="S1647" s="6">
        <f ca="1">Main[[#This Row],[روز از ارسال سفارش]]*Main[[#This Row],[بدهی تسویه نشده (کیلوگرم)]]</f>
        <v>0</v>
      </c>
      <c r="T1647" s="6">
        <f ca="1">Main[[#This Row],[بدهی سررسید شده (کیلوگرم)]]*Main[[#This Row],[روز از ارسال سفارش]]</f>
        <v>0</v>
      </c>
      <c r="U1647" s="6">
        <f>-SUBTOTAL(9,INDEX(Main[مقدار (کیلوگرم)],1):Main[[#This Row],[مقدار (کیلوگرم)]])</f>
        <v>22298</v>
      </c>
      <c r="V16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7" s="6">
        <f>Main[[#This Row],[تعداد کل روزهای بدهکار (روز)]]*Main[[#This Row],[مانده در خط کل (کیلوگرم)]]</f>
        <v>22298</v>
      </c>
      <c r="X1647" s="6">
        <f ca="1">-SUBTOTAL(9,INDEX(Main[مقدار تسویه شده (کیلوگرم)],1):Main[[#This Row],[مقدار تسویه شده (کیلوگرم)]])</f>
        <v>22298</v>
      </c>
      <c r="Y1647" s="6">
        <f ca="1">IF(Main[[#This Row],[مانده در خط تسویه شده (کیلوگرم)]]&lt;&gt;0,Main[[#This Row],[تعداد کل روزهای بدهکار (روز)]],0)</f>
        <v>1</v>
      </c>
      <c r="Z1647" s="6">
        <f ca="1">Main[[#This Row],[تعداد روزهای بدهکار تسویه شده (روز)]]*Main[[#This Row],[مانده در خط تسویه شده (کیلوگرم)]]</f>
        <v>22298</v>
      </c>
      <c r="AA1647" s="6">
        <f ca="1">SUBTOTAL(9,INDEX(Main[بدهی تسویه نشده (کیلوگرم)],1):Main[[#This Row],[بدهی تسویه نشده (کیلوگرم)]])</f>
        <v>0</v>
      </c>
      <c r="AB1647" s="6">
        <f ca="1">IF(Main[[#This Row],[مانده در خط تسویه نشده (کیلوگرم)]]&lt;&gt;0,Main[[#This Row],[تعداد کل روزهای بدهکار (روز)]],0)</f>
        <v>0</v>
      </c>
      <c r="AC1647" s="6">
        <f ca="1">Main[[#This Row],[تعداد روزهای بدهکار  تسویه نشده (روز)]]*Main[[#This Row],[مانده در خط تسویه نشده (کیلوگرم)]]</f>
        <v>0</v>
      </c>
      <c r="AD1647" s="6">
        <f ca="1">SUBTOTAL(9,INDEX(Main[بدهی سررسید شده (کیلوگرم)],1):Main[[#This Row],[بدهی سررسید شده (کیلوگرم)]])</f>
        <v>0</v>
      </c>
      <c r="AE1647" s="6">
        <f ca="1">IF(Main[[#This Row],[مانده در خط سررسید شده (کیلوگرم)]]&lt;&gt;0,Main[[#This Row],[تعداد کل روزهای بدهکار (روز)]],0)</f>
        <v>0</v>
      </c>
      <c r="AF1647" s="6">
        <f ca="1">Main[[#This Row],[تعداد روزهای بدهکار سررسید شده (روز)]]*Main[[#This Row],[مانده در خط سررسید شده (کیلوگرم)]]</f>
        <v>0</v>
      </c>
    </row>
    <row r="1648" spans="1:32" hidden="1" x14ac:dyDescent="0.35">
      <c r="A1648" s="5">
        <f>ROW()-ROW(INDEX(Main[ردیف],1))+1</f>
        <v>1646</v>
      </c>
      <c r="B1648" s="31">
        <f>SUBTOTAL(2,INDEX(Main[ردیف],1):Main[[#This Row],[ردیف]])</f>
        <v>148</v>
      </c>
      <c r="C1648" s="32" t="s">
        <v>703</v>
      </c>
      <c r="D1648" s="32" t="str">
        <f>_xlfn.CONCAT("14",Main[[#This Row],[تاريخ]])</f>
        <v>1400/06/28</v>
      </c>
      <c r="E1648" s="33">
        <v>44458</v>
      </c>
      <c r="F1648" s="32">
        <v>10026</v>
      </c>
      <c r="G1648" s="5" t="str">
        <f>INDEX(customer[عنوان],MATCH(Main[[#This Row],[کد ردیابی]],customer[کد],0))</f>
        <v xml:space="preserve">محسن فیاض بخش </v>
      </c>
      <c r="H1648">
        <v>-2030</v>
      </c>
      <c r="I1648" s="6">
        <f ca="1">-Main[[#This Row],[بدهی تسویه شده (کیلوگرم)]]+Main[[#This Row],[بستانکار (کیلوگرم)]]</f>
        <v>-2030</v>
      </c>
      <c r="J1648" s="6">
        <f>IF(Main[[#This Row],[مقدار (کیلوگرم)]]&gt;0,Main[[#This Row],[مقدار (کیلوگرم)]],0)</f>
        <v>0</v>
      </c>
      <c r="K1648" s="6">
        <f>-IF(Main[[#This Row],[مقدار (کیلوگرم)]]&lt;0,Main[[#This Row],[مقدار (کیلوگرم)]],0)</f>
        <v>2030</v>
      </c>
      <c r="L16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8" s="7">
        <f>-IF(AND(Main[[#This Row],[مقدار (کیلوگرم)]]&lt;0,Main[[#This Row],[تاريخ میلادی]]&gt;44276),Main[[#This Row],[مقدار (کیلوگرم)]],0)</f>
        <v>2030</v>
      </c>
      <c r="N1648" s="6">
        <f ca="1">Main[[#This Row],[بدهکار (کیلوگرم)]]-Main[[#This Row],[بدهی تسویه نشده (کیلوگرم)]]</f>
        <v>2030</v>
      </c>
      <c r="O1648" s="6">
        <f ca="1">Main[[#This Row],[تفکیک]]</f>
        <v>0</v>
      </c>
      <c r="P1648" s="6">
        <f ca="1">IF(Main[[#This Row],[تاخیر از سررسید]]&gt;0,Main[[#This Row],[بدهی تسویه نشده (کیلوگرم)]],0)</f>
        <v>0</v>
      </c>
      <c r="Q1648" s="6">
        <f ca="1">IF(Main[[#This Row],[بدهی تسویه نشده (کیلوگرم)]]&gt;0,'گزارش فردی'!$B$7-Main[[#This Row],[تاريخ میلادی]],0)</f>
        <v>0</v>
      </c>
      <c r="R1648" s="6">
        <f ca="1">IF(Main[[#This Row],[بدهی تسویه نشده (کیلوگرم)]]&gt;0,'گزارش فردی'!$B$7-Main[[#This Row],[تاريخ میلادی]]-'گزارش فردی'!$B$8,0)</f>
        <v>0</v>
      </c>
      <c r="S1648" s="6">
        <f ca="1">Main[[#This Row],[روز از ارسال سفارش]]*Main[[#This Row],[بدهی تسویه نشده (کیلوگرم)]]</f>
        <v>0</v>
      </c>
      <c r="T1648" s="6">
        <f ca="1">Main[[#This Row],[بدهی سررسید شده (کیلوگرم)]]*Main[[#This Row],[روز از ارسال سفارش]]</f>
        <v>0</v>
      </c>
      <c r="U1648" s="6">
        <f>-SUBTOTAL(9,INDEX(Main[مقدار (کیلوگرم)],1):Main[[#This Row],[مقدار (کیلوگرم)]])</f>
        <v>22298</v>
      </c>
      <c r="V16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8" s="6">
        <f>Main[[#This Row],[تعداد کل روزهای بدهکار (روز)]]*Main[[#This Row],[مانده در خط کل (کیلوگرم)]]</f>
        <v>22298</v>
      </c>
      <c r="X1648" s="6">
        <f ca="1">-SUBTOTAL(9,INDEX(Main[مقدار تسویه شده (کیلوگرم)],1):Main[[#This Row],[مقدار تسویه شده (کیلوگرم)]])</f>
        <v>22298</v>
      </c>
      <c r="Y1648" s="6">
        <f ca="1">IF(Main[[#This Row],[مانده در خط تسویه شده (کیلوگرم)]]&lt;&gt;0,Main[[#This Row],[تعداد کل روزهای بدهکار (روز)]],0)</f>
        <v>1</v>
      </c>
      <c r="Z1648" s="6">
        <f ca="1">Main[[#This Row],[تعداد روزهای بدهکار تسویه شده (روز)]]*Main[[#This Row],[مانده در خط تسویه شده (کیلوگرم)]]</f>
        <v>22298</v>
      </c>
      <c r="AA1648" s="6">
        <f ca="1">SUBTOTAL(9,INDEX(Main[بدهی تسویه نشده (کیلوگرم)],1):Main[[#This Row],[بدهی تسویه نشده (کیلوگرم)]])</f>
        <v>0</v>
      </c>
      <c r="AB1648" s="6">
        <f ca="1">IF(Main[[#This Row],[مانده در خط تسویه نشده (کیلوگرم)]]&lt;&gt;0,Main[[#This Row],[تعداد کل روزهای بدهکار (روز)]],0)</f>
        <v>0</v>
      </c>
      <c r="AC1648" s="6">
        <f ca="1">Main[[#This Row],[تعداد روزهای بدهکار  تسویه نشده (روز)]]*Main[[#This Row],[مانده در خط تسویه نشده (کیلوگرم)]]</f>
        <v>0</v>
      </c>
      <c r="AD1648" s="6">
        <f ca="1">SUBTOTAL(9,INDEX(Main[بدهی سررسید شده (کیلوگرم)],1):Main[[#This Row],[بدهی سررسید شده (کیلوگرم)]])</f>
        <v>0</v>
      </c>
      <c r="AE1648" s="6">
        <f ca="1">IF(Main[[#This Row],[مانده در خط سررسید شده (کیلوگرم)]]&lt;&gt;0,Main[[#This Row],[تعداد کل روزهای بدهکار (روز)]],0)</f>
        <v>0</v>
      </c>
      <c r="AF1648" s="6">
        <f ca="1">Main[[#This Row],[تعداد روزهای بدهکار سررسید شده (روز)]]*Main[[#This Row],[مانده در خط سررسید شده (کیلوگرم)]]</f>
        <v>0</v>
      </c>
    </row>
    <row r="1649" spans="1:32" hidden="1" x14ac:dyDescent="0.35">
      <c r="A1649" s="5">
        <f>ROW()-ROW(INDEX(Main[ردیف],1))+1</f>
        <v>1647</v>
      </c>
      <c r="B1649" s="31">
        <f>SUBTOTAL(2,INDEX(Main[ردیف],1):Main[[#This Row],[ردیف]])</f>
        <v>148</v>
      </c>
      <c r="C1649" s="32" t="s">
        <v>703</v>
      </c>
      <c r="D1649" s="32" t="str">
        <f>_xlfn.CONCAT("14",Main[[#This Row],[تاريخ]])</f>
        <v>1400/06/28</v>
      </c>
      <c r="E1649" s="33">
        <v>44458</v>
      </c>
      <c r="F1649" s="32">
        <v>10018</v>
      </c>
      <c r="G1649" s="5" t="str">
        <f>INDEX(customer[عنوان],MATCH(Main[[#This Row],[کد ردیابی]],customer[کد],0))</f>
        <v xml:space="preserve">کوهی </v>
      </c>
      <c r="H1649">
        <v>272</v>
      </c>
      <c r="I1649" s="6">
        <f ca="1">-Main[[#This Row],[بدهی تسویه شده (کیلوگرم)]]+Main[[#This Row],[بستانکار (کیلوگرم)]]</f>
        <v>272</v>
      </c>
      <c r="J1649" s="6">
        <f>IF(Main[[#This Row],[مقدار (کیلوگرم)]]&gt;0,Main[[#This Row],[مقدار (کیلوگرم)]],0)</f>
        <v>272</v>
      </c>
      <c r="K1649" s="6">
        <f>-IF(Main[[#This Row],[مقدار (کیلوگرم)]]&lt;0,Main[[#This Row],[مقدار (کیلوگرم)]],0)</f>
        <v>0</v>
      </c>
      <c r="L16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9" s="7">
        <f>-IF(AND(Main[[#This Row],[مقدار (کیلوگرم)]]&lt;0,Main[[#This Row],[تاريخ میلادی]]&gt;44276),Main[[#This Row],[مقدار (کیلوگرم)]],0)</f>
        <v>0</v>
      </c>
      <c r="N1649" s="6">
        <f ca="1">Main[[#This Row],[بدهکار (کیلوگرم)]]-Main[[#This Row],[بدهی تسویه نشده (کیلوگرم)]]</f>
        <v>0</v>
      </c>
      <c r="O1649" s="6">
        <f ca="1">Main[[#This Row],[تفکیک]]</f>
        <v>0</v>
      </c>
      <c r="P1649" s="6">
        <f ca="1">IF(Main[[#This Row],[تاخیر از سررسید]]&gt;0,Main[[#This Row],[بدهی تسویه نشده (کیلوگرم)]],0)</f>
        <v>0</v>
      </c>
      <c r="Q1649" s="6">
        <f ca="1">IF(Main[[#This Row],[بدهی تسویه نشده (کیلوگرم)]]&gt;0,'گزارش فردی'!$B$7-Main[[#This Row],[تاريخ میلادی]],0)</f>
        <v>0</v>
      </c>
      <c r="R1649" s="6">
        <f ca="1">IF(Main[[#This Row],[بدهی تسویه نشده (کیلوگرم)]]&gt;0,'گزارش فردی'!$B$7-Main[[#This Row],[تاريخ میلادی]]-'گزارش فردی'!$B$8,0)</f>
        <v>0</v>
      </c>
      <c r="S1649" s="6">
        <f ca="1">Main[[#This Row],[روز از ارسال سفارش]]*Main[[#This Row],[بدهی تسویه نشده (کیلوگرم)]]</f>
        <v>0</v>
      </c>
      <c r="T1649" s="6">
        <f ca="1">Main[[#This Row],[بدهی سررسید شده (کیلوگرم)]]*Main[[#This Row],[روز از ارسال سفارش]]</f>
        <v>0</v>
      </c>
      <c r="U1649" s="6">
        <f>-SUBTOTAL(9,INDEX(Main[مقدار (کیلوگرم)],1):Main[[#This Row],[مقدار (کیلوگرم)]])</f>
        <v>22298</v>
      </c>
      <c r="V16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9" s="6">
        <f>Main[[#This Row],[تعداد کل روزهای بدهکار (روز)]]*Main[[#This Row],[مانده در خط کل (کیلوگرم)]]</f>
        <v>22298</v>
      </c>
      <c r="X1649" s="6">
        <f ca="1">-SUBTOTAL(9,INDEX(Main[مقدار تسویه شده (کیلوگرم)],1):Main[[#This Row],[مقدار تسویه شده (کیلوگرم)]])</f>
        <v>22298</v>
      </c>
      <c r="Y1649" s="6">
        <f ca="1">IF(Main[[#This Row],[مانده در خط تسویه شده (کیلوگرم)]]&lt;&gt;0,Main[[#This Row],[تعداد کل روزهای بدهکار (روز)]],0)</f>
        <v>1</v>
      </c>
      <c r="Z1649" s="6">
        <f ca="1">Main[[#This Row],[تعداد روزهای بدهکار تسویه شده (روز)]]*Main[[#This Row],[مانده در خط تسویه شده (کیلوگرم)]]</f>
        <v>22298</v>
      </c>
      <c r="AA1649" s="6">
        <f ca="1">SUBTOTAL(9,INDEX(Main[بدهی تسویه نشده (کیلوگرم)],1):Main[[#This Row],[بدهی تسویه نشده (کیلوگرم)]])</f>
        <v>0</v>
      </c>
      <c r="AB1649" s="6">
        <f ca="1">IF(Main[[#This Row],[مانده در خط تسویه نشده (کیلوگرم)]]&lt;&gt;0,Main[[#This Row],[تعداد کل روزهای بدهکار (روز)]],0)</f>
        <v>0</v>
      </c>
      <c r="AC1649" s="6">
        <f ca="1">Main[[#This Row],[تعداد روزهای بدهکار  تسویه نشده (روز)]]*Main[[#This Row],[مانده در خط تسویه نشده (کیلوگرم)]]</f>
        <v>0</v>
      </c>
      <c r="AD1649" s="6">
        <f ca="1">SUBTOTAL(9,INDEX(Main[بدهی سررسید شده (کیلوگرم)],1):Main[[#This Row],[بدهی سررسید شده (کیلوگرم)]])</f>
        <v>0</v>
      </c>
      <c r="AE1649" s="6">
        <f ca="1">IF(Main[[#This Row],[مانده در خط سررسید شده (کیلوگرم)]]&lt;&gt;0,Main[[#This Row],[تعداد کل روزهای بدهکار (روز)]],0)</f>
        <v>0</v>
      </c>
      <c r="AF1649" s="6">
        <f ca="1">Main[[#This Row],[تعداد روزهای بدهکار سررسید شده (روز)]]*Main[[#This Row],[مانده در خط سررسید شده (کیلوگرم)]]</f>
        <v>0</v>
      </c>
    </row>
    <row r="1650" spans="1:32" hidden="1" x14ac:dyDescent="0.35">
      <c r="A1650" s="5">
        <f>ROW()-ROW(INDEX(Main[ردیف],1))+1</f>
        <v>1648</v>
      </c>
      <c r="B1650" s="31">
        <f>SUBTOTAL(2,INDEX(Main[ردیف],1):Main[[#This Row],[ردیف]])</f>
        <v>148</v>
      </c>
      <c r="C1650" s="32" t="s">
        <v>705</v>
      </c>
      <c r="D1650" s="32" t="str">
        <f>_xlfn.CONCAT("14",Main[[#This Row],[تاريخ]])</f>
        <v>1400/06/29</v>
      </c>
      <c r="E1650" s="33">
        <v>44459</v>
      </c>
      <c r="F1650" s="32">
        <v>30164</v>
      </c>
      <c r="G1650" s="5" t="str">
        <f>INDEX(customer[عنوان],MATCH(Main[[#This Row],[کد ردیابی]],customer[کد],0))</f>
        <v xml:space="preserve">پارت الکتریک </v>
      </c>
      <c r="H1650">
        <v>-350</v>
      </c>
      <c r="I1650" s="6">
        <f ca="1">-Main[[#This Row],[بدهی تسویه شده (کیلوگرم)]]+Main[[#This Row],[بستانکار (کیلوگرم)]]</f>
        <v>-350</v>
      </c>
      <c r="J1650" s="6">
        <f>IF(Main[[#This Row],[مقدار (کیلوگرم)]]&gt;0,Main[[#This Row],[مقدار (کیلوگرم)]],0)</f>
        <v>0</v>
      </c>
      <c r="K1650" s="6">
        <f>-IF(Main[[#This Row],[مقدار (کیلوگرم)]]&lt;0,Main[[#This Row],[مقدار (کیلوگرم)]],0)</f>
        <v>350</v>
      </c>
      <c r="L16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0" s="7">
        <f>-IF(AND(Main[[#This Row],[مقدار (کیلوگرم)]]&lt;0,Main[[#This Row],[تاريخ میلادی]]&gt;44276),Main[[#This Row],[مقدار (کیلوگرم)]],0)</f>
        <v>350</v>
      </c>
      <c r="N1650" s="6">
        <f ca="1">Main[[#This Row],[بدهکار (کیلوگرم)]]-Main[[#This Row],[بدهی تسویه نشده (کیلوگرم)]]</f>
        <v>350</v>
      </c>
      <c r="O1650" s="6">
        <f ca="1">Main[[#This Row],[تفکیک]]</f>
        <v>0</v>
      </c>
      <c r="P1650" s="6">
        <f ca="1">IF(Main[[#This Row],[تاخیر از سررسید]]&gt;0,Main[[#This Row],[بدهی تسویه نشده (کیلوگرم)]],0)</f>
        <v>0</v>
      </c>
      <c r="Q1650" s="6">
        <f ca="1">IF(Main[[#This Row],[بدهی تسویه نشده (کیلوگرم)]]&gt;0,'گزارش فردی'!$B$7-Main[[#This Row],[تاريخ میلادی]],0)</f>
        <v>0</v>
      </c>
      <c r="R1650" s="6">
        <f ca="1">IF(Main[[#This Row],[بدهی تسویه نشده (کیلوگرم)]]&gt;0,'گزارش فردی'!$B$7-Main[[#This Row],[تاريخ میلادی]]-'گزارش فردی'!$B$8,0)</f>
        <v>0</v>
      </c>
      <c r="S1650" s="6">
        <f ca="1">Main[[#This Row],[روز از ارسال سفارش]]*Main[[#This Row],[بدهی تسویه نشده (کیلوگرم)]]</f>
        <v>0</v>
      </c>
      <c r="T1650" s="6">
        <f ca="1">Main[[#This Row],[بدهی سررسید شده (کیلوگرم)]]*Main[[#This Row],[روز از ارسال سفارش]]</f>
        <v>0</v>
      </c>
      <c r="U1650" s="6">
        <f>-SUBTOTAL(9,INDEX(Main[مقدار (کیلوگرم)],1):Main[[#This Row],[مقدار (کیلوگرم)]])</f>
        <v>22298</v>
      </c>
      <c r="V16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0" s="6">
        <f>Main[[#This Row],[تعداد کل روزهای بدهکار (روز)]]*Main[[#This Row],[مانده در خط کل (کیلوگرم)]]</f>
        <v>0</v>
      </c>
      <c r="X1650" s="6">
        <f ca="1">-SUBTOTAL(9,INDEX(Main[مقدار تسویه شده (کیلوگرم)],1):Main[[#This Row],[مقدار تسویه شده (کیلوگرم)]])</f>
        <v>22298</v>
      </c>
      <c r="Y1650" s="6">
        <f ca="1">IF(Main[[#This Row],[مانده در خط تسویه شده (کیلوگرم)]]&lt;&gt;0,Main[[#This Row],[تعداد کل روزهای بدهکار (روز)]],0)</f>
        <v>0</v>
      </c>
      <c r="Z1650" s="6">
        <f ca="1">Main[[#This Row],[تعداد روزهای بدهکار تسویه شده (روز)]]*Main[[#This Row],[مانده در خط تسویه شده (کیلوگرم)]]</f>
        <v>0</v>
      </c>
      <c r="AA1650" s="6">
        <f ca="1">SUBTOTAL(9,INDEX(Main[بدهی تسویه نشده (کیلوگرم)],1):Main[[#This Row],[بدهی تسویه نشده (کیلوگرم)]])</f>
        <v>0</v>
      </c>
      <c r="AB1650" s="6">
        <f ca="1">IF(Main[[#This Row],[مانده در خط تسویه نشده (کیلوگرم)]]&lt;&gt;0,Main[[#This Row],[تعداد کل روزهای بدهکار (روز)]],0)</f>
        <v>0</v>
      </c>
      <c r="AC1650" s="6">
        <f ca="1">Main[[#This Row],[تعداد روزهای بدهکار  تسویه نشده (روز)]]*Main[[#This Row],[مانده در خط تسویه نشده (کیلوگرم)]]</f>
        <v>0</v>
      </c>
      <c r="AD1650" s="6">
        <f ca="1">SUBTOTAL(9,INDEX(Main[بدهی سررسید شده (کیلوگرم)],1):Main[[#This Row],[بدهی سررسید شده (کیلوگرم)]])</f>
        <v>0</v>
      </c>
      <c r="AE1650" s="6">
        <f ca="1">IF(Main[[#This Row],[مانده در خط سررسید شده (کیلوگرم)]]&lt;&gt;0,Main[[#This Row],[تعداد کل روزهای بدهکار (روز)]],0)</f>
        <v>0</v>
      </c>
      <c r="AF1650" s="6">
        <f ca="1">Main[[#This Row],[تعداد روزهای بدهکار سررسید شده (روز)]]*Main[[#This Row],[مانده در خط سررسید شده (کیلوگرم)]]</f>
        <v>0</v>
      </c>
    </row>
    <row r="1651" spans="1:32" hidden="1" x14ac:dyDescent="0.35">
      <c r="A1651" s="5">
        <f>ROW()-ROW(INDEX(Main[ردیف],1))+1</f>
        <v>1649</v>
      </c>
      <c r="B1651" s="31">
        <f>SUBTOTAL(2,INDEX(Main[ردیف],1):Main[[#This Row],[ردیف]])</f>
        <v>148</v>
      </c>
      <c r="C1651" s="32" t="s">
        <v>705</v>
      </c>
      <c r="D1651" s="32" t="str">
        <f>_xlfn.CONCAT("14",Main[[#This Row],[تاريخ]])</f>
        <v>1400/06/29</v>
      </c>
      <c r="E1651" s="33">
        <v>44459</v>
      </c>
      <c r="F1651" s="32">
        <v>30004</v>
      </c>
      <c r="G1651" s="5" t="str">
        <f>INDEX(customer[عنوان],MATCH(Main[[#This Row],[کد ردیابی]],customer[کد],0))</f>
        <v>تولیدی صنعتی صفاشیر پارس</v>
      </c>
      <c r="H1651">
        <v>3882</v>
      </c>
      <c r="I1651" s="6">
        <f ca="1">-Main[[#This Row],[بدهی تسویه شده (کیلوگرم)]]+Main[[#This Row],[بستانکار (کیلوگرم)]]</f>
        <v>3882</v>
      </c>
      <c r="J1651" s="6">
        <f>IF(Main[[#This Row],[مقدار (کیلوگرم)]]&gt;0,Main[[#This Row],[مقدار (کیلوگرم)]],0)</f>
        <v>3882</v>
      </c>
      <c r="K1651" s="6">
        <f>-IF(Main[[#This Row],[مقدار (کیلوگرم)]]&lt;0,Main[[#This Row],[مقدار (کیلوگرم)]],0)</f>
        <v>0</v>
      </c>
      <c r="L16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1" s="7">
        <f>-IF(AND(Main[[#This Row],[مقدار (کیلوگرم)]]&lt;0,Main[[#This Row],[تاريخ میلادی]]&gt;44276),Main[[#This Row],[مقدار (کیلوگرم)]],0)</f>
        <v>0</v>
      </c>
      <c r="N1651" s="6">
        <f ca="1">Main[[#This Row],[بدهکار (کیلوگرم)]]-Main[[#This Row],[بدهی تسویه نشده (کیلوگرم)]]</f>
        <v>0</v>
      </c>
      <c r="O1651" s="6">
        <f ca="1">Main[[#This Row],[تفکیک]]</f>
        <v>0</v>
      </c>
      <c r="P1651" s="6">
        <f ca="1">IF(Main[[#This Row],[تاخیر از سررسید]]&gt;0,Main[[#This Row],[بدهی تسویه نشده (کیلوگرم)]],0)</f>
        <v>0</v>
      </c>
      <c r="Q1651" s="6">
        <f ca="1">IF(Main[[#This Row],[بدهی تسویه نشده (کیلوگرم)]]&gt;0,'گزارش فردی'!$B$7-Main[[#This Row],[تاريخ میلادی]],0)</f>
        <v>0</v>
      </c>
      <c r="R1651" s="6">
        <f ca="1">IF(Main[[#This Row],[بدهی تسویه نشده (کیلوگرم)]]&gt;0,'گزارش فردی'!$B$7-Main[[#This Row],[تاريخ میلادی]]-'گزارش فردی'!$B$8,0)</f>
        <v>0</v>
      </c>
      <c r="S1651" s="6">
        <f ca="1">Main[[#This Row],[روز از ارسال سفارش]]*Main[[#This Row],[بدهی تسویه نشده (کیلوگرم)]]</f>
        <v>0</v>
      </c>
      <c r="T1651" s="6">
        <f ca="1">Main[[#This Row],[بدهی سررسید شده (کیلوگرم)]]*Main[[#This Row],[روز از ارسال سفارش]]</f>
        <v>0</v>
      </c>
      <c r="U1651" s="6">
        <f>-SUBTOTAL(9,INDEX(Main[مقدار (کیلوگرم)],1):Main[[#This Row],[مقدار (کیلوگرم)]])</f>
        <v>22298</v>
      </c>
      <c r="V16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1" s="6">
        <f>Main[[#This Row],[تعداد کل روزهای بدهکار (روز)]]*Main[[#This Row],[مانده در خط کل (کیلوگرم)]]</f>
        <v>0</v>
      </c>
      <c r="X1651" s="6">
        <f ca="1">-SUBTOTAL(9,INDEX(Main[مقدار تسویه شده (کیلوگرم)],1):Main[[#This Row],[مقدار تسویه شده (کیلوگرم)]])</f>
        <v>22298</v>
      </c>
      <c r="Y1651" s="6">
        <f ca="1">IF(Main[[#This Row],[مانده در خط تسویه شده (کیلوگرم)]]&lt;&gt;0,Main[[#This Row],[تعداد کل روزهای بدهکار (روز)]],0)</f>
        <v>0</v>
      </c>
      <c r="Z1651" s="6">
        <f ca="1">Main[[#This Row],[تعداد روزهای بدهکار تسویه شده (روز)]]*Main[[#This Row],[مانده در خط تسویه شده (کیلوگرم)]]</f>
        <v>0</v>
      </c>
      <c r="AA1651" s="6">
        <f ca="1">SUBTOTAL(9,INDEX(Main[بدهی تسویه نشده (کیلوگرم)],1):Main[[#This Row],[بدهی تسویه نشده (کیلوگرم)]])</f>
        <v>0</v>
      </c>
      <c r="AB1651" s="6">
        <f ca="1">IF(Main[[#This Row],[مانده در خط تسویه نشده (کیلوگرم)]]&lt;&gt;0,Main[[#This Row],[تعداد کل روزهای بدهکار (روز)]],0)</f>
        <v>0</v>
      </c>
      <c r="AC1651" s="6">
        <f ca="1">Main[[#This Row],[تعداد روزهای بدهکار  تسویه نشده (روز)]]*Main[[#This Row],[مانده در خط تسویه نشده (کیلوگرم)]]</f>
        <v>0</v>
      </c>
      <c r="AD1651" s="6">
        <f ca="1">SUBTOTAL(9,INDEX(Main[بدهی سررسید شده (کیلوگرم)],1):Main[[#This Row],[بدهی سررسید شده (کیلوگرم)]])</f>
        <v>0</v>
      </c>
      <c r="AE1651" s="6">
        <f ca="1">IF(Main[[#This Row],[مانده در خط سررسید شده (کیلوگرم)]]&lt;&gt;0,Main[[#This Row],[تعداد کل روزهای بدهکار (روز)]],0)</f>
        <v>0</v>
      </c>
      <c r="AF1651" s="6">
        <f ca="1">Main[[#This Row],[تعداد روزهای بدهکار سررسید شده (روز)]]*Main[[#This Row],[مانده در خط سررسید شده (کیلوگرم)]]</f>
        <v>0</v>
      </c>
    </row>
    <row r="1652" spans="1:32" hidden="1" x14ac:dyDescent="0.35">
      <c r="A1652" s="5">
        <f>ROW()-ROW(INDEX(Main[ردیف],1))+1</f>
        <v>1650</v>
      </c>
      <c r="B1652" s="31">
        <f>SUBTOTAL(2,INDEX(Main[ردیف],1):Main[[#This Row],[ردیف]])</f>
        <v>148</v>
      </c>
      <c r="C1652" s="32" t="s">
        <v>705</v>
      </c>
      <c r="D1652" s="32" t="str">
        <f>_xlfn.CONCAT("14",Main[[#This Row],[تاريخ]])</f>
        <v>1400/06/29</v>
      </c>
      <c r="E1652" s="33">
        <v>44459</v>
      </c>
      <c r="F1652" s="32">
        <v>10070</v>
      </c>
      <c r="G1652" s="5" t="str">
        <f>INDEX(customer[عنوان],MATCH(Main[[#This Row],[کد ردیابی]],customer[کد],0))</f>
        <v xml:space="preserve">حمیدرضا شفیعی </v>
      </c>
      <c r="H1652">
        <v>-979</v>
      </c>
      <c r="I1652" s="6">
        <f ca="1">-Main[[#This Row],[بدهی تسویه شده (کیلوگرم)]]+Main[[#This Row],[بستانکار (کیلوگرم)]]</f>
        <v>-979</v>
      </c>
      <c r="J1652" s="6">
        <f>IF(Main[[#This Row],[مقدار (کیلوگرم)]]&gt;0,Main[[#This Row],[مقدار (کیلوگرم)]],0)</f>
        <v>0</v>
      </c>
      <c r="K1652" s="6">
        <f>-IF(Main[[#This Row],[مقدار (کیلوگرم)]]&lt;0,Main[[#This Row],[مقدار (کیلوگرم)]],0)</f>
        <v>979</v>
      </c>
      <c r="L16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2" s="7">
        <f>-IF(AND(Main[[#This Row],[مقدار (کیلوگرم)]]&lt;0,Main[[#This Row],[تاريخ میلادی]]&gt;44276),Main[[#This Row],[مقدار (کیلوگرم)]],0)</f>
        <v>979</v>
      </c>
      <c r="N1652" s="6">
        <f ca="1">Main[[#This Row],[بدهکار (کیلوگرم)]]-Main[[#This Row],[بدهی تسویه نشده (کیلوگرم)]]</f>
        <v>979</v>
      </c>
      <c r="O1652" s="6">
        <f ca="1">Main[[#This Row],[تفکیک]]</f>
        <v>0</v>
      </c>
      <c r="P1652" s="6">
        <f ca="1">IF(Main[[#This Row],[تاخیر از سررسید]]&gt;0,Main[[#This Row],[بدهی تسویه نشده (کیلوگرم)]],0)</f>
        <v>0</v>
      </c>
      <c r="Q1652" s="6">
        <f ca="1">IF(Main[[#This Row],[بدهی تسویه نشده (کیلوگرم)]]&gt;0,'گزارش فردی'!$B$7-Main[[#This Row],[تاريخ میلادی]],0)</f>
        <v>0</v>
      </c>
      <c r="R1652" s="6">
        <f ca="1">IF(Main[[#This Row],[بدهی تسویه نشده (کیلوگرم)]]&gt;0,'گزارش فردی'!$B$7-Main[[#This Row],[تاريخ میلادی]]-'گزارش فردی'!$B$8,0)</f>
        <v>0</v>
      </c>
      <c r="S1652" s="6">
        <f ca="1">Main[[#This Row],[روز از ارسال سفارش]]*Main[[#This Row],[بدهی تسویه نشده (کیلوگرم)]]</f>
        <v>0</v>
      </c>
      <c r="T1652" s="6">
        <f ca="1">Main[[#This Row],[بدهی سررسید شده (کیلوگرم)]]*Main[[#This Row],[روز از ارسال سفارش]]</f>
        <v>0</v>
      </c>
      <c r="U1652" s="6">
        <f>-SUBTOTAL(9,INDEX(Main[مقدار (کیلوگرم)],1):Main[[#This Row],[مقدار (کیلوگرم)]])</f>
        <v>22298</v>
      </c>
      <c r="V16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2" s="6">
        <f>Main[[#This Row],[تعداد کل روزهای بدهکار (روز)]]*Main[[#This Row],[مانده در خط کل (کیلوگرم)]]</f>
        <v>0</v>
      </c>
      <c r="X1652" s="6">
        <f ca="1">-SUBTOTAL(9,INDEX(Main[مقدار تسویه شده (کیلوگرم)],1):Main[[#This Row],[مقدار تسویه شده (کیلوگرم)]])</f>
        <v>22298</v>
      </c>
      <c r="Y1652" s="6">
        <f ca="1">IF(Main[[#This Row],[مانده در خط تسویه شده (کیلوگرم)]]&lt;&gt;0,Main[[#This Row],[تعداد کل روزهای بدهکار (روز)]],0)</f>
        <v>0</v>
      </c>
      <c r="Z1652" s="6">
        <f ca="1">Main[[#This Row],[تعداد روزهای بدهکار تسویه شده (روز)]]*Main[[#This Row],[مانده در خط تسویه شده (کیلوگرم)]]</f>
        <v>0</v>
      </c>
      <c r="AA1652" s="6">
        <f ca="1">SUBTOTAL(9,INDEX(Main[بدهی تسویه نشده (کیلوگرم)],1):Main[[#This Row],[بدهی تسویه نشده (کیلوگرم)]])</f>
        <v>0</v>
      </c>
      <c r="AB1652" s="6">
        <f ca="1">IF(Main[[#This Row],[مانده در خط تسویه نشده (کیلوگرم)]]&lt;&gt;0,Main[[#This Row],[تعداد کل روزهای بدهکار (روز)]],0)</f>
        <v>0</v>
      </c>
      <c r="AC1652" s="6">
        <f ca="1">Main[[#This Row],[تعداد روزهای بدهکار  تسویه نشده (روز)]]*Main[[#This Row],[مانده در خط تسویه نشده (کیلوگرم)]]</f>
        <v>0</v>
      </c>
      <c r="AD1652" s="6">
        <f ca="1">SUBTOTAL(9,INDEX(Main[بدهی سررسید شده (کیلوگرم)],1):Main[[#This Row],[بدهی سررسید شده (کیلوگرم)]])</f>
        <v>0</v>
      </c>
      <c r="AE1652" s="6">
        <f ca="1">IF(Main[[#This Row],[مانده در خط سررسید شده (کیلوگرم)]]&lt;&gt;0,Main[[#This Row],[تعداد کل روزهای بدهکار (روز)]],0)</f>
        <v>0</v>
      </c>
      <c r="AF1652" s="6">
        <f ca="1">Main[[#This Row],[تعداد روزهای بدهکار سررسید شده (روز)]]*Main[[#This Row],[مانده در خط سررسید شده (کیلوگرم)]]</f>
        <v>0</v>
      </c>
    </row>
    <row r="1653" spans="1:32" hidden="1" x14ac:dyDescent="0.35">
      <c r="A1653" s="5">
        <f>ROW()-ROW(INDEX(Main[ردیف],1))+1</f>
        <v>1651</v>
      </c>
      <c r="B1653" s="31">
        <f>SUBTOTAL(2,INDEX(Main[ردیف],1):Main[[#This Row],[ردیف]])</f>
        <v>148</v>
      </c>
      <c r="C1653" s="32" t="s">
        <v>705</v>
      </c>
      <c r="D1653" s="32" t="str">
        <f>_xlfn.CONCAT("14",Main[[#This Row],[تاريخ]])</f>
        <v>1400/06/29</v>
      </c>
      <c r="E1653" s="33">
        <v>44459</v>
      </c>
      <c r="F1653" s="32">
        <v>30184</v>
      </c>
      <c r="G1653" s="5" t="str">
        <f>INDEX(customer[عنوان],MATCH(Main[[#This Row],[کد ردیابی]],customer[کد],0))</f>
        <v>شرکت هوم کو (هوشمند مبین کوشا)</v>
      </c>
      <c r="H1653">
        <v>112</v>
      </c>
      <c r="I1653" s="6">
        <f ca="1">-Main[[#This Row],[بدهی تسویه شده (کیلوگرم)]]+Main[[#This Row],[بستانکار (کیلوگرم)]]</f>
        <v>112</v>
      </c>
      <c r="J1653" s="6">
        <f>IF(Main[[#This Row],[مقدار (کیلوگرم)]]&gt;0,Main[[#This Row],[مقدار (کیلوگرم)]],0)</f>
        <v>112</v>
      </c>
      <c r="K1653" s="6">
        <f>-IF(Main[[#This Row],[مقدار (کیلوگرم)]]&lt;0,Main[[#This Row],[مقدار (کیلوگرم)]],0)</f>
        <v>0</v>
      </c>
      <c r="L16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3" s="7">
        <f>-IF(AND(Main[[#This Row],[مقدار (کیلوگرم)]]&lt;0,Main[[#This Row],[تاريخ میلادی]]&gt;44276),Main[[#This Row],[مقدار (کیلوگرم)]],0)</f>
        <v>0</v>
      </c>
      <c r="N1653" s="6">
        <f ca="1">Main[[#This Row],[بدهکار (کیلوگرم)]]-Main[[#This Row],[بدهی تسویه نشده (کیلوگرم)]]</f>
        <v>0</v>
      </c>
      <c r="O1653" s="6">
        <f ca="1">Main[[#This Row],[تفکیک]]</f>
        <v>0</v>
      </c>
      <c r="P1653" s="6">
        <f ca="1">IF(Main[[#This Row],[تاخیر از سررسید]]&gt;0,Main[[#This Row],[بدهی تسویه نشده (کیلوگرم)]],0)</f>
        <v>0</v>
      </c>
      <c r="Q1653" s="6">
        <f ca="1">IF(Main[[#This Row],[بدهی تسویه نشده (کیلوگرم)]]&gt;0,'گزارش فردی'!$B$7-Main[[#This Row],[تاريخ میلادی]],0)</f>
        <v>0</v>
      </c>
      <c r="R1653" s="6">
        <f ca="1">IF(Main[[#This Row],[بدهی تسویه نشده (کیلوگرم)]]&gt;0,'گزارش فردی'!$B$7-Main[[#This Row],[تاريخ میلادی]]-'گزارش فردی'!$B$8,0)</f>
        <v>0</v>
      </c>
      <c r="S1653" s="6">
        <f ca="1">Main[[#This Row],[روز از ارسال سفارش]]*Main[[#This Row],[بدهی تسویه نشده (کیلوگرم)]]</f>
        <v>0</v>
      </c>
      <c r="T1653" s="6">
        <f ca="1">Main[[#This Row],[بدهی سررسید شده (کیلوگرم)]]*Main[[#This Row],[روز از ارسال سفارش]]</f>
        <v>0</v>
      </c>
      <c r="U1653" s="6">
        <f>-SUBTOTAL(9,INDEX(Main[مقدار (کیلوگرم)],1):Main[[#This Row],[مقدار (کیلوگرم)]])</f>
        <v>22298</v>
      </c>
      <c r="V16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3" s="6">
        <f>Main[[#This Row],[تعداد کل روزهای بدهکار (روز)]]*Main[[#This Row],[مانده در خط کل (کیلوگرم)]]</f>
        <v>0</v>
      </c>
      <c r="X1653" s="6">
        <f ca="1">-SUBTOTAL(9,INDEX(Main[مقدار تسویه شده (کیلوگرم)],1):Main[[#This Row],[مقدار تسویه شده (کیلوگرم)]])</f>
        <v>22298</v>
      </c>
      <c r="Y1653" s="6">
        <f ca="1">IF(Main[[#This Row],[مانده در خط تسویه شده (کیلوگرم)]]&lt;&gt;0,Main[[#This Row],[تعداد کل روزهای بدهکار (روز)]],0)</f>
        <v>0</v>
      </c>
      <c r="Z1653" s="6">
        <f ca="1">Main[[#This Row],[تعداد روزهای بدهکار تسویه شده (روز)]]*Main[[#This Row],[مانده در خط تسویه شده (کیلوگرم)]]</f>
        <v>0</v>
      </c>
      <c r="AA1653" s="6">
        <f ca="1">SUBTOTAL(9,INDEX(Main[بدهی تسویه نشده (کیلوگرم)],1):Main[[#This Row],[بدهی تسویه نشده (کیلوگرم)]])</f>
        <v>0</v>
      </c>
      <c r="AB1653" s="6">
        <f ca="1">IF(Main[[#This Row],[مانده در خط تسویه نشده (کیلوگرم)]]&lt;&gt;0,Main[[#This Row],[تعداد کل روزهای بدهکار (روز)]],0)</f>
        <v>0</v>
      </c>
      <c r="AC1653" s="6">
        <f ca="1">Main[[#This Row],[تعداد روزهای بدهکار  تسویه نشده (روز)]]*Main[[#This Row],[مانده در خط تسویه نشده (کیلوگرم)]]</f>
        <v>0</v>
      </c>
      <c r="AD1653" s="6">
        <f ca="1">SUBTOTAL(9,INDEX(Main[بدهی سررسید شده (کیلوگرم)],1):Main[[#This Row],[بدهی سررسید شده (کیلوگرم)]])</f>
        <v>0</v>
      </c>
      <c r="AE1653" s="6">
        <f ca="1">IF(Main[[#This Row],[مانده در خط سررسید شده (کیلوگرم)]]&lt;&gt;0,Main[[#This Row],[تعداد کل روزهای بدهکار (روز)]],0)</f>
        <v>0</v>
      </c>
      <c r="AF1653" s="6">
        <f ca="1">Main[[#This Row],[تعداد روزهای بدهکار سررسید شده (روز)]]*Main[[#This Row],[مانده در خط سررسید شده (کیلوگرم)]]</f>
        <v>0</v>
      </c>
    </row>
    <row r="1654" spans="1:32" hidden="1" x14ac:dyDescent="0.35">
      <c r="A1654" s="5">
        <f>ROW()-ROW(INDEX(Main[ردیف],1))+1</f>
        <v>1652</v>
      </c>
      <c r="B1654" s="31">
        <f>SUBTOTAL(2,INDEX(Main[ردیف],1):Main[[#This Row],[ردیف]])</f>
        <v>148</v>
      </c>
      <c r="C1654" s="32" t="s">
        <v>705</v>
      </c>
      <c r="D1654" s="32" t="str">
        <f>_xlfn.CONCAT("14",Main[[#This Row],[تاريخ]])</f>
        <v>1400/06/29</v>
      </c>
      <c r="E1654" s="33">
        <v>44459</v>
      </c>
      <c r="F1654" s="32">
        <v>30004</v>
      </c>
      <c r="G1654" s="5" t="str">
        <f>INDEX(customer[عنوان],MATCH(Main[[#This Row],[کد ردیابی]],customer[کد],0))</f>
        <v>تولیدی صنعتی صفاشیر پارس</v>
      </c>
      <c r="H1654">
        <v>-4210</v>
      </c>
      <c r="I1654" s="6">
        <f ca="1">-Main[[#This Row],[بدهی تسویه شده (کیلوگرم)]]+Main[[#This Row],[بستانکار (کیلوگرم)]]</f>
        <v>-4210</v>
      </c>
      <c r="J1654" s="6">
        <f>IF(Main[[#This Row],[مقدار (کیلوگرم)]]&gt;0,Main[[#This Row],[مقدار (کیلوگرم)]],0)</f>
        <v>0</v>
      </c>
      <c r="K1654" s="6">
        <f>-IF(Main[[#This Row],[مقدار (کیلوگرم)]]&lt;0,Main[[#This Row],[مقدار (کیلوگرم)]],0)</f>
        <v>4210</v>
      </c>
      <c r="L16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4" s="7">
        <f>-IF(AND(Main[[#This Row],[مقدار (کیلوگرم)]]&lt;0,Main[[#This Row],[تاريخ میلادی]]&gt;44276),Main[[#This Row],[مقدار (کیلوگرم)]],0)</f>
        <v>4210</v>
      </c>
      <c r="N1654" s="6">
        <f ca="1">Main[[#This Row],[بدهکار (کیلوگرم)]]-Main[[#This Row],[بدهی تسویه نشده (کیلوگرم)]]</f>
        <v>4210</v>
      </c>
      <c r="O1654" s="6">
        <f ca="1">Main[[#This Row],[تفکیک]]</f>
        <v>0</v>
      </c>
      <c r="P1654" s="6">
        <f ca="1">IF(Main[[#This Row],[تاخیر از سررسید]]&gt;0,Main[[#This Row],[بدهی تسویه نشده (کیلوگرم)]],0)</f>
        <v>0</v>
      </c>
      <c r="Q1654" s="6">
        <f ca="1">IF(Main[[#This Row],[بدهی تسویه نشده (کیلوگرم)]]&gt;0,'گزارش فردی'!$B$7-Main[[#This Row],[تاريخ میلادی]],0)</f>
        <v>0</v>
      </c>
      <c r="R1654" s="6">
        <f ca="1">IF(Main[[#This Row],[بدهی تسویه نشده (کیلوگرم)]]&gt;0,'گزارش فردی'!$B$7-Main[[#This Row],[تاريخ میلادی]]-'گزارش فردی'!$B$8,0)</f>
        <v>0</v>
      </c>
      <c r="S1654" s="6">
        <f ca="1">Main[[#This Row],[روز از ارسال سفارش]]*Main[[#This Row],[بدهی تسویه نشده (کیلوگرم)]]</f>
        <v>0</v>
      </c>
      <c r="T1654" s="6">
        <f ca="1">Main[[#This Row],[بدهی سررسید شده (کیلوگرم)]]*Main[[#This Row],[روز از ارسال سفارش]]</f>
        <v>0</v>
      </c>
      <c r="U1654" s="6">
        <f>-SUBTOTAL(9,INDEX(Main[مقدار (کیلوگرم)],1):Main[[#This Row],[مقدار (کیلوگرم)]])</f>
        <v>22298</v>
      </c>
      <c r="V16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4" s="6">
        <f>Main[[#This Row],[تعداد کل روزهای بدهکار (روز)]]*Main[[#This Row],[مانده در خط کل (کیلوگرم)]]</f>
        <v>0</v>
      </c>
      <c r="X1654" s="6">
        <f ca="1">-SUBTOTAL(9,INDEX(Main[مقدار تسویه شده (کیلوگرم)],1):Main[[#This Row],[مقدار تسویه شده (کیلوگرم)]])</f>
        <v>22298</v>
      </c>
      <c r="Y1654" s="6">
        <f ca="1">IF(Main[[#This Row],[مانده در خط تسویه شده (کیلوگرم)]]&lt;&gt;0,Main[[#This Row],[تعداد کل روزهای بدهکار (روز)]],0)</f>
        <v>0</v>
      </c>
      <c r="Z1654" s="6">
        <f ca="1">Main[[#This Row],[تعداد روزهای بدهکار تسویه شده (روز)]]*Main[[#This Row],[مانده در خط تسویه شده (کیلوگرم)]]</f>
        <v>0</v>
      </c>
      <c r="AA1654" s="6">
        <f ca="1">SUBTOTAL(9,INDEX(Main[بدهی تسویه نشده (کیلوگرم)],1):Main[[#This Row],[بدهی تسویه نشده (کیلوگرم)]])</f>
        <v>0</v>
      </c>
      <c r="AB1654" s="6">
        <f ca="1">IF(Main[[#This Row],[مانده در خط تسویه نشده (کیلوگرم)]]&lt;&gt;0,Main[[#This Row],[تعداد کل روزهای بدهکار (روز)]],0)</f>
        <v>0</v>
      </c>
      <c r="AC1654" s="6">
        <f ca="1">Main[[#This Row],[تعداد روزهای بدهکار  تسویه نشده (روز)]]*Main[[#This Row],[مانده در خط تسویه نشده (کیلوگرم)]]</f>
        <v>0</v>
      </c>
      <c r="AD1654" s="6">
        <f ca="1">SUBTOTAL(9,INDEX(Main[بدهی سررسید شده (کیلوگرم)],1):Main[[#This Row],[بدهی سررسید شده (کیلوگرم)]])</f>
        <v>0</v>
      </c>
      <c r="AE1654" s="6">
        <f ca="1">IF(Main[[#This Row],[مانده در خط سررسید شده (کیلوگرم)]]&lt;&gt;0,Main[[#This Row],[تعداد کل روزهای بدهکار (روز)]],0)</f>
        <v>0</v>
      </c>
      <c r="AF1654" s="6">
        <f ca="1">Main[[#This Row],[تعداد روزهای بدهکار سررسید شده (روز)]]*Main[[#This Row],[مانده در خط سررسید شده (کیلوگرم)]]</f>
        <v>0</v>
      </c>
    </row>
    <row r="1655" spans="1:32" x14ac:dyDescent="0.35">
      <c r="A1655" s="5">
        <f>ROW()-ROW(INDEX(Main[ردیف],1))+1</f>
        <v>1653</v>
      </c>
      <c r="B1655" s="31">
        <f>SUBTOTAL(2,INDEX(Main[ردیف],1):Main[[#This Row],[ردیف]])</f>
        <v>149</v>
      </c>
      <c r="C1655" s="32" t="s">
        <v>705</v>
      </c>
      <c r="D1655" s="32" t="str">
        <f>_xlfn.CONCAT("14",Main[[#This Row],[تاريخ]])</f>
        <v>1400/06/29</v>
      </c>
      <c r="E1655" s="33">
        <v>44459</v>
      </c>
      <c r="F1655" s="32">
        <v>10003</v>
      </c>
      <c r="G1655" s="5" t="str">
        <f>INDEX(customer[عنوان],MATCH(Main[[#This Row],[کد ردیابی]],customer[کد],0))</f>
        <v>اصغر نورعلی</v>
      </c>
      <c r="H1655">
        <v>2704</v>
      </c>
      <c r="I1655" s="6">
        <f ca="1">-Main[[#This Row],[بدهی تسویه شده (کیلوگرم)]]+Main[[#This Row],[بستانکار (کیلوگرم)]]</f>
        <v>2704</v>
      </c>
      <c r="J1655" s="6">
        <f>IF(Main[[#This Row],[مقدار (کیلوگرم)]]&gt;0,Main[[#This Row],[مقدار (کیلوگرم)]],0)</f>
        <v>2704</v>
      </c>
      <c r="K1655" s="6">
        <f>-IF(Main[[#This Row],[مقدار (کیلوگرم)]]&lt;0,Main[[#This Row],[مقدار (کیلوگرم)]],0)</f>
        <v>0</v>
      </c>
      <c r="L16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5" s="7">
        <f>-IF(AND(Main[[#This Row],[مقدار (کیلوگرم)]]&lt;0,Main[[#This Row],[تاريخ میلادی]]&gt;44276),Main[[#This Row],[مقدار (کیلوگرم)]],0)</f>
        <v>0</v>
      </c>
      <c r="N1655" s="6">
        <f ca="1">Main[[#This Row],[بدهکار (کیلوگرم)]]-Main[[#This Row],[بدهی تسویه نشده (کیلوگرم)]]</f>
        <v>0</v>
      </c>
      <c r="O1655" s="6">
        <f ca="1">Main[[#This Row],[تفکیک]]</f>
        <v>0</v>
      </c>
      <c r="P1655" s="6">
        <f ca="1">IF(Main[[#This Row],[تاخیر از سررسید]]&gt;0,Main[[#This Row],[بدهی تسویه نشده (کیلوگرم)]],0)</f>
        <v>0</v>
      </c>
      <c r="Q1655" s="6">
        <f ca="1">IF(Main[[#This Row],[بدهی تسویه نشده (کیلوگرم)]]&gt;0,'گزارش فردی'!$B$7-Main[[#This Row],[تاريخ میلادی]],0)</f>
        <v>0</v>
      </c>
      <c r="R1655" s="6">
        <f ca="1">IF(Main[[#This Row],[بدهی تسویه نشده (کیلوگرم)]]&gt;0,'گزارش فردی'!$B$7-Main[[#This Row],[تاريخ میلادی]]-'گزارش فردی'!$B$8,0)</f>
        <v>0</v>
      </c>
      <c r="S1655" s="6">
        <f ca="1">Main[[#This Row],[روز از ارسال سفارش]]*Main[[#This Row],[بدهی تسویه نشده (کیلوگرم)]]</f>
        <v>0</v>
      </c>
      <c r="T1655" s="6">
        <f ca="1">Main[[#This Row],[بدهی سررسید شده (کیلوگرم)]]*Main[[#This Row],[روز از ارسال سفارش]]</f>
        <v>0</v>
      </c>
      <c r="U1655" s="6">
        <f>-SUBTOTAL(9,INDEX(Main[مقدار (کیلوگرم)],1):Main[[#This Row],[مقدار (کیلوگرم)]])</f>
        <v>19594</v>
      </c>
      <c r="V16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5" s="6">
        <f>Main[[#This Row],[تعداد کل روزهای بدهکار (روز)]]*Main[[#This Row],[مانده در خط کل (کیلوگرم)]]</f>
        <v>0</v>
      </c>
      <c r="X1655" s="6">
        <f ca="1">-SUBTOTAL(9,INDEX(Main[مقدار تسویه شده (کیلوگرم)],1):Main[[#This Row],[مقدار تسویه شده (کیلوگرم)]])</f>
        <v>19594</v>
      </c>
      <c r="Y1655" s="6">
        <f ca="1">IF(Main[[#This Row],[مانده در خط تسویه شده (کیلوگرم)]]&lt;&gt;0,Main[[#This Row],[تعداد کل روزهای بدهکار (روز)]],0)</f>
        <v>0</v>
      </c>
      <c r="Z1655" s="6">
        <f ca="1">Main[[#This Row],[تعداد روزهای بدهکار تسویه شده (روز)]]*Main[[#This Row],[مانده در خط تسویه شده (کیلوگرم)]]</f>
        <v>0</v>
      </c>
      <c r="AA1655" s="6">
        <f ca="1">SUBTOTAL(9,INDEX(Main[بدهی تسویه نشده (کیلوگرم)],1):Main[[#This Row],[بدهی تسویه نشده (کیلوگرم)]])</f>
        <v>0</v>
      </c>
      <c r="AB1655" s="6">
        <f ca="1">IF(Main[[#This Row],[مانده در خط تسویه نشده (کیلوگرم)]]&lt;&gt;0,Main[[#This Row],[تعداد کل روزهای بدهکار (روز)]],0)</f>
        <v>0</v>
      </c>
      <c r="AC1655" s="6">
        <f ca="1">Main[[#This Row],[تعداد روزهای بدهکار  تسویه نشده (روز)]]*Main[[#This Row],[مانده در خط تسویه نشده (کیلوگرم)]]</f>
        <v>0</v>
      </c>
      <c r="AD1655" s="6">
        <f ca="1">SUBTOTAL(9,INDEX(Main[بدهی سررسید شده (کیلوگرم)],1):Main[[#This Row],[بدهی سررسید شده (کیلوگرم)]])</f>
        <v>0</v>
      </c>
      <c r="AE1655" s="6">
        <f ca="1">IF(Main[[#This Row],[مانده در خط سررسید شده (کیلوگرم)]]&lt;&gt;0,Main[[#This Row],[تعداد کل روزهای بدهکار (روز)]],0)</f>
        <v>0</v>
      </c>
      <c r="AF1655" s="6">
        <f ca="1">Main[[#This Row],[تعداد روزهای بدهکار سررسید شده (روز)]]*Main[[#This Row],[مانده در خط سررسید شده (کیلوگرم)]]</f>
        <v>0</v>
      </c>
    </row>
    <row r="1656" spans="1:32" x14ac:dyDescent="0.35">
      <c r="A1656" s="5">
        <f>ROW()-ROW(INDEX(Main[ردیف],1))+1</f>
        <v>1654</v>
      </c>
      <c r="B1656" s="31">
        <f>SUBTOTAL(2,INDEX(Main[ردیف],1):Main[[#This Row],[ردیف]])</f>
        <v>150</v>
      </c>
      <c r="C1656" s="32" t="s">
        <v>705</v>
      </c>
      <c r="D1656" s="32" t="str">
        <f>_xlfn.CONCAT("14",Main[[#This Row],[تاريخ]])</f>
        <v>1400/06/29</v>
      </c>
      <c r="E1656" s="33">
        <v>44459</v>
      </c>
      <c r="F1656" s="32">
        <v>10003</v>
      </c>
      <c r="G1656" s="5" t="str">
        <f>INDEX(customer[عنوان],MATCH(Main[[#This Row],[کد ردیابی]],customer[کد],0))</f>
        <v>اصغر نورعلی</v>
      </c>
      <c r="H1656">
        <v>-942</v>
      </c>
      <c r="I1656" s="6">
        <f ca="1">-Main[[#This Row],[بدهی تسویه شده (کیلوگرم)]]+Main[[#This Row],[بستانکار (کیلوگرم)]]</f>
        <v>-942</v>
      </c>
      <c r="J1656" s="6">
        <f>IF(Main[[#This Row],[مقدار (کیلوگرم)]]&gt;0,Main[[#This Row],[مقدار (کیلوگرم)]],0)</f>
        <v>0</v>
      </c>
      <c r="K1656" s="6">
        <f>-IF(Main[[#This Row],[مقدار (کیلوگرم)]]&lt;0,Main[[#This Row],[مقدار (کیلوگرم)]],0)</f>
        <v>942</v>
      </c>
      <c r="L16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6" s="7">
        <f>-IF(AND(Main[[#This Row],[مقدار (کیلوگرم)]]&lt;0,Main[[#This Row],[تاريخ میلادی]]&gt;44276),Main[[#This Row],[مقدار (کیلوگرم)]],0)</f>
        <v>942</v>
      </c>
      <c r="N1656" s="6">
        <f ca="1">Main[[#This Row],[بدهکار (کیلوگرم)]]-Main[[#This Row],[بدهی تسویه نشده (کیلوگرم)]]</f>
        <v>942</v>
      </c>
      <c r="O1656" s="6">
        <f ca="1">Main[[#This Row],[تفکیک]]</f>
        <v>0</v>
      </c>
      <c r="P1656" s="6">
        <f ca="1">IF(Main[[#This Row],[تاخیر از سررسید]]&gt;0,Main[[#This Row],[بدهی تسویه نشده (کیلوگرم)]],0)</f>
        <v>0</v>
      </c>
      <c r="Q1656" s="6">
        <f ca="1">IF(Main[[#This Row],[بدهی تسویه نشده (کیلوگرم)]]&gt;0,'گزارش فردی'!$B$7-Main[[#This Row],[تاريخ میلادی]],0)</f>
        <v>0</v>
      </c>
      <c r="R1656" s="6">
        <f ca="1">IF(Main[[#This Row],[بدهی تسویه نشده (کیلوگرم)]]&gt;0,'گزارش فردی'!$B$7-Main[[#This Row],[تاريخ میلادی]]-'گزارش فردی'!$B$8,0)</f>
        <v>0</v>
      </c>
      <c r="S1656" s="6">
        <f ca="1">Main[[#This Row],[روز از ارسال سفارش]]*Main[[#This Row],[بدهی تسویه نشده (کیلوگرم)]]</f>
        <v>0</v>
      </c>
      <c r="T1656" s="6">
        <f ca="1">Main[[#This Row],[بدهی سررسید شده (کیلوگرم)]]*Main[[#This Row],[روز از ارسال سفارش]]</f>
        <v>0</v>
      </c>
      <c r="U1656" s="6">
        <f>-SUBTOTAL(9,INDEX(Main[مقدار (کیلوگرم)],1):Main[[#This Row],[مقدار (کیلوگرم)]])</f>
        <v>20536</v>
      </c>
      <c r="V16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6" s="6">
        <f>Main[[#This Row],[تعداد کل روزهای بدهکار (روز)]]*Main[[#This Row],[مانده در خط کل (کیلوگرم)]]</f>
        <v>41072</v>
      </c>
      <c r="X1656" s="6">
        <f ca="1">-SUBTOTAL(9,INDEX(Main[مقدار تسویه شده (کیلوگرم)],1):Main[[#This Row],[مقدار تسویه شده (کیلوگرم)]])</f>
        <v>20536</v>
      </c>
      <c r="Y1656" s="6">
        <f ca="1">IF(Main[[#This Row],[مانده در خط تسویه شده (کیلوگرم)]]&lt;&gt;0,Main[[#This Row],[تعداد کل روزهای بدهکار (روز)]],0)</f>
        <v>2</v>
      </c>
      <c r="Z1656" s="6">
        <f ca="1">Main[[#This Row],[تعداد روزهای بدهکار تسویه شده (روز)]]*Main[[#This Row],[مانده در خط تسویه شده (کیلوگرم)]]</f>
        <v>41072</v>
      </c>
      <c r="AA1656" s="6">
        <f ca="1">SUBTOTAL(9,INDEX(Main[بدهی تسویه نشده (کیلوگرم)],1):Main[[#This Row],[بدهی تسویه نشده (کیلوگرم)]])</f>
        <v>0</v>
      </c>
      <c r="AB1656" s="6">
        <f ca="1">IF(Main[[#This Row],[مانده در خط تسویه نشده (کیلوگرم)]]&lt;&gt;0,Main[[#This Row],[تعداد کل روزهای بدهکار (روز)]],0)</f>
        <v>0</v>
      </c>
      <c r="AC1656" s="6">
        <f ca="1">Main[[#This Row],[تعداد روزهای بدهکار  تسویه نشده (روز)]]*Main[[#This Row],[مانده در خط تسویه نشده (کیلوگرم)]]</f>
        <v>0</v>
      </c>
      <c r="AD1656" s="6">
        <f ca="1">SUBTOTAL(9,INDEX(Main[بدهی سررسید شده (کیلوگرم)],1):Main[[#This Row],[بدهی سررسید شده (کیلوگرم)]])</f>
        <v>0</v>
      </c>
      <c r="AE1656" s="6">
        <f ca="1">IF(Main[[#This Row],[مانده در خط سررسید شده (کیلوگرم)]]&lt;&gt;0,Main[[#This Row],[تعداد کل روزهای بدهکار (روز)]],0)</f>
        <v>0</v>
      </c>
      <c r="AF1656" s="6">
        <f ca="1">Main[[#This Row],[تعداد روزهای بدهکار سررسید شده (روز)]]*Main[[#This Row],[مانده در خط سررسید شده (کیلوگرم)]]</f>
        <v>0</v>
      </c>
    </row>
    <row r="1657" spans="1:32" hidden="1" x14ac:dyDescent="0.35">
      <c r="A1657" s="5">
        <f>ROW()-ROW(INDEX(Main[ردیف],1))+1</f>
        <v>1655</v>
      </c>
      <c r="B1657" s="31">
        <f>SUBTOTAL(2,INDEX(Main[ردیف],1):Main[[#This Row],[ردیف]])</f>
        <v>150</v>
      </c>
      <c r="C1657" s="32" t="s">
        <v>705</v>
      </c>
      <c r="D1657" s="32" t="str">
        <f>_xlfn.CONCAT("14",Main[[#This Row],[تاريخ]])</f>
        <v>1400/06/29</v>
      </c>
      <c r="E1657" s="33">
        <v>44459</v>
      </c>
      <c r="F1657" s="32">
        <v>30191</v>
      </c>
      <c r="G1657" s="5" t="str">
        <f>INDEX(customer[عنوان],MATCH(Main[[#This Row],[کد ردیابی]],customer[کد],0))</f>
        <v>ایران گرما</v>
      </c>
      <c r="H1657">
        <v>1059</v>
      </c>
      <c r="I1657" s="6">
        <f ca="1">-Main[[#This Row],[بدهی تسویه شده (کیلوگرم)]]+Main[[#This Row],[بستانکار (کیلوگرم)]]</f>
        <v>1059</v>
      </c>
      <c r="J1657" s="6">
        <f>IF(Main[[#This Row],[مقدار (کیلوگرم)]]&gt;0,Main[[#This Row],[مقدار (کیلوگرم)]],0)</f>
        <v>1059</v>
      </c>
      <c r="K1657" s="6">
        <f>-IF(Main[[#This Row],[مقدار (کیلوگرم)]]&lt;0,Main[[#This Row],[مقدار (کیلوگرم)]],0)</f>
        <v>0</v>
      </c>
      <c r="L16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7" s="7">
        <f>-IF(AND(Main[[#This Row],[مقدار (کیلوگرم)]]&lt;0,Main[[#This Row],[تاريخ میلادی]]&gt;44276),Main[[#This Row],[مقدار (کیلوگرم)]],0)</f>
        <v>0</v>
      </c>
      <c r="N1657" s="6">
        <f ca="1">Main[[#This Row],[بدهکار (کیلوگرم)]]-Main[[#This Row],[بدهی تسویه نشده (کیلوگرم)]]</f>
        <v>0</v>
      </c>
      <c r="O1657" s="6">
        <f ca="1">Main[[#This Row],[تفکیک]]</f>
        <v>0</v>
      </c>
      <c r="P1657" s="6">
        <f ca="1">IF(Main[[#This Row],[تاخیر از سررسید]]&gt;0,Main[[#This Row],[بدهی تسویه نشده (کیلوگرم)]],0)</f>
        <v>0</v>
      </c>
      <c r="Q1657" s="6">
        <f ca="1">IF(Main[[#This Row],[بدهی تسویه نشده (کیلوگرم)]]&gt;0,'گزارش فردی'!$B$7-Main[[#This Row],[تاريخ میلادی]],0)</f>
        <v>0</v>
      </c>
      <c r="R1657" s="6">
        <f ca="1">IF(Main[[#This Row],[بدهی تسویه نشده (کیلوگرم)]]&gt;0,'گزارش فردی'!$B$7-Main[[#This Row],[تاريخ میلادی]]-'گزارش فردی'!$B$8,0)</f>
        <v>0</v>
      </c>
      <c r="S1657" s="6">
        <f ca="1">Main[[#This Row],[روز از ارسال سفارش]]*Main[[#This Row],[بدهی تسویه نشده (کیلوگرم)]]</f>
        <v>0</v>
      </c>
      <c r="T1657" s="6">
        <f ca="1">Main[[#This Row],[بدهی سررسید شده (کیلوگرم)]]*Main[[#This Row],[روز از ارسال سفارش]]</f>
        <v>0</v>
      </c>
      <c r="U1657" s="6">
        <f>-SUBTOTAL(9,INDEX(Main[مقدار (کیلوگرم)],1):Main[[#This Row],[مقدار (کیلوگرم)]])</f>
        <v>20536</v>
      </c>
      <c r="V16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7" s="6">
        <f>Main[[#This Row],[تعداد کل روزهای بدهکار (روز)]]*Main[[#This Row],[مانده در خط کل (کیلوگرم)]]</f>
        <v>41072</v>
      </c>
      <c r="X1657" s="6">
        <f ca="1">-SUBTOTAL(9,INDEX(Main[مقدار تسویه شده (کیلوگرم)],1):Main[[#This Row],[مقدار تسویه شده (کیلوگرم)]])</f>
        <v>20536</v>
      </c>
      <c r="Y1657" s="6">
        <f ca="1">IF(Main[[#This Row],[مانده در خط تسویه شده (کیلوگرم)]]&lt;&gt;0,Main[[#This Row],[تعداد کل روزهای بدهکار (روز)]],0)</f>
        <v>2</v>
      </c>
      <c r="Z1657" s="6">
        <f ca="1">Main[[#This Row],[تعداد روزهای بدهکار تسویه شده (روز)]]*Main[[#This Row],[مانده در خط تسویه شده (کیلوگرم)]]</f>
        <v>41072</v>
      </c>
      <c r="AA1657" s="6">
        <f ca="1">SUBTOTAL(9,INDEX(Main[بدهی تسویه نشده (کیلوگرم)],1):Main[[#This Row],[بدهی تسویه نشده (کیلوگرم)]])</f>
        <v>0</v>
      </c>
      <c r="AB1657" s="6">
        <f ca="1">IF(Main[[#This Row],[مانده در خط تسویه نشده (کیلوگرم)]]&lt;&gt;0,Main[[#This Row],[تعداد کل روزهای بدهکار (روز)]],0)</f>
        <v>0</v>
      </c>
      <c r="AC1657" s="6">
        <f ca="1">Main[[#This Row],[تعداد روزهای بدهکار  تسویه نشده (روز)]]*Main[[#This Row],[مانده در خط تسویه نشده (کیلوگرم)]]</f>
        <v>0</v>
      </c>
      <c r="AD1657" s="6">
        <f ca="1">SUBTOTAL(9,INDEX(Main[بدهی سررسید شده (کیلوگرم)],1):Main[[#This Row],[بدهی سررسید شده (کیلوگرم)]])</f>
        <v>0</v>
      </c>
      <c r="AE1657" s="6">
        <f ca="1">IF(Main[[#This Row],[مانده در خط سررسید شده (کیلوگرم)]]&lt;&gt;0,Main[[#This Row],[تعداد کل روزهای بدهکار (روز)]],0)</f>
        <v>0</v>
      </c>
      <c r="AF1657" s="6">
        <f ca="1">Main[[#This Row],[تعداد روزهای بدهکار سررسید شده (روز)]]*Main[[#This Row],[مانده در خط سررسید شده (کیلوگرم)]]</f>
        <v>0</v>
      </c>
    </row>
    <row r="1658" spans="1:32" hidden="1" x14ac:dyDescent="0.35">
      <c r="A1658" s="5">
        <f>ROW()-ROW(INDEX(Main[ردیف],1))+1</f>
        <v>1656</v>
      </c>
      <c r="B1658" s="31">
        <f>SUBTOTAL(2,INDEX(Main[ردیف],1):Main[[#This Row],[ردیف]])</f>
        <v>150</v>
      </c>
      <c r="C1658" s="32" t="s">
        <v>705</v>
      </c>
      <c r="D1658" s="32" t="str">
        <f>_xlfn.CONCAT("14",Main[[#This Row],[تاريخ]])</f>
        <v>1400/06/29</v>
      </c>
      <c r="E1658" s="33">
        <v>44459</v>
      </c>
      <c r="F1658" s="32">
        <v>10026</v>
      </c>
      <c r="G1658" s="5" t="str">
        <f>INDEX(customer[عنوان],MATCH(Main[[#This Row],[کد ردیابی]],customer[کد],0))</f>
        <v xml:space="preserve">محسن فیاض بخش </v>
      </c>
      <c r="H1658">
        <v>-1858</v>
      </c>
      <c r="I1658" s="6">
        <f ca="1">-Main[[#This Row],[بدهی تسویه شده (کیلوگرم)]]+Main[[#This Row],[بستانکار (کیلوگرم)]]</f>
        <v>-1858</v>
      </c>
      <c r="J1658" s="6">
        <f>IF(Main[[#This Row],[مقدار (کیلوگرم)]]&gt;0,Main[[#This Row],[مقدار (کیلوگرم)]],0)</f>
        <v>0</v>
      </c>
      <c r="K1658" s="6">
        <f>-IF(Main[[#This Row],[مقدار (کیلوگرم)]]&lt;0,Main[[#This Row],[مقدار (کیلوگرم)]],0)</f>
        <v>1858</v>
      </c>
      <c r="L16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8" s="7">
        <f>-IF(AND(Main[[#This Row],[مقدار (کیلوگرم)]]&lt;0,Main[[#This Row],[تاريخ میلادی]]&gt;44276),Main[[#This Row],[مقدار (کیلوگرم)]],0)</f>
        <v>1858</v>
      </c>
      <c r="N1658" s="6">
        <f ca="1">Main[[#This Row],[بدهکار (کیلوگرم)]]-Main[[#This Row],[بدهی تسویه نشده (کیلوگرم)]]</f>
        <v>1858</v>
      </c>
      <c r="O1658" s="6">
        <f ca="1">Main[[#This Row],[تفکیک]]</f>
        <v>0</v>
      </c>
      <c r="P1658" s="6">
        <f ca="1">IF(Main[[#This Row],[تاخیر از سررسید]]&gt;0,Main[[#This Row],[بدهی تسویه نشده (کیلوگرم)]],0)</f>
        <v>0</v>
      </c>
      <c r="Q1658" s="6">
        <f ca="1">IF(Main[[#This Row],[بدهی تسویه نشده (کیلوگرم)]]&gt;0,'گزارش فردی'!$B$7-Main[[#This Row],[تاريخ میلادی]],0)</f>
        <v>0</v>
      </c>
      <c r="R1658" s="6">
        <f ca="1">IF(Main[[#This Row],[بدهی تسویه نشده (کیلوگرم)]]&gt;0,'گزارش فردی'!$B$7-Main[[#This Row],[تاريخ میلادی]]-'گزارش فردی'!$B$8,0)</f>
        <v>0</v>
      </c>
      <c r="S1658" s="6">
        <f ca="1">Main[[#This Row],[روز از ارسال سفارش]]*Main[[#This Row],[بدهی تسویه نشده (کیلوگرم)]]</f>
        <v>0</v>
      </c>
      <c r="T1658" s="6">
        <f ca="1">Main[[#This Row],[بدهی سررسید شده (کیلوگرم)]]*Main[[#This Row],[روز از ارسال سفارش]]</f>
        <v>0</v>
      </c>
      <c r="U1658" s="6">
        <f>-SUBTOTAL(9,INDEX(Main[مقدار (کیلوگرم)],1):Main[[#This Row],[مقدار (کیلوگرم)]])</f>
        <v>20536</v>
      </c>
      <c r="V16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8" s="6">
        <f>Main[[#This Row],[تعداد کل روزهای بدهکار (روز)]]*Main[[#This Row],[مانده در خط کل (کیلوگرم)]]</f>
        <v>41072</v>
      </c>
      <c r="X1658" s="6">
        <f ca="1">-SUBTOTAL(9,INDEX(Main[مقدار تسویه شده (کیلوگرم)],1):Main[[#This Row],[مقدار تسویه شده (کیلوگرم)]])</f>
        <v>20536</v>
      </c>
      <c r="Y1658" s="6">
        <f ca="1">IF(Main[[#This Row],[مانده در خط تسویه شده (کیلوگرم)]]&lt;&gt;0,Main[[#This Row],[تعداد کل روزهای بدهکار (روز)]],0)</f>
        <v>2</v>
      </c>
      <c r="Z1658" s="6">
        <f ca="1">Main[[#This Row],[تعداد روزهای بدهکار تسویه شده (روز)]]*Main[[#This Row],[مانده در خط تسویه شده (کیلوگرم)]]</f>
        <v>41072</v>
      </c>
      <c r="AA1658" s="6">
        <f ca="1">SUBTOTAL(9,INDEX(Main[بدهی تسویه نشده (کیلوگرم)],1):Main[[#This Row],[بدهی تسویه نشده (کیلوگرم)]])</f>
        <v>0</v>
      </c>
      <c r="AB1658" s="6">
        <f ca="1">IF(Main[[#This Row],[مانده در خط تسویه نشده (کیلوگرم)]]&lt;&gt;0,Main[[#This Row],[تعداد کل روزهای بدهکار (روز)]],0)</f>
        <v>0</v>
      </c>
      <c r="AC1658" s="6">
        <f ca="1">Main[[#This Row],[تعداد روزهای بدهکار  تسویه نشده (روز)]]*Main[[#This Row],[مانده در خط تسویه نشده (کیلوگرم)]]</f>
        <v>0</v>
      </c>
      <c r="AD1658" s="6">
        <f ca="1">SUBTOTAL(9,INDEX(Main[بدهی سررسید شده (کیلوگرم)],1):Main[[#This Row],[بدهی سررسید شده (کیلوگرم)]])</f>
        <v>0</v>
      </c>
      <c r="AE1658" s="6">
        <f ca="1">IF(Main[[#This Row],[مانده در خط سررسید شده (کیلوگرم)]]&lt;&gt;0,Main[[#This Row],[تعداد کل روزهای بدهکار (روز)]],0)</f>
        <v>0</v>
      </c>
      <c r="AF1658" s="6">
        <f ca="1">Main[[#This Row],[تعداد روزهای بدهکار سررسید شده (روز)]]*Main[[#This Row],[مانده در خط سررسید شده (کیلوگرم)]]</f>
        <v>0</v>
      </c>
    </row>
    <row r="1659" spans="1:32" hidden="1" x14ac:dyDescent="0.35">
      <c r="A1659" s="5">
        <f>ROW()-ROW(INDEX(Main[ردیف],1))+1</f>
        <v>1657</v>
      </c>
      <c r="B1659" s="31">
        <f>SUBTOTAL(2,INDEX(Main[ردیف],1):Main[[#This Row],[ردیف]])</f>
        <v>150</v>
      </c>
      <c r="C1659" s="32" t="s">
        <v>705</v>
      </c>
      <c r="D1659" s="32" t="str">
        <f>_xlfn.CONCAT("14",Main[[#This Row],[تاريخ]])</f>
        <v>1400/06/29</v>
      </c>
      <c r="E1659" s="33">
        <v>44459</v>
      </c>
      <c r="F1659" s="32">
        <v>30127</v>
      </c>
      <c r="G1659" s="5" t="str">
        <f>INDEX(customer[عنوان],MATCH(Main[[#This Row],[کد ردیابی]],customer[کد],0))</f>
        <v>شیر گاز آذران</v>
      </c>
      <c r="H1659">
        <v>-3804</v>
      </c>
      <c r="I1659" s="6">
        <f ca="1">-Main[[#This Row],[بدهی تسویه شده (کیلوگرم)]]+Main[[#This Row],[بستانکار (کیلوگرم)]]</f>
        <v>-3804</v>
      </c>
      <c r="J1659" s="6">
        <f>IF(Main[[#This Row],[مقدار (کیلوگرم)]]&gt;0,Main[[#This Row],[مقدار (کیلوگرم)]],0)</f>
        <v>0</v>
      </c>
      <c r="K1659" s="6">
        <f>-IF(Main[[#This Row],[مقدار (کیلوگرم)]]&lt;0,Main[[#This Row],[مقدار (کیلوگرم)]],0)</f>
        <v>3804</v>
      </c>
      <c r="L16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9" s="7">
        <f>-IF(AND(Main[[#This Row],[مقدار (کیلوگرم)]]&lt;0,Main[[#This Row],[تاريخ میلادی]]&gt;44276),Main[[#This Row],[مقدار (کیلوگرم)]],0)</f>
        <v>3804</v>
      </c>
      <c r="N1659" s="6">
        <f ca="1">Main[[#This Row],[بدهکار (کیلوگرم)]]-Main[[#This Row],[بدهی تسویه نشده (کیلوگرم)]]</f>
        <v>3804</v>
      </c>
      <c r="O1659" s="6">
        <f ca="1">Main[[#This Row],[تفکیک]]</f>
        <v>0</v>
      </c>
      <c r="P1659" s="6">
        <f ca="1">IF(Main[[#This Row],[تاخیر از سررسید]]&gt;0,Main[[#This Row],[بدهی تسویه نشده (کیلوگرم)]],0)</f>
        <v>0</v>
      </c>
      <c r="Q1659" s="6">
        <f ca="1">IF(Main[[#This Row],[بدهی تسویه نشده (کیلوگرم)]]&gt;0,'گزارش فردی'!$B$7-Main[[#This Row],[تاريخ میلادی]],0)</f>
        <v>0</v>
      </c>
      <c r="R1659" s="6">
        <f ca="1">IF(Main[[#This Row],[بدهی تسویه نشده (کیلوگرم)]]&gt;0,'گزارش فردی'!$B$7-Main[[#This Row],[تاريخ میلادی]]-'گزارش فردی'!$B$8,0)</f>
        <v>0</v>
      </c>
      <c r="S1659" s="6">
        <f ca="1">Main[[#This Row],[روز از ارسال سفارش]]*Main[[#This Row],[بدهی تسویه نشده (کیلوگرم)]]</f>
        <v>0</v>
      </c>
      <c r="T1659" s="6">
        <f ca="1">Main[[#This Row],[بدهی سررسید شده (کیلوگرم)]]*Main[[#This Row],[روز از ارسال سفارش]]</f>
        <v>0</v>
      </c>
      <c r="U1659" s="6">
        <f>-SUBTOTAL(9,INDEX(Main[مقدار (کیلوگرم)],1):Main[[#This Row],[مقدار (کیلوگرم)]])</f>
        <v>20536</v>
      </c>
      <c r="V16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9" s="6">
        <f>Main[[#This Row],[تعداد کل روزهای بدهکار (روز)]]*Main[[#This Row],[مانده در خط کل (کیلوگرم)]]</f>
        <v>41072</v>
      </c>
      <c r="X1659" s="6">
        <f ca="1">-SUBTOTAL(9,INDEX(Main[مقدار تسویه شده (کیلوگرم)],1):Main[[#This Row],[مقدار تسویه شده (کیلوگرم)]])</f>
        <v>20536</v>
      </c>
      <c r="Y1659" s="6">
        <f ca="1">IF(Main[[#This Row],[مانده در خط تسویه شده (کیلوگرم)]]&lt;&gt;0,Main[[#This Row],[تعداد کل روزهای بدهکار (روز)]],0)</f>
        <v>2</v>
      </c>
      <c r="Z1659" s="6">
        <f ca="1">Main[[#This Row],[تعداد روزهای بدهکار تسویه شده (روز)]]*Main[[#This Row],[مانده در خط تسویه شده (کیلوگرم)]]</f>
        <v>41072</v>
      </c>
      <c r="AA1659" s="6">
        <f ca="1">SUBTOTAL(9,INDEX(Main[بدهی تسویه نشده (کیلوگرم)],1):Main[[#This Row],[بدهی تسویه نشده (کیلوگرم)]])</f>
        <v>0</v>
      </c>
      <c r="AB1659" s="6">
        <f ca="1">IF(Main[[#This Row],[مانده در خط تسویه نشده (کیلوگرم)]]&lt;&gt;0,Main[[#This Row],[تعداد کل روزهای بدهکار (روز)]],0)</f>
        <v>0</v>
      </c>
      <c r="AC1659" s="6">
        <f ca="1">Main[[#This Row],[تعداد روزهای بدهکار  تسویه نشده (روز)]]*Main[[#This Row],[مانده در خط تسویه نشده (کیلوگرم)]]</f>
        <v>0</v>
      </c>
      <c r="AD1659" s="6">
        <f ca="1">SUBTOTAL(9,INDEX(Main[بدهی سررسید شده (کیلوگرم)],1):Main[[#This Row],[بدهی سررسید شده (کیلوگرم)]])</f>
        <v>0</v>
      </c>
      <c r="AE1659" s="6">
        <f ca="1">IF(Main[[#This Row],[مانده در خط سررسید شده (کیلوگرم)]]&lt;&gt;0,Main[[#This Row],[تعداد کل روزهای بدهکار (روز)]],0)</f>
        <v>0</v>
      </c>
      <c r="AF1659" s="6">
        <f ca="1">Main[[#This Row],[تعداد روزهای بدهکار سررسید شده (روز)]]*Main[[#This Row],[مانده در خط سررسید شده (کیلوگرم)]]</f>
        <v>0</v>
      </c>
    </row>
    <row r="1660" spans="1:32" hidden="1" x14ac:dyDescent="0.35">
      <c r="A1660" s="5">
        <f>ROW()-ROW(INDEX(Main[ردیف],1))+1</f>
        <v>1658</v>
      </c>
      <c r="B1660" s="31">
        <f>SUBTOTAL(2,INDEX(Main[ردیف],1):Main[[#This Row],[ردیف]])</f>
        <v>150</v>
      </c>
      <c r="C1660" s="32" t="s">
        <v>706</v>
      </c>
      <c r="D1660" s="32" t="str">
        <f>_xlfn.CONCAT("14",Main[[#This Row],[تاريخ]])</f>
        <v>1400/06/30</v>
      </c>
      <c r="E1660" s="33">
        <v>44460</v>
      </c>
      <c r="F1660" s="32">
        <v>30004</v>
      </c>
      <c r="G1660" s="5" t="str">
        <f>INDEX(customer[عنوان],MATCH(Main[[#This Row],[کد ردیابی]],customer[کد],0))</f>
        <v>تولیدی صنعتی صفاشیر پارس</v>
      </c>
      <c r="H1660">
        <v>682</v>
      </c>
      <c r="I1660" s="6">
        <f ca="1">-Main[[#This Row],[بدهی تسویه شده (کیلوگرم)]]+Main[[#This Row],[بستانکار (کیلوگرم)]]</f>
        <v>682</v>
      </c>
      <c r="J1660" s="6">
        <f>IF(Main[[#This Row],[مقدار (کیلوگرم)]]&gt;0,Main[[#This Row],[مقدار (کیلوگرم)]],0)</f>
        <v>682</v>
      </c>
      <c r="K1660" s="6">
        <f>-IF(Main[[#This Row],[مقدار (کیلوگرم)]]&lt;0,Main[[#This Row],[مقدار (کیلوگرم)]],0)</f>
        <v>0</v>
      </c>
      <c r="L16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0" s="7">
        <f>-IF(AND(Main[[#This Row],[مقدار (کیلوگرم)]]&lt;0,Main[[#This Row],[تاريخ میلادی]]&gt;44276),Main[[#This Row],[مقدار (کیلوگرم)]],0)</f>
        <v>0</v>
      </c>
      <c r="N1660" s="6">
        <f ca="1">Main[[#This Row],[بدهکار (کیلوگرم)]]-Main[[#This Row],[بدهی تسویه نشده (کیلوگرم)]]</f>
        <v>0</v>
      </c>
      <c r="O1660" s="6">
        <f ca="1">Main[[#This Row],[تفکیک]]</f>
        <v>0</v>
      </c>
      <c r="P1660" s="6">
        <f ca="1">IF(Main[[#This Row],[تاخیر از سررسید]]&gt;0,Main[[#This Row],[بدهی تسویه نشده (کیلوگرم)]],0)</f>
        <v>0</v>
      </c>
      <c r="Q1660" s="6">
        <f ca="1">IF(Main[[#This Row],[بدهی تسویه نشده (کیلوگرم)]]&gt;0,'گزارش فردی'!$B$7-Main[[#This Row],[تاريخ میلادی]],0)</f>
        <v>0</v>
      </c>
      <c r="R1660" s="6">
        <f ca="1">IF(Main[[#This Row],[بدهی تسویه نشده (کیلوگرم)]]&gt;0,'گزارش فردی'!$B$7-Main[[#This Row],[تاريخ میلادی]]-'گزارش فردی'!$B$8,0)</f>
        <v>0</v>
      </c>
      <c r="S1660" s="6">
        <f ca="1">Main[[#This Row],[روز از ارسال سفارش]]*Main[[#This Row],[بدهی تسویه نشده (کیلوگرم)]]</f>
        <v>0</v>
      </c>
      <c r="T1660" s="6">
        <f ca="1">Main[[#This Row],[بدهی سررسید شده (کیلوگرم)]]*Main[[#This Row],[روز از ارسال سفارش]]</f>
        <v>0</v>
      </c>
      <c r="U1660" s="6">
        <f>-SUBTOTAL(9,INDEX(Main[مقدار (کیلوگرم)],1):Main[[#This Row],[مقدار (کیلوگرم)]])</f>
        <v>20536</v>
      </c>
      <c r="V16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0" s="6">
        <f>Main[[#This Row],[تعداد کل روزهای بدهکار (روز)]]*Main[[#This Row],[مانده در خط کل (کیلوگرم)]]</f>
        <v>20536</v>
      </c>
      <c r="X1660" s="6">
        <f ca="1">-SUBTOTAL(9,INDEX(Main[مقدار تسویه شده (کیلوگرم)],1):Main[[#This Row],[مقدار تسویه شده (کیلوگرم)]])</f>
        <v>20536</v>
      </c>
      <c r="Y1660" s="6">
        <f ca="1">IF(Main[[#This Row],[مانده در خط تسویه شده (کیلوگرم)]]&lt;&gt;0,Main[[#This Row],[تعداد کل روزهای بدهکار (روز)]],0)</f>
        <v>1</v>
      </c>
      <c r="Z1660" s="6">
        <f ca="1">Main[[#This Row],[تعداد روزهای بدهکار تسویه شده (روز)]]*Main[[#This Row],[مانده در خط تسویه شده (کیلوگرم)]]</f>
        <v>20536</v>
      </c>
      <c r="AA1660" s="6">
        <f ca="1">SUBTOTAL(9,INDEX(Main[بدهی تسویه نشده (کیلوگرم)],1):Main[[#This Row],[بدهی تسویه نشده (کیلوگرم)]])</f>
        <v>0</v>
      </c>
      <c r="AB1660" s="6">
        <f ca="1">IF(Main[[#This Row],[مانده در خط تسویه نشده (کیلوگرم)]]&lt;&gt;0,Main[[#This Row],[تعداد کل روزهای بدهکار (روز)]],0)</f>
        <v>0</v>
      </c>
      <c r="AC1660" s="6">
        <f ca="1">Main[[#This Row],[تعداد روزهای بدهکار  تسویه نشده (روز)]]*Main[[#This Row],[مانده در خط تسویه نشده (کیلوگرم)]]</f>
        <v>0</v>
      </c>
      <c r="AD1660" s="6">
        <f ca="1">SUBTOTAL(9,INDEX(Main[بدهی سررسید شده (کیلوگرم)],1):Main[[#This Row],[بدهی سررسید شده (کیلوگرم)]])</f>
        <v>0</v>
      </c>
      <c r="AE1660" s="6">
        <f ca="1">IF(Main[[#This Row],[مانده در خط سررسید شده (کیلوگرم)]]&lt;&gt;0,Main[[#This Row],[تعداد کل روزهای بدهکار (روز)]],0)</f>
        <v>0</v>
      </c>
      <c r="AF1660" s="6">
        <f ca="1">Main[[#This Row],[تعداد روزهای بدهکار سررسید شده (روز)]]*Main[[#This Row],[مانده در خط سررسید شده (کیلوگرم)]]</f>
        <v>0</v>
      </c>
    </row>
    <row r="1661" spans="1:32" hidden="1" x14ac:dyDescent="0.35">
      <c r="A1661" s="5">
        <f>ROW()-ROW(INDEX(Main[ردیف],1))+1</f>
        <v>1659</v>
      </c>
      <c r="B1661" s="31">
        <f>SUBTOTAL(2,INDEX(Main[ردیف],1):Main[[#This Row],[ردیف]])</f>
        <v>150</v>
      </c>
      <c r="C1661" s="32" t="s">
        <v>706</v>
      </c>
      <c r="D1661" s="32" t="str">
        <f>_xlfn.CONCAT("14",Main[[#This Row],[تاريخ]])</f>
        <v>1400/06/30</v>
      </c>
      <c r="E1661" s="33">
        <v>44460</v>
      </c>
      <c r="F1661" s="32">
        <v>30070</v>
      </c>
      <c r="G1661" s="5" t="str">
        <f>INDEX(customer[عنوان],MATCH(Main[[#This Row],[کد ردیابی]],customer[کد],0))</f>
        <v xml:space="preserve">تکنو تراش یادگار </v>
      </c>
      <c r="H1661">
        <v>-2058</v>
      </c>
      <c r="I1661" s="6">
        <f ca="1">-Main[[#This Row],[بدهی تسویه شده (کیلوگرم)]]+Main[[#This Row],[بستانکار (کیلوگرم)]]</f>
        <v>-2058</v>
      </c>
      <c r="J1661" s="6">
        <f>IF(Main[[#This Row],[مقدار (کیلوگرم)]]&gt;0,Main[[#This Row],[مقدار (کیلوگرم)]],0)</f>
        <v>0</v>
      </c>
      <c r="K1661" s="6">
        <f>-IF(Main[[#This Row],[مقدار (کیلوگرم)]]&lt;0,Main[[#This Row],[مقدار (کیلوگرم)]],0)</f>
        <v>2058</v>
      </c>
      <c r="L16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1" s="7">
        <f>-IF(AND(Main[[#This Row],[مقدار (کیلوگرم)]]&lt;0,Main[[#This Row],[تاريخ میلادی]]&gt;44276),Main[[#This Row],[مقدار (کیلوگرم)]],0)</f>
        <v>2058</v>
      </c>
      <c r="N1661" s="6">
        <f ca="1">Main[[#This Row],[بدهکار (کیلوگرم)]]-Main[[#This Row],[بدهی تسویه نشده (کیلوگرم)]]</f>
        <v>2058</v>
      </c>
      <c r="O1661" s="6">
        <f ca="1">Main[[#This Row],[تفکیک]]</f>
        <v>0</v>
      </c>
      <c r="P1661" s="6">
        <f ca="1">IF(Main[[#This Row],[تاخیر از سررسید]]&gt;0,Main[[#This Row],[بدهی تسویه نشده (کیلوگرم)]],0)</f>
        <v>0</v>
      </c>
      <c r="Q1661" s="6">
        <f ca="1">IF(Main[[#This Row],[بدهی تسویه نشده (کیلوگرم)]]&gt;0,'گزارش فردی'!$B$7-Main[[#This Row],[تاريخ میلادی]],0)</f>
        <v>0</v>
      </c>
      <c r="R1661" s="6">
        <f ca="1">IF(Main[[#This Row],[بدهی تسویه نشده (کیلوگرم)]]&gt;0,'گزارش فردی'!$B$7-Main[[#This Row],[تاريخ میلادی]]-'گزارش فردی'!$B$8,0)</f>
        <v>0</v>
      </c>
      <c r="S1661" s="6">
        <f ca="1">Main[[#This Row],[روز از ارسال سفارش]]*Main[[#This Row],[بدهی تسویه نشده (کیلوگرم)]]</f>
        <v>0</v>
      </c>
      <c r="T1661" s="6">
        <f ca="1">Main[[#This Row],[بدهی سررسید شده (کیلوگرم)]]*Main[[#This Row],[روز از ارسال سفارش]]</f>
        <v>0</v>
      </c>
      <c r="U1661" s="6">
        <f>-SUBTOTAL(9,INDEX(Main[مقدار (کیلوگرم)],1):Main[[#This Row],[مقدار (کیلوگرم)]])</f>
        <v>20536</v>
      </c>
      <c r="V16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1" s="6">
        <f>Main[[#This Row],[تعداد کل روزهای بدهکار (روز)]]*Main[[#This Row],[مانده در خط کل (کیلوگرم)]]</f>
        <v>20536</v>
      </c>
      <c r="X1661" s="6">
        <f ca="1">-SUBTOTAL(9,INDEX(Main[مقدار تسویه شده (کیلوگرم)],1):Main[[#This Row],[مقدار تسویه شده (کیلوگرم)]])</f>
        <v>20536</v>
      </c>
      <c r="Y1661" s="6">
        <f ca="1">IF(Main[[#This Row],[مانده در خط تسویه شده (کیلوگرم)]]&lt;&gt;0,Main[[#This Row],[تعداد کل روزهای بدهکار (روز)]],0)</f>
        <v>1</v>
      </c>
      <c r="Z1661" s="6">
        <f ca="1">Main[[#This Row],[تعداد روزهای بدهکار تسویه شده (روز)]]*Main[[#This Row],[مانده در خط تسویه شده (کیلوگرم)]]</f>
        <v>20536</v>
      </c>
      <c r="AA1661" s="6">
        <f ca="1">SUBTOTAL(9,INDEX(Main[بدهی تسویه نشده (کیلوگرم)],1):Main[[#This Row],[بدهی تسویه نشده (کیلوگرم)]])</f>
        <v>0</v>
      </c>
      <c r="AB1661" s="6">
        <f ca="1">IF(Main[[#This Row],[مانده در خط تسویه نشده (کیلوگرم)]]&lt;&gt;0,Main[[#This Row],[تعداد کل روزهای بدهکار (روز)]],0)</f>
        <v>0</v>
      </c>
      <c r="AC1661" s="6">
        <f ca="1">Main[[#This Row],[تعداد روزهای بدهکار  تسویه نشده (روز)]]*Main[[#This Row],[مانده در خط تسویه نشده (کیلوگرم)]]</f>
        <v>0</v>
      </c>
      <c r="AD1661" s="6">
        <f ca="1">SUBTOTAL(9,INDEX(Main[بدهی سررسید شده (کیلوگرم)],1):Main[[#This Row],[بدهی سررسید شده (کیلوگرم)]])</f>
        <v>0</v>
      </c>
      <c r="AE1661" s="6">
        <f ca="1">IF(Main[[#This Row],[مانده در خط سررسید شده (کیلوگرم)]]&lt;&gt;0,Main[[#This Row],[تعداد کل روزهای بدهکار (روز)]],0)</f>
        <v>0</v>
      </c>
      <c r="AF1661" s="6">
        <f ca="1">Main[[#This Row],[تعداد روزهای بدهکار سررسید شده (روز)]]*Main[[#This Row],[مانده در خط سررسید شده (کیلوگرم)]]</f>
        <v>0</v>
      </c>
    </row>
    <row r="1662" spans="1:32" hidden="1" x14ac:dyDescent="0.35">
      <c r="A1662" s="5">
        <f>ROW()-ROW(INDEX(Main[ردیف],1))+1</f>
        <v>1660</v>
      </c>
      <c r="B1662" s="31">
        <f>SUBTOTAL(2,INDEX(Main[ردیف],1):Main[[#This Row],[ردیف]])</f>
        <v>150</v>
      </c>
      <c r="C1662" s="32" t="s">
        <v>706</v>
      </c>
      <c r="D1662" s="32" t="str">
        <f>_xlfn.CONCAT("14",Main[[#This Row],[تاريخ]])</f>
        <v>1400/06/30</v>
      </c>
      <c r="E1662" s="33">
        <v>44460</v>
      </c>
      <c r="F1662" s="32">
        <v>30004</v>
      </c>
      <c r="G1662" s="5" t="str">
        <f>INDEX(customer[عنوان],MATCH(Main[[#This Row],[کد ردیابی]],customer[کد],0))</f>
        <v>تولیدی صنعتی صفاشیر پارس</v>
      </c>
      <c r="H1662">
        <v>1758</v>
      </c>
      <c r="I1662" s="6">
        <f ca="1">-Main[[#This Row],[بدهی تسویه شده (کیلوگرم)]]+Main[[#This Row],[بستانکار (کیلوگرم)]]</f>
        <v>1758</v>
      </c>
      <c r="J1662" s="6">
        <f>IF(Main[[#This Row],[مقدار (کیلوگرم)]]&gt;0,Main[[#This Row],[مقدار (کیلوگرم)]],0)</f>
        <v>1758</v>
      </c>
      <c r="K1662" s="6">
        <f>-IF(Main[[#This Row],[مقدار (کیلوگرم)]]&lt;0,Main[[#This Row],[مقدار (کیلوگرم)]],0)</f>
        <v>0</v>
      </c>
      <c r="L16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2" s="7">
        <f>-IF(AND(Main[[#This Row],[مقدار (کیلوگرم)]]&lt;0,Main[[#This Row],[تاريخ میلادی]]&gt;44276),Main[[#This Row],[مقدار (کیلوگرم)]],0)</f>
        <v>0</v>
      </c>
      <c r="N1662" s="6">
        <f ca="1">Main[[#This Row],[بدهکار (کیلوگرم)]]-Main[[#This Row],[بدهی تسویه نشده (کیلوگرم)]]</f>
        <v>0</v>
      </c>
      <c r="O1662" s="6">
        <f ca="1">Main[[#This Row],[تفکیک]]</f>
        <v>0</v>
      </c>
      <c r="P1662" s="6">
        <f ca="1">IF(Main[[#This Row],[تاخیر از سررسید]]&gt;0,Main[[#This Row],[بدهی تسویه نشده (کیلوگرم)]],0)</f>
        <v>0</v>
      </c>
      <c r="Q1662" s="6">
        <f ca="1">IF(Main[[#This Row],[بدهی تسویه نشده (کیلوگرم)]]&gt;0,'گزارش فردی'!$B$7-Main[[#This Row],[تاريخ میلادی]],0)</f>
        <v>0</v>
      </c>
      <c r="R1662" s="6">
        <f ca="1">IF(Main[[#This Row],[بدهی تسویه نشده (کیلوگرم)]]&gt;0,'گزارش فردی'!$B$7-Main[[#This Row],[تاريخ میلادی]]-'گزارش فردی'!$B$8,0)</f>
        <v>0</v>
      </c>
      <c r="S1662" s="6">
        <f ca="1">Main[[#This Row],[روز از ارسال سفارش]]*Main[[#This Row],[بدهی تسویه نشده (کیلوگرم)]]</f>
        <v>0</v>
      </c>
      <c r="T1662" s="6">
        <f ca="1">Main[[#This Row],[بدهی سررسید شده (کیلوگرم)]]*Main[[#This Row],[روز از ارسال سفارش]]</f>
        <v>0</v>
      </c>
      <c r="U1662" s="6">
        <f>-SUBTOTAL(9,INDEX(Main[مقدار (کیلوگرم)],1):Main[[#This Row],[مقدار (کیلوگرم)]])</f>
        <v>20536</v>
      </c>
      <c r="V16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2" s="6">
        <f>Main[[#This Row],[تعداد کل روزهای بدهکار (روز)]]*Main[[#This Row],[مانده در خط کل (کیلوگرم)]]</f>
        <v>20536</v>
      </c>
      <c r="X1662" s="6">
        <f ca="1">-SUBTOTAL(9,INDEX(Main[مقدار تسویه شده (کیلوگرم)],1):Main[[#This Row],[مقدار تسویه شده (کیلوگرم)]])</f>
        <v>20536</v>
      </c>
      <c r="Y1662" s="6">
        <f ca="1">IF(Main[[#This Row],[مانده در خط تسویه شده (کیلوگرم)]]&lt;&gt;0,Main[[#This Row],[تعداد کل روزهای بدهکار (روز)]],0)</f>
        <v>1</v>
      </c>
      <c r="Z1662" s="6">
        <f ca="1">Main[[#This Row],[تعداد روزهای بدهکار تسویه شده (روز)]]*Main[[#This Row],[مانده در خط تسویه شده (کیلوگرم)]]</f>
        <v>20536</v>
      </c>
      <c r="AA1662" s="6">
        <f ca="1">SUBTOTAL(9,INDEX(Main[بدهی تسویه نشده (کیلوگرم)],1):Main[[#This Row],[بدهی تسویه نشده (کیلوگرم)]])</f>
        <v>0</v>
      </c>
      <c r="AB1662" s="6">
        <f ca="1">IF(Main[[#This Row],[مانده در خط تسویه نشده (کیلوگرم)]]&lt;&gt;0,Main[[#This Row],[تعداد کل روزهای بدهکار (روز)]],0)</f>
        <v>0</v>
      </c>
      <c r="AC1662" s="6">
        <f ca="1">Main[[#This Row],[تعداد روزهای بدهکار  تسویه نشده (روز)]]*Main[[#This Row],[مانده در خط تسویه نشده (کیلوگرم)]]</f>
        <v>0</v>
      </c>
      <c r="AD1662" s="6">
        <f ca="1">SUBTOTAL(9,INDEX(Main[بدهی سررسید شده (کیلوگرم)],1):Main[[#This Row],[بدهی سررسید شده (کیلوگرم)]])</f>
        <v>0</v>
      </c>
      <c r="AE1662" s="6">
        <f ca="1">IF(Main[[#This Row],[مانده در خط سررسید شده (کیلوگرم)]]&lt;&gt;0,Main[[#This Row],[تعداد کل روزهای بدهکار (روز)]],0)</f>
        <v>0</v>
      </c>
      <c r="AF1662" s="6">
        <f ca="1">Main[[#This Row],[تعداد روزهای بدهکار سررسید شده (روز)]]*Main[[#This Row],[مانده در خط سررسید شده (کیلوگرم)]]</f>
        <v>0</v>
      </c>
    </row>
    <row r="1663" spans="1:32" hidden="1" x14ac:dyDescent="0.35">
      <c r="A1663" s="5">
        <f>ROW()-ROW(INDEX(Main[ردیف],1))+1</f>
        <v>1661</v>
      </c>
      <c r="B1663" s="31">
        <f>SUBTOTAL(2,INDEX(Main[ردیف],1):Main[[#This Row],[ردیف]])</f>
        <v>150</v>
      </c>
      <c r="C1663" s="32" t="s">
        <v>706</v>
      </c>
      <c r="D1663" s="32" t="str">
        <f>_xlfn.CONCAT("14",Main[[#This Row],[تاريخ]])</f>
        <v>1400/06/30</v>
      </c>
      <c r="E1663" s="33">
        <v>44460</v>
      </c>
      <c r="F1663" s="32">
        <v>10009</v>
      </c>
      <c r="G1663" s="5" t="str">
        <f>INDEX(customer[عنوان],MATCH(Main[[#This Row],[کد ردیابی]],customer[کد],0))</f>
        <v>محمد نمازی</v>
      </c>
      <c r="H1663">
        <v>132</v>
      </c>
      <c r="I1663" s="6">
        <f ca="1">-Main[[#This Row],[بدهی تسویه شده (کیلوگرم)]]+Main[[#This Row],[بستانکار (کیلوگرم)]]</f>
        <v>132</v>
      </c>
      <c r="J1663" s="6">
        <f>IF(Main[[#This Row],[مقدار (کیلوگرم)]]&gt;0,Main[[#This Row],[مقدار (کیلوگرم)]],0)</f>
        <v>132</v>
      </c>
      <c r="K1663" s="6">
        <f>-IF(Main[[#This Row],[مقدار (کیلوگرم)]]&lt;0,Main[[#This Row],[مقدار (کیلوگرم)]],0)</f>
        <v>0</v>
      </c>
      <c r="L16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3" s="7">
        <f>-IF(AND(Main[[#This Row],[مقدار (کیلوگرم)]]&lt;0,Main[[#This Row],[تاريخ میلادی]]&gt;44276),Main[[#This Row],[مقدار (کیلوگرم)]],0)</f>
        <v>0</v>
      </c>
      <c r="N1663" s="6">
        <f ca="1">Main[[#This Row],[بدهکار (کیلوگرم)]]-Main[[#This Row],[بدهی تسویه نشده (کیلوگرم)]]</f>
        <v>0</v>
      </c>
      <c r="O1663" s="6">
        <f ca="1">Main[[#This Row],[تفکیک]]</f>
        <v>0</v>
      </c>
      <c r="P1663" s="6">
        <f ca="1">IF(Main[[#This Row],[تاخیر از سررسید]]&gt;0,Main[[#This Row],[بدهی تسویه نشده (کیلوگرم)]],0)</f>
        <v>0</v>
      </c>
      <c r="Q1663" s="6">
        <f ca="1">IF(Main[[#This Row],[بدهی تسویه نشده (کیلوگرم)]]&gt;0,'گزارش فردی'!$B$7-Main[[#This Row],[تاريخ میلادی]],0)</f>
        <v>0</v>
      </c>
      <c r="R1663" s="6">
        <f ca="1">IF(Main[[#This Row],[بدهی تسویه نشده (کیلوگرم)]]&gt;0,'گزارش فردی'!$B$7-Main[[#This Row],[تاريخ میلادی]]-'گزارش فردی'!$B$8,0)</f>
        <v>0</v>
      </c>
      <c r="S1663" s="6">
        <f ca="1">Main[[#This Row],[روز از ارسال سفارش]]*Main[[#This Row],[بدهی تسویه نشده (کیلوگرم)]]</f>
        <v>0</v>
      </c>
      <c r="T1663" s="6">
        <f ca="1">Main[[#This Row],[بدهی سررسید شده (کیلوگرم)]]*Main[[#This Row],[روز از ارسال سفارش]]</f>
        <v>0</v>
      </c>
      <c r="U1663" s="6">
        <f>-SUBTOTAL(9,INDEX(Main[مقدار (کیلوگرم)],1):Main[[#This Row],[مقدار (کیلوگرم)]])</f>
        <v>20536</v>
      </c>
      <c r="V16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3" s="6">
        <f>Main[[#This Row],[تعداد کل روزهای بدهکار (روز)]]*Main[[#This Row],[مانده در خط کل (کیلوگرم)]]</f>
        <v>20536</v>
      </c>
      <c r="X1663" s="6">
        <f ca="1">-SUBTOTAL(9,INDEX(Main[مقدار تسویه شده (کیلوگرم)],1):Main[[#This Row],[مقدار تسویه شده (کیلوگرم)]])</f>
        <v>20536</v>
      </c>
      <c r="Y1663" s="6">
        <f ca="1">IF(Main[[#This Row],[مانده در خط تسویه شده (کیلوگرم)]]&lt;&gt;0,Main[[#This Row],[تعداد کل روزهای بدهکار (روز)]],0)</f>
        <v>1</v>
      </c>
      <c r="Z1663" s="6">
        <f ca="1">Main[[#This Row],[تعداد روزهای بدهکار تسویه شده (روز)]]*Main[[#This Row],[مانده در خط تسویه شده (کیلوگرم)]]</f>
        <v>20536</v>
      </c>
      <c r="AA1663" s="6">
        <f ca="1">SUBTOTAL(9,INDEX(Main[بدهی تسویه نشده (کیلوگرم)],1):Main[[#This Row],[بدهی تسویه نشده (کیلوگرم)]])</f>
        <v>0</v>
      </c>
      <c r="AB1663" s="6">
        <f ca="1">IF(Main[[#This Row],[مانده در خط تسویه نشده (کیلوگرم)]]&lt;&gt;0,Main[[#This Row],[تعداد کل روزهای بدهکار (روز)]],0)</f>
        <v>0</v>
      </c>
      <c r="AC1663" s="6">
        <f ca="1">Main[[#This Row],[تعداد روزهای بدهکار  تسویه نشده (روز)]]*Main[[#This Row],[مانده در خط تسویه نشده (کیلوگرم)]]</f>
        <v>0</v>
      </c>
      <c r="AD1663" s="6">
        <f ca="1">SUBTOTAL(9,INDEX(Main[بدهی سررسید شده (کیلوگرم)],1):Main[[#This Row],[بدهی سررسید شده (کیلوگرم)]])</f>
        <v>0</v>
      </c>
      <c r="AE1663" s="6">
        <f ca="1">IF(Main[[#This Row],[مانده در خط سررسید شده (کیلوگرم)]]&lt;&gt;0,Main[[#This Row],[تعداد کل روزهای بدهکار (روز)]],0)</f>
        <v>0</v>
      </c>
      <c r="AF1663" s="6">
        <f ca="1">Main[[#This Row],[تعداد روزهای بدهکار سررسید شده (روز)]]*Main[[#This Row],[مانده در خط سررسید شده (کیلوگرم)]]</f>
        <v>0</v>
      </c>
    </row>
    <row r="1664" spans="1:32" hidden="1" x14ac:dyDescent="0.35">
      <c r="A1664" s="5">
        <f>ROW()-ROW(INDEX(Main[ردیف],1))+1</f>
        <v>1662</v>
      </c>
      <c r="B1664" s="31">
        <f>SUBTOTAL(2,INDEX(Main[ردیف],1):Main[[#This Row],[ردیف]])</f>
        <v>150</v>
      </c>
      <c r="C1664" s="32" t="s">
        <v>706</v>
      </c>
      <c r="D1664" s="32" t="str">
        <f>_xlfn.CONCAT("14",Main[[#This Row],[تاريخ]])</f>
        <v>1400/06/30</v>
      </c>
      <c r="E1664" s="33">
        <v>44460</v>
      </c>
      <c r="F1664" s="32">
        <v>10009</v>
      </c>
      <c r="G1664" s="5" t="str">
        <f>INDEX(customer[عنوان],MATCH(Main[[#This Row],[کد ردیابی]],customer[کد],0))</f>
        <v>محمد نمازی</v>
      </c>
      <c r="H1664">
        <v>1988</v>
      </c>
      <c r="I1664" s="6">
        <f ca="1">-Main[[#This Row],[بدهی تسویه شده (کیلوگرم)]]+Main[[#This Row],[بستانکار (کیلوگرم)]]</f>
        <v>1988</v>
      </c>
      <c r="J1664" s="6">
        <f>IF(Main[[#This Row],[مقدار (کیلوگرم)]]&gt;0,Main[[#This Row],[مقدار (کیلوگرم)]],0)</f>
        <v>1988</v>
      </c>
      <c r="K1664" s="6">
        <f>-IF(Main[[#This Row],[مقدار (کیلوگرم)]]&lt;0,Main[[#This Row],[مقدار (کیلوگرم)]],0)</f>
        <v>0</v>
      </c>
      <c r="L16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4" s="7">
        <f>-IF(AND(Main[[#This Row],[مقدار (کیلوگرم)]]&lt;0,Main[[#This Row],[تاريخ میلادی]]&gt;44276),Main[[#This Row],[مقدار (کیلوگرم)]],0)</f>
        <v>0</v>
      </c>
      <c r="N1664" s="6">
        <f ca="1">Main[[#This Row],[بدهکار (کیلوگرم)]]-Main[[#This Row],[بدهی تسویه نشده (کیلوگرم)]]</f>
        <v>0</v>
      </c>
      <c r="O1664" s="6">
        <f ca="1">Main[[#This Row],[تفکیک]]</f>
        <v>0</v>
      </c>
      <c r="P1664" s="6">
        <f ca="1">IF(Main[[#This Row],[تاخیر از سررسید]]&gt;0,Main[[#This Row],[بدهی تسویه نشده (کیلوگرم)]],0)</f>
        <v>0</v>
      </c>
      <c r="Q1664" s="6">
        <f ca="1">IF(Main[[#This Row],[بدهی تسویه نشده (کیلوگرم)]]&gt;0,'گزارش فردی'!$B$7-Main[[#This Row],[تاريخ میلادی]],0)</f>
        <v>0</v>
      </c>
      <c r="R1664" s="6">
        <f ca="1">IF(Main[[#This Row],[بدهی تسویه نشده (کیلوگرم)]]&gt;0,'گزارش فردی'!$B$7-Main[[#This Row],[تاريخ میلادی]]-'گزارش فردی'!$B$8,0)</f>
        <v>0</v>
      </c>
      <c r="S1664" s="6">
        <f ca="1">Main[[#This Row],[روز از ارسال سفارش]]*Main[[#This Row],[بدهی تسویه نشده (کیلوگرم)]]</f>
        <v>0</v>
      </c>
      <c r="T1664" s="6">
        <f ca="1">Main[[#This Row],[بدهی سررسید شده (کیلوگرم)]]*Main[[#This Row],[روز از ارسال سفارش]]</f>
        <v>0</v>
      </c>
      <c r="U1664" s="6">
        <f>-SUBTOTAL(9,INDEX(Main[مقدار (کیلوگرم)],1):Main[[#This Row],[مقدار (کیلوگرم)]])</f>
        <v>20536</v>
      </c>
      <c r="V16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4" s="6">
        <f>Main[[#This Row],[تعداد کل روزهای بدهکار (روز)]]*Main[[#This Row],[مانده در خط کل (کیلوگرم)]]</f>
        <v>20536</v>
      </c>
      <c r="X1664" s="6">
        <f ca="1">-SUBTOTAL(9,INDEX(Main[مقدار تسویه شده (کیلوگرم)],1):Main[[#This Row],[مقدار تسویه شده (کیلوگرم)]])</f>
        <v>20536</v>
      </c>
      <c r="Y1664" s="6">
        <f ca="1">IF(Main[[#This Row],[مانده در خط تسویه شده (کیلوگرم)]]&lt;&gt;0,Main[[#This Row],[تعداد کل روزهای بدهکار (روز)]],0)</f>
        <v>1</v>
      </c>
      <c r="Z1664" s="6">
        <f ca="1">Main[[#This Row],[تعداد روزهای بدهکار تسویه شده (روز)]]*Main[[#This Row],[مانده در خط تسویه شده (کیلوگرم)]]</f>
        <v>20536</v>
      </c>
      <c r="AA1664" s="6">
        <f ca="1">SUBTOTAL(9,INDEX(Main[بدهی تسویه نشده (کیلوگرم)],1):Main[[#This Row],[بدهی تسویه نشده (کیلوگرم)]])</f>
        <v>0</v>
      </c>
      <c r="AB1664" s="6">
        <f ca="1">IF(Main[[#This Row],[مانده در خط تسویه نشده (کیلوگرم)]]&lt;&gt;0,Main[[#This Row],[تعداد کل روزهای بدهکار (روز)]],0)</f>
        <v>0</v>
      </c>
      <c r="AC1664" s="6">
        <f ca="1">Main[[#This Row],[تعداد روزهای بدهکار  تسویه نشده (روز)]]*Main[[#This Row],[مانده در خط تسویه نشده (کیلوگرم)]]</f>
        <v>0</v>
      </c>
      <c r="AD1664" s="6">
        <f ca="1">SUBTOTAL(9,INDEX(Main[بدهی سررسید شده (کیلوگرم)],1):Main[[#This Row],[بدهی سررسید شده (کیلوگرم)]])</f>
        <v>0</v>
      </c>
      <c r="AE1664" s="6">
        <f ca="1">IF(Main[[#This Row],[مانده در خط سررسید شده (کیلوگرم)]]&lt;&gt;0,Main[[#This Row],[تعداد کل روزهای بدهکار (روز)]],0)</f>
        <v>0</v>
      </c>
      <c r="AF1664" s="6">
        <f ca="1">Main[[#This Row],[تعداد روزهای بدهکار سررسید شده (روز)]]*Main[[#This Row],[مانده در خط سررسید شده (کیلوگرم)]]</f>
        <v>0</v>
      </c>
    </row>
    <row r="1665" spans="1:32" hidden="1" x14ac:dyDescent="0.35">
      <c r="A1665" s="5">
        <f>ROW()-ROW(INDEX(Main[ردیف],1))+1</f>
        <v>1663</v>
      </c>
      <c r="B1665" s="31">
        <f>SUBTOTAL(2,INDEX(Main[ردیف],1):Main[[#This Row],[ردیف]])</f>
        <v>150</v>
      </c>
      <c r="C1665" s="32" t="s">
        <v>706</v>
      </c>
      <c r="D1665" s="32" t="str">
        <f>_xlfn.CONCAT("14",Main[[#This Row],[تاريخ]])</f>
        <v>1400/06/30</v>
      </c>
      <c r="E1665" s="33">
        <v>44460</v>
      </c>
      <c r="F1665" s="32">
        <v>30070</v>
      </c>
      <c r="G1665" s="5" t="str">
        <f>INDEX(customer[عنوان],MATCH(Main[[#This Row],[کد ردیابی]],customer[کد],0))</f>
        <v xml:space="preserve">تکنو تراش یادگار </v>
      </c>
      <c r="H1665">
        <v>792</v>
      </c>
      <c r="I1665" s="6">
        <f ca="1">-Main[[#This Row],[بدهی تسویه شده (کیلوگرم)]]+Main[[#This Row],[بستانکار (کیلوگرم)]]</f>
        <v>792</v>
      </c>
      <c r="J1665" s="6">
        <f>IF(Main[[#This Row],[مقدار (کیلوگرم)]]&gt;0,Main[[#This Row],[مقدار (کیلوگرم)]],0)</f>
        <v>792</v>
      </c>
      <c r="K1665" s="6">
        <f>-IF(Main[[#This Row],[مقدار (کیلوگرم)]]&lt;0,Main[[#This Row],[مقدار (کیلوگرم)]],0)</f>
        <v>0</v>
      </c>
      <c r="L16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5" s="7">
        <f>-IF(AND(Main[[#This Row],[مقدار (کیلوگرم)]]&lt;0,Main[[#This Row],[تاريخ میلادی]]&gt;44276),Main[[#This Row],[مقدار (کیلوگرم)]],0)</f>
        <v>0</v>
      </c>
      <c r="N1665" s="6">
        <f ca="1">Main[[#This Row],[بدهکار (کیلوگرم)]]-Main[[#This Row],[بدهی تسویه نشده (کیلوگرم)]]</f>
        <v>0</v>
      </c>
      <c r="O1665" s="6">
        <f ca="1">Main[[#This Row],[تفکیک]]</f>
        <v>0</v>
      </c>
      <c r="P1665" s="6">
        <f ca="1">IF(Main[[#This Row],[تاخیر از سررسید]]&gt;0,Main[[#This Row],[بدهی تسویه نشده (کیلوگرم)]],0)</f>
        <v>0</v>
      </c>
      <c r="Q1665" s="6">
        <f ca="1">IF(Main[[#This Row],[بدهی تسویه نشده (کیلوگرم)]]&gt;0,'گزارش فردی'!$B$7-Main[[#This Row],[تاريخ میلادی]],0)</f>
        <v>0</v>
      </c>
      <c r="R1665" s="6">
        <f ca="1">IF(Main[[#This Row],[بدهی تسویه نشده (کیلوگرم)]]&gt;0,'گزارش فردی'!$B$7-Main[[#This Row],[تاريخ میلادی]]-'گزارش فردی'!$B$8,0)</f>
        <v>0</v>
      </c>
      <c r="S1665" s="6">
        <f ca="1">Main[[#This Row],[روز از ارسال سفارش]]*Main[[#This Row],[بدهی تسویه نشده (کیلوگرم)]]</f>
        <v>0</v>
      </c>
      <c r="T1665" s="6">
        <f ca="1">Main[[#This Row],[بدهی سررسید شده (کیلوگرم)]]*Main[[#This Row],[روز از ارسال سفارش]]</f>
        <v>0</v>
      </c>
      <c r="U1665" s="6">
        <f>-SUBTOTAL(9,INDEX(Main[مقدار (کیلوگرم)],1):Main[[#This Row],[مقدار (کیلوگرم)]])</f>
        <v>20536</v>
      </c>
      <c r="V16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5" s="6">
        <f>Main[[#This Row],[تعداد کل روزهای بدهکار (روز)]]*Main[[#This Row],[مانده در خط کل (کیلوگرم)]]</f>
        <v>20536</v>
      </c>
      <c r="X1665" s="6">
        <f ca="1">-SUBTOTAL(9,INDEX(Main[مقدار تسویه شده (کیلوگرم)],1):Main[[#This Row],[مقدار تسویه شده (کیلوگرم)]])</f>
        <v>20536</v>
      </c>
      <c r="Y1665" s="6">
        <f ca="1">IF(Main[[#This Row],[مانده در خط تسویه شده (کیلوگرم)]]&lt;&gt;0,Main[[#This Row],[تعداد کل روزهای بدهکار (روز)]],0)</f>
        <v>1</v>
      </c>
      <c r="Z1665" s="6">
        <f ca="1">Main[[#This Row],[تعداد روزهای بدهکار تسویه شده (روز)]]*Main[[#This Row],[مانده در خط تسویه شده (کیلوگرم)]]</f>
        <v>20536</v>
      </c>
      <c r="AA1665" s="6">
        <f ca="1">SUBTOTAL(9,INDEX(Main[بدهی تسویه نشده (کیلوگرم)],1):Main[[#This Row],[بدهی تسویه نشده (کیلوگرم)]])</f>
        <v>0</v>
      </c>
      <c r="AB1665" s="6">
        <f ca="1">IF(Main[[#This Row],[مانده در خط تسویه نشده (کیلوگرم)]]&lt;&gt;0,Main[[#This Row],[تعداد کل روزهای بدهکار (روز)]],0)</f>
        <v>0</v>
      </c>
      <c r="AC1665" s="6">
        <f ca="1">Main[[#This Row],[تعداد روزهای بدهکار  تسویه نشده (روز)]]*Main[[#This Row],[مانده در خط تسویه نشده (کیلوگرم)]]</f>
        <v>0</v>
      </c>
      <c r="AD1665" s="6">
        <f ca="1">SUBTOTAL(9,INDEX(Main[بدهی سررسید شده (کیلوگرم)],1):Main[[#This Row],[بدهی سررسید شده (کیلوگرم)]])</f>
        <v>0</v>
      </c>
      <c r="AE1665" s="6">
        <f ca="1">IF(Main[[#This Row],[مانده در خط سررسید شده (کیلوگرم)]]&lt;&gt;0,Main[[#This Row],[تعداد کل روزهای بدهکار (روز)]],0)</f>
        <v>0</v>
      </c>
      <c r="AF1665" s="6">
        <f ca="1">Main[[#This Row],[تعداد روزهای بدهکار سررسید شده (روز)]]*Main[[#This Row],[مانده در خط سررسید شده (کیلوگرم)]]</f>
        <v>0</v>
      </c>
    </row>
    <row r="1666" spans="1:32" hidden="1" x14ac:dyDescent="0.35">
      <c r="A1666" s="5">
        <f>ROW()-ROW(INDEX(Main[ردیف],1))+1</f>
        <v>1664</v>
      </c>
      <c r="B1666" s="31">
        <f>SUBTOTAL(2,INDEX(Main[ردیف],1):Main[[#This Row],[ردیف]])</f>
        <v>150</v>
      </c>
      <c r="C1666" s="32" t="s">
        <v>706</v>
      </c>
      <c r="D1666" s="32" t="str">
        <f>_xlfn.CONCAT("14",Main[[#This Row],[تاريخ]])</f>
        <v>1400/06/30</v>
      </c>
      <c r="E1666" s="33">
        <v>44460</v>
      </c>
      <c r="F1666" s="32">
        <v>30009</v>
      </c>
      <c r="G1666" s="5" t="str">
        <f>INDEX(customer[عنوان],MATCH(Main[[#This Row],[کد ردیابی]],customer[کد],0))</f>
        <v>شرکت ایمن تک پیشرو</v>
      </c>
      <c r="H1666">
        <v>2046</v>
      </c>
      <c r="I1666" s="6">
        <f ca="1">-Main[[#This Row],[بدهی تسویه شده (کیلوگرم)]]+Main[[#This Row],[بستانکار (کیلوگرم)]]</f>
        <v>2046</v>
      </c>
      <c r="J1666" s="6">
        <f>IF(Main[[#This Row],[مقدار (کیلوگرم)]]&gt;0,Main[[#This Row],[مقدار (کیلوگرم)]],0)</f>
        <v>2046</v>
      </c>
      <c r="K1666" s="6">
        <f>-IF(Main[[#This Row],[مقدار (کیلوگرم)]]&lt;0,Main[[#This Row],[مقدار (کیلوگرم)]],0)</f>
        <v>0</v>
      </c>
      <c r="L16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6" s="7">
        <f>-IF(AND(Main[[#This Row],[مقدار (کیلوگرم)]]&lt;0,Main[[#This Row],[تاريخ میلادی]]&gt;44276),Main[[#This Row],[مقدار (کیلوگرم)]],0)</f>
        <v>0</v>
      </c>
      <c r="N1666" s="6">
        <f ca="1">Main[[#This Row],[بدهکار (کیلوگرم)]]-Main[[#This Row],[بدهی تسویه نشده (کیلوگرم)]]</f>
        <v>0</v>
      </c>
      <c r="O1666" s="6">
        <f ca="1">Main[[#This Row],[تفکیک]]</f>
        <v>0</v>
      </c>
      <c r="P1666" s="6">
        <f ca="1">IF(Main[[#This Row],[تاخیر از سررسید]]&gt;0,Main[[#This Row],[بدهی تسویه نشده (کیلوگرم)]],0)</f>
        <v>0</v>
      </c>
      <c r="Q1666" s="6">
        <f ca="1">IF(Main[[#This Row],[بدهی تسویه نشده (کیلوگرم)]]&gt;0,'گزارش فردی'!$B$7-Main[[#This Row],[تاريخ میلادی]],0)</f>
        <v>0</v>
      </c>
      <c r="R1666" s="6">
        <f ca="1">IF(Main[[#This Row],[بدهی تسویه نشده (کیلوگرم)]]&gt;0,'گزارش فردی'!$B$7-Main[[#This Row],[تاريخ میلادی]]-'گزارش فردی'!$B$8,0)</f>
        <v>0</v>
      </c>
      <c r="S1666" s="6">
        <f ca="1">Main[[#This Row],[روز از ارسال سفارش]]*Main[[#This Row],[بدهی تسویه نشده (کیلوگرم)]]</f>
        <v>0</v>
      </c>
      <c r="T1666" s="6">
        <f ca="1">Main[[#This Row],[بدهی سررسید شده (کیلوگرم)]]*Main[[#This Row],[روز از ارسال سفارش]]</f>
        <v>0</v>
      </c>
      <c r="U1666" s="6">
        <f>-SUBTOTAL(9,INDEX(Main[مقدار (کیلوگرم)],1):Main[[#This Row],[مقدار (کیلوگرم)]])</f>
        <v>20536</v>
      </c>
      <c r="V16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6" s="6">
        <f>Main[[#This Row],[تعداد کل روزهای بدهکار (روز)]]*Main[[#This Row],[مانده در خط کل (کیلوگرم)]]</f>
        <v>20536</v>
      </c>
      <c r="X1666" s="6">
        <f ca="1">-SUBTOTAL(9,INDEX(Main[مقدار تسویه شده (کیلوگرم)],1):Main[[#This Row],[مقدار تسویه شده (کیلوگرم)]])</f>
        <v>20536</v>
      </c>
      <c r="Y1666" s="6">
        <f ca="1">IF(Main[[#This Row],[مانده در خط تسویه شده (کیلوگرم)]]&lt;&gt;0,Main[[#This Row],[تعداد کل روزهای بدهکار (روز)]],0)</f>
        <v>1</v>
      </c>
      <c r="Z1666" s="6">
        <f ca="1">Main[[#This Row],[تعداد روزهای بدهکار تسویه شده (روز)]]*Main[[#This Row],[مانده در خط تسویه شده (کیلوگرم)]]</f>
        <v>20536</v>
      </c>
      <c r="AA1666" s="6">
        <f ca="1">SUBTOTAL(9,INDEX(Main[بدهی تسویه نشده (کیلوگرم)],1):Main[[#This Row],[بدهی تسویه نشده (کیلوگرم)]])</f>
        <v>0</v>
      </c>
      <c r="AB1666" s="6">
        <f ca="1">IF(Main[[#This Row],[مانده در خط تسویه نشده (کیلوگرم)]]&lt;&gt;0,Main[[#This Row],[تعداد کل روزهای بدهکار (روز)]],0)</f>
        <v>0</v>
      </c>
      <c r="AC1666" s="6">
        <f ca="1">Main[[#This Row],[تعداد روزهای بدهکار  تسویه نشده (روز)]]*Main[[#This Row],[مانده در خط تسویه نشده (کیلوگرم)]]</f>
        <v>0</v>
      </c>
      <c r="AD1666" s="6">
        <f ca="1">SUBTOTAL(9,INDEX(Main[بدهی سررسید شده (کیلوگرم)],1):Main[[#This Row],[بدهی سررسید شده (کیلوگرم)]])</f>
        <v>0</v>
      </c>
      <c r="AE1666" s="6">
        <f ca="1">IF(Main[[#This Row],[مانده در خط سررسید شده (کیلوگرم)]]&lt;&gt;0,Main[[#This Row],[تعداد کل روزهای بدهکار (روز)]],0)</f>
        <v>0</v>
      </c>
      <c r="AF1666" s="6">
        <f ca="1">Main[[#This Row],[تعداد روزهای بدهکار سررسید شده (روز)]]*Main[[#This Row],[مانده در خط سررسید شده (کیلوگرم)]]</f>
        <v>0</v>
      </c>
    </row>
    <row r="1667" spans="1:32" hidden="1" x14ac:dyDescent="0.35">
      <c r="A1667" s="5">
        <f>ROW()-ROW(INDEX(Main[ردیف],1))+1</f>
        <v>1665</v>
      </c>
      <c r="B1667" s="31">
        <f>SUBTOTAL(2,INDEX(Main[ردیف],1):Main[[#This Row],[ردیف]])</f>
        <v>150</v>
      </c>
      <c r="C1667" s="32" t="s">
        <v>706</v>
      </c>
      <c r="D1667" s="32" t="str">
        <f>_xlfn.CONCAT("14",Main[[#This Row],[تاريخ]])</f>
        <v>1400/06/30</v>
      </c>
      <c r="E1667" s="33">
        <v>44460</v>
      </c>
      <c r="F1667" s="32">
        <v>10026</v>
      </c>
      <c r="G1667" s="5" t="str">
        <f>INDEX(customer[عنوان],MATCH(Main[[#This Row],[کد ردیابی]],customer[کد],0))</f>
        <v xml:space="preserve">محسن فیاض بخش </v>
      </c>
      <c r="H1667">
        <v>2932</v>
      </c>
      <c r="I1667" s="6">
        <f ca="1">-Main[[#This Row],[بدهی تسویه شده (کیلوگرم)]]+Main[[#This Row],[بستانکار (کیلوگرم)]]</f>
        <v>2932</v>
      </c>
      <c r="J1667" s="6">
        <f>IF(Main[[#This Row],[مقدار (کیلوگرم)]]&gt;0,Main[[#This Row],[مقدار (کیلوگرم)]],0)</f>
        <v>2932</v>
      </c>
      <c r="K1667" s="6">
        <f>-IF(Main[[#This Row],[مقدار (کیلوگرم)]]&lt;0,Main[[#This Row],[مقدار (کیلوگرم)]],0)</f>
        <v>0</v>
      </c>
      <c r="L16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7" s="7">
        <f>-IF(AND(Main[[#This Row],[مقدار (کیلوگرم)]]&lt;0,Main[[#This Row],[تاريخ میلادی]]&gt;44276),Main[[#This Row],[مقدار (کیلوگرم)]],0)</f>
        <v>0</v>
      </c>
      <c r="N1667" s="6">
        <f ca="1">Main[[#This Row],[بدهکار (کیلوگرم)]]-Main[[#This Row],[بدهی تسویه نشده (کیلوگرم)]]</f>
        <v>0</v>
      </c>
      <c r="O1667" s="6">
        <f ca="1">Main[[#This Row],[تفکیک]]</f>
        <v>0</v>
      </c>
      <c r="P1667" s="6">
        <f ca="1">IF(Main[[#This Row],[تاخیر از سررسید]]&gt;0,Main[[#This Row],[بدهی تسویه نشده (کیلوگرم)]],0)</f>
        <v>0</v>
      </c>
      <c r="Q1667" s="6">
        <f ca="1">IF(Main[[#This Row],[بدهی تسویه نشده (کیلوگرم)]]&gt;0,'گزارش فردی'!$B$7-Main[[#This Row],[تاريخ میلادی]],0)</f>
        <v>0</v>
      </c>
      <c r="R1667" s="6">
        <f ca="1">IF(Main[[#This Row],[بدهی تسویه نشده (کیلوگرم)]]&gt;0,'گزارش فردی'!$B$7-Main[[#This Row],[تاريخ میلادی]]-'گزارش فردی'!$B$8,0)</f>
        <v>0</v>
      </c>
      <c r="S1667" s="6">
        <f ca="1">Main[[#This Row],[روز از ارسال سفارش]]*Main[[#This Row],[بدهی تسویه نشده (کیلوگرم)]]</f>
        <v>0</v>
      </c>
      <c r="T1667" s="6">
        <f ca="1">Main[[#This Row],[بدهی سررسید شده (کیلوگرم)]]*Main[[#This Row],[روز از ارسال سفارش]]</f>
        <v>0</v>
      </c>
      <c r="U1667" s="6">
        <f>-SUBTOTAL(9,INDEX(Main[مقدار (کیلوگرم)],1):Main[[#This Row],[مقدار (کیلوگرم)]])</f>
        <v>20536</v>
      </c>
      <c r="V16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7" s="6">
        <f>Main[[#This Row],[تعداد کل روزهای بدهکار (روز)]]*Main[[#This Row],[مانده در خط کل (کیلوگرم)]]</f>
        <v>20536</v>
      </c>
      <c r="X1667" s="6">
        <f ca="1">-SUBTOTAL(9,INDEX(Main[مقدار تسویه شده (کیلوگرم)],1):Main[[#This Row],[مقدار تسویه شده (کیلوگرم)]])</f>
        <v>20536</v>
      </c>
      <c r="Y1667" s="6">
        <f ca="1">IF(Main[[#This Row],[مانده در خط تسویه شده (کیلوگرم)]]&lt;&gt;0,Main[[#This Row],[تعداد کل روزهای بدهکار (روز)]],0)</f>
        <v>1</v>
      </c>
      <c r="Z1667" s="6">
        <f ca="1">Main[[#This Row],[تعداد روزهای بدهکار تسویه شده (روز)]]*Main[[#This Row],[مانده در خط تسویه شده (کیلوگرم)]]</f>
        <v>20536</v>
      </c>
      <c r="AA1667" s="6">
        <f ca="1">SUBTOTAL(9,INDEX(Main[بدهی تسویه نشده (کیلوگرم)],1):Main[[#This Row],[بدهی تسویه نشده (کیلوگرم)]])</f>
        <v>0</v>
      </c>
      <c r="AB1667" s="6">
        <f ca="1">IF(Main[[#This Row],[مانده در خط تسویه نشده (کیلوگرم)]]&lt;&gt;0,Main[[#This Row],[تعداد کل روزهای بدهکار (روز)]],0)</f>
        <v>0</v>
      </c>
      <c r="AC1667" s="6">
        <f ca="1">Main[[#This Row],[تعداد روزهای بدهکار  تسویه نشده (روز)]]*Main[[#This Row],[مانده در خط تسویه نشده (کیلوگرم)]]</f>
        <v>0</v>
      </c>
      <c r="AD1667" s="6">
        <f ca="1">SUBTOTAL(9,INDEX(Main[بدهی سررسید شده (کیلوگرم)],1):Main[[#This Row],[بدهی سررسید شده (کیلوگرم)]])</f>
        <v>0</v>
      </c>
      <c r="AE1667" s="6">
        <f ca="1">IF(Main[[#This Row],[مانده در خط سررسید شده (کیلوگرم)]]&lt;&gt;0,Main[[#This Row],[تعداد کل روزهای بدهکار (روز)]],0)</f>
        <v>0</v>
      </c>
      <c r="AF1667" s="6">
        <f ca="1">Main[[#This Row],[تعداد روزهای بدهکار سررسید شده (روز)]]*Main[[#This Row],[مانده در خط سررسید شده (کیلوگرم)]]</f>
        <v>0</v>
      </c>
    </row>
    <row r="1668" spans="1:32" hidden="1" x14ac:dyDescent="0.35">
      <c r="A1668" s="5">
        <f>ROW()-ROW(INDEX(Main[ردیف],1))+1</f>
        <v>1666</v>
      </c>
      <c r="B1668" s="31">
        <f>SUBTOTAL(2,INDEX(Main[ردیف],1):Main[[#This Row],[ردیف]])</f>
        <v>150</v>
      </c>
      <c r="C1668" s="32" t="s">
        <v>706</v>
      </c>
      <c r="D1668" s="32" t="str">
        <f>_xlfn.CONCAT("14",Main[[#This Row],[تاريخ]])</f>
        <v>1400/06/30</v>
      </c>
      <c r="E1668" s="33">
        <v>44460</v>
      </c>
      <c r="F1668" s="32">
        <v>30070</v>
      </c>
      <c r="G1668" s="5" t="str">
        <f>INDEX(customer[عنوان],MATCH(Main[[#This Row],[کد ردیابی]],customer[کد],0))</f>
        <v xml:space="preserve">تکنو تراش یادگار </v>
      </c>
      <c r="H1668">
        <v>1614</v>
      </c>
      <c r="I1668" s="6">
        <f ca="1">-Main[[#This Row],[بدهی تسویه شده (کیلوگرم)]]+Main[[#This Row],[بستانکار (کیلوگرم)]]</f>
        <v>1614</v>
      </c>
      <c r="J1668" s="6">
        <f>IF(Main[[#This Row],[مقدار (کیلوگرم)]]&gt;0,Main[[#This Row],[مقدار (کیلوگرم)]],0)</f>
        <v>1614</v>
      </c>
      <c r="K1668" s="6">
        <f>-IF(Main[[#This Row],[مقدار (کیلوگرم)]]&lt;0,Main[[#This Row],[مقدار (کیلوگرم)]],0)</f>
        <v>0</v>
      </c>
      <c r="L16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8" s="7">
        <f>-IF(AND(Main[[#This Row],[مقدار (کیلوگرم)]]&lt;0,Main[[#This Row],[تاريخ میلادی]]&gt;44276),Main[[#This Row],[مقدار (کیلوگرم)]],0)</f>
        <v>0</v>
      </c>
      <c r="N1668" s="6">
        <f ca="1">Main[[#This Row],[بدهکار (کیلوگرم)]]-Main[[#This Row],[بدهی تسویه نشده (کیلوگرم)]]</f>
        <v>0</v>
      </c>
      <c r="O1668" s="6">
        <f ca="1">Main[[#This Row],[تفکیک]]</f>
        <v>0</v>
      </c>
      <c r="P1668" s="6">
        <f ca="1">IF(Main[[#This Row],[تاخیر از سررسید]]&gt;0,Main[[#This Row],[بدهی تسویه نشده (کیلوگرم)]],0)</f>
        <v>0</v>
      </c>
      <c r="Q1668" s="6">
        <f ca="1">IF(Main[[#This Row],[بدهی تسویه نشده (کیلوگرم)]]&gt;0,'گزارش فردی'!$B$7-Main[[#This Row],[تاريخ میلادی]],0)</f>
        <v>0</v>
      </c>
      <c r="R1668" s="6">
        <f ca="1">IF(Main[[#This Row],[بدهی تسویه نشده (کیلوگرم)]]&gt;0,'گزارش فردی'!$B$7-Main[[#This Row],[تاريخ میلادی]]-'گزارش فردی'!$B$8,0)</f>
        <v>0</v>
      </c>
      <c r="S1668" s="6">
        <f ca="1">Main[[#This Row],[روز از ارسال سفارش]]*Main[[#This Row],[بدهی تسویه نشده (کیلوگرم)]]</f>
        <v>0</v>
      </c>
      <c r="T1668" s="6">
        <f ca="1">Main[[#This Row],[بدهی سررسید شده (کیلوگرم)]]*Main[[#This Row],[روز از ارسال سفارش]]</f>
        <v>0</v>
      </c>
      <c r="U1668" s="6">
        <f>-SUBTOTAL(9,INDEX(Main[مقدار (کیلوگرم)],1):Main[[#This Row],[مقدار (کیلوگرم)]])</f>
        <v>20536</v>
      </c>
      <c r="V16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8" s="6">
        <f>Main[[#This Row],[تعداد کل روزهای بدهکار (روز)]]*Main[[#This Row],[مانده در خط کل (کیلوگرم)]]</f>
        <v>20536</v>
      </c>
      <c r="X1668" s="6">
        <f ca="1">-SUBTOTAL(9,INDEX(Main[مقدار تسویه شده (کیلوگرم)],1):Main[[#This Row],[مقدار تسویه شده (کیلوگرم)]])</f>
        <v>20536</v>
      </c>
      <c r="Y1668" s="6">
        <f ca="1">IF(Main[[#This Row],[مانده در خط تسویه شده (کیلوگرم)]]&lt;&gt;0,Main[[#This Row],[تعداد کل روزهای بدهکار (روز)]],0)</f>
        <v>1</v>
      </c>
      <c r="Z1668" s="6">
        <f ca="1">Main[[#This Row],[تعداد روزهای بدهکار تسویه شده (روز)]]*Main[[#This Row],[مانده در خط تسویه شده (کیلوگرم)]]</f>
        <v>20536</v>
      </c>
      <c r="AA1668" s="6">
        <f ca="1">SUBTOTAL(9,INDEX(Main[بدهی تسویه نشده (کیلوگرم)],1):Main[[#This Row],[بدهی تسویه نشده (کیلوگرم)]])</f>
        <v>0</v>
      </c>
      <c r="AB1668" s="6">
        <f ca="1">IF(Main[[#This Row],[مانده در خط تسویه نشده (کیلوگرم)]]&lt;&gt;0,Main[[#This Row],[تعداد کل روزهای بدهکار (روز)]],0)</f>
        <v>0</v>
      </c>
      <c r="AC1668" s="6">
        <f ca="1">Main[[#This Row],[تعداد روزهای بدهکار  تسویه نشده (روز)]]*Main[[#This Row],[مانده در خط تسویه نشده (کیلوگرم)]]</f>
        <v>0</v>
      </c>
      <c r="AD1668" s="6">
        <f ca="1">SUBTOTAL(9,INDEX(Main[بدهی سررسید شده (کیلوگرم)],1):Main[[#This Row],[بدهی سررسید شده (کیلوگرم)]])</f>
        <v>0</v>
      </c>
      <c r="AE1668" s="6">
        <f ca="1">IF(Main[[#This Row],[مانده در خط سررسید شده (کیلوگرم)]]&lt;&gt;0,Main[[#This Row],[تعداد کل روزهای بدهکار (روز)]],0)</f>
        <v>0</v>
      </c>
      <c r="AF1668" s="6">
        <f ca="1">Main[[#This Row],[تعداد روزهای بدهکار سررسید شده (روز)]]*Main[[#This Row],[مانده در خط سررسید شده (کیلوگرم)]]</f>
        <v>0</v>
      </c>
    </row>
    <row r="1669" spans="1:32" hidden="1" x14ac:dyDescent="0.35">
      <c r="A1669" s="5">
        <f>ROW()-ROW(INDEX(Main[ردیف],1))+1</f>
        <v>1667</v>
      </c>
      <c r="B1669" s="31">
        <f>SUBTOTAL(2,INDEX(Main[ردیف],1):Main[[#This Row],[ردیف]])</f>
        <v>150</v>
      </c>
      <c r="C1669" s="32" t="s">
        <v>706</v>
      </c>
      <c r="D1669" s="32" t="str">
        <f>_xlfn.CONCAT("14",Main[[#This Row],[تاريخ]])</f>
        <v>1400/06/30</v>
      </c>
      <c r="E1669" s="33">
        <v>44460</v>
      </c>
      <c r="F1669" s="32">
        <v>30081</v>
      </c>
      <c r="G1669" s="5" t="str">
        <f>INDEX(customer[عنوان],MATCH(Main[[#This Row],[کد ردیابی]],customer[کد],0))</f>
        <v xml:space="preserve">شیرآلات بهداشتی راسان </v>
      </c>
      <c r="H1669">
        <v>2676</v>
      </c>
      <c r="I1669" s="6">
        <f ca="1">-Main[[#This Row],[بدهی تسویه شده (کیلوگرم)]]+Main[[#This Row],[بستانکار (کیلوگرم)]]</f>
        <v>2676</v>
      </c>
      <c r="J1669" s="6">
        <f>IF(Main[[#This Row],[مقدار (کیلوگرم)]]&gt;0,Main[[#This Row],[مقدار (کیلوگرم)]],0)</f>
        <v>2676</v>
      </c>
      <c r="K1669" s="6">
        <f>-IF(Main[[#This Row],[مقدار (کیلوگرم)]]&lt;0,Main[[#This Row],[مقدار (کیلوگرم)]],0)</f>
        <v>0</v>
      </c>
      <c r="L16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9" s="7">
        <f>-IF(AND(Main[[#This Row],[مقدار (کیلوگرم)]]&lt;0,Main[[#This Row],[تاريخ میلادی]]&gt;44276),Main[[#This Row],[مقدار (کیلوگرم)]],0)</f>
        <v>0</v>
      </c>
      <c r="N1669" s="6">
        <f ca="1">Main[[#This Row],[بدهکار (کیلوگرم)]]-Main[[#This Row],[بدهی تسویه نشده (کیلوگرم)]]</f>
        <v>0</v>
      </c>
      <c r="O1669" s="6">
        <f ca="1">Main[[#This Row],[تفکیک]]</f>
        <v>0</v>
      </c>
      <c r="P1669" s="6">
        <f ca="1">IF(Main[[#This Row],[تاخیر از سررسید]]&gt;0,Main[[#This Row],[بدهی تسویه نشده (کیلوگرم)]],0)</f>
        <v>0</v>
      </c>
      <c r="Q1669" s="6">
        <f ca="1">IF(Main[[#This Row],[بدهی تسویه نشده (کیلوگرم)]]&gt;0,'گزارش فردی'!$B$7-Main[[#This Row],[تاريخ میلادی]],0)</f>
        <v>0</v>
      </c>
      <c r="R1669" s="6">
        <f ca="1">IF(Main[[#This Row],[بدهی تسویه نشده (کیلوگرم)]]&gt;0,'گزارش فردی'!$B$7-Main[[#This Row],[تاريخ میلادی]]-'گزارش فردی'!$B$8,0)</f>
        <v>0</v>
      </c>
      <c r="S1669" s="6">
        <f ca="1">Main[[#This Row],[روز از ارسال سفارش]]*Main[[#This Row],[بدهی تسویه نشده (کیلوگرم)]]</f>
        <v>0</v>
      </c>
      <c r="T1669" s="6">
        <f ca="1">Main[[#This Row],[بدهی سررسید شده (کیلوگرم)]]*Main[[#This Row],[روز از ارسال سفارش]]</f>
        <v>0</v>
      </c>
      <c r="U1669" s="6">
        <f>-SUBTOTAL(9,INDEX(Main[مقدار (کیلوگرم)],1):Main[[#This Row],[مقدار (کیلوگرم)]])</f>
        <v>20536</v>
      </c>
      <c r="V16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9" s="6">
        <f>Main[[#This Row],[تعداد کل روزهای بدهکار (روز)]]*Main[[#This Row],[مانده در خط کل (کیلوگرم)]]</f>
        <v>20536</v>
      </c>
      <c r="X1669" s="6">
        <f ca="1">-SUBTOTAL(9,INDEX(Main[مقدار تسویه شده (کیلوگرم)],1):Main[[#This Row],[مقدار تسویه شده (کیلوگرم)]])</f>
        <v>20536</v>
      </c>
      <c r="Y1669" s="6">
        <f ca="1">IF(Main[[#This Row],[مانده در خط تسویه شده (کیلوگرم)]]&lt;&gt;0,Main[[#This Row],[تعداد کل روزهای بدهکار (روز)]],0)</f>
        <v>1</v>
      </c>
      <c r="Z1669" s="6">
        <f ca="1">Main[[#This Row],[تعداد روزهای بدهکار تسویه شده (روز)]]*Main[[#This Row],[مانده در خط تسویه شده (کیلوگرم)]]</f>
        <v>20536</v>
      </c>
      <c r="AA1669" s="6">
        <f ca="1">SUBTOTAL(9,INDEX(Main[بدهی تسویه نشده (کیلوگرم)],1):Main[[#This Row],[بدهی تسویه نشده (کیلوگرم)]])</f>
        <v>0</v>
      </c>
      <c r="AB1669" s="6">
        <f ca="1">IF(Main[[#This Row],[مانده در خط تسویه نشده (کیلوگرم)]]&lt;&gt;0,Main[[#This Row],[تعداد کل روزهای بدهکار (روز)]],0)</f>
        <v>0</v>
      </c>
      <c r="AC1669" s="6">
        <f ca="1">Main[[#This Row],[تعداد روزهای بدهکار  تسویه نشده (روز)]]*Main[[#This Row],[مانده در خط تسویه نشده (کیلوگرم)]]</f>
        <v>0</v>
      </c>
      <c r="AD1669" s="6">
        <f ca="1">SUBTOTAL(9,INDEX(Main[بدهی سررسید شده (کیلوگرم)],1):Main[[#This Row],[بدهی سررسید شده (کیلوگرم)]])</f>
        <v>0</v>
      </c>
      <c r="AE1669" s="6">
        <f ca="1">IF(Main[[#This Row],[مانده در خط سررسید شده (کیلوگرم)]]&lt;&gt;0,Main[[#This Row],[تعداد کل روزهای بدهکار (روز)]],0)</f>
        <v>0</v>
      </c>
      <c r="AF1669" s="6">
        <f ca="1">Main[[#This Row],[تعداد روزهای بدهکار سررسید شده (روز)]]*Main[[#This Row],[مانده در خط سررسید شده (کیلوگرم)]]</f>
        <v>0</v>
      </c>
    </row>
    <row r="1670" spans="1:32" hidden="1" x14ac:dyDescent="0.35">
      <c r="A1670" s="5">
        <f>ROW()-ROW(INDEX(Main[ردیف],1))+1</f>
        <v>1668</v>
      </c>
      <c r="B1670" s="31">
        <f>SUBTOTAL(2,INDEX(Main[ردیف],1):Main[[#This Row],[ردیف]])</f>
        <v>150</v>
      </c>
      <c r="C1670" s="32" t="s">
        <v>707</v>
      </c>
      <c r="D1670" s="32" t="str">
        <f>_xlfn.CONCAT("14",Main[[#This Row],[تاريخ]])</f>
        <v>1400/06/31</v>
      </c>
      <c r="E1670" s="33">
        <v>44461</v>
      </c>
      <c r="F1670" s="32">
        <v>30066</v>
      </c>
      <c r="G1670" s="5" t="str">
        <f>INDEX(customer[عنوان],MATCH(Main[[#This Row],[کد ردیابی]],customer[کد],0))</f>
        <v xml:space="preserve">شیر آلات بهداشتی قهرمان </v>
      </c>
      <c r="H1670">
        <v>-16916</v>
      </c>
      <c r="I1670" s="6">
        <f ca="1">-Main[[#This Row],[بدهی تسویه شده (کیلوگرم)]]+Main[[#This Row],[بستانکار (کیلوگرم)]]</f>
        <v>-16916</v>
      </c>
      <c r="J1670" s="6">
        <f>IF(Main[[#This Row],[مقدار (کیلوگرم)]]&gt;0,Main[[#This Row],[مقدار (کیلوگرم)]],0)</f>
        <v>0</v>
      </c>
      <c r="K1670" s="6">
        <f>-IF(Main[[#This Row],[مقدار (کیلوگرم)]]&lt;0,Main[[#This Row],[مقدار (کیلوگرم)]],0)</f>
        <v>16916</v>
      </c>
      <c r="L16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0" s="7">
        <f>-IF(AND(Main[[#This Row],[مقدار (کیلوگرم)]]&lt;0,Main[[#This Row],[تاريخ میلادی]]&gt;44276),Main[[#This Row],[مقدار (کیلوگرم)]],0)</f>
        <v>16916</v>
      </c>
      <c r="N1670" s="6">
        <f ca="1">Main[[#This Row],[بدهکار (کیلوگرم)]]-Main[[#This Row],[بدهی تسویه نشده (کیلوگرم)]]</f>
        <v>16916</v>
      </c>
      <c r="O1670" s="6">
        <f ca="1">Main[[#This Row],[تفکیک]]</f>
        <v>0</v>
      </c>
      <c r="P1670" s="6">
        <f ca="1">IF(Main[[#This Row],[تاخیر از سررسید]]&gt;0,Main[[#This Row],[بدهی تسویه نشده (کیلوگرم)]],0)</f>
        <v>0</v>
      </c>
      <c r="Q1670" s="6">
        <f ca="1">IF(Main[[#This Row],[بدهی تسویه نشده (کیلوگرم)]]&gt;0,'گزارش فردی'!$B$7-Main[[#This Row],[تاريخ میلادی]],0)</f>
        <v>0</v>
      </c>
      <c r="R1670" s="6">
        <f ca="1">IF(Main[[#This Row],[بدهی تسویه نشده (کیلوگرم)]]&gt;0,'گزارش فردی'!$B$7-Main[[#This Row],[تاريخ میلادی]]-'گزارش فردی'!$B$8,0)</f>
        <v>0</v>
      </c>
      <c r="S1670" s="6">
        <f ca="1">Main[[#This Row],[روز از ارسال سفارش]]*Main[[#This Row],[بدهی تسویه نشده (کیلوگرم)]]</f>
        <v>0</v>
      </c>
      <c r="T1670" s="6">
        <f ca="1">Main[[#This Row],[بدهی سررسید شده (کیلوگرم)]]*Main[[#This Row],[روز از ارسال سفارش]]</f>
        <v>0</v>
      </c>
      <c r="U1670" s="6">
        <f>-SUBTOTAL(9,INDEX(Main[مقدار (کیلوگرم)],1):Main[[#This Row],[مقدار (کیلوگرم)]])</f>
        <v>20536</v>
      </c>
      <c r="V16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0" s="6">
        <f>Main[[#This Row],[تعداد کل روزهای بدهکار (روز)]]*Main[[#This Row],[مانده در خط کل (کیلوگرم)]]</f>
        <v>0</v>
      </c>
      <c r="X1670" s="6">
        <f ca="1">-SUBTOTAL(9,INDEX(Main[مقدار تسویه شده (کیلوگرم)],1):Main[[#This Row],[مقدار تسویه شده (کیلوگرم)]])</f>
        <v>20536</v>
      </c>
      <c r="Y1670" s="6">
        <f ca="1">IF(Main[[#This Row],[مانده در خط تسویه شده (کیلوگرم)]]&lt;&gt;0,Main[[#This Row],[تعداد کل روزهای بدهکار (روز)]],0)</f>
        <v>0</v>
      </c>
      <c r="Z1670" s="6">
        <f ca="1">Main[[#This Row],[تعداد روزهای بدهکار تسویه شده (روز)]]*Main[[#This Row],[مانده در خط تسویه شده (کیلوگرم)]]</f>
        <v>0</v>
      </c>
      <c r="AA1670" s="6">
        <f ca="1">SUBTOTAL(9,INDEX(Main[بدهی تسویه نشده (کیلوگرم)],1):Main[[#This Row],[بدهی تسویه نشده (کیلوگرم)]])</f>
        <v>0</v>
      </c>
      <c r="AB1670" s="6">
        <f ca="1">IF(Main[[#This Row],[مانده در خط تسویه نشده (کیلوگرم)]]&lt;&gt;0,Main[[#This Row],[تعداد کل روزهای بدهکار (روز)]],0)</f>
        <v>0</v>
      </c>
      <c r="AC1670" s="6">
        <f ca="1">Main[[#This Row],[تعداد روزهای بدهکار  تسویه نشده (روز)]]*Main[[#This Row],[مانده در خط تسویه نشده (کیلوگرم)]]</f>
        <v>0</v>
      </c>
      <c r="AD1670" s="6">
        <f ca="1">SUBTOTAL(9,INDEX(Main[بدهی سررسید شده (کیلوگرم)],1):Main[[#This Row],[بدهی سررسید شده (کیلوگرم)]])</f>
        <v>0</v>
      </c>
      <c r="AE1670" s="6">
        <f ca="1">IF(Main[[#This Row],[مانده در خط سررسید شده (کیلوگرم)]]&lt;&gt;0,Main[[#This Row],[تعداد کل روزهای بدهکار (روز)]],0)</f>
        <v>0</v>
      </c>
      <c r="AF1670" s="6">
        <f ca="1">Main[[#This Row],[تعداد روزهای بدهکار سررسید شده (روز)]]*Main[[#This Row],[مانده در خط سررسید شده (کیلوگرم)]]</f>
        <v>0</v>
      </c>
    </row>
    <row r="1671" spans="1:32" hidden="1" x14ac:dyDescent="0.35">
      <c r="A1671" s="5">
        <f>ROW()-ROW(INDEX(Main[ردیف],1))+1</f>
        <v>1669</v>
      </c>
      <c r="B1671" s="31">
        <f>SUBTOTAL(2,INDEX(Main[ردیف],1):Main[[#This Row],[ردیف]])</f>
        <v>150</v>
      </c>
      <c r="C1671" s="32" t="s">
        <v>707</v>
      </c>
      <c r="D1671" s="32" t="str">
        <f>_xlfn.CONCAT("14",Main[[#This Row],[تاريخ]])</f>
        <v>1400/06/31</v>
      </c>
      <c r="E1671" s="33">
        <v>44461</v>
      </c>
      <c r="F1671" s="32">
        <v>10055</v>
      </c>
      <c r="G1671" s="5" t="str">
        <f>INDEX(customer[عنوان],MATCH(Main[[#This Row],[کد ردیابی]],customer[کد],0))</f>
        <v xml:space="preserve">مریم فیض آبادی  </v>
      </c>
      <c r="H1671">
        <v>5552</v>
      </c>
      <c r="I1671" s="6">
        <f ca="1">-Main[[#This Row],[بدهی تسویه شده (کیلوگرم)]]+Main[[#This Row],[بستانکار (کیلوگرم)]]</f>
        <v>5552</v>
      </c>
      <c r="J1671" s="6">
        <f>IF(Main[[#This Row],[مقدار (کیلوگرم)]]&gt;0,Main[[#This Row],[مقدار (کیلوگرم)]],0)</f>
        <v>5552</v>
      </c>
      <c r="K1671" s="6">
        <f>-IF(Main[[#This Row],[مقدار (کیلوگرم)]]&lt;0,Main[[#This Row],[مقدار (کیلوگرم)]],0)</f>
        <v>0</v>
      </c>
      <c r="L16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1" s="7">
        <f>-IF(AND(Main[[#This Row],[مقدار (کیلوگرم)]]&lt;0,Main[[#This Row],[تاريخ میلادی]]&gt;44276),Main[[#This Row],[مقدار (کیلوگرم)]],0)</f>
        <v>0</v>
      </c>
      <c r="N1671" s="6">
        <f ca="1">Main[[#This Row],[بدهکار (کیلوگرم)]]-Main[[#This Row],[بدهی تسویه نشده (کیلوگرم)]]</f>
        <v>0</v>
      </c>
      <c r="O1671" s="6">
        <f ca="1">Main[[#This Row],[تفکیک]]</f>
        <v>0</v>
      </c>
      <c r="P1671" s="6">
        <f ca="1">IF(Main[[#This Row],[تاخیر از سررسید]]&gt;0,Main[[#This Row],[بدهی تسویه نشده (کیلوگرم)]],0)</f>
        <v>0</v>
      </c>
      <c r="Q1671" s="6">
        <f ca="1">IF(Main[[#This Row],[بدهی تسویه نشده (کیلوگرم)]]&gt;0,'گزارش فردی'!$B$7-Main[[#This Row],[تاريخ میلادی]],0)</f>
        <v>0</v>
      </c>
      <c r="R1671" s="6">
        <f ca="1">IF(Main[[#This Row],[بدهی تسویه نشده (کیلوگرم)]]&gt;0,'گزارش فردی'!$B$7-Main[[#This Row],[تاريخ میلادی]]-'گزارش فردی'!$B$8,0)</f>
        <v>0</v>
      </c>
      <c r="S1671" s="6">
        <f ca="1">Main[[#This Row],[روز از ارسال سفارش]]*Main[[#This Row],[بدهی تسویه نشده (کیلوگرم)]]</f>
        <v>0</v>
      </c>
      <c r="T1671" s="6">
        <f ca="1">Main[[#This Row],[بدهی سررسید شده (کیلوگرم)]]*Main[[#This Row],[روز از ارسال سفارش]]</f>
        <v>0</v>
      </c>
      <c r="U1671" s="6">
        <f>-SUBTOTAL(9,INDEX(Main[مقدار (کیلوگرم)],1):Main[[#This Row],[مقدار (کیلوگرم)]])</f>
        <v>20536</v>
      </c>
      <c r="V16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1" s="6">
        <f>Main[[#This Row],[تعداد کل روزهای بدهکار (روز)]]*Main[[#This Row],[مانده در خط کل (کیلوگرم)]]</f>
        <v>0</v>
      </c>
      <c r="X1671" s="6">
        <f ca="1">-SUBTOTAL(9,INDEX(Main[مقدار تسویه شده (کیلوگرم)],1):Main[[#This Row],[مقدار تسویه شده (کیلوگرم)]])</f>
        <v>20536</v>
      </c>
      <c r="Y1671" s="6">
        <f ca="1">IF(Main[[#This Row],[مانده در خط تسویه شده (کیلوگرم)]]&lt;&gt;0,Main[[#This Row],[تعداد کل روزهای بدهکار (روز)]],0)</f>
        <v>0</v>
      </c>
      <c r="Z1671" s="6">
        <f ca="1">Main[[#This Row],[تعداد روزهای بدهکار تسویه شده (روز)]]*Main[[#This Row],[مانده در خط تسویه شده (کیلوگرم)]]</f>
        <v>0</v>
      </c>
      <c r="AA1671" s="6">
        <f ca="1">SUBTOTAL(9,INDEX(Main[بدهی تسویه نشده (کیلوگرم)],1):Main[[#This Row],[بدهی تسویه نشده (کیلوگرم)]])</f>
        <v>0</v>
      </c>
      <c r="AB1671" s="6">
        <f ca="1">IF(Main[[#This Row],[مانده در خط تسویه نشده (کیلوگرم)]]&lt;&gt;0,Main[[#This Row],[تعداد کل روزهای بدهکار (روز)]],0)</f>
        <v>0</v>
      </c>
      <c r="AC1671" s="6">
        <f ca="1">Main[[#This Row],[تعداد روزهای بدهکار  تسویه نشده (روز)]]*Main[[#This Row],[مانده در خط تسویه نشده (کیلوگرم)]]</f>
        <v>0</v>
      </c>
      <c r="AD1671" s="6">
        <f ca="1">SUBTOTAL(9,INDEX(Main[بدهی سررسید شده (کیلوگرم)],1):Main[[#This Row],[بدهی سررسید شده (کیلوگرم)]])</f>
        <v>0</v>
      </c>
      <c r="AE1671" s="6">
        <f ca="1">IF(Main[[#This Row],[مانده در خط سررسید شده (کیلوگرم)]]&lt;&gt;0,Main[[#This Row],[تعداد کل روزهای بدهکار (روز)]],0)</f>
        <v>0</v>
      </c>
      <c r="AF1671" s="6">
        <f ca="1">Main[[#This Row],[تعداد روزهای بدهکار سررسید شده (روز)]]*Main[[#This Row],[مانده در خط سررسید شده (کیلوگرم)]]</f>
        <v>0</v>
      </c>
    </row>
    <row r="1672" spans="1:32" hidden="1" x14ac:dyDescent="0.35">
      <c r="A1672" s="5">
        <f>ROW()-ROW(INDEX(Main[ردیف],1))+1</f>
        <v>1670</v>
      </c>
      <c r="B1672" s="31">
        <f>SUBTOTAL(2,INDEX(Main[ردیف],1):Main[[#This Row],[ردیف]])</f>
        <v>150</v>
      </c>
      <c r="C1672" s="32" t="s">
        <v>707</v>
      </c>
      <c r="D1672" s="32" t="str">
        <f>_xlfn.CONCAT("14",Main[[#This Row],[تاريخ]])</f>
        <v>1400/06/31</v>
      </c>
      <c r="E1672" s="33">
        <v>44461</v>
      </c>
      <c r="F1672" s="32">
        <v>30140</v>
      </c>
      <c r="G1672" s="5" t="str">
        <f>INDEX(customer[عنوان],MATCH(Main[[#This Row],[کد ردیابی]],customer[کد],0))</f>
        <v>شرکت سیتکو</v>
      </c>
      <c r="H1672">
        <v>-498</v>
      </c>
      <c r="I1672" s="6">
        <f ca="1">-Main[[#This Row],[بدهی تسویه شده (کیلوگرم)]]+Main[[#This Row],[بستانکار (کیلوگرم)]]</f>
        <v>-498</v>
      </c>
      <c r="J1672" s="6">
        <f>IF(Main[[#This Row],[مقدار (کیلوگرم)]]&gt;0,Main[[#This Row],[مقدار (کیلوگرم)]],0)</f>
        <v>0</v>
      </c>
      <c r="K1672" s="6">
        <f>-IF(Main[[#This Row],[مقدار (کیلوگرم)]]&lt;0,Main[[#This Row],[مقدار (کیلوگرم)]],0)</f>
        <v>498</v>
      </c>
      <c r="L16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2" s="7">
        <f>-IF(AND(Main[[#This Row],[مقدار (کیلوگرم)]]&lt;0,Main[[#This Row],[تاريخ میلادی]]&gt;44276),Main[[#This Row],[مقدار (کیلوگرم)]],0)</f>
        <v>498</v>
      </c>
      <c r="N1672" s="6">
        <f ca="1">Main[[#This Row],[بدهکار (کیلوگرم)]]-Main[[#This Row],[بدهی تسویه نشده (کیلوگرم)]]</f>
        <v>498</v>
      </c>
      <c r="O1672" s="6">
        <f ca="1">Main[[#This Row],[تفکیک]]</f>
        <v>0</v>
      </c>
      <c r="P1672" s="6">
        <f ca="1">IF(Main[[#This Row],[تاخیر از سررسید]]&gt;0,Main[[#This Row],[بدهی تسویه نشده (کیلوگرم)]],0)</f>
        <v>0</v>
      </c>
      <c r="Q1672" s="6">
        <f ca="1">IF(Main[[#This Row],[بدهی تسویه نشده (کیلوگرم)]]&gt;0,'گزارش فردی'!$B$7-Main[[#This Row],[تاريخ میلادی]],0)</f>
        <v>0</v>
      </c>
      <c r="R1672" s="6">
        <f ca="1">IF(Main[[#This Row],[بدهی تسویه نشده (کیلوگرم)]]&gt;0,'گزارش فردی'!$B$7-Main[[#This Row],[تاريخ میلادی]]-'گزارش فردی'!$B$8,0)</f>
        <v>0</v>
      </c>
      <c r="S1672" s="6">
        <f ca="1">Main[[#This Row],[روز از ارسال سفارش]]*Main[[#This Row],[بدهی تسویه نشده (کیلوگرم)]]</f>
        <v>0</v>
      </c>
      <c r="T1672" s="6">
        <f ca="1">Main[[#This Row],[بدهی سررسید شده (کیلوگرم)]]*Main[[#This Row],[روز از ارسال سفارش]]</f>
        <v>0</v>
      </c>
      <c r="U1672" s="6">
        <f>-SUBTOTAL(9,INDEX(Main[مقدار (کیلوگرم)],1):Main[[#This Row],[مقدار (کیلوگرم)]])</f>
        <v>20536</v>
      </c>
      <c r="V16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2" s="6">
        <f>Main[[#This Row],[تعداد کل روزهای بدهکار (روز)]]*Main[[#This Row],[مانده در خط کل (کیلوگرم)]]</f>
        <v>0</v>
      </c>
      <c r="X1672" s="6">
        <f ca="1">-SUBTOTAL(9,INDEX(Main[مقدار تسویه شده (کیلوگرم)],1):Main[[#This Row],[مقدار تسویه شده (کیلوگرم)]])</f>
        <v>20536</v>
      </c>
      <c r="Y1672" s="6">
        <f ca="1">IF(Main[[#This Row],[مانده در خط تسویه شده (کیلوگرم)]]&lt;&gt;0,Main[[#This Row],[تعداد کل روزهای بدهکار (روز)]],0)</f>
        <v>0</v>
      </c>
      <c r="Z1672" s="6">
        <f ca="1">Main[[#This Row],[تعداد روزهای بدهکار تسویه شده (روز)]]*Main[[#This Row],[مانده در خط تسویه شده (کیلوگرم)]]</f>
        <v>0</v>
      </c>
      <c r="AA1672" s="6">
        <f ca="1">SUBTOTAL(9,INDEX(Main[بدهی تسویه نشده (کیلوگرم)],1):Main[[#This Row],[بدهی تسویه نشده (کیلوگرم)]])</f>
        <v>0</v>
      </c>
      <c r="AB1672" s="6">
        <f ca="1">IF(Main[[#This Row],[مانده در خط تسویه نشده (کیلوگرم)]]&lt;&gt;0,Main[[#This Row],[تعداد کل روزهای بدهکار (روز)]],0)</f>
        <v>0</v>
      </c>
      <c r="AC1672" s="6">
        <f ca="1">Main[[#This Row],[تعداد روزهای بدهکار  تسویه نشده (روز)]]*Main[[#This Row],[مانده در خط تسویه نشده (کیلوگرم)]]</f>
        <v>0</v>
      </c>
      <c r="AD1672" s="6">
        <f ca="1">SUBTOTAL(9,INDEX(Main[بدهی سررسید شده (کیلوگرم)],1):Main[[#This Row],[بدهی سررسید شده (کیلوگرم)]])</f>
        <v>0</v>
      </c>
      <c r="AE1672" s="6">
        <f ca="1">IF(Main[[#This Row],[مانده در خط سررسید شده (کیلوگرم)]]&lt;&gt;0,Main[[#This Row],[تعداد کل روزهای بدهکار (روز)]],0)</f>
        <v>0</v>
      </c>
      <c r="AF1672" s="6">
        <f ca="1">Main[[#This Row],[تعداد روزهای بدهکار سررسید شده (روز)]]*Main[[#This Row],[مانده در خط سررسید شده (کیلوگرم)]]</f>
        <v>0</v>
      </c>
    </row>
    <row r="1673" spans="1:32" x14ac:dyDescent="0.35">
      <c r="A1673" s="5">
        <f>ROW()-ROW(INDEX(Main[ردیف],1))+1</f>
        <v>1671</v>
      </c>
      <c r="B1673" s="31">
        <f>SUBTOTAL(2,INDEX(Main[ردیف],1):Main[[#This Row],[ردیف]])</f>
        <v>151</v>
      </c>
      <c r="C1673" s="32" t="s">
        <v>707</v>
      </c>
      <c r="D1673" s="32" t="str">
        <f>_xlfn.CONCAT("14",Main[[#This Row],[تاريخ]])</f>
        <v>1400/06/31</v>
      </c>
      <c r="E1673" s="33">
        <v>44461</v>
      </c>
      <c r="F1673" s="32">
        <v>10003</v>
      </c>
      <c r="G1673" s="5" t="str">
        <f>INDEX(customer[عنوان],MATCH(Main[[#This Row],[کد ردیابی]],customer[کد],0))</f>
        <v>اصغر نورعلی</v>
      </c>
      <c r="H1673">
        <v>2187</v>
      </c>
      <c r="I1673" s="6">
        <f ca="1">-Main[[#This Row],[بدهی تسویه شده (کیلوگرم)]]+Main[[#This Row],[بستانکار (کیلوگرم)]]</f>
        <v>2187</v>
      </c>
      <c r="J1673" s="6">
        <f>IF(Main[[#This Row],[مقدار (کیلوگرم)]]&gt;0,Main[[#This Row],[مقدار (کیلوگرم)]],0)</f>
        <v>2187</v>
      </c>
      <c r="K1673" s="6">
        <f>-IF(Main[[#This Row],[مقدار (کیلوگرم)]]&lt;0,Main[[#This Row],[مقدار (کیلوگرم)]],0)</f>
        <v>0</v>
      </c>
      <c r="L16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3" s="7">
        <f>-IF(AND(Main[[#This Row],[مقدار (کیلوگرم)]]&lt;0,Main[[#This Row],[تاريخ میلادی]]&gt;44276),Main[[#This Row],[مقدار (کیلوگرم)]],0)</f>
        <v>0</v>
      </c>
      <c r="N1673" s="6">
        <f ca="1">Main[[#This Row],[بدهکار (کیلوگرم)]]-Main[[#This Row],[بدهی تسویه نشده (کیلوگرم)]]</f>
        <v>0</v>
      </c>
      <c r="O1673" s="6">
        <f ca="1">Main[[#This Row],[تفکیک]]</f>
        <v>0</v>
      </c>
      <c r="P1673" s="6">
        <f ca="1">IF(Main[[#This Row],[تاخیر از سررسید]]&gt;0,Main[[#This Row],[بدهی تسویه نشده (کیلوگرم)]],0)</f>
        <v>0</v>
      </c>
      <c r="Q1673" s="6">
        <f ca="1">IF(Main[[#This Row],[بدهی تسویه نشده (کیلوگرم)]]&gt;0,'گزارش فردی'!$B$7-Main[[#This Row],[تاريخ میلادی]],0)</f>
        <v>0</v>
      </c>
      <c r="R1673" s="6">
        <f ca="1">IF(Main[[#This Row],[بدهی تسویه نشده (کیلوگرم)]]&gt;0,'گزارش فردی'!$B$7-Main[[#This Row],[تاريخ میلادی]]-'گزارش فردی'!$B$8,0)</f>
        <v>0</v>
      </c>
      <c r="S1673" s="6">
        <f ca="1">Main[[#This Row],[روز از ارسال سفارش]]*Main[[#This Row],[بدهی تسویه نشده (کیلوگرم)]]</f>
        <v>0</v>
      </c>
      <c r="T1673" s="6">
        <f ca="1">Main[[#This Row],[بدهی سررسید شده (کیلوگرم)]]*Main[[#This Row],[روز از ارسال سفارش]]</f>
        <v>0</v>
      </c>
      <c r="U1673" s="6">
        <f>-SUBTOTAL(9,INDEX(Main[مقدار (کیلوگرم)],1):Main[[#This Row],[مقدار (کیلوگرم)]])</f>
        <v>18349</v>
      </c>
      <c r="V167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3" s="6">
        <f>Main[[#This Row],[تعداد کل روزهای بدهکار (روز)]]*Main[[#This Row],[مانده در خط کل (کیلوگرم)]]</f>
        <v>55047</v>
      </c>
      <c r="X1673" s="6">
        <f ca="1">-SUBTOTAL(9,INDEX(Main[مقدار تسویه شده (کیلوگرم)],1):Main[[#This Row],[مقدار تسویه شده (کیلوگرم)]])</f>
        <v>18349</v>
      </c>
      <c r="Y1673" s="6">
        <f ca="1">IF(Main[[#This Row],[مانده در خط تسویه شده (کیلوگرم)]]&lt;&gt;0,Main[[#This Row],[تعداد کل روزهای بدهکار (روز)]],0)</f>
        <v>3</v>
      </c>
      <c r="Z1673" s="6">
        <f ca="1">Main[[#This Row],[تعداد روزهای بدهکار تسویه شده (روز)]]*Main[[#This Row],[مانده در خط تسویه شده (کیلوگرم)]]</f>
        <v>55047</v>
      </c>
      <c r="AA1673" s="6">
        <f ca="1">SUBTOTAL(9,INDEX(Main[بدهی تسویه نشده (کیلوگرم)],1):Main[[#This Row],[بدهی تسویه نشده (کیلوگرم)]])</f>
        <v>0</v>
      </c>
      <c r="AB1673" s="6">
        <f ca="1">IF(Main[[#This Row],[مانده در خط تسویه نشده (کیلوگرم)]]&lt;&gt;0,Main[[#This Row],[تعداد کل روزهای بدهکار (روز)]],0)</f>
        <v>0</v>
      </c>
      <c r="AC1673" s="6">
        <f ca="1">Main[[#This Row],[تعداد روزهای بدهکار  تسویه نشده (روز)]]*Main[[#This Row],[مانده در خط تسویه نشده (کیلوگرم)]]</f>
        <v>0</v>
      </c>
      <c r="AD1673" s="6">
        <f ca="1">SUBTOTAL(9,INDEX(Main[بدهی سررسید شده (کیلوگرم)],1):Main[[#This Row],[بدهی سررسید شده (کیلوگرم)]])</f>
        <v>0</v>
      </c>
      <c r="AE1673" s="6">
        <f ca="1">IF(Main[[#This Row],[مانده در خط سررسید شده (کیلوگرم)]]&lt;&gt;0,Main[[#This Row],[تعداد کل روزهای بدهکار (روز)]],0)</f>
        <v>0</v>
      </c>
      <c r="AF1673" s="6">
        <f ca="1">Main[[#This Row],[تعداد روزهای بدهکار سررسید شده (روز)]]*Main[[#This Row],[مانده در خط سررسید شده (کیلوگرم)]]</f>
        <v>0</v>
      </c>
    </row>
    <row r="1674" spans="1:32" hidden="1" x14ac:dyDescent="0.35">
      <c r="A1674" s="5">
        <f>ROW()-ROW(INDEX(Main[ردیف],1))+1</f>
        <v>1672</v>
      </c>
      <c r="B1674" s="31">
        <f>SUBTOTAL(2,INDEX(Main[ردیف],1):Main[[#This Row],[ردیف]])</f>
        <v>151</v>
      </c>
      <c r="C1674" s="32" t="s">
        <v>707</v>
      </c>
      <c r="D1674" s="32" t="str">
        <f>_xlfn.CONCAT("14",Main[[#This Row],[تاريخ]])</f>
        <v>1400/06/31</v>
      </c>
      <c r="E1674" s="33">
        <v>44461</v>
      </c>
      <c r="F1674" s="32">
        <v>30191</v>
      </c>
      <c r="G1674" s="5" t="str">
        <f>INDEX(customer[عنوان],MATCH(Main[[#This Row],[کد ردیابی]],customer[کد],0))</f>
        <v>ایران گرما</v>
      </c>
      <c r="H1674">
        <v>-1000</v>
      </c>
      <c r="I1674" s="6">
        <f ca="1">-Main[[#This Row],[بدهی تسویه شده (کیلوگرم)]]+Main[[#This Row],[بستانکار (کیلوگرم)]]</f>
        <v>-1000</v>
      </c>
      <c r="J1674" s="6">
        <f>IF(Main[[#This Row],[مقدار (کیلوگرم)]]&gt;0,Main[[#This Row],[مقدار (کیلوگرم)]],0)</f>
        <v>0</v>
      </c>
      <c r="K1674" s="6">
        <f>-IF(Main[[#This Row],[مقدار (کیلوگرم)]]&lt;0,Main[[#This Row],[مقدار (کیلوگرم)]],0)</f>
        <v>1000</v>
      </c>
      <c r="L16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4" s="7">
        <f>-IF(AND(Main[[#This Row],[مقدار (کیلوگرم)]]&lt;0,Main[[#This Row],[تاريخ میلادی]]&gt;44276),Main[[#This Row],[مقدار (کیلوگرم)]],0)</f>
        <v>1000</v>
      </c>
      <c r="N1674" s="6">
        <f ca="1">Main[[#This Row],[بدهکار (کیلوگرم)]]-Main[[#This Row],[بدهی تسویه نشده (کیلوگرم)]]</f>
        <v>1000</v>
      </c>
      <c r="O1674" s="6">
        <f ca="1">Main[[#This Row],[تفکیک]]</f>
        <v>0</v>
      </c>
      <c r="P1674" s="6">
        <f ca="1">IF(Main[[#This Row],[تاخیر از سررسید]]&gt;0,Main[[#This Row],[بدهی تسویه نشده (کیلوگرم)]],0)</f>
        <v>0</v>
      </c>
      <c r="Q1674" s="6">
        <f ca="1">IF(Main[[#This Row],[بدهی تسویه نشده (کیلوگرم)]]&gt;0,'گزارش فردی'!$B$7-Main[[#This Row],[تاريخ میلادی]],0)</f>
        <v>0</v>
      </c>
      <c r="R1674" s="6">
        <f ca="1">IF(Main[[#This Row],[بدهی تسویه نشده (کیلوگرم)]]&gt;0,'گزارش فردی'!$B$7-Main[[#This Row],[تاريخ میلادی]]-'گزارش فردی'!$B$8,0)</f>
        <v>0</v>
      </c>
      <c r="S1674" s="6">
        <f ca="1">Main[[#This Row],[روز از ارسال سفارش]]*Main[[#This Row],[بدهی تسویه نشده (کیلوگرم)]]</f>
        <v>0</v>
      </c>
      <c r="T1674" s="6">
        <f ca="1">Main[[#This Row],[بدهی سررسید شده (کیلوگرم)]]*Main[[#This Row],[روز از ارسال سفارش]]</f>
        <v>0</v>
      </c>
      <c r="U1674" s="6">
        <f>-SUBTOTAL(9,INDEX(Main[مقدار (کیلوگرم)],1):Main[[#This Row],[مقدار (کیلوگرم)]])</f>
        <v>18349</v>
      </c>
      <c r="V167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4" s="6">
        <f>Main[[#This Row],[تعداد کل روزهای بدهکار (روز)]]*Main[[#This Row],[مانده در خط کل (کیلوگرم)]]</f>
        <v>55047</v>
      </c>
      <c r="X1674" s="6">
        <f ca="1">-SUBTOTAL(9,INDEX(Main[مقدار تسویه شده (کیلوگرم)],1):Main[[#This Row],[مقدار تسویه شده (کیلوگرم)]])</f>
        <v>18349</v>
      </c>
      <c r="Y1674" s="6">
        <f ca="1">IF(Main[[#This Row],[مانده در خط تسویه شده (کیلوگرم)]]&lt;&gt;0,Main[[#This Row],[تعداد کل روزهای بدهکار (روز)]],0)</f>
        <v>3</v>
      </c>
      <c r="Z1674" s="6">
        <f ca="1">Main[[#This Row],[تعداد روزهای بدهکار تسویه شده (روز)]]*Main[[#This Row],[مانده در خط تسویه شده (کیلوگرم)]]</f>
        <v>55047</v>
      </c>
      <c r="AA1674" s="6">
        <f ca="1">SUBTOTAL(9,INDEX(Main[بدهی تسویه نشده (کیلوگرم)],1):Main[[#This Row],[بدهی تسویه نشده (کیلوگرم)]])</f>
        <v>0</v>
      </c>
      <c r="AB1674" s="6">
        <f ca="1">IF(Main[[#This Row],[مانده در خط تسویه نشده (کیلوگرم)]]&lt;&gt;0,Main[[#This Row],[تعداد کل روزهای بدهکار (روز)]],0)</f>
        <v>0</v>
      </c>
      <c r="AC1674" s="6">
        <f ca="1">Main[[#This Row],[تعداد روزهای بدهکار  تسویه نشده (روز)]]*Main[[#This Row],[مانده در خط تسویه نشده (کیلوگرم)]]</f>
        <v>0</v>
      </c>
      <c r="AD1674" s="6">
        <f ca="1">SUBTOTAL(9,INDEX(Main[بدهی سررسید شده (کیلوگرم)],1):Main[[#This Row],[بدهی سررسید شده (کیلوگرم)]])</f>
        <v>0</v>
      </c>
      <c r="AE1674" s="6">
        <f ca="1">IF(Main[[#This Row],[مانده در خط سررسید شده (کیلوگرم)]]&lt;&gt;0,Main[[#This Row],[تعداد کل روزهای بدهکار (روز)]],0)</f>
        <v>0</v>
      </c>
      <c r="AF1674" s="6">
        <f ca="1">Main[[#This Row],[تعداد روزهای بدهکار سررسید شده (روز)]]*Main[[#This Row],[مانده در خط سررسید شده (کیلوگرم)]]</f>
        <v>0</v>
      </c>
    </row>
    <row r="1675" spans="1:32" hidden="1" x14ac:dyDescent="0.35">
      <c r="A1675" s="5">
        <f>ROW()-ROW(INDEX(Main[ردیف],1))+1</f>
        <v>1673</v>
      </c>
      <c r="B1675" s="31">
        <f>SUBTOTAL(2,INDEX(Main[ردیف],1):Main[[#This Row],[ردیف]])</f>
        <v>151</v>
      </c>
      <c r="C1675" s="32" t="s">
        <v>707</v>
      </c>
      <c r="D1675" s="32" t="str">
        <f>_xlfn.CONCAT("14",Main[[#This Row],[تاريخ]])</f>
        <v>1400/06/31</v>
      </c>
      <c r="E1675" s="33">
        <v>44461</v>
      </c>
      <c r="F1675" s="32">
        <v>10084</v>
      </c>
      <c r="G1675" s="5" t="str">
        <f>INDEX(customer[عنوان],MATCH(Main[[#This Row],[کد ردیابی]],customer[کد],0))</f>
        <v xml:space="preserve">سیدحمید کاظمی </v>
      </c>
      <c r="H1675">
        <v>211</v>
      </c>
      <c r="I1675" s="6">
        <f ca="1">-Main[[#This Row],[بدهی تسویه شده (کیلوگرم)]]+Main[[#This Row],[بستانکار (کیلوگرم)]]</f>
        <v>211</v>
      </c>
      <c r="J1675" s="6">
        <f>IF(Main[[#This Row],[مقدار (کیلوگرم)]]&gt;0,Main[[#This Row],[مقدار (کیلوگرم)]],0)</f>
        <v>211</v>
      </c>
      <c r="K1675" s="6">
        <f>-IF(Main[[#This Row],[مقدار (کیلوگرم)]]&lt;0,Main[[#This Row],[مقدار (کیلوگرم)]],0)</f>
        <v>0</v>
      </c>
      <c r="L16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5" s="7">
        <f>-IF(AND(Main[[#This Row],[مقدار (کیلوگرم)]]&lt;0,Main[[#This Row],[تاريخ میلادی]]&gt;44276),Main[[#This Row],[مقدار (کیلوگرم)]],0)</f>
        <v>0</v>
      </c>
      <c r="N1675" s="6">
        <f ca="1">Main[[#This Row],[بدهکار (کیلوگرم)]]-Main[[#This Row],[بدهی تسویه نشده (کیلوگرم)]]</f>
        <v>0</v>
      </c>
      <c r="O1675" s="6">
        <f ca="1">Main[[#This Row],[تفکیک]]</f>
        <v>0</v>
      </c>
      <c r="P1675" s="6">
        <f ca="1">IF(Main[[#This Row],[تاخیر از سررسید]]&gt;0,Main[[#This Row],[بدهی تسویه نشده (کیلوگرم)]],0)</f>
        <v>0</v>
      </c>
      <c r="Q1675" s="6">
        <f ca="1">IF(Main[[#This Row],[بدهی تسویه نشده (کیلوگرم)]]&gt;0,'گزارش فردی'!$B$7-Main[[#This Row],[تاريخ میلادی]],0)</f>
        <v>0</v>
      </c>
      <c r="R1675" s="6">
        <f ca="1">IF(Main[[#This Row],[بدهی تسویه نشده (کیلوگرم)]]&gt;0,'گزارش فردی'!$B$7-Main[[#This Row],[تاريخ میلادی]]-'گزارش فردی'!$B$8,0)</f>
        <v>0</v>
      </c>
      <c r="S1675" s="6">
        <f ca="1">Main[[#This Row],[روز از ارسال سفارش]]*Main[[#This Row],[بدهی تسویه نشده (کیلوگرم)]]</f>
        <v>0</v>
      </c>
      <c r="T1675" s="6">
        <f ca="1">Main[[#This Row],[بدهی سررسید شده (کیلوگرم)]]*Main[[#This Row],[روز از ارسال سفارش]]</f>
        <v>0</v>
      </c>
      <c r="U1675" s="6">
        <f>-SUBTOTAL(9,INDEX(Main[مقدار (کیلوگرم)],1):Main[[#This Row],[مقدار (کیلوگرم)]])</f>
        <v>18349</v>
      </c>
      <c r="V167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5" s="6">
        <f>Main[[#This Row],[تعداد کل روزهای بدهکار (روز)]]*Main[[#This Row],[مانده در خط کل (کیلوگرم)]]</f>
        <v>55047</v>
      </c>
      <c r="X1675" s="6">
        <f ca="1">-SUBTOTAL(9,INDEX(Main[مقدار تسویه شده (کیلوگرم)],1):Main[[#This Row],[مقدار تسویه شده (کیلوگرم)]])</f>
        <v>18349</v>
      </c>
      <c r="Y1675" s="6">
        <f ca="1">IF(Main[[#This Row],[مانده در خط تسویه شده (کیلوگرم)]]&lt;&gt;0,Main[[#This Row],[تعداد کل روزهای بدهکار (روز)]],0)</f>
        <v>3</v>
      </c>
      <c r="Z1675" s="6">
        <f ca="1">Main[[#This Row],[تعداد روزهای بدهکار تسویه شده (روز)]]*Main[[#This Row],[مانده در خط تسویه شده (کیلوگرم)]]</f>
        <v>55047</v>
      </c>
      <c r="AA1675" s="6">
        <f ca="1">SUBTOTAL(9,INDEX(Main[بدهی تسویه نشده (کیلوگرم)],1):Main[[#This Row],[بدهی تسویه نشده (کیلوگرم)]])</f>
        <v>0</v>
      </c>
      <c r="AB1675" s="6">
        <f ca="1">IF(Main[[#This Row],[مانده در خط تسویه نشده (کیلوگرم)]]&lt;&gt;0,Main[[#This Row],[تعداد کل روزهای بدهکار (روز)]],0)</f>
        <v>0</v>
      </c>
      <c r="AC1675" s="6">
        <f ca="1">Main[[#This Row],[تعداد روزهای بدهکار  تسویه نشده (روز)]]*Main[[#This Row],[مانده در خط تسویه نشده (کیلوگرم)]]</f>
        <v>0</v>
      </c>
      <c r="AD1675" s="6">
        <f ca="1">SUBTOTAL(9,INDEX(Main[بدهی سررسید شده (کیلوگرم)],1):Main[[#This Row],[بدهی سررسید شده (کیلوگرم)]])</f>
        <v>0</v>
      </c>
      <c r="AE1675" s="6">
        <f ca="1">IF(Main[[#This Row],[مانده در خط سررسید شده (کیلوگرم)]]&lt;&gt;0,Main[[#This Row],[تعداد کل روزهای بدهکار (روز)]],0)</f>
        <v>0</v>
      </c>
      <c r="AF1675" s="6">
        <f ca="1">Main[[#This Row],[تعداد روزهای بدهکار سررسید شده (روز)]]*Main[[#This Row],[مانده در خط سررسید شده (کیلوگرم)]]</f>
        <v>0</v>
      </c>
    </row>
    <row r="1676" spans="1:32" hidden="1" x14ac:dyDescent="0.35">
      <c r="A1676" s="5">
        <f>ROW()-ROW(INDEX(Main[ردیف],1))+1</f>
        <v>1674</v>
      </c>
      <c r="B1676" s="31">
        <f>SUBTOTAL(2,INDEX(Main[ردیف],1):Main[[#This Row],[ردیف]])</f>
        <v>151</v>
      </c>
      <c r="C1676" s="32" t="s">
        <v>707</v>
      </c>
      <c r="D1676" s="32" t="str">
        <f>_xlfn.CONCAT("14",Main[[#This Row],[تاريخ]])</f>
        <v>1400/06/31</v>
      </c>
      <c r="E1676" s="33">
        <v>44461</v>
      </c>
      <c r="F1676" s="32">
        <v>10026</v>
      </c>
      <c r="G1676" s="5" t="str">
        <f>INDEX(customer[عنوان],MATCH(Main[[#This Row],[کد ردیابی]],customer[کد],0))</f>
        <v xml:space="preserve">محسن فیاض بخش </v>
      </c>
      <c r="H1676">
        <v>-1932</v>
      </c>
      <c r="I1676" s="6">
        <f ca="1">-Main[[#This Row],[بدهی تسویه شده (کیلوگرم)]]+Main[[#This Row],[بستانکار (کیلوگرم)]]</f>
        <v>-1932</v>
      </c>
      <c r="J1676" s="6">
        <f>IF(Main[[#This Row],[مقدار (کیلوگرم)]]&gt;0,Main[[#This Row],[مقدار (کیلوگرم)]],0)</f>
        <v>0</v>
      </c>
      <c r="K1676" s="6">
        <f>-IF(Main[[#This Row],[مقدار (کیلوگرم)]]&lt;0,Main[[#This Row],[مقدار (کیلوگرم)]],0)</f>
        <v>1932</v>
      </c>
      <c r="L16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6" s="7">
        <f>-IF(AND(Main[[#This Row],[مقدار (کیلوگرم)]]&lt;0,Main[[#This Row],[تاريخ میلادی]]&gt;44276),Main[[#This Row],[مقدار (کیلوگرم)]],0)</f>
        <v>1932</v>
      </c>
      <c r="N1676" s="6">
        <f ca="1">Main[[#This Row],[بدهکار (کیلوگرم)]]-Main[[#This Row],[بدهی تسویه نشده (کیلوگرم)]]</f>
        <v>1932</v>
      </c>
      <c r="O1676" s="6">
        <f ca="1">Main[[#This Row],[تفکیک]]</f>
        <v>0</v>
      </c>
      <c r="P1676" s="6">
        <f ca="1">IF(Main[[#This Row],[تاخیر از سررسید]]&gt;0,Main[[#This Row],[بدهی تسویه نشده (کیلوگرم)]],0)</f>
        <v>0</v>
      </c>
      <c r="Q1676" s="6">
        <f ca="1">IF(Main[[#This Row],[بدهی تسویه نشده (کیلوگرم)]]&gt;0,'گزارش فردی'!$B$7-Main[[#This Row],[تاريخ میلادی]],0)</f>
        <v>0</v>
      </c>
      <c r="R1676" s="6">
        <f ca="1">IF(Main[[#This Row],[بدهی تسویه نشده (کیلوگرم)]]&gt;0,'گزارش فردی'!$B$7-Main[[#This Row],[تاريخ میلادی]]-'گزارش فردی'!$B$8,0)</f>
        <v>0</v>
      </c>
      <c r="S1676" s="6">
        <f ca="1">Main[[#This Row],[روز از ارسال سفارش]]*Main[[#This Row],[بدهی تسویه نشده (کیلوگرم)]]</f>
        <v>0</v>
      </c>
      <c r="T1676" s="6">
        <f ca="1">Main[[#This Row],[بدهی سررسید شده (کیلوگرم)]]*Main[[#This Row],[روز از ارسال سفارش]]</f>
        <v>0</v>
      </c>
      <c r="U1676" s="6">
        <f>-SUBTOTAL(9,INDEX(Main[مقدار (کیلوگرم)],1):Main[[#This Row],[مقدار (کیلوگرم)]])</f>
        <v>18349</v>
      </c>
      <c r="V167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6" s="6">
        <f>Main[[#This Row],[تعداد کل روزهای بدهکار (روز)]]*Main[[#This Row],[مانده در خط کل (کیلوگرم)]]</f>
        <v>55047</v>
      </c>
      <c r="X1676" s="6">
        <f ca="1">-SUBTOTAL(9,INDEX(Main[مقدار تسویه شده (کیلوگرم)],1):Main[[#This Row],[مقدار تسویه شده (کیلوگرم)]])</f>
        <v>18349</v>
      </c>
      <c r="Y1676" s="6">
        <f ca="1">IF(Main[[#This Row],[مانده در خط تسویه شده (کیلوگرم)]]&lt;&gt;0,Main[[#This Row],[تعداد کل روزهای بدهکار (روز)]],0)</f>
        <v>3</v>
      </c>
      <c r="Z1676" s="6">
        <f ca="1">Main[[#This Row],[تعداد روزهای بدهکار تسویه شده (روز)]]*Main[[#This Row],[مانده در خط تسویه شده (کیلوگرم)]]</f>
        <v>55047</v>
      </c>
      <c r="AA1676" s="6">
        <f ca="1">SUBTOTAL(9,INDEX(Main[بدهی تسویه نشده (کیلوگرم)],1):Main[[#This Row],[بدهی تسویه نشده (کیلوگرم)]])</f>
        <v>0</v>
      </c>
      <c r="AB1676" s="6">
        <f ca="1">IF(Main[[#This Row],[مانده در خط تسویه نشده (کیلوگرم)]]&lt;&gt;0,Main[[#This Row],[تعداد کل روزهای بدهکار (روز)]],0)</f>
        <v>0</v>
      </c>
      <c r="AC1676" s="6">
        <f ca="1">Main[[#This Row],[تعداد روزهای بدهکار  تسویه نشده (روز)]]*Main[[#This Row],[مانده در خط تسویه نشده (کیلوگرم)]]</f>
        <v>0</v>
      </c>
      <c r="AD1676" s="6">
        <f ca="1">SUBTOTAL(9,INDEX(Main[بدهی سررسید شده (کیلوگرم)],1):Main[[#This Row],[بدهی سررسید شده (کیلوگرم)]])</f>
        <v>0</v>
      </c>
      <c r="AE1676" s="6">
        <f ca="1">IF(Main[[#This Row],[مانده در خط سررسید شده (کیلوگرم)]]&lt;&gt;0,Main[[#This Row],[تعداد کل روزهای بدهکار (روز)]],0)</f>
        <v>0</v>
      </c>
      <c r="AF1676" s="6">
        <f ca="1">Main[[#This Row],[تعداد روزهای بدهکار سررسید شده (روز)]]*Main[[#This Row],[مانده در خط سررسید شده (کیلوگرم)]]</f>
        <v>0</v>
      </c>
    </row>
    <row r="1677" spans="1:32" hidden="1" x14ac:dyDescent="0.35">
      <c r="A1677" s="5">
        <f>ROW()-ROW(INDEX(Main[ردیف],1))+1</f>
        <v>1675</v>
      </c>
      <c r="B1677" s="31">
        <f>SUBTOTAL(2,INDEX(Main[ردیف],1):Main[[#This Row],[ردیف]])</f>
        <v>151</v>
      </c>
      <c r="C1677" s="32" t="s">
        <v>707</v>
      </c>
      <c r="D1677" s="32" t="str">
        <f>_xlfn.CONCAT("14",Main[[#This Row],[تاريخ]])</f>
        <v>1400/06/31</v>
      </c>
      <c r="E1677" s="33">
        <v>44461</v>
      </c>
      <c r="F1677" s="32">
        <v>30004</v>
      </c>
      <c r="G1677" s="5" t="str">
        <f>INDEX(customer[عنوان],MATCH(Main[[#This Row],[کد ردیابی]],customer[کد],0))</f>
        <v>تولیدی صنعتی صفاشیر پارس</v>
      </c>
      <c r="H1677">
        <v>4048</v>
      </c>
      <c r="I1677" s="6">
        <f ca="1">-Main[[#This Row],[بدهی تسویه شده (کیلوگرم)]]+Main[[#This Row],[بستانکار (کیلوگرم)]]</f>
        <v>4048</v>
      </c>
      <c r="J1677" s="6">
        <f>IF(Main[[#This Row],[مقدار (کیلوگرم)]]&gt;0,Main[[#This Row],[مقدار (کیلوگرم)]],0)</f>
        <v>4048</v>
      </c>
      <c r="K1677" s="6">
        <f>-IF(Main[[#This Row],[مقدار (کیلوگرم)]]&lt;0,Main[[#This Row],[مقدار (کیلوگرم)]],0)</f>
        <v>0</v>
      </c>
      <c r="L16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7" s="7">
        <f>-IF(AND(Main[[#This Row],[مقدار (کیلوگرم)]]&lt;0,Main[[#This Row],[تاريخ میلادی]]&gt;44276),Main[[#This Row],[مقدار (کیلوگرم)]],0)</f>
        <v>0</v>
      </c>
      <c r="N1677" s="6">
        <f ca="1">Main[[#This Row],[بدهکار (کیلوگرم)]]-Main[[#This Row],[بدهی تسویه نشده (کیلوگرم)]]</f>
        <v>0</v>
      </c>
      <c r="O1677" s="6">
        <f ca="1">Main[[#This Row],[تفکیک]]</f>
        <v>0</v>
      </c>
      <c r="P1677" s="6">
        <f ca="1">IF(Main[[#This Row],[تاخیر از سررسید]]&gt;0,Main[[#This Row],[بدهی تسویه نشده (کیلوگرم)]],0)</f>
        <v>0</v>
      </c>
      <c r="Q1677" s="6">
        <f ca="1">IF(Main[[#This Row],[بدهی تسویه نشده (کیلوگرم)]]&gt;0,'گزارش فردی'!$B$7-Main[[#This Row],[تاريخ میلادی]],0)</f>
        <v>0</v>
      </c>
      <c r="R1677" s="6">
        <f ca="1">IF(Main[[#This Row],[بدهی تسویه نشده (کیلوگرم)]]&gt;0,'گزارش فردی'!$B$7-Main[[#This Row],[تاريخ میلادی]]-'گزارش فردی'!$B$8,0)</f>
        <v>0</v>
      </c>
      <c r="S1677" s="6">
        <f ca="1">Main[[#This Row],[روز از ارسال سفارش]]*Main[[#This Row],[بدهی تسویه نشده (کیلوگرم)]]</f>
        <v>0</v>
      </c>
      <c r="T1677" s="6">
        <f ca="1">Main[[#This Row],[بدهی سررسید شده (کیلوگرم)]]*Main[[#This Row],[روز از ارسال سفارش]]</f>
        <v>0</v>
      </c>
      <c r="U1677" s="6">
        <f>-SUBTOTAL(9,INDEX(Main[مقدار (کیلوگرم)],1):Main[[#This Row],[مقدار (کیلوگرم)]])</f>
        <v>18349</v>
      </c>
      <c r="V167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7" s="6">
        <f>Main[[#This Row],[تعداد کل روزهای بدهکار (روز)]]*Main[[#This Row],[مانده در خط کل (کیلوگرم)]]</f>
        <v>55047</v>
      </c>
      <c r="X1677" s="6">
        <f ca="1">-SUBTOTAL(9,INDEX(Main[مقدار تسویه شده (کیلوگرم)],1):Main[[#This Row],[مقدار تسویه شده (کیلوگرم)]])</f>
        <v>18349</v>
      </c>
      <c r="Y1677" s="6">
        <f ca="1">IF(Main[[#This Row],[مانده در خط تسویه شده (کیلوگرم)]]&lt;&gt;0,Main[[#This Row],[تعداد کل روزهای بدهکار (روز)]],0)</f>
        <v>3</v>
      </c>
      <c r="Z1677" s="6">
        <f ca="1">Main[[#This Row],[تعداد روزهای بدهکار تسویه شده (روز)]]*Main[[#This Row],[مانده در خط تسویه شده (کیلوگرم)]]</f>
        <v>55047</v>
      </c>
      <c r="AA1677" s="6">
        <f ca="1">SUBTOTAL(9,INDEX(Main[بدهی تسویه نشده (کیلوگرم)],1):Main[[#This Row],[بدهی تسویه نشده (کیلوگرم)]])</f>
        <v>0</v>
      </c>
      <c r="AB1677" s="6">
        <f ca="1">IF(Main[[#This Row],[مانده در خط تسویه نشده (کیلوگرم)]]&lt;&gt;0,Main[[#This Row],[تعداد کل روزهای بدهکار (روز)]],0)</f>
        <v>0</v>
      </c>
      <c r="AC1677" s="6">
        <f ca="1">Main[[#This Row],[تعداد روزهای بدهکار  تسویه نشده (روز)]]*Main[[#This Row],[مانده در خط تسویه نشده (کیلوگرم)]]</f>
        <v>0</v>
      </c>
      <c r="AD1677" s="6">
        <f ca="1">SUBTOTAL(9,INDEX(Main[بدهی سررسید شده (کیلوگرم)],1):Main[[#This Row],[بدهی سررسید شده (کیلوگرم)]])</f>
        <v>0</v>
      </c>
      <c r="AE1677" s="6">
        <f ca="1">IF(Main[[#This Row],[مانده در خط سررسید شده (کیلوگرم)]]&lt;&gt;0,Main[[#This Row],[تعداد کل روزهای بدهکار (روز)]],0)</f>
        <v>0</v>
      </c>
      <c r="AF1677" s="6">
        <f ca="1">Main[[#This Row],[تعداد روزهای بدهکار سررسید شده (روز)]]*Main[[#This Row],[مانده در خط سررسید شده (کیلوگرم)]]</f>
        <v>0</v>
      </c>
    </row>
    <row r="1678" spans="1:32" hidden="1" x14ac:dyDescent="0.35">
      <c r="A1678" s="5">
        <f>ROW()-ROW(INDEX(Main[ردیف],1))+1</f>
        <v>1676</v>
      </c>
      <c r="B1678" s="31">
        <f>SUBTOTAL(2,INDEX(Main[ردیف],1):Main[[#This Row],[ردیف]])</f>
        <v>151</v>
      </c>
      <c r="C1678" s="32" t="s">
        <v>707</v>
      </c>
      <c r="D1678" s="32" t="str">
        <f>_xlfn.CONCAT("14",Main[[#This Row],[تاريخ]])</f>
        <v>1400/06/31</v>
      </c>
      <c r="E1678" s="33">
        <v>44461</v>
      </c>
      <c r="F1678" s="32">
        <v>30009</v>
      </c>
      <c r="G1678" s="5" t="str">
        <f>INDEX(customer[عنوان],MATCH(Main[[#This Row],[کد ردیابی]],customer[کد],0))</f>
        <v>شرکت ایمن تک پیشرو</v>
      </c>
      <c r="H1678">
        <v>-502</v>
      </c>
      <c r="I1678" s="6">
        <f ca="1">-Main[[#This Row],[بدهی تسویه شده (کیلوگرم)]]+Main[[#This Row],[بستانکار (کیلوگرم)]]</f>
        <v>-502</v>
      </c>
      <c r="J1678" s="6">
        <f>IF(Main[[#This Row],[مقدار (کیلوگرم)]]&gt;0,Main[[#This Row],[مقدار (کیلوگرم)]],0)</f>
        <v>0</v>
      </c>
      <c r="K1678" s="6">
        <f>-IF(Main[[#This Row],[مقدار (کیلوگرم)]]&lt;0,Main[[#This Row],[مقدار (کیلوگرم)]],0)</f>
        <v>502</v>
      </c>
      <c r="L16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8" s="7">
        <f>-IF(AND(Main[[#This Row],[مقدار (کیلوگرم)]]&lt;0,Main[[#This Row],[تاريخ میلادی]]&gt;44276),Main[[#This Row],[مقدار (کیلوگرم)]],0)</f>
        <v>502</v>
      </c>
      <c r="N1678" s="6">
        <f ca="1">Main[[#This Row],[بدهکار (کیلوگرم)]]-Main[[#This Row],[بدهی تسویه نشده (کیلوگرم)]]</f>
        <v>502</v>
      </c>
      <c r="O1678" s="6">
        <f ca="1">Main[[#This Row],[تفکیک]]</f>
        <v>0</v>
      </c>
      <c r="P1678" s="6">
        <f ca="1">IF(Main[[#This Row],[تاخیر از سررسید]]&gt;0,Main[[#This Row],[بدهی تسویه نشده (کیلوگرم)]],0)</f>
        <v>0</v>
      </c>
      <c r="Q1678" s="6">
        <f ca="1">IF(Main[[#This Row],[بدهی تسویه نشده (کیلوگرم)]]&gt;0,'گزارش فردی'!$B$7-Main[[#This Row],[تاريخ میلادی]],0)</f>
        <v>0</v>
      </c>
      <c r="R1678" s="6">
        <f ca="1">IF(Main[[#This Row],[بدهی تسویه نشده (کیلوگرم)]]&gt;0,'گزارش فردی'!$B$7-Main[[#This Row],[تاريخ میلادی]]-'گزارش فردی'!$B$8,0)</f>
        <v>0</v>
      </c>
      <c r="S1678" s="6">
        <f ca="1">Main[[#This Row],[روز از ارسال سفارش]]*Main[[#This Row],[بدهی تسویه نشده (کیلوگرم)]]</f>
        <v>0</v>
      </c>
      <c r="T1678" s="6">
        <f ca="1">Main[[#This Row],[بدهی سررسید شده (کیلوگرم)]]*Main[[#This Row],[روز از ارسال سفارش]]</f>
        <v>0</v>
      </c>
      <c r="U1678" s="6">
        <f>-SUBTOTAL(9,INDEX(Main[مقدار (کیلوگرم)],1):Main[[#This Row],[مقدار (کیلوگرم)]])</f>
        <v>18349</v>
      </c>
      <c r="V167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8" s="6">
        <f>Main[[#This Row],[تعداد کل روزهای بدهکار (روز)]]*Main[[#This Row],[مانده در خط کل (کیلوگرم)]]</f>
        <v>55047</v>
      </c>
      <c r="X1678" s="6">
        <f ca="1">-SUBTOTAL(9,INDEX(Main[مقدار تسویه شده (کیلوگرم)],1):Main[[#This Row],[مقدار تسویه شده (کیلوگرم)]])</f>
        <v>18349</v>
      </c>
      <c r="Y1678" s="6">
        <f ca="1">IF(Main[[#This Row],[مانده در خط تسویه شده (کیلوگرم)]]&lt;&gt;0,Main[[#This Row],[تعداد کل روزهای بدهکار (روز)]],0)</f>
        <v>3</v>
      </c>
      <c r="Z1678" s="6">
        <f ca="1">Main[[#This Row],[تعداد روزهای بدهکار تسویه شده (روز)]]*Main[[#This Row],[مانده در خط تسویه شده (کیلوگرم)]]</f>
        <v>55047</v>
      </c>
      <c r="AA1678" s="6">
        <f ca="1">SUBTOTAL(9,INDEX(Main[بدهی تسویه نشده (کیلوگرم)],1):Main[[#This Row],[بدهی تسویه نشده (کیلوگرم)]])</f>
        <v>0</v>
      </c>
      <c r="AB1678" s="6">
        <f ca="1">IF(Main[[#This Row],[مانده در خط تسویه نشده (کیلوگرم)]]&lt;&gt;0,Main[[#This Row],[تعداد کل روزهای بدهکار (روز)]],0)</f>
        <v>0</v>
      </c>
      <c r="AC1678" s="6">
        <f ca="1">Main[[#This Row],[تعداد روزهای بدهکار  تسویه نشده (روز)]]*Main[[#This Row],[مانده در خط تسویه نشده (کیلوگرم)]]</f>
        <v>0</v>
      </c>
      <c r="AD1678" s="6">
        <f ca="1">SUBTOTAL(9,INDEX(Main[بدهی سررسید شده (کیلوگرم)],1):Main[[#This Row],[بدهی سررسید شده (کیلوگرم)]])</f>
        <v>0</v>
      </c>
      <c r="AE1678" s="6">
        <f ca="1">IF(Main[[#This Row],[مانده در خط سررسید شده (کیلوگرم)]]&lt;&gt;0,Main[[#This Row],[تعداد کل روزهای بدهکار (روز)]],0)</f>
        <v>0</v>
      </c>
      <c r="AF1678" s="6">
        <f ca="1">Main[[#This Row],[تعداد روزهای بدهکار سررسید شده (روز)]]*Main[[#This Row],[مانده در خط سررسید شده (کیلوگرم)]]</f>
        <v>0</v>
      </c>
    </row>
    <row r="1679" spans="1:32" hidden="1" x14ac:dyDescent="0.35">
      <c r="A1679" s="5">
        <f>ROW()-ROW(INDEX(Main[ردیف],1))+1</f>
        <v>1677</v>
      </c>
      <c r="B1679" s="31">
        <f>SUBTOTAL(2,INDEX(Main[ردیف],1):Main[[#This Row],[ردیف]])</f>
        <v>151</v>
      </c>
      <c r="C1679" s="32" t="s">
        <v>707</v>
      </c>
      <c r="D1679" s="32" t="str">
        <f>_xlfn.CONCAT("14",Main[[#This Row],[تاريخ]])</f>
        <v>1400/06/31</v>
      </c>
      <c r="E1679" s="33">
        <v>44461</v>
      </c>
      <c r="F1679" s="32">
        <v>10128</v>
      </c>
      <c r="G1679" s="5" t="str">
        <f>INDEX(customer[عنوان],MATCH(Main[[#This Row],[کد ردیابی]],customer[کد],0))</f>
        <v xml:space="preserve">رویا اصلانی </v>
      </c>
      <c r="H1679">
        <v>147</v>
      </c>
      <c r="I1679" s="6">
        <f ca="1">-Main[[#This Row],[بدهی تسویه شده (کیلوگرم)]]+Main[[#This Row],[بستانکار (کیلوگرم)]]</f>
        <v>147</v>
      </c>
      <c r="J1679" s="6">
        <f>IF(Main[[#This Row],[مقدار (کیلوگرم)]]&gt;0,Main[[#This Row],[مقدار (کیلوگرم)]],0)</f>
        <v>147</v>
      </c>
      <c r="K1679" s="6">
        <f>-IF(Main[[#This Row],[مقدار (کیلوگرم)]]&lt;0,Main[[#This Row],[مقدار (کیلوگرم)]],0)</f>
        <v>0</v>
      </c>
      <c r="L16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9" s="7">
        <f>-IF(AND(Main[[#This Row],[مقدار (کیلوگرم)]]&lt;0,Main[[#This Row],[تاريخ میلادی]]&gt;44276),Main[[#This Row],[مقدار (کیلوگرم)]],0)</f>
        <v>0</v>
      </c>
      <c r="N1679" s="6">
        <f ca="1">Main[[#This Row],[بدهکار (کیلوگرم)]]-Main[[#This Row],[بدهی تسویه نشده (کیلوگرم)]]</f>
        <v>0</v>
      </c>
      <c r="O1679" s="6">
        <f ca="1">Main[[#This Row],[تفکیک]]</f>
        <v>0</v>
      </c>
      <c r="P1679" s="6">
        <f ca="1">IF(Main[[#This Row],[تاخیر از سررسید]]&gt;0,Main[[#This Row],[بدهی تسویه نشده (کیلوگرم)]],0)</f>
        <v>0</v>
      </c>
      <c r="Q1679" s="6">
        <f ca="1">IF(Main[[#This Row],[بدهی تسویه نشده (کیلوگرم)]]&gt;0,'گزارش فردی'!$B$7-Main[[#This Row],[تاريخ میلادی]],0)</f>
        <v>0</v>
      </c>
      <c r="R1679" s="6">
        <f ca="1">IF(Main[[#This Row],[بدهی تسویه نشده (کیلوگرم)]]&gt;0,'گزارش فردی'!$B$7-Main[[#This Row],[تاريخ میلادی]]-'گزارش فردی'!$B$8,0)</f>
        <v>0</v>
      </c>
      <c r="S1679" s="6">
        <f ca="1">Main[[#This Row],[روز از ارسال سفارش]]*Main[[#This Row],[بدهی تسویه نشده (کیلوگرم)]]</f>
        <v>0</v>
      </c>
      <c r="T1679" s="6">
        <f ca="1">Main[[#This Row],[بدهی سررسید شده (کیلوگرم)]]*Main[[#This Row],[روز از ارسال سفارش]]</f>
        <v>0</v>
      </c>
      <c r="U1679" s="6">
        <f>-SUBTOTAL(9,INDEX(Main[مقدار (کیلوگرم)],1):Main[[#This Row],[مقدار (کیلوگرم)]])</f>
        <v>18349</v>
      </c>
      <c r="V167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9" s="6">
        <f>Main[[#This Row],[تعداد کل روزهای بدهکار (روز)]]*Main[[#This Row],[مانده در خط کل (کیلوگرم)]]</f>
        <v>55047</v>
      </c>
      <c r="X1679" s="6">
        <f ca="1">-SUBTOTAL(9,INDEX(Main[مقدار تسویه شده (کیلوگرم)],1):Main[[#This Row],[مقدار تسویه شده (کیلوگرم)]])</f>
        <v>18349</v>
      </c>
      <c r="Y1679" s="6">
        <f ca="1">IF(Main[[#This Row],[مانده در خط تسویه شده (کیلوگرم)]]&lt;&gt;0,Main[[#This Row],[تعداد کل روزهای بدهکار (روز)]],0)</f>
        <v>3</v>
      </c>
      <c r="Z1679" s="6">
        <f ca="1">Main[[#This Row],[تعداد روزهای بدهکار تسویه شده (روز)]]*Main[[#This Row],[مانده در خط تسویه شده (کیلوگرم)]]</f>
        <v>55047</v>
      </c>
      <c r="AA1679" s="6">
        <f ca="1">SUBTOTAL(9,INDEX(Main[بدهی تسویه نشده (کیلوگرم)],1):Main[[#This Row],[بدهی تسویه نشده (کیلوگرم)]])</f>
        <v>0</v>
      </c>
      <c r="AB1679" s="6">
        <f ca="1">IF(Main[[#This Row],[مانده در خط تسویه نشده (کیلوگرم)]]&lt;&gt;0,Main[[#This Row],[تعداد کل روزهای بدهکار (روز)]],0)</f>
        <v>0</v>
      </c>
      <c r="AC1679" s="6">
        <f ca="1">Main[[#This Row],[تعداد روزهای بدهکار  تسویه نشده (روز)]]*Main[[#This Row],[مانده در خط تسویه نشده (کیلوگرم)]]</f>
        <v>0</v>
      </c>
      <c r="AD1679" s="6">
        <f ca="1">SUBTOTAL(9,INDEX(Main[بدهی سررسید شده (کیلوگرم)],1):Main[[#This Row],[بدهی سررسید شده (کیلوگرم)]])</f>
        <v>0</v>
      </c>
      <c r="AE1679" s="6">
        <f ca="1">IF(Main[[#This Row],[مانده در خط سررسید شده (کیلوگرم)]]&lt;&gt;0,Main[[#This Row],[تعداد کل روزهای بدهکار (روز)]],0)</f>
        <v>0</v>
      </c>
      <c r="AF1679" s="6">
        <f ca="1">Main[[#This Row],[تعداد روزهای بدهکار سررسید شده (روز)]]*Main[[#This Row],[مانده در خط سررسید شده (کیلوگرم)]]</f>
        <v>0</v>
      </c>
    </row>
    <row r="1680" spans="1:32" hidden="1" x14ac:dyDescent="0.35">
      <c r="A1680" s="5">
        <f>ROW()-ROW(INDEX(Main[ردیف],1))+1</f>
        <v>1678</v>
      </c>
      <c r="B1680" s="31">
        <f>SUBTOTAL(2,INDEX(Main[ردیف],1):Main[[#This Row],[ردیف]])</f>
        <v>151</v>
      </c>
      <c r="C1680" s="32" t="s">
        <v>707</v>
      </c>
      <c r="D1680" s="32" t="str">
        <f>_xlfn.CONCAT("14",Main[[#This Row],[تاريخ]])</f>
        <v>1400/06/31</v>
      </c>
      <c r="E1680" s="33">
        <v>44461</v>
      </c>
      <c r="F1680" s="32">
        <v>30058</v>
      </c>
      <c r="G1680" s="5" t="str">
        <f>INDEX(customer[عنوان],MATCH(Main[[#This Row],[کد ردیابی]],customer[کد],0))</f>
        <v xml:space="preserve">پارس شیر </v>
      </c>
      <c r="H1680">
        <v>-3181</v>
      </c>
      <c r="I1680" s="6">
        <f ca="1">-Main[[#This Row],[بدهی تسویه شده (کیلوگرم)]]+Main[[#This Row],[بستانکار (کیلوگرم)]]</f>
        <v>-3181</v>
      </c>
      <c r="J1680" s="6">
        <f>IF(Main[[#This Row],[مقدار (کیلوگرم)]]&gt;0,Main[[#This Row],[مقدار (کیلوگرم)]],0)</f>
        <v>0</v>
      </c>
      <c r="K1680" s="6">
        <f>-IF(Main[[#This Row],[مقدار (کیلوگرم)]]&lt;0,Main[[#This Row],[مقدار (کیلوگرم)]],0)</f>
        <v>3181</v>
      </c>
      <c r="L16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0" s="7">
        <f>-IF(AND(Main[[#This Row],[مقدار (کیلوگرم)]]&lt;0,Main[[#This Row],[تاريخ میلادی]]&gt;44276),Main[[#This Row],[مقدار (کیلوگرم)]],0)</f>
        <v>3181</v>
      </c>
      <c r="N1680" s="6">
        <f ca="1">Main[[#This Row],[بدهکار (کیلوگرم)]]-Main[[#This Row],[بدهی تسویه نشده (کیلوگرم)]]</f>
        <v>3181</v>
      </c>
      <c r="O1680" s="6">
        <f ca="1">Main[[#This Row],[تفکیک]]</f>
        <v>0</v>
      </c>
      <c r="P1680" s="6">
        <f ca="1">IF(Main[[#This Row],[تاخیر از سررسید]]&gt;0,Main[[#This Row],[بدهی تسویه نشده (کیلوگرم)]],0)</f>
        <v>0</v>
      </c>
      <c r="Q1680" s="6">
        <f ca="1">IF(Main[[#This Row],[بدهی تسویه نشده (کیلوگرم)]]&gt;0,'گزارش فردی'!$B$7-Main[[#This Row],[تاريخ میلادی]],0)</f>
        <v>0</v>
      </c>
      <c r="R1680" s="6">
        <f ca="1">IF(Main[[#This Row],[بدهی تسویه نشده (کیلوگرم)]]&gt;0,'گزارش فردی'!$B$7-Main[[#This Row],[تاريخ میلادی]]-'گزارش فردی'!$B$8,0)</f>
        <v>0</v>
      </c>
      <c r="S1680" s="6">
        <f ca="1">Main[[#This Row],[روز از ارسال سفارش]]*Main[[#This Row],[بدهی تسویه نشده (کیلوگرم)]]</f>
        <v>0</v>
      </c>
      <c r="T1680" s="6">
        <f ca="1">Main[[#This Row],[بدهی سررسید شده (کیلوگرم)]]*Main[[#This Row],[روز از ارسال سفارش]]</f>
        <v>0</v>
      </c>
      <c r="U1680" s="6">
        <f>-SUBTOTAL(9,INDEX(Main[مقدار (کیلوگرم)],1):Main[[#This Row],[مقدار (کیلوگرم)]])</f>
        <v>18349</v>
      </c>
      <c r="V168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0" s="6">
        <f>Main[[#This Row],[تعداد کل روزهای بدهکار (روز)]]*Main[[#This Row],[مانده در خط کل (کیلوگرم)]]</f>
        <v>55047</v>
      </c>
      <c r="X1680" s="6">
        <f ca="1">-SUBTOTAL(9,INDEX(Main[مقدار تسویه شده (کیلوگرم)],1):Main[[#This Row],[مقدار تسویه شده (کیلوگرم)]])</f>
        <v>18349</v>
      </c>
      <c r="Y1680" s="6">
        <f ca="1">IF(Main[[#This Row],[مانده در خط تسویه شده (کیلوگرم)]]&lt;&gt;0,Main[[#This Row],[تعداد کل روزهای بدهکار (روز)]],0)</f>
        <v>3</v>
      </c>
      <c r="Z1680" s="6">
        <f ca="1">Main[[#This Row],[تعداد روزهای بدهکار تسویه شده (روز)]]*Main[[#This Row],[مانده در خط تسویه شده (کیلوگرم)]]</f>
        <v>55047</v>
      </c>
      <c r="AA1680" s="6">
        <f ca="1">SUBTOTAL(9,INDEX(Main[بدهی تسویه نشده (کیلوگرم)],1):Main[[#This Row],[بدهی تسویه نشده (کیلوگرم)]])</f>
        <v>0</v>
      </c>
      <c r="AB1680" s="6">
        <f ca="1">IF(Main[[#This Row],[مانده در خط تسویه نشده (کیلوگرم)]]&lt;&gt;0,Main[[#This Row],[تعداد کل روزهای بدهکار (روز)]],0)</f>
        <v>0</v>
      </c>
      <c r="AC1680" s="6">
        <f ca="1">Main[[#This Row],[تعداد روزهای بدهکار  تسویه نشده (روز)]]*Main[[#This Row],[مانده در خط تسویه نشده (کیلوگرم)]]</f>
        <v>0</v>
      </c>
      <c r="AD1680" s="6">
        <f ca="1">SUBTOTAL(9,INDEX(Main[بدهی سررسید شده (کیلوگرم)],1):Main[[#This Row],[بدهی سررسید شده (کیلوگرم)]])</f>
        <v>0</v>
      </c>
      <c r="AE1680" s="6">
        <f ca="1">IF(Main[[#This Row],[مانده در خط سررسید شده (کیلوگرم)]]&lt;&gt;0,Main[[#This Row],[تعداد کل روزهای بدهکار (روز)]],0)</f>
        <v>0</v>
      </c>
      <c r="AF1680" s="6">
        <f ca="1">Main[[#This Row],[تعداد روزهای بدهکار سررسید شده (روز)]]*Main[[#This Row],[مانده در خط سررسید شده (کیلوگرم)]]</f>
        <v>0</v>
      </c>
    </row>
    <row r="1681" spans="1:32" hidden="1" x14ac:dyDescent="0.35">
      <c r="A1681" s="5">
        <f>ROW()-ROW(INDEX(Main[ردیف],1))+1</f>
        <v>1679</v>
      </c>
      <c r="B1681" s="31">
        <f>SUBTOTAL(2,INDEX(Main[ردیف],1):Main[[#This Row],[ردیف]])</f>
        <v>151</v>
      </c>
      <c r="C1681" s="32" t="s">
        <v>707</v>
      </c>
      <c r="D1681" s="32" t="str">
        <f>_xlfn.CONCAT("14",Main[[#This Row],[تاريخ]])</f>
        <v>1400/06/31</v>
      </c>
      <c r="E1681" s="33">
        <v>44461</v>
      </c>
      <c r="F1681" s="32">
        <v>30009</v>
      </c>
      <c r="G1681" s="5" t="str">
        <f>INDEX(customer[عنوان],MATCH(Main[[#This Row],[کد ردیابی]],customer[کد],0))</f>
        <v>شرکت ایمن تک پیشرو</v>
      </c>
      <c r="H1681">
        <v>1876</v>
      </c>
      <c r="I1681" s="6">
        <f ca="1">-Main[[#This Row],[بدهی تسویه شده (کیلوگرم)]]+Main[[#This Row],[بستانکار (کیلوگرم)]]</f>
        <v>1876</v>
      </c>
      <c r="J1681" s="6">
        <f>IF(Main[[#This Row],[مقدار (کیلوگرم)]]&gt;0,Main[[#This Row],[مقدار (کیلوگرم)]],0)</f>
        <v>1876</v>
      </c>
      <c r="K1681" s="6">
        <f>-IF(Main[[#This Row],[مقدار (کیلوگرم)]]&lt;0,Main[[#This Row],[مقدار (کیلوگرم)]],0)</f>
        <v>0</v>
      </c>
      <c r="L16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1" s="7">
        <f>-IF(AND(Main[[#This Row],[مقدار (کیلوگرم)]]&lt;0,Main[[#This Row],[تاريخ میلادی]]&gt;44276),Main[[#This Row],[مقدار (کیلوگرم)]],0)</f>
        <v>0</v>
      </c>
      <c r="N1681" s="6">
        <f ca="1">Main[[#This Row],[بدهکار (کیلوگرم)]]-Main[[#This Row],[بدهی تسویه نشده (کیلوگرم)]]</f>
        <v>0</v>
      </c>
      <c r="O1681" s="6">
        <f ca="1">Main[[#This Row],[تفکیک]]</f>
        <v>0</v>
      </c>
      <c r="P1681" s="6">
        <f ca="1">IF(Main[[#This Row],[تاخیر از سررسید]]&gt;0,Main[[#This Row],[بدهی تسویه نشده (کیلوگرم)]],0)</f>
        <v>0</v>
      </c>
      <c r="Q1681" s="6">
        <f ca="1">IF(Main[[#This Row],[بدهی تسویه نشده (کیلوگرم)]]&gt;0,'گزارش فردی'!$B$7-Main[[#This Row],[تاريخ میلادی]],0)</f>
        <v>0</v>
      </c>
      <c r="R1681" s="6">
        <f ca="1">IF(Main[[#This Row],[بدهی تسویه نشده (کیلوگرم)]]&gt;0,'گزارش فردی'!$B$7-Main[[#This Row],[تاريخ میلادی]]-'گزارش فردی'!$B$8,0)</f>
        <v>0</v>
      </c>
      <c r="S1681" s="6">
        <f ca="1">Main[[#This Row],[روز از ارسال سفارش]]*Main[[#This Row],[بدهی تسویه نشده (کیلوگرم)]]</f>
        <v>0</v>
      </c>
      <c r="T1681" s="6">
        <f ca="1">Main[[#This Row],[بدهی سررسید شده (کیلوگرم)]]*Main[[#This Row],[روز از ارسال سفارش]]</f>
        <v>0</v>
      </c>
      <c r="U1681" s="6">
        <f>-SUBTOTAL(9,INDEX(Main[مقدار (کیلوگرم)],1):Main[[#This Row],[مقدار (کیلوگرم)]])</f>
        <v>18349</v>
      </c>
      <c r="V168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1" s="6">
        <f>Main[[#This Row],[تعداد کل روزهای بدهکار (روز)]]*Main[[#This Row],[مانده در خط کل (کیلوگرم)]]</f>
        <v>55047</v>
      </c>
      <c r="X1681" s="6">
        <f ca="1">-SUBTOTAL(9,INDEX(Main[مقدار تسویه شده (کیلوگرم)],1):Main[[#This Row],[مقدار تسویه شده (کیلوگرم)]])</f>
        <v>18349</v>
      </c>
      <c r="Y1681" s="6">
        <f ca="1">IF(Main[[#This Row],[مانده در خط تسویه شده (کیلوگرم)]]&lt;&gt;0,Main[[#This Row],[تعداد کل روزهای بدهکار (روز)]],0)</f>
        <v>3</v>
      </c>
      <c r="Z1681" s="6">
        <f ca="1">Main[[#This Row],[تعداد روزهای بدهکار تسویه شده (روز)]]*Main[[#This Row],[مانده در خط تسویه شده (کیلوگرم)]]</f>
        <v>55047</v>
      </c>
      <c r="AA1681" s="6">
        <f ca="1">SUBTOTAL(9,INDEX(Main[بدهی تسویه نشده (کیلوگرم)],1):Main[[#This Row],[بدهی تسویه نشده (کیلوگرم)]])</f>
        <v>0</v>
      </c>
      <c r="AB1681" s="6">
        <f ca="1">IF(Main[[#This Row],[مانده در خط تسویه نشده (کیلوگرم)]]&lt;&gt;0,Main[[#This Row],[تعداد کل روزهای بدهکار (روز)]],0)</f>
        <v>0</v>
      </c>
      <c r="AC1681" s="6">
        <f ca="1">Main[[#This Row],[تعداد روزهای بدهکار  تسویه نشده (روز)]]*Main[[#This Row],[مانده در خط تسویه نشده (کیلوگرم)]]</f>
        <v>0</v>
      </c>
      <c r="AD1681" s="6">
        <f ca="1">SUBTOTAL(9,INDEX(Main[بدهی سررسید شده (کیلوگرم)],1):Main[[#This Row],[بدهی سررسید شده (کیلوگرم)]])</f>
        <v>0</v>
      </c>
      <c r="AE1681" s="6">
        <f ca="1">IF(Main[[#This Row],[مانده در خط سررسید شده (کیلوگرم)]]&lt;&gt;0,Main[[#This Row],[تعداد کل روزهای بدهکار (روز)]],0)</f>
        <v>0</v>
      </c>
      <c r="AF1681" s="6">
        <f ca="1">Main[[#This Row],[تعداد روزهای بدهکار سررسید شده (روز)]]*Main[[#This Row],[مانده در خط سررسید شده (کیلوگرم)]]</f>
        <v>0</v>
      </c>
    </row>
    <row r="1682" spans="1:32" hidden="1" x14ac:dyDescent="0.35">
      <c r="A1682" s="5">
        <f>ROW()-ROW(INDEX(Main[ردیف],1))+1</f>
        <v>1680</v>
      </c>
      <c r="B1682" s="31">
        <f>SUBTOTAL(2,INDEX(Main[ردیف],1):Main[[#This Row],[ردیف]])</f>
        <v>151</v>
      </c>
      <c r="C1682" s="32" t="s">
        <v>707</v>
      </c>
      <c r="D1682" s="32" t="str">
        <f>_xlfn.CONCAT("14",Main[[#This Row],[تاريخ]])</f>
        <v>1400/06/31</v>
      </c>
      <c r="E1682" s="33">
        <v>44461</v>
      </c>
      <c r="F1682" s="32">
        <v>30004</v>
      </c>
      <c r="G1682" s="5" t="str">
        <f>INDEX(customer[عنوان],MATCH(Main[[#This Row],[کد ردیابی]],customer[کد],0))</f>
        <v>تولیدی صنعتی صفاشیر پارس</v>
      </c>
      <c r="H1682">
        <v>360</v>
      </c>
      <c r="I1682" s="6">
        <f ca="1">-Main[[#This Row],[بدهی تسویه شده (کیلوگرم)]]+Main[[#This Row],[بستانکار (کیلوگرم)]]</f>
        <v>360</v>
      </c>
      <c r="J1682" s="6">
        <f>IF(Main[[#This Row],[مقدار (کیلوگرم)]]&gt;0,Main[[#This Row],[مقدار (کیلوگرم)]],0)</f>
        <v>360</v>
      </c>
      <c r="K1682" s="6">
        <f>-IF(Main[[#This Row],[مقدار (کیلوگرم)]]&lt;0,Main[[#This Row],[مقدار (کیلوگرم)]],0)</f>
        <v>0</v>
      </c>
      <c r="L16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2" s="7">
        <f>-IF(AND(Main[[#This Row],[مقدار (کیلوگرم)]]&lt;0,Main[[#This Row],[تاريخ میلادی]]&gt;44276),Main[[#This Row],[مقدار (کیلوگرم)]],0)</f>
        <v>0</v>
      </c>
      <c r="N1682" s="6">
        <f ca="1">Main[[#This Row],[بدهکار (کیلوگرم)]]-Main[[#This Row],[بدهی تسویه نشده (کیلوگرم)]]</f>
        <v>0</v>
      </c>
      <c r="O1682" s="6">
        <f ca="1">Main[[#This Row],[تفکیک]]</f>
        <v>0</v>
      </c>
      <c r="P1682" s="6">
        <f ca="1">IF(Main[[#This Row],[تاخیر از سررسید]]&gt;0,Main[[#This Row],[بدهی تسویه نشده (کیلوگرم)]],0)</f>
        <v>0</v>
      </c>
      <c r="Q1682" s="6">
        <f ca="1">IF(Main[[#This Row],[بدهی تسویه نشده (کیلوگرم)]]&gt;0,'گزارش فردی'!$B$7-Main[[#This Row],[تاريخ میلادی]],0)</f>
        <v>0</v>
      </c>
      <c r="R1682" s="6">
        <f ca="1">IF(Main[[#This Row],[بدهی تسویه نشده (کیلوگرم)]]&gt;0,'گزارش فردی'!$B$7-Main[[#This Row],[تاريخ میلادی]]-'گزارش فردی'!$B$8,0)</f>
        <v>0</v>
      </c>
      <c r="S1682" s="6">
        <f ca="1">Main[[#This Row],[روز از ارسال سفارش]]*Main[[#This Row],[بدهی تسویه نشده (کیلوگرم)]]</f>
        <v>0</v>
      </c>
      <c r="T1682" s="6">
        <f ca="1">Main[[#This Row],[بدهی سررسید شده (کیلوگرم)]]*Main[[#This Row],[روز از ارسال سفارش]]</f>
        <v>0</v>
      </c>
      <c r="U1682" s="6">
        <f>-SUBTOTAL(9,INDEX(Main[مقدار (کیلوگرم)],1):Main[[#This Row],[مقدار (کیلوگرم)]])</f>
        <v>18349</v>
      </c>
      <c r="V168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2" s="6">
        <f>Main[[#This Row],[تعداد کل روزهای بدهکار (روز)]]*Main[[#This Row],[مانده در خط کل (کیلوگرم)]]</f>
        <v>55047</v>
      </c>
      <c r="X1682" s="6">
        <f ca="1">-SUBTOTAL(9,INDEX(Main[مقدار تسویه شده (کیلوگرم)],1):Main[[#This Row],[مقدار تسویه شده (کیلوگرم)]])</f>
        <v>18349</v>
      </c>
      <c r="Y1682" s="6">
        <f ca="1">IF(Main[[#This Row],[مانده در خط تسویه شده (کیلوگرم)]]&lt;&gt;0,Main[[#This Row],[تعداد کل روزهای بدهکار (روز)]],0)</f>
        <v>3</v>
      </c>
      <c r="Z1682" s="6">
        <f ca="1">Main[[#This Row],[تعداد روزهای بدهکار تسویه شده (روز)]]*Main[[#This Row],[مانده در خط تسویه شده (کیلوگرم)]]</f>
        <v>55047</v>
      </c>
      <c r="AA1682" s="6">
        <f ca="1">SUBTOTAL(9,INDEX(Main[بدهی تسویه نشده (کیلوگرم)],1):Main[[#This Row],[بدهی تسویه نشده (کیلوگرم)]])</f>
        <v>0</v>
      </c>
      <c r="AB1682" s="6">
        <f ca="1">IF(Main[[#This Row],[مانده در خط تسویه نشده (کیلوگرم)]]&lt;&gt;0,Main[[#This Row],[تعداد کل روزهای بدهکار (روز)]],0)</f>
        <v>0</v>
      </c>
      <c r="AC1682" s="6">
        <f ca="1">Main[[#This Row],[تعداد روزهای بدهکار  تسویه نشده (روز)]]*Main[[#This Row],[مانده در خط تسویه نشده (کیلوگرم)]]</f>
        <v>0</v>
      </c>
      <c r="AD1682" s="6">
        <f ca="1">SUBTOTAL(9,INDEX(Main[بدهی سررسید شده (کیلوگرم)],1):Main[[#This Row],[بدهی سررسید شده (کیلوگرم)]])</f>
        <v>0</v>
      </c>
      <c r="AE1682" s="6">
        <f ca="1">IF(Main[[#This Row],[مانده در خط سررسید شده (کیلوگرم)]]&lt;&gt;0,Main[[#This Row],[تعداد کل روزهای بدهکار (روز)]],0)</f>
        <v>0</v>
      </c>
      <c r="AF1682" s="6">
        <f ca="1">Main[[#This Row],[تعداد روزهای بدهکار سررسید شده (روز)]]*Main[[#This Row],[مانده در خط سررسید شده (کیلوگرم)]]</f>
        <v>0</v>
      </c>
    </row>
    <row r="1683" spans="1:32" hidden="1" x14ac:dyDescent="0.35">
      <c r="A1683" s="5">
        <f>ROW()-ROW(INDEX(Main[ردیف],1))+1</f>
        <v>1681</v>
      </c>
      <c r="B1683" s="31">
        <f>SUBTOTAL(2,INDEX(Main[ردیف],1):Main[[#This Row],[ردیف]])</f>
        <v>151</v>
      </c>
      <c r="C1683" s="32" t="s">
        <v>707</v>
      </c>
      <c r="D1683" s="32" t="str">
        <f>_xlfn.CONCAT("14",Main[[#This Row],[تاريخ]])</f>
        <v>1400/06/31</v>
      </c>
      <c r="E1683" s="33">
        <v>44461</v>
      </c>
      <c r="F1683" s="32">
        <v>30004</v>
      </c>
      <c r="G1683" s="5" t="str">
        <f>INDEX(customer[عنوان],MATCH(Main[[#This Row],[کد ردیابی]],customer[کد],0))</f>
        <v>تولیدی صنعتی صفاشیر پارس</v>
      </c>
      <c r="H1683">
        <v>3326</v>
      </c>
      <c r="I1683" s="6">
        <f ca="1">-Main[[#This Row],[بدهی تسویه شده (کیلوگرم)]]+Main[[#This Row],[بستانکار (کیلوگرم)]]</f>
        <v>3326</v>
      </c>
      <c r="J1683" s="6">
        <f>IF(Main[[#This Row],[مقدار (کیلوگرم)]]&gt;0,Main[[#This Row],[مقدار (کیلوگرم)]],0)</f>
        <v>3326</v>
      </c>
      <c r="K1683" s="6">
        <f>-IF(Main[[#This Row],[مقدار (کیلوگرم)]]&lt;0,Main[[#This Row],[مقدار (کیلوگرم)]],0)</f>
        <v>0</v>
      </c>
      <c r="L16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3" s="7">
        <f>-IF(AND(Main[[#This Row],[مقدار (کیلوگرم)]]&lt;0,Main[[#This Row],[تاريخ میلادی]]&gt;44276),Main[[#This Row],[مقدار (کیلوگرم)]],0)</f>
        <v>0</v>
      </c>
      <c r="N1683" s="6">
        <f ca="1">Main[[#This Row],[بدهکار (کیلوگرم)]]-Main[[#This Row],[بدهی تسویه نشده (کیلوگرم)]]</f>
        <v>0</v>
      </c>
      <c r="O1683" s="6">
        <f ca="1">Main[[#This Row],[تفکیک]]</f>
        <v>0</v>
      </c>
      <c r="P1683" s="6">
        <f ca="1">IF(Main[[#This Row],[تاخیر از سررسید]]&gt;0,Main[[#This Row],[بدهی تسویه نشده (کیلوگرم)]],0)</f>
        <v>0</v>
      </c>
      <c r="Q1683" s="6">
        <f ca="1">IF(Main[[#This Row],[بدهی تسویه نشده (کیلوگرم)]]&gt;0,'گزارش فردی'!$B$7-Main[[#This Row],[تاريخ میلادی]],0)</f>
        <v>0</v>
      </c>
      <c r="R1683" s="6">
        <f ca="1">IF(Main[[#This Row],[بدهی تسویه نشده (کیلوگرم)]]&gt;0,'گزارش فردی'!$B$7-Main[[#This Row],[تاريخ میلادی]]-'گزارش فردی'!$B$8,0)</f>
        <v>0</v>
      </c>
      <c r="S1683" s="6">
        <f ca="1">Main[[#This Row],[روز از ارسال سفارش]]*Main[[#This Row],[بدهی تسویه نشده (کیلوگرم)]]</f>
        <v>0</v>
      </c>
      <c r="T1683" s="6">
        <f ca="1">Main[[#This Row],[بدهی سررسید شده (کیلوگرم)]]*Main[[#This Row],[روز از ارسال سفارش]]</f>
        <v>0</v>
      </c>
      <c r="U1683" s="6">
        <f>-SUBTOTAL(9,INDEX(Main[مقدار (کیلوگرم)],1):Main[[#This Row],[مقدار (کیلوگرم)]])</f>
        <v>18349</v>
      </c>
      <c r="V168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3" s="6">
        <f>Main[[#This Row],[تعداد کل روزهای بدهکار (روز)]]*Main[[#This Row],[مانده در خط کل (کیلوگرم)]]</f>
        <v>55047</v>
      </c>
      <c r="X1683" s="6">
        <f ca="1">-SUBTOTAL(9,INDEX(Main[مقدار تسویه شده (کیلوگرم)],1):Main[[#This Row],[مقدار تسویه شده (کیلوگرم)]])</f>
        <v>18349</v>
      </c>
      <c r="Y1683" s="6">
        <f ca="1">IF(Main[[#This Row],[مانده در خط تسویه شده (کیلوگرم)]]&lt;&gt;0,Main[[#This Row],[تعداد کل روزهای بدهکار (روز)]],0)</f>
        <v>3</v>
      </c>
      <c r="Z1683" s="6">
        <f ca="1">Main[[#This Row],[تعداد روزهای بدهکار تسویه شده (روز)]]*Main[[#This Row],[مانده در خط تسویه شده (کیلوگرم)]]</f>
        <v>55047</v>
      </c>
      <c r="AA1683" s="6">
        <f ca="1">SUBTOTAL(9,INDEX(Main[بدهی تسویه نشده (کیلوگرم)],1):Main[[#This Row],[بدهی تسویه نشده (کیلوگرم)]])</f>
        <v>0</v>
      </c>
      <c r="AB1683" s="6">
        <f ca="1">IF(Main[[#This Row],[مانده در خط تسویه نشده (کیلوگرم)]]&lt;&gt;0,Main[[#This Row],[تعداد کل روزهای بدهکار (روز)]],0)</f>
        <v>0</v>
      </c>
      <c r="AC1683" s="6">
        <f ca="1">Main[[#This Row],[تعداد روزهای بدهکار  تسویه نشده (روز)]]*Main[[#This Row],[مانده در خط تسویه نشده (کیلوگرم)]]</f>
        <v>0</v>
      </c>
      <c r="AD1683" s="6">
        <f ca="1">SUBTOTAL(9,INDEX(Main[بدهی سررسید شده (کیلوگرم)],1):Main[[#This Row],[بدهی سررسید شده (کیلوگرم)]])</f>
        <v>0</v>
      </c>
      <c r="AE1683" s="6">
        <f ca="1">IF(Main[[#This Row],[مانده در خط سررسید شده (کیلوگرم)]]&lt;&gt;0,Main[[#This Row],[تعداد کل روزهای بدهکار (روز)]],0)</f>
        <v>0</v>
      </c>
      <c r="AF1683" s="6">
        <f ca="1">Main[[#This Row],[تعداد روزهای بدهکار سررسید شده (روز)]]*Main[[#This Row],[مانده در خط سررسید شده (کیلوگرم)]]</f>
        <v>0</v>
      </c>
    </row>
    <row r="1684" spans="1:32" hidden="1" x14ac:dyDescent="0.35">
      <c r="A1684" s="5">
        <f>ROW()-ROW(INDEX(Main[ردیف],1))+1</f>
        <v>1682</v>
      </c>
      <c r="B1684" s="31">
        <f>SUBTOTAL(2,INDEX(Main[ردیف],1):Main[[#This Row],[ردیف]])</f>
        <v>151</v>
      </c>
      <c r="C1684" s="32" t="s">
        <v>708</v>
      </c>
      <c r="D1684" s="32" t="str">
        <f>_xlfn.CONCAT("14",Main[[#This Row],[تاريخ]])</f>
        <v>1400/07/01</v>
      </c>
      <c r="E1684" s="33">
        <v>44462</v>
      </c>
      <c r="F1684" s="32">
        <v>30155</v>
      </c>
      <c r="G1684" s="5" t="str">
        <f>INDEX(customer[عنوان],MATCH(Main[[#This Row],[کد ردیابی]],customer[کد],0))</f>
        <v>سری تراشی طاهری</v>
      </c>
      <c r="H1684">
        <v>-691</v>
      </c>
      <c r="I1684" s="6">
        <f ca="1">-Main[[#This Row],[بدهی تسویه شده (کیلوگرم)]]+Main[[#This Row],[بستانکار (کیلوگرم)]]</f>
        <v>-691</v>
      </c>
      <c r="J1684" s="6">
        <f>IF(Main[[#This Row],[مقدار (کیلوگرم)]]&gt;0,Main[[#This Row],[مقدار (کیلوگرم)]],0)</f>
        <v>0</v>
      </c>
      <c r="K1684" s="6">
        <f>-IF(Main[[#This Row],[مقدار (کیلوگرم)]]&lt;0,Main[[#This Row],[مقدار (کیلوگرم)]],0)</f>
        <v>691</v>
      </c>
      <c r="L16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4" s="7">
        <f>-IF(AND(Main[[#This Row],[مقدار (کیلوگرم)]]&lt;0,Main[[#This Row],[تاريخ میلادی]]&gt;44276),Main[[#This Row],[مقدار (کیلوگرم)]],0)</f>
        <v>691</v>
      </c>
      <c r="N1684" s="6">
        <f ca="1">Main[[#This Row],[بدهکار (کیلوگرم)]]-Main[[#This Row],[بدهی تسویه نشده (کیلوگرم)]]</f>
        <v>691</v>
      </c>
      <c r="O1684" s="6">
        <f ca="1">Main[[#This Row],[تفکیک]]</f>
        <v>0</v>
      </c>
      <c r="P1684" s="6">
        <f ca="1">IF(Main[[#This Row],[تاخیر از سررسید]]&gt;0,Main[[#This Row],[بدهی تسویه نشده (کیلوگرم)]],0)</f>
        <v>0</v>
      </c>
      <c r="Q1684" s="6">
        <f ca="1">IF(Main[[#This Row],[بدهی تسویه نشده (کیلوگرم)]]&gt;0,'گزارش فردی'!$B$7-Main[[#This Row],[تاريخ میلادی]],0)</f>
        <v>0</v>
      </c>
      <c r="R1684" s="6">
        <f ca="1">IF(Main[[#This Row],[بدهی تسویه نشده (کیلوگرم)]]&gt;0,'گزارش فردی'!$B$7-Main[[#This Row],[تاريخ میلادی]]-'گزارش فردی'!$B$8,0)</f>
        <v>0</v>
      </c>
      <c r="S1684" s="6">
        <f ca="1">Main[[#This Row],[روز از ارسال سفارش]]*Main[[#This Row],[بدهی تسویه نشده (کیلوگرم)]]</f>
        <v>0</v>
      </c>
      <c r="T1684" s="6">
        <f ca="1">Main[[#This Row],[بدهی سررسید شده (کیلوگرم)]]*Main[[#This Row],[روز از ارسال سفارش]]</f>
        <v>0</v>
      </c>
      <c r="U1684" s="6">
        <f>-SUBTOTAL(9,INDEX(Main[مقدار (کیلوگرم)],1):Main[[#This Row],[مقدار (کیلوگرم)]])</f>
        <v>18349</v>
      </c>
      <c r="V168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4" s="6">
        <f>Main[[#This Row],[تعداد کل روزهای بدهکار (روز)]]*Main[[#This Row],[مانده در خط کل (کیلوگرم)]]</f>
        <v>36698</v>
      </c>
      <c r="X1684" s="6">
        <f ca="1">-SUBTOTAL(9,INDEX(Main[مقدار تسویه شده (کیلوگرم)],1):Main[[#This Row],[مقدار تسویه شده (کیلوگرم)]])</f>
        <v>18349</v>
      </c>
      <c r="Y1684" s="6">
        <f ca="1">IF(Main[[#This Row],[مانده در خط تسویه شده (کیلوگرم)]]&lt;&gt;0,Main[[#This Row],[تعداد کل روزهای بدهکار (روز)]],0)</f>
        <v>2</v>
      </c>
      <c r="Z1684" s="6">
        <f ca="1">Main[[#This Row],[تعداد روزهای بدهکار تسویه شده (روز)]]*Main[[#This Row],[مانده در خط تسویه شده (کیلوگرم)]]</f>
        <v>36698</v>
      </c>
      <c r="AA1684" s="6">
        <f ca="1">SUBTOTAL(9,INDEX(Main[بدهی تسویه نشده (کیلوگرم)],1):Main[[#This Row],[بدهی تسویه نشده (کیلوگرم)]])</f>
        <v>0</v>
      </c>
      <c r="AB1684" s="6">
        <f ca="1">IF(Main[[#This Row],[مانده در خط تسویه نشده (کیلوگرم)]]&lt;&gt;0,Main[[#This Row],[تعداد کل روزهای بدهکار (روز)]],0)</f>
        <v>0</v>
      </c>
      <c r="AC1684" s="6">
        <f ca="1">Main[[#This Row],[تعداد روزهای بدهکار  تسویه نشده (روز)]]*Main[[#This Row],[مانده در خط تسویه نشده (کیلوگرم)]]</f>
        <v>0</v>
      </c>
      <c r="AD1684" s="6">
        <f ca="1">SUBTOTAL(9,INDEX(Main[بدهی سررسید شده (کیلوگرم)],1):Main[[#This Row],[بدهی سررسید شده (کیلوگرم)]])</f>
        <v>0</v>
      </c>
      <c r="AE1684" s="6">
        <f ca="1">IF(Main[[#This Row],[مانده در خط سررسید شده (کیلوگرم)]]&lt;&gt;0,Main[[#This Row],[تعداد کل روزهای بدهکار (روز)]],0)</f>
        <v>0</v>
      </c>
      <c r="AF1684" s="6">
        <f ca="1">Main[[#This Row],[تعداد روزهای بدهکار سررسید شده (روز)]]*Main[[#This Row],[مانده در خط سررسید شده (کیلوگرم)]]</f>
        <v>0</v>
      </c>
    </row>
    <row r="1685" spans="1:32" hidden="1" x14ac:dyDescent="0.35">
      <c r="A1685" s="5">
        <f>ROW()-ROW(INDEX(Main[ردیف],1))+1</f>
        <v>1683</v>
      </c>
      <c r="B1685" s="31">
        <f>SUBTOTAL(2,INDEX(Main[ردیف],1):Main[[#This Row],[ردیف]])</f>
        <v>151</v>
      </c>
      <c r="C1685" s="32" t="s">
        <v>708</v>
      </c>
      <c r="D1685" s="32" t="str">
        <f>_xlfn.CONCAT("14",Main[[#This Row],[تاريخ]])</f>
        <v>1400/07/01</v>
      </c>
      <c r="E1685" s="33">
        <v>44462</v>
      </c>
      <c r="F1685" s="32">
        <v>30155</v>
      </c>
      <c r="G1685" s="5" t="str">
        <f>INDEX(customer[عنوان],MATCH(Main[[#This Row],[کد ردیابی]],customer[کد],0))</f>
        <v>سری تراشی طاهری</v>
      </c>
      <c r="H1685">
        <v>290</v>
      </c>
      <c r="I1685" s="6">
        <f ca="1">-Main[[#This Row],[بدهی تسویه شده (کیلوگرم)]]+Main[[#This Row],[بستانکار (کیلوگرم)]]</f>
        <v>290</v>
      </c>
      <c r="J1685" s="6">
        <f>IF(Main[[#This Row],[مقدار (کیلوگرم)]]&gt;0,Main[[#This Row],[مقدار (کیلوگرم)]],0)</f>
        <v>290</v>
      </c>
      <c r="K1685" s="6">
        <f>-IF(Main[[#This Row],[مقدار (کیلوگرم)]]&lt;0,Main[[#This Row],[مقدار (کیلوگرم)]],0)</f>
        <v>0</v>
      </c>
      <c r="L16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5" s="7">
        <f>-IF(AND(Main[[#This Row],[مقدار (کیلوگرم)]]&lt;0,Main[[#This Row],[تاريخ میلادی]]&gt;44276),Main[[#This Row],[مقدار (کیلوگرم)]],0)</f>
        <v>0</v>
      </c>
      <c r="N1685" s="6">
        <f ca="1">Main[[#This Row],[بدهکار (کیلوگرم)]]-Main[[#This Row],[بدهی تسویه نشده (کیلوگرم)]]</f>
        <v>0</v>
      </c>
      <c r="O1685" s="6">
        <f ca="1">Main[[#This Row],[تفکیک]]</f>
        <v>0</v>
      </c>
      <c r="P1685" s="6">
        <f ca="1">IF(Main[[#This Row],[تاخیر از سررسید]]&gt;0,Main[[#This Row],[بدهی تسویه نشده (کیلوگرم)]],0)</f>
        <v>0</v>
      </c>
      <c r="Q1685" s="6">
        <f ca="1">IF(Main[[#This Row],[بدهی تسویه نشده (کیلوگرم)]]&gt;0,'گزارش فردی'!$B$7-Main[[#This Row],[تاريخ میلادی]],0)</f>
        <v>0</v>
      </c>
      <c r="R1685" s="6">
        <f ca="1">IF(Main[[#This Row],[بدهی تسویه نشده (کیلوگرم)]]&gt;0,'گزارش فردی'!$B$7-Main[[#This Row],[تاريخ میلادی]]-'گزارش فردی'!$B$8,0)</f>
        <v>0</v>
      </c>
      <c r="S1685" s="6">
        <f ca="1">Main[[#This Row],[روز از ارسال سفارش]]*Main[[#This Row],[بدهی تسویه نشده (کیلوگرم)]]</f>
        <v>0</v>
      </c>
      <c r="T1685" s="6">
        <f ca="1">Main[[#This Row],[بدهی سررسید شده (کیلوگرم)]]*Main[[#This Row],[روز از ارسال سفارش]]</f>
        <v>0</v>
      </c>
      <c r="U1685" s="6">
        <f>-SUBTOTAL(9,INDEX(Main[مقدار (کیلوگرم)],1):Main[[#This Row],[مقدار (کیلوگرم)]])</f>
        <v>18349</v>
      </c>
      <c r="V168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5" s="6">
        <f>Main[[#This Row],[تعداد کل روزهای بدهکار (روز)]]*Main[[#This Row],[مانده در خط کل (کیلوگرم)]]</f>
        <v>36698</v>
      </c>
      <c r="X1685" s="6">
        <f ca="1">-SUBTOTAL(9,INDEX(Main[مقدار تسویه شده (کیلوگرم)],1):Main[[#This Row],[مقدار تسویه شده (کیلوگرم)]])</f>
        <v>18349</v>
      </c>
      <c r="Y1685" s="6">
        <f ca="1">IF(Main[[#This Row],[مانده در خط تسویه شده (کیلوگرم)]]&lt;&gt;0,Main[[#This Row],[تعداد کل روزهای بدهکار (روز)]],0)</f>
        <v>2</v>
      </c>
      <c r="Z1685" s="6">
        <f ca="1">Main[[#This Row],[تعداد روزهای بدهکار تسویه شده (روز)]]*Main[[#This Row],[مانده در خط تسویه شده (کیلوگرم)]]</f>
        <v>36698</v>
      </c>
      <c r="AA1685" s="6">
        <f ca="1">SUBTOTAL(9,INDEX(Main[بدهی تسویه نشده (کیلوگرم)],1):Main[[#This Row],[بدهی تسویه نشده (کیلوگرم)]])</f>
        <v>0</v>
      </c>
      <c r="AB1685" s="6">
        <f ca="1">IF(Main[[#This Row],[مانده در خط تسویه نشده (کیلوگرم)]]&lt;&gt;0,Main[[#This Row],[تعداد کل روزهای بدهکار (روز)]],0)</f>
        <v>0</v>
      </c>
      <c r="AC1685" s="6">
        <f ca="1">Main[[#This Row],[تعداد روزهای بدهکار  تسویه نشده (روز)]]*Main[[#This Row],[مانده در خط تسویه نشده (کیلوگرم)]]</f>
        <v>0</v>
      </c>
      <c r="AD1685" s="6">
        <f ca="1">SUBTOTAL(9,INDEX(Main[بدهی سررسید شده (کیلوگرم)],1):Main[[#This Row],[بدهی سررسید شده (کیلوگرم)]])</f>
        <v>0</v>
      </c>
      <c r="AE1685" s="6">
        <f ca="1">IF(Main[[#This Row],[مانده در خط سررسید شده (کیلوگرم)]]&lt;&gt;0,Main[[#This Row],[تعداد کل روزهای بدهکار (روز)]],0)</f>
        <v>0</v>
      </c>
      <c r="AF1685" s="6">
        <f ca="1">Main[[#This Row],[تعداد روزهای بدهکار سررسید شده (روز)]]*Main[[#This Row],[مانده در خط سررسید شده (کیلوگرم)]]</f>
        <v>0</v>
      </c>
    </row>
    <row r="1686" spans="1:32" hidden="1" x14ac:dyDescent="0.35">
      <c r="A1686" s="5">
        <f>ROW()-ROW(INDEX(Main[ردیف],1))+1</f>
        <v>1684</v>
      </c>
      <c r="B1686" s="31">
        <f>SUBTOTAL(2,INDEX(Main[ردیف],1):Main[[#This Row],[ردیف]])</f>
        <v>151</v>
      </c>
      <c r="C1686" s="32" t="s">
        <v>708</v>
      </c>
      <c r="D1686" s="32" t="str">
        <f>_xlfn.CONCAT("14",Main[[#This Row],[تاريخ]])</f>
        <v>1400/07/01</v>
      </c>
      <c r="E1686" s="33">
        <v>44462</v>
      </c>
      <c r="F1686" s="32">
        <v>30186</v>
      </c>
      <c r="G1686" s="5" t="str">
        <f>INDEX(customer[عنوان],MATCH(Main[[#This Row],[کد ردیابی]],customer[کد],0))</f>
        <v>سارا گاز</v>
      </c>
      <c r="H1686">
        <v>-1776</v>
      </c>
      <c r="I1686" s="6">
        <f ca="1">-Main[[#This Row],[بدهی تسویه شده (کیلوگرم)]]+Main[[#This Row],[بستانکار (کیلوگرم)]]</f>
        <v>-1776</v>
      </c>
      <c r="J1686" s="6">
        <f>IF(Main[[#This Row],[مقدار (کیلوگرم)]]&gt;0,Main[[#This Row],[مقدار (کیلوگرم)]],0)</f>
        <v>0</v>
      </c>
      <c r="K1686" s="6">
        <f>-IF(Main[[#This Row],[مقدار (کیلوگرم)]]&lt;0,Main[[#This Row],[مقدار (کیلوگرم)]],0)</f>
        <v>1776</v>
      </c>
      <c r="L16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6" s="7">
        <f>-IF(AND(Main[[#This Row],[مقدار (کیلوگرم)]]&lt;0,Main[[#This Row],[تاريخ میلادی]]&gt;44276),Main[[#This Row],[مقدار (کیلوگرم)]],0)</f>
        <v>1776</v>
      </c>
      <c r="N1686" s="6">
        <f ca="1">Main[[#This Row],[بدهکار (کیلوگرم)]]-Main[[#This Row],[بدهی تسویه نشده (کیلوگرم)]]</f>
        <v>1776</v>
      </c>
      <c r="O1686" s="6">
        <f ca="1">Main[[#This Row],[تفکیک]]</f>
        <v>0</v>
      </c>
      <c r="P1686" s="6">
        <f ca="1">IF(Main[[#This Row],[تاخیر از سررسید]]&gt;0,Main[[#This Row],[بدهی تسویه نشده (کیلوگرم)]],0)</f>
        <v>0</v>
      </c>
      <c r="Q1686" s="6">
        <f ca="1">IF(Main[[#This Row],[بدهی تسویه نشده (کیلوگرم)]]&gt;0,'گزارش فردی'!$B$7-Main[[#This Row],[تاريخ میلادی]],0)</f>
        <v>0</v>
      </c>
      <c r="R1686" s="6">
        <f ca="1">IF(Main[[#This Row],[بدهی تسویه نشده (کیلوگرم)]]&gt;0,'گزارش فردی'!$B$7-Main[[#This Row],[تاريخ میلادی]]-'گزارش فردی'!$B$8,0)</f>
        <v>0</v>
      </c>
      <c r="S1686" s="6">
        <f ca="1">Main[[#This Row],[روز از ارسال سفارش]]*Main[[#This Row],[بدهی تسویه نشده (کیلوگرم)]]</f>
        <v>0</v>
      </c>
      <c r="T1686" s="6">
        <f ca="1">Main[[#This Row],[بدهی سررسید شده (کیلوگرم)]]*Main[[#This Row],[روز از ارسال سفارش]]</f>
        <v>0</v>
      </c>
      <c r="U1686" s="6">
        <f>-SUBTOTAL(9,INDEX(Main[مقدار (کیلوگرم)],1):Main[[#This Row],[مقدار (کیلوگرم)]])</f>
        <v>18349</v>
      </c>
      <c r="V168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6" s="6">
        <f>Main[[#This Row],[تعداد کل روزهای بدهکار (روز)]]*Main[[#This Row],[مانده در خط کل (کیلوگرم)]]</f>
        <v>36698</v>
      </c>
      <c r="X1686" s="6">
        <f ca="1">-SUBTOTAL(9,INDEX(Main[مقدار تسویه شده (کیلوگرم)],1):Main[[#This Row],[مقدار تسویه شده (کیلوگرم)]])</f>
        <v>18349</v>
      </c>
      <c r="Y1686" s="6">
        <f ca="1">IF(Main[[#This Row],[مانده در خط تسویه شده (کیلوگرم)]]&lt;&gt;0,Main[[#This Row],[تعداد کل روزهای بدهکار (روز)]],0)</f>
        <v>2</v>
      </c>
      <c r="Z1686" s="6">
        <f ca="1">Main[[#This Row],[تعداد روزهای بدهکار تسویه شده (روز)]]*Main[[#This Row],[مانده در خط تسویه شده (کیلوگرم)]]</f>
        <v>36698</v>
      </c>
      <c r="AA1686" s="6">
        <f ca="1">SUBTOTAL(9,INDEX(Main[بدهی تسویه نشده (کیلوگرم)],1):Main[[#This Row],[بدهی تسویه نشده (کیلوگرم)]])</f>
        <v>0</v>
      </c>
      <c r="AB1686" s="6">
        <f ca="1">IF(Main[[#This Row],[مانده در خط تسویه نشده (کیلوگرم)]]&lt;&gt;0,Main[[#This Row],[تعداد کل روزهای بدهکار (روز)]],0)</f>
        <v>0</v>
      </c>
      <c r="AC1686" s="6">
        <f ca="1">Main[[#This Row],[تعداد روزهای بدهکار  تسویه نشده (روز)]]*Main[[#This Row],[مانده در خط تسویه نشده (کیلوگرم)]]</f>
        <v>0</v>
      </c>
      <c r="AD1686" s="6">
        <f ca="1">SUBTOTAL(9,INDEX(Main[بدهی سررسید شده (کیلوگرم)],1):Main[[#This Row],[بدهی سررسید شده (کیلوگرم)]])</f>
        <v>0</v>
      </c>
      <c r="AE1686" s="6">
        <f ca="1">IF(Main[[#This Row],[مانده در خط سررسید شده (کیلوگرم)]]&lt;&gt;0,Main[[#This Row],[تعداد کل روزهای بدهکار (روز)]],0)</f>
        <v>0</v>
      </c>
      <c r="AF1686" s="6">
        <f ca="1">Main[[#This Row],[تعداد روزهای بدهکار سررسید شده (روز)]]*Main[[#This Row],[مانده در خط سررسید شده (کیلوگرم)]]</f>
        <v>0</v>
      </c>
    </row>
    <row r="1687" spans="1:32" hidden="1" x14ac:dyDescent="0.35">
      <c r="A1687" s="5">
        <f>ROW()-ROW(INDEX(Main[ردیف],1))+1</f>
        <v>1685</v>
      </c>
      <c r="B1687" s="31">
        <f>SUBTOTAL(2,INDEX(Main[ردیف],1):Main[[#This Row],[ردیف]])</f>
        <v>151</v>
      </c>
      <c r="C1687" s="32" t="s">
        <v>708</v>
      </c>
      <c r="D1687" s="32" t="str">
        <f>_xlfn.CONCAT("14",Main[[#This Row],[تاريخ]])</f>
        <v>1400/07/01</v>
      </c>
      <c r="E1687" s="33">
        <v>44462</v>
      </c>
      <c r="F1687" s="32">
        <v>30014</v>
      </c>
      <c r="G1687" s="5" t="str">
        <f>INDEX(customer[عنوان],MATCH(Main[[#This Row],[کد ردیابی]],customer[کد],0))</f>
        <v>کلون</v>
      </c>
      <c r="H1687">
        <v>292</v>
      </c>
      <c r="I1687" s="6">
        <f ca="1">-Main[[#This Row],[بدهی تسویه شده (کیلوگرم)]]+Main[[#This Row],[بستانکار (کیلوگرم)]]</f>
        <v>292</v>
      </c>
      <c r="J1687" s="6">
        <f>IF(Main[[#This Row],[مقدار (کیلوگرم)]]&gt;0,Main[[#This Row],[مقدار (کیلوگرم)]],0)</f>
        <v>292</v>
      </c>
      <c r="K1687" s="6">
        <f>-IF(Main[[#This Row],[مقدار (کیلوگرم)]]&lt;0,Main[[#This Row],[مقدار (کیلوگرم)]],0)</f>
        <v>0</v>
      </c>
      <c r="L16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7" s="7">
        <f>-IF(AND(Main[[#This Row],[مقدار (کیلوگرم)]]&lt;0,Main[[#This Row],[تاريخ میلادی]]&gt;44276),Main[[#This Row],[مقدار (کیلوگرم)]],0)</f>
        <v>0</v>
      </c>
      <c r="N1687" s="6">
        <f ca="1">Main[[#This Row],[بدهکار (کیلوگرم)]]-Main[[#This Row],[بدهی تسویه نشده (کیلوگرم)]]</f>
        <v>0</v>
      </c>
      <c r="O1687" s="6">
        <f ca="1">Main[[#This Row],[تفکیک]]</f>
        <v>0</v>
      </c>
      <c r="P1687" s="6">
        <f ca="1">IF(Main[[#This Row],[تاخیر از سررسید]]&gt;0,Main[[#This Row],[بدهی تسویه نشده (کیلوگرم)]],0)</f>
        <v>0</v>
      </c>
      <c r="Q1687" s="6">
        <f ca="1">IF(Main[[#This Row],[بدهی تسویه نشده (کیلوگرم)]]&gt;0,'گزارش فردی'!$B$7-Main[[#This Row],[تاريخ میلادی]],0)</f>
        <v>0</v>
      </c>
      <c r="R1687" s="6">
        <f ca="1">IF(Main[[#This Row],[بدهی تسویه نشده (کیلوگرم)]]&gt;0,'گزارش فردی'!$B$7-Main[[#This Row],[تاريخ میلادی]]-'گزارش فردی'!$B$8,0)</f>
        <v>0</v>
      </c>
      <c r="S1687" s="6">
        <f ca="1">Main[[#This Row],[روز از ارسال سفارش]]*Main[[#This Row],[بدهی تسویه نشده (کیلوگرم)]]</f>
        <v>0</v>
      </c>
      <c r="T1687" s="6">
        <f ca="1">Main[[#This Row],[بدهی سررسید شده (کیلوگرم)]]*Main[[#This Row],[روز از ارسال سفارش]]</f>
        <v>0</v>
      </c>
      <c r="U1687" s="6">
        <f>-SUBTOTAL(9,INDEX(Main[مقدار (کیلوگرم)],1):Main[[#This Row],[مقدار (کیلوگرم)]])</f>
        <v>18349</v>
      </c>
      <c r="V168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7" s="6">
        <f>Main[[#This Row],[تعداد کل روزهای بدهکار (روز)]]*Main[[#This Row],[مانده در خط کل (کیلوگرم)]]</f>
        <v>36698</v>
      </c>
      <c r="X1687" s="6">
        <f ca="1">-SUBTOTAL(9,INDEX(Main[مقدار تسویه شده (کیلوگرم)],1):Main[[#This Row],[مقدار تسویه شده (کیلوگرم)]])</f>
        <v>18349</v>
      </c>
      <c r="Y1687" s="6">
        <f ca="1">IF(Main[[#This Row],[مانده در خط تسویه شده (کیلوگرم)]]&lt;&gt;0,Main[[#This Row],[تعداد کل روزهای بدهکار (روز)]],0)</f>
        <v>2</v>
      </c>
      <c r="Z1687" s="6">
        <f ca="1">Main[[#This Row],[تعداد روزهای بدهکار تسویه شده (روز)]]*Main[[#This Row],[مانده در خط تسویه شده (کیلوگرم)]]</f>
        <v>36698</v>
      </c>
      <c r="AA1687" s="6">
        <f ca="1">SUBTOTAL(9,INDEX(Main[بدهی تسویه نشده (کیلوگرم)],1):Main[[#This Row],[بدهی تسویه نشده (کیلوگرم)]])</f>
        <v>0</v>
      </c>
      <c r="AB1687" s="6">
        <f ca="1">IF(Main[[#This Row],[مانده در خط تسویه نشده (کیلوگرم)]]&lt;&gt;0,Main[[#This Row],[تعداد کل روزهای بدهکار (روز)]],0)</f>
        <v>0</v>
      </c>
      <c r="AC1687" s="6">
        <f ca="1">Main[[#This Row],[تعداد روزهای بدهکار  تسویه نشده (روز)]]*Main[[#This Row],[مانده در خط تسویه نشده (کیلوگرم)]]</f>
        <v>0</v>
      </c>
      <c r="AD1687" s="6">
        <f ca="1">SUBTOTAL(9,INDEX(Main[بدهی سررسید شده (کیلوگرم)],1):Main[[#This Row],[بدهی سررسید شده (کیلوگرم)]])</f>
        <v>0</v>
      </c>
      <c r="AE1687" s="6">
        <f ca="1">IF(Main[[#This Row],[مانده در خط سررسید شده (کیلوگرم)]]&lt;&gt;0,Main[[#This Row],[تعداد کل روزهای بدهکار (روز)]],0)</f>
        <v>0</v>
      </c>
      <c r="AF1687" s="6">
        <f ca="1">Main[[#This Row],[تعداد روزهای بدهکار سررسید شده (روز)]]*Main[[#This Row],[مانده در خط سررسید شده (کیلوگرم)]]</f>
        <v>0</v>
      </c>
    </row>
    <row r="1688" spans="1:32" hidden="1" x14ac:dyDescent="0.35">
      <c r="A1688" s="5">
        <f>ROW()-ROW(INDEX(Main[ردیف],1))+1</f>
        <v>1686</v>
      </c>
      <c r="B1688" s="31">
        <f>SUBTOTAL(2,INDEX(Main[ردیف],1):Main[[#This Row],[ردیف]])</f>
        <v>151</v>
      </c>
      <c r="C1688" s="32" t="s">
        <v>708</v>
      </c>
      <c r="D1688" s="32" t="str">
        <f>_xlfn.CONCAT("14",Main[[#This Row],[تاريخ]])</f>
        <v>1400/07/01</v>
      </c>
      <c r="E1688" s="33">
        <v>44462</v>
      </c>
      <c r="F1688" s="32">
        <v>30014</v>
      </c>
      <c r="G1688" s="5" t="str">
        <f>INDEX(customer[عنوان],MATCH(Main[[#This Row],[کد ردیابی]],customer[کد],0))</f>
        <v>کلون</v>
      </c>
      <c r="H1688">
        <v>-1980</v>
      </c>
      <c r="I1688" s="6">
        <f ca="1">-Main[[#This Row],[بدهی تسویه شده (کیلوگرم)]]+Main[[#This Row],[بستانکار (کیلوگرم)]]</f>
        <v>-1980</v>
      </c>
      <c r="J1688" s="6">
        <f>IF(Main[[#This Row],[مقدار (کیلوگرم)]]&gt;0,Main[[#This Row],[مقدار (کیلوگرم)]],0)</f>
        <v>0</v>
      </c>
      <c r="K1688" s="6">
        <f>-IF(Main[[#This Row],[مقدار (کیلوگرم)]]&lt;0,Main[[#This Row],[مقدار (کیلوگرم)]],0)</f>
        <v>1980</v>
      </c>
      <c r="L16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8" s="7">
        <f>-IF(AND(Main[[#This Row],[مقدار (کیلوگرم)]]&lt;0,Main[[#This Row],[تاريخ میلادی]]&gt;44276),Main[[#This Row],[مقدار (کیلوگرم)]],0)</f>
        <v>1980</v>
      </c>
      <c r="N1688" s="6">
        <f ca="1">Main[[#This Row],[بدهکار (کیلوگرم)]]-Main[[#This Row],[بدهی تسویه نشده (کیلوگرم)]]</f>
        <v>1980</v>
      </c>
      <c r="O1688" s="6">
        <f ca="1">Main[[#This Row],[تفکیک]]</f>
        <v>0</v>
      </c>
      <c r="P1688" s="6">
        <f ca="1">IF(Main[[#This Row],[تاخیر از سررسید]]&gt;0,Main[[#This Row],[بدهی تسویه نشده (کیلوگرم)]],0)</f>
        <v>0</v>
      </c>
      <c r="Q1688" s="6">
        <f ca="1">IF(Main[[#This Row],[بدهی تسویه نشده (کیلوگرم)]]&gt;0,'گزارش فردی'!$B$7-Main[[#This Row],[تاريخ میلادی]],0)</f>
        <v>0</v>
      </c>
      <c r="R1688" s="6">
        <f ca="1">IF(Main[[#This Row],[بدهی تسویه نشده (کیلوگرم)]]&gt;0,'گزارش فردی'!$B$7-Main[[#This Row],[تاريخ میلادی]]-'گزارش فردی'!$B$8,0)</f>
        <v>0</v>
      </c>
      <c r="S1688" s="6">
        <f ca="1">Main[[#This Row],[روز از ارسال سفارش]]*Main[[#This Row],[بدهی تسویه نشده (کیلوگرم)]]</f>
        <v>0</v>
      </c>
      <c r="T1688" s="6">
        <f ca="1">Main[[#This Row],[بدهی سررسید شده (کیلوگرم)]]*Main[[#This Row],[روز از ارسال سفارش]]</f>
        <v>0</v>
      </c>
      <c r="U1688" s="6">
        <f>-SUBTOTAL(9,INDEX(Main[مقدار (کیلوگرم)],1):Main[[#This Row],[مقدار (کیلوگرم)]])</f>
        <v>18349</v>
      </c>
      <c r="V16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8" s="6">
        <f>Main[[#This Row],[تعداد کل روزهای بدهکار (روز)]]*Main[[#This Row],[مانده در خط کل (کیلوگرم)]]</f>
        <v>36698</v>
      </c>
      <c r="X1688" s="6">
        <f ca="1">-SUBTOTAL(9,INDEX(Main[مقدار تسویه شده (کیلوگرم)],1):Main[[#This Row],[مقدار تسویه شده (کیلوگرم)]])</f>
        <v>18349</v>
      </c>
      <c r="Y1688" s="6">
        <f ca="1">IF(Main[[#This Row],[مانده در خط تسویه شده (کیلوگرم)]]&lt;&gt;0,Main[[#This Row],[تعداد کل روزهای بدهکار (روز)]],0)</f>
        <v>2</v>
      </c>
      <c r="Z1688" s="6">
        <f ca="1">Main[[#This Row],[تعداد روزهای بدهکار تسویه شده (روز)]]*Main[[#This Row],[مانده در خط تسویه شده (کیلوگرم)]]</f>
        <v>36698</v>
      </c>
      <c r="AA1688" s="6">
        <f ca="1">SUBTOTAL(9,INDEX(Main[بدهی تسویه نشده (کیلوگرم)],1):Main[[#This Row],[بدهی تسویه نشده (کیلوگرم)]])</f>
        <v>0</v>
      </c>
      <c r="AB1688" s="6">
        <f ca="1">IF(Main[[#This Row],[مانده در خط تسویه نشده (کیلوگرم)]]&lt;&gt;0,Main[[#This Row],[تعداد کل روزهای بدهکار (روز)]],0)</f>
        <v>0</v>
      </c>
      <c r="AC1688" s="6">
        <f ca="1">Main[[#This Row],[تعداد روزهای بدهکار  تسویه نشده (روز)]]*Main[[#This Row],[مانده در خط تسویه نشده (کیلوگرم)]]</f>
        <v>0</v>
      </c>
      <c r="AD1688" s="6">
        <f ca="1">SUBTOTAL(9,INDEX(Main[بدهی سررسید شده (کیلوگرم)],1):Main[[#This Row],[بدهی سررسید شده (کیلوگرم)]])</f>
        <v>0</v>
      </c>
      <c r="AE1688" s="6">
        <f ca="1">IF(Main[[#This Row],[مانده در خط سررسید شده (کیلوگرم)]]&lt;&gt;0,Main[[#This Row],[تعداد کل روزهای بدهکار (روز)]],0)</f>
        <v>0</v>
      </c>
      <c r="AF1688" s="6">
        <f ca="1">Main[[#This Row],[تعداد روزهای بدهکار سررسید شده (روز)]]*Main[[#This Row],[مانده در خط سررسید شده (کیلوگرم)]]</f>
        <v>0</v>
      </c>
    </row>
    <row r="1689" spans="1:32" hidden="1" x14ac:dyDescent="0.35">
      <c r="A1689" s="5">
        <f>ROW()-ROW(INDEX(Main[ردیف],1))+1</f>
        <v>1687</v>
      </c>
      <c r="B1689" s="31">
        <f>SUBTOTAL(2,INDEX(Main[ردیف],1):Main[[#This Row],[ردیف]])</f>
        <v>151</v>
      </c>
      <c r="C1689" s="32" t="s">
        <v>708</v>
      </c>
      <c r="D1689" s="32" t="str">
        <f>_xlfn.CONCAT("14",Main[[#This Row],[تاريخ]])</f>
        <v>1400/07/01</v>
      </c>
      <c r="E1689" s="33">
        <v>44462</v>
      </c>
      <c r="F1689" s="32">
        <v>30014</v>
      </c>
      <c r="G1689" s="5" t="str">
        <f>INDEX(customer[عنوان],MATCH(Main[[#This Row],[کد ردیابی]],customer[کد],0))</f>
        <v>کلون</v>
      </c>
      <c r="H1689">
        <v>1886</v>
      </c>
      <c r="I1689" s="6">
        <f ca="1">-Main[[#This Row],[بدهی تسویه شده (کیلوگرم)]]+Main[[#This Row],[بستانکار (کیلوگرم)]]</f>
        <v>1886</v>
      </c>
      <c r="J1689" s="6">
        <f>IF(Main[[#This Row],[مقدار (کیلوگرم)]]&gt;0,Main[[#This Row],[مقدار (کیلوگرم)]],0)</f>
        <v>1886</v>
      </c>
      <c r="K1689" s="6">
        <f>-IF(Main[[#This Row],[مقدار (کیلوگرم)]]&lt;0,Main[[#This Row],[مقدار (کیلوگرم)]],0)</f>
        <v>0</v>
      </c>
      <c r="L16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9" s="7">
        <f>-IF(AND(Main[[#This Row],[مقدار (کیلوگرم)]]&lt;0,Main[[#This Row],[تاريخ میلادی]]&gt;44276),Main[[#This Row],[مقدار (کیلوگرم)]],0)</f>
        <v>0</v>
      </c>
      <c r="N1689" s="6">
        <f ca="1">Main[[#This Row],[بدهکار (کیلوگرم)]]-Main[[#This Row],[بدهی تسویه نشده (کیلوگرم)]]</f>
        <v>0</v>
      </c>
      <c r="O1689" s="6">
        <f ca="1">Main[[#This Row],[تفکیک]]</f>
        <v>0</v>
      </c>
      <c r="P1689" s="6">
        <f ca="1">IF(Main[[#This Row],[تاخیر از سررسید]]&gt;0,Main[[#This Row],[بدهی تسویه نشده (کیلوگرم)]],0)</f>
        <v>0</v>
      </c>
      <c r="Q1689" s="6">
        <f ca="1">IF(Main[[#This Row],[بدهی تسویه نشده (کیلوگرم)]]&gt;0,'گزارش فردی'!$B$7-Main[[#This Row],[تاريخ میلادی]],0)</f>
        <v>0</v>
      </c>
      <c r="R1689" s="6">
        <f ca="1">IF(Main[[#This Row],[بدهی تسویه نشده (کیلوگرم)]]&gt;0,'گزارش فردی'!$B$7-Main[[#This Row],[تاريخ میلادی]]-'گزارش فردی'!$B$8,0)</f>
        <v>0</v>
      </c>
      <c r="S1689" s="6">
        <f ca="1">Main[[#This Row],[روز از ارسال سفارش]]*Main[[#This Row],[بدهی تسویه نشده (کیلوگرم)]]</f>
        <v>0</v>
      </c>
      <c r="T1689" s="6">
        <f ca="1">Main[[#This Row],[بدهی سررسید شده (کیلوگرم)]]*Main[[#This Row],[روز از ارسال سفارش]]</f>
        <v>0</v>
      </c>
      <c r="U1689" s="6">
        <f>-SUBTOTAL(9,INDEX(Main[مقدار (کیلوگرم)],1):Main[[#This Row],[مقدار (کیلوگرم)]])</f>
        <v>18349</v>
      </c>
      <c r="V168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9" s="6">
        <f>Main[[#This Row],[تعداد کل روزهای بدهکار (روز)]]*Main[[#This Row],[مانده در خط کل (کیلوگرم)]]</f>
        <v>36698</v>
      </c>
      <c r="X1689" s="6">
        <f ca="1">-SUBTOTAL(9,INDEX(Main[مقدار تسویه شده (کیلوگرم)],1):Main[[#This Row],[مقدار تسویه شده (کیلوگرم)]])</f>
        <v>18349</v>
      </c>
      <c r="Y1689" s="6">
        <f ca="1">IF(Main[[#This Row],[مانده در خط تسویه شده (کیلوگرم)]]&lt;&gt;0,Main[[#This Row],[تعداد کل روزهای بدهکار (روز)]],0)</f>
        <v>2</v>
      </c>
      <c r="Z1689" s="6">
        <f ca="1">Main[[#This Row],[تعداد روزهای بدهکار تسویه شده (روز)]]*Main[[#This Row],[مانده در خط تسویه شده (کیلوگرم)]]</f>
        <v>36698</v>
      </c>
      <c r="AA1689" s="6">
        <f ca="1">SUBTOTAL(9,INDEX(Main[بدهی تسویه نشده (کیلوگرم)],1):Main[[#This Row],[بدهی تسویه نشده (کیلوگرم)]])</f>
        <v>0</v>
      </c>
      <c r="AB1689" s="6">
        <f ca="1">IF(Main[[#This Row],[مانده در خط تسویه نشده (کیلوگرم)]]&lt;&gt;0,Main[[#This Row],[تعداد کل روزهای بدهکار (روز)]],0)</f>
        <v>0</v>
      </c>
      <c r="AC1689" s="6">
        <f ca="1">Main[[#This Row],[تعداد روزهای بدهکار  تسویه نشده (روز)]]*Main[[#This Row],[مانده در خط تسویه نشده (کیلوگرم)]]</f>
        <v>0</v>
      </c>
      <c r="AD1689" s="6">
        <f ca="1">SUBTOTAL(9,INDEX(Main[بدهی سررسید شده (کیلوگرم)],1):Main[[#This Row],[بدهی سررسید شده (کیلوگرم)]])</f>
        <v>0</v>
      </c>
      <c r="AE1689" s="6">
        <f ca="1">IF(Main[[#This Row],[مانده در خط سررسید شده (کیلوگرم)]]&lt;&gt;0,Main[[#This Row],[تعداد کل روزهای بدهکار (روز)]],0)</f>
        <v>0</v>
      </c>
      <c r="AF1689" s="6">
        <f ca="1">Main[[#This Row],[تعداد روزهای بدهکار سررسید شده (روز)]]*Main[[#This Row],[مانده در خط سررسید شده (کیلوگرم)]]</f>
        <v>0</v>
      </c>
    </row>
    <row r="1690" spans="1:32" hidden="1" x14ac:dyDescent="0.35">
      <c r="A1690" s="5">
        <f>ROW()-ROW(INDEX(Main[ردیف],1))+1</f>
        <v>1688</v>
      </c>
      <c r="B1690" s="31">
        <f>SUBTOTAL(2,INDEX(Main[ردیف],1):Main[[#This Row],[ردیف]])</f>
        <v>151</v>
      </c>
      <c r="C1690" s="32" t="s">
        <v>708</v>
      </c>
      <c r="D1690" s="32" t="str">
        <f>_xlfn.CONCAT("14",Main[[#This Row],[تاريخ]])</f>
        <v>1400/07/01</v>
      </c>
      <c r="E1690" s="33">
        <v>44462</v>
      </c>
      <c r="F1690" s="32">
        <v>10084</v>
      </c>
      <c r="G1690" s="5" t="str">
        <f>INDEX(customer[عنوان],MATCH(Main[[#This Row],[کد ردیابی]],customer[کد],0))</f>
        <v xml:space="preserve">سیدحمید کاظمی </v>
      </c>
      <c r="H1690">
        <v>-200</v>
      </c>
      <c r="I1690" s="6">
        <f ca="1">-Main[[#This Row],[بدهی تسویه شده (کیلوگرم)]]+Main[[#This Row],[بستانکار (کیلوگرم)]]</f>
        <v>-200</v>
      </c>
      <c r="J1690" s="6">
        <f>IF(Main[[#This Row],[مقدار (کیلوگرم)]]&gt;0,Main[[#This Row],[مقدار (کیلوگرم)]],0)</f>
        <v>0</v>
      </c>
      <c r="K1690" s="6">
        <f>-IF(Main[[#This Row],[مقدار (کیلوگرم)]]&lt;0,Main[[#This Row],[مقدار (کیلوگرم)]],0)</f>
        <v>200</v>
      </c>
      <c r="L16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0" s="7">
        <f>-IF(AND(Main[[#This Row],[مقدار (کیلوگرم)]]&lt;0,Main[[#This Row],[تاريخ میلادی]]&gt;44276),Main[[#This Row],[مقدار (کیلوگرم)]],0)</f>
        <v>200</v>
      </c>
      <c r="N1690" s="6">
        <f ca="1">Main[[#This Row],[بدهکار (کیلوگرم)]]-Main[[#This Row],[بدهی تسویه نشده (کیلوگرم)]]</f>
        <v>200</v>
      </c>
      <c r="O1690" s="6">
        <f ca="1">Main[[#This Row],[تفکیک]]</f>
        <v>0</v>
      </c>
      <c r="P1690" s="6">
        <f ca="1">IF(Main[[#This Row],[تاخیر از سررسید]]&gt;0,Main[[#This Row],[بدهی تسویه نشده (کیلوگرم)]],0)</f>
        <v>0</v>
      </c>
      <c r="Q1690" s="6">
        <f ca="1">IF(Main[[#This Row],[بدهی تسویه نشده (کیلوگرم)]]&gt;0,'گزارش فردی'!$B$7-Main[[#This Row],[تاريخ میلادی]],0)</f>
        <v>0</v>
      </c>
      <c r="R1690" s="6">
        <f ca="1">IF(Main[[#This Row],[بدهی تسویه نشده (کیلوگرم)]]&gt;0,'گزارش فردی'!$B$7-Main[[#This Row],[تاريخ میلادی]]-'گزارش فردی'!$B$8,0)</f>
        <v>0</v>
      </c>
      <c r="S1690" s="6">
        <f ca="1">Main[[#This Row],[روز از ارسال سفارش]]*Main[[#This Row],[بدهی تسویه نشده (کیلوگرم)]]</f>
        <v>0</v>
      </c>
      <c r="T1690" s="6">
        <f ca="1">Main[[#This Row],[بدهی سررسید شده (کیلوگرم)]]*Main[[#This Row],[روز از ارسال سفارش]]</f>
        <v>0</v>
      </c>
      <c r="U1690" s="6">
        <f>-SUBTOTAL(9,INDEX(Main[مقدار (کیلوگرم)],1):Main[[#This Row],[مقدار (کیلوگرم)]])</f>
        <v>18349</v>
      </c>
      <c r="V169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90" s="6">
        <f>Main[[#This Row],[تعداد کل روزهای بدهکار (روز)]]*Main[[#This Row],[مانده در خط کل (کیلوگرم)]]</f>
        <v>36698</v>
      </c>
      <c r="X1690" s="6">
        <f ca="1">-SUBTOTAL(9,INDEX(Main[مقدار تسویه شده (کیلوگرم)],1):Main[[#This Row],[مقدار تسویه شده (کیلوگرم)]])</f>
        <v>18349</v>
      </c>
      <c r="Y1690" s="6">
        <f ca="1">IF(Main[[#This Row],[مانده در خط تسویه شده (کیلوگرم)]]&lt;&gt;0,Main[[#This Row],[تعداد کل روزهای بدهکار (روز)]],0)</f>
        <v>2</v>
      </c>
      <c r="Z1690" s="6">
        <f ca="1">Main[[#This Row],[تعداد روزهای بدهکار تسویه شده (روز)]]*Main[[#This Row],[مانده در خط تسویه شده (کیلوگرم)]]</f>
        <v>36698</v>
      </c>
      <c r="AA1690" s="6">
        <f ca="1">SUBTOTAL(9,INDEX(Main[بدهی تسویه نشده (کیلوگرم)],1):Main[[#This Row],[بدهی تسویه نشده (کیلوگرم)]])</f>
        <v>0</v>
      </c>
      <c r="AB1690" s="6">
        <f ca="1">IF(Main[[#This Row],[مانده در خط تسویه نشده (کیلوگرم)]]&lt;&gt;0,Main[[#This Row],[تعداد کل روزهای بدهکار (روز)]],0)</f>
        <v>0</v>
      </c>
      <c r="AC1690" s="6">
        <f ca="1">Main[[#This Row],[تعداد روزهای بدهکار  تسویه نشده (روز)]]*Main[[#This Row],[مانده در خط تسویه نشده (کیلوگرم)]]</f>
        <v>0</v>
      </c>
      <c r="AD1690" s="6">
        <f ca="1">SUBTOTAL(9,INDEX(Main[بدهی سررسید شده (کیلوگرم)],1):Main[[#This Row],[بدهی سررسید شده (کیلوگرم)]])</f>
        <v>0</v>
      </c>
      <c r="AE1690" s="6">
        <f ca="1">IF(Main[[#This Row],[مانده در خط سررسید شده (کیلوگرم)]]&lt;&gt;0,Main[[#This Row],[تعداد کل روزهای بدهکار (روز)]],0)</f>
        <v>0</v>
      </c>
      <c r="AF1690" s="6">
        <f ca="1">Main[[#This Row],[تعداد روزهای بدهکار سررسید شده (روز)]]*Main[[#This Row],[مانده در خط سررسید شده (کیلوگرم)]]</f>
        <v>0</v>
      </c>
    </row>
    <row r="1691" spans="1:32" hidden="1" x14ac:dyDescent="0.35">
      <c r="A1691" s="5">
        <f>ROW()-ROW(INDEX(Main[ردیف],1))+1</f>
        <v>1689</v>
      </c>
      <c r="B1691" s="31">
        <f>SUBTOTAL(2,INDEX(Main[ردیف],1):Main[[#This Row],[ردیف]])</f>
        <v>151</v>
      </c>
      <c r="C1691" s="32" t="s">
        <v>708</v>
      </c>
      <c r="D1691" s="32" t="str">
        <f>_xlfn.CONCAT("14",Main[[#This Row],[تاريخ]])</f>
        <v>1400/07/01</v>
      </c>
      <c r="E1691" s="33">
        <v>44462</v>
      </c>
      <c r="F1691" s="32">
        <v>30009</v>
      </c>
      <c r="G1691" s="5" t="str">
        <f>INDEX(customer[عنوان],MATCH(Main[[#This Row],[کد ردیابی]],customer[کد],0))</f>
        <v>شرکت ایمن تک پیشرو</v>
      </c>
      <c r="H1691">
        <v>-3899</v>
      </c>
      <c r="I1691" s="6">
        <f ca="1">-Main[[#This Row],[بدهی تسویه شده (کیلوگرم)]]+Main[[#This Row],[بستانکار (کیلوگرم)]]</f>
        <v>-3899</v>
      </c>
      <c r="J1691" s="6">
        <f>IF(Main[[#This Row],[مقدار (کیلوگرم)]]&gt;0,Main[[#This Row],[مقدار (کیلوگرم)]],0)</f>
        <v>0</v>
      </c>
      <c r="K1691" s="6">
        <f>-IF(Main[[#This Row],[مقدار (کیلوگرم)]]&lt;0,Main[[#This Row],[مقدار (کیلوگرم)]],0)</f>
        <v>3899</v>
      </c>
      <c r="L16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1" s="7">
        <f>-IF(AND(Main[[#This Row],[مقدار (کیلوگرم)]]&lt;0,Main[[#This Row],[تاريخ میلادی]]&gt;44276),Main[[#This Row],[مقدار (کیلوگرم)]],0)</f>
        <v>3899</v>
      </c>
      <c r="N1691" s="6">
        <f ca="1">Main[[#This Row],[بدهکار (کیلوگرم)]]-Main[[#This Row],[بدهی تسویه نشده (کیلوگرم)]]</f>
        <v>3899</v>
      </c>
      <c r="O1691" s="6">
        <f ca="1">Main[[#This Row],[تفکیک]]</f>
        <v>0</v>
      </c>
      <c r="P1691" s="6">
        <f ca="1">IF(Main[[#This Row],[تاخیر از سررسید]]&gt;0,Main[[#This Row],[بدهی تسویه نشده (کیلوگرم)]],0)</f>
        <v>0</v>
      </c>
      <c r="Q1691" s="6">
        <f ca="1">IF(Main[[#This Row],[بدهی تسویه نشده (کیلوگرم)]]&gt;0,'گزارش فردی'!$B$7-Main[[#This Row],[تاريخ میلادی]],0)</f>
        <v>0</v>
      </c>
      <c r="R1691" s="6">
        <f ca="1">IF(Main[[#This Row],[بدهی تسویه نشده (کیلوگرم)]]&gt;0,'گزارش فردی'!$B$7-Main[[#This Row],[تاريخ میلادی]]-'گزارش فردی'!$B$8,0)</f>
        <v>0</v>
      </c>
      <c r="S1691" s="6">
        <f ca="1">Main[[#This Row],[روز از ارسال سفارش]]*Main[[#This Row],[بدهی تسویه نشده (کیلوگرم)]]</f>
        <v>0</v>
      </c>
      <c r="T1691" s="6">
        <f ca="1">Main[[#This Row],[بدهی سررسید شده (کیلوگرم)]]*Main[[#This Row],[روز از ارسال سفارش]]</f>
        <v>0</v>
      </c>
      <c r="U1691" s="6">
        <f>-SUBTOTAL(9,INDEX(Main[مقدار (کیلوگرم)],1):Main[[#This Row],[مقدار (کیلوگرم)]])</f>
        <v>18349</v>
      </c>
      <c r="V16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91" s="6">
        <f>Main[[#This Row],[تعداد کل روزهای بدهکار (روز)]]*Main[[#This Row],[مانده در خط کل (کیلوگرم)]]</f>
        <v>36698</v>
      </c>
      <c r="X1691" s="6">
        <f ca="1">-SUBTOTAL(9,INDEX(Main[مقدار تسویه شده (کیلوگرم)],1):Main[[#This Row],[مقدار تسویه شده (کیلوگرم)]])</f>
        <v>18349</v>
      </c>
      <c r="Y1691" s="6">
        <f ca="1">IF(Main[[#This Row],[مانده در خط تسویه شده (کیلوگرم)]]&lt;&gt;0,Main[[#This Row],[تعداد کل روزهای بدهکار (روز)]],0)</f>
        <v>2</v>
      </c>
      <c r="Z1691" s="6">
        <f ca="1">Main[[#This Row],[تعداد روزهای بدهکار تسویه شده (روز)]]*Main[[#This Row],[مانده در خط تسویه شده (کیلوگرم)]]</f>
        <v>36698</v>
      </c>
      <c r="AA1691" s="6">
        <f ca="1">SUBTOTAL(9,INDEX(Main[بدهی تسویه نشده (کیلوگرم)],1):Main[[#This Row],[بدهی تسویه نشده (کیلوگرم)]])</f>
        <v>0</v>
      </c>
      <c r="AB1691" s="6">
        <f ca="1">IF(Main[[#This Row],[مانده در خط تسویه نشده (کیلوگرم)]]&lt;&gt;0,Main[[#This Row],[تعداد کل روزهای بدهکار (روز)]],0)</f>
        <v>0</v>
      </c>
      <c r="AC1691" s="6">
        <f ca="1">Main[[#This Row],[تعداد روزهای بدهکار  تسویه نشده (روز)]]*Main[[#This Row],[مانده در خط تسویه نشده (کیلوگرم)]]</f>
        <v>0</v>
      </c>
      <c r="AD1691" s="6">
        <f ca="1">SUBTOTAL(9,INDEX(Main[بدهی سررسید شده (کیلوگرم)],1):Main[[#This Row],[بدهی سررسید شده (کیلوگرم)]])</f>
        <v>0</v>
      </c>
      <c r="AE1691" s="6">
        <f ca="1">IF(Main[[#This Row],[مانده در خط سررسید شده (کیلوگرم)]]&lt;&gt;0,Main[[#This Row],[تعداد کل روزهای بدهکار (روز)]],0)</f>
        <v>0</v>
      </c>
      <c r="AF1691" s="6">
        <f ca="1">Main[[#This Row],[تعداد روزهای بدهکار سررسید شده (روز)]]*Main[[#This Row],[مانده در خط سررسید شده (کیلوگرم)]]</f>
        <v>0</v>
      </c>
    </row>
    <row r="1692" spans="1:32" hidden="1" x14ac:dyDescent="0.35">
      <c r="A1692" s="5">
        <f>ROW()-ROW(INDEX(Main[ردیف],1))+1</f>
        <v>1690</v>
      </c>
      <c r="B1692" s="31">
        <f>SUBTOTAL(2,INDEX(Main[ردیف],1):Main[[#This Row],[ردیف]])</f>
        <v>151</v>
      </c>
      <c r="C1692" s="32" t="s">
        <v>709</v>
      </c>
      <c r="D1692" s="32" t="str">
        <f>_xlfn.CONCAT("14",Main[[#This Row],[تاريخ]])</f>
        <v>1400/07/03</v>
      </c>
      <c r="E1692" s="33">
        <v>44464</v>
      </c>
      <c r="F1692" s="32">
        <v>30081</v>
      </c>
      <c r="G1692" s="5" t="str">
        <f>INDEX(customer[عنوان],MATCH(Main[[#This Row],[کد ردیابی]],customer[کد],0))</f>
        <v xml:space="preserve">شیرآلات بهداشتی راسان </v>
      </c>
      <c r="H1692">
        <v>910</v>
      </c>
      <c r="I1692" s="6">
        <f ca="1">-Main[[#This Row],[بدهی تسویه شده (کیلوگرم)]]+Main[[#This Row],[بستانکار (کیلوگرم)]]</f>
        <v>910</v>
      </c>
      <c r="J1692" s="6">
        <f>IF(Main[[#This Row],[مقدار (کیلوگرم)]]&gt;0,Main[[#This Row],[مقدار (کیلوگرم)]],0)</f>
        <v>910</v>
      </c>
      <c r="K1692" s="6">
        <f>-IF(Main[[#This Row],[مقدار (کیلوگرم)]]&lt;0,Main[[#This Row],[مقدار (کیلوگرم)]],0)</f>
        <v>0</v>
      </c>
      <c r="L16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2" s="7">
        <f>-IF(AND(Main[[#This Row],[مقدار (کیلوگرم)]]&lt;0,Main[[#This Row],[تاريخ میلادی]]&gt;44276),Main[[#This Row],[مقدار (کیلوگرم)]],0)</f>
        <v>0</v>
      </c>
      <c r="N1692" s="6">
        <f ca="1">Main[[#This Row],[بدهکار (کیلوگرم)]]-Main[[#This Row],[بدهی تسویه نشده (کیلوگرم)]]</f>
        <v>0</v>
      </c>
      <c r="O1692" s="6">
        <f ca="1">Main[[#This Row],[تفکیک]]</f>
        <v>0</v>
      </c>
      <c r="P1692" s="6">
        <f ca="1">IF(Main[[#This Row],[تاخیر از سررسید]]&gt;0,Main[[#This Row],[بدهی تسویه نشده (کیلوگرم)]],0)</f>
        <v>0</v>
      </c>
      <c r="Q1692" s="6">
        <f ca="1">IF(Main[[#This Row],[بدهی تسویه نشده (کیلوگرم)]]&gt;0,'گزارش فردی'!$B$7-Main[[#This Row],[تاريخ میلادی]],0)</f>
        <v>0</v>
      </c>
      <c r="R1692" s="6">
        <f ca="1">IF(Main[[#This Row],[بدهی تسویه نشده (کیلوگرم)]]&gt;0,'گزارش فردی'!$B$7-Main[[#This Row],[تاريخ میلادی]]-'گزارش فردی'!$B$8,0)</f>
        <v>0</v>
      </c>
      <c r="S1692" s="6">
        <f ca="1">Main[[#This Row],[روز از ارسال سفارش]]*Main[[#This Row],[بدهی تسویه نشده (کیلوگرم)]]</f>
        <v>0</v>
      </c>
      <c r="T1692" s="6">
        <f ca="1">Main[[#This Row],[بدهی سررسید شده (کیلوگرم)]]*Main[[#This Row],[روز از ارسال سفارش]]</f>
        <v>0</v>
      </c>
      <c r="U1692" s="6">
        <f>-SUBTOTAL(9,INDEX(Main[مقدار (کیلوگرم)],1):Main[[#This Row],[مقدار (کیلوگرم)]])</f>
        <v>18349</v>
      </c>
      <c r="V16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2" s="6">
        <f>Main[[#This Row],[تعداد کل روزهای بدهکار (روز)]]*Main[[#This Row],[مانده در خط کل (کیلوگرم)]]</f>
        <v>0</v>
      </c>
      <c r="X1692" s="6">
        <f ca="1">-SUBTOTAL(9,INDEX(Main[مقدار تسویه شده (کیلوگرم)],1):Main[[#This Row],[مقدار تسویه شده (کیلوگرم)]])</f>
        <v>18349</v>
      </c>
      <c r="Y1692" s="6">
        <f ca="1">IF(Main[[#This Row],[مانده در خط تسویه شده (کیلوگرم)]]&lt;&gt;0,Main[[#This Row],[تعداد کل روزهای بدهکار (روز)]],0)</f>
        <v>0</v>
      </c>
      <c r="Z1692" s="6">
        <f ca="1">Main[[#This Row],[تعداد روزهای بدهکار تسویه شده (روز)]]*Main[[#This Row],[مانده در خط تسویه شده (کیلوگرم)]]</f>
        <v>0</v>
      </c>
      <c r="AA1692" s="6">
        <f ca="1">SUBTOTAL(9,INDEX(Main[بدهی تسویه نشده (کیلوگرم)],1):Main[[#This Row],[بدهی تسویه نشده (کیلوگرم)]])</f>
        <v>0</v>
      </c>
      <c r="AB1692" s="6">
        <f ca="1">IF(Main[[#This Row],[مانده در خط تسویه نشده (کیلوگرم)]]&lt;&gt;0,Main[[#This Row],[تعداد کل روزهای بدهکار (روز)]],0)</f>
        <v>0</v>
      </c>
      <c r="AC1692" s="6">
        <f ca="1">Main[[#This Row],[تعداد روزهای بدهکار  تسویه نشده (روز)]]*Main[[#This Row],[مانده در خط تسویه نشده (کیلوگرم)]]</f>
        <v>0</v>
      </c>
      <c r="AD1692" s="6">
        <f ca="1">SUBTOTAL(9,INDEX(Main[بدهی سررسید شده (کیلوگرم)],1):Main[[#This Row],[بدهی سررسید شده (کیلوگرم)]])</f>
        <v>0</v>
      </c>
      <c r="AE1692" s="6">
        <f ca="1">IF(Main[[#This Row],[مانده در خط سررسید شده (کیلوگرم)]]&lt;&gt;0,Main[[#This Row],[تعداد کل روزهای بدهکار (روز)]],0)</f>
        <v>0</v>
      </c>
      <c r="AF1692" s="6">
        <f ca="1">Main[[#This Row],[تعداد روزهای بدهکار سررسید شده (روز)]]*Main[[#This Row],[مانده در خط سررسید شده (کیلوگرم)]]</f>
        <v>0</v>
      </c>
    </row>
    <row r="1693" spans="1:32" hidden="1" x14ac:dyDescent="0.35">
      <c r="A1693" s="5">
        <f>ROW()-ROW(INDEX(Main[ردیف],1))+1</f>
        <v>1691</v>
      </c>
      <c r="B1693" s="31">
        <f>SUBTOTAL(2,INDEX(Main[ردیف],1):Main[[#This Row],[ردیف]])</f>
        <v>151</v>
      </c>
      <c r="C1693" s="32" t="s">
        <v>709</v>
      </c>
      <c r="D1693" s="32" t="str">
        <f>_xlfn.CONCAT("14",Main[[#This Row],[تاريخ]])</f>
        <v>1400/07/03</v>
      </c>
      <c r="E1693" s="33">
        <v>44464</v>
      </c>
      <c r="F1693" s="32">
        <v>10055</v>
      </c>
      <c r="G1693" s="5" t="str">
        <f>INDEX(customer[عنوان],MATCH(Main[[#This Row],[کد ردیابی]],customer[کد],0))</f>
        <v xml:space="preserve">مریم فیض آبادی  </v>
      </c>
      <c r="H1693">
        <v>-5071</v>
      </c>
      <c r="I1693" s="6">
        <f ca="1">-Main[[#This Row],[بدهی تسویه شده (کیلوگرم)]]+Main[[#This Row],[بستانکار (کیلوگرم)]]</f>
        <v>-5071</v>
      </c>
      <c r="J1693" s="6">
        <f>IF(Main[[#This Row],[مقدار (کیلوگرم)]]&gt;0,Main[[#This Row],[مقدار (کیلوگرم)]],0)</f>
        <v>0</v>
      </c>
      <c r="K1693" s="6">
        <f>-IF(Main[[#This Row],[مقدار (کیلوگرم)]]&lt;0,Main[[#This Row],[مقدار (کیلوگرم)]],0)</f>
        <v>5071</v>
      </c>
      <c r="L16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3" s="7">
        <f>-IF(AND(Main[[#This Row],[مقدار (کیلوگرم)]]&lt;0,Main[[#This Row],[تاريخ میلادی]]&gt;44276),Main[[#This Row],[مقدار (کیلوگرم)]],0)</f>
        <v>5071</v>
      </c>
      <c r="N1693" s="6">
        <f ca="1">Main[[#This Row],[بدهکار (کیلوگرم)]]-Main[[#This Row],[بدهی تسویه نشده (کیلوگرم)]]</f>
        <v>5071</v>
      </c>
      <c r="O1693" s="6">
        <f ca="1">Main[[#This Row],[تفکیک]]</f>
        <v>0</v>
      </c>
      <c r="P1693" s="6">
        <f ca="1">IF(Main[[#This Row],[تاخیر از سررسید]]&gt;0,Main[[#This Row],[بدهی تسویه نشده (کیلوگرم)]],0)</f>
        <v>0</v>
      </c>
      <c r="Q1693" s="6">
        <f ca="1">IF(Main[[#This Row],[بدهی تسویه نشده (کیلوگرم)]]&gt;0,'گزارش فردی'!$B$7-Main[[#This Row],[تاريخ میلادی]],0)</f>
        <v>0</v>
      </c>
      <c r="R1693" s="6">
        <f ca="1">IF(Main[[#This Row],[بدهی تسویه نشده (کیلوگرم)]]&gt;0,'گزارش فردی'!$B$7-Main[[#This Row],[تاريخ میلادی]]-'گزارش فردی'!$B$8,0)</f>
        <v>0</v>
      </c>
      <c r="S1693" s="6">
        <f ca="1">Main[[#This Row],[روز از ارسال سفارش]]*Main[[#This Row],[بدهی تسویه نشده (کیلوگرم)]]</f>
        <v>0</v>
      </c>
      <c r="T1693" s="6">
        <f ca="1">Main[[#This Row],[بدهی سررسید شده (کیلوگرم)]]*Main[[#This Row],[روز از ارسال سفارش]]</f>
        <v>0</v>
      </c>
      <c r="U1693" s="6">
        <f>-SUBTOTAL(9,INDEX(Main[مقدار (کیلوگرم)],1):Main[[#This Row],[مقدار (کیلوگرم)]])</f>
        <v>18349</v>
      </c>
      <c r="V16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3" s="6">
        <f>Main[[#This Row],[تعداد کل روزهای بدهکار (روز)]]*Main[[#This Row],[مانده در خط کل (کیلوگرم)]]</f>
        <v>0</v>
      </c>
      <c r="X1693" s="6">
        <f ca="1">-SUBTOTAL(9,INDEX(Main[مقدار تسویه شده (کیلوگرم)],1):Main[[#This Row],[مقدار تسویه شده (کیلوگرم)]])</f>
        <v>18349</v>
      </c>
      <c r="Y1693" s="6">
        <f ca="1">IF(Main[[#This Row],[مانده در خط تسویه شده (کیلوگرم)]]&lt;&gt;0,Main[[#This Row],[تعداد کل روزهای بدهکار (روز)]],0)</f>
        <v>0</v>
      </c>
      <c r="Z1693" s="6">
        <f ca="1">Main[[#This Row],[تعداد روزهای بدهکار تسویه شده (روز)]]*Main[[#This Row],[مانده در خط تسویه شده (کیلوگرم)]]</f>
        <v>0</v>
      </c>
      <c r="AA1693" s="6">
        <f ca="1">SUBTOTAL(9,INDEX(Main[بدهی تسویه نشده (کیلوگرم)],1):Main[[#This Row],[بدهی تسویه نشده (کیلوگرم)]])</f>
        <v>0</v>
      </c>
      <c r="AB1693" s="6">
        <f ca="1">IF(Main[[#This Row],[مانده در خط تسویه نشده (کیلوگرم)]]&lt;&gt;0,Main[[#This Row],[تعداد کل روزهای بدهکار (روز)]],0)</f>
        <v>0</v>
      </c>
      <c r="AC1693" s="6">
        <f ca="1">Main[[#This Row],[تعداد روزهای بدهکار  تسویه نشده (روز)]]*Main[[#This Row],[مانده در خط تسویه نشده (کیلوگرم)]]</f>
        <v>0</v>
      </c>
      <c r="AD1693" s="6">
        <f ca="1">SUBTOTAL(9,INDEX(Main[بدهی سررسید شده (کیلوگرم)],1):Main[[#This Row],[بدهی سررسید شده (کیلوگرم)]])</f>
        <v>0</v>
      </c>
      <c r="AE1693" s="6">
        <f ca="1">IF(Main[[#This Row],[مانده در خط سررسید شده (کیلوگرم)]]&lt;&gt;0,Main[[#This Row],[تعداد کل روزهای بدهکار (روز)]],0)</f>
        <v>0</v>
      </c>
      <c r="AF1693" s="6">
        <f ca="1">Main[[#This Row],[تعداد روزهای بدهکار سررسید شده (روز)]]*Main[[#This Row],[مانده در خط سررسید شده (کیلوگرم)]]</f>
        <v>0</v>
      </c>
    </row>
    <row r="1694" spans="1:32" hidden="1" x14ac:dyDescent="0.35">
      <c r="A1694" s="5">
        <f>ROW()-ROW(INDEX(Main[ردیف],1))+1</f>
        <v>1692</v>
      </c>
      <c r="B1694" s="31">
        <f>SUBTOTAL(2,INDEX(Main[ردیف],1):Main[[#This Row],[ردیف]])</f>
        <v>151</v>
      </c>
      <c r="C1694" s="32" t="s">
        <v>709</v>
      </c>
      <c r="D1694" s="32" t="str">
        <f>_xlfn.CONCAT("14",Main[[#This Row],[تاريخ]])</f>
        <v>1400/07/03</v>
      </c>
      <c r="E1694" s="33">
        <v>44464</v>
      </c>
      <c r="F1694" s="32">
        <v>10018</v>
      </c>
      <c r="G1694" s="5" t="str">
        <f>INDEX(customer[عنوان],MATCH(Main[[#This Row],[کد ردیابی]],customer[کد],0))</f>
        <v xml:space="preserve">کوهی </v>
      </c>
      <c r="H1694">
        <v>298</v>
      </c>
      <c r="I1694" s="6">
        <f ca="1">-Main[[#This Row],[بدهی تسویه شده (کیلوگرم)]]+Main[[#This Row],[بستانکار (کیلوگرم)]]</f>
        <v>298</v>
      </c>
      <c r="J1694" s="6">
        <f>IF(Main[[#This Row],[مقدار (کیلوگرم)]]&gt;0,Main[[#This Row],[مقدار (کیلوگرم)]],0)</f>
        <v>298</v>
      </c>
      <c r="K1694" s="6">
        <f>-IF(Main[[#This Row],[مقدار (کیلوگرم)]]&lt;0,Main[[#This Row],[مقدار (کیلوگرم)]],0)</f>
        <v>0</v>
      </c>
      <c r="L16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4" s="7">
        <f>-IF(AND(Main[[#This Row],[مقدار (کیلوگرم)]]&lt;0,Main[[#This Row],[تاريخ میلادی]]&gt;44276),Main[[#This Row],[مقدار (کیلوگرم)]],0)</f>
        <v>0</v>
      </c>
      <c r="N1694" s="6">
        <f ca="1">Main[[#This Row],[بدهکار (کیلوگرم)]]-Main[[#This Row],[بدهی تسویه نشده (کیلوگرم)]]</f>
        <v>0</v>
      </c>
      <c r="O1694" s="6">
        <f ca="1">Main[[#This Row],[تفکیک]]</f>
        <v>0</v>
      </c>
      <c r="P1694" s="6">
        <f ca="1">IF(Main[[#This Row],[تاخیر از سررسید]]&gt;0,Main[[#This Row],[بدهی تسویه نشده (کیلوگرم)]],0)</f>
        <v>0</v>
      </c>
      <c r="Q1694" s="6">
        <f ca="1">IF(Main[[#This Row],[بدهی تسویه نشده (کیلوگرم)]]&gt;0,'گزارش فردی'!$B$7-Main[[#This Row],[تاريخ میلادی]],0)</f>
        <v>0</v>
      </c>
      <c r="R1694" s="6">
        <f ca="1">IF(Main[[#This Row],[بدهی تسویه نشده (کیلوگرم)]]&gt;0,'گزارش فردی'!$B$7-Main[[#This Row],[تاريخ میلادی]]-'گزارش فردی'!$B$8,0)</f>
        <v>0</v>
      </c>
      <c r="S1694" s="6">
        <f ca="1">Main[[#This Row],[روز از ارسال سفارش]]*Main[[#This Row],[بدهی تسویه نشده (کیلوگرم)]]</f>
        <v>0</v>
      </c>
      <c r="T1694" s="6">
        <f ca="1">Main[[#This Row],[بدهی سررسید شده (کیلوگرم)]]*Main[[#This Row],[روز از ارسال سفارش]]</f>
        <v>0</v>
      </c>
      <c r="U1694" s="6">
        <f>-SUBTOTAL(9,INDEX(Main[مقدار (کیلوگرم)],1):Main[[#This Row],[مقدار (کیلوگرم)]])</f>
        <v>18349</v>
      </c>
      <c r="V16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4" s="6">
        <f>Main[[#This Row],[تعداد کل روزهای بدهکار (روز)]]*Main[[#This Row],[مانده در خط کل (کیلوگرم)]]</f>
        <v>0</v>
      </c>
      <c r="X1694" s="6">
        <f ca="1">-SUBTOTAL(9,INDEX(Main[مقدار تسویه شده (کیلوگرم)],1):Main[[#This Row],[مقدار تسویه شده (کیلوگرم)]])</f>
        <v>18349</v>
      </c>
      <c r="Y1694" s="6">
        <f ca="1">IF(Main[[#This Row],[مانده در خط تسویه شده (کیلوگرم)]]&lt;&gt;0,Main[[#This Row],[تعداد کل روزهای بدهکار (روز)]],0)</f>
        <v>0</v>
      </c>
      <c r="Z1694" s="6">
        <f ca="1">Main[[#This Row],[تعداد روزهای بدهکار تسویه شده (روز)]]*Main[[#This Row],[مانده در خط تسویه شده (کیلوگرم)]]</f>
        <v>0</v>
      </c>
      <c r="AA1694" s="6">
        <f ca="1">SUBTOTAL(9,INDEX(Main[بدهی تسویه نشده (کیلوگرم)],1):Main[[#This Row],[بدهی تسویه نشده (کیلوگرم)]])</f>
        <v>0</v>
      </c>
      <c r="AB1694" s="6">
        <f ca="1">IF(Main[[#This Row],[مانده در خط تسویه نشده (کیلوگرم)]]&lt;&gt;0,Main[[#This Row],[تعداد کل روزهای بدهکار (روز)]],0)</f>
        <v>0</v>
      </c>
      <c r="AC1694" s="6">
        <f ca="1">Main[[#This Row],[تعداد روزهای بدهکار  تسویه نشده (روز)]]*Main[[#This Row],[مانده در خط تسویه نشده (کیلوگرم)]]</f>
        <v>0</v>
      </c>
      <c r="AD1694" s="6">
        <f ca="1">SUBTOTAL(9,INDEX(Main[بدهی سررسید شده (کیلوگرم)],1):Main[[#This Row],[بدهی سررسید شده (کیلوگرم)]])</f>
        <v>0</v>
      </c>
      <c r="AE1694" s="6">
        <f ca="1">IF(Main[[#This Row],[مانده در خط سررسید شده (کیلوگرم)]]&lt;&gt;0,Main[[#This Row],[تعداد کل روزهای بدهکار (روز)]],0)</f>
        <v>0</v>
      </c>
      <c r="AF1694" s="6">
        <f ca="1">Main[[#This Row],[تعداد روزهای بدهکار سررسید شده (روز)]]*Main[[#This Row],[مانده در خط سررسید شده (کیلوگرم)]]</f>
        <v>0</v>
      </c>
    </row>
    <row r="1695" spans="1:32" hidden="1" x14ac:dyDescent="0.35">
      <c r="A1695" s="5">
        <f>ROW()-ROW(INDEX(Main[ردیف],1))+1</f>
        <v>1693</v>
      </c>
      <c r="B1695" s="31">
        <f>SUBTOTAL(2,INDEX(Main[ردیف],1):Main[[#This Row],[ردیف]])</f>
        <v>151</v>
      </c>
      <c r="C1695" s="32" t="s">
        <v>709</v>
      </c>
      <c r="D1695" s="32" t="str">
        <f>_xlfn.CONCAT("14",Main[[#This Row],[تاريخ]])</f>
        <v>1400/07/03</v>
      </c>
      <c r="E1695" s="33">
        <v>44464</v>
      </c>
      <c r="F1695" s="32">
        <v>30009</v>
      </c>
      <c r="G1695" s="5" t="str">
        <f>INDEX(customer[عنوان],MATCH(Main[[#This Row],[کد ردیابی]],customer[کد],0))</f>
        <v>شرکت ایمن تک پیشرو</v>
      </c>
      <c r="H1695">
        <v>-2028</v>
      </c>
      <c r="I1695" s="6">
        <f ca="1">-Main[[#This Row],[بدهی تسویه شده (کیلوگرم)]]+Main[[#This Row],[بستانکار (کیلوگرم)]]</f>
        <v>-2028</v>
      </c>
      <c r="J1695" s="6">
        <f>IF(Main[[#This Row],[مقدار (کیلوگرم)]]&gt;0,Main[[#This Row],[مقدار (کیلوگرم)]],0)</f>
        <v>0</v>
      </c>
      <c r="K1695" s="6">
        <f>-IF(Main[[#This Row],[مقدار (کیلوگرم)]]&lt;0,Main[[#This Row],[مقدار (کیلوگرم)]],0)</f>
        <v>2028</v>
      </c>
      <c r="L16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5" s="7">
        <f>-IF(AND(Main[[#This Row],[مقدار (کیلوگرم)]]&lt;0,Main[[#This Row],[تاريخ میلادی]]&gt;44276),Main[[#This Row],[مقدار (کیلوگرم)]],0)</f>
        <v>2028</v>
      </c>
      <c r="N1695" s="6">
        <f ca="1">Main[[#This Row],[بدهکار (کیلوگرم)]]-Main[[#This Row],[بدهی تسویه نشده (کیلوگرم)]]</f>
        <v>2028</v>
      </c>
      <c r="O1695" s="6">
        <f ca="1">Main[[#This Row],[تفکیک]]</f>
        <v>0</v>
      </c>
      <c r="P1695" s="6">
        <f ca="1">IF(Main[[#This Row],[تاخیر از سررسید]]&gt;0,Main[[#This Row],[بدهی تسویه نشده (کیلوگرم)]],0)</f>
        <v>0</v>
      </c>
      <c r="Q1695" s="6">
        <f ca="1">IF(Main[[#This Row],[بدهی تسویه نشده (کیلوگرم)]]&gt;0,'گزارش فردی'!$B$7-Main[[#This Row],[تاريخ میلادی]],0)</f>
        <v>0</v>
      </c>
      <c r="R1695" s="6">
        <f ca="1">IF(Main[[#This Row],[بدهی تسویه نشده (کیلوگرم)]]&gt;0,'گزارش فردی'!$B$7-Main[[#This Row],[تاريخ میلادی]]-'گزارش فردی'!$B$8,0)</f>
        <v>0</v>
      </c>
      <c r="S1695" s="6">
        <f ca="1">Main[[#This Row],[روز از ارسال سفارش]]*Main[[#This Row],[بدهی تسویه نشده (کیلوگرم)]]</f>
        <v>0</v>
      </c>
      <c r="T1695" s="6">
        <f ca="1">Main[[#This Row],[بدهی سررسید شده (کیلوگرم)]]*Main[[#This Row],[روز از ارسال سفارش]]</f>
        <v>0</v>
      </c>
      <c r="U1695" s="6">
        <f>-SUBTOTAL(9,INDEX(Main[مقدار (کیلوگرم)],1):Main[[#This Row],[مقدار (کیلوگرم)]])</f>
        <v>18349</v>
      </c>
      <c r="V16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5" s="6">
        <f>Main[[#This Row],[تعداد کل روزهای بدهکار (روز)]]*Main[[#This Row],[مانده در خط کل (کیلوگرم)]]</f>
        <v>0</v>
      </c>
      <c r="X1695" s="6">
        <f ca="1">-SUBTOTAL(9,INDEX(Main[مقدار تسویه شده (کیلوگرم)],1):Main[[#This Row],[مقدار تسویه شده (کیلوگرم)]])</f>
        <v>18349</v>
      </c>
      <c r="Y1695" s="6">
        <f ca="1">IF(Main[[#This Row],[مانده در خط تسویه شده (کیلوگرم)]]&lt;&gt;0,Main[[#This Row],[تعداد کل روزهای بدهکار (روز)]],0)</f>
        <v>0</v>
      </c>
      <c r="Z1695" s="6">
        <f ca="1">Main[[#This Row],[تعداد روزهای بدهکار تسویه شده (روز)]]*Main[[#This Row],[مانده در خط تسویه شده (کیلوگرم)]]</f>
        <v>0</v>
      </c>
      <c r="AA1695" s="6">
        <f ca="1">SUBTOTAL(9,INDEX(Main[بدهی تسویه نشده (کیلوگرم)],1):Main[[#This Row],[بدهی تسویه نشده (کیلوگرم)]])</f>
        <v>0</v>
      </c>
      <c r="AB1695" s="6">
        <f ca="1">IF(Main[[#This Row],[مانده در خط تسویه نشده (کیلوگرم)]]&lt;&gt;0,Main[[#This Row],[تعداد کل روزهای بدهکار (روز)]],0)</f>
        <v>0</v>
      </c>
      <c r="AC1695" s="6">
        <f ca="1">Main[[#This Row],[تعداد روزهای بدهکار  تسویه نشده (روز)]]*Main[[#This Row],[مانده در خط تسویه نشده (کیلوگرم)]]</f>
        <v>0</v>
      </c>
      <c r="AD1695" s="6">
        <f ca="1">SUBTOTAL(9,INDEX(Main[بدهی سررسید شده (کیلوگرم)],1):Main[[#This Row],[بدهی سررسید شده (کیلوگرم)]])</f>
        <v>0</v>
      </c>
      <c r="AE1695" s="6">
        <f ca="1">IF(Main[[#This Row],[مانده در خط سررسید شده (کیلوگرم)]]&lt;&gt;0,Main[[#This Row],[تعداد کل روزهای بدهکار (روز)]],0)</f>
        <v>0</v>
      </c>
      <c r="AF1695" s="6">
        <f ca="1">Main[[#This Row],[تعداد روزهای بدهکار سررسید شده (روز)]]*Main[[#This Row],[مانده در خط سررسید شده (کیلوگرم)]]</f>
        <v>0</v>
      </c>
    </row>
    <row r="1696" spans="1:32" x14ac:dyDescent="0.35">
      <c r="A1696" s="5">
        <f>ROW()-ROW(INDEX(Main[ردیف],1))+1</f>
        <v>1694</v>
      </c>
      <c r="B1696" s="31">
        <f>SUBTOTAL(2,INDEX(Main[ردیف],1):Main[[#This Row],[ردیف]])</f>
        <v>152</v>
      </c>
      <c r="C1696" s="32" t="s">
        <v>709</v>
      </c>
      <c r="D1696" s="32" t="str">
        <f>_xlfn.CONCAT("14",Main[[#This Row],[تاريخ]])</f>
        <v>1400/07/03</v>
      </c>
      <c r="E1696" s="33">
        <v>44464</v>
      </c>
      <c r="F1696" s="32">
        <v>10003</v>
      </c>
      <c r="G1696" s="5" t="str">
        <f>INDEX(customer[عنوان],MATCH(Main[[#This Row],[کد ردیابی]],customer[کد],0))</f>
        <v>اصغر نورعلی</v>
      </c>
      <c r="H1696">
        <v>3000</v>
      </c>
      <c r="I1696" s="6">
        <f ca="1">-Main[[#This Row],[بدهی تسویه شده (کیلوگرم)]]+Main[[#This Row],[بستانکار (کیلوگرم)]]</f>
        <v>3000</v>
      </c>
      <c r="J1696" s="6">
        <f>IF(Main[[#This Row],[مقدار (کیلوگرم)]]&gt;0,Main[[#This Row],[مقدار (کیلوگرم)]],0)</f>
        <v>3000</v>
      </c>
      <c r="K1696" s="6">
        <f>-IF(Main[[#This Row],[مقدار (کیلوگرم)]]&lt;0,Main[[#This Row],[مقدار (کیلوگرم)]],0)</f>
        <v>0</v>
      </c>
      <c r="L16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6" s="7">
        <f>-IF(AND(Main[[#This Row],[مقدار (کیلوگرم)]]&lt;0,Main[[#This Row],[تاريخ میلادی]]&gt;44276),Main[[#This Row],[مقدار (کیلوگرم)]],0)</f>
        <v>0</v>
      </c>
      <c r="N1696" s="6">
        <f ca="1">Main[[#This Row],[بدهکار (کیلوگرم)]]-Main[[#This Row],[بدهی تسویه نشده (کیلوگرم)]]</f>
        <v>0</v>
      </c>
      <c r="O1696" s="6">
        <f ca="1">Main[[#This Row],[تفکیک]]</f>
        <v>0</v>
      </c>
      <c r="P1696" s="6">
        <f ca="1">IF(Main[[#This Row],[تاخیر از سررسید]]&gt;0,Main[[#This Row],[بدهی تسویه نشده (کیلوگرم)]],0)</f>
        <v>0</v>
      </c>
      <c r="Q1696" s="6">
        <f ca="1">IF(Main[[#This Row],[بدهی تسویه نشده (کیلوگرم)]]&gt;0,'گزارش فردی'!$B$7-Main[[#This Row],[تاريخ میلادی]],0)</f>
        <v>0</v>
      </c>
      <c r="R1696" s="6">
        <f ca="1">IF(Main[[#This Row],[بدهی تسویه نشده (کیلوگرم)]]&gt;0,'گزارش فردی'!$B$7-Main[[#This Row],[تاريخ میلادی]]-'گزارش فردی'!$B$8,0)</f>
        <v>0</v>
      </c>
      <c r="S1696" s="6">
        <f ca="1">Main[[#This Row],[روز از ارسال سفارش]]*Main[[#This Row],[بدهی تسویه نشده (کیلوگرم)]]</f>
        <v>0</v>
      </c>
      <c r="T1696" s="6">
        <f ca="1">Main[[#This Row],[بدهی سررسید شده (کیلوگرم)]]*Main[[#This Row],[روز از ارسال سفارش]]</f>
        <v>0</v>
      </c>
      <c r="U1696" s="6">
        <f>-SUBTOTAL(9,INDEX(Main[مقدار (کیلوگرم)],1):Main[[#This Row],[مقدار (کیلوگرم)]])</f>
        <v>15349</v>
      </c>
      <c r="V16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6" s="6">
        <f>Main[[#This Row],[تعداد کل روزهای بدهکار (روز)]]*Main[[#This Row],[مانده در خط کل (کیلوگرم)]]</f>
        <v>0</v>
      </c>
      <c r="X1696" s="6">
        <f ca="1">-SUBTOTAL(9,INDEX(Main[مقدار تسویه شده (کیلوگرم)],1):Main[[#This Row],[مقدار تسویه شده (کیلوگرم)]])</f>
        <v>15349</v>
      </c>
      <c r="Y1696" s="6">
        <f ca="1">IF(Main[[#This Row],[مانده در خط تسویه شده (کیلوگرم)]]&lt;&gt;0,Main[[#This Row],[تعداد کل روزهای بدهکار (روز)]],0)</f>
        <v>0</v>
      </c>
      <c r="Z1696" s="6">
        <f ca="1">Main[[#This Row],[تعداد روزهای بدهکار تسویه شده (روز)]]*Main[[#This Row],[مانده در خط تسویه شده (کیلوگرم)]]</f>
        <v>0</v>
      </c>
      <c r="AA1696" s="6">
        <f ca="1">SUBTOTAL(9,INDEX(Main[بدهی تسویه نشده (کیلوگرم)],1):Main[[#This Row],[بدهی تسویه نشده (کیلوگرم)]])</f>
        <v>0</v>
      </c>
      <c r="AB1696" s="6">
        <f ca="1">IF(Main[[#This Row],[مانده در خط تسویه نشده (کیلوگرم)]]&lt;&gt;0,Main[[#This Row],[تعداد کل روزهای بدهکار (روز)]],0)</f>
        <v>0</v>
      </c>
      <c r="AC1696" s="6">
        <f ca="1">Main[[#This Row],[تعداد روزهای بدهکار  تسویه نشده (روز)]]*Main[[#This Row],[مانده در خط تسویه نشده (کیلوگرم)]]</f>
        <v>0</v>
      </c>
      <c r="AD1696" s="6">
        <f ca="1">SUBTOTAL(9,INDEX(Main[بدهی سررسید شده (کیلوگرم)],1):Main[[#This Row],[بدهی سررسید شده (کیلوگرم)]])</f>
        <v>0</v>
      </c>
      <c r="AE1696" s="6">
        <f ca="1">IF(Main[[#This Row],[مانده در خط سررسید شده (کیلوگرم)]]&lt;&gt;0,Main[[#This Row],[تعداد کل روزهای بدهکار (روز)]],0)</f>
        <v>0</v>
      </c>
      <c r="AF1696" s="6">
        <f ca="1">Main[[#This Row],[تعداد روزهای بدهکار سررسید شده (روز)]]*Main[[#This Row],[مانده در خط سررسید شده (کیلوگرم)]]</f>
        <v>0</v>
      </c>
    </row>
    <row r="1697" spans="1:32" hidden="1" x14ac:dyDescent="0.35">
      <c r="A1697" s="5">
        <f>ROW()-ROW(INDEX(Main[ردیف],1))+1</f>
        <v>1695</v>
      </c>
      <c r="B1697" s="31">
        <f>SUBTOTAL(2,INDEX(Main[ردیف],1):Main[[#This Row],[ردیف]])</f>
        <v>152</v>
      </c>
      <c r="C1697" s="32" t="s">
        <v>709</v>
      </c>
      <c r="D1697" s="32" t="str">
        <f>_xlfn.CONCAT("14",Main[[#This Row],[تاريخ]])</f>
        <v>1400/07/03</v>
      </c>
      <c r="E1697" s="33">
        <v>44464</v>
      </c>
      <c r="F1697" s="32">
        <v>30066</v>
      </c>
      <c r="G1697" s="5" t="str">
        <f>INDEX(customer[عنوان],MATCH(Main[[#This Row],[کد ردیابی]],customer[کد],0))</f>
        <v xml:space="preserve">شیر آلات بهداشتی قهرمان </v>
      </c>
      <c r="H1697">
        <v>-3936</v>
      </c>
      <c r="I1697" s="6">
        <f ca="1">-Main[[#This Row],[بدهی تسویه شده (کیلوگرم)]]+Main[[#This Row],[بستانکار (کیلوگرم)]]</f>
        <v>-3936</v>
      </c>
      <c r="J1697" s="6">
        <f>IF(Main[[#This Row],[مقدار (کیلوگرم)]]&gt;0,Main[[#This Row],[مقدار (کیلوگرم)]],0)</f>
        <v>0</v>
      </c>
      <c r="K1697" s="6">
        <f>-IF(Main[[#This Row],[مقدار (کیلوگرم)]]&lt;0,Main[[#This Row],[مقدار (کیلوگرم)]],0)</f>
        <v>3936</v>
      </c>
      <c r="L16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7" s="7">
        <f>-IF(AND(Main[[#This Row],[مقدار (کیلوگرم)]]&lt;0,Main[[#This Row],[تاريخ میلادی]]&gt;44276),Main[[#This Row],[مقدار (کیلوگرم)]],0)</f>
        <v>3936</v>
      </c>
      <c r="N1697" s="6">
        <f ca="1">Main[[#This Row],[بدهکار (کیلوگرم)]]-Main[[#This Row],[بدهی تسویه نشده (کیلوگرم)]]</f>
        <v>3936</v>
      </c>
      <c r="O1697" s="6">
        <f ca="1">Main[[#This Row],[تفکیک]]</f>
        <v>0</v>
      </c>
      <c r="P1697" s="6">
        <f ca="1">IF(Main[[#This Row],[تاخیر از سررسید]]&gt;0,Main[[#This Row],[بدهی تسویه نشده (کیلوگرم)]],0)</f>
        <v>0</v>
      </c>
      <c r="Q1697" s="6">
        <f ca="1">IF(Main[[#This Row],[بدهی تسویه نشده (کیلوگرم)]]&gt;0,'گزارش فردی'!$B$7-Main[[#This Row],[تاريخ میلادی]],0)</f>
        <v>0</v>
      </c>
      <c r="R1697" s="6">
        <f ca="1">IF(Main[[#This Row],[بدهی تسویه نشده (کیلوگرم)]]&gt;0,'گزارش فردی'!$B$7-Main[[#This Row],[تاريخ میلادی]]-'گزارش فردی'!$B$8,0)</f>
        <v>0</v>
      </c>
      <c r="S1697" s="6">
        <f ca="1">Main[[#This Row],[روز از ارسال سفارش]]*Main[[#This Row],[بدهی تسویه نشده (کیلوگرم)]]</f>
        <v>0</v>
      </c>
      <c r="T1697" s="6">
        <f ca="1">Main[[#This Row],[بدهی سررسید شده (کیلوگرم)]]*Main[[#This Row],[روز از ارسال سفارش]]</f>
        <v>0</v>
      </c>
      <c r="U1697" s="6">
        <f>-SUBTOTAL(9,INDEX(Main[مقدار (کیلوگرم)],1):Main[[#This Row],[مقدار (کیلوگرم)]])</f>
        <v>15349</v>
      </c>
      <c r="V16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7" s="6">
        <f>Main[[#This Row],[تعداد کل روزهای بدهکار (روز)]]*Main[[#This Row],[مانده در خط کل (کیلوگرم)]]</f>
        <v>0</v>
      </c>
      <c r="X1697" s="6">
        <f ca="1">-SUBTOTAL(9,INDEX(Main[مقدار تسویه شده (کیلوگرم)],1):Main[[#This Row],[مقدار تسویه شده (کیلوگرم)]])</f>
        <v>15349</v>
      </c>
      <c r="Y1697" s="6">
        <f ca="1">IF(Main[[#This Row],[مانده در خط تسویه شده (کیلوگرم)]]&lt;&gt;0,Main[[#This Row],[تعداد کل روزهای بدهکار (روز)]],0)</f>
        <v>0</v>
      </c>
      <c r="Z1697" s="6">
        <f ca="1">Main[[#This Row],[تعداد روزهای بدهکار تسویه شده (روز)]]*Main[[#This Row],[مانده در خط تسویه شده (کیلوگرم)]]</f>
        <v>0</v>
      </c>
      <c r="AA1697" s="6">
        <f ca="1">SUBTOTAL(9,INDEX(Main[بدهی تسویه نشده (کیلوگرم)],1):Main[[#This Row],[بدهی تسویه نشده (کیلوگرم)]])</f>
        <v>0</v>
      </c>
      <c r="AB1697" s="6">
        <f ca="1">IF(Main[[#This Row],[مانده در خط تسویه نشده (کیلوگرم)]]&lt;&gt;0,Main[[#This Row],[تعداد کل روزهای بدهکار (روز)]],0)</f>
        <v>0</v>
      </c>
      <c r="AC1697" s="6">
        <f ca="1">Main[[#This Row],[تعداد روزهای بدهکار  تسویه نشده (روز)]]*Main[[#This Row],[مانده در خط تسویه نشده (کیلوگرم)]]</f>
        <v>0</v>
      </c>
      <c r="AD1697" s="6">
        <f ca="1">SUBTOTAL(9,INDEX(Main[بدهی سررسید شده (کیلوگرم)],1):Main[[#This Row],[بدهی سررسید شده (کیلوگرم)]])</f>
        <v>0</v>
      </c>
      <c r="AE1697" s="6">
        <f ca="1">IF(Main[[#This Row],[مانده در خط سررسید شده (کیلوگرم)]]&lt;&gt;0,Main[[#This Row],[تعداد کل روزهای بدهکار (روز)]],0)</f>
        <v>0</v>
      </c>
      <c r="AF1697" s="6">
        <f ca="1">Main[[#This Row],[تعداد روزهای بدهکار سررسید شده (روز)]]*Main[[#This Row],[مانده در خط سررسید شده (کیلوگرم)]]</f>
        <v>0</v>
      </c>
    </row>
    <row r="1698" spans="1:32" hidden="1" x14ac:dyDescent="0.35">
      <c r="A1698" s="5">
        <f>ROW()-ROW(INDEX(Main[ردیف],1))+1</f>
        <v>1696</v>
      </c>
      <c r="B1698" s="31">
        <f>SUBTOTAL(2,INDEX(Main[ردیف],1):Main[[#This Row],[ردیف]])</f>
        <v>152</v>
      </c>
      <c r="C1698" s="32" t="s">
        <v>709</v>
      </c>
      <c r="D1698" s="32" t="str">
        <f>_xlfn.CONCAT("14",Main[[#This Row],[تاريخ]])</f>
        <v>1400/07/03</v>
      </c>
      <c r="E1698" s="33">
        <v>44464</v>
      </c>
      <c r="F1698" s="32">
        <v>10070</v>
      </c>
      <c r="G1698" s="5" t="str">
        <f>INDEX(customer[عنوان],MATCH(Main[[#This Row],[کد ردیابی]],customer[کد],0))</f>
        <v xml:space="preserve">حمیدرضا شفیعی </v>
      </c>
      <c r="H1698">
        <v>1878</v>
      </c>
      <c r="I1698" s="6">
        <f ca="1">-Main[[#This Row],[بدهی تسویه شده (کیلوگرم)]]+Main[[#This Row],[بستانکار (کیلوگرم)]]</f>
        <v>1878</v>
      </c>
      <c r="J1698" s="6">
        <f>IF(Main[[#This Row],[مقدار (کیلوگرم)]]&gt;0,Main[[#This Row],[مقدار (کیلوگرم)]],0)</f>
        <v>1878</v>
      </c>
      <c r="K1698" s="6">
        <f>-IF(Main[[#This Row],[مقدار (کیلوگرم)]]&lt;0,Main[[#This Row],[مقدار (کیلوگرم)]],0)</f>
        <v>0</v>
      </c>
      <c r="L16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8" s="7">
        <f>-IF(AND(Main[[#This Row],[مقدار (کیلوگرم)]]&lt;0,Main[[#This Row],[تاريخ میلادی]]&gt;44276),Main[[#This Row],[مقدار (کیلوگرم)]],0)</f>
        <v>0</v>
      </c>
      <c r="N1698" s="6">
        <f ca="1">Main[[#This Row],[بدهکار (کیلوگرم)]]-Main[[#This Row],[بدهی تسویه نشده (کیلوگرم)]]</f>
        <v>0</v>
      </c>
      <c r="O1698" s="6">
        <f ca="1">Main[[#This Row],[تفکیک]]</f>
        <v>0</v>
      </c>
      <c r="P1698" s="6">
        <f ca="1">IF(Main[[#This Row],[تاخیر از سررسید]]&gt;0,Main[[#This Row],[بدهی تسویه نشده (کیلوگرم)]],0)</f>
        <v>0</v>
      </c>
      <c r="Q1698" s="6">
        <f ca="1">IF(Main[[#This Row],[بدهی تسویه نشده (کیلوگرم)]]&gt;0,'گزارش فردی'!$B$7-Main[[#This Row],[تاريخ میلادی]],0)</f>
        <v>0</v>
      </c>
      <c r="R1698" s="6">
        <f ca="1">IF(Main[[#This Row],[بدهی تسویه نشده (کیلوگرم)]]&gt;0,'گزارش فردی'!$B$7-Main[[#This Row],[تاريخ میلادی]]-'گزارش فردی'!$B$8,0)</f>
        <v>0</v>
      </c>
      <c r="S1698" s="6">
        <f ca="1">Main[[#This Row],[روز از ارسال سفارش]]*Main[[#This Row],[بدهی تسویه نشده (کیلوگرم)]]</f>
        <v>0</v>
      </c>
      <c r="T1698" s="6">
        <f ca="1">Main[[#This Row],[بدهی سررسید شده (کیلوگرم)]]*Main[[#This Row],[روز از ارسال سفارش]]</f>
        <v>0</v>
      </c>
      <c r="U1698" s="6">
        <f>-SUBTOTAL(9,INDEX(Main[مقدار (کیلوگرم)],1):Main[[#This Row],[مقدار (کیلوگرم)]])</f>
        <v>15349</v>
      </c>
      <c r="V16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8" s="6">
        <f>Main[[#This Row],[تعداد کل روزهای بدهکار (روز)]]*Main[[#This Row],[مانده در خط کل (کیلوگرم)]]</f>
        <v>0</v>
      </c>
      <c r="X1698" s="6">
        <f ca="1">-SUBTOTAL(9,INDEX(Main[مقدار تسویه شده (کیلوگرم)],1):Main[[#This Row],[مقدار تسویه شده (کیلوگرم)]])</f>
        <v>15349</v>
      </c>
      <c r="Y1698" s="6">
        <f ca="1">IF(Main[[#This Row],[مانده در خط تسویه شده (کیلوگرم)]]&lt;&gt;0,Main[[#This Row],[تعداد کل روزهای بدهکار (روز)]],0)</f>
        <v>0</v>
      </c>
      <c r="Z1698" s="6">
        <f ca="1">Main[[#This Row],[تعداد روزهای بدهکار تسویه شده (روز)]]*Main[[#This Row],[مانده در خط تسویه شده (کیلوگرم)]]</f>
        <v>0</v>
      </c>
      <c r="AA1698" s="6">
        <f ca="1">SUBTOTAL(9,INDEX(Main[بدهی تسویه نشده (کیلوگرم)],1):Main[[#This Row],[بدهی تسویه نشده (کیلوگرم)]])</f>
        <v>0</v>
      </c>
      <c r="AB1698" s="6">
        <f ca="1">IF(Main[[#This Row],[مانده در خط تسویه نشده (کیلوگرم)]]&lt;&gt;0,Main[[#This Row],[تعداد کل روزهای بدهکار (روز)]],0)</f>
        <v>0</v>
      </c>
      <c r="AC1698" s="6">
        <f ca="1">Main[[#This Row],[تعداد روزهای بدهکار  تسویه نشده (روز)]]*Main[[#This Row],[مانده در خط تسویه نشده (کیلوگرم)]]</f>
        <v>0</v>
      </c>
      <c r="AD1698" s="6">
        <f ca="1">SUBTOTAL(9,INDEX(Main[بدهی سررسید شده (کیلوگرم)],1):Main[[#This Row],[بدهی سررسید شده (کیلوگرم)]])</f>
        <v>0</v>
      </c>
      <c r="AE1698" s="6">
        <f ca="1">IF(Main[[#This Row],[مانده در خط سررسید شده (کیلوگرم)]]&lt;&gt;0,Main[[#This Row],[تعداد کل روزهای بدهکار (روز)]],0)</f>
        <v>0</v>
      </c>
      <c r="AF1698" s="6">
        <f ca="1">Main[[#This Row],[تعداد روزهای بدهکار سررسید شده (روز)]]*Main[[#This Row],[مانده در خط سررسید شده (کیلوگرم)]]</f>
        <v>0</v>
      </c>
    </row>
    <row r="1699" spans="1:32" hidden="1" x14ac:dyDescent="0.35">
      <c r="A1699" s="5">
        <f>ROW()-ROW(INDEX(Main[ردیف],1))+1</f>
        <v>1697</v>
      </c>
      <c r="B1699" s="31">
        <f>SUBTOTAL(2,INDEX(Main[ردیف],1):Main[[#This Row],[ردیف]])</f>
        <v>152</v>
      </c>
      <c r="C1699" s="32" t="s">
        <v>709</v>
      </c>
      <c r="D1699" s="32" t="str">
        <f>_xlfn.CONCAT("14",Main[[#This Row],[تاريخ]])</f>
        <v>1400/07/03</v>
      </c>
      <c r="E1699" s="33">
        <v>44464</v>
      </c>
      <c r="F1699" s="32">
        <v>10026</v>
      </c>
      <c r="G1699" s="5" t="str">
        <f>INDEX(customer[عنوان],MATCH(Main[[#This Row],[کد ردیابی]],customer[کد],0))</f>
        <v xml:space="preserve">محسن فیاض بخش </v>
      </c>
      <c r="H1699">
        <v>-4059</v>
      </c>
      <c r="I1699" s="6">
        <f ca="1">-Main[[#This Row],[بدهی تسویه شده (کیلوگرم)]]+Main[[#This Row],[بستانکار (کیلوگرم)]]</f>
        <v>-4059</v>
      </c>
      <c r="J1699" s="6">
        <f>IF(Main[[#This Row],[مقدار (کیلوگرم)]]&gt;0,Main[[#This Row],[مقدار (کیلوگرم)]],0)</f>
        <v>0</v>
      </c>
      <c r="K1699" s="6">
        <f>-IF(Main[[#This Row],[مقدار (کیلوگرم)]]&lt;0,Main[[#This Row],[مقدار (کیلوگرم)]],0)</f>
        <v>4059</v>
      </c>
      <c r="L16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9" s="7">
        <f>-IF(AND(Main[[#This Row],[مقدار (کیلوگرم)]]&lt;0,Main[[#This Row],[تاريخ میلادی]]&gt;44276),Main[[#This Row],[مقدار (کیلوگرم)]],0)</f>
        <v>4059</v>
      </c>
      <c r="N1699" s="6">
        <f ca="1">Main[[#This Row],[بدهکار (کیلوگرم)]]-Main[[#This Row],[بدهی تسویه نشده (کیلوگرم)]]</f>
        <v>4059</v>
      </c>
      <c r="O1699" s="6">
        <f ca="1">Main[[#This Row],[تفکیک]]</f>
        <v>0</v>
      </c>
      <c r="P1699" s="6">
        <f ca="1">IF(Main[[#This Row],[تاخیر از سررسید]]&gt;0,Main[[#This Row],[بدهی تسویه نشده (کیلوگرم)]],0)</f>
        <v>0</v>
      </c>
      <c r="Q1699" s="6">
        <f ca="1">IF(Main[[#This Row],[بدهی تسویه نشده (کیلوگرم)]]&gt;0,'گزارش فردی'!$B$7-Main[[#This Row],[تاريخ میلادی]],0)</f>
        <v>0</v>
      </c>
      <c r="R1699" s="6">
        <f ca="1">IF(Main[[#This Row],[بدهی تسویه نشده (کیلوگرم)]]&gt;0,'گزارش فردی'!$B$7-Main[[#This Row],[تاريخ میلادی]]-'گزارش فردی'!$B$8,0)</f>
        <v>0</v>
      </c>
      <c r="S1699" s="6">
        <f ca="1">Main[[#This Row],[روز از ارسال سفارش]]*Main[[#This Row],[بدهی تسویه نشده (کیلوگرم)]]</f>
        <v>0</v>
      </c>
      <c r="T1699" s="6">
        <f ca="1">Main[[#This Row],[بدهی سررسید شده (کیلوگرم)]]*Main[[#This Row],[روز از ارسال سفارش]]</f>
        <v>0</v>
      </c>
      <c r="U1699" s="6">
        <f>-SUBTOTAL(9,INDEX(Main[مقدار (کیلوگرم)],1):Main[[#This Row],[مقدار (کیلوگرم)]])</f>
        <v>15349</v>
      </c>
      <c r="V16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9" s="6">
        <f>Main[[#This Row],[تعداد کل روزهای بدهکار (روز)]]*Main[[#This Row],[مانده در خط کل (کیلوگرم)]]</f>
        <v>0</v>
      </c>
      <c r="X1699" s="6">
        <f ca="1">-SUBTOTAL(9,INDEX(Main[مقدار تسویه شده (کیلوگرم)],1):Main[[#This Row],[مقدار تسویه شده (کیلوگرم)]])</f>
        <v>15349</v>
      </c>
      <c r="Y1699" s="6">
        <f ca="1">IF(Main[[#This Row],[مانده در خط تسویه شده (کیلوگرم)]]&lt;&gt;0,Main[[#This Row],[تعداد کل روزهای بدهکار (روز)]],0)</f>
        <v>0</v>
      </c>
      <c r="Z1699" s="6">
        <f ca="1">Main[[#This Row],[تعداد روزهای بدهکار تسویه شده (روز)]]*Main[[#This Row],[مانده در خط تسویه شده (کیلوگرم)]]</f>
        <v>0</v>
      </c>
      <c r="AA1699" s="6">
        <f ca="1">SUBTOTAL(9,INDEX(Main[بدهی تسویه نشده (کیلوگرم)],1):Main[[#This Row],[بدهی تسویه نشده (کیلوگرم)]])</f>
        <v>0</v>
      </c>
      <c r="AB1699" s="6">
        <f ca="1">IF(Main[[#This Row],[مانده در خط تسویه نشده (کیلوگرم)]]&lt;&gt;0,Main[[#This Row],[تعداد کل روزهای بدهکار (روز)]],0)</f>
        <v>0</v>
      </c>
      <c r="AC1699" s="6">
        <f ca="1">Main[[#This Row],[تعداد روزهای بدهکار  تسویه نشده (روز)]]*Main[[#This Row],[مانده در خط تسویه نشده (کیلوگرم)]]</f>
        <v>0</v>
      </c>
      <c r="AD1699" s="6">
        <f ca="1">SUBTOTAL(9,INDEX(Main[بدهی سررسید شده (کیلوگرم)],1):Main[[#This Row],[بدهی سررسید شده (کیلوگرم)]])</f>
        <v>0</v>
      </c>
      <c r="AE1699" s="6">
        <f ca="1">IF(Main[[#This Row],[مانده در خط سررسید شده (کیلوگرم)]]&lt;&gt;0,Main[[#This Row],[تعداد کل روزهای بدهکار (روز)]],0)</f>
        <v>0</v>
      </c>
      <c r="AF1699" s="6">
        <f ca="1">Main[[#This Row],[تعداد روزهای بدهکار سررسید شده (روز)]]*Main[[#This Row],[مانده در خط سررسید شده (کیلوگرم)]]</f>
        <v>0</v>
      </c>
    </row>
    <row r="1700" spans="1:32" x14ac:dyDescent="0.35">
      <c r="A1700" s="5">
        <f>ROW()-ROW(INDEX(Main[ردیف],1))+1</f>
        <v>1698</v>
      </c>
      <c r="B1700" s="31">
        <f>SUBTOTAL(2,INDEX(Main[ردیف],1):Main[[#This Row],[ردیف]])</f>
        <v>153</v>
      </c>
      <c r="C1700" s="32" t="s">
        <v>709</v>
      </c>
      <c r="D1700" s="32" t="str">
        <f>_xlfn.CONCAT("14",Main[[#This Row],[تاريخ]])</f>
        <v>1400/07/03</v>
      </c>
      <c r="E1700" s="33">
        <v>44464</v>
      </c>
      <c r="F1700" s="32">
        <v>10003</v>
      </c>
      <c r="G1700" s="5" t="str">
        <f>INDEX(customer[عنوان],MATCH(Main[[#This Row],[کد ردیابی]],customer[کد],0))</f>
        <v>اصغر نورعلی</v>
      </c>
      <c r="H1700">
        <v>2204</v>
      </c>
      <c r="I1700" s="6">
        <f ca="1">-Main[[#This Row],[بدهی تسویه شده (کیلوگرم)]]+Main[[#This Row],[بستانکار (کیلوگرم)]]</f>
        <v>2204</v>
      </c>
      <c r="J1700" s="6">
        <f>IF(Main[[#This Row],[مقدار (کیلوگرم)]]&gt;0,Main[[#This Row],[مقدار (کیلوگرم)]],0)</f>
        <v>2204</v>
      </c>
      <c r="K1700" s="6">
        <f>-IF(Main[[#This Row],[مقدار (کیلوگرم)]]&lt;0,Main[[#This Row],[مقدار (کیلوگرم)]],0)</f>
        <v>0</v>
      </c>
      <c r="L17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0" s="7">
        <f>-IF(AND(Main[[#This Row],[مقدار (کیلوگرم)]]&lt;0,Main[[#This Row],[تاريخ میلادی]]&gt;44276),Main[[#This Row],[مقدار (کیلوگرم)]],0)</f>
        <v>0</v>
      </c>
      <c r="N1700" s="6">
        <f ca="1">Main[[#This Row],[بدهکار (کیلوگرم)]]-Main[[#This Row],[بدهی تسویه نشده (کیلوگرم)]]</f>
        <v>0</v>
      </c>
      <c r="O1700" s="6">
        <f ca="1">Main[[#This Row],[تفکیک]]</f>
        <v>0</v>
      </c>
      <c r="P1700" s="6">
        <f ca="1">IF(Main[[#This Row],[تاخیر از سررسید]]&gt;0,Main[[#This Row],[بدهی تسویه نشده (کیلوگرم)]],0)</f>
        <v>0</v>
      </c>
      <c r="Q1700" s="6">
        <f ca="1">IF(Main[[#This Row],[بدهی تسویه نشده (کیلوگرم)]]&gt;0,'گزارش فردی'!$B$7-Main[[#This Row],[تاريخ میلادی]],0)</f>
        <v>0</v>
      </c>
      <c r="R1700" s="6">
        <f ca="1">IF(Main[[#This Row],[بدهی تسویه نشده (کیلوگرم)]]&gt;0,'گزارش فردی'!$B$7-Main[[#This Row],[تاريخ میلادی]]-'گزارش فردی'!$B$8,0)</f>
        <v>0</v>
      </c>
      <c r="S1700" s="6">
        <f ca="1">Main[[#This Row],[روز از ارسال سفارش]]*Main[[#This Row],[بدهی تسویه نشده (کیلوگرم)]]</f>
        <v>0</v>
      </c>
      <c r="T1700" s="6">
        <f ca="1">Main[[#This Row],[بدهی سررسید شده (کیلوگرم)]]*Main[[#This Row],[روز از ارسال سفارش]]</f>
        <v>0</v>
      </c>
      <c r="U1700" s="6">
        <f>-SUBTOTAL(9,INDEX(Main[مقدار (کیلوگرم)],1):Main[[#This Row],[مقدار (کیلوگرم)]])</f>
        <v>13145</v>
      </c>
      <c r="V17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0" s="6">
        <f>Main[[#This Row],[تعداد کل روزهای بدهکار (روز)]]*Main[[#This Row],[مانده در خط کل (کیلوگرم)]]</f>
        <v>0</v>
      </c>
      <c r="X1700" s="6">
        <f ca="1">-SUBTOTAL(9,INDEX(Main[مقدار تسویه شده (کیلوگرم)],1):Main[[#This Row],[مقدار تسویه شده (کیلوگرم)]])</f>
        <v>13145</v>
      </c>
      <c r="Y1700" s="6">
        <f ca="1">IF(Main[[#This Row],[مانده در خط تسویه شده (کیلوگرم)]]&lt;&gt;0,Main[[#This Row],[تعداد کل روزهای بدهکار (روز)]],0)</f>
        <v>0</v>
      </c>
      <c r="Z1700" s="6">
        <f ca="1">Main[[#This Row],[تعداد روزهای بدهکار تسویه شده (روز)]]*Main[[#This Row],[مانده در خط تسویه شده (کیلوگرم)]]</f>
        <v>0</v>
      </c>
      <c r="AA1700" s="6">
        <f ca="1">SUBTOTAL(9,INDEX(Main[بدهی تسویه نشده (کیلوگرم)],1):Main[[#This Row],[بدهی تسویه نشده (کیلوگرم)]])</f>
        <v>0</v>
      </c>
      <c r="AB1700" s="6">
        <f ca="1">IF(Main[[#This Row],[مانده در خط تسویه نشده (کیلوگرم)]]&lt;&gt;0,Main[[#This Row],[تعداد کل روزهای بدهکار (روز)]],0)</f>
        <v>0</v>
      </c>
      <c r="AC1700" s="6">
        <f ca="1">Main[[#This Row],[تعداد روزهای بدهکار  تسویه نشده (روز)]]*Main[[#This Row],[مانده در خط تسویه نشده (کیلوگرم)]]</f>
        <v>0</v>
      </c>
      <c r="AD1700" s="6">
        <f ca="1">SUBTOTAL(9,INDEX(Main[بدهی سررسید شده (کیلوگرم)],1):Main[[#This Row],[بدهی سررسید شده (کیلوگرم)]])</f>
        <v>0</v>
      </c>
      <c r="AE1700" s="6">
        <f ca="1">IF(Main[[#This Row],[مانده در خط سررسید شده (کیلوگرم)]]&lt;&gt;0,Main[[#This Row],[تعداد کل روزهای بدهکار (روز)]],0)</f>
        <v>0</v>
      </c>
      <c r="AF1700" s="6">
        <f ca="1">Main[[#This Row],[تعداد روزهای بدهکار سررسید شده (روز)]]*Main[[#This Row],[مانده در خط سررسید شده (کیلوگرم)]]</f>
        <v>0</v>
      </c>
    </row>
    <row r="1701" spans="1:32" x14ac:dyDescent="0.35">
      <c r="A1701" s="5">
        <f>ROW()-ROW(INDEX(Main[ردیف],1))+1</f>
        <v>1699</v>
      </c>
      <c r="B1701" s="31">
        <f>SUBTOTAL(2,INDEX(Main[ردیف],1):Main[[#This Row],[ردیف]])</f>
        <v>154</v>
      </c>
      <c r="C1701" s="32" t="s">
        <v>709</v>
      </c>
      <c r="D1701" s="32" t="str">
        <f>_xlfn.CONCAT("14",Main[[#This Row],[تاريخ]])</f>
        <v>1400/07/03</v>
      </c>
      <c r="E1701" s="33">
        <v>44464</v>
      </c>
      <c r="F1701" s="32">
        <v>10003</v>
      </c>
      <c r="G1701" s="5" t="str">
        <f>INDEX(customer[عنوان],MATCH(Main[[#This Row],[کد ردیابی]],customer[کد],0))</f>
        <v>اصغر نورعلی</v>
      </c>
      <c r="H1701">
        <v>-2654</v>
      </c>
      <c r="I1701" s="6">
        <f ca="1">-Main[[#This Row],[بدهی تسویه شده (کیلوگرم)]]+Main[[#This Row],[بستانکار (کیلوگرم)]]</f>
        <v>-2654</v>
      </c>
      <c r="J1701" s="6">
        <f>IF(Main[[#This Row],[مقدار (کیلوگرم)]]&gt;0,Main[[#This Row],[مقدار (کیلوگرم)]],0)</f>
        <v>0</v>
      </c>
      <c r="K1701" s="6">
        <f>-IF(Main[[#This Row],[مقدار (کیلوگرم)]]&lt;0,Main[[#This Row],[مقدار (کیلوگرم)]],0)</f>
        <v>2654</v>
      </c>
      <c r="L17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1" s="7">
        <f>-IF(AND(Main[[#This Row],[مقدار (کیلوگرم)]]&lt;0,Main[[#This Row],[تاريخ میلادی]]&gt;44276),Main[[#This Row],[مقدار (کیلوگرم)]],0)</f>
        <v>2654</v>
      </c>
      <c r="N1701" s="6">
        <f ca="1">Main[[#This Row],[بدهکار (کیلوگرم)]]-Main[[#This Row],[بدهی تسویه نشده (کیلوگرم)]]</f>
        <v>2654</v>
      </c>
      <c r="O1701" s="6">
        <f ca="1">Main[[#This Row],[تفکیک]]</f>
        <v>0</v>
      </c>
      <c r="P1701" s="6">
        <f ca="1">IF(Main[[#This Row],[تاخیر از سررسید]]&gt;0,Main[[#This Row],[بدهی تسویه نشده (کیلوگرم)]],0)</f>
        <v>0</v>
      </c>
      <c r="Q1701" s="6">
        <f ca="1">IF(Main[[#This Row],[بدهی تسویه نشده (کیلوگرم)]]&gt;0,'گزارش فردی'!$B$7-Main[[#This Row],[تاريخ میلادی]],0)</f>
        <v>0</v>
      </c>
      <c r="R1701" s="6">
        <f ca="1">IF(Main[[#This Row],[بدهی تسویه نشده (کیلوگرم)]]&gt;0,'گزارش فردی'!$B$7-Main[[#This Row],[تاريخ میلادی]]-'گزارش فردی'!$B$8,0)</f>
        <v>0</v>
      </c>
      <c r="S1701" s="6">
        <f ca="1">Main[[#This Row],[روز از ارسال سفارش]]*Main[[#This Row],[بدهی تسویه نشده (کیلوگرم)]]</f>
        <v>0</v>
      </c>
      <c r="T1701" s="6">
        <f ca="1">Main[[#This Row],[بدهی سررسید شده (کیلوگرم)]]*Main[[#This Row],[روز از ارسال سفارش]]</f>
        <v>0</v>
      </c>
      <c r="U1701" s="6">
        <f>-SUBTOTAL(9,INDEX(Main[مقدار (کیلوگرم)],1):Main[[#This Row],[مقدار (کیلوگرم)]])</f>
        <v>15799</v>
      </c>
      <c r="V17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01" s="6">
        <f>Main[[#This Row],[تعداد کل روزهای بدهکار (روز)]]*Main[[#This Row],[مانده در خط کل (کیلوگرم)]]</f>
        <v>15799</v>
      </c>
      <c r="X1701" s="6">
        <f ca="1">-SUBTOTAL(9,INDEX(Main[مقدار تسویه شده (کیلوگرم)],1):Main[[#This Row],[مقدار تسویه شده (کیلوگرم)]])</f>
        <v>15799</v>
      </c>
      <c r="Y1701" s="6">
        <f ca="1">IF(Main[[#This Row],[مانده در خط تسویه شده (کیلوگرم)]]&lt;&gt;0,Main[[#This Row],[تعداد کل روزهای بدهکار (روز)]],0)</f>
        <v>1</v>
      </c>
      <c r="Z1701" s="6">
        <f ca="1">Main[[#This Row],[تعداد روزهای بدهکار تسویه شده (روز)]]*Main[[#This Row],[مانده در خط تسویه شده (کیلوگرم)]]</f>
        <v>15799</v>
      </c>
      <c r="AA1701" s="6">
        <f ca="1">SUBTOTAL(9,INDEX(Main[بدهی تسویه نشده (کیلوگرم)],1):Main[[#This Row],[بدهی تسویه نشده (کیلوگرم)]])</f>
        <v>0</v>
      </c>
      <c r="AB1701" s="6">
        <f ca="1">IF(Main[[#This Row],[مانده در خط تسویه نشده (کیلوگرم)]]&lt;&gt;0,Main[[#This Row],[تعداد کل روزهای بدهکار (روز)]],0)</f>
        <v>0</v>
      </c>
      <c r="AC1701" s="6">
        <f ca="1">Main[[#This Row],[تعداد روزهای بدهکار  تسویه نشده (روز)]]*Main[[#This Row],[مانده در خط تسویه نشده (کیلوگرم)]]</f>
        <v>0</v>
      </c>
      <c r="AD1701" s="6">
        <f ca="1">SUBTOTAL(9,INDEX(Main[بدهی سررسید شده (کیلوگرم)],1):Main[[#This Row],[بدهی سررسید شده (کیلوگرم)]])</f>
        <v>0</v>
      </c>
      <c r="AE1701" s="6">
        <f ca="1">IF(Main[[#This Row],[مانده در خط سررسید شده (کیلوگرم)]]&lt;&gt;0,Main[[#This Row],[تعداد کل روزهای بدهکار (روز)]],0)</f>
        <v>0</v>
      </c>
      <c r="AF1701" s="6">
        <f ca="1">Main[[#This Row],[تعداد روزهای بدهکار سررسید شده (روز)]]*Main[[#This Row],[مانده در خط سررسید شده (کیلوگرم)]]</f>
        <v>0</v>
      </c>
    </row>
    <row r="1702" spans="1:32" hidden="1" x14ac:dyDescent="0.35">
      <c r="A1702" s="5">
        <f>ROW()-ROW(INDEX(Main[ردیف],1))+1</f>
        <v>1700</v>
      </c>
      <c r="B1702" s="31">
        <f>SUBTOTAL(2,INDEX(Main[ردیف],1):Main[[#This Row],[ردیف]])</f>
        <v>154</v>
      </c>
      <c r="C1702" s="32" t="s">
        <v>709</v>
      </c>
      <c r="D1702" s="32" t="str">
        <f>_xlfn.CONCAT("14",Main[[#This Row],[تاريخ]])</f>
        <v>1400/07/03</v>
      </c>
      <c r="E1702" s="33">
        <v>44464</v>
      </c>
      <c r="F1702" s="32">
        <v>10018</v>
      </c>
      <c r="G1702" s="5" t="str">
        <f>INDEX(customer[عنوان],MATCH(Main[[#This Row],[کد ردیابی]],customer[کد],0))</f>
        <v xml:space="preserve">کوهی </v>
      </c>
      <c r="H1702">
        <v>-152</v>
      </c>
      <c r="I1702" s="6">
        <f ca="1">-Main[[#This Row],[بدهی تسویه شده (کیلوگرم)]]+Main[[#This Row],[بستانکار (کیلوگرم)]]</f>
        <v>-152</v>
      </c>
      <c r="J1702" s="6">
        <f>IF(Main[[#This Row],[مقدار (کیلوگرم)]]&gt;0,Main[[#This Row],[مقدار (کیلوگرم)]],0)</f>
        <v>0</v>
      </c>
      <c r="K1702" s="6">
        <f>-IF(Main[[#This Row],[مقدار (کیلوگرم)]]&lt;0,Main[[#This Row],[مقدار (کیلوگرم)]],0)</f>
        <v>152</v>
      </c>
      <c r="L17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2" s="7">
        <f>-IF(AND(Main[[#This Row],[مقدار (کیلوگرم)]]&lt;0,Main[[#This Row],[تاريخ میلادی]]&gt;44276),Main[[#This Row],[مقدار (کیلوگرم)]],0)</f>
        <v>152</v>
      </c>
      <c r="N1702" s="6">
        <f ca="1">Main[[#This Row],[بدهکار (کیلوگرم)]]-Main[[#This Row],[بدهی تسویه نشده (کیلوگرم)]]</f>
        <v>152</v>
      </c>
      <c r="O1702" s="6">
        <f ca="1">Main[[#This Row],[تفکیک]]</f>
        <v>0</v>
      </c>
      <c r="P1702" s="6">
        <f ca="1">IF(Main[[#This Row],[تاخیر از سررسید]]&gt;0,Main[[#This Row],[بدهی تسویه نشده (کیلوگرم)]],0)</f>
        <v>0</v>
      </c>
      <c r="Q1702" s="6">
        <f ca="1">IF(Main[[#This Row],[بدهی تسویه نشده (کیلوگرم)]]&gt;0,'گزارش فردی'!$B$7-Main[[#This Row],[تاريخ میلادی]],0)</f>
        <v>0</v>
      </c>
      <c r="R1702" s="6">
        <f ca="1">IF(Main[[#This Row],[بدهی تسویه نشده (کیلوگرم)]]&gt;0,'گزارش فردی'!$B$7-Main[[#This Row],[تاريخ میلادی]]-'گزارش فردی'!$B$8,0)</f>
        <v>0</v>
      </c>
      <c r="S1702" s="6">
        <f ca="1">Main[[#This Row],[روز از ارسال سفارش]]*Main[[#This Row],[بدهی تسویه نشده (کیلوگرم)]]</f>
        <v>0</v>
      </c>
      <c r="T1702" s="6">
        <f ca="1">Main[[#This Row],[بدهی سررسید شده (کیلوگرم)]]*Main[[#This Row],[روز از ارسال سفارش]]</f>
        <v>0</v>
      </c>
      <c r="U1702" s="6">
        <f>-SUBTOTAL(9,INDEX(Main[مقدار (کیلوگرم)],1):Main[[#This Row],[مقدار (کیلوگرم)]])</f>
        <v>15799</v>
      </c>
      <c r="V17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02" s="6">
        <f>Main[[#This Row],[تعداد کل روزهای بدهکار (روز)]]*Main[[#This Row],[مانده در خط کل (کیلوگرم)]]</f>
        <v>15799</v>
      </c>
      <c r="X1702" s="6">
        <f ca="1">-SUBTOTAL(9,INDEX(Main[مقدار تسویه شده (کیلوگرم)],1):Main[[#This Row],[مقدار تسویه شده (کیلوگرم)]])</f>
        <v>15799</v>
      </c>
      <c r="Y1702" s="6">
        <f ca="1">IF(Main[[#This Row],[مانده در خط تسویه شده (کیلوگرم)]]&lt;&gt;0,Main[[#This Row],[تعداد کل روزهای بدهکار (روز)]],0)</f>
        <v>1</v>
      </c>
      <c r="Z1702" s="6">
        <f ca="1">Main[[#This Row],[تعداد روزهای بدهکار تسویه شده (روز)]]*Main[[#This Row],[مانده در خط تسویه شده (کیلوگرم)]]</f>
        <v>15799</v>
      </c>
      <c r="AA1702" s="6">
        <f ca="1">SUBTOTAL(9,INDEX(Main[بدهی تسویه نشده (کیلوگرم)],1):Main[[#This Row],[بدهی تسویه نشده (کیلوگرم)]])</f>
        <v>0</v>
      </c>
      <c r="AB1702" s="6">
        <f ca="1">IF(Main[[#This Row],[مانده در خط تسویه نشده (کیلوگرم)]]&lt;&gt;0,Main[[#This Row],[تعداد کل روزهای بدهکار (روز)]],0)</f>
        <v>0</v>
      </c>
      <c r="AC1702" s="6">
        <f ca="1">Main[[#This Row],[تعداد روزهای بدهکار  تسویه نشده (روز)]]*Main[[#This Row],[مانده در خط تسویه نشده (کیلوگرم)]]</f>
        <v>0</v>
      </c>
      <c r="AD1702" s="6">
        <f ca="1">SUBTOTAL(9,INDEX(Main[بدهی سررسید شده (کیلوگرم)],1):Main[[#This Row],[بدهی سررسید شده (کیلوگرم)]])</f>
        <v>0</v>
      </c>
      <c r="AE1702" s="6">
        <f ca="1">IF(Main[[#This Row],[مانده در خط سررسید شده (کیلوگرم)]]&lt;&gt;0,Main[[#This Row],[تعداد کل روزهای بدهکار (روز)]],0)</f>
        <v>0</v>
      </c>
      <c r="AF1702" s="6">
        <f ca="1">Main[[#This Row],[تعداد روزهای بدهکار سررسید شده (روز)]]*Main[[#This Row],[مانده در خط سررسید شده (کیلوگرم)]]</f>
        <v>0</v>
      </c>
    </row>
    <row r="1703" spans="1:32" hidden="1" x14ac:dyDescent="0.35">
      <c r="A1703" s="5">
        <f>ROW()-ROW(INDEX(Main[ردیف],1))+1</f>
        <v>1701</v>
      </c>
      <c r="B1703" s="31">
        <f>SUBTOTAL(2,INDEX(Main[ردیف],1):Main[[#This Row],[ردیف]])</f>
        <v>154</v>
      </c>
      <c r="C1703" s="32" t="s">
        <v>709</v>
      </c>
      <c r="D1703" s="32" t="str">
        <f>_xlfn.CONCAT("14",Main[[#This Row],[تاريخ]])</f>
        <v>1400/07/03</v>
      </c>
      <c r="E1703" s="33">
        <v>44464</v>
      </c>
      <c r="F1703" s="32">
        <v>10020</v>
      </c>
      <c r="G1703" s="5" t="str">
        <f>INDEX(customer[عنوان],MATCH(Main[[#This Row],[کد ردیابی]],customer[کد],0))</f>
        <v>فرزاد اسماعیل زاده</v>
      </c>
      <c r="H1703">
        <v>-1498</v>
      </c>
      <c r="I1703" s="6">
        <f ca="1">-Main[[#This Row],[بدهی تسویه شده (کیلوگرم)]]+Main[[#This Row],[بستانکار (کیلوگرم)]]</f>
        <v>-1498</v>
      </c>
      <c r="J1703" s="6">
        <f>IF(Main[[#This Row],[مقدار (کیلوگرم)]]&gt;0,Main[[#This Row],[مقدار (کیلوگرم)]],0)</f>
        <v>0</v>
      </c>
      <c r="K1703" s="6">
        <f>-IF(Main[[#This Row],[مقدار (کیلوگرم)]]&lt;0,Main[[#This Row],[مقدار (کیلوگرم)]],0)</f>
        <v>1498</v>
      </c>
      <c r="L17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3" s="7">
        <f>-IF(AND(Main[[#This Row],[مقدار (کیلوگرم)]]&lt;0,Main[[#This Row],[تاريخ میلادی]]&gt;44276),Main[[#This Row],[مقدار (کیلوگرم)]],0)</f>
        <v>1498</v>
      </c>
      <c r="N1703" s="6">
        <f ca="1">Main[[#This Row],[بدهکار (کیلوگرم)]]-Main[[#This Row],[بدهی تسویه نشده (کیلوگرم)]]</f>
        <v>1498</v>
      </c>
      <c r="O1703" s="6">
        <f ca="1">Main[[#This Row],[تفکیک]]</f>
        <v>0</v>
      </c>
      <c r="P1703" s="6">
        <f ca="1">IF(Main[[#This Row],[تاخیر از سررسید]]&gt;0,Main[[#This Row],[بدهی تسویه نشده (کیلوگرم)]],0)</f>
        <v>0</v>
      </c>
      <c r="Q1703" s="6">
        <f ca="1">IF(Main[[#This Row],[بدهی تسویه نشده (کیلوگرم)]]&gt;0,'گزارش فردی'!$B$7-Main[[#This Row],[تاريخ میلادی]],0)</f>
        <v>0</v>
      </c>
      <c r="R1703" s="6">
        <f ca="1">IF(Main[[#This Row],[بدهی تسویه نشده (کیلوگرم)]]&gt;0,'گزارش فردی'!$B$7-Main[[#This Row],[تاريخ میلادی]]-'گزارش فردی'!$B$8,0)</f>
        <v>0</v>
      </c>
      <c r="S1703" s="6">
        <f ca="1">Main[[#This Row],[روز از ارسال سفارش]]*Main[[#This Row],[بدهی تسویه نشده (کیلوگرم)]]</f>
        <v>0</v>
      </c>
      <c r="T1703" s="6">
        <f ca="1">Main[[#This Row],[بدهی سررسید شده (کیلوگرم)]]*Main[[#This Row],[روز از ارسال سفارش]]</f>
        <v>0</v>
      </c>
      <c r="U1703" s="6">
        <f>-SUBTOTAL(9,INDEX(Main[مقدار (کیلوگرم)],1):Main[[#This Row],[مقدار (کیلوگرم)]])</f>
        <v>15799</v>
      </c>
      <c r="V17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03" s="6">
        <f>Main[[#This Row],[تعداد کل روزهای بدهکار (روز)]]*Main[[#This Row],[مانده در خط کل (کیلوگرم)]]</f>
        <v>15799</v>
      </c>
      <c r="X1703" s="6">
        <f ca="1">-SUBTOTAL(9,INDEX(Main[مقدار تسویه شده (کیلوگرم)],1):Main[[#This Row],[مقدار تسویه شده (کیلوگرم)]])</f>
        <v>15799</v>
      </c>
      <c r="Y1703" s="6">
        <f ca="1">IF(Main[[#This Row],[مانده در خط تسویه شده (کیلوگرم)]]&lt;&gt;0,Main[[#This Row],[تعداد کل روزهای بدهکار (روز)]],0)</f>
        <v>1</v>
      </c>
      <c r="Z1703" s="6">
        <f ca="1">Main[[#This Row],[تعداد روزهای بدهکار تسویه شده (روز)]]*Main[[#This Row],[مانده در خط تسویه شده (کیلوگرم)]]</f>
        <v>15799</v>
      </c>
      <c r="AA1703" s="6">
        <f ca="1">SUBTOTAL(9,INDEX(Main[بدهی تسویه نشده (کیلوگرم)],1):Main[[#This Row],[بدهی تسویه نشده (کیلوگرم)]])</f>
        <v>0</v>
      </c>
      <c r="AB1703" s="6">
        <f ca="1">IF(Main[[#This Row],[مانده در خط تسویه نشده (کیلوگرم)]]&lt;&gt;0,Main[[#This Row],[تعداد کل روزهای بدهکار (روز)]],0)</f>
        <v>0</v>
      </c>
      <c r="AC1703" s="6">
        <f ca="1">Main[[#This Row],[تعداد روزهای بدهکار  تسویه نشده (روز)]]*Main[[#This Row],[مانده در خط تسویه نشده (کیلوگرم)]]</f>
        <v>0</v>
      </c>
      <c r="AD1703" s="6">
        <f ca="1">SUBTOTAL(9,INDEX(Main[بدهی سررسید شده (کیلوگرم)],1):Main[[#This Row],[بدهی سررسید شده (کیلوگرم)]])</f>
        <v>0</v>
      </c>
      <c r="AE1703" s="6">
        <f ca="1">IF(Main[[#This Row],[مانده در خط سررسید شده (کیلوگرم)]]&lt;&gt;0,Main[[#This Row],[تعداد کل روزهای بدهکار (روز)]],0)</f>
        <v>0</v>
      </c>
      <c r="AF1703" s="6">
        <f ca="1">Main[[#This Row],[تعداد روزهای بدهکار سررسید شده (روز)]]*Main[[#This Row],[مانده در خط سررسید شده (کیلوگرم)]]</f>
        <v>0</v>
      </c>
    </row>
    <row r="1704" spans="1:32" hidden="1" x14ac:dyDescent="0.35">
      <c r="A1704" s="5">
        <f>ROW()-ROW(INDEX(Main[ردیف],1))+1</f>
        <v>1702</v>
      </c>
      <c r="B1704" s="31">
        <f>SUBTOTAL(2,INDEX(Main[ردیف],1):Main[[#This Row],[ردیف]])</f>
        <v>154</v>
      </c>
      <c r="C1704" s="32" t="s">
        <v>712</v>
      </c>
      <c r="D1704" s="32" t="str">
        <f>_xlfn.CONCAT("14",Main[[#This Row],[تاريخ]])</f>
        <v>1400/07/04</v>
      </c>
      <c r="E1704" s="33">
        <v>44465</v>
      </c>
      <c r="F1704" s="32">
        <v>10055</v>
      </c>
      <c r="G1704" s="5" t="str">
        <f>INDEX(customer[عنوان],MATCH(Main[[#This Row],[کد ردیابی]],customer[کد],0))</f>
        <v xml:space="preserve">مریم فیض آبادی  </v>
      </c>
      <c r="H1704">
        <v>5355</v>
      </c>
      <c r="I1704" s="6">
        <f ca="1">-Main[[#This Row],[بدهی تسویه شده (کیلوگرم)]]+Main[[#This Row],[بستانکار (کیلوگرم)]]</f>
        <v>5355</v>
      </c>
      <c r="J1704" s="6">
        <f>IF(Main[[#This Row],[مقدار (کیلوگرم)]]&gt;0,Main[[#This Row],[مقدار (کیلوگرم)]],0)</f>
        <v>5355</v>
      </c>
      <c r="K1704" s="6">
        <f>-IF(Main[[#This Row],[مقدار (کیلوگرم)]]&lt;0,Main[[#This Row],[مقدار (کیلوگرم)]],0)</f>
        <v>0</v>
      </c>
      <c r="L17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4" s="7">
        <f>-IF(AND(Main[[#This Row],[مقدار (کیلوگرم)]]&lt;0,Main[[#This Row],[تاريخ میلادی]]&gt;44276),Main[[#This Row],[مقدار (کیلوگرم)]],0)</f>
        <v>0</v>
      </c>
      <c r="N1704" s="6">
        <f ca="1">Main[[#This Row],[بدهکار (کیلوگرم)]]-Main[[#This Row],[بدهی تسویه نشده (کیلوگرم)]]</f>
        <v>0</v>
      </c>
      <c r="O1704" s="6">
        <f ca="1">Main[[#This Row],[تفکیک]]</f>
        <v>0</v>
      </c>
      <c r="P1704" s="6">
        <f ca="1">IF(Main[[#This Row],[تاخیر از سررسید]]&gt;0,Main[[#This Row],[بدهی تسویه نشده (کیلوگرم)]],0)</f>
        <v>0</v>
      </c>
      <c r="Q1704" s="6">
        <f ca="1">IF(Main[[#This Row],[بدهی تسویه نشده (کیلوگرم)]]&gt;0,'گزارش فردی'!$B$7-Main[[#This Row],[تاريخ میلادی]],0)</f>
        <v>0</v>
      </c>
      <c r="R1704" s="6">
        <f ca="1">IF(Main[[#This Row],[بدهی تسویه نشده (کیلوگرم)]]&gt;0,'گزارش فردی'!$B$7-Main[[#This Row],[تاريخ میلادی]]-'گزارش فردی'!$B$8,0)</f>
        <v>0</v>
      </c>
      <c r="S1704" s="6">
        <f ca="1">Main[[#This Row],[روز از ارسال سفارش]]*Main[[#This Row],[بدهی تسویه نشده (کیلوگرم)]]</f>
        <v>0</v>
      </c>
      <c r="T1704" s="6">
        <f ca="1">Main[[#This Row],[بدهی سررسید شده (کیلوگرم)]]*Main[[#This Row],[روز از ارسال سفارش]]</f>
        <v>0</v>
      </c>
      <c r="U1704" s="6">
        <f>-SUBTOTAL(9,INDEX(Main[مقدار (کیلوگرم)],1):Main[[#This Row],[مقدار (کیلوگرم)]])</f>
        <v>15799</v>
      </c>
      <c r="V17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4" s="6">
        <f>Main[[#This Row],[تعداد کل روزهای بدهکار (روز)]]*Main[[#This Row],[مانده در خط کل (کیلوگرم)]]</f>
        <v>0</v>
      </c>
      <c r="X1704" s="6">
        <f ca="1">-SUBTOTAL(9,INDEX(Main[مقدار تسویه شده (کیلوگرم)],1):Main[[#This Row],[مقدار تسویه شده (کیلوگرم)]])</f>
        <v>15799</v>
      </c>
      <c r="Y1704" s="6">
        <f ca="1">IF(Main[[#This Row],[مانده در خط تسویه شده (کیلوگرم)]]&lt;&gt;0,Main[[#This Row],[تعداد کل روزهای بدهکار (روز)]],0)</f>
        <v>0</v>
      </c>
      <c r="Z1704" s="6">
        <f ca="1">Main[[#This Row],[تعداد روزهای بدهکار تسویه شده (روز)]]*Main[[#This Row],[مانده در خط تسویه شده (کیلوگرم)]]</f>
        <v>0</v>
      </c>
      <c r="AA1704" s="6">
        <f ca="1">SUBTOTAL(9,INDEX(Main[بدهی تسویه نشده (کیلوگرم)],1):Main[[#This Row],[بدهی تسویه نشده (کیلوگرم)]])</f>
        <v>0</v>
      </c>
      <c r="AB1704" s="6">
        <f ca="1">IF(Main[[#This Row],[مانده در خط تسویه نشده (کیلوگرم)]]&lt;&gt;0,Main[[#This Row],[تعداد کل روزهای بدهکار (روز)]],0)</f>
        <v>0</v>
      </c>
      <c r="AC1704" s="6">
        <f ca="1">Main[[#This Row],[تعداد روزهای بدهکار  تسویه نشده (روز)]]*Main[[#This Row],[مانده در خط تسویه نشده (کیلوگرم)]]</f>
        <v>0</v>
      </c>
      <c r="AD1704" s="6">
        <f ca="1">SUBTOTAL(9,INDEX(Main[بدهی سررسید شده (کیلوگرم)],1):Main[[#This Row],[بدهی سررسید شده (کیلوگرم)]])</f>
        <v>0</v>
      </c>
      <c r="AE1704" s="6">
        <f ca="1">IF(Main[[#This Row],[مانده در خط سررسید شده (کیلوگرم)]]&lt;&gt;0,Main[[#This Row],[تعداد کل روزهای بدهکار (روز)]],0)</f>
        <v>0</v>
      </c>
      <c r="AF1704" s="6">
        <f ca="1">Main[[#This Row],[تعداد روزهای بدهکار سررسید شده (روز)]]*Main[[#This Row],[مانده در خط سررسید شده (کیلوگرم)]]</f>
        <v>0</v>
      </c>
    </row>
    <row r="1705" spans="1:32" hidden="1" x14ac:dyDescent="0.35">
      <c r="A1705" s="5">
        <f>ROW()-ROW(INDEX(Main[ردیف],1))+1</f>
        <v>1703</v>
      </c>
      <c r="B1705" s="31">
        <f>SUBTOTAL(2,INDEX(Main[ردیف],1):Main[[#This Row],[ردیف]])</f>
        <v>154</v>
      </c>
      <c r="C1705" s="32" t="s">
        <v>712</v>
      </c>
      <c r="D1705" s="32" t="str">
        <f>_xlfn.CONCAT("14",Main[[#This Row],[تاريخ]])</f>
        <v>1400/07/04</v>
      </c>
      <c r="E1705" s="33">
        <v>44465</v>
      </c>
      <c r="F1705" s="32">
        <v>30009</v>
      </c>
      <c r="G1705" s="5" t="str">
        <f>INDEX(customer[عنوان],MATCH(Main[[#This Row],[کد ردیابی]],customer[کد],0))</f>
        <v>شرکت ایمن تک پیشرو</v>
      </c>
      <c r="H1705">
        <v>-2181</v>
      </c>
      <c r="I1705" s="6">
        <f ca="1">-Main[[#This Row],[بدهی تسویه شده (کیلوگرم)]]+Main[[#This Row],[بستانکار (کیلوگرم)]]</f>
        <v>-2181</v>
      </c>
      <c r="J1705" s="6">
        <f>IF(Main[[#This Row],[مقدار (کیلوگرم)]]&gt;0,Main[[#This Row],[مقدار (کیلوگرم)]],0)</f>
        <v>0</v>
      </c>
      <c r="K1705" s="6">
        <f>-IF(Main[[#This Row],[مقدار (کیلوگرم)]]&lt;0,Main[[#This Row],[مقدار (کیلوگرم)]],0)</f>
        <v>2181</v>
      </c>
      <c r="L17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5" s="7">
        <f>-IF(AND(Main[[#This Row],[مقدار (کیلوگرم)]]&lt;0,Main[[#This Row],[تاريخ میلادی]]&gt;44276),Main[[#This Row],[مقدار (کیلوگرم)]],0)</f>
        <v>2181</v>
      </c>
      <c r="N1705" s="6">
        <f ca="1">Main[[#This Row],[بدهکار (کیلوگرم)]]-Main[[#This Row],[بدهی تسویه نشده (کیلوگرم)]]</f>
        <v>2181</v>
      </c>
      <c r="O1705" s="6">
        <f ca="1">Main[[#This Row],[تفکیک]]</f>
        <v>0</v>
      </c>
      <c r="P1705" s="6">
        <f ca="1">IF(Main[[#This Row],[تاخیر از سررسید]]&gt;0,Main[[#This Row],[بدهی تسویه نشده (کیلوگرم)]],0)</f>
        <v>0</v>
      </c>
      <c r="Q1705" s="6">
        <f ca="1">IF(Main[[#This Row],[بدهی تسویه نشده (کیلوگرم)]]&gt;0,'گزارش فردی'!$B$7-Main[[#This Row],[تاريخ میلادی]],0)</f>
        <v>0</v>
      </c>
      <c r="R1705" s="6">
        <f ca="1">IF(Main[[#This Row],[بدهی تسویه نشده (کیلوگرم)]]&gt;0,'گزارش فردی'!$B$7-Main[[#This Row],[تاريخ میلادی]]-'گزارش فردی'!$B$8,0)</f>
        <v>0</v>
      </c>
      <c r="S1705" s="6">
        <f ca="1">Main[[#This Row],[روز از ارسال سفارش]]*Main[[#This Row],[بدهی تسویه نشده (کیلوگرم)]]</f>
        <v>0</v>
      </c>
      <c r="T1705" s="6">
        <f ca="1">Main[[#This Row],[بدهی سررسید شده (کیلوگرم)]]*Main[[#This Row],[روز از ارسال سفارش]]</f>
        <v>0</v>
      </c>
      <c r="U1705" s="6">
        <f>-SUBTOTAL(9,INDEX(Main[مقدار (کیلوگرم)],1):Main[[#This Row],[مقدار (کیلوگرم)]])</f>
        <v>15799</v>
      </c>
      <c r="V17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5" s="6">
        <f>Main[[#This Row],[تعداد کل روزهای بدهکار (روز)]]*Main[[#This Row],[مانده در خط کل (کیلوگرم)]]</f>
        <v>0</v>
      </c>
      <c r="X1705" s="6">
        <f ca="1">-SUBTOTAL(9,INDEX(Main[مقدار تسویه شده (کیلوگرم)],1):Main[[#This Row],[مقدار تسویه شده (کیلوگرم)]])</f>
        <v>15799</v>
      </c>
      <c r="Y1705" s="6">
        <f ca="1">IF(Main[[#This Row],[مانده در خط تسویه شده (کیلوگرم)]]&lt;&gt;0,Main[[#This Row],[تعداد کل روزهای بدهکار (روز)]],0)</f>
        <v>0</v>
      </c>
      <c r="Z1705" s="6">
        <f ca="1">Main[[#This Row],[تعداد روزهای بدهکار تسویه شده (روز)]]*Main[[#This Row],[مانده در خط تسویه شده (کیلوگرم)]]</f>
        <v>0</v>
      </c>
      <c r="AA1705" s="6">
        <f ca="1">SUBTOTAL(9,INDEX(Main[بدهی تسویه نشده (کیلوگرم)],1):Main[[#This Row],[بدهی تسویه نشده (کیلوگرم)]])</f>
        <v>0</v>
      </c>
      <c r="AB1705" s="6">
        <f ca="1">IF(Main[[#This Row],[مانده در خط تسویه نشده (کیلوگرم)]]&lt;&gt;0,Main[[#This Row],[تعداد کل روزهای بدهکار (روز)]],0)</f>
        <v>0</v>
      </c>
      <c r="AC1705" s="6">
        <f ca="1">Main[[#This Row],[تعداد روزهای بدهکار  تسویه نشده (روز)]]*Main[[#This Row],[مانده در خط تسویه نشده (کیلوگرم)]]</f>
        <v>0</v>
      </c>
      <c r="AD1705" s="6">
        <f ca="1">SUBTOTAL(9,INDEX(Main[بدهی سررسید شده (کیلوگرم)],1):Main[[#This Row],[بدهی سررسید شده (کیلوگرم)]])</f>
        <v>0</v>
      </c>
      <c r="AE1705" s="6">
        <f ca="1">IF(Main[[#This Row],[مانده در خط سررسید شده (کیلوگرم)]]&lt;&gt;0,Main[[#This Row],[تعداد کل روزهای بدهکار (روز)]],0)</f>
        <v>0</v>
      </c>
      <c r="AF1705" s="6">
        <f ca="1">Main[[#This Row],[تعداد روزهای بدهکار سررسید شده (روز)]]*Main[[#This Row],[مانده در خط سررسید شده (کیلوگرم)]]</f>
        <v>0</v>
      </c>
    </row>
    <row r="1706" spans="1:32" hidden="1" x14ac:dyDescent="0.35">
      <c r="A1706" s="5">
        <f>ROW()-ROW(INDEX(Main[ردیف],1))+1</f>
        <v>1704</v>
      </c>
      <c r="B1706" s="31">
        <f>SUBTOTAL(2,INDEX(Main[ردیف],1):Main[[#This Row],[ردیف]])</f>
        <v>154</v>
      </c>
      <c r="C1706" s="32" t="s">
        <v>712</v>
      </c>
      <c r="D1706" s="32" t="str">
        <f>_xlfn.CONCAT("14",Main[[#This Row],[تاريخ]])</f>
        <v>1400/07/04</v>
      </c>
      <c r="E1706" s="33">
        <v>44465</v>
      </c>
      <c r="F1706" s="32">
        <v>30191</v>
      </c>
      <c r="G1706" s="5" t="str">
        <f>INDEX(customer[عنوان],MATCH(Main[[#This Row],[کد ردیابی]],customer[کد],0))</f>
        <v>ایران گرما</v>
      </c>
      <c r="H1706">
        <v>938</v>
      </c>
      <c r="I1706" s="6">
        <f ca="1">-Main[[#This Row],[بدهی تسویه شده (کیلوگرم)]]+Main[[#This Row],[بستانکار (کیلوگرم)]]</f>
        <v>938</v>
      </c>
      <c r="J1706" s="6">
        <f>IF(Main[[#This Row],[مقدار (کیلوگرم)]]&gt;0,Main[[#This Row],[مقدار (کیلوگرم)]],0)</f>
        <v>938</v>
      </c>
      <c r="K1706" s="6">
        <f>-IF(Main[[#This Row],[مقدار (کیلوگرم)]]&lt;0,Main[[#This Row],[مقدار (کیلوگرم)]],0)</f>
        <v>0</v>
      </c>
      <c r="L17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6" s="7">
        <f>-IF(AND(Main[[#This Row],[مقدار (کیلوگرم)]]&lt;0,Main[[#This Row],[تاريخ میلادی]]&gt;44276),Main[[#This Row],[مقدار (کیلوگرم)]],0)</f>
        <v>0</v>
      </c>
      <c r="N1706" s="6">
        <f ca="1">Main[[#This Row],[بدهکار (کیلوگرم)]]-Main[[#This Row],[بدهی تسویه نشده (کیلوگرم)]]</f>
        <v>0</v>
      </c>
      <c r="O1706" s="6">
        <f ca="1">Main[[#This Row],[تفکیک]]</f>
        <v>0</v>
      </c>
      <c r="P1706" s="6">
        <f ca="1">IF(Main[[#This Row],[تاخیر از سررسید]]&gt;0,Main[[#This Row],[بدهی تسویه نشده (کیلوگرم)]],0)</f>
        <v>0</v>
      </c>
      <c r="Q1706" s="6">
        <f ca="1">IF(Main[[#This Row],[بدهی تسویه نشده (کیلوگرم)]]&gt;0,'گزارش فردی'!$B$7-Main[[#This Row],[تاريخ میلادی]],0)</f>
        <v>0</v>
      </c>
      <c r="R1706" s="6">
        <f ca="1">IF(Main[[#This Row],[بدهی تسویه نشده (کیلوگرم)]]&gt;0,'گزارش فردی'!$B$7-Main[[#This Row],[تاريخ میلادی]]-'گزارش فردی'!$B$8,0)</f>
        <v>0</v>
      </c>
      <c r="S1706" s="6">
        <f ca="1">Main[[#This Row],[روز از ارسال سفارش]]*Main[[#This Row],[بدهی تسویه نشده (کیلوگرم)]]</f>
        <v>0</v>
      </c>
      <c r="T1706" s="6">
        <f ca="1">Main[[#This Row],[بدهی سررسید شده (کیلوگرم)]]*Main[[#This Row],[روز از ارسال سفارش]]</f>
        <v>0</v>
      </c>
      <c r="U1706" s="6">
        <f>-SUBTOTAL(9,INDEX(Main[مقدار (کیلوگرم)],1):Main[[#This Row],[مقدار (کیلوگرم)]])</f>
        <v>15799</v>
      </c>
      <c r="V17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6" s="6">
        <f>Main[[#This Row],[تعداد کل روزهای بدهکار (روز)]]*Main[[#This Row],[مانده در خط کل (کیلوگرم)]]</f>
        <v>0</v>
      </c>
      <c r="X1706" s="6">
        <f ca="1">-SUBTOTAL(9,INDEX(Main[مقدار تسویه شده (کیلوگرم)],1):Main[[#This Row],[مقدار تسویه شده (کیلوگرم)]])</f>
        <v>15799</v>
      </c>
      <c r="Y1706" s="6">
        <f ca="1">IF(Main[[#This Row],[مانده در خط تسویه شده (کیلوگرم)]]&lt;&gt;0,Main[[#This Row],[تعداد کل روزهای بدهکار (روز)]],0)</f>
        <v>0</v>
      </c>
      <c r="Z1706" s="6">
        <f ca="1">Main[[#This Row],[تعداد روزهای بدهکار تسویه شده (روز)]]*Main[[#This Row],[مانده در خط تسویه شده (کیلوگرم)]]</f>
        <v>0</v>
      </c>
      <c r="AA1706" s="6">
        <f ca="1">SUBTOTAL(9,INDEX(Main[بدهی تسویه نشده (کیلوگرم)],1):Main[[#This Row],[بدهی تسویه نشده (کیلوگرم)]])</f>
        <v>0</v>
      </c>
      <c r="AB1706" s="6">
        <f ca="1">IF(Main[[#This Row],[مانده در خط تسویه نشده (کیلوگرم)]]&lt;&gt;0,Main[[#This Row],[تعداد کل روزهای بدهکار (روز)]],0)</f>
        <v>0</v>
      </c>
      <c r="AC1706" s="6">
        <f ca="1">Main[[#This Row],[تعداد روزهای بدهکار  تسویه نشده (روز)]]*Main[[#This Row],[مانده در خط تسویه نشده (کیلوگرم)]]</f>
        <v>0</v>
      </c>
      <c r="AD1706" s="6">
        <f ca="1">SUBTOTAL(9,INDEX(Main[بدهی سررسید شده (کیلوگرم)],1):Main[[#This Row],[بدهی سررسید شده (کیلوگرم)]])</f>
        <v>0</v>
      </c>
      <c r="AE1706" s="6">
        <f ca="1">IF(Main[[#This Row],[مانده در خط سررسید شده (کیلوگرم)]]&lt;&gt;0,Main[[#This Row],[تعداد کل روزهای بدهکار (روز)]],0)</f>
        <v>0</v>
      </c>
      <c r="AF1706" s="6">
        <f ca="1">Main[[#This Row],[تعداد روزهای بدهکار سررسید شده (روز)]]*Main[[#This Row],[مانده در خط سررسید شده (کیلوگرم)]]</f>
        <v>0</v>
      </c>
    </row>
    <row r="1707" spans="1:32" hidden="1" x14ac:dyDescent="0.35">
      <c r="A1707" s="5">
        <f>ROW()-ROW(INDEX(Main[ردیف],1))+1</f>
        <v>1705</v>
      </c>
      <c r="B1707" s="31">
        <f>SUBTOTAL(2,INDEX(Main[ردیف],1):Main[[#This Row],[ردیف]])</f>
        <v>154</v>
      </c>
      <c r="C1707" s="32" t="s">
        <v>712</v>
      </c>
      <c r="D1707" s="32" t="str">
        <f>_xlfn.CONCAT("14",Main[[#This Row],[تاريخ]])</f>
        <v>1400/07/04</v>
      </c>
      <c r="E1707" s="33">
        <v>44465</v>
      </c>
      <c r="F1707" s="32">
        <v>30191</v>
      </c>
      <c r="G1707" s="5" t="str">
        <f>INDEX(customer[عنوان],MATCH(Main[[#This Row],[کد ردیابی]],customer[کد],0))</f>
        <v>ایران گرما</v>
      </c>
      <c r="H1707">
        <v>-998</v>
      </c>
      <c r="I1707" s="6">
        <f ca="1">-Main[[#This Row],[بدهی تسویه شده (کیلوگرم)]]+Main[[#This Row],[بستانکار (کیلوگرم)]]</f>
        <v>-998</v>
      </c>
      <c r="J1707" s="6">
        <f>IF(Main[[#This Row],[مقدار (کیلوگرم)]]&gt;0,Main[[#This Row],[مقدار (کیلوگرم)]],0)</f>
        <v>0</v>
      </c>
      <c r="K1707" s="6">
        <f>-IF(Main[[#This Row],[مقدار (کیلوگرم)]]&lt;0,Main[[#This Row],[مقدار (کیلوگرم)]],0)</f>
        <v>998</v>
      </c>
      <c r="L17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7" s="7">
        <f>-IF(AND(Main[[#This Row],[مقدار (کیلوگرم)]]&lt;0,Main[[#This Row],[تاريخ میلادی]]&gt;44276),Main[[#This Row],[مقدار (کیلوگرم)]],0)</f>
        <v>998</v>
      </c>
      <c r="N1707" s="6">
        <f ca="1">Main[[#This Row],[بدهکار (کیلوگرم)]]-Main[[#This Row],[بدهی تسویه نشده (کیلوگرم)]]</f>
        <v>998</v>
      </c>
      <c r="O1707" s="6">
        <f ca="1">Main[[#This Row],[تفکیک]]</f>
        <v>0</v>
      </c>
      <c r="P1707" s="6">
        <f ca="1">IF(Main[[#This Row],[تاخیر از سررسید]]&gt;0,Main[[#This Row],[بدهی تسویه نشده (کیلوگرم)]],0)</f>
        <v>0</v>
      </c>
      <c r="Q1707" s="6">
        <f ca="1">IF(Main[[#This Row],[بدهی تسویه نشده (کیلوگرم)]]&gt;0,'گزارش فردی'!$B$7-Main[[#This Row],[تاريخ میلادی]],0)</f>
        <v>0</v>
      </c>
      <c r="R1707" s="6">
        <f ca="1">IF(Main[[#This Row],[بدهی تسویه نشده (کیلوگرم)]]&gt;0,'گزارش فردی'!$B$7-Main[[#This Row],[تاريخ میلادی]]-'گزارش فردی'!$B$8,0)</f>
        <v>0</v>
      </c>
      <c r="S1707" s="6">
        <f ca="1">Main[[#This Row],[روز از ارسال سفارش]]*Main[[#This Row],[بدهی تسویه نشده (کیلوگرم)]]</f>
        <v>0</v>
      </c>
      <c r="T1707" s="6">
        <f ca="1">Main[[#This Row],[بدهی سررسید شده (کیلوگرم)]]*Main[[#This Row],[روز از ارسال سفارش]]</f>
        <v>0</v>
      </c>
      <c r="U1707" s="6">
        <f>-SUBTOTAL(9,INDEX(Main[مقدار (کیلوگرم)],1):Main[[#This Row],[مقدار (کیلوگرم)]])</f>
        <v>15799</v>
      </c>
      <c r="V17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7" s="6">
        <f>Main[[#This Row],[تعداد کل روزهای بدهکار (روز)]]*Main[[#This Row],[مانده در خط کل (کیلوگرم)]]</f>
        <v>0</v>
      </c>
      <c r="X1707" s="6">
        <f ca="1">-SUBTOTAL(9,INDEX(Main[مقدار تسویه شده (کیلوگرم)],1):Main[[#This Row],[مقدار تسویه شده (کیلوگرم)]])</f>
        <v>15799</v>
      </c>
      <c r="Y1707" s="6">
        <f ca="1">IF(Main[[#This Row],[مانده در خط تسویه شده (کیلوگرم)]]&lt;&gt;0,Main[[#This Row],[تعداد کل روزهای بدهکار (روز)]],0)</f>
        <v>0</v>
      </c>
      <c r="Z1707" s="6">
        <f ca="1">Main[[#This Row],[تعداد روزهای بدهکار تسویه شده (روز)]]*Main[[#This Row],[مانده در خط تسویه شده (کیلوگرم)]]</f>
        <v>0</v>
      </c>
      <c r="AA1707" s="6">
        <f ca="1">SUBTOTAL(9,INDEX(Main[بدهی تسویه نشده (کیلوگرم)],1):Main[[#This Row],[بدهی تسویه نشده (کیلوگرم)]])</f>
        <v>0</v>
      </c>
      <c r="AB1707" s="6">
        <f ca="1">IF(Main[[#This Row],[مانده در خط تسویه نشده (کیلوگرم)]]&lt;&gt;0,Main[[#This Row],[تعداد کل روزهای بدهکار (روز)]],0)</f>
        <v>0</v>
      </c>
      <c r="AC1707" s="6">
        <f ca="1">Main[[#This Row],[تعداد روزهای بدهکار  تسویه نشده (روز)]]*Main[[#This Row],[مانده در خط تسویه نشده (کیلوگرم)]]</f>
        <v>0</v>
      </c>
      <c r="AD1707" s="6">
        <f ca="1">SUBTOTAL(9,INDEX(Main[بدهی سررسید شده (کیلوگرم)],1):Main[[#This Row],[بدهی سررسید شده (کیلوگرم)]])</f>
        <v>0</v>
      </c>
      <c r="AE1707" s="6">
        <f ca="1">IF(Main[[#This Row],[مانده در خط سررسید شده (کیلوگرم)]]&lt;&gt;0,Main[[#This Row],[تعداد کل روزهای بدهکار (روز)]],0)</f>
        <v>0</v>
      </c>
      <c r="AF1707" s="6">
        <f ca="1">Main[[#This Row],[تعداد روزهای بدهکار سررسید شده (روز)]]*Main[[#This Row],[مانده در خط سررسید شده (کیلوگرم)]]</f>
        <v>0</v>
      </c>
    </row>
    <row r="1708" spans="1:32" hidden="1" x14ac:dyDescent="0.35">
      <c r="A1708" s="5">
        <f>ROW()-ROW(INDEX(Main[ردیف],1))+1</f>
        <v>1706</v>
      </c>
      <c r="B1708" s="31">
        <f>SUBTOTAL(2,INDEX(Main[ردیف],1):Main[[#This Row],[ردیف]])</f>
        <v>154</v>
      </c>
      <c r="C1708" s="32" t="s">
        <v>712</v>
      </c>
      <c r="D1708" s="32" t="str">
        <f>_xlfn.CONCAT("14",Main[[#This Row],[تاريخ]])</f>
        <v>1400/07/04</v>
      </c>
      <c r="E1708" s="33">
        <v>44465</v>
      </c>
      <c r="F1708" s="32">
        <v>10055</v>
      </c>
      <c r="G1708" s="5" t="str">
        <f>INDEX(customer[عنوان],MATCH(Main[[#This Row],[کد ردیابی]],customer[کد],0))</f>
        <v xml:space="preserve">مریم فیض آبادی  </v>
      </c>
      <c r="H1708">
        <v>418</v>
      </c>
      <c r="I1708" s="6">
        <f ca="1">-Main[[#This Row],[بدهی تسویه شده (کیلوگرم)]]+Main[[#This Row],[بستانکار (کیلوگرم)]]</f>
        <v>418</v>
      </c>
      <c r="J1708" s="6">
        <f>IF(Main[[#This Row],[مقدار (کیلوگرم)]]&gt;0,Main[[#This Row],[مقدار (کیلوگرم)]],0)</f>
        <v>418</v>
      </c>
      <c r="K1708" s="6">
        <f>-IF(Main[[#This Row],[مقدار (کیلوگرم)]]&lt;0,Main[[#This Row],[مقدار (کیلوگرم)]],0)</f>
        <v>0</v>
      </c>
      <c r="L17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8" s="7">
        <f>-IF(AND(Main[[#This Row],[مقدار (کیلوگرم)]]&lt;0,Main[[#This Row],[تاريخ میلادی]]&gt;44276),Main[[#This Row],[مقدار (کیلوگرم)]],0)</f>
        <v>0</v>
      </c>
      <c r="N1708" s="6">
        <f ca="1">Main[[#This Row],[بدهکار (کیلوگرم)]]-Main[[#This Row],[بدهی تسویه نشده (کیلوگرم)]]</f>
        <v>0</v>
      </c>
      <c r="O1708" s="6">
        <f ca="1">Main[[#This Row],[تفکیک]]</f>
        <v>0</v>
      </c>
      <c r="P1708" s="6">
        <f ca="1">IF(Main[[#This Row],[تاخیر از سررسید]]&gt;0,Main[[#This Row],[بدهی تسویه نشده (کیلوگرم)]],0)</f>
        <v>0</v>
      </c>
      <c r="Q1708" s="6">
        <f ca="1">IF(Main[[#This Row],[بدهی تسویه نشده (کیلوگرم)]]&gt;0,'گزارش فردی'!$B$7-Main[[#This Row],[تاريخ میلادی]],0)</f>
        <v>0</v>
      </c>
      <c r="R1708" s="6">
        <f ca="1">IF(Main[[#This Row],[بدهی تسویه نشده (کیلوگرم)]]&gt;0,'گزارش فردی'!$B$7-Main[[#This Row],[تاريخ میلادی]]-'گزارش فردی'!$B$8,0)</f>
        <v>0</v>
      </c>
      <c r="S1708" s="6">
        <f ca="1">Main[[#This Row],[روز از ارسال سفارش]]*Main[[#This Row],[بدهی تسویه نشده (کیلوگرم)]]</f>
        <v>0</v>
      </c>
      <c r="T1708" s="6">
        <f ca="1">Main[[#This Row],[بدهی سررسید شده (کیلوگرم)]]*Main[[#This Row],[روز از ارسال سفارش]]</f>
        <v>0</v>
      </c>
      <c r="U1708" s="6">
        <f>-SUBTOTAL(9,INDEX(Main[مقدار (کیلوگرم)],1):Main[[#This Row],[مقدار (کیلوگرم)]])</f>
        <v>15799</v>
      </c>
      <c r="V17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8" s="6">
        <f>Main[[#This Row],[تعداد کل روزهای بدهکار (روز)]]*Main[[#This Row],[مانده در خط کل (کیلوگرم)]]</f>
        <v>0</v>
      </c>
      <c r="X1708" s="6">
        <f ca="1">-SUBTOTAL(9,INDEX(Main[مقدار تسویه شده (کیلوگرم)],1):Main[[#This Row],[مقدار تسویه شده (کیلوگرم)]])</f>
        <v>15799</v>
      </c>
      <c r="Y1708" s="6">
        <f ca="1">IF(Main[[#This Row],[مانده در خط تسویه شده (کیلوگرم)]]&lt;&gt;0,Main[[#This Row],[تعداد کل روزهای بدهکار (روز)]],0)</f>
        <v>0</v>
      </c>
      <c r="Z1708" s="6">
        <f ca="1">Main[[#This Row],[تعداد روزهای بدهکار تسویه شده (روز)]]*Main[[#This Row],[مانده در خط تسویه شده (کیلوگرم)]]</f>
        <v>0</v>
      </c>
      <c r="AA1708" s="6">
        <f ca="1">SUBTOTAL(9,INDEX(Main[بدهی تسویه نشده (کیلوگرم)],1):Main[[#This Row],[بدهی تسویه نشده (کیلوگرم)]])</f>
        <v>0</v>
      </c>
      <c r="AB1708" s="6">
        <f ca="1">IF(Main[[#This Row],[مانده در خط تسویه نشده (کیلوگرم)]]&lt;&gt;0,Main[[#This Row],[تعداد کل روزهای بدهکار (روز)]],0)</f>
        <v>0</v>
      </c>
      <c r="AC1708" s="6">
        <f ca="1">Main[[#This Row],[تعداد روزهای بدهکار  تسویه نشده (روز)]]*Main[[#This Row],[مانده در خط تسویه نشده (کیلوگرم)]]</f>
        <v>0</v>
      </c>
      <c r="AD1708" s="6">
        <f ca="1">SUBTOTAL(9,INDEX(Main[بدهی سررسید شده (کیلوگرم)],1):Main[[#This Row],[بدهی سررسید شده (کیلوگرم)]])</f>
        <v>0</v>
      </c>
      <c r="AE1708" s="6">
        <f ca="1">IF(Main[[#This Row],[مانده در خط سررسید شده (کیلوگرم)]]&lt;&gt;0,Main[[#This Row],[تعداد کل روزهای بدهکار (روز)]],0)</f>
        <v>0</v>
      </c>
      <c r="AF1708" s="6">
        <f ca="1">Main[[#This Row],[تعداد روزهای بدهکار سررسید شده (روز)]]*Main[[#This Row],[مانده در خط سررسید شده (کیلوگرم)]]</f>
        <v>0</v>
      </c>
    </row>
    <row r="1709" spans="1:32" hidden="1" x14ac:dyDescent="0.35">
      <c r="A1709" s="5">
        <f>ROW()-ROW(INDEX(Main[ردیف],1))+1</f>
        <v>1707</v>
      </c>
      <c r="B1709" s="31">
        <f>SUBTOTAL(2,INDEX(Main[ردیف],1):Main[[#This Row],[ردیف]])</f>
        <v>154</v>
      </c>
      <c r="C1709" s="32" t="s">
        <v>712</v>
      </c>
      <c r="D1709" s="32" t="str">
        <f>_xlfn.CONCAT("14",Main[[#This Row],[تاريخ]])</f>
        <v>1400/07/04</v>
      </c>
      <c r="E1709" s="33">
        <v>44465</v>
      </c>
      <c r="F1709" s="32">
        <v>30066</v>
      </c>
      <c r="G1709" s="5" t="str">
        <f>INDEX(customer[عنوان],MATCH(Main[[#This Row],[کد ردیابی]],customer[کد],0))</f>
        <v xml:space="preserve">شیر آلات بهداشتی قهرمان </v>
      </c>
      <c r="H1709">
        <v>-2472</v>
      </c>
      <c r="I1709" s="6">
        <f ca="1">-Main[[#This Row],[بدهی تسویه شده (کیلوگرم)]]+Main[[#This Row],[بستانکار (کیلوگرم)]]</f>
        <v>-2472</v>
      </c>
      <c r="J1709" s="6">
        <f>IF(Main[[#This Row],[مقدار (کیلوگرم)]]&gt;0,Main[[#This Row],[مقدار (کیلوگرم)]],0)</f>
        <v>0</v>
      </c>
      <c r="K1709" s="6">
        <f>-IF(Main[[#This Row],[مقدار (کیلوگرم)]]&lt;0,Main[[#This Row],[مقدار (کیلوگرم)]],0)</f>
        <v>2472</v>
      </c>
      <c r="L17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9" s="7">
        <f>-IF(AND(Main[[#This Row],[مقدار (کیلوگرم)]]&lt;0,Main[[#This Row],[تاريخ میلادی]]&gt;44276),Main[[#This Row],[مقدار (کیلوگرم)]],0)</f>
        <v>2472</v>
      </c>
      <c r="N1709" s="6">
        <f ca="1">Main[[#This Row],[بدهکار (کیلوگرم)]]-Main[[#This Row],[بدهی تسویه نشده (کیلوگرم)]]</f>
        <v>2472</v>
      </c>
      <c r="O1709" s="6">
        <f ca="1">Main[[#This Row],[تفکیک]]</f>
        <v>0</v>
      </c>
      <c r="P1709" s="6">
        <f ca="1">IF(Main[[#This Row],[تاخیر از سررسید]]&gt;0,Main[[#This Row],[بدهی تسویه نشده (کیلوگرم)]],0)</f>
        <v>0</v>
      </c>
      <c r="Q1709" s="6">
        <f ca="1">IF(Main[[#This Row],[بدهی تسویه نشده (کیلوگرم)]]&gt;0,'گزارش فردی'!$B$7-Main[[#This Row],[تاريخ میلادی]],0)</f>
        <v>0</v>
      </c>
      <c r="R1709" s="6">
        <f ca="1">IF(Main[[#This Row],[بدهی تسویه نشده (کیلوگرم)]]&gt;0,'گزارش فردی'!$B$7-Main[[#This Row],[تاريخ میلادی]]-'گزارش فردی'!$B$8,0)</f>
        <v>0</v>
      </c>
      <c r="S1709" s="6">
        <f ca="1">Main[[#This Row],[روز از ارسال سفارش]]*Main[[#This Row],[بدهی تسویه نشده (کیلوگرم)]]</f>
        <v>0</v>
      </c>
      <c r="T1709" s="6">
        <f ca="1">Main[[#This Row],[بدهی سررسید شده (کیلوگرم)]]*Main[[#This Row],[روز از ارسال سفارش]]</f>
        <v>0</v>
      </c>
      <c r="U1709" s="6">
        <f>-SUBTOTAL(9,INDEX(Main[مقدار (کیلوگرم)],1):Main[[#This Row],[مقدار (کیلوگرم)]])</f>
        <v>15799</v>
      </c>
      <c r="V17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9" s="6">
        <f>Main[[#This Row],[تعداد کل روزهای بدهکار (روز)]]*Main[[#This Row],[مانده در خط کل (کیلوگرم)]]</f>
        <v>0</v>
      </c>
      <c r="X1709" s="6">
        <f ca="1">-SUBTOTAL(9,INDEX(Main[مقدار تسویه شده (کیلوگرم)],1):Main[[#This Row],[مقدار تسویه شده (کیلوگرم)]])</f>
        <v>15799</v>
      </c>
      <c r="Y1709" s="6">
        <f ca="1">IF(Main[[#This Row],[مانده در خط تسویه شده (کیلوگرم)]]&lt;&gt;0,Main[[#This Row],[تعداد کل روزهای بدهکار (روز)]],0)</f>
        <v>0</v>
      </c>
      <c r="Z1709" s="6">
        <f ca="1">Main[[#This Row],[تعداد روزهای بدهکار تسویه شده (روز)]]*Main[[#This Row],[مانده در خط تسویه شده (کیلوگرم)]]</f>
        <v>0</v>
      </c>
      <c r="AA1709" s="6">
        <f ca="1">SUBTOTAL(9,INDEX(Main[بدهی تسویه نشده (کیلوگرم)],1):Main[[#This Row],[بدهی تسویه نشده (کیلوگرم)]])</f>
        <v>0</v>
      </c>
      <c r="AB1709" s="6">
        <f ca="1">IF(Main[[#This Row],[مانده در خط تسویه نشده (کیلوگرم)]]&lt;&gt;0,Main[[#This Row],[تعداد کل روزهای بدهکار (روز)]],0)</f>
        <v>0</v>
      </c>
      <c r="AC1709" s="6">
        <f ca="1">Main[[#This Row],[تعداد روزهای بدهکار  تسویه نشده (روز)]]*Main[[#This Row],[مانده در خط تسویه نشده (کیلوگرم)]]</f>
        <v>0</v>
      </c>
      <c r="AD1709" s="6">
        <f ca="1">SUBTOTAL(9,INDEX(Main[بدهی سررسید شده (کیلوگرم)],1):Main[[#This Row],[بدهی سررسید شده (کیلوگرم)]])</f>
        <v>0</v>
      </c>
      <c r="AE1709" s="6">
        <f ca="1">IF(Main[[#This Row],[مانده در خط سررسید شده (کیلوگرم)]]&lt;&gt;0,Main[[#This Row],[تعداد کل روزهای بدهکار (روز)]],0)</f>
        <v>0</v>
      </c>
      <c r="AF1709" s="6">
        <f ca="1">Main[[#This Row],[تعداد روزهای بدهکار سررسید شده (روز)]]*Main[[#This Row],[مانده در خط سررسید شده (کیلوگرم)]]</f>
        <v>0</v>
      </c>
    </row>
    <row r="1710" spans="1:32" hidden="1" x14ac:dyDescent="0.35">
      <c r="A1710" s="5">
        <f>ROW()-ROW(INDEX(Main[ردیف],1))+1</f>
        <v>1708</v>
      </c>
      <c r="B1710" s="31">
        <f>SUBTOTAL(2,INDEX(Main[ردیف],1):Main[[#This Row],[ردیف]])</f>
        <v>154</v>
      </c>
      <c r="C1710" s="32" t="s">
        <v>712</v>
      </c>
      <c r="D1710" s="32" t="str">
        <f>_xlfn.CONCAT("14",Main[[#This Row],[تاريخ]])</f>
        <v>1400/07/04</v>
      </c>
      <c r="E1710" s="33">
        <v>44465</v>
      </c>
      <c r="F1710" s="32">
        <v>10048</v>
      </c>
      <c r="G1710" s="5" t="str">
        <f>INDEX(customer[عنوان],MATCH(Main[[#This Row],[کد ردیابی]],customer[کد],0))</f>
        <v xml:space="preserve">حسام کریمان  </v>
      </c>
      <c r="H1710">
        <v>585</v>
      </c>
      <c r="I1710" s="6">
        <f ca="1">-Main[[#This Row],[بدهی تسویه شده (کیلوگرم)]]+Main[[#This Row],[بستانکار (کیلوگرم)]]</f>
        <v>585</v>
      </c>
      <c r="J1710" s="6">
        <f>IF(Main[[#This Row],[مقدار (کیلوگرم)]]&gt;0,Main[[#This Row],[مقدار (کیلوگرم)]],0)</f>
        <v>585</v>
      </c>
      <c r="K1710" s="6">
        <f>-IF(Main[[#This Row],[مقدار (کیلوگرم)]]&lt;0,Main[[#This Row],[مقدار (کیلوگرم)]],0)</f>
        <v>0</v>
      </c>
      <c r="L17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0" s="7">
        <f>-IF(AND(Main[[#This Row],[مقدار (کیلوگرم)]]&lt;0,Main[[#This Row],[تاريخ میلادی]]&gt;44276),Main[[#This Row],[مقدار (کیلوگرم)]],0)</f>
        <v>0</v>
      </c>
      <c r="N1710" s="6">
        <f ca="1">Main[[#This Row],[بدهکار (کیلوگرم)]]-Main[[#This Row],[بدهی تسویه نشده (کیلوگرم)]]</f>
        <v>0</v>
      </c>
      <c r="O1710" s="6">
        <f ca="1">Main[[#This Row],[تفکیک]]</f>
        <v>0</v>
      </c>
      <c r="P1710" s="6">
        <f ca="1">IF(Main[[#This Row],[تاخیر از سررسید]]&gt;0,Main[[#This Row],[بدهی تسویه نشده (کیلوگرم)]],0)</f>
        <v>0</v>
      </c>
      <c r="Q1710" s="6">
        <f ca="1">IF(Main[[#This Row],[بدهی تسویه نشده (کیلوگرم)]]&gt;0,'گزارش فردی'!$B$7-Main[[#This Row],[تاريخ میلادی]],0)</f>
        <v>0</v>
      </c>
      <c r="R1710" s="6">
        <f ca="1">IF(Main[[#This Row],[بدهی تسویه نشده (کیلوگرم)]]&gt;0,'گزارش فردی'!$B$7-Main[[#This Row],[تاريخ میلادی]]-'گزارش فردی'!$B$8,0)</f>
        <v>0</v>
      </c>
      <c r="S1710" s="6">
        <f ca="1">Main[[#This Row],[روز از ارسال سفارش]]*Main[[#This Row],[بدهی تسویه نشده (کیلوگرم)]]</f>
        <v>0</v>
      </c>
      <c r="T1710" s="6">
        <f ca="1">Main[[#This Row],[بدهی سررسید شده (کیلوگرم)]]*Main[[#This Row],[روز از ارسال سفارش]]</f>
        <v>0</v>
      </c>
      <c r="U1710" s="6">
        <f>-SUBTOTAL(9,INDEX(Main[مقدار (کیلوگرم)],1):Main[[#This Row],[مقدار (کیلوگرم)]])</f>
        <v>15799</v>
      </c>
      <c r="V17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0" s="6">
        <f>Main[[#This Row],[تعداد کل روزهای بدهکار (روز)]]*Main[[#This Row],[مانده در خط کل (کیلوگرم)]]</f>
        <v>0</v>
      </c>
      <c r="X1710" s="6">
        <f ca="1">-SUBTOTAL(9,INDEX(Main[مقدار تسویه شده (کیلوگرم)],1):Main[[#This Row],[مقدار تسویه شده (کیلوگرم)]])</f>
        <v>15799</v>
      </c>
      <c r="Y1710" s="6">
        <f ca="1">IF(Main[[#This Row],[مانده در خط تسویه شده (کیلوگرم)]]&lt;&gt;0,Main[[#This Row],[تعداد کل روزهای بدهکار (روز)]],0)</f>
        <v>0</v>
      </c>
      <c r="Z1710" s="6">
        <f ca="1">Main[[#This Row],[تعداد روزهای بدهکار تسویه شده (روز)]]*Main[[#This Row],[مانده در خط تسویه شده (کیلوگرم)]]</f>
        <v>0</v>
      </c>
      <c r="AA1710" s="6">
        <f ca="1">SUBTOTAL(9,INDEX(Main[بدهی تسویه نشده (کیلوگرم)],1):Main[[#This Row],[بدهی تسویه نشده (کیلوگرم)]])</f>
        <v>0</v>
      </c>
      <c r="AB1710" s="6">
        <f ca="1">IF(Main[[#This Row],[مانده در خط تسویه نشده (کیلوگرم)]]&lt;&gt;0,Main[[#This Row],[تعداد کل روزهای بدهکار (روز)]],0)</f>
        <v>0</v>
      </c>
      <c r="AC1710" s="6">
        <f ca="1">Main[[#This Row],[تعداد روزهای بدهکار  تسویه نشده (روز)]]*Main[[#This Row],[مانده در خط تسویه نشده (کیلوگرم)]]</f>
        <v>0</v>
      </c>
      <c r="AD1710" s="6">
        <f ca="1">SUBTOTAL(9,INDEX(Main[بدهی سررسید شده (کیلوگرم)],1):Main[[#This Row],[بدهی سررسید شده (کیلوگرم)]])</f>
        <v>0</v>
      </c>
      <c r="AE1710" s="6">
        <f ca="1">IF(Main[[#This Row],[مانده در خط سررسید شده (کیلوگرم)]]&lt;&gt;0,Main[[#This Row],[تعداد کل روزهای بدهکار (روز)]],0)</f>
        <v>0</v>
      </c>
      <c r="AF1710" s="6">
        <f ca="1">Main[[#This Row],[تعداد روزهای بدهکار سررسید شده (روز)]]*Main[[#This Row],[مانده در خط سررسید شده (کیلوگرم)]]</f>
        <v>0</v>
      </c>
    </row>
    <row r="1711" spans="1:32" hidden="1" x14ac:dyDescent="0.35">
      <c r="A1711" s="5">
        <f>ROW()-ROW(INDEX(Main[ردیف],1))+1</f>
        <v>1709</v>
      </c>
      <c r="B1711" s="31">
        <f>SUBTOTAL(2,INDEX(Main[ردیف],1):Main[[#This Row],[ردیف]])</f>
        <v>154</v>
      </c>
      <c r="C1711" s="32" t="s">
        <v>712</v>
      </c>
      <c r="D1711" s="32" t="str">
        <f>_xlfn.CONCAT("14",Main[[#This Row],[تاريخ]])</f>
        <v>1400/07/04</v>
      </c>
      <c r="E1711" s="33">
        <v>44465</v>
      </c>
      <c r="F1711" s="32">
        <v>10128</v>
      </c>
      <c r="G1711" s="5" t="str">
        <f>INDEX(customer[عنوان],MATCH(Main[[#This Row],[کد ردیابی]],customer[کد],0))</f>
        <v xml:space="preserve">رویا اصلانی </v>
      </c>
      <c r="H1711">
        <v>-406</v>
      </c>
      <c r="I1711" s="6">
        <f ca="1">-Main[[#This Row],[بدهی تسویه شده (کیلوگرم)]]+Main[[#This Row],[بستانکار (کیلوگرم)]]</f>
        <v>-406</v>
      </c>
      <c r="J1711" s="6">
        <f>IF(Main[[#This Row],[مقدار (کیلوگرم)]]&gt;0,Main[[#This Row],[مقدار (کیلوگرم)]],0)</f>
        <v>0</v>
      </c>
      <c r="K1711" s="6">
        <f>-IF(Main[[#This Row],[مقدار (کیلوگرم)]]&lt;0,Main[[#This Row],[مقدار (کیلوگرم)]],0)</f>
        <v>406</v>
      </c>
      <c r="L17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1" s="7">
        <f>-IF(AND(Main[[#This Row],[مقدار (کیلوگرم)]]&lt;0,Main[[#This Row],[تاريخ میلادی]]&gt;44276),Main[[#This Row],[مقدار (کیلوگرم)]],0)</f>
        <v>406</v>
      </c>
      <c r="N1711" s="6">
        <f ca="1">Main[[#This Row],[بدهکار (کیلوگرم)]]-Main[[#This Row],[بدهی تسویه نشده (کیلوگرم)]]</f>
        <v>406</v>
      </c>
      <c r="O1711" s="6">
        <f ca="1">Main[[#This Row],[تفکیک]]</f>
        <v>0</v>
      </c>
      <c r="P1711" s="6">
        <f ca="1">IF(Main[[#This Row],[تاخیر از سررسید]]&gt;0,Main[[#This Row],[بدهی تسویه نشده (کیلوگرم)]],0)</f>
        <v>0</v>
      </c>
      <c r="Q1711" s="6">
        <f ca="1">IF(Main[[#This Row],[بدهی تسویه نشده (کیلوگرم)]]&gt;0,'گزارش فردی'!$B$7-Main[[#This Row],[تاريخ میلادی]],0)</f>
        <v>0</v>
      </c>
      <c r="R1711" s="6">
        <f ca="1">IF(Main[[#This Row],[بدهی تسویه نشده (کیلوگرم)]]&gt;0,'گزارش فردی'!$B$7-Main[[#This Row],[تاريخ میلادی]]-'گزارش فردی'!$B$8,0)</f>
        <v>0</v>
      </c>
      <c r="S1711" s="6">
        <f ca="1">Main[[#This Row],[روز از ارسال سفارش]]*Main[[#This Row],[بدهی تسویه نشده (کیلوگرم)]]</f>
        <v>0</v>
      </c>
      <c r="T1711" s="6">
        <f ca="1">Main[[#This Row],[بدهی سررسید شده (کیلوگرم)]]*Main[[#This Row],[روز از ارسال سفارش]]</f>
        <v>0</v>
      </c>
      <c r="U1711" s="6">
        <f>-SUBTOTAL(9,INDEX(Main[مقدار (کیلوگرم)],1):Main[[#This Row],[مقدار (کیلوگرم)]])</f>
        <v>15799</v>
      </c>
      <c r="V17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1" s="6">
        <f>Main[[#This Row],[تعداد کل روزهای بدهکار (روز)]]*Main[[#This Row],[مانده در خط کل (کیلوگرم)]]</f>
        <v>0</v>
      </c>
      <c r="X1711" s="6">
        <f ca="1">-SUBTOTAL(9,INDEX(Main[مقدار تسویه شده (کیلوگرم)],1):Main[[#This Row],[مقدار تسویه شده (کیلوگرم)]])</f>
        <v>15799</v>
      </c>
      <c r="Y1711" s="6">
        <f ca="1">IF(Main[[#This Row],[مانده در خط تسویه شده (کیلوگرم)]]&lt;&gt;0,Main[[#This Row],[تعداد کل روزهای بدهکار (روز)]],0)</f>
        <v>0</v>
      </c>
      <c r="Z1711" s="6">
        <f ca="1">Main[[#This Row],[تعداد روزهای بدهکار تسویه شده (روز)]]*Main[[#This Row],[مانده در خط تسویه شده (کیلوگرم)]]</f>
        <v>0</v>
      </c>
      <c r="AA1711" s="6">
        <f ca="1">SUBTOTAL(9,INDEX(Main[بدهی تسویه نشده (کیلوگرم)],1):Main[[#This Row],[بدهی تسویه نشده (کیلوگرم)]])</f>
        <v>0</v>
      </c>
      <c r="AB1711" s="6">
        <f ca="1">IF(Main[[#This Row],[مانده در خط تسویه نشده (کیلوگرم)]]&lt;&gt;0,Main[[#This Row],[تعداد کل روزهای بدهکار (روز)]],0)</f>
        <v>0</v>
      </c>
      <c r="AC1711" s="6">
        <f ca="1">Main[[#This Row],[تعداد روزهای بدهکار  تسویه نشده (روز)]]*Main[[#This Row],[مانده در خط تسویه نشده (کیلوگرم)]]</f>
        <v>0</v>
      </c>
      <c r="AD1711" s="6">
        <f ca="1">SUBTOTAL(9,INDEX(Main[بدهی سررسید شده (کیلوگرم)],1):Main[[#This Row],[بدهی سررسید شده (کیلوگرم)]])</f>
        <v>0</v>
      </c>
      <c r="AE1711" s="6">
        <f ca="1">IF(Main[[#This Row],[مانده در خط سررسید شده (کیلوگرم)]]&lt;&gt;0,Main[[#This Row],[تعداد کل روزهای بدهکار (روز)]],0)</f>
        <v>0</v>
      </c>
      <c r="AF1711" s="6">
        <f ca="1">Main[[#This Row],[تعداد روزهای بدهکار سررسید شده (روز)]]*Main[[#This Row],[مانده در خط سررسید شده (کیلوگرم)]]</f>
        <v>0</v>
      </c>
    </row>
    <row r="1712" spans="1:32" hidden="1" x14ac:dyDescent="0.35">
      <c r="A1712" s="5">
        <f>ROW()-ROW(INDEX(Main[ردیف],1))+1</f>
        <v>1710</v>
      </c>
      <c r="B1712" s="31">
        <f>SUBTOTAL(2,INDEX(Main[ردیف],1):Main[[#This Row],[ردیف]])</f>
        <v>154</v>
      </c>
      <c r="C1712" s="32" t="s">
        <v>712</v>
      </c>
      <c r="D1712" s="32" t="str">
        <f>_xlfn.CONCAT("14",Main[[#This Row],[تاريخ]])</f>
        <v>1400/07/04</v>
      </c>
      <c r="E1712" s="33">
        <v>44465</v>
      </c>
      <c r="F1712" s="32">
        <v>10119</v>
      </c>
      <c r="G1712" s="5" t="str">
        <f>INDEX(customer[عنوان],MATCH(Main[[#This Row],[کد ردیابی]],customer[کد],0))</f>
        <v>سیف الله اکبری</v>
      </c>
      <c r="H1712">
        <v>479</v>
      </c>
      <c r="I1712" s="6">
        <f ca="1">-Main[[#This Row],[بدهی تسویه شده (کیلوگرم)]]+Main[[#This Row],[بستانکار (کیلوگرم)]]</f>
        <v>479</v>
      </c>
      <c r="J1712" s="6">
        <f>IF(Main[[#This Row],[مقدار (کیلوگرم)]]&gt;0,Main[[#This Row],[مقدار (کیلوگرم)]],0)</f>
        <v>479</v>
      </c>
      <c r="K1712" s="6">
        <f>-IF(Main[[#This Row],[مقدار (کیلوگرم)]]&lt;0,Main[[#This Row],[مقدار (کیلوگرم)]],0)</f>
        <v>0</v>
      </c>
      <c r="L17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2" s="7">
        <f>-IF(AND(Main[[#This Row],[مقدار (کیلوگرم)]]&lt;0,Main[[#This Row],[تاريخ میلادی]]&gt;44276),Main[[#This Row],[مقدار (کیلوگرم)]],0)</f>
        <v>0</v>
      </c>
      <c r="N1712" s="6">
        <f ca="1">Main[[#This Row],[بدهکار (کیلوگرم)]]-Main[[#This Row],[بدهی تسویه نشده (کیلوگرم)]]</f>
        <v>0</v>
      </c>
      <c r="O1712" s="6">
        <f ca="1">Main[[#This Row],[تفکیک]]</f>
        <v>0</v>
      </c>
      <c r="P1712" s="6">
        <f ca="1">IF(Main[[#This Row],[تاخیر از سررسید]]&gt;0,Main[[#This Row],[بدهی تسویه نشده (کیلوگرم)]],0)</f>
        <v>0</v>
      </c>
      <c r="Q1712" s="6">
        <f ca="1">IF(Main[[#This Row],[بدهی تسویه نشده (کیلوگرم)]]&gt;0,'گزارش فردی'!$B$7-Main[[#This Row],[تاريخ میلادی]],0)</f>
        <v>0</v>
      </c>
      <c r="R1712" s="6">
        <f ca="1">IF(Main[[#This Row],[بدهی تسویه نشده (کیلوگرم)]]&gt;0,'گزارش فردی'!$B$7-Main[[#This Row],[تاريخ میلادی]]-'گزارش فردی'!$B$8,0)</f>
        <v>0</v>
      </c>
      <c r="S1712" s="6">
        <f ca="1">Main[[#This Row],[روز از ارسال سفارش]]*Main[[#This Row],[بدهی تسویه نشده (کیلوگرم)]]</f>
        <v>0</v>
      </c>
      <c r="T1712" s="6">
        <f ca="1">Main[[#This Row],[بدهی سررسید شده (کیلوگرم)]]*Main[[#This Row],[روز از ارسال سفارش]]</f>
        <v>0</v>
      </c>
      <c r="U1712" s="6">
        <f>-SUBTOTAL(9,INDEX(Main[مقدار (کیلوگرم)],1):Main[[#This Row],[مقدار (کیلوگرم)]])</f>
        <v>15799</v>
      </c>
      <c r="V17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2" s="6">
        <f>Main[[#This Row],[تعداد کل روزهای بدهکار (روز)]]*Main[[#This Row],[مانده در خط کل (کیلوگرم)]]</f>
        <v>0</v>
      </c>
      <c r="X1712" s="6">
        <f ca="1">-SUBTOTAL(9,INDEX(Main[مقدار تسویه شده (کیلوگرم)],1):Main[[#This Row],[مقدار تسویه شده (کیلوگرم)]])</f>
        <v>15799</v>
      </c>
      <c r="Y1712" s="6">
        <f ca="1">IF(Main[[#This Row],[مانده در خط تسویه شده (کیلوگرم)]]&lt;&gt;0,Main[[#This Row],[تعداد کل روزهای بدهکار (روز)]],0)</f>
        <v>0</v>
      </c>
      <c r="Z1712" s="6">
        <f ca="1">Main[[#This Row],[تعداد روزهای بدهکار تسویه شده (روز)]]*Main[[#This Row],[مانده در خط تسویه شده (کیلوگرم)]]</f>
        <v>0</v>
      </c>
      <c r="AA1712" s="6">
        <f ca="1">SUBTOTAL(9,INDEX(Main[بدهی تسویه نشده (کیلوگرم)],1):Main[[#This Row],[بدهی تسویه نشده (کیلوگرم)]])</f>
        <v>0</v>
      </c>
      <c r="AB1712" s="6">
        <f ca="1">IF(Main[[#This Row],[مانده در خط تسویه نشده (کیلوگرم)]]&lt;&gt;0,Main[[#This Row],[تعداد کل روزهای بدهکار (روز)]],0)</f>
        <v>0</v>
      </c>
      <c r="AC1712" s="6">
        <f ca="1">Main[[#This Row],[تعداد روزهای بدهکار  تسویه نشده (روز)]]*Main[[#This Row],[مانده در خط تسویه نشده (کیلوگرم)]]</f>
        <v>0</v>
      </c>
      <c r="AD1712" s="6">
        <f ca="1">SUBTOTAL(9,INDEX(Main[بدهی سررسید شده (کیلوگرم)],1):Main[[#This Row],[بدهی سررسید شده (کیلوگرم)]])</f>
        <v>0</v>
      </c>
      <c r="AE1712" s="6">
        <f ca="1">IF(Main[[#This Row],[مانده در خط سررسید شده (کیلوگرم)]]&lt;&gt;0,Main[[#This Row],[تعداد کل روزهای بدهکار (روز)]],0)</f>
        <v>0</v>
      </c>
      <c r="AF1712" s="6">
        <f ca="1">Main[[#This Row],[تعداد روزهای بدهکار سررسید شده (روز)]]*Main[[#This Row],[مانده در خط سررسید شده (کیلوگرم)]]</f>
        <v>0</v>
      </c>
    </row>
    <row r="1713" spans="1:32" x14ac:dyDescent="0.35">
      <c r="A1713" s="5">
        <f>ROW()-ROW(INDEX(Main[ردیف],1))+1</f>
        <v>1711</v>
      </c>
      <c r="B1713" s="31">
        <f>SUBTOTAL(2,INDEX(Main[ردیف],1):Main[[#This Row],[ردیف]])</f>
        <v>155</v>
      </c>
      <c r="C1713" s="32" t="s">
        <v>712</v>
      </c>
      <c r="D1713" s="32" t="str">
        <f>_xlfn.CONCAT("14",Main[[#This Row],[تاريخ]])</f>
        <v>1400/07/04</v>
      </c>
      <c r="E1713" s="33">
        <v>44465</v>
      </c>
      <c r="F1713" s="32">
        <v>10003</v>
      </c>
      <c r="G1713" s="5" t="str">
        <f>INDEX(customer[عنوان],MATCH(Main[[#This Row],[کد ردیابی]],customer[کد],0))</f>
        <v>اصغر نورعلی</v>
      </c>
      <c r="H1713">
        <v>-2038</v>
      </c>
      <c r="I1713" s="6">
        <f ca="1">-Main[[#This Row],[بدهی تسویه شده (کیلوگرم)]]+Main[[#This Row],[بستانکار (کیلوگرم)]]</f>
        <v>-2038</v>
      </c>
      <c r="J1713" s="6">
        <f>IF(Main[[#This Row],[مقدار (کیلوگرم)]]&gt;0,Main[[#This Row],[مقدار (کیلوگرم)]],0)</f>
        <v>0</v>
      </c>
      <c r="K1713" s="6">
        <f>-IF(Main[[#This Row],[مقدار (کیلوگرم)]]&lt;0,Main[[#This Row],[مقدار (کیلوگرم)]],0)</f>
        <v>2038</v>
      </c>
      <c r="L17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3" s="7">
        <f>-IF(AND(Main[[#This Row],[مقدار (کیلوگرم)]]&lt;0,Main[[#This Row],[تاريخ میلادی]]&gt;44276),Main[[#This Row],[مقدار (کیلوگرم)]],0)</f>
        <v>2038</v>
      </c>
      <c r="N1713" s="6">
        <f ca="1">Main[[#This Row],[بدهکار (کیلوگرم)]]-Main[[#This Row],[بدهی تسویه نشده (کیلوگرم)]]</f>
        <v>2038</v>
      </c>
      <c r="O1713" s="6">
        <f ca="1">Main[[#This Row],[تفکیک]]</f>
        <v>0</v>
      </c>
      <c r="P1713" s="6">
        <f ca="1">IF(Main[[#This Row],[تاخیر از سررسید]]&gt;0,Main[[#This Row],[بدهی تسویه نشده (کیلوگرم)]],0)</f>
        <v>0</v>
      </c>
      <c r="Q1713" s="6">
        <f ca="1">IF(Main[[#This Row],[بدهی تسویه نشده (کیلوگرم)]]&gt;0,'گزارش فردی'!$B$7-Main[[#This Row],[تاريخ میلادی]],0)</f>
        <v>0</v>
      </c>
      <c r="R1713" s="6">
        <f ca="1">IF(Main[[#This Row],[بدهی تسویه نشده (کیلوگرم)]]&gt;0,'گزارش فردی'!$B$7-Main[[#This Row],[تاريخ میلادی]]-'گزارش فردی'!$B$8,0)</f>
        <v>0</v>
      </c>
      <c r="S1713" s="6">
        <f ca="1">Main[[#This Row],[روز از ارسال سفارش]]*Main[[#This Row],[بدهی تسویه نشده (کیلوگرم)]]</f>
        <v>0</v>
      </c>
      <c r="T1713" s="6">
        <f ca="1">Main[[#This Row],[بدهی سررسید شده (کیلوگرم)]]*Main[[#This Row],[روز از ارسال سفارش]]</f>
        <v>0</v>
      </c>
      <c r="U1713" s="6">
        <f>-SUBTOTAL(9,INDEX(Main[مقدار (کیلوگرم)],1):Main[[#This Row],[مقدار (کیلوگرم)]])</f>
        <v>17837</v>
      </c>
      <c r="V171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3" s="6">
        <f>Main[[#This Row],[تعداد کل روزهای بدهکار (روز)]]*Main[[#This Row],[مانده در خط کل (کیلوگرم)]]</f>
        <v>53511</v>
      </c>
      <c r="X1713" s="6">
        <f ca="1">-SUBTOTAL(9,INDEX(Main[مقدار تسویه شده (کیلوگرم)],1):Main[[#This Row],[مقدار تسویه شده (کیلوگرم)]])</f>
        <v>17837</v>
      </c>
      <c r="Y1713" s="6">
        <f ca="1">IF(Main[[#This Row],[مانده در خط تسویه شده (کیلوگرم)]]&lt;&gt;0,Main[[#This Row],[تعداد کل روزهای بدهکار (روز)]],0)</f>
        <v>3</v>
      </c>
      <c r="Z1713" s="6">
        <f ca="1">Main[[#This Row],[تعداد روزهای بدهکار تسویه شده (روز)]]*Main[[#This Row],[مانده در خط تسویه شده (کیلوگرم)]]</f>
        <v>53511</v>
      </c>
      <c r="AA1713" s="6">
        <f ca="1">SUBTOTAL(9,INDEX(Main[بدهی تسویه نشده (کیلوگرم)],1):Main[[#This Row],[بدهی تسویه نشده (کیلوگرم)]])</f>
        <v>0</v>
      </c>
      <c r="AB1713" s="6">
        <f ca="1">IF(Main[[#This Row],[مانده در خط تسویه نشده (کیلوگرم)]]&lt;&gt;0,Main[[#This Row],[تعداد کل روزهای بدهکار (روز)]],0)</f>
        <v>0</v>
      </c>
      <c r="AC1713" s="6">
        <f ca="1">Main[[#This Row],[تعداد روزهای بدهکار  تسویه نشده (روز)]]*Main[[#This Row],[مانده در خط تسویه نشده (کیلوگرم)]]</f>
        <v>0</v>
      </c>
      <c r="AD1713" s="6">
        <f ca="1">SUBTOTAL(9,INDEX(Main[بدهی سررسید شده (کیلوگرم)],1):Main[[#This Row],[بدهی سررسید شده (کیلوگرم)]])</f>
        <v>0</v>
      </c>
      <c r="AE1713" s="6">
        <f ca="1">IF(Main[[#This Row],[مانده در خط سررسید شده (کیلوگرم)]]&lt;&gt;0,Main[[#This Row],[تعداد کل روزهای بدهکار (روز)]],0)</f>
        <v>0</v>
      </c>
      <c r="AF1713" s="6">
        <f ca="1">Main[[#This Row],[تعداد روزهای بدهکار سررسید شده (روز)]]*Main[[#This Row],[مانده در خط سررسید شده (کیلوگرم)]]</f>
        <v>0</v>
      </c>
    </row>
    <row r="1714" spans="1:32" hidden="1" x14ac:dyDescent="0.35">
      <c r="A1714" s="5">
        <f>ROW()-ROW(INDEX(Main[ردیف],1))+1</f>
        <v>1712</v>
      </c>
      <c r="B1714" s="31">
        <f>SUBTOTAL(2,INDEX(Main[ردیف],1):Main[[#This Row],[ردیف]])</f>
        <v>155</v>
      </c>
      <c r="C1714" s="32" t="s">
        <v>712</v>
      </c>
      <c r="D1714" s="32" t="str">
        <f>_xlfn.CONCAT("14",Main[[#This Row],[تاريخ]])</f>
        <v>1400/07/04</v>
      </c>
      <c r="E1714" s="33">
        <v>44465</v>
      </c>
      <c r="F1714" s="32">
        <v>10128</v>
      </c>
      <c r="G1714" s="5" t="str">
        <f>INDEX(customer[عنوان],MATCH(Main[[#This Row],[کد ردیابی]],customer[کد],0))</f>
        <v xml:space="preserve">رویا اصلانی </v>
      </c>
      <c r="H1714">
        <v>209</v>
      </c>
      <c r="I1714" s="6">
        <f ca="1">-Main[[#This Row],[بدهی تسویه شده (کیلوگرم)]]+Main[[#This Row],[بستانکار (کیلوگرم)]]</f>
        <v>209</v>
      </c>
      <c r="J1714" s="6">
        <f>IF(Main[[#This Row],[مقدار (کیلوگرم)]]&gt;0,Main[[#This Row],[مقدار (کیلوگرم)]],0)</f>
        <v>209</v>
      </c>
      <c r="K1714" s="6">
        <f>-IF(Main[[#This Row],[مقدار (کیلوگرم)]]&lt;0,Main[[#This Row],[مقدار (کیلوگرم)]],0)</f>
        <v>0</v>
      </c>
      <c r="L17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4" s="7">
        <f>-IF(AND(Main[[#This Row],[مقدار (کیلوگرم)]]&lt;0,Main[[#This Row],[تاريخ میلادی]]&gt;44276),Main[[#This Row],[مقدار (کیلوگرم)]],0)</f>
        <v>0</v>
      </c>
      <c r="N1714" s="6">
        <f ca="1">Main[[#This Row],[بدهکار (کیلوگرم)]]-Main[[#This Row],[بدهی تسویه نشده (کیلوگرم)]]</f>
        <v>0</v>
      </c>
      <c r="O1714" s="6">
        <f ca="1">Main[[#This Row],[تفکیک]]</f>
        <v>0</v>
      </c>
      <c r="P1714" s="6">
        <f ca="1">IF(Main[[#This Row],[تاخیر از سررسید]]&gt;0,Main[[#This Row],[بدهی تسویه نشده (کیلوگرم)]],0)</f>
        <v>0</v>
      </c>
      <c r="Q1714" s="6">
        <f ca="1">IF(Main[[#This Row],[بدهی تسویه نشده (کیلوگرم)]]&gt;0,'گزارش فردی'!$B$7-Main[[#This Row],[تاريخ میلادی]],0)</f>
        <v>0</v>
      </c>
      <c r="R1714" s="6">
        <f ca="1">IF(Main[[#This Row],[بدهی تسویه نشده (کیلوگرم)]]&gt;0,'گزارش فردی'!$B$7-Main[[#This Row],[تاريخ میلادی]]-'گزارش فردی'!$B$8,0)</f>
        <v>0</v>
      </c>
      <c r="S1714" s="6">
        <f ca="1">Main[[#This Row],[روز از ارسال سفارش]]*Main[[#This Row],[بدهی تسویه نشده (کیلوگرم)]]</f>
        <v>0</v>
      </c>
      <c r="T1714" s="6">
        <f ca="1">Main[[#This Row],[بدهی سررسید شده (کیلوگرم)]]*Main[[#This Row],[روز از ارسال سفارش]]</f>
        <v>0</v>
      </c>
      <c r="U1714" s="6">
        <f>-SUBTOTAL(9,INDEX(Main[مقدار (کیلوگرم)],1):Main[[#This Row],[مقدار (کیلوگرم)]])</f>
        <v>17837</v>
      </c>
      <c r="V171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4" s="6">
        <f>Main[[#This Row],[تعداد کل روزهای بدهکار (روز)]]*Main[[#This Row],[مانده در خط کل (کیلوگرم)]]</f>
        <v>53511</v>
      </c>
      <c r="X1714" s="6">
        <f ca="1">-SUBTOTAL(9,INDEX(Main[مقدار تسویه شده (کیلوگرم)],1):Main[[#This Row],[مقدار تسویه شده (کیلوگرم)]])</f>
        <v>17837</v>
      </c>
      <c r="Y1714" s="6">
        <f ca="1">IF(Main[[#This Row],[مانده در خط تسویه شده (کیلوگرم)]]&lt;&gt;0,Main[[#This Row],[تعداد کل روزهای بدهکار (روز)]],0)</f>
        <v>3</v>
      </c>
      <c r="Z1714" s="6">
        <f ca="1">Main[[#This Row],[تعداد روزهای بدهکار تسویه شده (روز)]]*Main[[#This Row],[مانده در خط تسویه شده (کیلوگرم)]]</f>
        <v>53511</v>
      </c>
      <c r="AA1714" s="6">
        <f ca="1">SUBTOTAL(9,INDEX(Main[بدهی تسویه نشده (کیلوگرم)],1):Main[[#This Row],[بدهی تسویه نشده (کیلوگرم)]])</f>
        <v>0</v>
      </c>
      <c r="AB1714" s="6">
        <f ca="1">IF(Main[[#This Row],[مانده در خط تسویه نشده (کیلوگرم)]]&lt;&gt;0,Main[[#This Row],[تعداد کل روزهای بدهکار (روز)]],0)</f>
        <v>0</v>
      </c>
      <c r="AC1714" s="6">
        <f ca="1">Main[[#This Row],[تعداد روزهای بدهکار  تسویه نشده (روز)]]*Main[[#This Row],[مانده در خط تسویه نشده (کیلوگرم)]]</f>
        <v>0</v>
      </c>
      <c r="AD1714" s="6">
        <f ca="1">SUBTOTAL(9,INDEX(Main[بدهی سررسید شده (کیلوگرم)],1):Main[[#This Row],[بدهی سررسید شده (کیلوگرم)]])</f>
        <v>0</v>
      </c>
      <c r="AE1714" s="6">
        <f ca="1">IF(Main[[#This Row],[مانده در خط سررسید شده (کیلوگرم)]]&lt;&gt;0,Main[[#This Row],[تعداد کل روزهای بدهکار (روز)]],0)</f>
        <v>0</v>
      </c>
      <c r="AF1714" s="6">
        <f ca="1">Main[[#This Row],[تعداد روزهای بدهکار سررسید شده (روز)]]*Main[[#This Row],[مانده در خط سررسید شده (کیلوگرم)]]</f>
        <v>0</v>
      </c>
    </row>
    <row r="1715" spans="1:32" hidden="1" x14ac:dyDescent="0.35">
      <c r="A1715" s="5">
        <f>ROW()-ROW(INDEX(Main[ردیف],1))+1</f>
        <v>1713</v>
      </c>
      <c r="B1715" s="31">
        <f>SUBTOTAL(2,INDEX(Main[ردیف],1):Main[[#This Row],[ردیف]])</f>
        <v>155</v>
      </c>
      <c r="C1715" s="32" t="s">
        <v>712</v>
      </c>
      <c r="D1715" s="32" t="str">
        <f>_xlfn.CONCAT("14",Main[[#This Row],[تاريخ]])</f>
        <v>1400/07/04</v>
      </c>
      <c r="E1715" s="33">
        <v>44465</v>
      </c>
      <c r="F1715" s="32">
        <v>10048</v>
      </c>
      <c r="G1715" s="5" t="str">
        <f>INDEX(customer[عنوان],MATCH(Main[[#This Row],[کد ردیابی]],customer[کد],0))</f>
        <v xml:space="preserve">حسام کریمان  </v>
      </c>
      <c r="H1715">
        <v>-857</v>
      </c>
      <c r="I1715" s="6">
        <f ca="1">-Main[[#This Row],[بدهی تسویه شده (کیلوگرم)]]+Main[[#This Row],[بستانکار (کیلوگرم)]]</f>
        <v>-857</v>
      </c>
      <c r="J1715" s="6">
        <f>IF(Main[[#This Row],[مقدار (کیلوگرم)]]&gt;0,Main[[#This Row],[مقدار (کیلوگرم)]],0)</f>
        <v>0</v>
      </c>
      <c r="K1715" s="6">
        <f>-IF(Main[[#This Row],[مقدار (کیلوگرم)]]&lt;0,Main[[#This Row],[مقدار (کیلوگرم)]],0)</f>
        <v>857</v>
      </c>
      <c r="L17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5" s="7">
        <f>-IF(AND(Main[[#This Row],[مقدار (کیلوگرم)]]&lt;0,Main[[#This Row],[تاريخ میلادی]]&gt;44276),Main[[#This Row],[مقدار (کیلوگرم)]],0)</f>
        <v>857</v>
      </c>
      <c r="N1715" s="6">
        <f ca="1">Main[[#This Row],[بدهکار (کیلوگرم)]]-Main[[#This Row],[بدهی تسویه نشده (کیلوگرم)]]</f>
        <v>857</v>
      </c>
      <c r="O1715" s="6">
        <f ca="1">Main[[#This Row],[تفکیک]]</f>
        <v>0</v>
      </c>
      <c r="P1715" s="6">
        <f ca="1">IF(Main[[#This Row],[تاخیر از سررسید]]&gt;0,Main[[#This Row],[بدهی تسویه نشده (کیلوگرم)]],0)</f>
        <v>0</v>
      </c>
      <c r="Q1715" s="6">
        <f ca="1">IF(Main[[#This Row],[بدهی تسویه نشده (کیلوگرم)]]&gt;0,'گزارش فردی'!$B$7-Main[[#This Row],[تاريخ میلادی]],0)</f>
        <v>0</v>
      </c>
      <c r="R1715" s="6">
        <f ca="1">IF(Main[[#This Row],[بدهی تسویه نشده (کیلوگرم)]]&gt;0,'گزارش فردی'!$B$7-Main[[#This Row],[تاريخ میلادی]]-'گزارش فردی'!$B$8,0)</f>
        <v>0</v>
      </c>
      <c r="S1715" s="6">
        <f ca="1">Main[[#This Row],[روز از ارسال سفارش]]*Main[[#This Row],[بدهی تسویه نشده (کیلوگرم)]]</f>
        <v>0</v>
      </c>
      <c r="T1715" s="6">
        <f ca="1">Main[[#This Row],[بدهی سررسید شده (کیلوگرم)]]*Main[[#This Row],[روز از ارسال سفارش]]</f>
        <v>0</v>
      </c>
      <c r="U1715" s="6">
        <f>-SUBTOTAL(9,INDEX(Main[مقدار (کیلوگرم)],1):Main[[#This Row],[مقدار (کیلوگرم)]])</f>
        <v>17837</v>
      </c>
      <c r="V171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5" s="6">
        <f>Main[[#This Row],[تعداد کل روزهای بدهکار (روز)]]*Main[[#This Row],[مانده در خط کل (کیلوگرم)]]</f>
        <v>53511</v>
      </c>
      <c r="X1715" s="6">
        <f ca="1">-SUBTOTAL(9,INDEX(Main[مقدار تسویه شده (کیلوگرم)],1):Main[[#This Row],[مقدار تسویه شده (کیلوگرم)]])</f>
        <v>17837</v>
      </c>
      <c r="Y1715" s="6">
        <f ca="1">IF(Main[[#This Row],[مانده در خط تسویه شده (کیلوگرم)]]&lt;&gt;0,Main[[#This Row],[تعداد کل روزهای بدهکار (روز)]],0)</f>
        <v>3</v>
      </c>
      <c r="Z1715" s="6">
        <f ca="1">Main[[#This Row],[تعداد روزهای بدهکار تسویه شده (روز)]]*Main[[#This Row],[مانده در خط تسویه شده (کیلوگرم)]]</f>
        <v>53511</v>
      </c>
      <c r="AA1715" s="6">
        <f ca="1">SUBTOTAL(9,INDEX(Main[بدهی تسویه نشده (کیلوگرم)],1):Main[[#This Row],[بدهی تسویه نشده (کیلوگرم)]])</f>
        <v>0</v>
      </c>
      <c r="AB1715" s="6">
        <f ca="1">IF(Main[[#This Row],[مانده در خط تسویه نشده (کیلوگرم)]]&lt;&gt;0,Main[[#This Row],[تعداد کل روزهای بدهکار (روز)]],0)</f>
        <v>0</v>
      </c>
      <c r="AC1715" s="6">
        <f ca="1">Main[[#This Row],[تعداد روزهای بدهکار  تسویه نشده (روز)]]*Main[[#This Row],[مانده در خط تسویه نشده (کیلوگرم)]]</f>
        <v>0</v>
      </c>
      <c r="AD1715" s="6">
        <f ca="1">SUBTOTAL(9,INDEX(Main[بدهی سررسید شده (کیلوگرم)],1):Main[[#This Row],[بدهی سررسید شده (کیلوگرم)]])</f>
        <v>0</v>
      </c>
      <c r="AE1715" s="6">
        <f ca="1">IF(Main[[#This Row],[مانده در خط سررسید شده (کیلوگرم)]]&lt;&gt;0,Main[[#This Row],[تعداد کل روزهای بدهکار (روز)]],0)</f>
        <v>0</v>
      </c>
      <c r="AF1715" s="6">
        <f ca="1">Main[[#This Row],[تعداد روزهای بدهکار سررسید شده (روز)]]*Main[[#This Row],[مانده در خط سررسید شده (کیلوگرم)]]</f>
        <v>0</v>
      </c>
    </row>
    <row r="1716" spans="1:32" hidden="1" x14ac:dyDescent="0.35">
      <c r="A1716" s="5">
        <f>ROW()-ROW(INDEX(Main[ردیف],1))+1</f>
        <v>1714</v>
      </c>
      <c r="B1716" s="31">
        <f>SUBTOTAL(2,INDEX(Main[ردیف],1):Main[[#This Row],[ردیف]])</f>
        <v>155</v>
      </c>
      <c r="C1716" s="32" t="s">
        <v>712</v>
      </c>
      <c r="D1716" s="32" t="str">
        <f>_xlfn.CONCAT("14",Main[[#This Row],[تاريخ]])</f>
        <v>1400/07/04</v>
      </c>
      <c r="E1716" s="33">
        <v>44465</v>
      </c>
      <c r="F1716" s="32">
        <v>30127</v>
      </c>
      <c r="G1716" s="5" t="str">
        <f>INDEX(customer[عنوان],MATCH(Main[[#This Row],[کد ردیابی]],customer[کد],0))</f>
        <v>شیر گاز آذران</v>
      </c>
      <c r="H1716">
        <v>14531</v>
      </c>
      <c r="I1716" s="6">
        <f ca="1">-Main[[#This Row],[بدهی تسویه شده (کیلوگرم)]]+Main[[#This Row],[بستانکار (کیلوگرم)]]</f>
        <v>14531</v>
      </c>
      <c r="J1716" s="6">
        <f>IF(Main[[#This Row],[مقدار (کیلوگرم)]]&gt;0,Main[[#This Row],[مقدار (کیلوگرم)]],0)</f>
        <v>14531</v>
      </c>
      <c r="K1716" s="6">
        <f>-IF(Main[[#This Row],[مقدار (کیلوگرم)]]&lt;0,Main[[#This Row],[مقدار (کیلوگرم)]],0)</f>
        <v>0</v>
      </c>
      <c r="L17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6" s="7">
        <f>-IF(AND(Main[[#This Row],[مقدار (کیلوگرم)]]&lt;0,Main[[#This Row],[تاريخ میلادی]]&gt;44276),Main[[#This Row],[مقدار (کیلوگرم)]],0)</f>
        <v>0</v>
      </c>
      <c r="N1716" s="6">
        <f ca="1">Main[[#This Row],[بدهکار (کیلوگرم)]]-Main[[#This Row],[بدهی تسویه نشده (کیلوگرم)]]</f>
        <v>0</v>
      </c>
      <c r="O1716" s="6">
        <f ca="1">Main[[#This Row],[تفکیک]]</f>
        <v>0</v>
      </c>
      <c r="P1716" s="6">
        <f ca="1">IF(Main[[#This Row],[تاخیر از سررسید]]&gt;0,Main[[#This Row],[بدهی تسویه نشده (کیلوگرم)]],0)</f>
        <v>0</v>
      </c>
      <c r="Q1716" s="6">
        <f ca="1">IF(Main[[#This Row],[بدهی تسویه نشده (کیلوگرم)]]&gt;0,'گزارش فردی'!$B$7-Main[[#This Row],[تاريخ میلادی]],0)</f>
        <v>0</v>
      </c>
      <c r="R1716" s="6">
        <f ca="1">IF(Main[[#This Row],[بدهی تسویه نشده (کیلوگرم)]]&gt;0,'گزارش فردی'!$B$7-Main[[#This Row],[تاريخ میلادی]]-'گزارش فردی'!$B$8,0)</f>
        <v>0</v>
      </c>
      <c r="S1716" s="6">
        <f ca="1">Main[[#This Row],[روز از ارسال سفارش]]*Main[[#This Row],[بدهی تسویه نشده (کیلوگرم)]]</f>
        <v>0</v>
      </c>
      <c r="T1716" s="6">
        <f ca="1">Main[[#This Row],[بدهی سررسید شده (کیلوگرم)]]*Main[[#This Row],[روز از ارسال سفارش]]</f>
        <v>0</v>
      </c>
      <c r="U1716" s="6">
        <f>-SUBTOTAL(9,INDEX(Main[مقدار (کیلوگرم)],1):Main[[#This Row],[مقدار (کیلوگرم)]])</f>
        <v>17837</v>
      </c>
      <c r="V171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6" s="6">
        <f>Main[[#This Row],[تعداد کل روزهای بدهکار (روز)]]*Main[[#This Row],[مانده در خط کل (کیلوگرم)]]</f>
        <v>53511</v>
      </c>
      <c r="X1716" s="6">
        <f ca="1">-SUBTOTAL(9,INDEX(Main[مقدار تسویه شده (کیلوگرم)],1):Main[[#This Row],[مقدار تسویه شده (کیلوگرم)]])</f>
        <v>17837</v>
      </c>
      <c r="Y1716" s="6">
        <f ca="1">IF(Main[[#This Row],[مانده در خط تسویه شده (کیلوگرم)]]&lt;&gt;0,Main[[#This Row],[تعداد کل روزهای بدهکار (روز)]],0)</f>
        <v>3</v>
      </c>
      <c r="Z1716" s="6">
        <f ca="1">Main[[#This Row],[تعداد روزهای بدهکار تسویه شده (روز)]]*Main[[#This Row],[مانده در خط تسویه شده (کیلوگرم)]]</f>
        <v>53511</v>
      </c>
      <c r="AA1716" s="6">
        <f ca="1">SUBTOTAL(9,INDEX(Main[بدهی تسویه نشده (کیلوگرم)],1):Main[[#This Row],[بدهی تسویه نشده (کیلوگرم)]])</f>
        <v>0</v>
      </c>
      <c r="AB1716" s="6">
        <f ca="1">IF(Main[[#This Row],[مانده در خط تسویه نشده (کیلوگرم)]]&lt;&gt;0,Main[[#This Row],[تعداد کل روزهای بدهکار (روز)]],0)</f>
        <v>0</v>
      </c>
      <c r="AC1716" s="6">
        <f ca="1">Main[[#This Row],[تعداد روزهای بدهکار  تسویه نشده (روز)]]*Main[[#This Row],[مانده در خط تسویه نشده (کیلوگرم)]]</f>
        <v>0</v>
      </c>
      <c r="AD1716" s="6">
        <f ca="1">SUBTOTAL(9,INDEX(Main[بدهی سررسید شده (کیلوگرم)],1):Main[[#This Row],[بدهی سررسید شده (کیلوگرم)]])</f>
        <v>0</v>
      </c>
      <c r="AE1716" s="6">
        <f ca="1">IF(Main[[#This Row],[مانده در خط سررسید شده (کیلوگرم)]]&lt;&gt;0,Main[[#This Row],[تعداد کل روزهای بدهکار (روز)]],0)</f>
        <v>0</v>
      </c>
      <c r="AF1716" s="6">
        <f ca="1">Main[[#This Row],[تعداد روزهای بدهکار سررسید شده (روز)]]*Main[[#This Row],[مانده در خط سررسید شده (کیلوگرم)]]</f>
        <v>0</v>
      </c>
    </row>
    <row r="1717" spans="1:32" hidden="1" x14ac:dyDescent="0.35">
      <c r="A1717" s="5">
        <f>ROW()-ROW(INDEX(Main[ردیف],1))+1</f>
        <v>1715</v>
      </c>
      <c r="B1717" s="31">
        <f>SUBTOTAL(2,INDEX(Main[ردیف],1):Main[[#This Row],[ردیف]])</f>
        <v>155</v>
      </c>
      <c r="C1717" s="32" t="s">
        <v>712</v>
      </c>
      <c r="D1717" s="32" t="str">
        <f>_xlfn.CONCAT("14",Main[[#This Row],[تاريخ]])</f>
        <v>1400/07/04</v>
      </c>
      <c r="E1717" s="33">
        <v>44465</v>
      </c>
      <c r="F1717" s="32">
        <v>10119</v>
      </c>
      <c r="G1717" s="5" t="str">
        <f>INDEX(customer[عنوان],MATCH(Main[[#This Row],[کد ردیابی]],customer[کد],0))</f>
        <v>سیف الله اکبری</v>
      </c>
      <c r="H1717">
        <v>-660</v>
      </c>
      <c r="I1717" s="6">
        <f ca="1">-Main[[#This Row],[بدهی تسویه شده (کیلوگرم)]]+Main[[#This Row],[بستانکار (کیلوگرم)]]</f>
        <v>-660</v>
      </c>
      <c r="J1717" s="6">
        <f>IF(Main[[#This Row],[مقدار (کیلوگرم)]]&gt;0,Main[[#This Row],[مقدار (کیلوگرم)]],0)</f>
        <v>0</v>
      </c>
      <c r="K1717" s="6">
        <f>-IF(Main[[#This Row],[مقدار (کیلوگرم)]]&lt;0,Main[[#This Row],[مقدار (کیلوگرم)]],0)</f>
        <v>660</v>
      </c>
      <c r="L17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7" s="7">
        <f>-IF(AND(Main[[#This Row],[مقدار (کیلوگرم)]]&lt;0,Main[[#This Row],[تاريخ میلادی]]&gt;44276),Main[[#This Row],[مقدار (کیلوگرم)]],0)</f>
        <v>660</v>
      </c>
      <c r="N1717" s="6">
        <f ca="1">Main[[#This Row],[بدهکار (کیلوگرم)]]-Main[[#This Row],[بدهی تسویه نشده (کیلوگرم)]]</f>
        <v>660</v>
      </c>
      <c r="O1717" s="6">
        <f ca="1">Main[[#This Row],[تفکیک]]</f>
        <v>0</v>
      </c>
      <c r="P1717" s="6">
        <f ca="1">IF(Main[[#This Row],[تاخیر از سررسید]]&gt;0,Main[[#This Row],[بدهی تسویه نشده (کیلوگرم)]],0)</f>
        <v>0</v>
      </c>
      <c r="Q1717" s="6">
        <f ca="1">IF(Main[[#This Row],[بدهی تسویه نشده (کیلوگرم)]]&gt;0,'گزارش فردی'!$B$7-Main[[#This Row],[تاريخ میلادی]],0)</f>
        <v>0</v>
      </c>
      <c r="R1717" s="6">
        <f ca="1">IF(Main[[#This Row],[بدهی تسویه نشده (کیلوگرم)]]&gt;0,'گزارش فردی'!$B$7-Main[[#This Row],[تاريخ میلادی]]-'گزارش فردی'!$B$8,0)</f>
        <v>0</v>
      </c>
      <c r="S1717" s="6">
        <f ca="1">Main[[#This Row],[روز از ارسال سفارش]]*Main[[#This Row],[بدهی تسویه نشده (کیلوگرم)]]</f>
        <v>0</v>
      </c>
      <c r="T1717" s="6">
        <f ca="1">Main[[#This Row],[بدهی سررسید شده (کیلوگرم)]]*Main[[#This Row],[روز از ارسال سفارش]]</f>
        <v>0</v>
      </c>
      <c r="U1717" s="6">
        <f>-SUBTOTAL(9,INDEX(Main[مقدار (کیلوگرم)],1):Main[[#This Row],[مقدار (کیلوگرم)]])</f>
        <v>17837</v>
      </c>
      <c r="V171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7" s="6">
        <f>Main[[#This Row],[تعداد کل روزهای بدهکار (روز)]]*Main[[#This Row],[مانده در خط کل (کیلوگرم)]]</f>
        <v>53511</v>
      </c>
      <c r="X1717" s="6">
        <f ca="1">-SUBTOTAL(9,INDEX(Main[مقدار تسویه شده (کیلوگرم)],1):Main[[#This Row],[مقدار تسویه شده (کیلوگرم)]])</f>
        <v>17837</v>
      </c>
      <c r="Y1717" s="6">
        <f ca="1">IF(Main[[#This Row],[مانده در خط تسویه شده (کیلوگرم)]]&lt;&gt;0,Main[[#This Row],[تعداد کل روزهای بدهکار (روز)]],0)</f>
        <v>3</v>
      </c>
      <c r="Z1717" s="6">
        <f ca="1">Main[[#This Row],[تعداد روزهای بدهکار تسویه شده (روز)]]*Main[[#This Row],[مانده در خط تسویه شده (کیلوگرم)]]</f>
        <v>53511</v>
      </c>
      <c r="AA1717" s="6">
        <f ca="1">SUBTOTAL(9,INDEX(Main[بدهی تسویه نشده (کیلوگرم)],1):Main[[#This Row],[بدهی تسویه نشده (کیلوگرم)]])</f>
        <v>0</v>
      </c>
      <c r="AB1717" s="6">
        <f ca="1">IF(Main[[#This Row],[مانده در خط تسویه نشده (کیلوگرم)]]&lt;&gt;0,Main[[#This Row],[تعداد کل روزهای بدهکار (روز)]],0)</f>
        <v>0</v>
      </c>
      <c r="AC1717" s="6">
        <f ca="1">Main[[#This Row],[تعداد روزهای بدهکار  تسویه نشده (روز)]]*Main[[#This Row],[مانده در خط تسویه نشده (کیلوگرم)]]</f>
        <v>0</v>
      </c>
      <c r="AD1717" s="6">
        <f ca="1">SUBTOTAL(9,INDEX(Main[بدهی سررسید شده (کیلوگرم)],1):Main[[#This Row],[بدهی سررسید شده (کیلوگرم)]])</f>
        <v>0</v>
      </c>
      <c r="AE1717" s="6">
        <f ca="1">IF(Main[[#This Row],[مانده در خط سررسید شده (کیلوگرم)]]&lt;&gt;0,Main[[#This Row],[تعداد کل روزهای بدهکار (روز)]],0)</f>
        <v>0</v>
      </c>
      <c r="AF1717" s="6">
        <f ca="1">Main[[#This Row],[تعداد روزهای بدهکار سررسید شده (روز)]]*Main[[#This Row],[مانده در خط سررسید شده (کیلوگرم)]]</f>
        <v>0</v>
      </c>
    </row>
    <row r="1718" spans="1:32" hidden="1" x14ac:dyDescent="0.35">
      <c r="A1718" s="5">
        <f>ROW()-ROW(INDEX(Main[ردیف],1))+1</f>
        <v>1716</v>
      </c>
      <c r="B1718" s="31">
        <f>SUBTOTAL(2,INDEX(Main[ردیف],1):Main[[#This Row],[ردیف]])</f>
        <v>155</v>
      </c>
      <c r="C1718" s="32" t="s">
        <v>713</v>
      </c>
      <c r="D1718" s="32" t="str">
        <f>_xlfn.CONCAT("14",Main[[#This Row],[تاريخ]])</f>
        <v>1400/07/06</v>
      </c>
      <c r="E1718" s="33">
        <v>44467</v>
      </c>
      <c r="F1718" s="32">
        <v>30004</v>
      </c>
      <c r="G1718" s="5" t="str">
        <f>INDEX(customer[عنوان],MATCH(Main[[#This Row],[کد ردیابی]],customer[کد],0))</f>
        <v>تولیدی صنعتی صفاشیر پارس</v>
      </c>
      <c r="H1718">
        <v>3074</v>
      </c>
      <c r="I1718" s="6">
        <f ca="1">-Main[[#This Row],[بدهی تسویه شده (کیلوگرم)]]+Main[[#This Row],[بستانکار (کیلوگرم)]]</f>
        <v>3074</v>
      </c>
      <c r="J1718" s="6">
        <f>IF(Main[[#This Row],[مقدار (کیلوگرم)]]&gt;0,Main[[#This Row],[مقدار (کیلوگرم)]],0)</f>
        <v>3074</v>
      </c>
      <c r="K1718" s="6">
        <f>-IF(Main[[#This Row],[مقدار (کیلوگرم)]]&lt;0,Main[[#This Row],[مقدار (کیلوگرم)]],0)</f>
        <v>0</v>
      </c>
      <c r="L17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8" s="7">
        <f>-IF(AND(Main[[#This Row],[مقدار (کیلوگرم)]]&lt;0,Main[[#This Row],[تاريخ میلادی]]&gt;44276),Main[[#This Row],[مقدار (کیلوگرم)]],0)</f>
        <v>0</v>
      </c>
      <c r="N1718" s="6">
        <f ca="1">Main[[#This Row],[بدهکار (کیلوگرم)]]-Main[[#This Row],[بدهی تسویه نشده (کیلوگرم)]]</f>
        <v>0</v>
      </c>
      <c r="O1718" s="6">
        <f ca="1">Main[[#This Row],[تفکیک]]</f>
        <v>0</v>
      </c>
      <c r="P1718" s="6">
        <f ca="1">IF(Main[[#This Row],[تاخیر از سررسید]]&gt;0,Main[[#This Row],[بدهی تسویه نشده (کیلوگرم)]],0)</f>
        <v>0</v>
      </c>
      <c r="Q1718" s="6">
        <f ca="1">IF(Main[[#This Row],[بدهی تسویه نشده (کیلوگرم)]]&gt;0,'گزارش فردی'!$B$7-Main[[#This Row],[تاريخ میلادی]],0)</f>
        <v>0</v>
      </c>
      <c r="R1718" s="6">
        <f ca="1">IF(Main[[#This Row],[بدهی تسویه نشده (کیلوگرم)]]&gt;0,'گزارش فردی'!$B$7-Main[[#This Row],[تاريخ میلادی]]-'گزارش فردی'!$B$8,0)</f>
        <v>0</v>
      </c>
      <c r="S1718" s="6">
        <f ca="1">Main[[#This Row],[روز از ارسال سفارش]]*Main[[#This Row],[بدهی تسویه نشده (کیلوگرم)]]</f>
        <v>0</v>
      </c>
      <c r="T1718" s="6">
        <f ca="1">Main[[#This Row],[بدهی سررسید شده (کیلوگرم)]]*Main[[#This Row],[روز از ارسال سفارش]]</f>
        <v>0</v>
      </c>
      <c r="U1718" s="6">
        <f>-SUBTOTAL(9,INDEX(Main[مقدار (کیلوگرم)],1):Main[[#This Row],[مقدار (کیلوگرم)]])</f>
        <v>17837</v>
      </c>
      <c r="V17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18" s="6">
        <f>Main[[#This Row],[تعداد کل روزهای بدهکار (روز)]]*Main[[#This Row],[مانده در خط کل (کیلوگرم)]]</f>
        <v>17837</v>
      </c>
      <c r="X1718" s="6">
        <f ca="1">-SUBTOTAL(9,INDEX(Main[مقدار تسویه شده (کیلوگرم)],1):Main[[#This Row],[مقدار تسویه شده (کیلوگرم)]])</f>
        <v>17837</v>
      </c>
      <c r="Y1718" s="6">
        <f ca="1">IF(Main[[#This Row],[مانده در خط تسویه شده (کیلوگرم)]]&lt;&gt;0,Main[[#This Row],[تعداد کل روزهای بدهکار (روز)]],0)</f>
        <v>1</v>
      </c>
      <c r="Z1718" s="6">
        <f ca="1">Main[[#This Row],[تعداد روزهای بدهکار تسویه شده (روز)]]*Main[[#This Row],[مانده در خط تسویه شده (کیلوگرم)]]</f>
        <v>17837</v>
      </c>
      <c r="AA1718" s="6">
        <f ca="1">SUBTOTAL(9,INDEX(Main[بدهی تسویه نشده (کیلوگرم)],1):Main[[#This Row],[بدهی تسویه نشده (کیلوگرم)]])</f>
        <v>0</v>
      </c>
      <c r="AB1718" s="6">
        <f ca="1">IF(Main[[#This Row],[مانده در خط تسویه نشده (کیلوگرم)]]&lt;&gt;0,Main[[#This Row],[تعداد کل روزهای بدهکار (روز)]],0)</f>
        <v>0</v>
      </c>
      <c r="AC1718" s="6">
        <f ca="1">Main[[#This Row],[تعداد روزهای بدهکار  تسویه نشده (روز)]]*Main[[#This Row],[مانده در خط تسویه نشده (کیلوگرم)]]</f>
        <v>0</v>
      </c>
      <c r="AD1718" s="6">
        <f ca="1">SUBTOTAL(9,INDEX(Main[بدهی سررسید شده (کیلوگرم)],1):Main[[#This Row],[بدهی سررسید شده (کیلوگرم)]])</f>
        <v>0</v>
      </c>
      <c r="AE1718" s="6">
        <f ca="1">IF(Main[[#This Row],[مانده در خط سررسید شده (کیلوگرم)]]&lt;&gt;0,Main[[#This Row],[تعداد کل روزهای بدهکار (روز)]],0)</f>
        <v>0</v>
      </c>
      <c r="AF1718" s="6">
        <f ca="1">Main[[#This Row],[تعداد روزهای بدهکار سررسید شده (روز)]]*Main[[#This Row],[مانده در خط سررسید شده (کیلوگرم)]]</f>
        <v>0</v>
      </c>
    </row>
    <row r="1719" spans="1:32" hidden="1" x14ac:dyDescent="0.35">
      <c r="A1719" s="5">
        <f>ROW()-ROW(INDEX(Main[ردیف],1))+1</f>
        <v>1717</v>
      </c>
      <c r="B1719" s="31">
        <f>SUBTOTAL(2,INDEX(Main[ردیف],1):Main[[#This Row],[ردیف]])</f>
        <v>155</v>
      </c>
      <c r="C1719" s="32" t="s">
        <v>713</v>
      </c>
      <c r="D1719" s="32" t="str">
        <f>_xlfn.CONCAT("14",Main[[#This Row],[تاريخ]])</f>
        <v>1400/07/06</v>
      </c>
      <c r="E1719" s="33">
        <v>44467</v>
      </c>
      <c r="F1719" s="32">
        <v>30022</v>
      </c>
      <c r="G1719" s="5" t="str">
        <f>INDEX(customer[عنوان],MATCH(Main[[#This Row],[کد ردیابی]],customer[کد],0))</f>
        <v xml:space="preserve">کلار پویا </v>
      </c>
      <c r="H1719">
        <v>-4999</v>
      </c>
      <c r="I1719" s="6">
        <f ca="1">-Main[[#This Row],[بدهی تسویه شده (کیلوگرم)]]+Main[[#This Row],[بستانکار (کیلوگرم)]]</f>
        <v>-4999</v>
      </c>
      <c r="J1719" s="6">
        <f>IF(Main[[#This Row],[مقدار (کیلوگرم)]]&gt;0,Main[[#This Row],[مقدار (کیلوگرم)]],0)</f>
        <v>0</v>
      </c>
      <c r="K1719" s="6">
        <f>-IF(Main[[#This Row],[مقدار (کیلوگرم)]]&lt;0,Main[[#This Row],[مقدار (کیلوگرم)]],0)</f>
        <v>4999</v>
      </c>
      <c r="L17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9" s="7">
        <f>-IF(AND(Main[[#This Row],[مقدار (کیلوگرم)]]&lt;0,Main[[#This Row],[تاريخ میلادی]]&gt;44276),Main[[#This Row],[مقدار (کیلوگرم)]],0)</f>
        <v>4999</v>
      </c>
      <c r="N1719" s="6">
        <f ca="1">Main[[#This Row],[بدهکار (کیلوگرم)]]-Main[[#This Row],[بدهی تسویه نشده (کیلوگرم)]]</f>
        <v>4999</v>
      </c>
      <c r="O1719" s="6">
        <f ca="1">Main[[#This Row],[تفکیک]]</f>
        <v>0</v>
      </c>
      <c r="P1719" s="6">
        <f ca="1">IF(Main[[#This Row],[تاخیر از سررسید]]&gt;0,Main[[#This Row],[بدهی تسویه نشده (کیلوگرم)]],0)</f>
        <v>0</v>
      </c>
      <c r="Q1719" s="6">
        <f ca="1">IF(Main[[#This Row],[بدهی تسویه نشده (کیلوگرم)]]&gt;0,'گزارش فردی'!$B$7-Main[[#This Row],[تاريخ میلادی]],0)</f>
        <v>0</v>
      </c>
      <c r="R1719" s="6">
        <f ca="1">IF(Main[[#This Row],[بدهی تسویه نشده (کیلوگرم)]]&gt;0,'گزارش فردی'!$B$7-Main[[#This Row],[تاريخ میلادی]]-'گزارش فردی'!$B$8,0)</f>
        <v>0</v>
      </c>
      <c r="S1719" s="6">
        <f ca="1">Main[[#This Row],[روز از ارسال سفارش]]*Main[[#This Row],[بدهی تسویه نشده (کیلوگرم)]]</f>
        <v>0</v>
      </c>
      <c r="T1719" s="6">
        <f ca="1">Main[[#This Row],[بدهی سررسید شده (کیلوگرم)]]*Main[[#This Row],[روز از ارسال سفارش]]</f>
        <v>0</v>
      </c>
      <c r="U1719" s="6">
        <f>-SUBTOTAL(9,INDEX(Main[مقدار (کیلوگرم)],1):Main[[#This Row],[مقدار (کیلوگرم)]])</f>
        <v>17837</v>
      </c>
      <c r="V17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19" s="6">
        <f>Main[[#This Row],[تعداد کل روزهای بدهکار (روز)]]*Main[[#This Row],[مانده در خط کل (کیلوگرم)]]</f>
        <v>17837</v>
      </c>
      <c r="X1719" s="6">
        <f ca="1">-SUBTOTAL(9,INDEX(Main[مقدار تسویه شده (کیلوگرم)],1):Main[[#This Row],[مقدار تسویه شده (کیلوگرم)]])</f>
        <v>17837</v>
      </c>
      <c r="Y1719" s="6">
        <f ca="1">IF(Main[[#This Row],[مانده در خط تسویه شده (کیلوگرم)]]&lt;&gt;0,Main[[#This Row],[تعداد کل روزهای بدهکار (روز)]],0)</f>
        <v>1</v>
      </c>
      <c r="Z1719" s="6">
        <f ca="1">Main[[#This Row],[تعداد روزهای بدهکار تسویه شده (روز)]]*Main[[#This Row],[مانده در خط تسویه شده (کیلوگرم)]]</f>
        <v>17837</v>
      </c>
      <c r="AA1719" s="6">
        <f ca="1">SUBTOTAL(9,INDEX(Main[بدهی تسویه نشده (کیلوگرم)],1):Main[[#This Row],[بدهی تسویه نشده (کیلوگرم)]])</f>
        <v>0</v>
      </c>
      <c r="AB1719" s="6">
        <f ca="1">IF(Main[[#This Row],[مانده در خط تسویه نشده (کیلوگرم)]]&lt;&gt;0,Main[[#This Row],[تعداد کل روزهای بدهکار (روز)]],0)</f>
        <v>0</v>
      </c>
      <c r="AC1719" s="6">
        <f ca="1">Main[[#This Row],[تعداد روزهای بدهکار  تسویه نشده (روز)]]*Main[[#This Row],[مانده در خط تسویه نشده (کیلوگرم)]]</f>
        <v>0</v>
      </c>
      <c r="AD1719" s="6">
        <f ca="1">SUBTOTAL(9,INDEX(Main[بدهی سررسید شده (کیلوگرم)],1):Main[[#This Row],[بدهی سررسید شده (کیلوگرم)]])</f>
        <v>0</v>
      </c>
      <c r="AE1719" s="6">
        <f ca="1">IF(Main[[#This Row],[مانده در خط سررسید شده (کیلوگرم)]]&lt;&gt;0,Main[[#This Row],[تعداد کل روزهای بدهکار (روز)]],0)</f>
        <v>0</v>
      </c>
      <c r="AF1719" s="6">
        <f ca="1">Main[[#This Row],[تعداد روزهای بدهکار سررسید شده (روز)]]*Main[[#This Row],[مانده در خط سررسید شده (کیلوگرم)]]</f>
        <v>0</v>
      </c>
    </row>
    <row r="1720" spans="1:32" hidden="1" x14ac:dyDescent="0.35">
      <c r="A1720" s="5">
        <f>ROW()-ROW(INDEX(Main[ردیف],1))+1</f>
        <v>1718</v>
      </c>
      <c r="B1720" s="31">
        <f>SUBTOTAL(2,INDEX(Main[ردیف],1):Main[[#This Row],[ردیف]])</f>
        <v>155</v>
      </c>
      <c r="C1720" s="32" t="s">
        <v>713</v>
      </c>
      <c r="D1720" s="32" t="str">
        <f>_xlfn.CONCAT("14",Main[[#This Row],[تاريخ]])</f>
        <v>1400/07/06</v>
      </c>
      <c r="E1720" s="33">
        <v>44467</v>
      </c>
      <c r="F1720" s="32">
        <v>10026</v>
      </c>
      <c r="G1720" s="5" t="str">
        <f>INDEX(customer[عنوان],MATCH(Main[[#This Row],[کد ردیابی]],customer[کد],0))</f>
        <v xml:space="preserve">محسن فیاض بخش </v>
      </c>
      <c r="H1720">
        <v>3314</v>
      </c>
      <c r="I1720" s="6">
        <f ca="1">-Main[[#This Row],[بدهی تسویه شده (کیلوگرم)]]+Main[[#This Row],[بستانکار (کیلوگرم)]]</f>
        <v>3314</v>
      </c>
      <c r="J1720" s="6">
        <f>IF(Main[[#This Row],[مقدار (کیلوگرم)]]&gt;0,Main[[#This Row],[مقدار (کیلوگرم)]],0)</f>
        <v>3314</v>
      </c>
      <c r="K1720" s="6">
        <f>-IF(Main[[#This Row],[مقدار (کیلوگرم)]]&lt;0,Main[[#This Row],[مقدار (کیلوگرم)]],0)</f>
        <v>0</v>
      </c>
      <c r="L17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0" s="7">
        <f>-IF(AND(Main[[#This Row],[مقدار (کیلوگرم)]]&lt;0,Main[[#This Row],[تاريخ میلادی]]&gt;44276),Main[[#This Row],[مقدار (کیلوگرم)]],0)</f>
        <v>0</v>
      </c>
      <c r="N1720" s="6">
        <f ca="1">Main[[#This Row],[بدهکار (کیلوگرم)]]-Main[[#This Row],[بدهی تسویه نشده (کیلوگرم)]]</f>
        <v>0</v>
      </c>
      <c r="O1720" s="6">
        <f ca="1">Main[[#This Row],[تفکیک]]</f>
        <v>0</v>
      </c>
      <c r="P1720" s="6">
        <f ca="1">IF(Main[[#This Row],[تاخیر از سررسید]]&gt;0,Main[[#This Row],[بدهی تسویه نشده (کیلوگرم)]],0)</f>
        <v>0</v>
      </c>
      <c r="Q1720" s="6">
        <f ca="1">IF(Main[[#This Row],[بدهی تسویه نشده (کیلوگرم)]]&gt;0,'گزارش فردی'!$B$7-Main[[#This Row],[تاريخ میلادی]],0)</f>
        <v>0</v>
      </c>
      <c r="R1720" s="6">
        <f ca="1">IF(Main[[#This Row],[بدهی تسویه نشده (کیلوگرم)]]&gt;0,'گزارش فردی'!$B$7-Main[[#This Row],[تاريخ میلادی]]-'گزارش فردی'!$B$8,0)</f>
        <v>0</v>
      </c>
      <c r="S1720" s="6">
        <f ca="1">Main[[#This Row],[روز از ارسال سفارش]]*Main[[#This Row],[بدهی تسویه نشده (کیلوگرم)]]</f>
        <v>0</v>
      </c>
      <c r="T1720" s="6">
        <f ca="1">Main[[#This Row],[بدهی سررسید شده (کیلوگرم)]]*Main[[#This Row],[روز از ارسال سفارش]]</f>
        <v>0</v>
      </c>
      <c r="U1720" s="6">
        <f>-SUBTOTAL(9,INDEX(Main[مقدار (کیلوگرم)],1):Main[[#This Row],[مقدار (کیلوگرم)]])</f>
        <v>17837</v>
      </c>
      <c r="V17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0" s="6">
        <f>Main[[#This Row],[تعداد کل روزهای بدهکار (روز)]]*Main[[#This Row],[مانده در خط کل (کیلوگرم)]]</f>
        <v>17837</v>
      </c>
      <c r="X1720" s="6">
        <f ca="1">-SUBTOTAL(9,INDEX(Main[مقدار تسویه شده (کیلوگرم)],1):Main[[#This Row],[مقدار تسویه شده (کیلوگرم)]])</f>
        <v>17837</v>
      </c>
      <c r="Y1720" s="6">
        <f ca="1">IF(Main[[#This Row],[مانده در خط تسویه شده (کیلوگرم)]]&lt;&gt;0,Main[[#This Row],[تعداد کل روزهای بدهکار (روز)]],0)</f>
        <v>1</v>
      </c>
      <c r="Z1720" s="6">
        <f ca="1">Main[[#This Row],[تعداد روزهای بدهکار تسویه شده (روز)]]*Main[[#This Row],[مانده در خط تسویه شده (کیلوگرم)]]</f>
        <v>17837</v>
      </c>
      <c r="AA1720" s="6">
        <f ca="1">SUBTOTAL(9,INDEX(Main[بدهی تسویه نشده (کیلوگرم)],1):Main[[#This Row],[بدهی تسویه نشده (کیلوگرم)]])</f>
        <v>0</v>
      </c>
      <c r="AB1720" s="6">
        <f ca="1">IF(Main[[#This Row],[مانده در خط تسویه نشده (کیلوگرم)]]&lt;&gt;0,Main[[#This Row],[تعداد کل روزهای بدهکار (روز)]],0)</f>
        <v>0</v>
      </c>
      <c r="AC1720" s="6">
        <f ca="1">Main[[#This Row],[تعداد روزهای بدهکار  تسویه نشده (روز)]]*Main[[#This Row],[مانده در خط تسویه نشده (کیلوگرم)]]</f>
        <v>0</v>
      </c>
      <c r="AD1720" s="6">
        <f ca="1">SUBTOTAL(9,INDEX(Main[بدهی سررسید شده (کیلوگرم)],1):Main[[#This Row],[بدهی سررسید شده (کیلوگرم)]])</f>
        <v>0</v>
      </c>
      <c r="AE1720" s="6">
        <f ca="1">IF(Main[[#This Row],[مانده در خط سررسید شده (کیلوگرم)]]&lt;&gt;0,Main[[#This Row],[تعداد کل روزهای بدهکار (روز)]],0)</f>
        <v>0</v>
      </c>
      <c r="AF1720" s="6">
        <f ca="1">Main[[#This Row],[تعداد روزهای بدهکار سررسید شده (روز)]]*Main[[#This Row],[مانده در خط سررسید شده (کیلوگرم)]]</f>
        <v>0</v>
      </c>
    </row>
    <row r="1721" spans="1:32" hidden="1" x14ac:dyDescent="0.35">
      <c r="A1721" s="5">
        <f>ROW()-ROW(INDEX(Main[ردیف],1))+1</f>
        <v>1719</v>
      </c>
      <c r="B1721" s="31">
        <f>SUBTOTAL(2,INDEX(Main[ردیف],1):Main[[#This Row],[ردیف]])</f>
        <v>155</v>
      </c>
      <c r="C1721" s="32" t="s">
        <v>713</v>
      </c>
      <c r="D1721" s="32" t="str">
        <f>_xlfn.CONCAT("14",Main[[#This Row],[تاريخ]])</f>
        <v>1400/07/06</v>
      </c>
      <c r="E1721" s="33">
        <v>44467</v>
      </c>
      <c r="F1721" s="32">
        <v>30012</v>
      </c>
      <c r="G1721" s="5" t="str">
        <f>INDEX(customer[عنوان],MATCH(Main[[#This Row],[کد ردیابی]],customer[کد],0))</f>
        <v xml:space="preserve">پارس قفل </v>
      </c>
      <c r="H1721">
        <v>-1672</v>
      </c>
      <c r="I1721" s="6">
        <f ca="1">-Main[[#This Row],[بدهی تسویه شده (کیلوگرم)]]+Main[[#This Row],[بستانکار (کیلوگرم)]]</f>
        <v>-1672</v>
      </c>
      <c r="J1721" s="6">
        <f>IF(Main[[#This Row],[مقدار (کیلوگرم)]]&gt;0,Main[[#This Row],[مقدار (کیلوگرم)]],0)</f>
        <v>0</v>
      </c>
      <c r="K1721" s="6">
        <f>-IF(Main[[#This Row],[مقدار (کیلوگرم)]]&lt;0,Main[[#This Row],[مقدار (کیلوگرم)]],0)</f>
        <v>1672</v>
      </c>
      <c r="L17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1" s="7">
        <f>-IF(AND(Main[[#This Row],[مقدار (کیلوگرم)]]&lt;0,Main[[#This Row],[تاريخ میلادی]]&gt;44276),Main[[#This Row],[مقدار (کیلوگرم)]],0)</f>
        <v>1672</v>
      </c>
      <c r="N1721" s="6">
        <f ca="1">Main[[#This Row],[بدهکار (کیلوگرم)]]-Main[[#This Row],[بدهی تسویه نشده (کیلوگرم)]]</f>
        <v>1672</v>
      </c>
      <c r="O1721" s="6">
        <f ca="1">Main[[#This Row],[تفکیک]]</f>
        <v>0</v>
      </c>
      <c r="P1721" s="6">
        <f ca="1">IF(Main[[#This Row],[تاخیر از سررسید]]&gt;0,Main[[#This Row],[بدهی تسویه نشده (کیلوگرم)]],0)</f>
        <v>0</v>
      </c>
      <c r="Q1721" s="6">
        <f ca="1">IF(Main[[#This Row],[بدهی تسویه نشده (کیلوگرم)]]&gt;0,'گزارش فردی'!$B$7-Main[[#This Row],[تاريخ میلادی]],0)</f>
        <v>0</v>
      </c>
      <c r="R1721" s="6">
        <f ca="1">IF(Main[[#This Row],[بدهی تسویه نشده (کیلوگرم)]]&gt;0,'گزارش فردی'!$B$7-Main[[#This Row],[تاريخ میلادی]]-'گزارش فردی'!$B$8,0)</f>
        <v>0</v>
      </c>
      <c r="S1721" s="6">
        <f ca="1">Main[[#This Row],[روز از ارسال سفارش]]*Main[[#This Row],[بدهی تسویه نشده (کیلوگرم)]]</f>
        <v>0</v>
      </c>
      <c r="T1721" s="6">
        <f ca="1">Main[[#This Row],[بدهی سررسید شده (کیلوگرم)]]*Main[[#This Row],[روز از ارسال سفارش]]</f>
        <v>0</v>
      </c>
      <c r="U1721" s="6">
        <f>-SUBTOTAL(9,INDEX(Main[مقدار (کیلوگرم)],1):Main[[#This Row],[مقدار (کیلوگرم)]])</f>
        <v>17837</v>
      </c>
      <c r="V17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1" s="6">
        <f>Main[[#This Row],[تعداد کل روزهای بدهکار (روز)]]*Main[[#This Row],[مانده در خط کل (کیلوگرم)]]</f>
        <v>17837</v>
      </c>
      <c r="X1721" s="6">
        <f ca="1">-SUBTOTAL(9,INDEX(Main[مقدار تسویه شده (کیلوگرم)],1):Main[[#This Row],[مقدار تسویه شده (کیلوگرم)]])</f>
        <v>17837</v>
      </c>
      <c r="Y1721" s="6">
        <f ca="1">IF(Main[[#This Row],[مانده در خط تسویه شده (کیلوگرم)]]&lt;&gt;0,Main[[#This Row],[تعداد کل روزهای بدهکار (روز)]],0)</f>
        <v>1</v>
      </c>
      <c r="Z1721" s="6">
        <f ca="1">Main[[#This Row],[تعداد روزهای بدهکار تسویه شده (روز)]]*Main[[#This Row],[مانده در خط تسویه شده (کیلوگرم)]]</f>
        <v>17837</v>
      </c>
      <c r="AA1721" s="6">
        <f ca="1">SUBTOTAL(9,INDEX(Main[بدهی تسویه نشده (کیلوگرم)],1):Main[[#This Row],[بدهی تسویه نشده (کیلوگرم)]])</f>
        <v>0</v>
      </c>
      <c r="AB1721" s="6">
        <f ca="1">IF(Main[[#This Row],[مانده در خط تسویه نشده (کیلوگرم)]]&lt;&gt;0,Main[[#This Row],[تعداد کل روزهای بدهکار (روز)]],0)</f>
        <v>0</v>
      </c>
      <c r="AC1721" s="6">
        <f ca="1">Main[[#This Row],[تعداد روزهای بدهکار  تسویه نشده (روز)]]*Main[[#This Row],[مانده در خط تسویه نشده (کیلوگرم)]]</f>
        <v>0</v>
      </c>
      <c r="AD1721" s="6">
        <f ca="1">SUBTOTAL(9,INDEX(Main[بدهی سررسید شده (کیلوگرم)],1):Main[[#This Row],[بدهی سررسید شده (کیلوگرم)]])</f>
        <v>0</v>
      </c>
      <c r="AE1721" s="6">
        <f ca="1">IF(Main[[#This Row],[مانده در خط سررسید شده (کیلوگرم)]]&lt;&gt;0,Main[[#This Row],[تعداد کل روزهای بدهکار (روز)]],0)</f>
        <v>0</v>
      </c>
      <c r="AF1721" s="6">
        <f ca="1">Main[[#This Row],[تعداد روزهای بدهکار سررسید شده (روز)]]*Main[[#This Row],[مانده در خط سررسید شده (کیلوگرم)]]</f>
        <v>0</v>
      </c>
    </row>
    <row r="1722" spans="1:32" hidden="1" x14ac:dyDescent="0.35">
      <c r="A1722" s="5">
        <f>ROW()-ROW(INDEX(Main[ردیف],1))+1</f>
        <v>1720</v>
      </c>
      <c r="B1722" s="31">
        <f>SUBTOTAL(2,INDEX(Main[ردیف],1):Main[[#This Row],[ردیف]])</f>
        <v>155</v>
      </c>
      <c r="C1722" s="32" t="s">
        <v>713</v>
      </c>
      <c r="D1722" s="32" t="str">
        <f>_xlfn.CONCAT("14",Main[[#This Row],[تاريخ]])</f>
        <v>1400/07/06</v>
      </c>
      <c r="E1722" s="33">
        <v>44467</v>
      </c>
      <c r="F1722" s="32">
        <v>10138</v>
      </c>
      <c r="G1722" s="5" t="str">
        <f>INDEX(customer[عنوان],MATCH(Main[[#This Row],[کد ردیابی]],customer[کد],0))</f>
        <v>مهدی آهاری</v>
      </c>
      <c r="H1722">
        <v>642</v>
      </c>
      <c r="I1722" s="6">
        <f ca="1">-Main[[#This Row],[بدهی تسویه شده (کیلوگرم)]]+Main[[#This Row],[بستانکار (کیلوگرم)]]</f>
        <v>642</v>
      </c>
      <c r="J1722" s="6">
        <f>IF(Main[[#This Row],[مقدار (کیلوگرم)]]&gt;0,Main[[#This Row],[مقدار (کیلوگرم)]],0)</f>
        <v>642</v>
      </c>
      <c r="K1722" s="6">
        <f>-IF(Main[[#This Row],[مقدار (کیلوگرم)]]&lt;0,Main[[#This Row],[مقدار (کیلوگرم)]],0)</f>
        <v>0</v>
      </c>
      <c r="L17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2" s="7">
        <f>-IF(AND(Main[[#This Row],[مقدار (کیلوگرم)]]&lt;0,Main[[#This Row],[تاريخ میلادی]]&gt;44276),Main[[#This Row],[مقدار (کیلوگرم)]],0)</f>
        <v>0</v>
      </c>
      <c r="N1722" s="6">
        <f ca="1">Main[[#This Row],[بدهکار (کیلوگرم)]]-Main[[#This Row],[بدهی تسویه نشده (کیلوگرم)]]</f>
        <v>0</v>
      </c>
      <c r="O1722" s="6">
        <f ca="1">Main[[#This Row],[تفکیک]]</f>
        <v>0</v>
      </c>
      <c r="P1722" s="6">
        <f ca="1">IF(Main[[#This Row],[تاخیر از سررسید]]&gt;0,Main[[#This Row],[بدهی تسویه نشده (کیلوگرم)]],0)</f>
        <v>0</v>
      </c>
      <c r="Q1722" s="6">
        <f ca="1">IF(Main[[#This Row],[بدهی تسویه نشده (کیلوگرم)]]&gt;0,'گزارش فردی'!$B$7-Main[[#This Row],[تاريخ میلادی]],0)</f>
        <v>0</v>
      </c>
      <c r="R1722" s="6">
        <f ca="1">IF(Main[[#This Row],[بدهی تسویه نشده (کیلوگرم)]]&gt;0,'گزارش فردی'!$B$7-Main[[#This Row],[تاريخ میلادی]]-'گزارش فردی'!$B$8,0)</f>
        <v>0</v>
      </c>
      <c r="S1722" s="6">
        <f ca="1">Main[[#This Row],[روز از ارسال سفارش]]*Main[[#This Row],[بدهی تسویه نشده (کیلوگرم)]]</f>
        <v>0</v>
      </c>
      <c r="T1722" s="6">
        <f ca="1">Main[[#This Row],[بدهی سررسید شده (کیلوگرم)]]*Main[[#This Row],[روز از ارسال سفارش]]</f>
        <v>0</v>
      </c>
      <c r="U1722" s="6">
        <f>-SUBTOTAL(9,INDEX(Main[مقدار (کیلوگرم)],1):Main[[#This Row],[مقدار (کیلوگرم)]])</f>
        <v>17837</v>
      </c>
      <c r="V17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2" s="6">
        <f>Main[[#This Row],[تعداد کل روزهای بدهکار (روز)]]*Main[[#This Row],[مانده در خط کل (کیلوگرم)]]</f>
        <v>17837</v>
      </c>
      <c r="X1722" s="6">
        <f ca="1">-SUBTOTAL(9,INDEX(Main[مقدار تسویه شده (کیلوگرم)],1):Main[[#This Row],[مقدار تسویه شده (کیلوگرم)]])</f>
        <v>17837</v>
      </c>
      <c r="Y1722" s="6">
        <f ca="1">IF(Main[[#This Row],[مانده در خط تسویه شده (کیلوگرم)]]&lt;&gt;0,Main[[#This Row],[تعداد کل روزهای بدهکار (روز)]],0)</f>
        <v>1</v>
      </c>
      <c r="Z1722" s="6">
        <f ca="1">Main[[#This Row],[تعداد روزهای بدهکار تسویه شده (روز)]]*Main[[#This Row],[مانده در خط تسویه شده (کیلوگرم)]]</f>
        <v>17837</v>
      </c>
      <c r="AA1722" s="6">
        <f ca="1">SUBTOTAL(9,INDEX(Main[بدهی تسویه نشده (کیلوگرم)],1):Main[[#This Row],[بدهی تسویه نشده (کیلوگرم)]])</f>
        <v>0</v>
      </c>
      <c r="AB1722" s="6">
        <f ca="1">IF(Main[[#This Row],[مانده در خط تسویه نشده (کیلوگرم)]]&lt;&gt;0,Main[[#This Row],[تعداد کل روزهای بدهکار (روز)]],0)</f>
        <v>0</v>
      </c>
      <c r="AC1722" s="6">
        <f ca="1">Main[[#This Row],[تعداد روزهای بدهکار  تسویه نشده (روز)]]*Main[[#This Row],[مانده در خط تسویه نشده (کیلوگرم)]]</f>
        <v>0</v>
      </c>
      <c r="AD1722" s="6">
        <f ca="1">SUBTOTAL(9,INDEX(Main[بدهی سررسید شده (کیلوگرم)],1):Main[[#This Row],[بدهی سررسید شده (کیلوگرم)]])</f>
        <v>0</v>
      </c>
      <c r="AE1722" s="6">
        <f ca="1">IF(Main[[#This Row],[مانده در خط سررسید شده (کیلوگرم)]]&lt;&gt;0,Main[[#This Row],[تعداد کل روزهای بدهکار (روز)]],0)</f>
        <v>0</v>
      </c>
      <c r="AF1722" s="6">
        <f ca="1">Main[[#This Row],[تعداد روزهای بدهکار سررسید شده (روز)]]*Main[[#This Row],[مانده در خط سررسید شده (کیلوگرم)]]</f>
        <v>0</v>
      </c>
    </row>
    <row r="1723" spans="1:32" hidden="1" x14ac:dyDescent="0.35">
      <c r="A1723" s="5">
        <f>ROW()-ROW(INDEX(Main[ردیف],1))+1</f>
        <v>1721</v>
      </c>
      <c r="B1723" s="31">
        <f>SUBTOTAL(2,INDEX(Main[ردیف],1):Main[[#This Row],[ردیف]])</f>
        <v>155</v>
      </c>
      <c r="C1723" s="32" t="s">
        <v>713</v>
      </c>
      <c r="D1723" s="32" t="str">
        <f>_xlfn.CONCAT("14",Main[[#This Row],[تاريخ]])</f>
        <v>1400/07/06</v>
      </c>
      <c r="E1723" s="33">
        <v>44467</v>
      </c>
      <c r="F1723" s="32">
        <v>30066</v>
      </c>
      <c r="G1723" s="5" t="str">
        <f>INDEX(customer[عنوان],MATCH(Main[[#This Row],[کد ردیابی]],customer[کد],0))</f>
        <v xml:space="preserve">شیر آلات بهداشتی قهرمان </v>
      </c>
      <c r="H1723">
        <v>-3368</v>
      </c>
      <c r="I1723" s="6">
        <f ca="1">-Main[[#This Row],[بدهی تسویه شده (کیلوگرم)]]+Main[[#This Row],[بستانکار (کیلوگرم)]]</f>
        <v>-3368</v>
      </c>
      <c r="J1723" s="6">
        <f>IF(Main[[#This Row],[مقدار (کیلوگرم)]]&gt;0,Main[[#This Row],[مقدار (کیلوگرم)]],0)</f>
        <v>0</v>
      </c>
      <c r="K1723" s="6">
        <f>-IF(Main[[#This Row],[مقدار (کیلوگرم)]]&lt;0,Main[[#This Row],[مقدار (کیلوگرم)]],0)</f>
        <v>3368</v>
      </c>
      <c r="L17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3" s="7">
        <f>-IF(AND(Main[[#This Row],[مقدار (کیلوگرم)]]&lt;0,Main[[#This Row],[تاريخ میلادی]]&gt;44276),Main[[#This Row],[مقدار (کیلوگرم)]],0)</f>
        <v>3368</v>
      </c>
      <c r="N1723" s="6">
        <f ca="1">Main[[#This Row],[بدهکار (کیلوگرم)]]-Main[[#This Row],[بدهی تسویه نشده (کیلوگرم)]]</f>
        <v>3368</v>
      </c>
      <c r="O1723" s="6">
        <f ca="1">Main[[#This Row],[تفکیک]]</f>
        <v>0</v>
      </c>
      <c r="P1723" s="6">
        <f ca="1">IF(Main[[#This Row],[تاخیر از سررسید]]&gt;0,Main[[#This Row],[بدهی تسویه نشده (کیلوگرم)]],0)</f>
        <v>0</v>
      </c>
      <c r="Q1723" s="6">
        <f ca="1">IF(Main[[#This Row],[بدهی تسویه نشده (کیلوگرم)]]&gt;0,'گزارش فردی'!$B$7-Main[[#This Row],[تاريخ میلادی]],0)</f>
        <v>0</v>
      </c>
      <c r="R1723" s="6">
        <f ca="1">IF(Main[[#This Row],[بدهی تسویه نشده (کیلوگرم)]]&gt;0,'گزارش فردی'!$B$7-Main[[#This Row],[تاريخ میلادی]]-'گزارش فردی'!$B$8,0)</f>
        <v>0</v>
      </c>
      <c r="S1723" s="6">
        <f ca="1">Main[[#This Row],[روز از ارسال سفارش]]*Main[[#This Row],[بدهی تسویه نشده (کیلوگرم)]]</f>
        <v>0</v>
      </c>
      <c r="T1723" s="6">
        <f ca="1">Main[[#This Row],[بدهی سررسید شده (کیلوگرم)]]*Main[[#This Row],[روز از ارسال سفارش]]</f>
        <v>0</v>
      </c>
      <c r="U1723" s="6">
        <f>-SUBTOTAL(9,INDEX(Main[مقدار (کیلوگرم)],1):Main[[#This Row],[مقدار (کیلوگرم)]])</f>
        <v>17837</v>
      </c>
      <c r="V17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3" s="6">
        <f>Main[[#This Row],[تعداد کل روزهای بدهکار (روز)]]*Main[[#This Row],[مانده در خط کل (کیلوگرم)]]</f>
        <v>17837</v>
      </c>
      <c r="X1723" s="6">
        <f ca="1">-SUBTOTAL(9,INDEX(Main[مقدار تسویه شده (کیلوگرم)],1):Main[[#This Row],[مقدار تسویه شده (کیلوگرم)]])</f>
        <v>17837</v>
      </c>
      <c r="Y1723" s="6">
        <f ca="1">IF(Main[[#This Row],[مانده در خط تسویه شده (کیلوگرم)]]&lt;&gt;0,Main[[#This Row],[تعداد کل روزهای بدهکار (روز)]],0)</f>
        <v>1</v>
      </c>
      <c r="Z1723" s="6">
        <f ca="1">Main[[#This Row],[تعداد روزهای بدهکار تسویه شده (روز)]]*Main[[#This Row],[مانده در خط تسویه شده (کیلوگرم)]]</f>
        <v>17837</v>
      </c>
      <c r="AA1723" s="6">
        <f ca="1">SUBTOTAL(9,INDEX(Main[بدهی تسویه نشده (کیلوگرم)],1):Main[[#This Row],[بدهی تسویه نشده (کیلوگرم)]])</f>
        <v>0</v>
      </c>
      <c r="AB1723" s="6">
        <f ca="1">IF(Main[[#This Row],[مانده در خط تسویه نشده (کیلوگرم)]]&lt;&gt;0,Main[[#This Row],[تعداد کل روزهای بدهکار (روز)]],0)</f>
        <v>0</v>
      </c>
      <c r="AC1723" s="6">
        <f ca="1">Main[[#This Row],[تعداد روزهای بدهکار  تسویه نشده (روز)]]*Main[[#This Row],[مانده در خط تسویه نشده (کیلوگرم)]]</f>
        <v>0</v>
      </c>
      <c r="AD1723" s="6">
        <f ca="1">SUBTOTAL(9,INDEX(Main[بدهی سررسید شده (کیلوگرم)],1):Main[[#This Row],[بدهی سررسید شده (کیلوگرم)]])</f>
        <v>0</v>
      </c>
      <c r="AE1723" s="6">
        <f ca="1">IF(Main[[#This Row],[مانده در خط سررسید شده (کیلوگرم)]]&lt;&gt;0,Main[[#This Row],[تعداد کل روزهای بدهکار (روز)]],0)</f>
        <v>0</v>
      </c>
      <c r="AF1723" s="6">
        <f ca="1">Main[[#This Row],[تعداد روزهای بدهکار سررسید شده (روز)]]*Main[[#This Row],[مانده در خط سررسید شده (کیلوگرم)]]</f>
        <v>0</v>
      </c>
    </row>
    <row r="1724" spans="1:32" hidden="1" x14ac:dyDescent="0.35">
      <c r="A1724" s="5">
        <f>ROW()-ROW(INDEX(Main[ردیف],1))+1</f>
        <v>1722</v>
      </c>
      <c r="B1724" s="31">
        <f>SUBTOTAL(2,INDEX(Main[ردیف],1):Main[[#This Row],[ردیف]])</f>
        <v>155</v>
      </c>
      <c r="C1724" s="32" t="s">
        <v>713</v>
      </c>
      <c r="D1724" s="32" t="str">
        <f>_xlfn.CONCAT("14",Main[[#This Row],[تاريخ]])</f>
        <v>1400/07/06</v>
      </c>
      <c r="E1724" s="33">
        <v>44467</v>
      </c>
      <c r="F1724" s="32">
        <v>10048</v>
      </c>
      <c r="G1724" s="5" t="str">
        <f>INDEX(customer[عنوان],MATCH(Main[[#This Row],[کد ردیابی]],customer[کد],0))</f>
        <v xml:space="preserve">حسام کریمان  </v>
      </c>
      <c r="H1724">
        <v>348</v>
      </c>
      <c r="I1724" s="6">
        <f ca="1">-Main[[#This Row],[بدهی تسویه شده (کیلوگرم)]]+Main[[#This Row],[بستانکار (کیلوگرم)]]</f>
        <v>348</v>
      </c>
      <c r="J1724" s="6">
        <f>IF(Main[[#This Row],[مقدار (کیلوگرم)]]&gt;0,Main[[#This Row],[مقدار (کیلوگرم)]],0)</f>
        <v>348</v>
      </c>
      <c r="K1724" s="6">
        <f>-IF(Main[[#This Row],[مقدار (کیلوگرم)]]&lt;0,Main[[#This Row],[مقدار (کیلوگرم)]],0)</f>
        <v>0</v>
      </c>
      <c r="L17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4" s="7">
        <f>-IF(AND(Main[[#This Row],[مقدار (کیلوگرم)]]&lt;0,Main[[#This Row],[تاريخ میلادی]]&gt;44276),Main[[#This Row],[مقدار (کیلوگرم)]],0)</f>
        <v>0</v>
      </c>
      <c r="N1724" s="6">
        <f ca="1">Main[[#This Row],[بدهکار (کیلوگرم)]]-Main[[#This Row],[بدهی تسویه نشده (کیلوگرم)]]</f>
        <v>0</v>
      </c>
      <c r="O1724" s="6">
        <f ca="1">Main[[#This Row],[تفکیک]]</f>
        <v>0</v>
      </c>
      <c r="P1724" s="6">
        <f ca="1">IF(Main[[#This Row],[تاخیر از سررسید]]&gt;0,Main[[#This Row],[بدهی تسویه نشده (کیلوگرم)]],0)</f>
        <v>0</v>
      </c>
      <c r="Q1724" s="6">
        <f ca="1">IF(Main[[#This Row],[بدهی تسویه نشده (کیلوگرم)]]&gt;0,'گزارش فردی'!$B$7-Main[[#This Row],[تاريخ میلادی]],0)</f>
        <v>0</v>
      </c>
      <c r="R1724" s="6">
        <f ca="1">IF(Main[[#This Row],[بدهی تسویه نشده (کیلوگرم)]]&gt;0,'گزارش فردی'!$B$7-Main[[#This Row],[تاريخ میلادی]]-'گزارش فردی'!$B$8,0)</f>
        <v>0</v>
      </c>
      <c r="S1724" s="6">
        <f ca="1">Main[[#This Row],[روز از ارسال سفارش]]*Main[[#This Row],[بدهی تسویه نشده (کیلوگرم)]]</f>
        <v>0</v>
      </c>
      <c r="T1724" s="6">
        <f ca="1">Main[[#This Row],[بدهی سررسید شده (کیلوگرم)]]*Main[[#This Row],[روز از ارسال سفارش]]</f>
        <v>0</v>
      </c>
      <c r="U1724" s="6">
        <f>-SUBTOTAL(9,INDEX(Main[مقدار (کیلوگرم)],1):Main[[#This Row],[مقدار (کیلوگرم)]])</f>
        <v>17837</v>
      </c>
      <c r="V17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4" s="6">
        <f>Main[[#This Row],[تعداد کل روزهای بدهکار (روز)]]*Main[[#This Row],[مانده در خط کل (کیلوگرم)]]</f>
        <v>17837</v>
      </c>
      <c r="X1724" s="6">
        <f ca="1">-SUBTOTAL(9,INDEX(Main[مقدار تسویه شده (کیلوگرم)],1):Main[[#This Row],[مقدار تسویه شده (کیلوگرم)]])</f>
        <v>17837</v>
      </c>
      <c r="Y1724" s="6">
        <f ca="1">IF(Main[[#This Row],[مانده در خط تسویه شده (کیلوگرم)]]&lt;&gt;0,Main[[#This Row],[تعداد کل روزهای بدهکار (روز)]],0)</f>
        <v>1</v>
      </c>
      <c r="Z1724" s="6">
        <f ca="1">Main[[#This Row],[تعداد روزهای بدهکار تسویه شده (روز)]]*Main[[#This Row],[مانده در خط تسویه شده (کیلوگرم)]]</f>
        <v>17837</v>
      </c>
      <c r="AA1724" s="6">
        <f ca="1">SUBTOTAL(9,INDEX(Main[بدهی تسویه نشده (کیلوگرم)],1):Main[[#This Row],[بدهی تسویه نشده (کیلوگرم)]])</f>
        <v>0</v>
      </c>
      <c r="AB1724" s="6">
        <f ca="1">IF(Main[[#This Row],[مانده در خط تسویه نشده (کیلوگرم)]]&lt;&gt;0,Main[[#This Row],[تعداد کل روزهای بدهکار (روز)]],0)</f>
        <v>0</v>
      </c>
      <c r="AC1724" s="6">
        <f ca="1">Main[[#This Row],[تعداد روزهای بدهکار  تسویه نشده (روز)]]*Main[[#This Row],[مانده در خط تسویه نشده (کیلوگرم)]]</f>
        <v>0</v>
      </c>
      <c r="AD1724" s="6">
        <f ca="1">SUBTOTAL(9,INDEX(Main[بدهی سررسید شده (کیلوگرم)],1):Main[[#This Row],[بدهی سررسید شده (کیلوگرم)]])</f>
        <v>0</v>
      </c>
      <c r="AE1724" s="6">
        <f ca="1">IF(Main[[#This Row],[مانده در خط سررسید شده (کیلوگرم)]]&lt;&gt;0,Main[[#This Row],[تعداد کل روزهای بدهکار (روز)]],0)</f>
        <v>0</v>
      </c>
      <c r="AF1724" s="6">
        <f ca="1">Main[[#This Row],[تعداد روزهای بدهکار سررسید شده (روز)]]*Main[[#This Row],[مانده در خط سررسید شده (کیلوگرم)]]</f>
        <v>0</v>
      </c>
    </row>
    <row r="1725" spans="1:32" hidden="1" x14ac:dyDescent="0.35">
      <c r="A1725" s="5">
        <f>ROW()-ROW(INDEX(Main[ردیف],1))+1</f>
        <v>1723</v>
      </c>
      <c r="B1725" s="31">
        <f>SUBTOTAL(2,INDEX(Main[ردیف],1):Main[[#This Row],[ردیف]])</f>
        <v>155</v>
      </c>
      <c r="C1725" s="32" t="s">
        <v>713</v>
      </c>
      <c r="D1725" s="32" t="str">
        <f>_xlfn.CONCAT("14",Main[[#This Row],[تاريخ]])</f>
        <v>1400/07/06</v>
      </c>
      <c r="E1725" s="33">
        <v>44467</v>
      </c>
      <c r="F1725" s="32">
        <v>30127</v>
      </c>
      <c r="G1725" s="5" t="str">
        <f>INDEX(customer[عنوان],MATCH(Main[[#This Row],[کد ردیابی]],customer[کد],0))</f>
        <v>شیر گاز آذران</v>
      </c>
      <c r="H1725">
        <v>-15008</v>
      </c>
      <c r="I1725" s="6">
        <f ca="1">-Main[[#This Row],[بدهی تسویه شده (کیلوگرم)]]+Main[[#This Row],[بستانکار (کیلوگرم)]]</f>
        <v>-15008</v>
      </c>
      <c r="J1725" s="6">
        <f>IF(Main[[#This Row],[مقدار (کیلوگرم)]]&gt;0,Main[[#This Row],[مقدار (کیلوگرم)]],0)</f>
        <v>0</v>
      </c>
      <c r="K1725" s="6">
        <f>-IF(Main[[#This Row],[مقدار (کیلوگرم)]]&lt;0,Main[[#This Row],[مقدار (کیلوگرم)]],0)</f>
        <v>15008</v>
      </c>
      <c r="L17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5" s="7">
        <f>-IF(AND(Main[[#This Row],[مقدار (کیلوگرم)]]&lt;0,Main[[#This Row],[تاريخ میلادی]]&gt;44276),Main[[#This Row],[مقدار (کیلوگرم)]],0)</f>
        <v>15008</v>
      </c>
      <c r="N1725" s="6">
        <f ca="1">Main[[#This Row],[بدهکار (کیلوگرم)]]-Main[[#This Row],[بدهی تسویه نشده (کیلوگرم)]]</f>
        <v>15008</v>
      </c>
      <c r="O1725" s="6">
        <f ca="1">Main[[#This Row],[تفکیک]]</f>
        <v>0</v>
      </c>
      <c r="P1725" s="6">
        <f ca="1">IF(Main[[#This Row],[تاخیر از سررسید]]&gt;0,Main[[#This Row],[بدهی تسویه نشده (کیلوگرم)]],0)</f>
        <v>0</v>
      </c>
      <c r="Q1725" s="6">
        <f ca="1">IF(Main[[#This Row],[بدهی تسویه نشده (کیلوگرم)]]&gt;0,'گزارش فردی'!$B$7-Main[[#This Row],[تاريخ میلادی]],0)</f>
        <v>0</v>
      </c>
      <c r="R1725" s="6">
        <f ca="1">IF(Main[[#This Row],[بدهی تسویه نشده (کیلوگرم)]]&gt;0,'گزارش فردی'!$B$7-Main[[#This Row],[تاريخ میلادی]]-'گزارش فردی'!$B$8,0)</f>
        <v>0</v>
      </c>
      <c r="S1725" s="6">
        <f ca="1">Main[[#This Row],[روز از ارسال سفارش]]*Main[[#This Row],[بدهی تسویه نشده (کیلوگرم)]]</f>
        <v>0</v>
      </c>
      <c r="T1725" s="6">
        <f ca="1">Main[[#This Row],[بدهی سررسید شده (کیلوگرم)]]*Main[[#This Row],[روز از ارسال سفارش]]</f>
        <v>0</v>
      </c>
      <c r="U1725" s="6">
        <f>-SUBTOTAL(9,INDEX(Main[مقدار (کیلوگرم)],1):Main[[#This Row],[مقدار (کیلوگرم)]])</f>
        <v>17837</v>
      </c>
      <c r="V17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5" s="6">
        <f>Main[[#This Row],[تعداد کل روزهای بدهکار (روز)]]*Main[[#This Row],[مانده در خط کل (کیلوگرم)]]</f>
        <v>17837</v>
      </c>
      <c r="X1725" s="6">
        <f ca="1">-SUBTOTAL(9,INDEX(Main[مقدار تسویه شده (کیلوگرم)],1):Main[[#This Row],[مقدار تسویه شده (کیلوگرم)]])</f>
        <v>17837</v>
      </c>
      <c r="Y1725" s="6">
        <f ca="1">IF(Main[[#This Row],[مانده در خط تسویه شده (کیلوگرم)]]&lt;&gt;0,Main[[#This Row],[تعداد کل روزهای بدهکار (روز)]],0)</f>
        <v>1</v>
      </c>
      <c r="Z1725" s="6">
        <f ca="1">Main[[#This Row],[تعداد روزهای بدهکار تسویه شده (روز)]]*Main[[#This Row],[مانده در خط تسویه شده (کیلوگرم)]]</f>
        <v>17837</v>
      </c>
      <c r="AA1725" s="6">
        <f ca="1">SUBTOTAL(9,INDEX(Main[بدهی تسویه نشده (کیلوگرم)],1):Main[[#This Row],[بدهی تسویه نشده (کیلوگرم)]])</f>
        <v>0</v>
      </c>
      <c r="AB1725" s="6">
        <f ca="1">IF(Main[[#This Row],[مانده در خط تسویه نشده (کیلوگرم)]]&lt;&gt;0,Main[[#This Row],[تعداد کل روزهای بدهکار (روز)]],0)</f>
        <v>0</v>
      </c>
      <c r="AC1725" s="6">
        <f ca="1">Main[[#This Row],[تعداد روزهای بدهکار  تسویه نشده (روز)]]*Main[[#This Row],[مانده در خط تسویه نشده (کیلوگرم)]]</f>
        <v>0</v>
      </c>
      <c r="AD1725" s="6">
        <f ca="1">SUBTOTAL(9,INDEX(Main[بدهی سررسید شده (کیلوگرم)],1):Main[[#This Row],[بدهی سررسید شده (کیلوگرم)]])</f>
        <v>0</v>
      </c>
      <c r="AE1725" s="6">
        <f ca="1">IF(Main[[#This Row],[مانده در خط سررسید شده (کیلوگرم)]]&lt;&gt;0,Main[[#This Row],[تعداد کل روزهای بدهکار (روز)]],0)</f>
        <v>0</v>
      </c>
      <c r="AF1725" s="6">
        <f ca="1">Main[[#This Row],[تعداد روزهای بدهکار سررسید شده (روز)]]*Main[[#This Row],[مانده در خط سررسید شده (کیلوگرم)]]</f>
        <v>0</v>
      </c>
    </row>
    <row r="1726" spans="1:32" hidden="1" x14ac:dyDescent="0.35">
      <c r="A1726" s="5">
        <f>ROW()-ROW(INDEX(Main[ردیف],1))+1</f>
        <v>1724</v>
      </c>
      <c r="B1726" s="31">
        <f>SUBTOTAL(2,INDEX(Main[ردیف],1):Main[[#This Row],[ردیف]])</f>
        <v>155</v>
      </c>
      <c r="C1726" s="32" t="s">
        <v>713</v>
      </c>
      <c r="D1726" s="32" t="str">
        <f>_xlfn.CONCAT("14",Main[[#This Row],[تاريخ]])</f>
        <v>1400/07/06</v>
      </c>
      <c r="E1726" s="33">
        <v>44467</v>
      </c>
      <c r="F1726" s="32">
        <v>30009</v>
      </c>
      <c r="G1726" s="5" t="str">
        <f>INDEX(customer[عنوان],MATCH(Main[[#This Row],[کد ردیابی]],customer[کد],0))</f>
        <v>شرکت ایمن تک پیشرو</v>
      </c>
      <c r="H1726">
        <v>2119</v>
      </c>
      <c r="I1726" s="6">
        <f ca="1">-Main[[#This Row],[بدهی تسویه شده (کیلوگرم)]]+Main[[#This Row],[بستانکار (کیلوگرم)]]</f>
        <v>2119</v>
      </c>
      <c r="J1726" s="6">
        <f>IF(Main[[#This Row],[مقدار (کیلوگرم)]]&gt;0,Main[[#This Row],[مقدار (کیلوگرم)]],0)</f>
        <v>2119</v>
      </c>
      <c r="K1726" s="6">
        <f>-IF(Main[[#This Row],[مقدار (کیلوگرم)]]&lt;0,Main[[#This Row],[مقدار (کیلوگرم)]],0)</f>
        <v>0</v>
      </c>
      <c r="L17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6" s="7">
        <f>-IF(AND(Main[[#This Row],[مقدار (کیلوگرم)]]&lt;0,Main[[#This Row],[تاريخ میلادی]]&gt;44276),Main[[#This Row],[مقدار (کیلوگرم)]],0)</f>
        <v>0</v>
      </c>
      <c r="N1726" s="6">
        <f ca="1">Main[[#This Row],[بدهکار (کیلوگرم)]]-Main[[#This Row],[بدهی تسویه نشده (کیلوگرم)]]</f>
        <v>0</v>
      </c>
      <c r="O1726" s="6">
        <f ca="1">Main[[#This Row],[تفکیک]]</f>
        <v>0</v>
      </c>
      <c r="P1726" s="6">
        <f ca="1">IF(Main[[#This Row],[تاخیر از سررسید]]&gt;0,Main[[#This Row],[بدهی تسویه نشده (کیلوگرم)]],0)</f>
        <v>0</v>
      </c>
      <c r="Q1726" s="6">
        <f ca="1">IF(Main[[#This Row],[بدهی تسویه نشده (کیلوگرم)]]&gt;0,'گزارش فردی'!$B$7-Main[[#This Row],[تاريخ میلادی]],0)</f>
        <v>0</v>
      </c>
      <c r="R1726" s="6">
        <f ca="1">IF(Main[[#This Row],[بدهی تسویه نشده (کیلوگرم)]]&gt;0,'گزارش فردی'!$B$7-Main[[#This Row],[تاريخ میلادی]]-'گزارش فردی'!$B$8,0)</f>
        <v>0</v>
      </c>
      <c r="S1726" s="6">
        <f ca="1">Main[[#This Row],[روز از ارسال سفارش]]*Main[[#This Row],[بدهی تسویه نشده (کیلوگرم)]]</f>
        <v>0</v>
      </c>
      <c r="T1726" s="6">
        <f ca="1">Main[[#This Row],[بدهی سررسید شده (کیلوگرم)]]*Main[[#This Row],[روز از ارسال سفارش]]</f>
        <v>0</v>
      </c>
      <c r="U1726" s="6">
        <f>-SUBTOTAL(9,INDEX(Main[مقدار (کیلوگرم)],1):Main[[#This Row],[مقدار (کیلوگرم)]])</f>
        <v>17837</v>
      </c>
      <c r="V17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6" s="6">
        <f>Main[[#This Row],[تعداد کل روزهای بدهکار (روز)]]*Main[[#This Row],[مانده در خط کل (کیلوگرم)]]</f>
        <v>17837</v>
      </c>
      <c r="X1726" s="6">
        <f ca="1">-SUBTOTAL(9,INDEX(Main[مقدار تسویه شده (کیلوگرم)],1):Main[[#This Row],[مقدار تسویه شده (کیلوگرم)]])</f>
        <v>17837</v>
      </c>
      <c r="Y1726" s="6">
        <f ca="1">IF(Main[[#This Row],[مانده در خط تسویه شده (کیلوگرم)]]&lt;&gt;0,Main[[#This Row],[تعداد کل روزهای بدهکار (روز)]],0)</f>
        <v>1</v>
      </c>
      <c r="Z1726" s="6">
        <f ca="1">Main[[#This Row],[تعداد روزهای بدهکار تسویه شده (روز)]]*Main[[#This Row],[مانده در خط تسویه شده (کیلوگرم)]]</f>
        <v>17837</v>
      </c>
      <c r="AA1726" s="6">
        <f ca="1">SUBTOTAL(9,INDEX(Main[بدهی تسویه نشده (کیلوگرم)],1):Main[[#This Row],[بدهی تسویه نشده (کیلوگرم)]])</f>
        <v>0</v>
      </c>
      <c r="AB1726" s="6">
        <f ca="1">IF(Main[[#This Row],[مانده در خط تسویه نشده (کیلوگرم)]]&lt;&gt;0,Main[[#This Row],[تعداد کل روزهای بدهکار (روز)]],0)</f>
        <v>0</v>
      </c>
      <c r="AC1726" s="6">
        <f ca="1">Main[[#This Row],[تعداد روزهای بدهکار  تسویه نشده (روز)]]*Main[[#This Row],[مانده در خط تسویه نشده (کیلوگرم)]]</f>
        <v>0</v>
      </c>
      <c r="AD1726" s="6">
        <f ca="1">SUBTOTAL(9,INDEX(Main[بدهی سررسید شده (کیلوگرم)],1):Main[[#This Row],[بدهی سررسید شده (کیلوگرم)]])</f>
        <v>0</v>
      </c>
      <c r="AE1726" s="6">
        <f ca="1">IF(Main[[#This Row],[مانده در خط سررسید شده (کیلوگرم)]]&lt;&gt;0,Main[[#This Row],[تعداد کل روزهای بدهکار (روز)]],0)</f>
        <v>0</v>
      </c>
      <c r="AF1726" s="6">
        <f ca="1">Main[[#This Row],[تعداد روزهای بدهکار سررسید شده (روز)]]*Main[[#This Row],[مانده در خط سررسید شده (کیلوگرم)]]</f>
        <v>0</v>
      </c>
    </row>
    <row r="1727" spans="1:32" hidden="1" x14ac:dyDescent="0.35">
      <c r="A1727" s="5">
        <f>ROW()-ROW(INDEX(Main[ردیف],1))+1</f>
        <v>1725</v>
      </c>
      <c r="B1727" s="31">
        <f>SUBTOTAL(2,INDEX(Main[ردیف],1):Main[[#This Row],[ردیف]])</f>
        <v>155</v>
      </c>
      <c r="C1727" s="32" t="s">
        <v>713</v>
      </c>
      <c r="D1727" s="32" t="str">
        <f>_xlfn.CONCAT("14",Main[[#This Row],[تاريخ]])</f>
        <v>1400/07/06</v>
      </c>
      <c r="E1727" s="33">
        <v>44467</v>
      </c>
      <c r="F1727" s="32">
        <v>10138</v>
      </c>
      <c r="G1727" s="5" t="str">
        <f>INDEX(customer[عنوان],MATCH(Main[[#This Row],[کد ردیابی]],customer[کد],0))</f>
        <v>مهدی آهاری</v>
      </c>
      <c r="H1727">
        <v>-642</v>
      </c>
      <c r="I1727" s="6">
        <f ca="1">-Main[[#This Row],[بدهی تسویه شده (کیلوگرم)]]+Main[[#This Row],[بستانکار (کیلوگرم)]]</f>
        <v>-642</v>
      </c>
      <c r="J1727" s="6">
        <f>IF(Main[[#This Row],[مقدار (کیلوگرم)]]&gt;0,Main[[#This Row],[مقدار (کیلوگرم)]],0)</f>
        <v>0</v>
      </c>
      <c r="K1727" s="6">
        <f>-IF(Main[[#This Row],[مقدار (کیلوگرم)]]&lt;0,Main[[#This Row],[مقدار (کیلوگرم)]],0)</f>
        <v>642</v>
      </c>
      <c r="L17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7" s="7">
        <f>-IF(AND(Main[[#This Row],[مقدار (کیلوگرم)]]&lt;0,Main[[#This Row],[تاريخ میلادی]]&gt;44276),Main[[#This Row],[مقدار (کیلوگرم)]],0)</f>
        <v>642</v>
      </c>
      <c r="N1727" s="6">
        <f ca="1">Main[[#This Row],[بدهکار (کیلوگرم)]]-Main[[#This Row],[بدهی تسویه نشده (کیلوگرم)]]</f>
        <v>642</v>
      </c>
      <c r="O1727" s="6">
        <f ca="1">Main[[#This Row],[تفکیک]]</f>
        <v>0</v>
      </c>
      <c r="P1727" s="6">
        <f ca="1">IF(Main[[#This Row],[تاخیر از سررسید]]&gt;0,Main[[#This Row],[بدهی تسویه نشده (کیلوگرم)]],0)</f>
        <v>0</v>
      </c>
      <c r="Q1727" s="6">
        <f ca="1">IF(Main[[#This Row],[بدهی تسویه نشده (کیلوگرم)]]&gt;0,'گزارش فردی'!$B$7-Main[[#This Row],[تاريخ میلادی]],0)</f>
        <v>0</v>
      </c>
      <c r="R1727" s="6">
        <f ca="1">IF(Main[[#This Row],[بدهی تسویه نشده (کیلوگرم)]]&gt;0,'گزارش فردی'!$B$7-Main[[#This Row],[تاريخ میلادی]]-'گزارش فردی'!$B$8,0)</f>
        <v>0</v>
      </c>
      <c r="S1727" s="6">
        <f ca="1">Main[[#This Row],[روز از ارسال سفارش]]*Main[[#This Row],[بدهی تسویه نشده (کیلوگرم)]]</f>
        <v>0</v>
      </c>
      <c r="T1727" s="6">
        <f ca="1">Main[[#This Row],[بدهی سررسید شده (کیلوگرم)]]*Main[[#This Row],[روز از ارسال سفارش]]</f>
        <v>0</v>
      </c>
      <c r="U1727" s="6">
        <f>-SUBTOTAL(9,INDEX(Main[مقدار (کیلوگرم)],1):Main[[#This Row],[مقدار (کیلوگرم)]])</f>
        <v>17837</v>
      </c>
      <c r="V17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7" s="6">
        <f>Main[[#This Row],[تعداد کل روزهای بدهکار (روز)]]*Main[[#This Row],[مانده در خط کل (کیلوگرم)]]</f>
        <v>17837</v>
      </c>
      <c r="X1727" s="6">
        <f ca="1">-SUBTOTAL(9,INDEX(Main[مقدار تسویه شده (کیلوگرم)],1):Main[[#This Row],[مقدار تسویه شده (کیلوگرم)]])</f>
        <v>17837</v>
      </c>
      <c r="Y1727" s="6">
        <f ca="1">IF(Main[[#This Row],[مانده در خط تسویه شده (کیلوگرم)]]&lt;&gt;0,Main[[#This Row],[تعداد کل روزهای بدهکار (روز)]],0)</f>
        <v>1</v>
      </c>
      <c r="Z1727" s="6">
        <f ca="1">Main[[#This Row],[تعداد روزهای بدهکار تسویه شده (روز)]]*Main[[#This Row],[مانده در خط تسویه شده (کیلوگرم)]]</f>
        <v>17837</v>
      </c>
      <c r="AA1727" s="6">
        <f ca="1">SUBTOTAL(9,INDEX(Main[بدهی تسویه نشده (کیلوگرم)],1):Main[[#This Row],[بدهی تسویه نشده (کیلوگرم)]])</f>
        <v>0</v>
      </c>
      <c r="AB1727" s="6">
        <f ca="1">IF(Main[[#This Row],[مانده در خط تسویه نشده (کیلوگرم)]]&lt;&gt;0,Main[[#This Row],[تعداد کل روزهای بدهکار (روز)]],0)</f>
        <v>0</v>
      </c>
      <c r="AC1727" s="6">
        <f ca="1">Main[[#This Row],[تعداد روزهای بدهکار  تسویه نشده (روز)]]*Main[[#This Row],[مانده در خط تسویه نشده (کیلوگرم)]]</f>
        <v>0</v>
      </c>
      <c r="AD1727" s="6">
        <f ca="1">SUBTOTAL(9,INDEX(Main[بدهی سررسید شده (کیلوگرم)],1):Main[[#This Row],[بدهی سررسید شده (کیلوگرم)]])</f>
        <v>0</v>
      </c>
      <c r="AE1727" s="6">
        <f ca="1">IF(Main[[#This Row],[مانده در خط سررسید شده (کیلوگرم)]]&lt;&gt;0,Main[[#This Row],[تعداد کل روزهای بدهکار (روز)]],0)</f>
        <v>0</v>
      </c>
      <c r="AF1727" s="6">
        <f ca="1">Main[[#This Row],[تعداد روزهای بدهکار سررسید شده (روز)]]*Main[[#This Row],[مانده در خط سررسید شده (کیلوگرم)]]</f>
        <v>0</v>
      </c>
    </row>
    <row r="1728" spans="1:32" hidden="1" x14ac:dyDescent="0.35">
      <c r="A1728" s="5">
        <f>ROW()-ROW(INDEX(Main[ردیف],1))+1</f>
        <v>1726</v>
      </c>
      <c r="B1728" s="31">
        <f>SUBTOTAL(2,INDEX(Main[ردیف],1):Main[[#This Row],[ردیف]])</f>
        <v>155</v>
      </c>
      <c r="C1728" s="32" t="s">
        <v>713</v>
      </c>
      <c r="D1728" s="32" t="str">
        <f>_xlfn.CONCAT("14",Main[[#This Row],[تاريخ]])</f>
        <v>1400/07/06</v>
      </c>
      <c r="E1728" s="33">
        <v>44467</v>
      </c>
      <c r="F1728" s="32">
        <v>10026</v>
      </c>
      <c r="G1728" s="5" t="str">
        <f>INDEX(customer[عنوان],MATCH(Main[[#This Row],[کد ردیابی]],customer[کد],0))</f>
        <v xml:space="preserve">محسن فیاض بخش </v>
      </c>
      <c r="H1728">
        <v>-2280</v>
      </c>
      <c r="I1728" s="6">
        <f ca="1">-Main[[#This Row],[بدهی تسویه شده (کیلوگرم)]]+Main[[#This Row],[بستانکار (کیلوگرم)]]</f>
        <v>-2280</v>
      </c>
      <c r="J1728" s="6">
        <f>IF(Main[[#This Row],[مقدار (کیلوگرم)]]&gt;0,Main[[#This Row],[مقدار (کیلوگرم)]],0)</f>
        <v>0</v>
      </c>
      <c r="K1728" s="6">
        <f>-IF(Main[[#This Row],[مقدار (کیلوگرم)]]&lt;0,Main[[#This Row],[مقدار (کیلوگرم)]],0)</f>
        <v>2280</v>
      </c>
      <c r="L17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8" s="7">
        <f>-IF(AND(Main[[#This Row],[مقدار (کیلوگرم)]]&lt;0,Main[[#This Row],[تاريخ میلادی]]&gt;44276),Main[[#This Row],[مقدار (کیلوگرم)]],0)</f>
        <v>2280</v>
      </c>
      <c r="N1728" s="6">
        <f ca="1">Main[[#This Row],[بدهکار (کیلوگرم)]]-Main[[#This Row],[بدهی تسویه نشده (کیلوگرم)]]</f>
        <v>2280</v>
      </c>
      <c r="O1728" s="6">
        <f ca="1">Main[[#This Row],[تفکیک]]</f>
        <v>0</v>
      </c>
      <c r="P1728" s="6">
        <f ca="1">IF(Main[[#This Row],[تاخیر از سررسید]]&gt;0,Main[[#This Row],[بدهی تسویه نشده (کیلوگرم)]],0)</f>
        <v>0</v>
      </c>
      <c r="Q1728" s="6">
        <f ca="1">IF(Main[[#This Row],[بدهی تسویه نشده (کیلوگرم)]]&gt;0,'گزارش فردی'!$B$7-Main[[#This Row],[تاريخ میلادی]],0)</f>
        <v>0</v>
      </c>
      <c r="R1728" s="6">
        <f ca="1">IF(Main[[#This Row],[بدهی تسویه نشده (کیلوگرم)]]&gt;0,'گزارش فردی'!$B$7-Main[[#This Row],[تاريخ میلادی]]-'گزارش فردی'!$B$8,0)</f>
        <v>0</v>
      </c>
      <c r="S1728" s="6">
        <f ca="1">Main[[#This Row],[روز از ارسال سفارش]]*Main[[#This Row],[بدهی تسویه نشده (کیلوگرم)]]</f>
        <v>0</v>
      </c>
      <c r="T1728" s="6">
        <f ca="1">Main[[#This Row],[بدهی سررسید شده (کیلوگرم)]]*Main[[#This Row],[روز از ارسال سفارش]]</f>
        <v>0</v>
      </c>
      <c r="U1728" s="6">
        <f>-SUBTOTAL(9,INDEX(Main[مقدار (کیلوگرم)],1):Main[[#This Row],[مقدار (کیلوگرم)]])</f>
        <v>17837</v>
      </c>
      <c r="V17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8" s="6">
        <f>Main[[#This Row],[تعداد کل روزهای بدهکار (روز)]]*Main[[#This Row],[مانده در خط کل (کیلوگرم)]]</f>
        <v>17837</v>
      </c>
      <c r="X1728" s="6">
        <f ca="1">-SUBTOTAL(9,INDEX(Main[مقدار تسویه شده (کیلوگرم)],1):Main[[#This Row],[مقدار تسویه شده (کیلوگرم)]])</f>
        <v>17837</v>
      </c>
      <c r="Y1728" s="6">
        <f ca="1">IF(Main[[#This Row],[مانده در خط تسویه شده (کیلوگرم)]]&lt;&gt;0,Main[[#This Row],[تعداد کل روزهای بدهکار (روز)]],0)</f>
        <v>1</v>
      </c>
      <c r="Z1728" s="6">
        <f ca="1">Main[[#This Row],[تعداد روزهای بدهکار تسویه شده (روز)]]*Main[[#This Row],[مانده در خط تسویه شده (کیلوگرم)]]</f>
        <v>17837</v>
      </c>
      <c r="AA1728" s="6">
        <f ca="1">SUBTOTAL(9,INDEX(Main[بدهی تسویه نشده (کیلوگرم)],1):Main[[#This Row],[بدهی تسویه نشده (کیلوگرم)]])</f>
        <v>0</v>
      </c>
      <c r="AB1728" s="6">
        <f ca="1">IF(Main[[#This Row],[مانده در خط تسویه نشده (کیلوگرم)]]&lt;&gt;0,Main[[#This Row],[تعداد کل روزهای بدهکار (روز)]],0)</f>
        <v>0</v>
      </c>
      <c r="AC1728" s="6">
        <f ca="1">Main[[#This Row],[تعداد روزهای بدهکار  تسویه نشده (روز)]]*Main[[#This Row],[مانده در خط تسویه نشده (کیلوگرم)]]</f>
        <v>0</v>
      </c>
      <c r="AD1728" s="6">
        <f ca="1">SUBTOTAL(9,INDEX(Main[بدهی سررسید شده (کیلوگرم)],1):Main[[#This Row],[بدهی سررسید شده (کیلوگرم)]])</f>
        <v>0</v>
      </c>
      <c r="AE1728" s="6">
        <f ca="1">IF(Main[[#This Row],[مانده در خط سررسید شده (کیلوگرم)]]&lt;&gt;0,Main[[#This Row],[تعداد کل روزهای بدهکار (روز)]],0)</f>
        <v>0</v>
      </c>
      <c r="AF1728" s="6">
        <f ca="1">Main[[#This Row],[تعداد روزهای بدهکار سررسید شده (روز)]]*Main[[#This Row],[مانده در خط سررسید شده (کیلوگرم)]]</f>
        <v>0</v>
      </c>
    </row>
    <row r="1729" spans="1:32" hidden="1" x14ac:dyDescent="0.35">
      <c r="A1729" s="5">
        <f>ROW()-ROW(INDEX(Main[ردیف],1))+1</f>
        <v>1727</v>
      </c>
      <c r="B1729" s="31">
        <f>SUBTOTAL(2,INDEX(Main[ردیف],1):Main[[#This Row],[ردیف]])</f>
        <v>155</v>
      </c>
      <c r="C1729" s="32" t="s">
        <v>713</v>
      </c>
      <c r="D1729" s="32" t="str">
        <f>_xlfn.CONCAT("14",Main[[#This Row],[تاريخ]])</f>
        <v>1400/07/06</v>
      </c>
      <c r="E1729" s="33">
        <v>44467</v>
      </c>
      <c r="F1729" s="32">
        <v>30009</v>
      </c>
      <c r="G1729" s="5" t="str">
        <f>INDEX(customer[عنوان],MATCH(Main[[#This Row],[کد ردیابی]],customer[کد],0))</f>
        <v>شرکت ایمن تک پیشرو</v>
      </c>
      <c r="H1729">
        <v>-2255</v>
      </c>
      <c r="I1729" s="6">
        <f ca="1">-Main[[#This Row],[بدهی تسویه شده (کیلوگرم)]]+Main[[#This Row],[بستانکار (کیلوگرم)]]</f>
        <v>-2255</v>
      </c>
      <c r="J1729" s="6">
        <f>IF(Main[[#This Row],[مقدار (کیلوگرم)]]&gt;0,Main[[#This Row],[مقدار (کیلوگرم)]],0)</f>
        <v>0</v>
      </c>
      <c r="K1729" s="6">
        <f>-IF(Main[[#This Row],[مقدار (کیلوگرم)]]&lt;0,Main[[#This Row],[مقدار (کیلوگرم)]],0)</f>
        <v>2255</v>
      </c>
      <c r="L17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9" s="7">
        <f>-IF(AND(Main[[#This Row],[مقدار (کیلوگرم)]]&lt;0,Main[[#This Row],[تاريخ میلادی]]&gt;44276),Main[[#This Row],[مقدار (کیلوگرم)]],0)</f>
        <v>2255</v>
      </c>
      <c r="N1729" s="6">
        <f ca="1">Main[[#This Row],[بدهکار (کیلوگرم)]]-Main[[#This Row],[بدهی تسویه نشده (کیلوگرم)]]</f>
        <v>2255</v>
      </c>
      <c r="O1729" s="6">
        <f ca="1">Main[[#This Row],[تفکیک]]</f>
        <v>0</v>
      </c>
      <c r="P1729" s="6">
        <f ca="1">IF(Main[[#This Row],[تاخیر از سررسید]]&gt;0,Main[[#This Row],[بدهی تسویه نشده (کیلوگرم)]],0)</f>
        <v>0</v>
      </c>
      <c r="Q1729" s="6">
        <f ca="1">IF(Main[[#This Row],[بدهی تسویه نشده (کیلوگرم)]]&gt;0,'گزارش فردی'!$B$7-Main[[#This Row],[تاريخ میلادی]],0)</f>
        <v>0</v>
      </c>
      <c r="R1729" s="6">
        <f ca="1">IF(Main[[#This Row],[بدهی تسویه نشده (کیلوگرم)]]&gt;0,'گزارش فردی'!$B$7-Main[[#This Row],[تاريخ میلادی]]-'گزارش فردی'!$B$8,0)</f>
        <v>0</v>
      </c>
      <c r="S1729" s="6">
        <f ca="1">Main[[#This Row],[روز از ارسال سفارش]]*Main[[#This Row],[بدهی تسویه نشده (کیلوگرم)]]</f>
        <v>0</v>
      </c>
      <c r="T1729" s="6">
        <f ca="1">Main[[#This Row],[بدهی سررسید شده (کیلوگرم)]]*Main[[#This Row],[روز از ارسال سفارش]]</f>
        <v>0</v>
      </c>
      <c r="U1729" s="6">
        <f>-SUBTOTAL(9,INDEX(Main[مقدار (کیلوگرم)],1):Main[[#This Row],[مقدار (کیلوگرم)]])</f>
        <v>17837</v>
      </c>
      <c r="V17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9" s="6">
        <f>Main[[#This Row],[تعداد کل روزهای بدهکار (روز)]]*Main[[#This Row],[مانده در خط کل (کیلوگرم)]]</f>
        <v>17837</v>
      </c>
      <c r="X1729" s="6">
        <f ca="1">-SUBTOTAL(9,INDEX(Main[مقدار تسویه شده (کیلوگرم)],1):Main[[#This Row],[مقدار تسویه شده (کیلوگرم)]])</f>
        <v>17837</v>
      </c>
      <c r="Y1729" s="6">
        <f ca="1">IF(Main[[#This Row],[مانده در خط تسویه شده (کیلوگرم)]]&lt;&gt;0,Main[[#This Row],[تعداد کل روزهای بدهکار (روز)]],0)</f>
        <v>1</v>
      </c>
      <c r="Z1729" s="6">
        <f ca="1">Main[[#This Row],[تعداد روزهای بدهکار تسویه شده (روز)]]*Main[[#This Row],[مانده در خط تسویه شده (کیلوگرم)]]</f>
        <v>17837</v>
      </c>
      <c r="AA1729" s="6">
        <f ca="1">SUBTOTAL(9,INDEX(Main[بدهی تسویه نشده (کیلوگرم)],1):Main[[#This Row],[بدهی تسویه نشده (کیلوگرم)]])</f>
        <v>0</v>
      </c>
      <c r="AB1729" s="6">
        <f ca="1">IF(Main[[#This Row],[مانده در خط تسویه نشده (کیلوگرم)]]&lt;&gt;0,Main[[#This Row],[تعداد کل روزهای بدهکار (روز)]],0)</f>
        <v>0</v>
      </c>
      <c r="AC1729" s="6">
        <f ca="1">Main[[#This Row],[تعداد روزهای بدهکار  تسویه نشده (روز)]]*Main[[#This Row],[مانده در خط تسویه نشده (کیلوگرم)]]</f>
        <v>0</v>
      </c>
      <c r="AD1729" s="6">
        <f ca="1">SUBTOTAL(9,INDEX(Main[بدهی سررسید شده (کیلوگرم)],1):Main[[#This Row],[بدهی سررسید شده (کیلوگرم)]])</f>
        <v>0</v>
      </c>
      <c r="AE1729" s="6">
        <f ca="1">IF(Main[[#This Row],[مانده در خط سررسید شده (کیلوگرم)]]&lt;&gt;0,Main[[#This Row],[تعداد کل روزهای بدهکار (روز)]],0)</f>
        <v>0</v>
      </c>
      <c r="AF1729" s="6">
        <f ca="1">Main[[#This Row],[تعداد روزهای بدهکار سررسید شده (روز)]]*Main[[#This Row],[مانده در خط سررسید شده (کیلوگرم)]]</f>
        <v>0</v>
      </c>
    </row>
    <row r="1730" spans="1:32" hidden="1" x14ac:dyDescent="0.35">
      <c r="A1730" s="5">
        <f>ROW()-ROW(INDEX(Main[ردیف],1))+1</f>
        <v>1728</v>
      </c>
      <c r="B1730" s="31">
        <f>SUBTOTAL(2,INDEX(Main[ردیف],1):Main[[#This Row],[ردیف]])</f>
        <v>155</v>
      </c>
      <c r="C1730" s="32" t="s">
        <v>713</v>
      </c>
      <c r="D1730" s="32" t="str">
        <f>_xlfn.CONCAT("14",Main[[#This Row],[تاريخ]])</f>
        <v>1400/07/06</v>
      </c>
      <c r="E1730" s="33">
        <v>44467</v>
      </c>
      <c r="F1730" s="32">
        <v>30004</v>
      </c>
      <c r="G1730" s="5" t="str">
        <f>INDEX(customer[عنوان],MATCH(Main[[#This Row],[کد ردیابی]],customer[کد],0))</f>
        <v>تولیدی صنعتی صفاشیر پارس</v>
      </c>
      <c r="H1730">
        <v>-5202</v>
      </c>
      <c r="I1730" s="6">
        <f ca="1">-Main[[#This Row],[بدهی تسویه شده (کیلوگرم)]]+Main[[#This Row],[بستانکار (کیلوگرم)]]</f>
        <v>-5202</v>
      </c>
      <c r="J1730" s="6">
        <f>IF(Main[[#This Row],[مقدار (کیلوگرم)]]&gt;0,Main[[#This Row],[مقدار (کیلوگرم)]],0)</f>
        <v>0</v>
      </c>
      <c r="K1730" s="6">
        <f>-IF(Main[[#This Row],[مقدار (کیلوگرم)]]&lt;0,Main[[#This Row],[مقدار (کیلوگرم)]],0)</f>
        <v>5202</v>
      </c>
      <c r="L17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0" s="7">
        <f>-IF(AND(Main[[#This Row],[مقدار (کیلوگرم)]]&lt;0,Main[[#This Row],[تاريخ میلادی]]&gt;44276),Main[[#This Row],[مقدار (کیلوگرم)]],0)</f>
        <v>5202</v>
      </c>
      <c r="N1730" s="6">
        <f ca="1">Main[[#This Row],[بدهکار (کیلوگرم)]]-Main[[#This Row],[بدهی تسویه نشده (کیلوگرم)]]</f>
        <v>5202</v>
      </c>
      <c r="O1730" s="6">
        <f ca="1">Main[[#This Row],[تفکیک]]</f>
        <v>0</v>
      </c>
      <c r="P1730" s="6">
        <f ca="1">IF(Main[[#This Row],[تاخیر از سررسید]]&gt;0,Main[[#This Row],[بدهی تسویه نشده (کیلوگرم)]],0)</f>
        <v>0</v>
      </c>
      <c r="Q1730" s="6">
        <f ca="1">IF(Main[[#This Row],[بدهی تسویه نشده (کیلوگرم)]]&gt;0,'گزارش فردی'!$B$7-Main[[#This Row],[تاريخ میلادی]],0)</f>
        <v>0</v>
      </c>
      <c r="R1730" s="6">
        <f ca="1">IF(Main[[#This Row],[بدهی تسویه نشده (کیلوگرم)]]&gt;0,'گزارش فردی'!$B$7-Main[[#This Row],[تاريخ میلادی]]-'گزارش فردی'!$B$8,0)</f>
        <v>0</v>
      </c>
      <c r="S1730" s="6">
        <f ca="1">Main[[#This Row],[روز از ارسال سفارش]]*Main[[#This Row],[بدهی تسویه نشده (کیلوگرم)]]</f>
        <v>0</v>
      </c>
      <c r="T1730" s="6">
        <f ca="1">Main[[#This Row],[بدهی سررسید شده (کیلوگرم)]]*Main[[#This Row],[روز از ارسال سفارش]]</f>
        <v>0</v>
      </c>
      <c r="U1730" s="6">
        <f>-SUBTOTAL(9,INDEX(Main[مقدار (کیلوگرم)],1):Main[[#This Row],[مقدار (کیلوگرم)]])</f>
        <v>17837</v>
      </c>
      <c r="V17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30" s="6">
        <f>Main[[#This Row],[تعداد کل روزهای بدهکار (روز)]]*Main[[#This Row],[مانده در خط کل (کیلوگرم)]]</f>
        <v>17837</v>
      </c>
      <c r="X1730" s="6">
        <f ca="1">-SUBTOTAL(9,INDEX(Main[مقدار تسویه شده (کیلوگرم)],1):Main[[#This Row],[مقدار تسویه شده (کیلوگرم)]])</f>
        <v>17837</v>
      </c>
      <c r="Y1730" s="6">
        <f ca="1">IF(Main[[#This Row],[مانده در خط تسویه شده (کیلوگرم)]]&lt;&gt;0,Main[[#This Row],[تعداد کل روزهای بدهکار (روز)]],0)</f>
        <v>1</v>
      </c>
      <c r="Z1730" s="6">
        <f ca="1">Main[[#This Row],[تعداد روزهای بدهکار تسویه شده (روز)]]*Main[[#This Row],[مانده در خط تسویه شده (کیلوگرم)]]</f>
        <v>17837</v>
      </c>
      <c r="AA1730" s="6">
        <f ca="1">SUBTOTAL(9,INDEX(Main[بدهی تسویه نشده (کیلوگرم)],1):Main[[#This Row],[بدهی تسویه نشده (کیلوگرم)]])</f>
        <v>0</v>
      </c>
      <c r="AB1730" s="6">
        <f ca="1">IF(Main[[#This Row],[مانده در خط تسویه نشده (کیلوگرم)]]&lt;&gt;0,Main[[#This Row],[تعداد کل روزهای بدهکار (روز)]],0)</f>
        <v>0</v>
      </c>
      <c r="AC1730" s="6">
        <f ca="1">Main[[#This Row],[تعداد روزهای بدهکار  تسویه نشده (روز)]]*Main[[#This Row],[مانده در خط تسویه نشده (کیلوگرم)]]</f>
        <v>0</v>
      </c>
      <c r="AD1730" s="6">
        <f ca="1">SUBTOTAL(9,INDEX(Main[بدهی سررسید شده (کیلوگرم)],1):Main[[#This Row],[بدهی سررسید شده (کیلوگرم)]])</f>
        <v>0</v>
      </c>
      <c r="AE1730" s="6">
        <f ca="1">IF(Main[[#This Row],[مانده در خط سررسید شده (کیلوگرم)]]&lt;&gt;0,Main[[#This Row],[تعداد کل روزهای بدهکار (روز)]],0)</f>
        <v>0</v>
      </c>
      <c r="AF1730" s="6">
        <f ca="1">Main[[#This Row],[تعداد روزهای بدهکار سررسید شده (روز)]]*Main[[#This Row],[مانده در خط سررسید شده (کیلوگرم)]]</f>
        <v>0</v>
      </c>
    </row>
    <row r="1731" spans="1:32" hidden="1" x14ac:dyDescent="0.35">
      <c r="A1731" s="5">
        <f>ROW()-ROW(INDEX(Main[ردیف],1))+1</f>
        <v>1729</v>
      </c>
      <c r="B1731" s="31">
        <f>SUBTOTAL(2,INDEX(Main[ردیف],1):Main[[#This Row],[ردیف]])</f>
        <v>155</v>
      </c>
      <c r="C1731" s="32" t="s">
        <v>715</v>
      </c>
      <c r="D1731" s="32" t="str">
        <f>_xlfn.CONCAT("14",Main[[#This Row],[تاريخ]])</f>
        <v>1400/07/07</v>
      </c>
      <c r="E1731" s="33">
        <v>44468</v>
      </c>
      <c r="F1731" s="32">
        <v>30055</v>
      </c>
      <c r="G1731" s="5" t="str">
        <f>INDEX(customer[عنوان],MATCH(Main[[#This Row],[کد ردیابی]],customer[کد],0))</f>
        <v xml:space="preserve">تکنو کار </v>
      </c>
      <c r="H1731">
        <v>1502</v>
      </c>
      <c r="I1731" s="6">
        <f ca="1">-Main[[#This Row],[بدهی تسویه شده (کیلوگرم)]]+Main[[#This Row],[بستانکار (کیلوگرم)]]</f>
        <v>1502</v>
      </c>
      <c r="J1731" s="6">
        <f>IF(Main[[#This Row],[مقدار (کیلوگرم)]]&gt;0,Main[[#This Row],[مقدار (کیلوگرم)]],0)</f>
        <v>1502</v>
      </c>
      <c r="K1731" s="6">
        <f>-IF(Main[[#This Row],[مقدار (کیلوگرم)]]&lt;0,Main[[#This Row],[مقدار (کیلوگرم)]],0)</f>
        <v>0</v>
      </c>
      <c r="L17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1" s="7">
        <f>-IF(AND(Main[[#This Row],[مقدار (کیلوگرم)]]&lt;0,Main[[#This Row],[تاريخ میلادی]]&gt;44276),Main[[#This Row],[مقدار (کیلوگرم)]],0)</f>
        <v>0</v>
      </c>
      <c r="N1731" s="6">
        <f ca="1">Main[[#This Row],[بدهکار (کیلوگرم)]]-Main[[#This Row],[بدهی تسویه نشده (کیلوگرم)]]</f>
        <v>0</v>
      </c>
      <c r="O1731" s="6">
        <f ca="1">Main[[#This Row],[تفکیک]]</f>
        <v>0</v>
      </c>
      <c r="P1731" s="6">
        <f ca="1">IF(Main[[#This Row],[تاخیر از سررسید]]&gt;0,Main[[#This Row],[بدهی تسویه نشده (کیلوگرم)]],0)</f>
        <v>0</v>
      </c>
      <c r="Q1731" s="6">
        <f ca="1">IF(Main[[#This Row],[بدهی تسویه نشده (کیلوگرم)]]&gt;0,'گزارش فردی'!$B$7-Main[[#This Row],[تاريخ میلادی]],0)</f>
        <v>0</v>
      </c>
      <c r="R1731" s="6">
        <f ca="1">IF(Main[[#This Row],[بدهی تسویه نشده (کیلوگرم)]]&gt;0,'گزارش فردی'!$B$7-Main[[#This Row],[تاريخ میلادی]]-'گزارش فردی'!$B$8,0)</f>
        <v>0</v>
      </c>
      <c r="S1731" s="6">
        <f ca="1">Main[[#This Row],[روز از ارسال سفارش]]*Main[[#This Row],[بدهی تسویه نشده (کیلوگرم)]]</f>
        <v>0</v>
      </c>
      <c r="T1731" s="6">
        <f ca="1">Main[[#This Row],[بدهی سررسید شده (کیلوگرم)]]*Main[[#This Row],[روز از ارسال سفارش]]</f>
        <v>0</v>
      </c>
      <c r="U1731" s="6">
        <f>-SUBTOTAL(9,INDEX(Main[مقدار (کیلوگرم)],1):Main[[#This Row],[مقدار (کیلوگرم)]])</f>
        <v>17837</v>
      </c>
      <c r="V17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1" s="6">
        <f>Main[[#This Row],[تعداد کل روزهای بدهکار (روز)]]*Main[[#This Row],[مانده در خط کل (کیلوگرم)]]</f>
        <v>0</v>
      </c>
      <c r="X1731" s="6">
        <f ca="1">-SUBTOTAL(9,INDEX(Main[مقدار تسویه شده (کیلوگرم)],1):Main[[#This Row],[مقدار تسویه شده (کیلوگرم)]])</f>
        <v>17837</v>
      </c>
      <c r="Y1731" s="6">
        <f ca="1">IF(Main[[#This Row],[مانده در خط تسویه شده (کیلوگرم)]]&lt;&gt;0,Main[[#This Row],[تعداد کل روزهای بدهکار (روز)]],0)</f>
        <v>0</v>
      </c>
      <c r="Z1731" s="6">
        <f ca="1">Main[[#This Row],[تعداد روزهای بدهکار تسویه شده (روز)]]*Main[[#This Row],[مانده در خط تسویه شده (کیلوگرم)]]</f>
        <v>0</v>
      </c>
      <c r="AA1731" s="6">
        <f ca="1">SUBTOTAL(9,INDEX(Main[بدهی تسویه نشده (کیلوگرم)],1):Main[[#This Row],[بدهی تسویه نشده (کیلوگرم)]])</f>
        <v>0</v>
      </c>
      <c r="AB1731" s="6">
        <f ca="1">IF(Main[[#This Row],[مانده در خط تسویه نشده (کیلوگرم)]]&lt;&gt;0,Main[[#This Row],[تعداد کل روزهای بدهکار (روز)]],0)</f>
        <v>0</v>
      </c>
      <c r="AC1731" s="6">
        <f ca="1">Main[[#This Row],[تعداد روزهای بدهکار  تسویه نشده (روز)]]*Main[[#This Row],[مانده در خط تسویه نشده (کیلوگرم)]]</f>
        <v>0</v>
      </c>
      <c r="AD1731" s="6">
        <f ca="1">SUBTOTAL(9,INDEX(Main[بدهی سررسید شده (کیلوگرم)],1):Main[[#This Row],[بدهی سررسید شده (کیلوگرم)]])</f>
        <v>0</v>
      </c>
      <c r="AE1731" s="6">
        <f ca="1">IF(Main[[#This Row],[مانده در خط سررسید شده (کیلوگرم)]]&lt;&gt;0,Main[[#This Row],[تعداد کل روزهای بدهکار (روز)]],0)</f>
        <v>0</v>
      </c>
      <c r="AF1731" s="6">
        <f ca="1">Main[[#This Row],[تعداد روزهای بدهکار سررسید شده (روز)]]*Main[[#This Row],[مانده در خط سررسید شده (کیلوگرم)]]</f>
        <v>0</v>
      </c>
    </row>
    <row r="1732" spans="1:32" hidden="1" x14ac:dyDescent="0.35">
      <c r="A1732" s="5">
        <f>ROW()-ROW(INDEX(Main[ردیف],1))+1</f>
        <v>1730</v>
      </c>
      <c r="B1732" s="31">
        <f>SUBTOTAL(2,INDEX(Main[ردیف],1):Main[[#This Row],[ردیف]])</f>
        <v>155</v>
      </c>
      <c r="C1732" s="32" t="s">
        <v>715</v>
      </c>
      <c r="D1732" s="32" t="str">
        <f>_xlfn.CONCAT("14",Main[[#This Row],[تاريخ]])</f>
        <v>1400/07/07</v>
      </c>
      <c r="E1732" s="33">
        <v>44468</v>
      </c>
      <c r="F1732" s="32">
        <v>30009</v>
      </c>
      <c r="G1732" s="5" t="str">
        <f>INDEX(customer[عنوان],MATCH(Main[[#This Row],[کد ردیابی]],customer[کد],0))</f>
        <v>شرکت ایمن تک پیشرو</v>
      </c>
      <c r="H1732">
        <v>-1504</v>
      </c>
      <c r="I1732" s="6">
        <f ca="1">-Main[[#This Row],[بدهی تسویه شده (کیلوگرم)]]+Main[[#This Row],[بستانکار (کیلوگرم)]]</f>
        <v>-1504</v>
      </c>
      <c r="J1732" s="6">
        <f>IF(Main[[#This Row],[مقدار (کیلوگرم)]]&gt;0,Main[[#This Row],[مقدار (کیلوگرم)]],0)</f>
        <v>0</v>
      </c>
      <c r="K1732" s="6">
        <f>-IF(Main[[#This Row],[مقدار (کیلوگرم)]]&lt;0,Main[[#This Row],[مقدار (کیلوگرم)]],0)</f>
        <v>1504</v>
      </c>
      <c r="L17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2" s="7">
        <f>-IF(AND(Main[[#This Row],[مقدار (کیلوگرم)]]&lt;0,Main[[#This Row],[تاريخ میلادی]]&gt;44276),Main[[#This Row],[مقدار (کیلوگرم)]],0)</f>
        <v>1504</v>
      </c>
      <c r="N1732" s="6">
        <f ca="1">Main[[#This Row],[بدهکار (کیلوگرم)]]-Main[[#This Row],[بدهی تسویه نشده (کیلوگرم)]]</f>
        <v>1504</v>
      </c>
      <c r="O1732" s="6">
        <f ca="1">Main[[#This Row],[تفکیک]]</f>
        <v>0</v>
      </c>
      <c r="P1732" s="6">
        <f ca="1">IF(Main[[#This Row],[تاخیر از سررسید]]&gt;0,Main[[#This Row],[بدهی تسویه نشده (کیلوگرم)]],0)</f>
        <v>0</v>
      </c>
      <c r="Q1732" s="6">
        <f ca="1">IF(Main[[#This Row],[بدهی تسویه نشده (کیلوگرم)]]&gt;0,'گزارش فردی'!$B$7-Main[[#This Row],[تاريخ میلادی]],0)</f>
        <v>0</v>
      </c>
      <c r="R1732" s="6">
        <f ca="1">IF(Main[[#This Row],[بدهی تسویه نشده (کیلوگرم)]]&gt;0,'گزارش فردی'!$B$7-Main[[#This Row],[تاريخ میلادی]]-'گزارش فردی'!$B$8,0)</f>
        <v>0</v>
      </c>
      <c r="S1732" s="6">
        <f ca="1">Main[[#This Row],[روز از ارسال سفارش]]*Main[[#This Row],[بدهی تسویه نشده (کیلوگرم)]]</f>
        <v>0</v>
      </c>
      <c r="T1732" s="6">
        <f ca="1">Main[[#This Row],[بدهی سررسید شده (کیلوگرم)]]*Main[[#This Row],[روز از ارسال سفارش]]</f>
        <v>0</v>
      </c>
      <c r="U1732" s="6">
        <f>-SUBTOTAL(9,INDEX(Main[مقدار (کیلوگرم)],1):Main[[#This Row],[مقدار (کیلوگرم)]])</f>
        <v>17837</v>
      </c>
      <c r="V17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2" s="6">
        <f>Main[[#This Row],[تعداد کل روزهای بدهکار (روز)]]*Main[[#This Row],[مانده در خط کل (کیلوگرم)]]</f>
        <v>0</v>
      </c>
      <c r="X1732" s="6">
        <f ca="1">-SUBTOTAL(9,INDEX(Main[مقدار تسویه شده (کیلوگرم)],1):Main[[#This Row],[مقدار تسویه شده (کیلوگرم)]])</f>
        <v>17837</v>
      </c>
      <c r="Y1732" s="6">
        <f ca="1">IF(Main[[#This Row],[مانده در خط تسویه شده (کیلوگرم)]]&lt;&gt;0,Main[[#This Row],[تعداد کل روزهای بدهکار (روز)]],0)</f>
        <v>0</v>
      </c>
      <c r="Z1732" s="6">
        <f ca="1">Main[[#This Row],[تعداد روزهای بدهکار تسویه شده (روز)]]*Main[[#This Row],[مانده در خط تسویه شده (کیلوگرم)]]</f>
        <v>0</v>
      </c>
      <c r="AA1732" s="6">
        <f ca="1">SUBTOTAL(9,INDEX(Main[بدهی تسویه نشده (کیلوگرم)],1):Main[[#This Row],[بدهی تسویه نشده (کیلوگرم)]])</f>
        <v>0</v>
      </c>
      <c r="AB1732" s="6">
        <f ca="1">IF(Main[[#This Row],[مانده در خط تسویه نشده (کیلوگرم)]]&lt;&gt;0,Main[[#This Row],[تعداد کل روزهای بدهکار (روز)]],0)</f>
        <v>0</v>
      </c>
      <c r="AC1732" s="6">
        <f ca="1">Main[[#This Row],[تعداد روزهای بدهکار  تسویه نشده (روز)]]*Main[[#This Row],[مانده در خط تسویه نشده (کیلوگرم)]]</f>
        <v>0</v>
      </c>
      <c r="AD1732" s="6">
        <f ca="1">SUBTOTAL(9,INDEX(Main[بدهی سررسید شده (کیلوگرم)],1):Main[[#This Row],[بدهی سررسید شده (کیلوگرم)]])</f>
        <v>0</v>
      </c>
      <c r="AE1732" s="6">
        <f ca="1">IF(Main[[#This Row],[مانده در خط سررسید شده (کیلوگرم)]]&lt;&gt;0,Main[[#This Row],[تعداد کل روزهای بدهکار (روز)]],0)</f>
        <v>0</v>
      </c>
      <c r="AF1732" s="6">
        <f ca="1">Main[[#This Row],[تعداد روزهای بدهکار سررسید شده (روز)]]*Main[[#This Row],[مانده در خط سررسید شده (کیلوگرم)]]</f>
        <v>0</v>
      </c>
    </row>
    <row r="1733" spans="1:32" hidden="1" x14ac:dyDescent="0.35">
      <c r="A1733" s="5">
        <f>ROW()-ROW(INDEX(Main[ردیف],1))+1</f>
        <v>1731</v>
      </c>
      <c r="B1733" s="31">
        <f>SUBTOTAL(2,INDEX(Main[ردیف],1):Main[[#This Row],[ردیف]])</f>
        <v>155</v>
      </c>
      <c r="C1733" s="32" t="s">
        <v>715</v>
      </c>
      <c r="D1733" s="32" t="str">
        <f>_xlfn.CONCAT("14",Main[[#This Row],[تاريخ]])</f>
        <v>1400/07/07</v>
      </c>
      <c r="E1733" s="33">
        <v>44468</v>
      </c>
      <c r="F1733" s="32">
        <v>30009</v>
      </c>
      <c r="G1733" s="5" t="str">
        <f>INDEX(customer[عنوان],MATCH(Main[[#This Row],[کد ردیابی]],customer[کد],0))</f>
        <v>شرکت ایمن تک پیشرو</v>
      </c>
      <c r="H1733">
        <v>1982</v>
      </c>
      <c r="I1733" s="6">
        <f ca="1">-Main[[#This Row],[بدهی تسویه شده (کیلوگرم)]]+Main[[#This Row],[بستانکار (کیلوگرم)]]</f>
        <v>1982</v>
      </c>
      <c r="J1733" s="6">
        <f>IF(Main[[#This Row],[مقدار (کیلوگرم)]]&gt;0,Main[[#This Row],[مقدار (کیلوگرم)]],0)</f>
        <v>1982</v>
      </c>
      <c r="K1733" s="6">
        <f>-IF(Main[[#This Row],[مقدار (کیلوگرم)]]&lt;0,Main[[#This Row],[مقدار (کیلوگرم)]],0)</f>
        <v>0</v>
      </c>
      <c r="L17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3" s="7">
        <f>-IF(AND(Main[[#This Row],[مقدار (کیلوگرم)]]&lt;0,Main[[#This Row],[تاريخ میلادی]]&gt;44276),Main[[#This Row],[مقدار (کیلوگرم)]],0)</f>
        <v>0</v>
      </c>
      <c r="N1733" s="6">
        <f ca="1">Main[[#This Row],[بدهکار (کیلوگرم)]]-Main[[#This Row],[بدهی تسویه نشده (کیلوگرم)]]</f>
        <v>0</v>
      </c>
      <c r="O1733" s="6">
        <f ca="1">Main[[#This Row],[تفکیک]]</f>
        <v>0</v>
      </c>
      <c r="P1733" s="6">
        <f ca="1">IF(Main[[#This Row],[تاخیر از سررسید]]&gt;0,Main[[#This Row],[بدهی تسویه نشده (کیلوگرم)]],0)</f>
        <v>0</v>
      </c>
      <c r="Q1733" s="6">
        <f ca="1">IF(Main[[#This Row],[بدهی تسویه نشده (کیلوگرم)]]&gt;0,'گزارش فردی'!$B$7-Main[[#This Row],[تاريخ میلادی]],0)</f>
        <v>0</v>
      </c>
      <c r="R1733" s="6">
        <f ca="1">IF(Main[[#This Row],[بدهی تسویه نشده (کیلوگرم)]]&gt;0,'گزارش فردی'!$B$7-Main[[#This Row],[تاريخ میلادی]]-'گزارش فردی'!$B$8,0)</f>
        <v>0</v>
      </c>
      <c r="S1733" s="6">
        <f ca="1">Main[[#This Row],[روز از ارسال سفارش]]*Main[[#This Row],[بدهی تسویه نشده (کیلوگرم)]]</f>
        <v>0</v>
      </c>
      <c r="T1733" s="6">
        <f ca="1">Main[[#This Row],[بدهی سررسید شده (کیلوگرم)]]*Main[[#This Row],[روز از ارسال سفارش]]</f>
        <v>0</v>
      </c>
      <c r="U1733" s="6">
        <f>-SUBTOTAL(9,INDEX(Main[مقدار (کیلوگرم)],1):Main[[#This Row],[مقدار (کیلوگرم)]])</f>
        <v>17837</v>
      </c>
      <c r="V17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3" s="6">
        <f>Main[[#This Row],[تعداد کل روزهای بدهکار (روز)]]*Main[[#This Row],[مانده در خط کل (کیلوگرم)]]</f>
        <v>0</v>
      </c>
      <c r="X1733" s="6">
        <f ca="1">-SUBTOTAL(9,INDEX(Main[مقدار تسویه شده (کیلوگرم)],1):Main[[#This Row],[مقدار تسویه شده (کیلوگرم)]])</f>
        <v>17837</v>
      </c>
      <c r="Y1733" s="6">
        <f ca="1">IF(Main[[#This Row],[مانده در خط تسویه شده (کیلوگرم)]]&lt;&gt;0,Main[[#This Row],[تعداد کل روزهای بدهکار (روز)]],0)</f>
        <v>0</v>
      </c>
      <c r="Z1733" s="6">
        <f ca="1">Main[[#This Row],[تعداد روزهای بدهکار تسویه شده (روز)]]*Main[[#This Row],[مانده در خط تسویه شده (کیلوگرم)]]</f>
        <v>0</v>
      </c>
      <c r="AA1733" s="6">
        <f ca="1">SUBTOTAL(9,INDEX(Main[بدهی تسویه نشده (کیلوگرم)],1):Main[[#This Row],[بدهی تسویه نشده (کیلوگرم)]])</f>
        <v>0</v>
      </c>
      <c r="AB1733" s="6">
        <f ca="1">IF(Main[[#This Row],[مانده در خط تسویه نشده (کیلوگرم)]]&lt;&gt;0,Main[[#This Row],[تعداد کل روزهای بدهکار (روز)]],0)</f>
        <v>0</v>
      </c>
      <c r="AC1733" s="6">
        <f ca="1">Main[[#This Row],[تعداد روزهای بدهکار  تسویه نشده (روز)]]*Main[[#This Row],[مانده در خط تسویه نشده (کیلوگرم)]]</f>
        <v>0</v>
      </c>
      <c r="AD1733" s="6">
        <f ca="1">SUBTOTAL(9,INDEX(Main[بدهی سررسید شده (کیلوگرم)],1):Main[[#This Row],[بدهی سررسید شده (کیلوگرم)]])</f>
        <v>0</v>
      </c>
      <c r="AE1733" s="6">
        <f ca="1">IF(Main[[#This Row],[مانده در خط سررسید شده (کیلوگرم)]]&lt;&gt;0,Main[[#This Row],[تعداد کل روزهای بدهکار (روز)]],0)</f>
        <v>0</v>
      </c>
      <c r="AF1733" s="6">
        <f ca="1">Main[[#This Row],[تعداد روزهای بدهکار سررسید شده (روز)]]*Main[[#This Row],[مانده در خط سررسید شده (کیلوگرم)]]</f>
        <v>0</v>
      </c>
    </row>
    <row r="1734" spans="1:32" hidden="1" x14ac:dyDescent="0.35">
      <c r="A1734" s="5">
        <f>ROW()-ROW(INDEX(Main[ردیف],1))+1</f>
        <v>1732</v>
      </c>
      <c r="B1734" s="31">
        <f>SUBTOTAL(2,INDEX(Main[ردیف],1):Main[[#This Row],[ردیف]])</f>
        <v>155</v>
      </c>
      <c r="C1734" s="32" t="s">
        <v>715</v>
      </c>
      <c r="D1734" s="32" t="str">
        <f>_xlfn.CONCAT("14",Main[[#This Row],[تاريخ]])</f>
        <v>1400/07/07</v>
      </c>
      <c r="E1734" s="33">
        <v>44468</v>
      </c>
      <c r="F1734" s="32">
        <v>30191</v>
      </c>
      <c r="G1734" s="5" t="str">
        <f>INDEX(customer[عنوان],MATCH(Main[[#This Row],[کد ردیابی]],customer[کد],0))</f>
        <v>ایران گرما</v>
      </c>
      <c r="H1734">
        <v>-2046</v>
      </c>
      <c r="I1734" s="6">
        <f ca="1">-Main[[#This Row],[بدهی تسویه شده (کیلوگرم)]]+Main[[#This Row],[بستانکار (کیلوگرم)]]</f>
        <v>-2046</v>
      </c>
      <c r="J1734" s="6">
        <f>IF(Main[[#This Row],[مقدار (کیلوگرم)]]&gt;0,Main[[#This Row],[مقدار (کیلوگرم)]],0)</f>
        <v>0</v>
      </c>
      <c r="K1734" s="6">
        <f>-IF(Main[[#This Row],[مقدار (کیلوگرم)]]&lt;0,Main[[#This Row],[مقدار (کیلوگرم)]],0)</f>
        <v>2046</v>
      </c>
      <c r="L17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4" s="7">
        <f>-IF(AND(Main[[#This Row],[مقدار (کیلوگرم)]]&lt;0,Main[[#This Row],[تاريخ میلادی]]&gt;44276),Main[[#This Row],[مقدار (کیلوگرم)]],0)</f>
        <v>2046</v>
      </c>
      <c r="N1734" s="6">
        <f ca="1">Main[[#This Row],[بدهکار (کیلوگرم)]]-Main[[#This Row],[بدهی تسویه نشده (کیلوگرم)]]</f>
        <v>2046</v>
      </c>
      <c r="O1734" s="6">
        <f ca="1">Main[[#This Row],[تفکیک]]</f>
        <v>0</v>
      </c>
      <c r="P1734" s="6">
        <f ca="1">IF(Main[[#This Row],[تاخیر از سررسید]]&gt;0,Main[[#This Row],[بدهی تسویه نشده (کیلوگرم)]],0)</f>
        <v>0</v>
      </c>
      <c r="Q1734" s="6">
        <f ca="1">IF(Main[[#This Row],[بدهی تسویه نشده (کیلوگرم)]]&gt;0,'گزارش فردی'!$B$7-Main[[#This Row],[تاريخ میلادی]],0)</f>
        <v>0</v>
      </c>
      <c r="R1734" s="6">
        <f ca="1">IF(Main[[#This Row],[بدهی تسویه نشده (کیلوگرم)]]&gt;0,'گزارش فردی'!$B$7-Main[[#This Row],[تاريخ میلادی]]-'گزارش فردی'!$B$8,0)</f>
        <v>0</v>
      </c>
      <c r="S1734" s="6">
        <f ca="1">Main[[#This Row],[روز از ارسال سفارش]]*Main[[#This Row],[بدهی تسویه نشده (کیلوگرم)]]</f>
        <v>0</v>
      </c>
      <c r="T1734" s="6">
        <f ca="1">Main[[#This Row],[بدهی سررسید شده (کیلوگرم)]]*Main[[#This Row],[روز از ارسال سفارش]]</f>
        <v>0</v>
      </c>
      <c r="U1734" s="6">
        <f>-SUBTOTAL(9,INDEX(Main[مقدار (کیلوگرم)],1):Main[[#This Row],[مقدار (کیلوگرم)]])</f>
        <v>17837</v>
      </c>
      <c r="V17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4" s="6">
        <f>Main[[#This Row],[تعداد کل روزهای بدهکار (روز)]]*Main[[#This Row],[مانده در خط کل (کیلوگرم)]]</f>
        <v>0</v>
      </c>
      <c r="X1734" s="6">
        <f ca="1">-SUBTOTAL(9,INDEX(Main[مقدار تسویه شده (کیلوگرم)],1):Main[[#This Row],[مقدار تسویه شده (کیلوگرم)]])</f>
        <v>17837</v>
      </c>
      <c r="Y1734" s="6">
        <f ca="1">IF(Main[[#This Row],[مانده در خط تسویه شده (کیلوگرم)]]&lt;&gt;0,Main[[#This Row],[تعداد کل روزهای بدهکار (روز)]],0)</f>
        <v>0</v>
      </c>
      <c r="Z1734" s="6">
        <f ca="1">Main[[#This Row],[تعداد روزهای بدهکار تسویه شده (روز)]]*Main[[#This Row],[مانده در خط تسویه شده (کیلوگرم)]]</f>
        <v>0</v>
      </c>
      <c r="AA1734" s="6">
        <f ca="1">SUBTOTAL(9,INDEX(Main[بدهی تسویه نشده (کیلوگرم)],1):Main[[#This Row],[بدهی تسویه نشده (کیلوگرم)]])</f>
        <v>0</v>
      </c>
      <c r="AB1734" s="6">
        <f ca="1">IF(Main[[#This Row],[مانده در خط تسویه نشده (کیلوگرم)]]&lt;&gt;0,Main[[#This Row],[تعداد کل روزهای بدهکار (روز)]],0)</f>
        <v>0</v>
      </c>
      <c r="AC1734" s="6">
        <f ca="1">Main[[#This Row],[تعداد روزهای بدهکار  تسویه نشده (روز)]]*Main[[#This Row],[مانده در خط تسویه نشده (کیلوگرم)]]</f>
        <v>0</v>
      </c>
      <c r="AD1734" s="6">
        <f ca="1">SUBTOTAL(9,INDEX(Main[بدهی سررسید شده (کیلوگرم)],1):Main[[#This Row],[بدهی سررسید شده (کیلوگرم)]])</f>
        <v>0</v>
      </c>
      <c r="AE1734" s="6">
        <f ca="1">IF(Main[[#This Row],[مانده در خط سررسید شده (کیلوگرم)]]&lt;&gt;0,Main[[#This Row],[تعداد کل روزهای بدهکار (روز)]],0)</f>
        <v>0</v>
      </c>
      <c r="AF1734" s="6">
        <f ca="1">Main[[#This Row],[تعداد روزهای بدهکار سررسید شده (روز)]]*Main[[#This Row],[مانده در خط سررسید شده (کیلوگرم)]]</f>
        <v>0</v>
      </c>
    </row>
    <row r="1735" spans="1:32" hidden="1" x14ac:dyDescent="0.35">
      <c r="A1735" s="5">
        <f>ROW()-ROW(INDEX(Main[ردیف],1))+1</f>
        <v>1733</v>
      </c>
      <c r="B1735" s="31">
        <f>SUBTOTAL(2,INDEX(Main[ردیف],1):Main[[#This Row],[ردیف]])</f>
        <v>155</v>
      </c>
      <c r="C1735" s="32" t="s">
        <v>715</v>
      </c>
      <c r="D1735" s="32" t="str">
        <f>_xlfn.CONCAT("14",Main[[#This Row],[تاريخ]])</f>
        <v>1400/07/07</v>
      </c>
      <c r="E1735" s="33">
        <v>44468</v>
      </c>
      <c r="F1735" s="32">
        <v>30022</v>
      </c>
      <c r="G1735" s="5" t="str">
        <f>INDEX(customer[عنوان],MATCH(Main[[#This Row],[کد ردیابی]],customer[کد],0))</f>
        <v xml:space="preserve">کلار پویا </v>
      </c>
      <c r="H1735">
        <v>4823</v>
      </c>
      <c r="I1735" s="6">
        <f ca="1">-Main[[#This Row],[بدهی تسویه شده (کیلوگرم)]]+Main[[#This Row],[بستانکار (کیلوگرم)]]</f>
        <v>4823</v>
      </c>
      <c r="J1735" s="6">
        <f>IF(Main[[#This Row],[مقدار (کیلوگرم)]]&gt;0,Main[[#This Row],[مقدار (کیلوگرم)]],0)</f>
        <v>4823</v>
      </c>
      <c r="K1735" s="6">
        <f>-IF(Main[[#This Row],[مقدار (کیلوگرم)]]&lt;0,Main[[#This Row],[مقدار (کیلوگرم)]],0)</f>
        <v>0</v>
      </c>
      <c r="L17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5" s="7">
        <f>-IF(AND(Main[[#This Row],[مقدار (کیلوگرم)]]&lt;0,Main[[#This Row],[تاريخ میلادی]]&gt;44276),Main[[#This Row],[مقدار (کیلوگرم)]],0)</f>
        <v>0</v>
      </c>
      <c r="N1735" s="6">
        <f ca="1">Main[[#This Row],[بدهکار (کیلوگرم)]]-Main[[#This Row],[بدهی تسویه نشده (کیلوگرم)]]</f>
        <v>0</v>
      </c>
      <c r="O1735" s="6">
        <f ca="1">Main[[#This Row],[تفکیک]]</f>
        <v>0</v>
      </c>
      <c r="P1735" s="6">
        <f ca="1">IF(Main[[#This Row],[تاخیر از سررسید]]&gt;0,Main[[#This Row],[بدهی تسویه نشده (کیلوگرم)]],0)</f>
        <v>0</v>
      </c>
      <c r="Q1735" s="6">
        <f ca="1">IF(Main[[#This Row],[بدهی تسویه نشده (کیلوگرم)]]&gt;0,'گزارش فردی'!$B$7-Main[[#This Row],[تاريخ میلادی]],0)</f>
        <v>0</v>
      </c>
      <c r="R1735" s="6">
        <f ca="1">IF(Main[[#This Row],[بدهی تسویه نشده (کیلوگرم)]]&gt;0,'گزارش فردی'!$B$7-Main[[#This Row],[تاريخ میلادی]]-'گزارش فردی'!$B$8,0)</f>
        <v>0</v>
      </c>
      <c r="S1735" s="6">
        <f ca="1">Main[[#This Row],[روز از ارسال سفارش]]*Main[[#This Row],[بدهی تسویه نشده (کیلوگرم)]]</f>
        <v>0</v>
      </c>
      <c r="T1735" s="6">
        <f ca="1">Main[[#This Row],[بدهی سررسید شده (کیلوگرم)]]*Main[[#This Row],[روز از ارسال سفارش]]</f>
        <v>0</v>
      </c>
      <c r="U1735" s="6">
        <f>-SUBTOTAL(9,INDEX(Main[مقدار (کیلوگرم)],1):Main[[#This Row],[مقدار (کیلوگرم)]])</f>
        <v>17837</v>
      </c>
      <c r="V17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5" s="6">
        <f>Main[[#This Row],[تعداد کل روزهای بدهکار (روز)]]*Main[[#This Row],[مانده در خط کل (کیلوگرم)]]</f>
        <v>0</v>
      </c>
      <c r="X1735" s="6">
        <f ca="1">-SUBTOTAL(9,INDEX(Main[مقدار تسویه شده (کیلوگرم)],1):Main[[#This Row],[مقدار تسویه شده (کیلوگرم)]])</f>
        <v>17837</v>
      </c>
      <c r="Y1735" s="6">
        <f ca="1">IF(Main[[#This Row],[مانده در خط تسویه شده (کیلوگرم)]]&lt;&gt;0,Main[[#This Row],[تعداد کل روزهای بدهکار (روز)]],0)</f>
        <v>0</v>
      </c>
      <c r="Z1735" s="6">
        <f ca="1">Main[[#This Row],[تعداد روزهای بدهکار تسویه شده (روز)]]*Main[[#This Row],[مانده در خط تسویه شده (کیلوگرم)]]</f>
        <v>0</v>
      </c>
      <c r="AA1735" s="6">
        <f ca="1">SUBTOTAL(9,INDEX(Main[بدهی تسویه نشده (کیلوگرم)],1):Main[[#This Row],[بدهی تسویه نشده (کیلوگرم)]])</f>
        <v>0</v>
      </c>
      <c r="AB1735" s="6">
        <f ca="1">IF(Main[[#This Row],[مانده در خط تسویه نشده (کیلوگرم)]]&lt;&gt;0,Main[[#This Row],[تعداد کل روزهای بدهکار (روز)]],0)</f>
        <v>0</v>
      </c>
      <c r="AC1735" s="6">
        <f ca="1">Main[[#This Row],[تعداد روزهای بدهکار  تسویه نشده (روز)]]*Main[[#This Row],[مانده در خط تسویه نشده (کیلوگرم)]]</f>
        <v>0</v>
      </c>
      <c r="AD1735" s="6">
        <f ca="1">SUBTOTAL(9,INDEX(Main[بدهی سررسید شده (کیلوگرم)],1):Main[[#This Row],[بدهی سررسید شده (کیلوگرم)]])</f>
        <v>0</v>
      </c>
      <c r="AE1735" s="6">
        <f ca="1">IF(Main[[#This Row],[مانده در خط سررسید شده (کیلوگرم)]]&lt;&gt;0,Main[[#This Row],[تعداد کل روزهای بدهکار (روز)]],0)</f>
        <v>0</v>
      </c>
      <c r="AF1735" s="6">
        <f ca="1">Main[[#This Row],[تعداد روزهای بدهکار سررسید شده (روز)]]*Main[[#This Row],[مانده در خط سررسید شده (کیلوگرم)]]</f>
        <v>0</v>
      </c>
    </row>
    <row r="1736" spans="1:32" hidden="1" x14ac:dyDescent="0.35">
      <c r="A1736" s="5">
        <f>ROW()-ROW(INDEX(Main[ردیف],1))+1</f>
        <v>1734</v>
      </c>
      <c r="B1736" s="31">
        <f>SUBTOTAL(2,INDEX(Main[ردیف],1):Main[[#This Row],[ردیف]])</f>
        <v>155</v>
      </c>
      <c r="C1736" s="32" t="s">
        <v>715</v>
      </c>
      <c r="D1736" s="32" t="str">
        <f>_xlfn.CONCAT("14",Main[[#This Row],[تاريخ]])</f>
        <v>1400/07/07</v>
      </c>
      <c r="E1736" s="33">
        <v>44468</v>
      </c>
      <c r="F1736" s="32">
        <v>30004</v>
      </c>
      <c r="G1736" s="5" t="str">
        <f>INDEX(customer[عنوان],MATCH(Main[[#This Row],[کد ردیابی]],customer[کد],0))</f>
        <v>تولیدی صنعتی صفاشیر پارس</v>
      </c>
      <c r="H1736">
        <v>-4685</v>
      </c>
      <c r="I1736" s="6">
        <f ca="1">-Main[[#This Row],[بدهی تسویه شده (کیلوگرم)]]+Main[[#This Row],[بستانکار (کیلوگرم)]]</f>
        <v>-4685</v>
      </c>
      <c r="J1736" s="6">
        <f>IF(Main[[#This Row],[مقدار (کیلوگرم)]]&gt;0,Main[[#This Row],[مقدار (کیلوگرم)]],0)</f>
        <v>0</v>
      </c>
      <c r="K1736" s="6">
        <f>-IF(Main[[#This Row],[مقدار (کیلوگرم)]]&lt;0,Main[[#This Row],[مقدار (کیلوگرم)]],0)</f>
        <v>4685</v>
      </c>
      <c r="L17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6" s="7">
        <f>-IF(AND(Main[[#This Row],[مقدار (کیلوگرم)]]&lt;0,Main[[#This Row],[تاريخ میلادی]]&gt;44276),Main[[#This Row],[مقدار (کیلوگرم)]],0)</f>
        <v>4685</v>
      </c>
      <c r="N1736" s="6">
        <f ca="1">Main[[#This Row],[بدهکار (کیلوگرم)]]-Main[[#This Row],[بدهی تسویه نشده (کیلوگرم)]]</f>
        <v>4685</v>
      </c>
      <c r="O1736" s="6">
        <f ca="1">Main[[#This Row],[تفکیک]]</f>
        <v>0</v>
      </c>
      <c r="P1736" s="6">
        <f ca="1">IF(Main[[#This Row],[تاخیر از سررسید]]&gt;0,Main[[#This Row],[بدهی تسویه نشده (کیلوگرم)]],0)</f>
        <v>0</v>
      </c>
      <c r="Q1736" s="6">
        <f ca="1">IF(Main[[#This Row],[بدهی تسویه نشده (کیلوگرم)]]&gt;0,'گزارش فردی'!$B$7-Main[[#This Row],[تاريخ میلادی]],0)</f>
        <v>0</v>
      </c>
      <c r="R1736" s="6">
        <f ca="1">IF(Main[[#This Row],[بدهی تسویه نشده (کیلوگرم)]]&gt;0,'گزارش فردی'!$B$7-Main[[#This Row],[تاريخ میلادی]]-'گزارش فردی'!$B$8,0)</f>
        <v>0</v>
      </c>
      <c r="S1736" s="6">
        <f ca="1">Main[[#This Row],[روز از ارسال سفارش]]*Main[[#This Row],[بدهی تسویه نشده (کیلوگرم)]]</f>
        <v>0</v>
      </c>
      <c r="T1736" s="6">
        <f ca="1">Main[[#This Row],[بدهی سررسید شده (کیلوگرم)]]*Main[[#This Row],[روز از ارسال سفارش]]</f>
        <v>0</v>
      </c>
      <c r="U1736" s="6">
        <f>-SUBTOTAL(9,INDEX(Main[مقدار (کیلوگرم)],1):Main[[#This Row],[مقدار (کیلوگرم)]])</f>
        <v>17837</v>
      </c>
      <c r="V17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6" s="6">
        <f>Main[[#This Row],[تعداد کل روزهای بدهکار (روز)]]*Main[[#This Row],[مانده در خط کل (کیلوگرم)]]</f>
        <v>0</v>
      </c>
      <c r="X1736" s="6">
        <f ca="1">-SUBTOTAL(9,INDEX(Main[مقدار تسویه شده (کیلوگرم)],1):Main[[#This Row],[مقدار تسویه شده (کیلوگرم)]])</f>
        <v>17837</v>
      </c>
      <c r="Y1736" s="6">
        <f ca="1">IF(Main[[#This Row],[مانده در خط تسویه شده (کیلوگرم)]]&lt;&gt;0,Main[[#This Row],[تعداد کل روزهای بدهکار (روز)]],0)</f>
        <v>0</v>
      </c>
      <c r="Z1736" s="6">
        <f ca="1">Main[[#This Row],[تعداد روزهای بدهکار تسویه شده (روز)]]*Main[[#This Row],[مانده در خط تسویه شده (کیلوگرم)]]</f>
        <v>0</v>
      </c>
      <c r="AA1736" s="6">
        <f ca="1">SUBTOTAL(9,INDEX(Main[بدهی تسویه نشده (کیلوگرم)],1):Main[[#This Row],[بدهی تسویه نشده (کیلوگرم)]])</f>
        <v>0</v>
      </c>
      <c r="AB1736" s="6">
        <f ca="1">IF(Main[[#This Row],[مانده در خط تسویه نشده (کیلوگرم)]]&lt;&gt;0,Main[[#This Row],[تعداد کل روزهای بدهکار (روز)]],0)</f>
        <v>0</v>
      </c>
      <c r="AC1736" s="6">
        <f ca="1">Main[[#This Row],[تعداد روزهای بدهکار  تسویه نشده (روز)]]*Main[[#This Row],[مانده در خط تسویه نشده (کیلوگرم)]]</f>
        <v>0</v>
      </c>
      <c r="AD1736" s="6">
        <f ca="1">SUBTOTAL(9,INDEX(Main[بدهی سررسید شده (کیلوگرم)],1):Main[[#This Row],[بدهی سررسید شده (کیلوگرم)]])</f>
        <v>0</v>
      </c>
      <c r="AE1736" s="6">
        <f ca="1">IF(Main[[#This Row],[مانده در خط سررسید شده (کیلوگرم)]]&lt;&gt;0,Main[[#This Row],[تعداد کل روزهای بدهکار (روز)]],0)</f>
        <v>0</v>
      </c>
      <c r="AF1736" s="6">
        <f ca="1">Main[[#This Row],[تعداد روزهای بدهکار سررسید شده (روز)]]*Main[[#This Row],[مانده در خط سررسید شده (کیلوگرم)]]</f>
        <v>0</v>
      </c>
    </row>
    <row r="1737" spans="1:32" x14ac:dyDescent="0.35">
      <c r="A1737" s="5">
        <f>ROW()-ROW(INDEX(Main[ردیف],1))+1</f>
        <v>1735</v>
      </c>
      <c r="B1737" s="31">
        <f>SUBTOTAL(2,INDEX(Main[ردیف],1):Main[[#This Row],[ردیف]])</f>
        <v>156</v>
      </c>
      <c r="C1737" s="32" t="s">
        <v>715</v>
      </c>
      <c r="D1737" s="32" t="str">
        <f>_xlfn.CONCAT("14",Main[[#This Row],[تاريخ]])</f>
        <v>1400/07/07</v>
      </c>
      <c r="E1737" s="33">
        <v>44468</v>
      </c>
      <c r="F1737" s="32">
        <v>10003</v>
      </c>
      <c r="G1737" s="5" t="str">
        <f>INDEX(customer[عنوان],MATCH(Main[[#This Row],[کد ردیابی]],customer[کد],0))</f>
        <v>اصغر نورعلی</v>
      </c>
      <c r="H1737">
        <v>2556</v>
      </c>
      <c r="I1737" s="6">
        <f ca="1">-Main[[#This Row],[بدهی تسویه شده (کیلوگرم)]]+Main[[#This Row],[بستانکار (کیلوگرم)]]</f>
        <v>2556</v>
      </c>
      <c r="J1737" s="6">
        <f>IF(Main[[#This Row],[مقدار (کیلوگرم)]]&gt;0,Main[[#This Row],[مقدار (کیلوگرم)]],0)</f>
        <v>2556</v>
      </c>
      <c r="K1737" s="6">
        <f>-IF(Main[[#This Row],[مقدار (کیلوگرم)]]&lt;0,Main[[#This Row],[مقدار (کیلوگرم)]],0)</f>
        <v>0</v>
      </c>
      <c r="L17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7" s="7">
        <f>-IF(AND(Main[[#This Row],[مقدار (کیلوگرم)]]&lt;0,Main[[#This Row],[تاريخ میلادی]]&gt;44276),Main[[#This Row],[مقدار (کیلوگرم)]],0)</f>
        <v>0</v>
      </c>
      <c r="N1737" s="6">
        <f ca="1">Main[[#This Row],[بدهکار (کیلوگرم)]]-Main[[#This Row],[بدهی تسویه نشده (کیلوگرم)]]</f>
        <v>0</v>
      </c>
      <c r="O1737" s="6">
        <f ca="1">Main[[#This Row],[تفکیک]]</f>
        <v>0</v>
      </c>
      <c r="P1737" s="6">
        <f ca="1">IF(Main[[#This Row],[تاخیر از سررسید]]&gt;0,Main[[#This Row],[بدهی تسویه نشده (کیلوگرم)]],0)</f>
        <v>0</v>
      </c>
      <c r="Q1737" s="6">
        <f ca="1">IF(Main[[#This Row],[بدهی تسویه نشده (کیلوگرم)]]&gt;0,'گزارش فردی'!$B$7-Main[[#This Row],[تاريخ میلادی]],0)</f>
        <v>0</v>
      </c>
      <c r="R1737" s="6">
        <f ca="1">IF(Main[[#This Row],[بدهی تسویه نشده (کیلوگرم)]]&gt;0,'گزارش فردی'!$B$7-Main[[#This Row],[تاريخ میلادی]]-'گزارش فردی'!$B$8,0)</f>
        <v>0</v>
      </c>
      <c r="S1737" s="6">
        <f ca="1">Main[[#This Row],[روز از ارسال سفارش]]*Main[[#This Row],[بدهی تسویه نشده (کیلوگرم)]]</f>
        <v>0</v>
      </c>
      <c r="T1737" s="6">
        <f ca="1">Main[[#This Row],[بدهی سررسید شده (کیلوگرم)]]*Main[[#This Row],[روز از ارسال سفارش]]</f>
        <v>0</v>
      </c>
      <c r="U1737" s="6">
        <f>-SUBTOTAL(9,INDEX(Main[مقدار (کیلوگرم)],1):Main[[#This Row],[مقدار (کیلوگرم)]])</f>
        <v>15281</v>
      </c>
      <c r="V17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7" s="6">
        <f>Main[[#This Row],[تعداد کل روزهای بدهکار (روز)]]*Main[[#This Row],[مانده در خط کل (کیلوگرم)]]</f>
        <v>0</v>
      </c>
      <c r="X1737" s="6">
        <f ca="1">-SUBTOTAL(9,INDEX(Main[مقدار تسویه شده (کیلوگرم)],1):Main[[#This Row],[مقدار تسویه شده (کیلوگرم)]])</f>
        <v>15281</v>
      </c>
      <c r="Y1737" s="6">
        <f ca="1">IF(Main[[#This Row],[مانده در خط تسویه شده (کیلوگرم)]]&lt;&gt;0,Main[[#This Row],[تعداد کل روزهای بدهکار (روز)]],0)</f>
        <v>0</v>
      </c>
      <c r="Z1737" s="6">
        <f ca="1">Main[[#This Row],[تعداد روزهای بدهکار تسویه شده (روز)]]*Main[[#This Row],[مانده در خط تسویه شده (کیلوگرم)]]</f>
        <v>0</v>
      </c>
      <c r="AA1737" s="6">
        <f ca="1">SUBTOTAL(9,INDEX(Main[بدهی تسویه نشده (کیلوگرم)],1):Main[[#This Row],[بدهی تسویه نشده (کیلوگرم)]])</f>
        <v>0</v>
      </c>
      <c r="AB1737" s="6">
        <f ca="1">IF(Main[[#This Row],[مانده در خط تسویه نشده (کیلوگرم)]]&lt;&gt;0,Main[[#This Row],[تعداد کل روزهای بدهکار (روز)]],0)</f>
        <v>0</v>
      </c>
      <c r="AC1737" s="6">
        <f ca="1">Main[[#This Row],[تعداد روزهای بدهکار  تسویه نشده (روز)]]*Main[[#This Row],[مانده در خط تسویه نشده (کیلوگرم)]]</f>
        <v>0</v>
      </c>
      <c r="AD1737" s="6">
        <f ca="1">SUBTOTAL(9,INDEX(Main[بدهی سررسید شده (کیلوگرم)],1):Main[[#This Row],[بدهی سررسید شده (کیلوگرم)]])</f>
        <v>0</v>
      </c>
      <c r="AE1737" s="6">
        <f ca="1">IF(Main[[#This Row],[مانده در خط سررسید شده (کیلوگرم)]]&lt;&gt;0,Main[[#This Row],[تعداد کل روزهای بدهکار (روز)]],0)</f>
        <v>0</v>
      </c>
      <c r="AF1737" s="6">
        <f ca="1">Main[[#This Row],[تعداد روزهای بدهکار سررسید شده (روز)]]*Main[[#This Row],[مانده در خط سررسید شده (کیلوگرم)]]</f>
        <v>0</v>
      </c>
    </row>
    <row r="1738" spans="1:32" x14ac:dyDescent="0.35">
      <c r="A1738" s="5">
        <f>ROW()-ROW(INDEX(Main[ردیف],1))+1</f>
        <v>1736</v>
      </c>
      <c r="B1738" s="31">
        <f>SUBTOTAL(2,INDEX(Main[ردیف],1):Main[[#This Row],[ردیف]])</f>
        <v>157</v>
      </c>
      <c r="C1738" s="32" t="s">
        <v>715</v>
      </c>
      <c r="D1738" s="32" t="str">
        <f>_xlfn.CONCAT("14",Main[[#This Row],[تاريخ]])</f>
        <v>1400/07/07</v>
      </c>
      <c r="E1738" s="33">
        <v>44468</v>
      </c>
      <c r="F1738" s="32">
        <v>10003</v>
      </c>
      <c r="G1738" s="5" t="str">
        <f>INDEX(customer[عنوان],MATCH(Main[[#This Row],[کد ردیابی]],customer[کد],0))</f>
        <v>اصغر نورعلی</v>
      </c>
      <c r="H1738">
        <v>-4593</v>
      </c>
      <c r="I1738" s="6">
        <f ca="1">-Main[[#This Row],[بدهی تسویه شده (کیلوگرم)]]+Main[[#This Row],[بستانکار (کیلوگرم)]]</f>
        <v>-4593</v>
      </c>
      <c r="J1738" s="6">
        <f>IF(Main[[#This Row],[مقدار (کیلوگرم)]]&gt;0,Main[[#This Row],[مقدار (کیلوگرم)]],0)</f>
        <v>0</v>
      </c>
      <c r="K1738" s="6">
        <f>-IF(Main[[#This Row],[مقدار (کیلوگرم)]]&lt;0,Main[[#This Row],[مقدار (کیلوگرم)]],0)</f>
        <v>4593</v>
      </c>
      <c r="L17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8" s="7">
        <f>-IF(AND(Main[[#This Row],[مقدار (کیلوگرم)]]&lt;0,Main[[#This Row],[تاريخ میلادی]]&gt;44276),Main[[#This Row],[مقدار (کیلوگرم)]],0)</f>
        <v>4593</v>
      </c>
      <c r="N1738" s="6">
        <f ca="1">Main[[#This Row],[بدهکار (کیلوگرم)]]-Main[[#This Row],[بدهی تسویه نشده (کیلوگرم)]]</f>
        <v>4593</v>
      </c>
      <c r="O1738" s="6">
        <f ca="1">Main[[#This Row],[تفکیک]]</f>
        <v>0</v>
      </c>
      <c r="P1738" s="6">
        <f ca="1">IF(Main[[#This Row],[تاخیر از سررسید]]&gt;0,Main[[#This Row],[بدهی تسویه نشده (کیلوگرم)]],0)</f>
        <v>0</v>
      </c>
      <c r="Q1738" s="6">
        <f ca="1">IF(Main[[#This Row],[بدهی تسویه نشده (کیلوگرم)]]&gt;0,'گزارش فردی'!$B$7-Main[[#This Row],[تاريخ میلادی]],0)</f>
        <v>0</v>
      </c>
      <c r="R1738" s="6">
        <f ca="1">IF(Main[[#This Row],[بدهی تسویه نشده (کیلوگرم)]]&gt;0,'گزارش فردی'!$B$7-Main[[#This Row],[تاريخ میلادی]]-'گزارش فردی'!$B$8,0)</f>
        <v>0</v>
      </c>
      <c r="S1738" s="6">
        <f ca="1">Main[[#This Row],[روز از ارسال سفارش]]*Main[[#This Row],[بدهی تسویه نشده (کیلوگرم)]]</f>
        <v>0</v>
      </c>
      <c r="T1738" s="6">
        <f ca="1">Main[[#This Row],[بدهی سررسید شده (کیلوگرم)]]*Main[[#This Row],[روز از ارسال سفارش]]</f>
        <v>0</v>
      </c>
      <c r="U1738" s="6">
        <f>-SUBTOTAL(9,INDEX(Main[مقدار (کیلوگرم)],1):Main[[#This Row],[مقدار (کیلوگرم)]])</f>
        <v>19874</v>
      </c>
      <c r="V17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8" s="6">
        <f>Main[[#This Row],[تعداد کل روزهای بدهکار (روز)]]*Main[[#This Row],[مانده در خط کل (کیلوگرم)]]</f>
        <v>0</v>
      </c>
      <c r="X1738" s="6">
        <f ca="1">-SUBTOTAL(9,INDEX(Main[مقدار تسویه شده (کیلوگرم)],1):Main[[#This Row],[مقدار تسویه شده (کیلوگرم)]])</f>
        <v>19874</v>
      </c>
      <c r="Y1738" s="6">
        <f ca="1">IF(Main[[#This Row],[مانده در خط تسویه شده (کیلوگرم)]]&lt;&gt;0,Main[[#This Row],[تعداد کل روزهای بدهکار (روز)]],0)</f>
        <v>0</v>
      </c>
      <c r="Z1738" s="6">
        <f ca="1">Main[[#This Row],[تعداد روزهای بدهکار تسویه شده (روز)]]*Main[[#This Row],[مانده در خط تسویه شده (کیلوگرم)]]</f>
        <v>0</v>
      </c>
      <c r="AA1738" s="6">
        <f ca="1">SUBTOTAL(9,INDEX(Main[بدهی تسویه نشده (کیلوگرم)],1):Main[[#This Row],[بدهی تسویه نشده (کیلوگرم)]])</f>
        <v>0</v>
      </c>
      <c r="AB1738" s="6">
        <f ca="1">IF(Main[[#This Row],[مانده در خط تسویه نشده (کیلوگرم)]]&lt;&gt;0,Main[[#This Row],[تعداد کل روزهای بدهکار (روز)]],0)</f>
        <v>0</v>
      </c>
      <c r="AC1738" s="6">
        <f ca="1">Main[[#This Row],[تعداد روزهای بدهکار  تسویه نشده (روز)]]*Main[[#This Row],[مانده در خط تسویه نشده (کیلوگرم)]]</f>
        <v>0</v>
      </c>
      <c r="AD1738" s="6">
        <f ca="1">SUBTOTAL(9,INDEX(Main[بدهی سررسید شده (کیلوگرم)],1):Main[[#This Row],[بدهی سررسید شده (کیلوگرم)]])</f>
        <v>0</v>
      </c>
      <c r="AE1738" s="6">
        <f ca="1">IF(Main[[#This Row],[مانده در خط سررسید شده (کیلوگرم)]]&lt;&gt;0,Main[[#This Row],[تعداد کل روزهای بدهکار (روز)]],0)</f>
        <v>0</v>
      </c>
      <c r="AF1738" s="6">
        <f ca="1">Main[[#This Row],[تعداد روزهای بدهکار سررسید شده (روز)]]*Main[[#This Row],[مانده در خط سررسید شده (کیلوگرم)]]</f>
        <v>0</v>
      </c>
    </row>
    <row r="1739" spans="1:32" x14ac:dyDescent="0.35">
      <c r="A1739" s="5">
        <f>ROW()-ROW(INDEX(Main[ردیف],1))+1</f>
        <v>1737</v>
      </c>
      <c r="B1739" s="31">
        <f>SUBTOTAL(2,INDEX(Main[ردیف],1):Main[[#This Row],[ردیف]])</f>
        <v>158</v>
      </c>
      <c r="C1739" s="32" t="s">
        <v>715</v>
      </c>
      <c r="D1739" s="32" t="str">
        <f>_xlfn.CONCAT("14",Main[[#This Row],[تاريخ]])</f>
        <v>1400/07/07</v>
      </c>
      <c r="E1739" s="33">
        <v>44468</v>
      </c>
      <c r="F1739" s="32">
        <v>10003</v>
      </c>
      <c r="G1739" s="5" t="str">
        <f>INDEX(customer[عنوان],MATCH(Main[[#This Row],[کد ردیابی]],customer[کد],0))</f>
        <v>اصغر نورعلی</v>
      </c>
      <c r="H1739">
        <v>2689</v>
      </c>
      <c r="I1739" s="6">
        <f ca="1">-Main[[#This Row],[بدهی تسویه شده (کیلوگرم)]]+Main[[#This Row],[بستانکار (کیلوگرم)]]</f>
        <v>2689</v>
      </c>
      <c r="J1739" s="6">
        <f>IF(Main[[#This Row],[مقدار (کیلوگرم)]]&gt;0,Main[[#This Row],[مقدار (کیلوگرم)]],0)</f>
        <v>2689</v>
      </c>
      <c r="K1739" s="6">
        <f>-IF(Main[[#This Row],[مقدار (کیلوگرم)]]&lt;0,Main[[#This Row],[مقدار (کیلوگرم)]],0)</f>
        <v>0</v>
      </c>
      <c r="L17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9" s="7">
        <f>-IF(AND(Main[[#This Row],[مقدار (کیلوگرم)]]&lt;0,Main[[#This Row],[تاريخ میلادی]]&gt;44276),Main[[#This Row],[مقدار (کیلوگرم)]],0)</f>
        <v>0</v>
      </c>
      <c r="N1739" s="6">
        <f ca="1">Main[[#This Row],[بدهکار (کیلوگرم)]]-Main[[#This Row],[بدهی تسویه نشده (کیلوگرم)]]</f>
        <v>0</v>
      </c>
      <c r="O1739" s="6">
        <f ca="1">Main[[#This Row],[تفکیک]]</f>
        <v>0</v>
      </c>
      <c r="P1739" s="6">
        <f ca="1">IF(Main[[#This Row],[تاخیر از سررسید]]&gt;0,Main[[#This Row],[بدهی تسویه نشده (کیلوگرم)]],0)</f>
        <v>0</v>
      </c>
      <c r="Q1739" s="6">
        <f ca="1">IF(Main[[#This Row],[بدهی تسویه نشده (کیلوگرم)]]&gt;0,'گزارش فردی'!$B$7-Main[[#This Row],[تاريخ میلادی]],0)</f>
        <v>0</v>
      </c>
      <c r="R1739" s="6">
        <f ca="1">IF(Main[[#This Row],[بدهی تسویه نشده (کیلوگرم)]]&gt;0,'گزارش فردی'!$B$7-Main[[#This Row],[تاريخ میلادی]]-'گزارش فردی'!$B$8,0)</f>
        <v>0</v>
      </c>
      <c r="S1739" s="6">
        <f ca="1">Main[[#This Row],[روز از ارسال سفارش]]*Main[[#This Row],[بدهی تسویه نشده (کیلوگرم)]]</f>
        <v>0</v>
      </c>
      <c r="T1739" s="6">
        <f ca="1">Main[[#This Row],[بدهی سررسید شده (کیلوگرم)]]*Main[[#This Row],[روز از ارسال سفارش]]</f>
        <v>0</v>
      </c>
      <c r="U1739" s="6">
        <f>-SUBTOTAL(9,INDEX(Main[مقدار (کیلوگرم)],1):Main[[#This Row],[مقدار (کیلوگرم)]])</f>
        <v>17185</v>
      </c>
      <c r="V173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739" s="6">
        <f>Main[[#This Row],[تعداد کل روزهای بدهکار (روز)]]*Main[[#This Row],[مانده در خط کل (کیلوگرم)]]</f>
        <v>68740</v>
      </c>
      <c r="X1739" s="6">
        <f ca="1">-SUBTOTAL(9,INDEX(Main[مقدار تسویه شده (کیلوگرم)],1):Main[[#This Row],[مقدار تسویه شده (کیلوگرم)]])</f>
        <v>17185</v>
      </c>
      <c r="Y1739" s="6">
        <f ca="1">IF(Main[[#This Row],[مانده در خط تسویه شده (کیلوگرم)]]&lt;&gt;0,Main[[#This Row],[تعداد کل روزهای بدهکار (روز)]],0)</f>
        <v>4</v>
      </c>
      <c r="Z1739" s="6">
        <f ca="1">Main[[#This Row],[تعداد روزهای بدهکار تسویه شده (روز)]]*Main[[#This Row],[مانده در خط تسویه شده (کیلوگرم)]]</f>
        <v>68740</v>
      </c>
      <c r="AA1739" s="6">
        <f ca="1">SUBTOTAL(9,INDEX(Main[بدهی تسویه نشده (کیلوگرم)],1):Main[[#This Row],[بدهی تسویه نشده (کیلوگرم)]])</f>
        <v>0</v>
      </c>
      <c r="AB1739" s="6">
        <f ca="1">IF(Main[[#This Row],[مانده در خط تسویه نشده (کیلوگرم)]]&lt;&gt;0,Main[[#This Row],[تعداد کل روزهای بدهکار (روز)]],0)</f>
        <v>0</v>
      </c>
      <c r="AC1739" s="6">
        <f ca="1">Main[[#This Row],[تعداد روزهای بدهکار  تسویه نشده (روز)]]*Main[[#This Row],[مانده در خط تسویه نشده (کیلوگرم)]]</f>
        <v>0</v>
      </c>
      <c r="AD1739" s="6">
        <f ca="1">SUBTOTAL(9,INDEX(Main[بدهی سررسید شده (کیلوگرم)],1):Main[[#This Row],[بدهی سررسید شده (کیلوگرم)]])</f>
        <v>0</v>
      </c>
      <c r="AE1739" s="6">
        <f ca="1">IF(Main[[#This Row],[مانده در خط سررسید شده (کیلوگرم)]]&lt;&gt;0,Main[[#This Row],[تعداد کل روزهای بدهکار (روز)]],0)</f>
        <v>0</v>
      </c>
      <c r="AF1739" s="6">
        <f ca="1">Main[[#This Row],[تعداد روزهای بدهکار سررسید شده (روز)]]*Main[[#This Row],[مانده در خط سررسید شده (کیلوگرم)]]</f>
        <v>0</v>
      </c>
    </row>
    <row r="1740" spans="1:32" hidden="1" x14ac:dyDescent="0.35">
      <c r="A1740" s="5">
        <f>ROW()-ROW(INDEX(Main[ردیف],1))+1</f>
        <v>1738</v>
      </c>
      <c r="B1740" s="31">
        <f>SUBTOTAL(2,INDEX(Main[ردیف],1):Main[[#This Row],[ردیف]])</f>
        <v>158</v>
      </c>
      <c r="C1740" s="32" t="s">
        <v>715</v>
      </c>
      <c r="D1740" s="32" t="str">
        <f>_xlfn.CONCAT("14",Main[[#This Row],[تاريخ]])</f>
        <v>1400/07/07</v>
      </c>
      <c r="E1740" s="33">
        <v>44468</v>
      </c>
      <c r="F1740" s="32">
        <v>10055</v>
      </c>
      <c r="G1740" s="5" t="str">
        <f>INDEX(customer[عنوان],MATCH(Main[[#This Row],[کد ردیابی]],customer[کد],0))</f>
        <v xml:space="preserve">مریم فیض آبادی  </v>
      </c>
      <c r="H1740">
        <v>-4852</v>
      </c>
      <c r="I1740" s="6">
        <f ca="1">-Main[[#This Row],[بدهی تسویه شده (کیلوگرم)]]+Main[[#This Row],[بستانکار (کیلوگرم)]]</f>
        <v>-4852</v>
      </c>
      <c r="J1740" s="6">
        <f>IF(Main[[#This Row],[مقدار (کیلوگرم)]]&gt;0,Main[[#This Row],[مقدار (کیلوگرم)]],0)</f>
        <v>0</v>
      </c>
      <c r="K1740" s="6">
        <f>-IF(Main[[#This Row],[مقدار (کیلوگرم)]]&lt;0,Main[[#This Row],[مقدار (کیلوگرم)]],0)</f>
        <v>4852</v>
      </c>
      <c r="L17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0" s="7">
        <f>-IF(AND(Main[[#This Row],[مقدار (کیلوگرم)]]&lt;0,Main[[#This Row],[تاريخ میلادی]]&gt;44276),Main[[#This Row],[مقدار (کیلوگرم)]],0)</f>
        <v>4852</v>
      </c>
      <c r="N1740" s="6">
        <f ca="1">Main[[#This Row],[بدهکار (کیلوگرم)]]-Main[[#This Row],[بدهی تسویه نشده (کیلوگرم)]]</f>
        <v>4852</v>
      </c>
      <c r="O1740" s="6">
        <f ca="1">Main[[#This Row],[تفکیک]]</f>
        <v>0</v>
      </c>
      <c r="P1740" s="6">
        <f ca="1">IF(Main[[#This Row],[تاخیر از سررسید]]&gt;0,Main[[#This Row],[بدهی تسویه نشده (کیلوگرم)]],0)</f>
        <v>0</v>
      </c>
      <c r="Q1740" s="6">
        <f ca="1">IF(Main[[#This Row],[بدهی تسویه نشده (کیلوگرم)]]&gt;0,'گزارش فردی'!$B$7-Main[[#This Row],[تاريخ میلادی]],0)</f>
        <v>0</v>
      </c>
      <c r="R1740" s="6">
        <f ca="1">IF(Main[[#This Row],[بدهی تسویه نشده (کیلوگرم)]]&gt;0,'گزارش فردی'!$B$7-Main[[#This Row],[تاريخ میلادی]]-'گزارش فردی'!$B$8,0)</f>
        <v>0</v>
      </c>
      <c r="S1740" s="6">
        <f ca="1">Main[[#This Row],[روز از ارسال سفارش]]*Main[[#This Row],[بدهی تسویه نشده (کیلوگرم)]]</f>
        <v>0</v>
      </c>
      <c r="T1740" s="6">
        <f ca="1">Main[[#This Row],[بدهی سررسید شده (کیلوگرم)]]*Main[[#This Row],[روز از ارسال سفارش]]</f>
        <v>0</v>
      </c>
      <c r="U1740" s="6">
        <f>-SUBTOTAL(9,INDEX(Main[مقدار (کیلوگرم)],1):Main[[#This Row],[مقدار (کیلوگرم)]])</f>
        <v>17185</v>
      </c>
      <c r="V174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740" s="6">
        <f>Main[[#This Row],[تعداد کل روزهای بدهکار (روز)]]*Main[[#This Row],[مانده در خط کل (کیلوگرم)]]</f>
        <v>68740</v>
      </c>
      <c r="X1740" s="6">
        <f ca="1">-SUBTOTAL(9,INDEX(Main[مقدار تسویه شده (کیلوگرم)],1):Main[[#This Row],[مقدار تسویه شده (کیلوگرم)]])</f>
        <v>17185</v>
      </c>
      <c r="Y1740" s="6">
        <f ca="1">IF(Main[[#This Row],[مانده در خط تسویه شده (کیلوگرم)]]&lt;&gt;0,Main[[#This Row],[تعداد کل روزهای بدهکار (روز)]],0)</f>
        <v>4</v>
      </c>
      <c r="Z1740" s="6">
        <f ca="1">Main[[#This Row],[تعداد روزهای بدهکار تسویه شده (روز)]]*Main[[#This Row],[مانده در خط تسویه شده (کیلوگرم)]]</f>
        <v>68740</v>
      </c>
      <c r="AA1740" s="6">
        <f ca="1">SUBTOTAL(9,INDEX(Main[بدهی تسویه نشده (کیلوگرم)],1):Main[[#This Row],[بدهی تسویه نشده (کیلوگرم)]])</f>
        <v>0</v>
      </c>
      <c r="AB1740" s="6">
        <f ca="1">IF(Main[[#This Row],[مانده در خط تسویه نشده (کیلوگرم)]]&lt;&gt;0,Main[[#This Row],[تعداد کل روزهای بدهکار (روز)]],0)</f>
        <v>0</v>
      </c>
      <c r="AC1740" s="6">
        <f ca="1">Main[[#This Row],[تعداد روزهای بدهکار  تسویه نشده (روز)]]*Main[[#This Row],[مانده در خط تسویه نشده (کیلوگرم)]]</f>
        <v>0</v>
      </c>
      <c r="AD1740" s="6">
        <f ca="1">SUBTOTAL(9,INDEX(Main[بدهی سررسید شده (کیلوگرم)],1):Main[[#This Row],[بدهی سررسید شده (کیلوگرم)]])</f>
        <v>0</v>
      </c>
      <c r="AE1740" s="6">
        <f ca="1">IF(Main[[#This Row],[مانده در خط سررسید شده (کیلوگرم)]]&lt;&gt;0,Main[[#This Row],[تعداد کل روزهای بدهکار (روز)]],0)</f>
        <v>0</v>
      </c>
      <c r="AF1740" s="6">
        <f ca="1">Main[[#This Row],[تعداد روزهای بدهکار سررسید شده (روز)]]*Main[[#This Row],[مانده در خط سررسید شده (کیلوگرم)]]</f>
        <v>0</v>
      </c>
    </row>
    <row r="1741" spans="1:32" hidden="1" x14ac:dyDescent="0.35">
      <c r="A1741" s="5">
        <f>ROW()-ROW(INDEX(Main[ردیف],1))+1</f>
        <v>1739</v>
      </c>
      <c r="B1741" s="31">
        <f>SUBTOTAL(2,INDEX(Main[ردیف],1):Main[[#This Row],[ردیف]])</f>
        <v>158</v>
      </c>
      <c r="C1741" s="32" t="s">
        <v>716</v>
      </c>
      <c r="D1741" s="32" t="str">
        <f>_xlfn.CONCAT("14",Main[[#This Row],[تاريخ]])</f>
        <v>1400/07/08</v>
      </c>
      <c r="E1741" s="33">
        <v>44469</v>
      </c>
      <c r="F1741" s="32">
        <v>30146</v>
      </c>
      <c r="G1741" s="5" t="str">
        <f>INDEX(customer[عنوان],MATCH(Main[[#This Row],[کد ردیابی]],customer[کد],0))</f>
        <v>شرکت آذرپاد</v>
      </c>
      <c r="H1741">
        <v>991</v>
      </c>
      <c r="I1741" s="6">
        <f ca="1">-Main[[#This Row],[بدهی تسویه شده (کیلوگرم)]]+Main[[#This Row],[بستانکار (کیلوگرم)]]</f>
        <v>991</v>
      </c>
      <c r="J1741" s="6">
        <f>IF(Main[[#This Row],[مقدار (کیلوگرم)]]&gt;0,Main[[#This Row],[مقدار (کیلوگرم)]],0)</f>
        <v>991</v>
      </c>
      <c r="K1741" s="6">
        <f>-IF(Main[[#This Row],[مقدار (کیلوگرم)]]&lt;0,Main[[#This Row],[مقدار (کیلوگرم)]],0)</f>
        <v>0</v>
      </c>
      <c r="L17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1" s="7">
        <f>-IF(AND(Main[[#This Row],[مقدار (کیلوگرم)]]&lt;0,Main[[#This Row],[تاريخ میلادی]]&gt;44276),Main[[#This Row],[مقدار (کیلوگرم)]],0)</f>
        <v>0</v>
      </c>
      <c r="N1741" s="6">
        <f ca="1">Main[[#This Row],[بدهکار (کیلوگرم)]]-Main[[#This Row],[بدهی تسویه نشده (کیلوگرم)]]</f>
        <v>0</v>
      </c>
      <c r="O1741" s="6">
        <f ca="1">Main[[#This Row],[تفکیک]]</f>
        <v>0</v>
      </c>
      <c r="P1741" s="6">
        <f ca="1">IF(Main[[#This Row],[تاخیر از سررسید]]&gt;0,Main[[#This Row],[بدهی تسویه نشده (کیلوگرم)]],0)</f>
        <v>0</v>
      </c>
      <c r="Q1741" s="6">
        <f ca="1">IF(Main[[#This Row],[بدهی تسویه نشده (کیلوگرم)]]&gt;0,'گزارش فردی'!$B$7-Main[[#This Row],[تاريخ میلادی]],0)</f>
        <v>0</v>
      </c>
      <c r="R1741" s="6">
        <f ca="1">IF(Main[[#This Row],[بدهی تسویه نشده (کیلوگرم)]]&gt;0,'گزارش فردی'!$B$7-Main[[#This Row],[تاريخ میلادی]]-'گزارش فردی'!$B$8,0)</f>
        <v>0</v>
      </c>
      <c r="S1741" s="6">
        <f ca="1">Main[[#This Row],[روز از ارسال سفارش]]*Main[[#This Row],[بدهی تسویه نشده (کیلوگرم)]]</f>
        <v>0</v>
      </c>
      <c r="T1741" s="6">
        <f ca="1">Main[[#This Row],[بدهی سررسید شده (کیلوگرم)]]*Main[[#This Row],[روز از ارسال سفارش]]</f>
        <v>0</v>
      </c>
      <c r="U1741" s="6">
        <f>-SUBTOTAL(9,INDEX(Main[مقدار (کیلوگرم)],1):Main[[#This Row],[مقدار (کیلوگرم)]])</f>
        <v>17185</v>
      </c>
      <c r="V174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1" s="6">
        <f>Main[[#This Row],[تعداد کل روزهای بدهکار (روز)]]*Main[[#This Row],[مانده در خط کل (کیلوگرم)]]</f>
        <v>51555</v>
      </c>
      <c r="X1741" s="6">
        <f ca="1">-SUBTOTAL(9,INDEX(Main[مقدار تسویه شده (کیلوگرم)],1):Main[[#This Row],[مقدار تسویه شده (کیلوگرم)]])</f>
        <v>17185</v>
      </c>
      <c r="Y1741" s="6">
        <f ca="1">IF(Main[[#This Row],[مانده در خط تسویه شده (کیلوگرم)]]&lt;&gt;0,Main[[#This Row],[تعداد کل روزهای بدهکار (روز)]],0)</f>
        <v>3</v>
      </c>
      <c r="Z1741" s="6">
        <f ca="1">Main[[#This Row],[تعداد روزهای بدهکار تسویه شده (روز)]]*Main[[#This Row],[مانده در خط تسویه شده (کیلوگرم)]]</f>
        <v>51555</v>
      </c>
      <c r="AA1741" s="6">
        <f ca="1">SUBTOTAL(9,INDEX(Main[بدهی تسویه نشده (کیلوگرم)],1):Main[[#This Row],[بدهی تسویه نشده (کیلوگرم)]])</f>
        <v>0</v>
      </c>
      <c r="AB1741" s="6">
        <f ca="1">IF(Main[[#This Row],[مانده در خط تسویه نشده (کیلوگرم)]]&lt;&gt;0,Main[[#This Row],[تعداد کل روزهای بدهکار (روز)]],0)</f>
        <v>0</v>
      </c>
      <c r="AC1741" s="6">
        <f ca="1">Main[[#This Row],[تعداد روزهای بدهکار  تسویه نشده (روز)]]*Main[[#This Row],[مانده در خط تسویه نشده (کیلوگرم)]]</f>
        <v>0</v>
      </c>
      <c r="AD1741" s="6">
        <f ca="1">SUBTOTAL(9,INDEX(Main[بدهی سررسید شده (کیلوگرم)],1):Main[[#This Row],[بدهی سررسید شده (کیلوگرم)]])</f>
        <v>0</v>
      </c>
      <c r="AE1741" s="6">
        <f ca="1">IF(Main[[#This Row],[مانده در خط سررسید شده (کیلوگرم)]]&lt;&gt;0,Main[[#This Row],[تعداد کل روزهای بدهکار (روز)]],0)</f>
        <v>0</v>
      </c>
      <c r="AF1741" s="6">
        <f ca="1">Main[[#This Row],[تعداد روزهای بدهکار سررسید شده (روز)]]*Main[[#This Row],[مانده در خط سررسید شده (کیلوگرم)]]</f>
        <v>0</v>
      </c>
    </row>
    <row r="1742" spans="1:32" hidden="1" x14ac:dyDescent="0.35">
      <c r="A1742" s="5">
        <f>ROW()-ROW(INDEX(Main[ردیف],1))+1</f>
        <v>1740</v>
      </c>
      <c r="B1742" s="31">
        <f>SUBTOTAL(2,INDEX(Main[ردیف],1):Main[[#This Row],[ردیف]])</f>
        <v>158</v>
      </c>
      <c r="C1742" s="32" t="s">
        <v>716</v>
      </c>
      <c r="D1742" s="32" t="str">
        <f>_xlfn.CONCAT("14",Main[[#This Row],[تاريخ]])</f>
        <v>1400/07/08</v>
      </c>
      <c r="E1742" s="33">
        <v>44469</v>
      </c>
      <c r="F1742" s="32">
        <v>30146</v>
      </c>
      <c r="G1742" s="5" t="str">
        <f>INDEX(customer[عنوان],MATCH(Main[[#This Row],[کد ردیابی]],customer[کد],0))</f>
        <v>شرکت آذرپاد</v>
      </c>
      <c r="H1742">
        <v>-3277</v>
      </c>
      <c r="I1742" s="6">
        <f ca="1">-Main[[#This Row],[بدهی تسویه شده (کیلوگرم)]]+Main[[#This Row],[بستانکار (کیلوگرم)]]</f>
        <v>-3277</v>
      </c>
      <c r="J1742" s="6">
        <f>IF(Main[[#This Row],[مقدار (کیلوگرم)]]&gt;0,Main[[#This Row],[مقدار (کیلوگرم)]],0)</f>
        <v>0</v>
      </c>
      <c r="K1742" s="6">
        <f>-IF(Main[[#This Row],[مقدار (کیلوگرم)]]&lt;0,Main[[#This Row],[مقدار (کیلوگرم)]],0)</f>
        <v>3277</v>
      </c>
      <c r="L17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2" s="7">
        <f>-IF(AND(Main[[#This Row],[مقدار (کیلوگرم)]]&lt;0,Main[[#This Row],[تاريخ میلادی]]&gt;44276),Main[[#This Row],[مقدار (کیلوگرم)]],0)</f>
        <v>3277</v>
      </c>
      <c r="N1742" s="6">
        <f ca="1">Main[[#This Row],[بدهکار (کیلوگرم)]]-Main[[#This Row],[بدهی تسویه نشده (کیلوگرم)]]</f>
        <v>3277</v>
      </c>
      <c r="O1742" s="6">
        <f ca="1">Main[[#This Row],[تفکیک]]</f>
        <v>0</v>
      </c>
      <c r="P1742" s="6">
        <f ca="1">IF(Main[[#This Row],[تاخیر از سررسید]]&gt;0,Main[[#This Row],[بدهی تسویه نشده (کیلوگرم)]],0)</f>
        <v>0</v>
      </c>
      <c r="Q1742" s="6">
        <f ca="1">IF(Main[[#This Row],[بدهی تسویه نشده (کیلوگرم)]]&gt;0,'گزارش فردی'!$B$7-Main[[#This Row],[تاريخ میلادی]],0)</f>
        <v>0</v>
      </c>
      <c r="R1742" s="6">
        <f ca="1">IF(Main[[#This Row],[بدهی تسویه نشده (کیلوگرم)]]&gt;0,'گزارش فردی'!$B$7-Main[[#This Row],[تاريخ میلادی]]-'گزارش فردی'!$B$8,0)</f>
        <v>0</v>
      </c>
      <c r="S1742" s="6">
        <f ca="1">Main[[#This Row],[روز از ارسال سفارش]]*Main[[#This Row],[بدهی تسویه نشده (کیلوگرم)]]</f>
        <v>0</v>
      </c>
      <c r="T1742" s="6">
        <f ca="1">Main[[#This Row],[بدهی سررسید شده (کیلوگرم)]]*Main[[#This Row],[روز از ارسال سفارش]]</f>
        <v>0</v>
      </c>
      <c r="U1742" s="6">
        <f>-SUBTOTAL(9,INDEX(Main[مقدار (کیلوگرم)],1):Main[[#This Row],[مقدار (کیلوگرم)]])</f>
        <v>17185</v>
      </c>
      <c r="V174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2" s="6">
        <f>Main[[#This Row],[تعداد کل روزهای بدهکار (روز)]]*Main[[#This Row],[مانده در خط کل (کیلوگرم)]]</f>
        <v>51555</v>
      </c>
      <c r="X1742" s="6">
        <f ca="1">-SUBTOTAL(9,INDEX(Main[مقدار تسویه شده (کیلوگرم)],1):Main[[#This Row],[مقدار تسویه شده (کیلوگرم)]])</f>
        <v>17185</v>
      </c>
      <c r="Y1742" s="6">
        <f ca="1">IF(Main[[#This Row],[مانده در خط تسویه شده (کیلوگرم)]]&lt;&gt;0,Main[[#This Row],[تعداد کل روزهای بدهکار (روز)]],0)</f>
        <v>3</v>
      </c>
      <c r="Z1742" s="6">
        <f ca="1">Main[[#This Row],[تعداد روزهای بدهکار تسویه شده (روز)]]*Main[[#This Row],[مانده در خط تسویه شده (کیلوگرم)]]</f>
        <v>51555</v>
      </c>
      <c r="AA1742" s="6">
        <f ca="1">SUBTOTAL(9,INDEX(Main[بدهی تسویه نشده (کیلوگرم)],1):Main[[#This Row],[بدهی تسویه نشده (کیلوگرم)]])</f>
        <v>0</v>
      </c>
      <c r="AB1742" s="6">
        <f ca="1">IF(Main[[#This Row],[مانده در خط تسویه نشده (کیلوگرم)]]&lt;&gt;0,Main[[#This Row],[تعداد کل روزهای بدهکار (روز)]],0)</f>
        <v>0</v>
      </c>
      <c r="AC1742" s="6">
        <f ca="1">Main[[#This Row],[تعداد روزهای بدهکار  تسویه نشده (روز)]]*Main[[#This Row],[مانده در خط تسویه نشده (کیلوگرم)]]</f>
        <v>0</v>
      </c>
      <c r="AD1742" s="6">
        <f ca="1">SUBTOTAL(9,INDEX(Main[بدهی سررسید شده (کیلوگرم)],1):Main[[#This Row],[بدهی سررسید شده (کیلوگرم)]])</f>
        <v>0</v>
      </c>
      <c r="AE1742" s="6">
        <f ca="1">IF(Main[[#This Row],[مانده در خط سررسید شده (کیلوگرم)]]&lt;&gt;0,Main[[#This Row],[تعداد کل روزهای بدهکار (روز)]],0)</f>
        <v>0</v>
      </c>
      <c r="AF1742" s="6">
        <f ca="1">Main[[#This Row],[تعداد روزهای بدهکار سررسید شده (روز)]]*Main[[#This Row],[مانده در خط سررسید شده (کیلوگرم)]]</f>
        <v>0</v>
      </c>
    </row>
    <row r="1743" spans="1:32" hidden="1" x14ac:dyDescent="0.35">
      <c r="A1743" s="5">
        <f>ROW()-ROW(INDEX(Main[ردیف],1))+1</f>
        <v>1741</v>
      </c>
      <c r="B1743" s="31">
        <f>SUBTOTAL(2,INDEX(Main[ردیف],1):Main[[#This Row],[ردیف]])</f>
        <v>158</v>
      </c>
      <c r="C1743" s="32" t="s">
        <v>716</v>
      </c>
      <c r="D1743" s="32" t="str">
        <f>_xlfn.CONCAT("14",Main[[#This Row],[تاريخ]])</f>
        <v>1400/07/08</v>
      </c>
      <c r="E1743" s="33">
        <v>44469</v>
      </c>
      <c r="F1743" s="32">
        <v>30004</v>
      </c>
      <c r="G1743" s="5" t="str">
        <f>INDEX(customer[عنوان],MATCH(Main[[#This Row],[کد ردیابی]],customer[کد],0))</f>
        <v>تولیدی صنعتی صفاشیر پارس</v>
      </c>
      <c r="H1743">
        <v>1662</v>
      </c>
      <c r="I1743" s="6">
        <f ca="1">-Main[[#This Row],[بدهی تسویه شده (کیلوگرم)]]+Main[[#This Row],[بستانکار (کیلوگرم)]]</f>
        <v>1662</v>
      </c>
      <c r="J1743" s="6">
        <f>IF(Main[[#This Row],[مقدار (کیلوگرم)]]&gt;0,Main[[#This Row],[مقدار (کیلوگرم)]],0)</f>
        <v>1662</v>
      </c>
      <c r="K1743" s="6">
        <f>-IF(Main[[#This Row],[مقدار (کیلوگرم)]]&lt;0,Main[[#This Row],[مقدار (کیلوگرم)]],0)</f>
        <v>0</v>
      </c>
      <c r="L17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3" s="7">
        <f>-IF(AND(Main[[#This Row],[مقدار (کیلوگرم)]]&lt;0,Main[[#This Row],[تاريخ میلادی]]&gt;44276),Main[[#This Row],[مقدار (کیلوگرم)]],0)</f>
        <v>0</v>
      </c>
      <c r="N1743" s="6">
        <f ca="1">Main[[#This Row],[بدهکار (کیلوگرم)]]-Main[[#This Row],[بدهی تسویه نشده (کیلوگرم)]]</f>
        <v>0</v>
      </c>
      <c r="O1743" s="6">
        <f ca="1">Main[[#This Row],[تفکیک]]</f>
        <v>0</v>
      </c>
      <c r="P1743" s="6">
        <f ca="1">IF(Main[[#This Row],[تاخیر از سررسید]]&gt;0,Main[[#This Row],[بدهی تسویه نشده (کیلوگرم)]],0)</f>
        <v>0</v>
      </c>
      <c r="Q1743" s="6">
        <f ca="1">IF(Main[[#This Row],[بدهی تسویه نشده (کیلوگرم)]]&gt;0,'گزارش فردی'!$B$7-Main[[#This Row],[تاريخ میلادی]],0)</f>
        <v>0</v>
      </c>
      <c r="R1743" s="6">
        <f ca="1">IF(Main[[#This Row],[بدهی تسویه نشده (کیلوگرم)]]&gt;0,'گزارش فردی'!$B$7-Main[[#This Row],[تاريخ میلادی]]-'گزارش فردی'!$B$8,0)</f>
        <v>0</v>
      </c>
      <c r="S1743" s="6">
        <f ca="1">Main[[#This Row],[روز از ارسال سفارش]]*Main[[#This Row],[بدهی تسویه نشده (کیلوگرم)]]</f>
        <v>0</v>
      </c>
      <c r="T1743" s="6">
        <f ca="1">Main[[#This Row],[بدهی سررسید شده (کیلوگرم)]]*Main[[#This Row],[روز از ارسال سفارش]]</f>
        <v>0</v>
      </c>
      <c r="U1743" s="6">
        <f>-SUBTOTAL(9,INDEX(Main[مقدار (کیلوگرم)],1):Main[[#This Row],[مقدار (کیلوگرم)]])</f>
        <v>17185</v>
      </c>
      <c r="V174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3" s="6">
        <f>Main[[#This Row],[تعداد کل روزهای بدهکار (روز)]]*Main[[#This Row],[مانده در خط کل (کیلوگرم)]]</f>
        <v>51555</v>
      </c>
      <c r="X1743" s="6">
        <f ca="1">-SUBTOTAL(9,INDEX(Main[مقدار تسویه شده (کیلوگرم)],1):Main[[#This Row],[مقدار تسویه شده (کیلوگرم)]])</f>
        <v>17185</v>
      </c>
      <c r="Y1743" s="6">
        <f ca="1">IF(Main[[#This Row],[مانده در خط تسویه شده (کیلوگرم)]]&lt;&gt;0,Main[[#This Row],[تعداد کل روزهای بدهکار (روز)]],0)</f>
        <v>3</v>
      </c>
      <c r="Z1743" s="6">
        <f ca="1">Main[[#This Row],[تعداد روزهای بدهکار تسویه شده (روز)]]*Main[[#This Row],[مانده در خط تسویه شده (کیلوگرم)]]</f>
        <v>51555</v>
      </c>
      <c r="AA1743" s="6">
        <f ca="1">SUBTOTAL(9,INDEX(Main[بدهی تسویه نشده (کیلوگرم)],1):Main[[#This Row],[بدهی تسویه نشده (کیلوگرم)]])</f>
        <v>0</v>
      </c>
      <c r="AB1743" s="6">
        <f ca="1">IF(Main[[#This Row],[مانده در خط تسویه نشده (کیلوگرم)]]&lt;&gt;0,Main[[#This Row],[تعداد کل روزهای بدهکار (روز)]],0)</f>
        <v>0</v>
      </c>
      <c r="AC1743" s="6">
        <f ca="1">Main[[#This Row],[تعداد روزهای بدهکار  تسویه نشده (روز)]]*Main[[#This Row],[مانده در خط تسویه نشده (کیلوگرم)]]</f>
        <v>0</v>
      </c>
      <c r="AD1743" s="6">
        <f ca="1">SUBTOTAL(9,INDEX(Main[بدهی سررسید شده (کیلوگرم)],1):Main[[#This Row],[بدهی سررسید شده (کیلوگرم)]])</f>
        <v>0</v>
      </c>
      <c r="AE1743" s="6">
        <f ca="1">IF(Main[[#This Row],[مانده در خط سررسید شده (کیلوگرم)]]&lt;&gt;0,Main[[#This Row],[تعداد کل روزهای بدهکار (روز)]],0)</f>
        <v>0</v>
      </c>
      <c r="AF1743" s="6">
        <f ca="1">Main[[#This Row],[تعداد روزهای بدهکار سررسید شده (روز)]]*Main[[#This Row],[مانده در خط سررسید شده (کیلوگرم)]]</f>
        <v>0</v>
      </c>
    </row>
    <row r="1744" spans="1:32" hidden="1" x14ac:dyDescent="0.35">
      <c r="A1744" s="5">
        <f>ROW()-ROW(INDEX(Main[ردیف],1))+1</f>
        <v>1742</v>
      </c>
      <c r="B1744" s="31">
        <f>SUBTOTAL(2,INDEX(Main[ردیف],1):Main[[#This Row],[ردیف]])</f>
        <v>158</v>
      </c>
      <c r="C1744" s="32" t="s">
        <v>716</v>
      </c>
      <c r="D1744" s="32" t="str">
        <f>_xlfn.CONCAT("14",Main[[#This Row],[تاريخ]])</f>
        <v>1400/07/08</v>
      </c>
      <c r="E1744" s="33">
        <v>44469</v>
      </c>
      <c r="F1744" s="32">
        <v>30066</v>
      </c>
      <c r="G1744" s="5" t="str">
        <f>INDEX(customer[عنوان],MATCH(Main[[#This Row],[کد ردیابی]],customer[کد],0))</f>
        <v xml:space="preserve">شیر آلات بهداشتی قهرمان </v>
      </c>
      <c r="H1744">
        <v>-3425</v>
      </c>
      <c r="I1744" s="6">
        <f ca="1">-Main[[#This Row],[بدهی تسویه شده (کیلوگرم)]]+Main[[#This Row],[بستانکار (کیلوگرم)]]</f>
        <v>-3425</v>
      </c>
      <c r="J1744" s="6">
        <f>IF(Main[[#This Row],[مقدار (کیلوگرم)]]&gt;0,Main[[#This Row],[مقدار (کیلوگرم)]],0)</f>
        <v>0</v>
      </c>
      <c r="K1744" s="6">
        <f>-IF(Main[[#This Row],[مقدار (کیلوگرم)]]&lt;0,Main[[#This Row],[مقدار (کیلوگرم)]],0)</f>
        <v>3425</v>
      </c>
      <c r="L17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4" s="7">
        <f>-IF(AND(Main[[#This Row],[مقدار (کیلوگرم)]]&lt;0,Main[[#This Row],[تاريخ میلادی]]&gt;44276),Main[[#This Row],[مقدار (کیلوگرم)]],0)</f>
        <v>3425</v>
      </c>
      <c r="N1744" s="6">
        <f ca="1">Main[[#This Row],[بدهکار (کیلوگرم)]]-Main[[#This Row],[بدهی تسویه نشده (کیلوگرم)]]</f>
        <v>3425</v>
      </c>
      <c r="O1744" s="6">
        <f ca="1">Main[[#This Row],[تفکیک]]</f>
        <v>0</v>
      </c>
      <c r="P1744" s="6">
        <f ca="1">IF(Main[[#This Row],[تاخیر از سررسید]]&gt;0,Main[[#This Row],[بدهی تسویه نشده (کیلوگرم)]],0)</f>
        <v>0</v>
      </c>
      <c r="Q1744" s="6">
        <f ca="1">IF(Main[[#This Row],[بدهی تسویه نشده (کیلوگرم)]]&gt;0,'گزارش فردی'!$B$7-Main[[#This Row],[تاريخ میلادی]],0)</f>
        <v>0</v>
      </c>
      <c r="R1744" s="6">
        <f ca="1">IF(Main[[#This Row],[بدهی تسویه نشده (کیلوگرم)]]&gt;0,'گزارش فردی'!$B$7-Main[[#This Row],[تاريخ میلادی]]-'گزارش فردی'!$B$8,0)</f>
        <v>0</v>
      </c>
      <c r="S1744" s="6">
        <f ca="1">Main[[#This Row],[روز از ارسال سفارش]]*Main[[#This Row],[بدهی تسویه نشده (کیلوگرم)]]</f>
        <v>0</v>
      </c>
      <c r="T1744" s="6">
        <f ca="1">Main[[#This Row],[بدهی سررسید شده (کیلوگرم)]]*Main[[#This Row],[روز از ارسال سفارش]]</f>
        <v>0</v>
      </c>
      <c r="U1744" s="6">
        <f>-SUBTOTAL(9,INDEX(Main[مقدار (کیلوگرم)],1):Main[[#This Row],[مقدار (کیلوگرم)]])</f>
        <v>17185</v>
      </c>
      <c r="V174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4" s="6">
        <f>Main[[#This Row],[تعداد کل روزهای بدهکار (روز)]]*Main[[#This Row],[مانده در خط کل (کیلوگرم)]]</f>
        <v>51555</v>
      </c>
      <c r="X1744" s="6">
        <f ca="1">-SUBTOTAL(9,INDEX(Main[مقدار تسویه شده (کیلوگرم)],1):Main[[#This Row],[مقدار تسویه شده (کیلوگرم)]])</f>
        <v>17185</v>
      </c>
      <c r="Y1744" s="6">
        <f ca="1">IF(Main[[#This Row],[مانده در خط تسویه شده (کیلوگرم)]]&lt;&gt;0,Main[[#This Row],[تعداد کل روزهای بدهکار (روز)]],0)</f>
        <v>3</v>
      </c>
      <c r="Z1744" s="6">
        <f ca="1">Main[[#This Row],[تعداد روزهای بدهکار تسویه شده (روز)]]*Main[[#This Row],[مانده در خط تسویه شده (کیلوگرم)]]</f>
        <v>51555</v>
      </c>
      <c r="AA1744" s="6">
        <f ca="1">SUBTOTAL(9,INDEX(Main[بدهی تسویه نشده (کیلوگرم)],1):Main[[#This Row],[بدهی تسویه نشده (کیلوگرم)]])</f>
        <v>0</v>
      </c>
      <c r="AB1744" s="6">
        <f ca="1">IF(Main[[#This Row],[مانده در خط تسویه نشده (کیلوگرم)]]&lt;&gt;0,Main[[#This Row],[تعداد کل روزهای بدهکار (روز)]],0)</f>
        <v>0</v>
      </c>
      <c r="AC1744" s="6">
        <f ca="1">Main[[#This Row],[تعداد روزهای بدهکار  تسویه نشده (روز)]]*Main[[#This Row],[مانده در خط تسویه نشده (کیلوگرم)]]</f>
        <v>0</v>
      </c>
      <c r="AD1744" s="6">
        <f ca="1">SUBTOTAL(9,INDEX(Main[بدهی سررسید شده (کیلوگرم)],1):Main[[#This Row],[بدهی سررسید شده (کیلوگرم)]])</f>
        <v>0</v>
      </c>
      <c r="AE1744" s="6">
        <f ca="1">IF(Main[[#This Row],[مانده در خط سررسید شده (کیلوگرم)]]&lt;&gt;0,Main[[#This Row],[تعداد کل روزهای بدهکار (روز)]],0)</f>
        <v>0</v>
      </c>
      <c r="AF1744" s="6">
        <f ca="1">Main[[#This Row],[تعداد روزهای بدهکار سررسید شده (روز)]]*Main[[#This Row],[مانده در خط سررسید شده (کیلوگرم)]]</f>
        <v>0</v>
      </c>
    </row>
    <row r="1745" spans="1:32" hidden="1" x14ac:dyDescent="0.35">
      <c r="A1745" s="5">
        <f>ROW()-ROW(INDEX(Main[ردیف],1))+1</f>
        <v>1743</v>
      </c>
      <c r="B1745" s="31">
        <f>SUBTOTAL(2,INDEX(Main[ردیف],1):Main[[#This Row],[ردیف]])</f>
        <v>158</v>
      </c>
      <c r="C1745" s="32" t="s">
        <v>716</v>
      </c>
      <c r="D1745" s="32" t="str">
        <f>_xlfn.CONCAT("14",Main[[#This Row],[تاريخ]])</f>
        <v>1400/07/08</v>
      </c>
      <c r="E1745" s="33">
        <v>44469</v>
      </c>
      <c r="F1745" s="32">
        <v>30146</v>
      </c>
      <c r="G1745" s="5" t="str">
        <f>INDEX(customer[عنوان],MATCH(Main[[#This Row],[کد ردیابی]],customer[کد],0))</f>
        <v>شرکت آذرپاد</v>
      </c>
      <c r="H1745">
        <v>272</v>
      </c>
      <c r="I1745" s="6">
        <f ca="1">-Main[[#This Row],[بدهی تسویه شده (کیلوگرم)]]+Main[[#This Row],[بستانکار (کیلوگرم)]]</f>
        <v>272</v>
      </c>
      <c r="J1745" s="6">
        <f>IF(Main[[#This Row],[مقدار (کیلوگرم)]]&gt;0,Main[[#This Row],[مقدار (کیلوگرم)]],0)</f>
        <v>272</v>
      </c>
      <c r="K1745" s="6">
        <f>-IF(Main[[#This Row],[مقدار (کیلوگرم)]]&lt;0,Main[[#This Row],[مقدار (کیلوگرم)]],0)</f>
        <v>0</v>
      </c>
      <c r="L17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5" s="7">
        <f>-IF(AND(Main[[#This Row],[مقدار (کیلوگرم)]]&lt;0,Main[[#This Row],[تاريخ میلادی]]&gt;44276),Main[[#This Row],[مقدار (کیلوگرم)]],0)</f>
        <v>0</v>
      </c>
      <c r="N1745" s="6">
        <f ca="1">Main[[#This Row],[بدهکار (کیلوگرم)]]-Main[[#This Row],[بدهی تسویه نشده (کیلوگرم)]]</f>
        <v>0</v>
      </c>
      <c r="O1745" s="6">
        <f ca="1">Main[[#This Row],[تفکیک]]</f>
        <v>0</v>
      </c>
      <c r="P1745" s="6">
        <f ca="1">IF(Main[[#This Row],[تاخیر از سررسید]]&gt;0,Main[[#This Row],[بدهی تسویه نشده (کیلوگرم)]],0)</f>
        <v>0</v>
      </c>
      <c r="Q1745" s="6">
        <f ca="1">IF(Main[[#This Row],[بدهی تسویه نشده (کیلوگرم)]]&gt;0,'گزارش فردی'!$B$7-Main[[#This Row],[تاريخ میلادی]],0)</f>
        <v>0</v>
      </c>
      <c r="R1745" s="6">
        <f ca="1">IF(Main[[#This Row],[بدهی تسویه نشده (کیلوگرم)]]&gt;0,'گزارش فردی'!$B$7-Main[[#This Row],[تاريخ میلادی]]-'گزارش فردی'!$B$8,0)</f>
        <v>0</v>
      </c>
      <c r="S1745" s="6">
        <f ca="1">Main[[#This Row],[روز از ارسال سفارش]]*Main[[#This Row],[بدهی تسویه نشده (کیلوگرم)]]</f>
        <v>0</v>
      </c>
      <c r="T1745" s="6">
        <f ca="1">Main[[#This Row],[بدهی سررسید شده (کیلوگرم)]]*Main[[#This Row],[روز از ارسال سفارش]]</f>
        <v>0</v>
      </c>
      <c r="U1745" s="6">
        <f>-SUBTOTAL(9,INDEX(Main[مقدار (کیلوگرم)],1):Main[[#This Row],[مقدار (کیلوگرم)]])</f>
        <v>17185</v>
      </c>
      <c r="V174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5" s="6">
        <f>Main[[#This Row],[تعداد کل روزهای بدهکار (روز)]]*Main[[#This Row],[مانده در خط کل (کیلوگرم)]]</f>
        <v>51555</v>
      </c>
      <c r="X1745" s="6">
        <f ca="1">-SUBTOTAL(9,INDEX(Main[مقدار تسویه شده (کیلوگرم)],1):Main[[#This Row],[مقدار تسویه شده (کیلوگرم)]])</f>
        <v>17185</v>
      </c>
      <c r="Y1745" s="6">
        <f ca="1">IF(Main[[#This Row],[مانده در خط تسویه شده (کیلوگرم)]]&lt;&gt;0,Main[[#This Row],[تعداد کل روزهای بدهکار (روز)]],0)</f>
        <v>3</v>
      </c>
      <c r="Z1745" s="6">
        <f ca="1">Main[[#This Row],[تعداد روزهای بدهکار تسویه شده (روز)]]*Main[[#This Row],[مانده در خط تسویه شده (کیلوگرم)]]</f>
        <v>51555</v>
      </c>
      <c r="AA1745" s="6">
        <f ca="1">SUBTOTAL(9,INDEX(Main[بدهی تسویه نشده (کیلوگرم)],1):Main[[#This Row],[بدهی تسویه نشده (کیلوگرم)]])</f>
        <v>0</v>
      </c>
      <c r="AB1745" s="6">
        <f ca="1">IF(Main[[#This Row],[مانده در خط تسویه نشده (کیلوگرم)]]&lt;&gt;0,Main[[#This Row],[تعداد کل روزهای بدهکار (روز)]],0)</f>
        <v>0</v>
      </c>
      <c r="AC1745" s="6">
        <f ca="1">Main[[#This Row],[تعداد روزهای بدهکار  تسویه نشده (روز)]]*Main[[#This Row],[مانده در خط تسویه نشده (کیلوگرم)]]</f>
        <v>0</v>
      </c>
      <c r="AD1745" s="6">
        <f ca="1">SUBTOTAL(9,INDEX(Main[بدهی سررسید شده (کیلوگرم)],1):Main[[#This Row],[بدهی سررسید شده (کیلوگرم)]])</f>
        <v>0</v>
      </c>
      <c r="AE1745" s="6">
        <f ca="1">IF(Main[[#This Row],[مانده در خط سررسید شده (کیلوگرم)]]&lt;&gt;0,Main[[#This Row],[تعداد کل روزهای بدهکار (روز)]],0)</f>
        <v>0</v>
      </c>
      <c r="AF1745" s="6">
        <f ca="1">Main[[#This Row],[تعداد روزهای بدهکار سررسید شده (روز)]]*Main[[#This Row],[مانده در خط سررسید شده (کیلوگرم)]]</f>
        <v>0</v>
      </c>
    </row>
    <row r="1746" spans="1:32" hidden="1" x14ac:dyDescent="0.35">
      <c r="A1746" s="5">
        <f>ROW()-ROW(INDEX(Main[ردیف],1))+1</f>
        <v>1744</v>
      </c>
      <c r="B1746" s="31">
        <f>SUBTOTAL(2,INDEX(Main[ردیف],1):Main[[#This Row],[ردیف]])</f>
        <v>158</v>
      </c>
      <c r="C1746" s="32" t="s">
        <v>716</v>
      </c>
      <c r="D1746" s="32" t="str">
        <f>_xlfn.CONCAT("14",Main[[#This Row],[تاريخ]])</f>
        <v>1400/07/08</v>
      </c>
      <c r="E1746" s="33">
        <v>44469</v>
      </c>
      <c r="F1746" s="32">
        <v>10048</v>
      </c>
      <c r="G1746" s="5" t="str">
        <f>INDEX(customer[عنوان],MATCH(Main[[#This Row],[کد ردیابی]],customer[کد],0))</f>
        <v xml:space="preserve">حسام کریمان  </v>
      </c>
      <c r="H1746">
        <v>-83</v>
      </c>
      <c r="I1746" s="6">
        <f ca="1">-Main[[#This Row],[بدهی تسویه شده (کیلوگرم)]]+Main[[#This Row],[بستانکار (کیلوگرم)]]</f>
        <v>-83</v>
      </c>
      <c r="J1746" s="6">
        <f>IF(Main[[#This Row],[مقدار (کیلوگرم)]]&gt;0,Main[[#This Row],[مقدار (کیلوگرم)]],0)</f>
        <v>0</v>
      </c>
      <c r="K1746" s="6">
        <f>-IF(Main[[#This Row],[مقدار (کیلوگرم)]]&lt;0,Main[[#This Row],[مقدار (کیلوگرم)]],0)</f>
        <v>83</v>
      </c>
      <c r="L17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6" s="7">
        <f>-IF(AND(Main[[#This Row],[مقدار (کیلوگرم)]]&lt;0,Main[[#This Row],[تاريخ میلادی]]&gt;44276),Main[[#This Row],[مقدار (کیلوگرم)]],0)</f>
        <v>83</v>
      </c>
      <c r="N1746" s="6">
        <f ca="1">Main[[#This Row],[بدهکار (کیلوگرم)]]-Main[[#This Row],[بدهی تسویه نشده (کیلوگرم)]]</f>
        <v>83</v>
      </c>
      <c r="O1746" s="6">
        <f ca="1">Main[[#This Row],[تفکیک]]</f>
        <v>0</v>
      </c>
      <c r="P1746" s="6">
        <f ca="1">IF(Main[[#This Row],[تاخیر از سررسید]]&gt;0,Main[[#This Row],[بدهی تسویه نشده (کیلوگرم)]],0)</f>
        <v>0</v>
      </c>
      <c r="Q1746" s="6">
        <f ca="1">IF(Main[[#This Row],[بدهی تسویه نشده (کیلوگرم)]]&gt;0,'گزارش فردی'!$B$7-Main[[#This Row],[تاريخ میلادی]],0)</f>
        <v>0</v>
      </c>
      <c r="R1746" s="6">
        <f ca="1">IF(Main[[#This Row],[بدهی تسویه نشده (کیلوگرم)]]&gt;0,'گزارش فردی'!$B$7-Main[[#This Row],[تاريخ میلادی]]-'گزارش فردی'!$B$8,0)</f>
        <v>0</v>
      </c>
      <c r="S1746" s="6">
        <f ca="1">Main[[#This Row],[روز از ارسال سفارش]]*Main[[#This Row],[بدهی تسویه نشده (کیلوگرم)]]</f>
        <v>0</v>
      </c>
      <c r="T1746" s="6">
        <f ca="1">Main[[#This Row],[بدهی سررسید شده (کیلوگرم)]]*Main[[#This Row],[روز از ارسال سفارش]]</f>
        <v>0</v>
      </c>
      <c r="U1746" s="6">
        <f>-SUBTOTAL(9,INDEX(Main[مقدار (کیلوگرم)],1):Main[[#This Row],[مقدار (کیلوگرم)]])</f>
        <v>17185</v>
      </c>
      <c r="V174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6" s="6">
        <f>Main[[#This Row],[تعداد کل روزهای بدهکار (روز)]]*Main[[#This Row],[مانده در خط کل (کیلوگرم)]]</f>
        <v>51555</v>
      </c>
      <c r="X1746" s="6">
        <f ca="1">-SUBTOTAL(9,INDEX(Main[مقدار تسویه شده (کیلوگرم)],1):Main[[#This Row],[مقدار تسویه شده (کیلوگرم)]])</f>
        <v>17185</v>
      </c>
      <c r="Y1746" s="6">
        <f ca="1">IF(Main[[#This Row],[مانده در خط تسویه شده (کیلوگرم)]]&lt;&gt;0,Main[[#This Row],[تعداد کل روزهای بدهکار (روز)]],0)</f>
        <v>3</v>
      </c>
      <c r="Z1746" s="6">
        <f ca="1">Main[[#This Row],[تعداد روزهای بدهکار تسویه شده (روز)]]*Main[[#This Row],[مانده در خط تسویه شده (کیلوگرم)]]</f>
        <v>51555</v>
      </c>
      <c r="AA1746" s="6">
        <f ca="1">SUBTOTAL(9,INDEX(Main[بدهی تسویه نشده (کیلوگرم)],1):Main[[#This Row],[بدهی تسویه نشده (کیلوگرم)]])</f>
        <v>0</v>
      </c>
      <c r="AB1746" s="6">
        <f ca="1">IF(Main[[#This Row],[مانده در خط تسویه نشده (کیلوگرم)]]&lt;&gt;0,Main[[#This Row],[تعداد کل روزهای بدهکار (روز)]],0)</f>
        <v>0</v>
      </c>
      <c r="AC1746" s="6">
        <f ca="1">Main[[#This Row],[تعداد روزهای بدهکار  تسویه نشده (روز)]]*Main[[#This Row],[مانده در خط تسویه نشده (کیلوگرم)]]</f>
        <v>0</v>
      </c>
      <c r="AD1746" s="6">
        <f ca="1">SUBTOTAL(9,INDEX(Main[بدهی سررسید شده (کیلوگرم)],1):Main[[#This Row],[بدهی سررسید شده (کیلوگرم)]])</f>
        <v>0</v>
      </c>
      <c r="AE1746" s="6">
        <f ca="1">IF(Main[[#This Row],[مانده در خط سررسید شده (کیلوگرم)]]&lt;&gt;0,Main[[#This Row],[تعداد کل روزهای بدهکار (روز)]],0)</f>
        <v>0</v>
      </c>
      <c r="AF1746" s="6">
        <f ca="1">Main[[#This Row],[تعداد روزهای بدهکار سررسید شده (روز)]]*Main[[#This Row],[مانده در خط سررسید شده (کیلوگرم)]]</f>
        <v>0</v>
      </c>
    </row>
    <row r="1747" spans="1:32" hidden="1" x14ac:dyDescent="0.35">
      <c r="A1747" s="5">
        <f>ROW()-ROW(INDEX(Main[ردیف],1))+1</f>
        <v>1745</v>
      </c>
      <c r="B1747" s="31">
        <f>SUBTOTAL(2,INDEX(Main[ردیف],1):Main[[#This Row],[ردیف]])</f>
        <v>158</v>
      </c>
      <c r="C1747" s="32" t="s">
        <v>716</v>
      </c>
      <c r="D1747" s="32" t="str">
        <f>_xlfn.CONCAT("14",Main[[#This Row],[تاريخ]])</f>
        <v>1400/07/08</v>
      </c>
      <c r="E1747" s="33">
        <v>44469</v>
      </c>
      <c r="F1747" s="32">
        <v>30146</v>
      </c>
      <c r="G1747" s="5" t="str">
        <f>INDEX(customer[عنوان],MATCH(Main[[#This Row],[کد ردیابی]],customer[کد],0))</f>
        <v>شرکت آذرپاد</v>
      </c>
      <c r="H1747">
        <v>982</v>
      </c>
      <c r="I1747" s="6">
        <f ca="1">-Main[[#This Row],[بدهی تسویه شده (کیلوگرم)]]+Main[[#This Row],[بستانکار (کیلوگرم)]]</f>
        <v>982</v>
      </c>
      <c r="J1747" s="6">
        <f>IF(Main[[#This Row],[مقدار (کیلوگرم)]]&gt;0,Main[[#This Row],[مقدار (کیلوگرم)]],0)</f>
        <v>982</v>
      </c>
      <c r="K1747" s="6">
        <f>-IF(Main[[#This Row],[مقدار (کیلوگرم)]]&lt;0,Main[[#This Row],[مقدار (کیلوگرم)]],0)</f>
        <v>0</v>
      </c>
      <c r="L17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7" s="7">
        <f>-IF(AND(Main[[#This Row],[مقدار (کیلوگرم)]]&lt;0,Main[[#This Row],[تاريخ میلادی]]&gt;44276),Main[[#This Row],[مقدار (کیلوگرم)]],0)</f>
        <v>0</v>
      </c>
      <c r="N1747" s="6">
        <f ca="1">Main[[#This Row],[بدهکار (کیلوگرم)]]-Main[[#This Row],[بدهی تسویه نشده (کیلوگرم)]]</f>
        <v>0</v>
      </c>
      <c r="O1747" s="6">
        <f ca="1">Main[[#This Row],[تفکیک]]</f>
        <v>0</v>
      </c>
      <c r="P1747" s="6">
        <f ca="1">IF(Main[[#This Row],[تاخیر از سررسید]]&gt;0,Main[[#This Row],[بدهی تسویه نشده (کیلوگرم)]],0)</f>
        <v>0</v>
      </c>
      <c r="Q1747" s="6">
        <f ca="1">IF(Main[[#This Row],[بدهی تسویه نشده (کیلوگرم)]]&gt;0,'گزارش فردی'!$B$7-Main[[#This Row],[تاريخ میلادی]],0)</f>
        <v>0</v>
      </c>
      <c r="R1747" s="6">
        <f ca="1">IF(Main[[#This Row],[بدهی تسویه نشده (کیلوگرم)]]&gt;0,'گزارش فردی'!$B$7-Main[[#This Row],[تاريخ میلادی]]-'گزارش فردی'!$B$8,0)</f>
        <v>0</v>
      </c>
      <c r="S1747" s="6">
        <f ca="1">Main[[#This Row],[روز از ارسال سفارش]]*Main[[#This Row],[بدهی تسویه نشده (کیلوگرم)]]</f>
        <v>0</v>
      </c>
      <c r="T1747" s="6">
        <f ca="1">Main[[#This Row],[بدهی سررسید شده (کیلوگرم)]]*Main[[#This Row],[روز از ارسال سفارش]]</f>
        <v>0</v>
      </c>
      <c r="U1747" s="6">
        <f>-SUBTOTAL(9,INDEX(Main[مقدار (کیلوگرم)],1):Main[[#This Row],[مقدار (کیلوگرم)]])</f>
        <v>17185</v>
      </c>
      <c r="V174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7" s="6">
        <f>Main[[#This Row],[تعداد کل روزهای بدهکار (روز)]]*Main[[#This Row],[مانده در خط کل (کیلوگرم)]]</f>
        <v>51555</v>
      </c>
      <c r="X1747" s="6">
        <f ca="1">-SUBTOTAL(9,INDEX(Main[مقدار تسویه شده (کیلوگرم)],1):Main[[#This Row],[مقدار تسویه شده (کیلوگرم)]])</f>
        <v>17185</v>
      </c>
      <c r="Y1747" s="6">
        <f ca="1">IF(Main[[#This Row],[مانده در خط تسویه شده (کیلوگرم)]]&lt;&gt;0,Main[[#This Row],[تعداد کل روزهای بدهکار (روز)]],0)</f>
        <v>3</v>
      </c>
      <c r="Z1747" s="6">
        <f ca="1">Main[[#This Row],[تعداد روزهای بدهکار تسویه شده (روز)]]*Main[[#This Row],[مانده در خط تسویه شده (کیلوگرم)]]</f>
        <v>51555</v>
      </c>
      <c r="AA1747" s="6">
        <f ca="1">SUBTOTAL(9,INDEX(Main[بدهی تسویه نشده (کیلوگرم)],1):Main[[#This Row],[بدهی تسویه نشده (کیلوگرم)]])</f>
        <v>0</v>
      </c>
      <c r="AB1747" s="6">
        <f ca="1">IF(Main[[#This Row],[مانده در خط تسویه نشده (کیلوگرم)]]&lt;&gt;0,Main[[#This Row],[تعداد کل روزهای بدهکار (روز)]],0)</f>
        <v>0</v>
      </c>
      <c r="AC1747" s="6">
        <f ca="1">Main[[#This Row],[تعداد روزهای بدهکار  تسویه نشده (روز)]]*Main[[#This Row],[مانده در خط تسویه نشده (کیلوگرم)]]</f>
        <v>0</v>
      </c>
      <c r="AD1747" s="6">
        <f ca="1">SUBTOTAL(9,INDEX(Main[بدهی سررسید شده (کیلوگرم)],1):Main[[#This Row],[بدهی سررسید شده (کیلوگرم)]])</f>
        <v>0</v>
      </c>
      <c r="AE1747" s="6">
        <f ca="1">IF(Main[[#This Row],[مانده در خط سررسید شده (کیلوگرم)]]&lt;&gt;0,Main[[#This Row],[تعداد کل روزهای بدهکار (روز)]],0)</f>
        <v>0</v>
      </c>
      <c r="AF1747" s="6">
        <f ca="1">Main[[#This Row],[تعداد روزهای بدهکار سررسید شده (روز)]]*Main[[#This Row],[مانده در خط سررسید شده (کیلوگرم)]]</f>
        <v>0</v>
      </c>
    </row>
    <row r="1748" spans="1:32" hidden="1" x14ac:dyDescent="0.35">
      <c r="A1748" s="5">
        <f>ROW()-ROW(INDEX(Main[ردیف],1))+1</f>
        <v>1746</v>
      </c>
      <c r="B1748" s="31">
        <f>SUBTOTAL(2,INDEX(Main[ردیف],1):Main[[#This Row],[ردیف]])</f>
        <v>158</v>
      </c>
      <c r="C1748" s="32" t="s">
        <v>716</v>
      </c>
      <c r="D1748" s="32" t="str">
        <f>_xlfn.CONCAT("14",Main[[#This Row],[تاريخ]])</f>
        <v>1400/07/08</v>
      </c>
      <c r="E1748" s="33">
        <v>44469</v>
      </c>
      <c r="F1748" s="32">
        <v>30004</v>
      </c>
      <c r="G1748" s="5" t="str">
        <f>INDEX(customer[عنوان],MATCH(Main[[#This Row],[کد ردیابی]],customer[کد],0))</f>
        <v>تولیدی صنعتی صفاشیر پارس</v>
      </c>
      <c r="H1748">
        <v>-4153</v>
      </c>
      <c r="I1748" s="6">
        <f ca="1">-Main[[#This Row],[بدهی تسویه شده (کیلوگرم)]]+Main[[#This Row],[بستانکار (کیلوگرم)]]</f>
        <v>-4153</v>
      </c>
      <c r="J1748" s="6">
        <f>IF(Main[[#This Row],[مقدار (کیلوگرم)]]&gt;0,Main[[#This Row],[مقدار (کیلوگرم)]],0)</f>
        <v>0</v>
      </c>
      <c r="K1748" s="6">
        <f>-IF(Main[[#This Row],[مقدار (کیلوگرم)]]&lt;0,Main[[#This Row],[مقدار (کیلوگرم)]],0)</f>
        <v>4153</v>
      </c>
      <c r="L17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8" s="7">
        <f>-IF(AND(Main[[#This Row],[مقدار (کیلوگرم)]]&lt;0,Main[[#This Row],[تاريخ میلادی]]&gt;44276),Main[[#This Row],[مقدار (کیلوگرم)]],0)</f>
        <v>4153</v>
      </c>
      <c r="N1748" s="6">
        <f ca="1">Main[[#This Row],[بدهکار (کیلوگرم)]]-Main[[#This Row],[بدهی تسویه نشده (کیلوگرم)]]</f>
        <v>4153</v>
      </c>
      <c r="O1748" s="6">
        <f ca="1">Main[[#This Row],[تفکیک]]</f>
        <v>0</v>
      </c>
      <c r="P1748" s="6">
        <f ca="1">IF(Main[[#This Row],[تاخیر از سررسید]]&gt;0,Main[[#This Row],[بدهی تسویه نشده (کیلوگرم)]],0)</f>
        <v>0</v>
      </c>
      <c r="Q1748" s="6">
        <f ca="1">IF(Main[[#This Row],[بدهی تسویه نشده (کیلوگرم)]]&gt;0,'گزارش فردی'!$B$7-Main[[#This Row],[تاريخ میلادی]],0)</f>
        <v>0</v>
      </c>
      <c r="R1748" s="6">
        <f ca="1">IF(Main[[#This Row],[بدهی تسویه نشده (کیلوگرم)]]&gt;0,'گزارش فردی'!$B$7-Main[[#This Row],[تاريخ میلادی]]-'گزارش فردی'!$B$8,0)</f>
        <v>0</v>
      </c>
      <c r="S1748" s="6">
        <f ca="1">Main[[#This Row],[روز از ارسال سفارش]]*Main[[#This Row],[بدهی تسویه نشده (کیلوگرم)]]</f>
        <v>0</v>
      </c>
      <c r="T1748" s="6">
        <f ca="1">Main[[#This Row],[بدهی سررسید شده (کیلوگرم)]]*Main[[#This Row],[روز از ارسال سفارش]]</f>
        <v>0</v>
      </c>
      <c r="U1748" s="6">
        <f>-SUBTOTAL(9,INDEX(Main[مقدار (کیلوگرم)],1):Main[[#This Row],[مقدار (کیلوگرم)]])</f>
        <v>17185</v>
      </c>
      <c r="V174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8" s="6">
        <f>Main[[#This Row],[تعداد کل روزهای بدهکار (روز)]]*Main[[#This Row],[مانده در خط کل (کیلوگرم)]]</f>
        <v>51555</v>
      </c>
      <c r="X1748" s="6">
        <f ca="1">-SUBTOTAL(9,INDEX(Main[مقدار تسویه شده (کیلوگرم)],1):Main[[#This Row],[مقدار تسویه شده (کیلوگرم)]])</f>
        <v>17185</v>
      </c>
      <c r="Y1748" s="6">
        <f ca="1">IF(Main[[#This Row],[مانده در خط تسویه شده (کیلوگرم)]]&lt;&gt;0,Main[[#This Row],[تعداد کل روزهای بدهکار (روز)]],0)</f>
        <v>3</v>
      </c>
      <c r="Z1748" s="6">
        <f ca="1">Main[[#This Row],[تعداد روزهای بدهکار تسویه شده (روز)]]*Main[[#This Row],[مانده در خط تسویه شده (کیلوگرم)]]</f>
        <v>51555</v>
      </c>
      <c r="AA1748" s="6">
        <f ca="1">SUBTOTAL(9,INDEX(Main[بدهی تسویه نشده (کیلوگرم)],1):Main[[#This Row],[بدهی تسویه نشده (کیلوگرم)]])</f>
        <v>0</v>
      </c>
      <c r="AB1748" s="6">
        <f ca="1">IF(Main[[#This Row],[مانده در خط تسویه نشده (کیلوگرم)]]&lt;&gt;0,Main[[#This Row],[تعداد کل روزهای بدهکار (روز)]],0)</f>
        <v>0</v>
      </c>
      <c r="AC1748" s="6">
        <f ca="1">Main[[#This Row],[تعداد روزهای بدهکار  تسویه نشده (روز)]]*Main[[#This Row],[مانده در خط تسویه نشده (کیلوگرم)]]</f>
        <v>0</v>
      </c>
      <c r="AD1748" s="6">
        <f ca="1">SUBTOTAL(9,INDEX(Main[بدهی سررسید شده (کیلوگرم)],1):Main[[#This Row],[بدهی سررسید شده (کیلوگرم)]])</f>
        <v>0</v>
      </c>
      <c r="AE1748" s="6">
        <f ca="1">IF(Main[[#This Row],[مانده در خط سررسید شده (کیلوگرم)]]&lt;&gt;0,Main[[#This Row],[تعداد کل روزهای بدهکار (روز)]],0)</f>
        <v>0</v>
      </c>
      <c r="AF1748" s="6">
        <f ca="1">Main[[#This Row],[تعداد روزهای بدهکار سررسید شده (روز)]]*Main[[#This Row],[مانده در خط سررسید شده (کیلوگرم)]]</f>
        <v>0</v>
      </c>
    </row>
    <row r="1749" spans="1:32" hidden="1" x14ac:dyDescent="0.35">
      <c r="A1749" s="5">
        <f>ROW()-ROW(INDEX(Main[ردیف],1))+1</f>
        <v>1747</v>
      </c>
      <c r="B1749" s="31">
        <f>SUBTOTAL(2,INDEX(Main[ردیف],1):Main[[#This Row],[ردیف]])</f>
        <v>158</v>
      </c>
      <c r="C1749" s="32" t="s">
        <v>716</v>
      </c>
      <c r="D1749" s="32" t="str">
        <f>_xlfn.CONCAT("14",Main[[#This Row],[تاريخ]])</f>
        <v>1400/07/08</v>
      </c>
      <c r="E1749" s="33">
        <v>44469</v>
      </c>
      <c r="F1749" s="32">
        <v>30081</v>
      </c>
      <c r="G1749" s="5" t="str">
        <f>INDEX(customer[عنوان],MATCH(Main[[#This Row],[کد ردیابی]],customer[کد],0))</f>
        <v xml:space="preserve">شیرآلات بهداشتی راسان </v>
      </c>
      <c r="H1749">
        <v>3192</v>
      </c>
      <c r="I1749" s="6">
        <f ca="1">-Main[[#This Row],[بدهی تسویه شده (کیلوگرم)]]+Main[[#This Row],[بستانکار (کیلوگرم)]]</f>
        <v>3192</v>
      </c>
      <c r="J1749" s="6">
        <f>IF(Main[[#This Row],[مقدار (کیلوگرم)]]&gt;0,Main[[#This Row],[مقدار (کیلوگرم)]],0)</f>
        <v>3192</v>
      </c>
      <c r="K1749" s="6">
        <f>-IF(Main[[#This Row],[مقدار (کیلوگرم)]]&lt;0,Main[[#This Row],[مقدار (کیلوگرم)]],0)</f>
        <v>0</v>
      </c>
      <c r="L17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9" s="7">
        <f>-IF(AND(Main[[#This Row],[مقدار (کیلوگرم)]]&lt;0,Main[[#This Row],[تاريخ میلادی]]&gt;44276),Main[[#This Row],[مقدار (کیلوگرم)]],0)</f>
        <v>0</v>
      </c>
      <c r="N1749" s="6">
        <f ca="1">Main[[#This Row],[بدهکار (کیلوگرم)]]-Main[[#This Row],[بدهی تسویه نشده (کیلوگرم)]]</f>
        <v>0</v>
      </c>
      <c r="O1749" s="6">
        <f ca="1">Main[[#This Row],[تفکیک]]</f>
        <v>0</v>
      </c>
      <c r="P1749" s="6">
        <f ca="1">IF(Main[[#This Row],[تاخیر از سررسید]]&gt;0,Main[[#This Row],[بدهی تسویه نشده (کیلوگرم)]],0)</f>
        <v>0</v>
      </c>
      <c r="Q1749" s="6">
        <f ca="1">IF(Main[[#This Row],[بدهی تسویه نشده (کیلوگرم)]]&gt;0,'گزارش فردی'!$B$7-Main[[#This Row],[تاريخ میلادی]],0)</f>
        <v>0</v>
      </c>
      <c r="R1749" s="6">
        <f ca="1">IF(Main[[#This Row],[بدهی تسویه نشده (کیلوگرم)]]&gt;0,'گزارش فردی'!$B$7-Main[[#This Row],[تاريخ میلادی]]-'گزارش فردی'!$B$8,0)</f>
        <v>0</v>
      </c>
      <c r="S1749" s="6">
        <f ca="1">Main[[#This Row],[روز از ارسال سفارش]]*Main[[#This Row],[بدهی تسویه نشده (کیلوگرم)]]</f>
        <v>0</v>
      </c>
      <c r="T1749" s="6">
        <f ca="1">Main[[#This Row],[بدهی سررسید شده (کیلوگرم)]]*Main[[#This Row],[روز از ارسال سفارش]]</f>
        <v>0</v>
      </c>
      <c r="U1749" s="6">
        <f>-SUBTOTAL(9,INDEX(Main[مقدار (کیلوگرم)],1):Main[[#This Row],[مقدار (کیلوگرم)]])</f>
        <v>17185</v>
      </c>
      <c r="V174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9" s="6">
        <f>Main[[#This Row],[تعداد کل روزهای بدهکار (روز)]]*Main[[#This Row],[مانده در خط کل (کیلوگرم)]]</f>
        <v>51555</v>
      </c>
      <c r="X1749" s="6">
        <f ca="1">-SUBTOTAL(9,INDEX(Main[مقدار تسویه شده (کیلوگرم)],1):Main[[#This Row],[مقدار تسویه شده (کیلوگرم)]])</f>
        <v>17185</v>
      </c>
      <c r="Y1749" s="6">
        <f ca="1">IF(Main[[#This Row],[مانده در خط تسویه شده (کیلوگرم)]]&lt;&gt;0,Main[[#This Row],[تعداد کل روزهای بدهکار (روز)]],0)</f>
        <v>3</v>
      </c>
      <c r="Z1749" s="6">
        <f ca="1">Main[[#This Row],[تعداد روزهای بدهکار تسویه شده (روز)]]*Main[[#This Row],[مانده در خط تسویه شده (کیلوگرم)]]</f>
        <v>51555</v>
      </c>
      <c r="AA1749" s="6">
        <f ca="1">SUBTOTAL(9,INDEX(Main[بدهی تسویه نشده (کیلوگرم)],1):Main[[#This Row],[بدهی تسویه نشده (کیلوگرم)]])</f>
        <v>0</v>
      </c>
      <c r="AB1749" s="6">
        <f ca="1">IF(Main[[#This Row],[مانده در خط تسویه نشده (کیلوگرم)]]&lt;&gt;0,Main[[#This Row],[تعداد کل روزهای بدهکار (روز)]],0)</f>
        <v>0</v>
      </c>
      <c r="AC1749" s="6">
        <f ca="1">Main[[#This Row],[تعداد روزهای بدهکار  تسویه نشده (روز)]]*Main[[#This Row],[مانده در خط تسویه نشده (کیلوگرم)]]</f>
        <v>0</v>
      </c>
      <c r="AD1749" s="6">
        <f ca="1">SUBTOTAL(9,INDEX(Main[بدهی سررسید شده (کیلوگرم)],1):Main[[#This Row],[بدهی سررسید شده (کیلوگرم)]])</f>
        <v>0</v>
      </c>
      <c r="AE1749" s="6">
        <f ca="1">IF(Main[[#This Row],[مانده در خط سررسید شده (کیلوگرم)]]&lt;&gt;0,Main[[#This Row],[تعداد کل روزهای بدهکار (روز)]],0)</f>
        <v>0</v>
      </c>
      <c r="AF1749" s="6">
        <f ca="1">Main[[#This Row],[تعداد روزهای بدهکار سررسید شده (روز)]]*Main[[#This Row],[مانده در خط سررسید شده (کیلوگرم)]]</f>
        <v>0</v>
      </c>
    </row>
    <row r="1750" spans="1:32" hidden="1" x14ac:dyDescent="0.35">
      <c r="A1750" s="5">
        <f>ROW()-ROW(INDEX(Main[ردیف],1))+1</f>
        <v>1748</v>
      </c>
      <c r="B1750" s="31">
        <f>SUBTOTAL(2,INDEX(Main[ردیف],1):Main[[#This Row],[ردیف]])</f>
        <v>158</v>
      </c>
      <c r="C1750" s="32" t="s">
        <v>716</v>
      </c>
      <c r="D1750" s="32" t="str">
        <f>_xlfn.CONCAT("14",Main[[#This Row],[تاريخ]])</f>
        <v>1400/07/08</v>
      </c>
      <c r="E1750" s="33">
        <v>44469</v>
      </c>
      <c r="F1750" s="32">
        <v>30191</v>
      </c>
      <c r="G1750" s="5" t="str">
        <f>INDEX(customer[عنوان],MATCH(Main[[#This Row],[کد ردیابی]],customer[کد],0))</f>
        <v>ایران گرما</v>
      </c>
      <c r="H1750">
        <v>1392</v>
      </c>
      <c r="I1750" s="6">
        <f ca="1">-Main[[#This Row],[بدهی تسویه شده (کیلوگرم)]]+Main[[#This Row],[بستانکار (کیلوگرم)]]</f>
        <v>1392</v>
      </c>
      <c r="J1750" s="6">
        <f>IF(Main[[#This Row],[مقدار (کیلوگرم)]]&gt;0,Main[[#This Row],[مقدار (کیلوگرم)]],0)</f>
        <v>1392</v>
      </c>
      <c r="K1750" s="6">
        <f>-IF(Main[[#This Row],[مقدار (کیلوگرم)]]&lt;0,Main[[#This Row],[مقدار (کیلوگرم)]],0)</f>
        <v>0</v>
      </c>
      <c r="L17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0" s="7">
        <f>-IF(AND(Main[[#This Row],[مقدار (کیلوگرم)]]&lt;0,Main[[#This Row],[تاريخ میلادی]]&gt;44276),Main[[#This Row],[مقدار (کیلوگرم)]],0)</f>
        <v>0</v>
      </c>
      <c r="N1750" s="6">
        <f ca="1">Main[[#This Row],[بدهکار (کیلوگرم)]]-Main[[#This Row],[بدهی تسویه نشده (کیلوگرم)]]</f>
        <v>0</v>
      </c>
      <c r="O1750" s="6">
        <f ca="1">Main[[#This Row],[تفکیک]]</f>
        <v>0</v>
      </c>
      <c r="P1750" s="6">
        <f ca="1">IF(Main[[#This Row],[تاخیر از سررسید]]&gt;0,Main[[#This Row],[بدهی تسویه نشده (کیلوگرم)]],0)</f>
        <v>0</v>
      </c>
      <c r="Q1750" s="6">
        <f ca="1">IF(Main[[#This Row],[بدهی تسویه نشده (کیلوگرم)]]&gt;0,'گزارش فردی'!$B$7-Main[[#This Row],[تاريخ میلادی]],0)</f>
        <v>0</v>
      </c>
      <c r="R1750" s="6">
        <f ca="1">IF(Main[[#This Row],[بدهی تسویه نشده (کیلوگرم)]]&gt;0,'گزارش فردی'!$B$7-Main[[#This Row],[تاريخ میلادی]]-'گزارش فردی'!$B$8,0)</f>
        <v>0</v>
      </c>
      <c r="S1750" s="6">
        <f ca="1">Main[[#This Row],[روز از ارسال سفارش]]*Main[[#This Row],[بدهی تسویه نشده (کیلوگرم)]]</f>
        <v>0</v>
      </c>
      <c r="T1750" s="6">
        <f ca="1">Main[[#This Row],[بدهی سررسید شده (کیلوگرم)]]*Main[[#This Row],[روز از ارسال سفارش]]</f>
        <v>0</v>
      </c>
      <c r="U1750" s="6">
        <f>-SUBTOTAL(9,INDEX(Main[مقدار (کیلوگرم)],1):Main[[#This Row],[مقدار (کیلوگرم)]])</f>
        <v>17185</v>
      </c>
      <c r="V175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0" s="6">
        <f>Main[[#This Row],[تعداد کل روزهای بدهکار (روز)]]*Main[[#This Row],[مانده در خط کل (کیلوگرم)]]</f>
        <v>51555</v>
      </c>
      <c r="X1750" s="6">
        <f ca="1">-SUBTOTAL(9,INDEX(Main[مقدار تسویه شده (کیلوگرم)],1):Main[[#This Row],[مقدار تسویه شده (کیلوگرم)]])</f>
        <v>17185</v>
      </c>
      <c r="Y1750" s="6">
        <f ca="1">IF(Main[[#This Row],[مانده در خط تسویه شده (کیلوگرم)]]&lt;&gt;0,Main[[#This Row],[تعداد کل روزهای بدهکار (روز)]],0)</f>
        <v>3</v>
      </c>
      <c r="Z1750" s="6">
        <f ca="1">Main[[#This Row],[تعداد روزهای بدهکار تسویه شده (روز)]]*Main[[#This Row],[مانده در خط تسویه شده (کیلوگرم)]]</f>
        <v>51555</v>
      </c>
      <c r="AA1750" s="6">
        <f ca="1">SUBTOTAL(9,INDEX(Main[بدهی تسویه نشده (کیلوگرم)],1):Main[[#This Row],[بدهی تسویه نشده (کیلوگرم)]])</f>
        <v>0</v>
      </c>
      <c r="AB1750" s="6">
        <f ca="1">IF(Main[[#This Row],[مانده در خط تسویه نشده (کیلوگرم)]]&lt;&gt;0,Main[[#This Row],[تعداد کل روزهای بدهکار (روز)]],0)</f>
        <v>0</v>
      </c>
      <c r="AC1750" s="6">
        <f ca="1">Main[[#This Row],[تعداد روزهای بدهکار  تسویه نشده (روز)]]*Main[[#This Row],[مانده در خط تسویه نشده (کیلوگرم)]]</f>
        <v>0</v>
      </c>
      <c r="AD1750" s="6">
        <f ca="1">SUBTOTAL(9,INDEX(Main[بدهی سررسید شده (کیلوگرم)],1):Main[[#This Row],[بدهی سررسید شده (کیلوگرم)]])</f>
        <v>0</v>
      </c>
      <c r="AE1750" s="6">
        <f ca="1">IF(Main[[#This Row],[مانده در خط سررسید شده (کیلوگرم)]]&lt;&gt;0,Main[[#This Row],[تعداد کل روزهای بدهکار (روز)]],0)</f>
        <v>0</v>
      </c>
      <c r="AF1750" s="6">
        <f ca="1">Main[[#This Row],[تعداد روزهای بدهکار سررسید شده (روز)]]*Main[[#This Row],[مانده در خط سررسید شده (کیلوگرم)]]</f>
        <v>0</v>
      </c>
    </row>
    <row r="1751" spans="1:32" hidden="1" x14ac:dyDescent="0.35">
      <c r="A1751" s="5">
        <f>ROW()-ROW(INDEX(Main[ردیف],1))+1</f>
        <v>1749</v>
      </c>
      <c r="B1751" s="31">
        <f>SUBTOTAL(2,INDEX(Main[ردیف],1):Main[[#This Row],[ردیف]])</f>
        <v>158</v>
      </c>
      <c r="C1751" s="32" t="s">
        <v>716</v>
      </c>
      <c r="D1751" s="32" t="str">
        <f>_xlfn.CONCAT("14",Main[[#This Row],[تاريخ]])</f>
        <v>1400/07/08</v>
      </c>
      <c r="E1751" s="33">
        <v>44469</v>
      </c>
      <c r="F1751" s="32">
        <v>30009</v>
      </c>
      <c r="G1751" s="5" t="str">
        <f>INDEX(customer[عنوان],MATCH(Main[[#This Row],[کد ردیابی]],customer[کد],0))</f>
        <v>شرکت ایمن تک پیشرو</v>
      </c>
      <c r="H1751">
        <v>1886</v>
      </c>
      <c r="I1751" s="6">
        <f ca="1">-Main[[#This Row],[بدهی تسویه شده (کیلوگرم)]]+Main[[#This Row],[بستانکار (کیلوگرم)]]</f>
        <v>1886</v>
      </c>
      <c r="J1751" s="6">
        <f>IF(Main[[#This Row],[مقدار (کیلوگرم)]]&gt;0,Main[[#This Row],[مقدار (کیلوگرم)]],0)</f>
        <v>1886</v>
      </c>
      <c r="K1751" s="6">
        <f>-IF(Main[[#This Row],[مقدار (کیلوگرم)]]&lt;0,Main[[#This Row],[مقدار (کیلوگرم)]],0)</f>
        <v>0</v>
      </c>
      <c r="L17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1" s="7">
        <f>-IF(AND(Main[[#This Row],[مقدار (کیلوگرم)]]&lt;0,Main[[#This Row],[تاريخ میلادی]]&gt;44276),Main[[#This Row],[مقدار (کیلوگرم)]],0)</f>
        <v>0</v>
      </c>
      <c r="N1751" s="6">
        <f ca="1">Main[[#This Row],[بدهکار (کیلوگرم)]]-Main[[#This Row],[بدهی تسویه نشده (کیلوگرم)]]</f>
        <v>0</v>
      </c>
      <c r="O1751" s="6">
        <f ca="1">Main[[#This Row],[تفکیک]]</f>
        <v>0</v>
      </c>
      <c r="P1751" s="6">
        <f ca="1">IF(Main[[#This Row],[تاخیر از سررسید]]&gt;0,Main[[#This Row],[بدهی تسویه نشده (کیلوگرم)]],0)</f>
        <v>0</v>
      </c>
      <c r="Q1751" s="6">
        <f ca="1">IF(Main[[#This Row],[بدهی تسویه نشده (کیلوگرم)]]&gt;0,'گزارش فردی'!$B$7-Main[[#This Row],[تاريخ میلادی]],0)</f>
        <v>0</v>
      </c>
      <c r="R1751" s="6">
        <f ca="1">IF(Main[[#This Row],[بدهی تسویه نشده (کیلوگرم)]]&gt;0,'گزارش فردی'!$B$7-Main[[#This Row],[تاريخ میلادی]]-'گزارش فردی'!$B$8,0)</f>
        <v>0</v>
      </c>
      <c r="S1751" s="6">
        <f ca="1">Main[[#This Row],[روز از ارسال سفارش]]*Main[[#This Row],[بدهی تسویه نشده (کیلوگرم)]]</f>
        <v>0</v>
      </c>
      <c r="T1751" s="6">
        <f ca="1">Main[[#This Row],[بدهی سررسید شده (کیلوگرم)]]*Main[[#This Row],[روز از ارسال سفارش]]</f>
        <v>0</v>
      </c>
      <c r="U1751" s="6">
        <f>-SUBTOTAL(9,INDEX(Main[مقدار (کیلوگرم)],1):Main[[#This Row],[مقدار (کیلوگرم)]])</f>
        <v>17185</v>
      </c>
      <c r="V175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1" s="6">
        <f>Main[[#This Row],[تعداد کل روزهای بدهکار (روز)]]*Main[[#This Row],[مانده در خط کل (کیلوگرم)]]</f>
        <v>51555</v>
      </c>
      <c r="X1751" s="6">
        <f ca="1">-SUBTOTAL(9,INDEX(Main[مقدار تسویه شده (کیلوگرم)],1):Main[[#This Row],[مقدار تسویه شده (کیلوگرم)]])</f>
        <v>17185</v>
      </c>
      <c r="Y1751" s="6">
        <f ca="1">IF(Main[[#This Row],[مانده در خط تسویه شده (کیلوگرم)]]&lt;&gt;0,Main[[#This Row],[تعداد کل روزهای بدهکار (روز)]],0)</f>
        <v>3</v>
      </c>
      <c r="Z1751" s="6">
        <f ca="1">Main[[#This Row],[تعداد روزهای بدهکار تسویه شده (روز)]]*Main[[#This Row],[مانده در خط تسویه شده (کیلوگرم)]]</f>
        <v>51555</v>
      </c>
      <c r="AA1751" s="6">
        <f ca="1">SUBTOTAL(9,INDEX(Main[بدهی تسویه نشده (کیلوگرم)],1):Main[[#This Row],[بدهی تسویه نشده (کیلوگرم)]])</f>
        <v>0</v>
      </c>
      <c r="AB1751" s="6">
        <f ca="1">IF(Main[[#This Row],[مانده در خط تسویه نشده (کیلوگرم)]]&lt;&gt;0,Main[[#This Row],[تعداد کل روزهای بدهکار (روز)]],0)</f>
        <v>0</v>
      </c>
      <c r="AC1751" s="6">
        <f ca="1">Main[[#This Row],[تعداد روزهای بدهکار  تسویه نشده (روز)]]*Main[[#This Row],[مانده در خط تسویه نشده (کیلوگرم)]]</f>
        <v>0</v>
      </c>
      <c r="AD1751" s="6">
        <f ca="1">SUBTOTAL(9,INDEX(Main[بدهی سررسید شده (کیلوگرم)],1):Main[[#This Row],[بدهی سررسید شده (کیلوگرم)]])</f>
        <v>0</v>
      </c>
      <c r="AE1751" s="6">
        <f ca="1">IF(Main[[#This Row],[مانده در خط سررسید شده (کیلوگرم)]]&lt;&gt;0,Main[[#This Row],[تعداد کل روزهای بدهکار (روز)]],0)</f>
        <v>0</v>
      </c>
      <c r="AF1751" s="6">
        <f ca="1">Main[[#This Row],[تعداد روزهای بدهکار سررسید شده (روز)]]*Main[[#This Row],[مانده در خط سررسید شده (کیلوگرم)]]</f>
        <v>0</v>
      </c>
    </row>
    <row r="1752" spans="1:32" hidden="1" x14ac:dyDescent="0.35">
      <c r="A1752" s="5">
        <f>ROW()-ROW(INDEX(Main[ردیف],1))+1</f>
        <v>1750</v>
      </c>
      <c r="B1752" s="31">
        <f>SUBTOTAL(2,INDEX(Main[ردیف],1):Main[[#This Row],[ردیف]])</f>
        <v>158</v>
      </c>
      <c r="C1752" s="32" t="s">
        <v>716</v>
      </c>
      <c r="D1752" s="32" t="str">
        <f>_xlfn.CONCAT("14",Main[[#This Row],[تاريخ]])</f>
        <v>1400/07/08</v>
      </c>
      <c r="E1752" s="33">
        <v>44469</v>
      </c>
      <c r="F1752" s="32">
        <v>30004</v>
      </c>
      <c r="G1752" s="5" t="str">
        <f>INDEX(customer[عنوان],MATCH(Main[[#This Row],[کد ردیابی]],customer[کد],0))</f>
        <v>تولیدی صنعتی صفاشیر پارس</v>
      </c>
      <c r="H1752">
        <v>2246</v>
      </c>
      <c r="I1752" s="6">
        <f ca="1">-Main[[#This Row],[بدهی تسویه شده (کیلوگرم)]]+Main[[#This Row],[بستانکار (کیلوگرم)]]</f>
        <v>2246</v>
      </c>
      <c r="J1752" s="6">
        <f>IF(Main[[#This Row],[مقدار (کیلوگرم)]]&gt;0,Main[[#This Row],[مقدار (کیلوگرم)]],0)</f>
        <v>2246</v>
      </c>
      <c r="K1752" s="6">
        <f>-IF(Main[[#This Row],[مقدار (کیلوگرم)]]&lt;0,Main[[#This Row],[مقدار (کیلوگرم)]],0)</f>
        <v>0</v>
      </c>
      <c r="L17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2" s="7">
        <f>-IF(AND(Main[[#This Row],[مقدار (کیلوگرم)]]&lt;0,Main[[#This Row],[تاريخ میلادی]]&gt;44276),Main[[#This Row],[مقدار (کیلوگرم)]],0)</f>
        <v>0</v>
      </c>
      <c r="N1752" s="6">
        <f ca="1">Main[[#This Row],[بدهکار (کیلوگرم)]]-Main[[#This Row],[بدهی تسویه نشده (کیلوگرم)]]</f>
        <v>0</v>
      </c>
      <c r="O1752" s="6">
        <f ca="1">Main[[#This Row],[تفکیک]]</f>
        <v>0</v>
      </c>
      <c r="P1752" s="6">
        <f ca="1">IF(Main[[#This Row],[تاخیر از سررسید]]&gt;0,Main[[#This Row],[بدهی تسویه نشده (کیلوگرم)]],0)</f>
        <v>0</v>
      </c>
      <c r="Q1752" s="6">
        <f ca="1">IF(Main[[#This Row],[بدهی تسویه نشده (کیلوگرم)]]&gt;0,'گزارش فردی'!$B$7-Main[[#This Row],[تاريخ میلادی]],0)</f>
        <v>0</v>
      </c>
      <c r="R1752" s="6">
        <f ca="1">IF(Main[[#This Row],[بدهی تسویه نشده (کیلوگرم)]]&gt;0,'گزارش فردی'!$B$7-Main[[#This Row],[تاريخ میلادی]]-'گزارش فردی'!$B$8,0)</f>
        <v>0</v>
      </c>
      <c r="S1752" s="6">
        <f ca="1">Main[[#This Row],[روز از ارسال سفارش]]*Main[[#This Row],[بدهی تسویه نشده (کیلوگرم)]]</f>
        <v>0</v>
      </c>
      <c r="T1752" s="6">
        <f ca="1">Main[[#This Row],[بدهی سررسید شده (کیلوگرم)]]*Main[[#This Row],[روز از ارسال سفارش]]</f>
        <v>0</v>
      </c>
      <c r="U1752" s="6">
        <f>-SUBTOTAL(9,INDEX(Main[مقدار (کیلوگرم)],1):Main[[#This Row],[مقدار (کیلوگرم)]])</f>
        <v>17185</v>
      </c>
      <c r="V175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2" s="6">
        <f>Main[[#This Row],[تعداد کل روزهای بدهکار (روز)]]*Main[[#This Row],[مانده در خط کل (کیلوگرم)]]</f>
        <v>51555</v>
      </c>
      <c r="X1752" s="6">
        <f ca="1">-SUBTOTAL(9,INDEX(Main[مقدار تسویه شده (کیلوگرم)],1):Main[[#This Row],[مقدار تسویه شده (کیلوگرم)]])</f>
        <v>17185</v>
      </c>
      <c r="Y1752" s="6">
        <f ca="1">IF(Main[[#This Row],[مانده در خط تسویه شده (کیلوگرم)]]&lt;&gt;0,Main[[#This Row],[تعداد کل روزهای بدهکار (روز)]],0)</f>
        <v>3</v>
      </c>
      <c r="Z1752" s="6">
        <f ca="1">Main[[#This Row],[تعداد روزهای بدهکار تسویه شده (روز)]]*Main[[#This Row],[مانده در خط تسویه شده (کیلوگرم)]]</f>
        <v>51555</v>
      </c>
      <c r="AA1752" s="6">
        <f ca="1">SUBTOTAL(9,INDEX(Main[بدهی تسویه نشده (کیلوگرم)],1):Main[[#This Row],[بدهی تسویه نشده (کیلوگرم)]])</f>
        <v>0</v>
      </c>
      <c r="AB1752" s="6">
        <f ca="1">IF(Main[[#This Row],[مانده در خط تسویه نشده (کیلوگرم)]]&lt;&gt;0,Main[[#This Row],[تعداد کل روزهای بدهکار (روز)]],0)</f>
        <v>0</v>
      </c>
      <c r="AC1752" s="6">
        <f ca="1">Main[[#This Row],[تعداد روزهای بدهکار  تسویه نشده (روز)]]*Main[[#This Row],[مانده در خط تسویه نشده (کیلوگرم)]]</f>
        <v>0</v>
      </c>
      <c r="AD1752" s="6">
        <f ca="1">SUBTOTAL(9,INDEX(Main[بدهی سررسید شده (کیلوگرم)],1):Main[[#This Row],[بدهی سررسید شده (کیلوگرم)]])</f>
        <v>0</v>
      </c>
      <c r="AE1752" s="6">
        <f ca="1">IF(Main[[#This Row],[مانده در خط سررسید شده (کیلوگرم)]]&lt;&gt;0,Main[[#This Row],[تعداد کل روزهای بدهکار (روز)]],0)</f>
        <v>0</v>
      </c>
      <c r="AF1752" s="6">
        <f ca="1">Main[[#This Row],[تعداد روزهای بدهکار سررسید شده (روز)]]*Main[[#This Row],[مانده در خط سررسید شده (کیلوگرم)]]</f>
        <v>0</v>
      </c>
    </row>
    <row r="1753" spans="1:32" hidden="1" x14ac:dyDescent="0.35">
      <c r="A1753" s="5">
        <f>ROW()-ROW(INDEX(Main[ردیف],1))+1</f>
        <v>1751</v>
      </c>
      <c r="B1753" s="31">
        <f>SUBTOTAL(2,INDEX(Main[ردیف],1):Main[[#This Row],[ردیف]])</f>
        <v>158</v>
      </c>
      <c r="C1753" s="32" t="s">
        <v>716</v>
      </c>
      <c r="D1753" s="32" t="str">
        <f>_xlfn.CONCAT("14",Main[[#This Row],[تاريخ]])</f>
        <v>1400/07/08</v>
      </c>
      <c r="E1753" s="33">
        <v>44469</v>
      </c>
      <c r="F1753" s="32">
        <v>10048</v>
      </c>
      <c r="G1753" s="5" t="str">
        <f>INDEX(customer[عنوان],MATCH(Main[[#This Row],[کد ردیابی]],customer[کد],0))</f>
        <v xml:space="preserve">حسام کریمان  </v>
      </c>
      <c r="H1753">
        <v>42</v>
      </c>
      <c r="I1753" s="6">
        <f ca="1">-Main[[#This Row],[بدهی تسویه شده (کیلوگرم)]]+Main[[#This Row],[بستانکار (کیلوگرم)]]</f>
        <v>42</v>
      </c>
      <c r="J1753" s="6">
        <f>IF(Main[[#This Row],[مقدار (کیلوگرم)]]&gt;0,Main[[#This Row],[مقدار (کیلوگرم)]],0)</f>
        <v>42</v>
      </c>
      <c r="K1753" s="6">
        <f>-IF(Main[[#This Row],[مقدار (کیلوگرم)]]&lt;0,Main[[#This Row],[مقدار (کیلوگرم)]],0)</f>
        <v>0</v>
      </c>
      <c r="L17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3" s="7">
        <f>-IF(AND(Main[[#This Row],[مقدار (کیلوگرم)]]&lt;0,Main[[#This Row],[تاريخ میلادی]]&gt;44276),Main[[#This Row],[مقدار (کیلوگرم)]],0)</f>
        <v>0</v>
      </c>
      <c r="N1753" s="6">
        <f ca="1">Main[[#This Row],[بدهکار (کیلوگرم)]]-Main[[#This Row],[بدهی تسویه نشده (کیلوگرم)]]</f>
        <v>0</v>
      </c>
      <c r="O1753" s="6">
        <f ca="1">Main[[#This Row],[تفکیک]]</f>
        <v>0</v>
      </c>
      <c r="P1753" s="6">
        <f ca="1">IF(Main[[#This Row],[تاخیر از سررسید]]&gt;0,Main[[#This Row],[بدهی تسویه نشده (کیلوگرم)]],0)</f>
        <v>0</v>
      </c>
      <c r="Q1753" s="6">
        <f ca="1">IF(Main[[#This Row],[بدهی تسویه نشده (کیلوگرم)]]&gt;0,'گزارش فردی'!$B$7-Main[[#This Row],[تاريخ میلادی]],0)</f>
        <v>0</v>
      </c>
      <c r="R1753" s="6">
        <f ca="1">IF(Main[[#This Row],[بدهی تسویه نشده (کیلوگرم)]]&gt;0,'گزارش فردی'!$B$7-Main[[#This Row],[تاريخ میلادی]]-'گزارش فردی'!$B$8,0)</f>
        <v>0</v>
      </c>
      <c r="S1753" s="6">
        <f ca="1">Main[[#This Row],[روز از ارسال سفارش]]*Main[[#This Row],[بدهی تسویه نشده (کیلوگرم)]]</f>
        <v>0</v>
      </c>
      <c r="T1753" s="6">
        <f ca="1">Main[[#This Row],[بدهی سررسید شده (کیلوگرم)]]*Main[[#This Row],[روز از ارسال سفارش]]</f>
        <v>0</v>
      </c>
      <c r="U1753" s="6">
        <f>-SUBTOTAL(9,INDEX(Main[مقدار (کیلوگرم)],1):Main[[#This Row],[مقدار (کیلوگرم)]])</f>
        <v>17185</v>
      </c>
      <c r="V175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3" s="6">
        <f>Main[[#This Row],[تعداد کل روزهای بدهکار (روز)]]*Main[[#This Row],[مانده در خط کل (کیلوگرم)]]</f>
        <v>51555</v>
      </c>
      <c r="X1753" s="6">
        <f ca="1">-SUBTOTAL(9,INDEX(Main[مقدار تسویه شده (کیلوگرم)],1):Main[[#This Row],[مقدار تسویه شده (کیلوگرم)]])</f>
        <v>17185</v>
      </c>
      <c r="Y1753" s="6">
        <f ca="1">IF(Main[[#This Row],[مانده در خط تسویه شده (کیلوگرم)]]&lt;&gt;0,Main[[#This Row],[تعداد کل روزهای بدهکار (روز)]],0)</f>
        <v>3</v>
      </c>
      <c r="Z1753" s="6">
        <f ca="1">Main[[#This Row],[تعداد روزهای بدهکار تسویه شده (روز)]]*Main[[#This Row],[مانده در خط تسویه شده (کیلوگرم)]]</f>
        <v>51555</v>
      </c>
      <c r="AA1753" s="6">
        <f ca="1">SUBTOTAL(9,INDEX(Main[بدهی تسویه نشده (کیلوگرم)],1):Main[[#This Row],[بدهی تسویه نشده (کیلوگرم)]])</f>
        <v>0</v>
      </c>
      <c r="AB1753" s="6">
        <f ca="1">IF(Main[[#This Row],[مانده در خط تسویه نشده (کیلوگرم)]]&lt;&gt;0,Main[[#This Row],[تعداد کل روزهای بدهکار (روز)]],0)</f>
        <v>0</v>
      </c>
      <c r="AC1753" s="6">
        <f ca="1">Main[[#This Row],[تعداد روزهای بدهکار  تسویه نشده (روز)]]*Main[[#This Row],[مانده در خط تسویه نشده (کیلوگرم)]]</f>
        <v>0</v>
      </c>
      <c r="AD1753" s="6">
        <f ca="1">SUBTOTAL(9,INDEX(Main[بدهی سررسید شده (کیلوگرم)],1):Main[[#This Row],[بدهی سررسید شده (کیلوگرم)]])</f>
        <v>0</v>
      </c>
      <c r="AE1753" s="6">
        <f ca="1">IF(Main[[#This Row],[مانده در خط سررسید شده (کیلوگرم)]]&lt;&gt;0,Main[[#This Row],[تعداد کل روزهای بدهکار (روز)]],0)</f>
        <v>0</v>
      </c>
      <c r="AF1753" s="6">
        <f ca="1">Main[[#This Row],[تعداد روزهای بدهکار سررسید شده (روز)]]*Main[[#This Row],[مانده در خط سررسید شده (کیلوگرم)]]</f>
        <v>0</v>
      </c>
    </row>
    <row r="1754" spans="1:32" hidden="1" x14ac:dyDescent="0.35">
      <c r="A1754" s="5">
        <f>ROW()-ROW(INDEX(Main[ردیف],1))+1</f>
        <v>1752</v>
      </c>
      <c r="B1754" s="31">
        <f>SUBTOTAL(2,INDEX(Main[ردیف],1):Main[[#This Row],[ردیف]])</f>
        <v>158</v>
      </c>
      <c r="C1754" s="32" t="s">
        <v>717</v>
      </c>
      <c r="D1754" s="32" t="str">
        <f>_xlfn.CONCAT("14",Main[[#This Row],[تاريخ]])</f>
        <v>1400/07/10</v>
      </c>
      <c r="E1754" s="33">
        <v>44471</v>
      </c>
      <c r="F1754" s="32">
        <v>30009</v>
      </c>
      <c r="G1754" s="5" t="str">
        <f>INDEX(customer[عنوان],MATCH(Main[[#This Row],[کد ردیابی]],customer[کد],0))</f>
        <v>شرکت ایمن تک پیشرو</v>
      </c>
      <c r="H1754">
        <v>-1551</v>
      </c>
      <c r="I1754" s="6">
        <f ca="1">-Main[[#This Row],[بدهی تسویه شده (کیلوگرم)]]+Main[[#This Row],[بستانکار (کیلوگرم)]]</f>
        <v>-1551</v>
      </c>
      <c r="J1754" s="6">
        <f>IF(Main[[#This Row],[مقدار (کیلوگرم)]]&gt;0,Main[[#This Row],[مقدار (کیلوگرم)]],0)</f>
        <v>0</v>
      </c>
      <c r="K1754" s="6">
        <f>-IF(Main[[#This Row],[مقدار (کیلوگرم)]]&lt;0,Main[[#This Row],[مقدار (کیلوگرم)]],0)</f>
        <v>1551</v>
      </c>
      <c r="L17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4" s="7">
        <f>-IF(AND(Main[[#This Row],[مقدار (کیلوگرم)]]&lt;0,Main[[#This Row],[تاريخ میلادی]]&gt;44276),Main[[#This Row],[مقدار (کیلوگرم)]],0)</f>
        <v>1551</v>
      </c>
      <c r="N1754" s="6">
        <f ca="1">Main[[#This Row],[بدهکار (کیلوگرم)]]-Main[[#This Row],[بدهی تسویه نشده (کیلوگرم)]]</f>
        <v>1551</v>
      </c>
      <c r="O1754" s="6">
        <f ca="1">Main[[#This Row],[تفکیک]]</f>
        <v>0</v>
      </c>
      <c r="P1754" s="6">
        <f ca="1">IF(Main[[#This Row],[تاخیر از سررسید]]&gt;0,Main[[#This Row],[بدهی تسویه نشده (کیلوگرم)]],0)</f>
        <v>0</v>
      </c>
      <c r="Q1754" s="6">
        <f ca="1">IF(Main[[#This Row],[بدهی تسویه نشده (کیلوگرم)]]&gt;0,'گزارش فردی'!$B$7-Main[[#This Row],[تاريخ میلادی]],0)</f>
        <v>0</v>
      </c>
      <c r="R1754" s="6">
        <f ca="1">IF(Main[[#This Row],[بدهی تسویه نشده (کیلوگرم)]]&gt;0,'گزارش فردی'!$B$7-Main[[#This Row],[تاريخ میلادی]]-'گزارش فردی'!$B$8,0)</f>
        <v>0</v>
      </c>
      <c r="S1754" s="6">
        <f ca="1">Main[[#This Row],[روز از ارسال سفارش]]*Main[[#This Row],[بدهی تسویه نشده (کیلوگرم)]]</f>
        <v>0</v>
      </c>
      <c r="T1754" s="6">
        <f ca="1">Main[[#This Row],[بدهی سررسید شده (کیلوگرم)]]*Main[[#This Row],[روز از ارسال سفارش]]</f>
        <v>0</v>
      </c>
      <c r="U1754" s="6">
        <f>-SUBTOTAL(9,INDEX(Main[مقدار (کیلوگرم)],1):Main[[#This Row],[مقدار (کیلوگرم)]])</f>
        <v>17185</v>
      </c>
      <c r="V17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4" s="6">
        <f>Main[[#This Row],[تعداد کل روزهای بدهکار (روز)]]*Main[[#This Row],[مانده در خط کل (کیلوگرم)]]</f>
        <v>17185</v>
      </c>
      <c r="X1754" s="6">
        <f ca="1">-SUBTOTAL(9,INDEX(Main[مقدار تسویه شده (کیلوگرم)],1):Main[[#This Row],[مقدار تسویه شده (کیلوگرم)]])</f>
        <v>17185</v>
      </c>
      <c r="Y1754" s="6">
        <f ca="1">IF(Main[[#This Row],[مانده در خط تسویه شده (کیلوگرم)]]&lt;&gt;0,Main[[#This Row],[تعداد کل روزهای بدهکار (روز)]],0)</f>
        <v>1</v>
      </c>
      <c r="Z1754" s="6">
        <f ca="1">Main[[#This Row],[تعداد روزهای بدهکار تسویه شده (روز)]]*Main[[#This Row],[مانده در خط تسویه شده (کیلوگرم)]]</f>
        <v>17185</v>
      </c>
      <c r="AA1754" s="6">
        <f ca="1">SUBTOTAL(9,INDEX(Main[بدهی تسویه نشده (کیلوگرم)],1):Main[[#This Row],[بدهی تسویه نشده (کیلوگرم)]])</f>
        <v>0</v>
      </c>
      <c r="AB1754" s="6">
        <f ca="1">IF(Main[[#This Row],[مانده در خط تسویه نشده (کیلوگرم)]]&lt;&gt;0,Main[[#This Row],[تعداد کل روزهای بدهکار (روز)]],0)</f>
        <v>0</v>
      </c>
      <c r="AC1754" s="6">
        <f ca="1">Main[[#This Row],[تعداد روزهای بدهکار  تسویه نشده (روز)]]*Main[[#This Row],[مانده در خط تسویه نشده (کیلوگرم)]]</f>
        <v>0</v>
      </c>
      <c r="AD1754" s="6">
        <f ca="1">SUBTOTAL(9,INDEX(Main[بدهی سررسید شده (کیلوگرم)],1):Main[[#This Row],[بدهی سررسید شده (کیلوگرم)]])</f>
        <v>0</v>
      </c>
      <c r="AE1754" s="6">
        <f ca="1">IF(Main[[#This Row],[مانده در خط سررسید شده (کیلوگرم)]]&lt;&gt;0,Main[[#This Row],[تعداد کل روزهای بدهکار (روز)]],0)</f>
        <v>0</v>
      </c>
      <c r="AF1754" s="6">
        <f ca="1">Main[[#This Row],[تعداد روزهای بدهکار سررسید شده (روز)]]*Main[[#This Row],[مانده در خط سررسید شده (کیلوگرم)]]</f>
        <v>0</v>
      </c>
    </row>
    <row r="1755" spans="1:32" hidden="1" x14ac:dyDescent="0.35">
      <c r="A1755" s="5">
        <f>ROW()-ROW(INDEX(Main[ردیف],1))+1</f>
        <v>1753</v>
      </c>
      <c r="B1755" s="31">
        <f>SUBTOTAL(2,INDEX(Main[ردیف],1):Main[[#This Row],[ردیف]])</f>
        <v>158</v>
      </c>
      <c r="C1755" s="32" t="s">
        <v>717</v>
      </c>
      <c r="D1755" s="32" t="str">
        <f>_xlfn.CONCAT("14",Main[[#This Row],[تاريخ]])</f>
        <v>1400/07/10</v>
      </c>
      <c r="E1755" s="33">
        <v>44471</v>
      </c>
      <c r="F1755" s="32">
        <v>30146</v>
      </c>
      <c r="G1755" s="5" t="str">
        <f>INDEX(customer[عنوان],MATCH(Main[[#This Row],[کد ردیابی]],customer[کد],0))</f>
        <v>شرکت آذرپاد</v>
      </c>
      <c r="H1755">
        <v>1297</v>
      </c>
      <c r="I1755" s="6">
        <f ca="1">-Main[[#This Row],[بدهی تسویه شده (کیلوگرم)]]+Main[[#This Row],[بستانکار (کیلوگرم)]]</f>
        <v>1297</v>
      </c>
      <c r="J1755" s="6">
        <f>IF(Main[[#This Row],[مقدار (کیلوگرم)]]&gt;0,Main[[#This Row],[مقدار (کیلوگرم)]],0)</f>
        <v>1297</v>
      </c>
      <c r="K1755" s="6">
        <f>-IF(Main[[#This Row],[مقدار (کیلوگرم)]]&lt;0,Main[[#This Row],[مقدار (کیلوگرم)]],0)</f>
        <v>0</v>
      </c>
      <c r="L17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5" s="7">
        <f>-IF(AND(Main[[#This Row],[مقدار (کیلوگرم)]]&lt;0,Main[[#This Row],[تاريخ میلادی]]&gt;44276),Main[[#This Row],[مقدار (کیلوگرم)]],0)</f>
        <v>0</v>
      </c>
      <c r="N1755" s="6">
        <f ca="1">Main[[#This Row],[بدهکار (کیلوگرم)]]-Main[[#This Row],[بدهی تسویه نشده (کیلوگرم)]]</f>
        <v>0</v>
      </c>
      <c r="O1755" s="6">
        <f ca="1">Main[[#This Row],[تفکیک]]</f>
        <v>0</v>
      </c>
      <c r="P1755" s="6">
        <f ca="1">IF(Main[[#This Row],[تاخیر از سررسید]]&gt;0,Main[[#This Row],[بدهی تسویه نشده (کیلوگرم)]],0)</f>
        <v>0</v>
      </c>
      <c r="Q1755" s="6">
        <f ca="1">IF(Main[[#This Row],[بدهی تسویه نشده (کیلوگرم)]]&gt;0,'گزارش فردی'!$B$7-Main[[#This Row],[تاريخ میلادی]],0)</f>
        <v>0</v>
      </c>
      <c r="R1755" s="6">
        <f ca="1">IF(Main[[#This Row],[بدهی تسویه نشده (کیلوگرم)]]&gt;0,'گزارش فردی'!$B$7-Main[[#This Row],[تاريخ میلادی]]-'گزارش فردی'!$B$8,0)</f>
        <v>0</v>
      </c>
      <c r="S1755" s="6">
        <f ca="1">Main[[#This Row],[روز از ارسال سفارش]]*Main[[#This Row],[بدهی تسویه نشده (کیلوگرم)]]</f>
        <v>0</v>
      </c>
      <c r="T1755" s="6">
        <f ca="1">Main[[#This Row],[بدهی سررسید شده (کیلوگرم)]]*Main[[#This Row],[روز از ارسال سفارش]]</f>
        <v>0</v>
      </c>
      <c r="U1755" s="6">
        <f>-SUBTOTAL(9,INDEX(Main[مقدار (کیلوگرم)],1):Main[[#This Row],[مقدار (کیلوگرم)]])</f>
        <v>17185</v>
      </c>
      <c r="V17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5" s="6">
        <f>Main[[#This Row],[تعداد کل روزهای بدهکار (روز)]]*Main[[#This Row],[مانده در خط کل (کیلوگرم)]]</f>
        <v>17185</v>
      </c>
      <c r="X1755" s="6">
        <f ca="1">-SUBTOTAL(9,INDEX(Main[مقدار تسویه شده (کیلوگرم)],1):Main[[#This Row],[مقدار تسویه شده (کیلوگرم)]])</f>
        <v>17185</v>
      </c>
      <c r="Y1755" s="6">
        <f ca="1">IF(Main[[#This Row],[مانده در خط تسویه شده (کیلوگرم)]]&lt;&gt;0,Main[[#This Row],[تعداد کل روزهای بدهکار (روز)]],0)</f>
        <v>1</v>
      </c>
      <c r="Z1755" s="6">
        <f ca="1">Main[[#This Row],[تعداد روزهای بدهکار تسویه شده (روز)]]*Main[[#This Row],[مانده در خط تسویه شده (کیلوگرم)]]</f>
        <v>17185</v>
      </c>
      <c r="AA1755" s="6">
        <f ca="1">SUBTOTAL(9,INDEX(Main[بدهی تسویه نشده (کیلوگرم)],1):Main[[#This Row],[بدهی تسویه نشده (کیلوگرم)]])</f>
        <v>0</v>
      </c>
      <c r="AB1755" s="6">
        <f ca="1">IF(Main[[#This Row],[مانده در خط تسویه نشده (کیلوگرم)]]&lt;&gt;0,Main[[#This Row],[تعداد کل روزهای بدهکار (روز)]],0)</f>
        <v>0</v>
      </c>
      <c r="AC1755" s="6">
        <f ca="1">Main[[#This Row],[تعداد روزهای بدهکار  تسویه نشده (روز)]]*Main[[#This Row],[مانده در خط تسویه نشده (کیلوگرم)]]</f>
        <v>0</v>
      </c>
      <c r="AD1755" s="6">
        <f ca="1">SUBTOTAL(9,INDEX(Main[بدهی سررسید شده (کیلوگرم)],1):Main[[#This Row],[بدهی سررسید شده (کیلوگرم)]])</f>
        <v>0</v>
      </c>
      <c r="AE1755" s="6">
        <f ca="1">IF(Main[[#This Row],[مانده در خط سررسید شده (کیلوگرم)]]&lt;&gt;0,Main[[#This Row],[تعداد کل روزهای بدهکار (روز)]],0)</f>
        <v>0</v>
      </c>
      <c r="AF1755" s="6">
        <f ca="1">Main[[#This Row],[تعداد روزهای بدهکار سررسید شده (روز)]]*Main[[#This Row],[مانده در خط سررسید شده (کیلوگرم)]]</f>
        <v>0</v>
      </c>
    </row>
    <row r="1756" spans="1:32" hidden="1" x14ac:dyDescent="0.35">
      <c r="A1756" s="5">
        <f>ROW()-ROW(INDEX(Main[ردیف],1))+1</f>
        <v>1754</v>
      </c>
      <c r="B1756" s="31">
        <f>SUBTOTAL(2,INDEX(Main[ردیف],1):Main[[#This Row],[ردیف]])</f>
        <v>158</v>
      </c>
      <c r="C1756" s="32" t="s">
        <v>717</v>
      </c>
      <c r="D1756" s="32" t="str">
        <f>_xlfn.CONCAT("14",Main[[#This Row],[تاريخ]])</f>
        <v>1400/07/10</v>
      </c>
      <c r="E1756" s="33">
        <v>44471</v>
      </c>
      <c r="F1756" s="32">
        <v>30003</v>
      </c>
      <c r="G1756" s="5" t="str">
        <f>INDEX(customer[عنوان],MATCH(Main[[#This Row],[کد ردیابی]],customer[کد],0))</f>
        <v xml:space="preserve">شهاب گاز سوز </v>
      </c>
      <c r="H1756">
        <v>-1231</v>
      </c>
      <c r="I1756" s="6">
        <f ca="1">-Main[[#This Row],[بدهی تسویه شده (کیلوگرم)]]+Main[[#This Row],[بستانکار (کیلوگرم)]]</f>
        <v>-1231</v>
      </c>
      <c r="J1756" s="6">
        <f>IF(Main[[#This Row],[مقدار (کیلوگرم)]]&gt;0,Main[[#This Row],[مقدار (کیلوگرم)]],0)</f>
        <v>0</v>
      </c>
      <c r="K1756" s="6">
        <f>-IF(Main[[#This Row],[مقدار (کیلوگرم)]]&lt;0,Main[[#This Row],[مقدار (کیلوگرم)]],0)</f>
        <v>1231</v>
      </c>
      <c r="L17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6" s="7">
        <f>-IF(AND(Main[[#This Row],[مقدار (کیلوگرم)]]&lt;0,Main[[#This Row],[تاريخ میلادی]]&gt;44276),Main[[#This Row],[مقدار (کیلوگرم)]],0)</f>
        <v>1231</v>
      </c>
      <c r="N1756" s="6">
        <f ca="1">Main[[#This Row],[بدهکار (کیلوگرم)]]-Main[[#This Row],[بدهی تسویه نشده (کیلوگرم)]]</f>
        <v>1231</v>
      </c>
      <c r="O1756" s="6">
        <f ca="1">Main[[#This Row],[تفکیک]]</f>
        <v>0</v>
      </c>
      <c r="P1756" s="6">
        <f ca="1">IF(Main[[#This Row],[تاخیر از سررسید]]&gt;0,Main[[#This Row],[بدهی تسویه نشده (کیلوگرم)]],0)</f>
        <v>0</v>
      </c>
      <c r="Q1756" s="6">
        <f ca="1">IF(Main[[#This Row],[بدهی تسویه نشده (کیلوگرم)]]&gt;0,'گزارش فردی'!$B$7-Main[[#This Row],[تاريخ میلادی]],0)</f>
        <v>0</v>
      </c>
      <c r="R1756" s="6">
        <f ca="1">IF(Main[[#This Row],[بدهی تسویه نشده (کیلوگرم)]]&gt;0,'گزارش فردی'!$B$7-Main[[#This Row],[تاريخ میلادی]]-'گزارش فردی'!$B$8,0)</f>
        <v>0</v>
      </c>
      <c r="S1756" s="6">
        <f ca="1">Main[[#This Row],[روز از ارسال سفارش]]*Main[[#This Row],[بدهی تسویه نشده (کیلوگرم)]]</f>
        <v>0</v>
      </c>
      <c r="T1756" s="6">
        <f ca="1">Main[[#This Row],[بدهی سررسید شده (کیلوگرم)]]*Main[[#This Row],[روز از ارسال سفارش]]</f>
        <v>0</v>
      </c>
      <c r="U1756" s="6">
        <f>-SUBTOTAL(9,INDEX(Main[مقدار (کیلوگرم)],1):Main[[#This Row],[مقدار (کیلوگرم)]])</f>
        <v>17185</v>
      </c>
      <c r="V17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6" s="6">
        <f>Main[[#This Row],[تعداد کل روزهای بدهکار (روز)]]*Main[[#This Row],[مانده در خط کل (کیلوگرم)]]</f>
        <v>17185</v>
      </c>
      <c r="X1756" s="6">
        <f ca="1">-SUBTOTAL(9,INDEX(Main[مقدار تسویه شده (کیلوگرم)],1):Main[[#This Row],[مقدار تسویه شده (کیلوگرم)]])</f>
        <v>17185</v>
      </c>
      <c r="Y1756" s="6">
        <f ca="1">IF(Main[[#This Row],[مانده در خط تسویه شده (کیلوگرم)]]&lt;&gt;0,Main[[#This Row],[تعداد کل روزهای بدهکار (روز)]],0)</f>
        <v>1</v>
      </c>
      <c r="Z1756" s="6">
        <f ca="1">Main[[#This Row],[تعداد روزهای بدهکار تسویه شده (روز)]]*Main[[#This Row],[مانده در خط تسویه شده (کیلوگرم)]]</f>
        <v>17185</v>
      </c>
      <c r="AA1756" s="6">
        <f ca="1">SUBTOTAL(9,INDEX(Main[بدهی تسویه نشده (کیلوگرم)],1):Main[[#This Row],[بدهی تسویه نشده (کیلوگرم)]])</f>
        <v>0</v>
      </c>
      <c r="AB1756" s="6">
        <f ca="1">IF(Main[[#This Row],[مانده در خط تسویه نشده (کیلوگرم)]]&lt;&gt;0,Main[[#This Row],[تعداد کل روزهای بدهکار (روز)]],0)</f>
        <v>0</v>
      </c>
      <c r="AC1756" s="6">
        <f ca="1">Main[[#This Row],[تعداد روزهای بدهکار  تسویه نشده (روز)]]*Main[[#This Row],[مانده در خط تسویه نشده (کیلوگرم)]]</f>
        <v>0</v>
      </c>
      <c r="AD1756" s="6">
        <f ca="1">SUBTOTAL(9,INDEX(Main[بدهی سررسید شده (کیلوگرم)],1):Main[[#This Row],[بدهی سررسید شده (کیلوگرم)]])</f>
        <v>0</v>
      </c>
      <c r="AE1756" s="6">
        <f ca="1">IF(Main[[#This Row],[مانده در خط سررسید شده (کیلوگرم)]]&lt;&gt;0,Main[[#This Row],[تعداد کل روزهای بدهکار (روز)]],0)</f>
        <v>0</v>
      </c>
      <c r="AF1756" s="6">
        <f ca="1">Main[[#This Row],[تعداد روزهای بدهکار سررسید شده (روز)]]*Main[[#This Row],[مانده در خط سررسید شده (کیلوگرم)]]</f>
        <v>0</v>
      </c>
    </row>
    <row r="1757" spans="1:32" hidden="1" x14ac:dyDescent="0.35">
      <c r="A1757" s="5">
        <f>ROW()-ROW(INDEX(Main[ردیف],1))+1</f>
        <v>1755</v>
      </c>
      <c r="B1757" s="31">
        <f>SUBTOTAL(2,INDEX(Main[ردیف],1):Main[[#This Row],[ردیف]])</f>
        <v>158</v>
      </c>
      <c r="C1757" s="32" t="s">
        <v>717</v>
      </c>
      <c r="D1757" s="32" t="str">
        <f>_xlfn.CONCAT("14",Main[[#This Row],[تاريخ]])</f>
        <v>1400/07/10</v>
      </c>
      <c r="E1757" s="33">
        <v>44471</v>
      </c>
      <c r="F1757" s="32">
        <v>30009</v>
      </c>
      <c r="G1757" s="5" t="str">
        <f>INDEX(customer[عنوان],MATCH(Main[[#This Row],[کد ردیابی]],customer[کد],0))</f>
        <v>شرکت ایمن تک پیشرو</v>
      </c>
      <c r="H1757">
        <v>2101</v>
      </c>
      <c r="I1757" s="6">
        <f ca="1">-Main[[#This Row],[بدهی تسویه شده (کیلوگرم)]]+Main[[#This Row],[بستانکار (کیلوگرم)]]</f>
        <v>2101</v>
      </c>
      <c r="J1757" s="6">
        <f>IF(Main[[#This Row],[مقدار (کیلوگرم)]]&gt;0,Main[[#This Row],[مقدار (کیلوگرم)]],0)</f>
        <v>2101</v>
      </c>
      <c r="K1757" s="6">
        <f>-IF(Main[[#This Row],[مقدار (کیلوگرم)]]&lt;0,Main[[#This Row],[مقدار (کیلوگرم)]],0)</f>
        <v>0</v>
      </c>
      <c r="L17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7" s="7">
        <f>-IF(AND(Main[[#This Row],[مقدار (کیلوگرم)]]&lt;0,Main[[#This Row],[تاريخ میلادی]]&gt;44276),Main[[#This Row],[مقدار (کیلوگرم)]],0)</f>
        <v>0</v>
      </c>
      <c r="N1757" s="6">
        <f ca="1">Main[[#This Row],[بدهکار (کیلوگرم)]]-Main[[#This Row],[بدهی تسویه نشده (کیلوگرم)]]</f>
        <v>0</v>
      </c>
      <c r="O1757" s="6">
        <f ca="1">Main[[#This Row],[تفکیک]]</f>
        <v>0</v>
      </c>
      <c r="P1757" s="6">
        <f ca="1">IF(Main[[#This Row],[تاخیر از سررسید]]&gt;0,Main[[#This Row],[بدهی تسویه نشده (کیلوگرم)]],0)</f>
        <v>0</v>
      </c>
      <c r="Q1757" s="6">
        <f ca="1">IF(Main[[#This Row],[بدهی تسویه نشده (کیلوگرم)]]&gt;0,'گزارش فردی'!$B$7-Main[[#This Row],[تاريخ میلادی]],0)</f>
        <v>0</v>
      </c>
      <c r="R1757" s="6">
        <f ca="1">IF(Main[[#This Row],[بدهی تسویه نشده (کیلوگرم)]]&gt;0,'گزارش فردی'!$B$7-Main[[#This Row],[تاريخ میلادی]]-'گزارش فردی'!$B$8,0)</f>
        <v>0</v>
      </c>
      <c r="S1757" s="6">
        <f ca="1">Main[[#This Row],[روز از ارسال سفارش]]*Main[[#This Row],[بدهی تسویه نشده (کیلوگرم)]]</f>
        <v>0</v>
      </c>
      <c r="T1757" s="6">
        <f ca="1">Main[[#This Row],[بدهی سررسید شده (کیلوگرم)]]*Main[[#This Row],[روز از ارسال سفارش]]</f>
        <v>0</v>
      </c>
      <c r="U1757" s="6">
        <f>-SUBTOTAL(9,INDEX(Main[مقدار (کیلوگرم)],1):Main[[#This Row],[مقدار (کیلوگرم)]])</f>
        <v>17185</v>
      </c>
      <c r="V17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7" s="6">
        <f>Main[[#This Row],[تعداد کل روزهای بدهکار (روز)]]*Main[[#This Row],[مانده در خط کل (کیلوگرم)]]</f>
        <v>17185</v>
      </c>
      <c r="X1757" s="6">
        <f ca="1">-SUBTOTAL(9,INDEX(Main[مقدار تسویه شده (کیلوگرم)],1):Main[[#This Row],[مقدار تسویه شده (کیلوگرم)]])</f>
        <v>17185</v>
      </c>
      <c r="Y1757" s="6">
        <f ca="1">IF(Main[[#This Row],[مانده در خط تسویه شده (کیلوگرم)]]&lt;&gt;0,Main[[#This Row],[تعداد کل روزهای بدهکار (روز)]],0)</f>
        <v>1</v>
      </c>
      <c r="Z1757" s="6">
        <f ca="1">Main[[#This Row],[تعداد روزهای بدهکار تسویه شده (روز)]]*Main[[#This Row],[مانده در خط تسویه شده (کیلوگرم)]]</f>
        <v>17185</v>
      </c>
      <c r="AA1757" s="6">
        <f ca="1">SUBTOTAL(9,INDEX(Main[بدهی تسویه نشده (کیلوگرم)],1):Main[[#This Row],[بدهی تسویه نشده (کیلوگرم)]])</f>
        <v>0</v>
      </c>
      <c r="AB1757" s="6">
        <f ca="1">IF(Main[[#This Row],[مانده در خط تسویه نشده (کیلوگرم)]]&lt;&gt;0,Main[[#This Row],[تعداد کل روزهای بدهکار (روز)]],0)</f>
        <v>0</v>
      </c>
      <c r="AC1757" s="6">
        <f ca="1">Main[[#This Row],[تعداد روزهای بدهکار  تسویه نشده (روز)]]*Main[[#This Row],[مانده در خط تسویه نشده (کیلوگرم)]]</f>
        <v>0</v>
      </c>
      <c r="AD1757" s="6">
        <f ca="1">SUBTOTAL(9,INDEX(Main[بدهی سررسید شده (کیلوگرم)],1):Main[[#This Row],[بدهی سررسید شده (کیلوگرم)]])</f>
        <v>0</v>
      </c>
      <c r="AE1757" s="6">
        <f ca="1">IF(Main[[#This Row],[مانده در خط سررسید شده (کیلوگرم)]]&lt;&gt;0,Main[[#This Row],[تعداد کل روزهای بدهکار (روز)]],0)</f>
        <v>0</v>
      </c>
      <c r="AF1757" s="6">
        <f ca="1">Main[[#This Row],[تعداد روزهای بدهکار سررسید شده (روز)]]*Main[[#This Row],[مانده در خط سررسید شده (کیلوگرم)]]</f>
        <v>0</v>
      </c>
    </row>
    <row r="1758" spans="1:32" hidden="1" x14ac:dyDescent="0.35">
      <c r="A1758" s="5">
        <f>ROW()-ROW(INDEX(Main[ردیف],1))+1</f>
        <v>1756</v>
      </c>
      <c r="B1758" s="31">
        <f>SUBTOTAL(2,INDEX(Main[ردیف],1):Main[[#This Row],[ردیف]])</f>
        <v>158</v>
      </c>
      <c r="C1758" s="32" t="s">
        <v>717</v>
      </c>
      <c r="D1758" s="32" t="str">
        <f>_xlfn.CONCAT("14",Main[[#This Row],[تاريخ]])</f>
        <v>1400/07/10</v>
      </c>
      <c r="E1758" s="33">
        <v>44471</v>
      </c>
      <c r="F1758" s="32">
        <v>10026</v>
      </c>
      <c r="G1758" s="5" t="str">
        <f>INDEX(customer[عنوان],MATCH(Main[[#This Row],[کد ردیابی]],customer[کد],0))</f>
        <v xml:space="preserve">محسن فیاض بخش </v>
      </c>
      <c r="H1758">
        <v>-1326</v>
      </c>
      <c r="I1758" s="6">
        <f ca="1">-Main[[#This Row],[بدهی تسویه شده (کیلوگرم)]]+Main[[#This Row],[بستانکار (کیلوگرم)]]</f>
        <v>-1326</v>
      </c>
      <c r="J1758" s="6">
        <f>IF(Main[[#This Row],[مقدار (کیلوگرم)]]&gt;0,Main[[#This Row],[مقدار (کیلوگرم)]],0)</f>
        <v>0</v>
      </c>
      <c r="K1758" s="6">
        <f>-IF(Main[[#This Row],[مقدار (کیلوگرم)]]&lt;0,Main[[#This Row],[مقدار (کیلوگرم)]],0)</f>
        <v>1326</v>
      </c>
      <c r="L17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8" s="7">
        <f>-IF(AND(Main[[#This Row],[مقدار (کیلوگرم)]]&lt;0,Main[[#This Row],[تاريخ میلادی]]&gt;44276),Main[[#This Row],[مقدار (کیلوگرم)]],0)</f>
        <v>1326</v>
      </c>
      <c r="N1758" s="6">
        <f ca="1">Main[[#This Row],[بدهکار (کیلوگرم)]]-Main[[#This Row],[بدهی تسویه نشده (کیلوگرم)]]</f>
        <v>1326</v>
      </c>
      <c r="O1758" s="6">
        <f ca="1">Main[[#This Row],[تفکیک]]</f>
        <v>0</v>
      </c>
      <c r="P1758" s="6">
        <f ca="1">IF(Main[[#This Row],[تاخیر از سررسید]]&gt;0,Main[[#This Row],[بدهی تسویه نشده (کیلوگرم)]],0)</f>
        <v>0</v>
      </c>
      <c r="Q1758" s="6">
        <f ca="1">IF(Main[[#This Row],[بدهی تسویه نشده (کیلوگرم)]]&gt;0,'گزارش فردی'!$B$7-Main[[#This Row],[تاريخ میلادی]],0)</f>
        <v>0</v>
      </c>
      <c r="R1758" s="6">
        <f ca="1">IF(Main[[#This Row],[بدهی تسویه نشده (کیلوگرم)]]&gt;0,'گزارش فردی'!$B$7-Main[[#This Row],[تاريخ میلادی]]-'گزارش فردی'!$B$8,0)</f>
        <v>0</v>
      </c>
      <c r="S1758" s="6">
        <f ca="1">Main[[#This Row],[روز از ارسال سفارش]]*Main[[#This Row],[بدهی تسویه نشده (کیلوگرم)]]</f>
        <v>0</v>
      </c>
      <c r="T1758" s="6">
        <f ca="1">Main[[#This Row],[بدهی سررسید شده (کیلوگرم)]]*Main[[#This Row],[روز از ارسال سفارش]]</f>
        <v>0</v>
      </c>
      <c r="U1758" s="6">
        <f>-SUBTOTAL(9,INDEX(Main[مقدار (کیلوگرم)],1):Main[[#This Row],[مقدار (کیلوگرم)]])</f>
        <v>17185</v>
      </c>
      <c r="V17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8" s="6">
        <f>Main[[#This Row],[تعداد کل روزهای بدهکار (روز)]]*Main[[#This Row],[مانده در خط کل (کیلوگرم)]]</f>
        <v>17185</v>
      </c>
      <c r="X1758" s="6">
        <f ca="1">-SUBTOTAL(9,INDEX(Main[مقدار تسویه شده (کیلوگرم)],1):Main[[#This Row],[مقدار تسویه شده (کیلوگرم)]])</f>
        <v>17185</v>
      </c>
      <c r="Y1758" s="6">
        <f ca="1">IF(Main[[#This Row],[مانده در خط تسویه شده (کیلوگرم)]]&lt;&gt;0,Main[[#This Row],[تعداد کل روزهای بدهکار (روز)]],0)</f>
        <v>1</v>
      </c>
      <c r="Z1758" s="6">
        <f ca="1">Main[[#This Row],[تعداد روزهای بدهکار تسویه شده (روز)]]*Main[[#This Row],[مانده در خط تسویه شده (کیلوگرم)]]</f>
        <v>17185</v>
      </c>
      <c r="AA1758" s="6">
        <f ca="1">SUBTOTAL(9,INDEX(Main[بدهی تسویه نشده (کیلوگرم)],1):Main[[#This Row],[بدهی تسویه نشده (کیلوگرم)]])</f>
        <v>0</v>
      </c>
      <c r="AB1758" s="6">
        <f ca="1">IF(Main[[#This Row],[مانده در خط تسویه نشده (کیلوگرم)]]&lt;&gt;0,Main[[#This Row],[تعداد کل روزهای بدهکار (روز)]],0)</f>
        <v>0</v>
      </c>
      <c r="AC1758" s="6">
        <f ca="1">Main[[#This Row],[تعداد روزهای بدهکار  تسویه نشده (روز)]]*Main[[#This Row],[مانده در خط تسویه نشده (کیلوگرم)]]</f>
        <v>0</v>
      </c>
      <c r="AD1758" s="6">
        <f ca="1">SUBTOTAL(9,INDEX(Main[بدهی سررسید شده (کیلوگرم)],1):Main[[#This Row],[بدهی سررسید شده (کیلوگرم)]])</f>
        <v>0</v>
      </c>
      <c r="AE1758" s="6">
        <f ca="1">IF(Main[[#This Row],[مانده در خط سررسید شده (کیلوگرم)]]&lt;&gt;0,Main[[#This Row],[تعداد کل روزهای بدهکار (روز)]],0)</f>
        <v>0</v>
      </c>
      <c r="AF1758" s="6">
        <f ca="1">Main[[#This Row],[تعداد روزهای بدهکار سررسید شده (روز)]]*Main[[#This Row],[مانده در خط سررسید شده (کیلوگرم)]]</f>
        <v>0</v>
      </c>
    </row>
    <row r="1759" spans="1:32" hidden="1" x14ac:dyDescent="0.35">
      <c r="A1759" s="5">
        <f>ROW()-ROW(INDEX(Main[ردیف],1))+1</f>
        <v>1757</v>
      </c>
      <c r="B1759" s="31">
        <f>SUBTOTAL(2,INDEX(Main[ردیف],1):Main[[#This Row],[ردیف]])</f>
        <v>158</v>
      </c>
      <c r="C1759" s="32" t="s">
        <v>717</v>
      </c>
      <c r="D1759" s="32" t="str">
        <f>_xlfn.CONCAT("14",Main[[#This Row],[تاريخ]])</f>
        <v>1400/07/10</v>
      </c>
      <c r="E1759" s="33">
        <v>44471</v>
      </c>
      <c r="F1759" s="32">
        <v>30003</v>
      </c>
      <c r="G1759" s="5" t="str">
        <f>INDEX(customer[عنوان],MATCH(Main[[#This Row],[کد ردیابی]],customer[کد],0))</f>
        <v xml:space="preserve">شهاب گاز سوز </v>
      </c>
      <c r="H1759">
        <v>1498</v>
      </c>
      <c r="I1759" s="6">
        <f ca="1">-Main[[#This Row],[بدهی تسویه شده (کیلوگرم)]]+Main[[#This Row],[بستانکار (کیلوگرم)]]</f>
        <v>1498</v>
      </c>
      <c r="J1759" s="6">
        <f>IF(Main[[#This Row],[مقدار (کیلوگرم)]]&gt;0,Main[[#This Row],[مقدار (کیلوگرم)]],0)</f>
        <v>1498</v>
      </c>
      <c r="K1759" s="6">
        <f>-IF(Main[[#This Row],[مقدار (کیلوگرم)]]&lt;0,Main[[#This Row],[مقدار (کیلوگرم)]],0)</f>
        <v>0</v>
      </c>
      <c r="L17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9" s="7">
        <f>-IF(AND(Main[[#This Row],[مقدار (کیلوگرم)]]&lt;0,Main[[#This Row],[تاريخ میلادی]]&gt;44276),Main[[#This Row],[مقدار (کیلوگرم)]],0)</f>
        <v>0</v>
      </c>
      <c r="N1759" s="6">
        <f ca="1">Main[[#This Row],[بدهکار (کیلوگرم)]]-Main[[#This Row],[بدهی تسویه نشده (کیلوگرم)]]</f>
        <v>0</v>
      </c>
      <c r="O1759" s="6">
        <f ca="1">Main[[#This Row],[تفکیک]]</f>
        <v>0</v>
      </c>
      <c r="P1759" s="6">
        <f ca="1">IF(Main[[#This Row],[تاخیر از سررسید]]&gt;0,Main[[#This Row],[بدهی تسویه نشده (کیلوگرم)]],0)</f>
        <v>0</v>
      </c>
      <c r="Q1759" s="6">
        <f ca="1">IF(Main[[#This Row],[بدهی تسویه نشده (کیلوگرم)]]&gt;0,'گزارش فردی'!$B$7-Main[[#This Row],[تاريخ میلادی]],0)</f>
        <v>0</v>
      </c>
      <c r="R1759" s="6">
        <f ca="1">IF(Main[[#This Row],[بدهی تسویه نشده (کیلوگرم)]]&gt;0,'گزارش فردی'!$B$7-Main[[#This Row],[تاريخ میلادی]]-'گزارش فردی'!$B$8,0)</f>
        <v>0</v>
      </c>
      <c r="S1759" s="6">
        <f ca="1">Main[[#This Row],[روز از ارسال سفارش]]*Main[[#This Row],[بدهی تسویه نشده (کیلوگرم)]]</f>
        <v>0</v>
      </c>
      <c r="T1759" s="6">
        <f ca="1">Main[[#This Row],[بدهی سررسید شده (کیلوگرم)]]*Main[[#This Row],[روز از ارسال سفارش]]</f>
        <v>0</v>
      </c>
      <c r="U1759" s="6">
        <f>-SUBTOTAL(9,INDEX(Main[مقدار (کیلوگرم)],1):Main[[#This Row],[مقدار (کیلوگرم)]])</f>
        <v>17185</v>
      </c>
      <c r="V17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9" s="6">
        <f>Main[[#This Row],[تعداد کل روزهای بدهکار (روز)]]*Main[[#This Row],[مانده در خط کل (کیلوگرم)]]</f>
        <v>17185</v>
      </c>
      <c r="X1759" s="6">
        <f ca="1">-SUBTOTAL(9,INDEX(Main[مقدار تسویه شده (کیلوگرم)],1):Main[[#This Row],[مقدار تسویه شده (کیلوگرم)]])</f>
        <v>17185</v>
      </c>
      <c r="Y1759" s="6">
        <f ca="1">IF(Main[[#This Row],[مانده در خط تسویه شده (کیلوگرم)]]&lt;&gt;0,Main[[#This Row],[تعداد کل روزهای بدهکار (روز)]],0)</f>
        <v>1</v>
      </c>
      <c r="Z1759" s="6">
        <f ca="1">Main[[#This Row],[تعداد روزهای بدهکار تسویه شده (روز)]]*Main[[#This Row],[مانده در خط تسویه شده (کیلوگرم)]]</f>
        <v>17185</v>
      </c>
      <c r="AA1759" s="6">
        <f ca="1">SUBTOTAL(9,INDEX(Main[بدهی تسویه نشده (کیلوگرم)],1):Main[[#This Row],[بدهی تسویه نشده (کیلوگرم)]])</f>
        <v>0</v>
      </c>
      <c r="AB1759" s="6">
        <f ca="1">IF(Main[[#This Row],[مانده در خط تسویه نشده (کیلوگرم)]]&lt;&gt;0,Main[[#This Row],[تعداد کل روزهای بدهکار (روز)]],0)</f>
        <v>0</v>
      </c>
      <c r="AC1759" s="6">
        <f ca="1">Main[[#This Row],[تعداد روزهای بدهکار  تسویه نشده (روز)]]*Main[[#This Row],[مانده در خط تسویه نشده (کیلوگرم)]]</f>
        <v>0</v>
      </c>
      <c r="AD1759" s="6">
        <f ca="1">SUBTOTAL(9,INDEX(Main[بدهی سررسید شده (کیلوگرم)],1):Main[[#This Row],[بدهی سررسید شده (کیلوگرم)]])</f>
        <v>0</v>
      </c>
      <c r="AE1759" s="6">
        <f ca="1">IF(Main[[#This Row],[مانده در خط سررسید شده (کیلوگرم)]]&lt;&gt;0,Main[[#This Row],[تعداد کل روزهای بدهکار (روز)]],0)</f>
        <v>0</v>
      </c>
      <c r="AF1759" s="6">
        <f ca="1">Main[[#This Row],[تعداد روزهای بدهکار سررسید شده (روز)]]*Main[[#This Row],[مانده در خط سررسید شده (کیلوگرم)]]</f>
        <v>0</v>
      </c>
    </row>
    <row r="1760" spans="1:32" hidden="1" x14ac:dyDescent="0.35">
      <c r="A1760" s="5">
        <f>ROW()-ROW(INDEX(Main[ردیف],1))+1</f>
        <v>1758</v>
      </c>
      <c r="B1760" s="31">
        <f>SUBTOTAL(2,INDEX(Main[ردیف],1):Main[[#This Row],[ردیف]])</f>
        <v>158</v>
      </c>
      <c r="C1760" s="32" t="s">
        <v>717</v>
      </c>
      <c r="D1760" s="32" t="str">
        <f>_xlfn.CONCAT("14",Main[[#This Row],[تاريخ]])</f>
        <v>1400/07/10</v>
      </c>
      <c r="E1760" s="33">
        <v>44471</v>
      </c>
      <c r="F1760" s="32">
        <v>30081</v>
      </c>
      <c r="G1760" s="5" t="str">
        <f>INDEX(customer[عنوان],MATCH(Main[[#This Row],[کد ردیابی]],customer[کد],0))</f>
        <v xml:space="preserve">شیرآلات بهداشتی راسان </v>
      </c>
      <c r="H1760">
        <v>4000</v>
      </c>
      <c r="I1760" s="6">
        <f ca="1">-Main[[#This Row],[بدهی تسویه شده (کیلوگرم)]]+Main[[#This Row],[بستانکار (کیلوگرم)]]</f>
        <v>4000</v>
      </c>
      <c r="J1760" s="6">
        <f>IF(Main[[#This Row],[مقدار (کیلوگرم)]]&gt;0,Main[[#This Row],[مقدار (کیلوگرم)]],0)</f>
        <v>4000</v>
      </c>
      <c r="K1760" s="6">
        <f>-IF(Main[[#This Row],[مقدار (کیلوگرم)]]&lt;0,Main[[#This Row],[مقدار (کیلوگرم)]],0)</f>
        <v>0</v>
      </c>
      <c r="L17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0" s="7">
        <f>-IF(AND(Main[[#This Row],[مقدار (کیلوگرم)]]&lt;0,Main[[#This Row],[تاريخ میلادی]]&gt;44276),Main[[#This Row],[مقدار (کیلوگرم)]],0)</f>
        <v>0</v>
      </c>
      <c r="N1760" s="6">
        <f ca="1">Main[[#This Row],[بدهکار (کیلوگرم)]]-Main[[#This Row],[بدهی تسویه نشده (کیلوگرم)]]</f>
        <v>0</v>
      </c>
      <c r="O1760" s="6">
        <f ca="1">Main[[#This Row],[تفکیک]]</f>
        <v>0</v>
      </c>
      <c r="P1760" s="6">
        <f ca="1">IF(Main[[#This Row],[تاخیر از سررسید]]&gt;0,Main[[#This Row],[بدهی تسویه نشده (کیلوگرم)]],0)</f>
        <v>0</v>
      </c>
      <c r="Q1760" s="6">
        <f ca="1">IF(Main[[#This Row],[بدهی تسویه نشده (کیلوگرم)]]&gt;0,'گزارش فردی'!$B$7-Main[[#This Row],[تاريخ میلادی]],0)</f>
        <v>0</v>
      </c>
      <c r="R1760" s="6">
        <f ca="1">IF(Main[[#This Row],[بدهی تسویه نشده (کیلوگرم)]]&gt;0,'گزارش فردی'!$B$7-Main[[#This Row],[تاريخ میلادی]]-'گزارش فردی'!$B$8,0)</f>
        <v>0</v>
      </c>
      <c r="S1760" s="6">
        <f ca="1">Main[[#This Row],[روز از ارسال سفارش]]*Main[[#This Row],[بدهی تسویه نشده (کیلوگرم)]]</f>
        <v>0</v>
      </c>
      <c r="T1760" s="6">
        <f ca="1">Main[[#This Row],[بدهی سررسید شده (کیلوگرم)]]*Main[[#This Row],[روز از ارسال سفارش]]</f>
        <v>0</v>
      </c>
      <c r="U1760" s="6">
        <f>-SUBTOTAL(9,INDEX(Main[مقدار (کیلوگرم)],1):Main[[#This Row],[مقدار (کیلوگرم)]])</f>
        <v>17185</v>
      </c>
      <c r="V17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60" s="6">
        <f>Main[[#This Row],[تعداد کل روزهای بدهکار (روز)]]*Main[[#This Row],[مانده در خط کل (کیلوگرم)]]</f>
        <v>17185</v>
      </c>
      <c r="X1760" s="6">
        <f ca="1">-SUBTOTAL(9,INDEX(Main[مقدار تسویه شده (کیلوگرم)],1):Main[[#This Row],[مقدار تسویه شده (کیلوگرم)]])</f>
        <v>17185</v>
      </c>
      <c r="Y1760" s="6">
        <f ca="1">IF(Main[[#This Row],[مانده در خط تسویه شده (کیلوگرم)]]&lt;&gt;0,Main[[#This Row],[تعداد کل روزهای بدهکار (روز)]],0)</f>
        <v>1</v>
      </c>
      <c r="Z1760" s="6">
        <f ca="1">Main[[#This Row],[تعداد روزهای بدهکار تسویه شده (روز)]]*Main[[#This Row],[مانده در خط تسویه شده (کیلوگرم)]]</f>
        <v>17185</v>
      </c>
      <c r="AA1760" s="6">
        <f ca="1">SUBTOTAL(9,INDEX(Main[بدهی تسویه نشده (کیلوگرم)],1):Main[[#This Row],[بدهی تسویه نشده (کیلوگرم)]])</f>
        <v>0</v>
      </c>
      <c r="AB1760" s="6">
        <f ca="1">IF(Main[[#This Row],[مانده در خط تسویه نشده (کیلوگرم)]]&lt;&gt;0,Main[[#This Row],[تعداد کل روزهای بدهکار (روز)]],0)</f>
        <v>0</v>
      </c>
      <c r="AC1760" s="6">
        <f ca="1">Main[[#This Row],[تعداد روزهای بدهکار  تسویه نشده (روز)]]*Main[[#This Row],[مانده در خط تسویه نشده (کیلوگرم)]]</f>
        <v>0</v>
      </c>
      <c r="AD1760" s="6">
        <f ca="1">SUBTOTAL(9,INDEX(Main[بدهی سررسید شده (کیلوگرم)],1):Main[[#This Row],[بدهی سررسید شده (کیلوگرم)]])</f>
        <v>0</v>
      </c>
      <c r="AE1760" s="6">
        <f ca="1">IF(Main[[#This Row],[مانده در خط سررسید شده (کیلوگرم)]]&lt;&gt;0,Main[[#This Row],[تعداد کل روزهای بدهکار (روز)]],0)</f>
        <v>0</v>
      </c>
      <c r="AF1760" s="6">
        <f ca="1">Main[[#This Row],[تعداد روزهای بدهکار سررسید شده (روز)]]*Main[[#This Row],[مانده در خط سررسید شده (کیلوگرم)]]</f>
        <v>0</v>
      </c>
    </row>
    <row r="1761" spans="1:32" hidden="1" x14ac:dyDescent="0.35">
      <c r="A1761" s="5">
        <f>ROW()-ROW(INDEX(Main[ردیف],1))+1</f>
        <v>1759</v>
      </c>
      <c r="B1761" s="31">
        <f>SUBTOTAL(2,INDEX(Main[ردیف],1):Main[[#This Row],[ردیف]])</f>
        <v>158</v>
      </c>
      <c r="C1761" s="32" t="s">
        <v>718</v>
      </c>
      <c r="D1761" s="32" t="str">
        <f>_xlfn.CONCAT("14",Main[[#This Row],[تاريخ]])</f>
        <v>1400/07/11</v>
      </c>
      <c r="E1761" s="33">
        <v>44472</v>
      </c>
      <c r="F1761" s="32">
        <v>30127</v>
      </c>
      <c r="G1761" s="5" t="str">
        <f>INDEX(customer[عنوان],MATCH(Main[[#This Row],[کد ردیابی]],customer[کد],0))</f>
        <v>شیر گاز آذران</v>
      </c>
      <c r="H1761">
        <v>-15452</v>
      </c>
      <c r="I1761" s="6">
        <f ca="1">-Main[[#This Row],[بدهی تسویه شده (کیلوگرم)]]+Main[[#This Row],[بستانکار (کیلوگرم)]]</f>
        <v>-15452</v>
      </c>
      <c r="J1761" s="6">
        <f>IF(Main[[#This Row],[مقدار (کیلوگرم)]]&gt;0,Main[[#This Row],[مقدار (کیلوگرم)]],0)</f>
        <v>0</v>
      </c>
      <c r="K1761" s="6">
        <f>-IF(Main[[#This Row],[مقدار (کیلوگرم)]]&lt;0,Main[[#This Row],[مقدار (کیلوگرم)]],0)</f>
        <v>15452</v>
      </c>
      <c r="L17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1" s="7">
        <f>-IF(AND(Main[[#This Row],[مقدار (کیلوگرم)]]&lt;0,Main[[#This Row],[تاريخ میلادی]]&gt;44276),Main[[#This Row],[مقدار (کیلوگرم)]],0)</f>
        <v>15452</v>
      </c>
      <c r="N1761" s="6">
        <f ca="1">Main[[#This Row],[بدهکار (کیلوگرم)]]-Main[[#This Row],[بدهی تسویه نشده (کیلوگرم)]]</f>
        <v>15452</v>
      </c>
      <c r="O1761" s="6">
        <f ca="1">Main[[#This Row],[تفکیک]]</f>
        <v>0</v>
      </c>
      <c r="P1761" s="6">
        <f ca="1">IF(Main[[#This Row],[تاخیر از سررسید]]&gt;0,Main[[#This Row],[بدهی تسویه نشده (کیلوگرم)]],0)</f>
        <v>0</v>
      </c>
      <c r="Q1761" s="6">
        <f ca="1">IF(Main[[#This Row],[بدهی تسویه نشده (کیلوگرم)]]&gt;0,'گزارش فردی'!$B$7-Main[[#This Row],[تاريخ میلادی]],0)</f>
        <v>0</v>
      </c>
      <c r="R1761" s="6">
        <f ca="1">IF(Main[[#This Row],[بدهی تسویه نشده (کیلوگرم)]]&gt;0,'گزارش فردی'!$B$7-Main[[#This Row],[تاريخ میلادی]]-'گزارش فردی'!$B$8,0)</f>
        <v>0</v>
      </c>
      <c r="S1761" s="6">
        <f ca="1">Main[[#This Row],[روز از ارسال سفارش]]*Main[[#This Row],[بدهی تسویه نشده (کیلوگرم)]]</f>
        <v>0</v>
      </c>
      <c r="T1761" s="6">
        <f ca="1">Main[[#This Row],[بدهی سررسید شده (کیلوگرم)]]*Main[[#This Row],[روز از ارسال سفارش]]</f>
        <v>0</v>
      </c>
      <c r="U1761" s="6">
        <f>-SUBTOTAL(9,INDEX(Main[مقدار (کیلوگرم)],1):Main[[#This Row],[مقدار (کیلوگرم)]])</f>
        <v>17185</v>
      </c>
      <c r="V17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1" s="6">
        <f>Main[[#This Row],[تعداد کل روزهای بدهکار (روز)]]*Main[[#This Row],[مانده در خط کل (کیلوگرم)]]</f>
        <v>0</v>
      </c>
      <c r="X1761" s="6">
        <f ca="1">-SUBTOTAL(9,INDEX(Main[مقدار تسویه شده (کیلوگرم)],1):Main[[#This Row],[مقدار تسویه شده (کیلوگرم)]])</f>
        <v>17185</v>
      </c>
      <c r="Y1761" s="6">
        <f ca="1">IF(Main[[#This Row],[مانده در خط تسویه شده (کیلوگرم)]]&lt;&gt;0,Main[[#This Row],[تعداد کل روزهای بدهکار (روز)]],0)</f>
        <v>0</v>
      </c>
      <c r="Z1761" s="6">
        <f ca="1">Main[[#This Row],[تعداد روزهای بدهکار تسویه شده (روز)]]*Main[[#This Row],[مانده در خط تسویه شده (کیلوگرم)]]</f>
        <v>0</v>
      </c>
      <c r="AA1761" s="6">
        <f ca="1">SUBTOTAL(9,INDEX(Main[بدهی تسویه نشده (کیلوگرم)],1):Main[[#This Row],[بدهی تسویه نشده (کیلوگرم)]])</f>
        <v>0</v>
      </c>
      <c r="AB1761" s="6">
        <f ca="1">IF(Main[[#This Row],[مانده در خط تسویه نشده (کیلوگرم)]]&lt;&gt;0,Main[[#This Row],[تعداد کل روزهای بدهکار (روز)]],0)</f>
        <v>0</v>
      </c>
      <c r="AC1761" s="6">
        <f ca="1">Main[[#This Row],[تعداد روزهای بدهکار  تسویه نشده (روز)]]*Main[[#This Row],[مانده در خط تسویه نشده (کیلوگرم)]]</f>
        <v>0</v>
      </c>
      <c r="AD1761" s="6">
        <f ca="1">SUBTOTAL(9,INDEX(Main[بدهی سررسید شده (کیلوگرم)],1):Main[[#This Row],[بدهی سررسید شده (کیلوگرم)]])</f>
        <v>0</v>
      </c>
      <c r="AE1761" s="6">
        <f ca="1">IF(Main[[#This Row],[مانده در خط سررسید شده (کیلوگرم)]]&lt;&gt;0,Main[[#This Row],[تعداد کل روزهای بدهکار (روز)]],0)</f>
        <v>0</v>
      </c>
      <c r="AF1761" s="6">
        <f ca="1">Main[[#This Row],[تعداد روزهای بدهکار سررسید شده (روز)]]*Main[[#This Row],[مانده در خط سررسید شده (کیلوگرم)]]</f>
        <v>0</v>
      </c>
    </row>
    <row r="1762" spans="1:32" hidden="1" x14ac:dyDescent="0.35">
      <c r="A1762" s="5">
        <f>ROW()-ROW(INDEX(Main[ردیف],1))+1</f>
        <v>1760</v>
      </c>
      <c r="B1762" s="31">
        <f>SUBTOTAL(2,INDEX(Main[ردیف],1):Main[[#This Row],[ردیف]])</f>
        <v>158</v>
      </c>
      <c r="C1762" s="32" t="s">
        <v>718</v>
      </c>
      <c r="D1762" s="32" t="str">
        <f>_xlfn.CONCAT("14",Main[[#This Row],[تاريخ]])</f>
        <v>1400/07/11</v>
      </c>
      <c r="E1762" s="33">
        <v>44472</v>
      </c>
      <c r="F1762" s="32">
        <v>30009</v>
      </c>
      <c r="G1762" s="5" t="str">
        <f>INDEX(customer[عنوان],MATCH(Main[[#This Row],[کد ردیابی]],customer[کد],0))</f>
        <v>شرکت ایمن تک پیشرو</v>
      </c>
      <c r="H1762">
        <v>1814</v>
      </c>
      <c r="I1762" s="6">
        <f ca="1">-Main[[#This Row],[بدهی تسویه شده (کیلوگرم)]]+Main[[#This Row],[بستانکار (کیلوگرم)]]</f>
        <v>1814</v>
      </c>
      <c r="J1762" s="6">
        <f>IF(Main[[#This Row],[مقدار (کیلوگرم)]]&gt;0,Main[[#This Row],[مقدار (کیلوگرم)]],0)</f>
        <v>1814</v>
      </c>
      <c r="K1762" s="6">
        <f>-IF(Main[[#This Row],[مقدار (کیلوگرم)]]&lt;0,Main[[#This Row],[مقدار (کیلوگرم)]],0)</f>
        <v>0</v>
      </c>
      <c r="L17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2" s="7">
        <f>-IF(AND(Main[[#This Row],[مقدار (کیلوگرم)]]&lt;0,Main[[#This Row],[تاريخ میلادی]]&gt;44276),Main[[#This Row],[مقدار (کیلوگرم)]],0)</f>
        <v>0</v>
      </c>
      <c r="N1762" s="6">
        <f ca="1">Main[[#This Row],[بدهکار (کیلوگرم)]]-Main[[#This Row],[بدهی تسویه نشده (کیلوگرم)]]</f>
        <v>0</v>
      </c>
      <c r="O1762" s="6">
        <f ca="1">Main[[#This Row],[تفکیک]]</f>
        <v>0</v>
      </c>
      <c r="P1762" s="6">
        <f ca="1">IF(Main[[#This Row],[تاخیر از سررسید]]&gt;0,Main[[#This Row],[بدهی تسویه نشده (کیلوگرم)]],0)</f>
        <v>0</v>
      </c>
      <c r="Q1762" s="6">
        <f ca="1">IF(Main[[#This Row],[بدهی تسویه نشده (کیلوگرم)]]&gt;0,'گزارش فردی'!$B$7-Main[[#This Row],[تاريخ میلادی]],0)</f>
        <v>0</v>
      </c>
      <c r="R1762" s="6">
        <f ca="1">IF(Main[[#This Row],[بدهی تسویه نشده (کیلوگرم)]]&gt;0,'گزارش فردی'!$B$7-Main[[#This Row],[تاريخ میلادی]]-'گزارش فردی'!$B$8,0)</f>
        <v>0</v>
      </c>
      <c r="S1762" s="6">
        <f ca="1">Main[[#This Row],[روز از ارسال سفارش]]*Main[[#This Row],[بدهی تسویه نشده (کیلوگرم)]]</f>
        <v>0</v>
      </c>
      <c r="T1762" s="6">
        <f ca="1">Main[[#This Row],[بدهی سررسید شده (کیلوگرم)]]*Main[[#This Row],[روز از ارسال سفارش]]</f>
        <v>0</v>
      </c>
      <c r="U1762" s="6">
        <f>-SUBTOTAL(9,INDEX(Main[مقدار (کیلوگرم)],1):Main[[#This Row],[مقدار (کیلوگرم)]])</f>
        <v>17185</v>
      </c>
      <c r="V17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2" s="6">
        <f>Main[[#This Row],[تعداد کل روزهای بدهکار (روز)]]*Main[[#This Row],[مانده در خط کل (کیلوگرم)]]</f>
        <v>0</v>
      </c>
      <c r="X1762" s="6">
        <f ca="1">-SUBTOTAL(9,INDEX(Main[مقدار تسویه شده (کیلوگرم)],1):Main[[#This Row],[مقدار تسویه شده (کیلوگرم)]])</f>
        <v>17185</v>
      </c>
      <c r="Y1762" s="6">
        <f ca="1">IF(Main[[#This Row],[مانده در خط تسویه شده (کیلوگرم)]]&lt;&gt;0,Main[[#This Row],[تعداد کل روزهای بدهکار (روز)]],0)</f>
        <v>0</v>
      </c>
      <c r="Z1762" s="6">
        <f ca="1">Main[[#This Row],[تعداد روزهای بدهکار تسویه شده (روز)]]*Main[[#This Row],[مانده در خط تسویه شده (کیلوگرم)]]</f>
        <v>0</v>
      </c>
      <c r="AA1762" s="6">
        <f ca="1">SUBTOTAL(9,INDEX(Main[بدهی تسویه نشده (کیلوگرم)],1):Main[[#This Row],[بدهی تسویه نشده (کیلوگرم)]])</f>
        <v>0</v>
      </c>
      <c r="AB1762" s="6">
        <f ca="1">IF(Main[[#This Row],[مانده در خط تسویه نشده (کیلوگرم)]]&lt;&gt;0,Main[[#This Row],[تعداد کل روزهای بدهکار (روز)]],0)</f>
        <v>0</v>
      </c>
      <c r="AC1762" s="6">
        <f ca="1">Main[[#This Row],[تعداد روزهای بدهکار  تسویه نشده (روز)]]*Main[[#This Row],[مانده در خط تسویه نشده (کیلوگرم)]]</f>
        <v>0</v>
      </c>
      <c r="AD1762" s="6">
        <f ca="1">SUBTOTAL(9,INDEX(Main[بدهی سررسید شده (کیلوگرم)],1):Main[[#This Row],[بدهی سررسید شده (کیلوگرم)]])</f>
        <v>0</v>
      </c>
      <c r="AE1762" s="6">
        <f ca="1">IF(Main[[#This Row],[مانده در خط سررسید شده (کیلوگرم)]]&lt;&gt;0,Main[[#This Row],[تعداد کل روزهای بدهکار (روز)]],0)</f>
        <v>0</v>
      </c>
      <c r="AF1762" s="6">
        <f ca="1">Main[[#This Row],[تعداد روزهای بدهکار سررسید شده (روز)]]*Main[[#This Row],[مانده در خط سررسید شده (کیلوگرم)]]</f>
        <v>0</v>
      </c>
    </row>
    <row r="1763" spans="1:32" hidden="1" x14ac:dyDescent="0.35">
      <c r="A1763" s="5">
        <f>ROW()-ROW(INDEX(Main[ردیف],1))+1</f>
        <v>1761</v>
      </c>
      <c r="B1763" s="31">
        <f>SUBTOTAL(2,INDEX(Main[ردیف],1):Main[[#This Row],[ردیف]])</f>
        <v>158</v>
      </c>
      <c r="C1763" s="32" t="s">
        <v>718</v>
      </c>
      <c r="D1763" s="32" t="str">
        <f>_xlfn.CONCAT("14",Main[[#This Row],[تاريخ]])</f>
        <v>1400/07/11</v>
      </c>
      <c r="E1763" s="33">
        <v>44472</v>
      </c>
      <c r="F1763" s="32">
        <v>30081</v>
      </c>
      <c r="G1763" s="5" t="str">
        <f>INDEX(customer[عنوان],MATCH(Main[[#This Row],[کد ردیابی]],customer[کد],0))</f>
        <v xml:space="preserve">شیرآلات بهداشتی راسان </v>
      </c>
      <c r="H1763">
        <v>-2103</v>
      </c>
      <c r="I1763" s="6">
        <f ca="1">-Main[[#This Row],[بدهی تسویه شده (کیلوگرم)]]+Main[[#This Row],[بستانکار (کیلوگرم)]]</f>
        <v>-2103</v>
      </c>
      <c r="J1763" s="6">
        <f>IF(Main[[#This Row],[مقدار (کیلوگرم)]]&gt;0,Main[[#This Row],[مقدار (کیلوگرم)]],0)</f>
        <v>0</v>
      </c>
      <c r="K1763" s="6">
        <f>-IF(Main[[#This Row],[مقدار (کیلوگرم)]]&lt;0,Main[[#This Row],[مقدار (کیلوگرم)]],0)</f>
        <v>2103</v>
      </c>
      <c r="L17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3" s="7">
        <f>-IF(AND(Main[[#This Row],[مقدار (کیلوگرم)]]&lt;0,Main[[#This Row],[تاريخ میلادی]]&gt;44276),Main[[#This Row],[مقدار (کیلوگرم)]],0)</f>
        <v>2103</v>
      </c>
      <c r="N1763" s="6">
        <f ca="1">Main[[#This Row],[بدهکار (کیلوگرم)]]-Main[[#This Row],[بدهی تسویه نشده (کیلوگرم)]]</f>
        <v>2103</v>
      </c>
      <c r="O1763" s="6">
        <f ca="1">Main[[#This Row],[تفکیک]]</f>
        <v>0</v>
      </c>
      <c r="P1763" s="6">
        <f ca="1">IF(Main[[#This Row],[تاخیر از سررسید]]&gt;0,Main[[#This Row],[بدهی تسویه نشده (کیلوگرم)]],0)</f>
        <v>0</v>
      </c>
      <c r="Q1763" s="6">
        <f ca="1">IF(Main[[#This Row],[بدهی تسویه نشده (کیلوگرم)]]&gt;0,'گزارش فردی'!$B$7-Main[[#This Row],[تاريخ میلادی]],0)</f>
        <v>0</v>
      </c>
      <c r="R1763" s="6">
        <f ca="1">IF(Main[[#This Row],[بدهی تسویه نشده (کیلوگرم)]]&gt;0,'گزارش فردی'!$B$7-Main[[#This Row],[تاريخ میلادی]]-'گزارش فردی'!$B$8,0)</f>
        <v>0</v>
      </c>
      <c r="S1763" s="6">
        <f ca="1">Main[[#This Row],[روز از ارسال سفارش]]*Main[[#This Row],[بدهی تسویه نشده (کیلوگرم)]]</f>
        <v>0</v>
      </c>
      <c r="T1763" s="6">
        <f ca="1">Main[[#This Row],[بدهی سررسید شده (کیلوگرم)]]*Main[[#This Row],[روز از ارسال سفارش]]</f>
        <v>0</v>
      </c>
      <c r="U1763" s="6">
        <f>-SUBTOTAL(9,INDEX(Main[مقدار (کیلوگرم)],1):Main[[#This Row],[مقدار (کیلوگرم)]])</f>
        <v>17185</v>
      </c>
      <c r="V17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3" s="6">
        <f>Main[[#This Row],[تعداد کل روزهای بدهکار (روز)]]*Main[[#This Row],[مانده در خط کل (کیلوگرم)]]</f>
        <v>0</v>
      </c>
      <c r="X1763" s="6">
        <f ca="1">-SUBTOTAL(9,INDEX(Main[مقدار تسویه شده (کیلوگرم)],1):Main[[#This Row],[مقدار تسویه شده (کیلوگرم)]])</f>
        <v>17185</v>
      </c>
      <c r="Y1763" s="6">
        <f ca="1">IF(Main[[#This Row],[مانده در خط تسویه شده (کیلوگرم)]]&lt;&gt;0,Main[[#This Row],[تعداد کل روزهای بدهکار (روز)]],0)</f>
        <v>0</v>
      </c>
      <c r="Z1763" s="6">
        <f ca="1">Main[[#This Row],[تعداد روزهای بدهکار تسویه شده (روز)]]*Main[[#This Row],[مانده در خط تسویه شده (کیلوگرم)]]</f>
        <v>0</v>
      </c>
      <c r="AA1763" s="6">
        <f ca="1">SUBTOTAL(9,INDEX(Main[بدهی تسویه نشده (کیلوگرم)],1):Main[[#This Row],[بدهی تسویه نشده (کیلوگرم)]])</f>
        <v>0</v>
      </c>
      <c r="AB1763" s="6">
        <f ca="1">IF(Main[[#This Row],[مانده در خط تسویه نشده (کیلوگرم)]]&lt;&gt;0,Main[[#This Row],[تعداد کل روزهای بدهکار (روز)]],0)</f>
        <v>0</v>
      </c>
      <c r="AC1763" s="6">
        <f ca="1">Main[[#This Row],[تعداد روزهای بدهکار  تسویه نشده (روز)]]*Main[[#This Row],[مانده در خط تسویه نشده (کیلوگرم)]]</f>
        <v>0</v>
      </c>
      <c r="AD1763" s="6">
        <f ca="1">SUBTOTAL(9,INDEX(Main[بدهی سررسید شده (کیلوگرم)],1):Main[[#This Row],[بدهی سررسید شده (کیلوگرم)]])</f>
        <v>0</v>
      </c>
      <c r="AE1763" s="6">
        <f ca="1">IF(Main[[#This Row],[مانده در خط سررسید شده (کیلوگرم)]]&lt;&gt;0,Main[[#This Row],[تعداد کل روزهای بدهکار (روز)]],0)</f>
        <v>0</v>
      </c>
      <c r="AF1763" s="6">
        <f ca="1">Main[[#This Row],[تعداد روزهای بدهکار سررسید شده (روز)]]*Main[[#This Row],[مانده در خط سررسید شده (کیلوگرم)]]</f>
        <v>0</v>
      </c>
    </row>
    <row r="1764" spans="1:32" hidden="1" x14ac:dyDescent="0.35">
      <c r="A1764" s="5">
        <f>ROW()-ROW(INDEX(Main[ردیف],1))+1</f>
        <v>1762</v>
      </c>
      <c r="B1764" s="31">
        <f>SUBTOTAL(2,INDEX(Main[ردیف],1):Main[[#This Row],[ردیف]])</f>
        <v>158</v>
      </c>
      <c r="C1764" s="32" t="s">
        <v>718</v>
      </c>
      <c r="D1764" s="32" t="str">
        <f>_xlfn.CONCAT("14",Main[[#This Row],[تاريخ]])</f>
        <v>1400/07/11</v>
      </c>
      <c r="E1764" s="33">
        <v>44472</v>
      </c>
      <c r="F1764" s="32">
        <v>10055</v>
      </c>
      <c r="G1764" s="5" t="str">
        <f>INDEX(customer[عنوان],MATCH(Main[[#This Row],[کد ردیابی]],customer[کد],0))</f>
        <v xml:space="preserve">مریم فیض آبادی  </v>
      </c>
      <c r="H1764">
        <v>5025</v>
      </c>
      <c r="I1764" s="6">
        <f ca="1">-Main[[#This Row],[بدهی تسویه شده (کیلوگرم)]]+Main[[#This Row],[بستانکار (کیلوگرم)]]</f>
        <v>5025</v>
      </c>
      <c r="J1764" s="6">
        <f>IF(Main[[#This Row],[مقدار (کیلوگرم)]]&gt;0,Main[[#This Row],[مقدار (کیلوگرم)]],0)</f>
        <v>5025</v>
      </c>
      <c r="K1764" s="6">
        <f>-IF(Main[[#This Row],[مقدار (کیلوگرم)]]&lt;0,Main[[#This Row],[مقدار (کیلوگرم)]],0)</f>
        <v>0</v>
      </c>
      <c r="L17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4" s="7">
        <f>-IF(AND(Main[[#This Row],[مقدار (کیلوگرم)]]&lt;0,Main[[#This Row],[تاريخ میلادی]]&gt;44276),Main[[#This Row],[مقدار (کیلوگرم)]],0)</f>
        <v>0</v>
      </c>
      <c r="N1764" s="6">
        <f ca="1">Main[[#This Row],[بدهکار (کیلوگرم)]]-Main[[#This Row],[بدهی تسویه نشده (کیلوگرم)]]</f>
        <v>0</v>
      </c>
      <c r="O1764" s="6">
        <f ca="1">Main[[#This Row],[تفکیک]]</f>
        <v>0</v>
      </c>
      <c r="P1764" s="6">
        <f ca="1">IF(Main[[#This Row],[تاخیر از سررسید]]&gt;0,Main[[#This Row],[بدهی تسویه نشده (کیلوگرم)]],0)</f>
        <v>0</v>
      </c>
      <c r="Q1764" s="6">
        <f ca="1">IF(Main[[#This Row],[بدهی تسویه نشده (کیلوگرم)]]&gt;0,'گزارش فردی'!$B$7-Main[[#This Row],[تاريخ میلادی]],0)</f>
        <v>0</v>
      </c>
      <c r="R1764" s="6">
        <f ca="1">IF(Main[[#This Row],[بدهی تسویه نشده (کیلوگرم)]]&gt;0,'گزارش فردی'!$B$7-Main[[#This Row],[تاريخ میلادی]]-'گزارش فردی'!$B$8,0)</f>
        <v>0</v>
      </c>
      <c r="S1764" s="6">
        <f ca="1">Main[[#This Row],[روز از ارسال سفارش]]*Main[[#This Row],[بدهی تسویه نشده (کیلوگرم)]]</f>
        <v>0</v>
      </c>
      <c r="T1764" s="6">
        <f ca="1">Main[[#This Row],[بدهی سررسید شده (کیلوگرم)]]*Main[[#This Row],[روز از ارسال سفارش]]</f>
        <v>0</v>
      </c>
      <c r="U1764" s="6">
        <f>-SUBTOTAL(9,INDEX(Main[مقدار (کیلوگرم)],1):Main[[#This Row],[مقدار (کیلوگرم)]])</f>
        <v>17185</v>
      </c>
      <c r="V17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4" s="6">
        <f>Main[[#This Row],[تعداد کل روزهای بدهکار (روز)]]*Main[[#This Row],[مانده در خط کل (کیلوگرم)]]</f>
        <v>0</v>
      </c>
      <c r="X1764" s="6">
        <f ca="1">-SUBTOTAL(9,INDEX(Main[مقدار تسویه شده (کیلوگرم)],1):Main[[#This Row],[مقدار تسویه شده (کیلوگرم)]])</f>
        <v>17185</v>
      </c>
      <c r="Y1764" s="6">
        <f ca="1">IF(Main[[#This Row],[مانده در خط تسویه شده (کیلوگرم)]]&lt;&gt;0,Main[[#This Row],[تعداد کل روزهای بدهکار (روز)]],0)</f>
        <v>0</v>
      </c>
      <c r="Z1764" s="6">
        <f ca="1">Main[[#This Row],[تعداد روزهای بدهکار تسویه شده (روز)]]*Main[[#This Row],[مانده در خط تسویه شده (کیلوگرم)]]</f>
        <v>0</v>
      </c>
      <c r="AA1764" s="6">
        <f ca="1">SUBTOTAL(9,INDEX(Main[بدهی تسویه نشده (کیلوگرم)],1):Main[[#This Row],[بدهی تسویه نشده (کیلوگرم)]])</f>
        <v>0</v>
      </c>
      <c r="AB1764" s="6">
        <f ca="1">IF(Main[[#This Row],[مانده در خط تسویه نشده (کیلوگرم)]]&lt;&gt;0,Main[[#This Row],[تعداد کل روزهای بدهکار (روز)]],0)</f>
        <v>0</v>
      </c>
      <c r="AC1764" s="6">
        <f ca="1">Main[[#This Row],[تعداد روزهای بدهکار  تسویه نشده (روز)]]*Main[[#This Row],[مانده در خط تسویه نشده (کیلوگرم)]]</f>
        <v>0</v>
      </c>
      <c r="AD1764" s="6">
        <f ca="1">SUBTOTAL(9,INDEX(Main[بدهی سررسید شده (کیلوگرم)],1):Main[[#This Row],[بدهی سررسید شده (کیلوگرم)]])</f>
        <v>0</v>
      </c>
      <c r="AE1764" s="6">
        <f ca="1">IF(Main[[#This Row],[مانده در خط سررسید شده (کیلوگرم)]]&lt;&gt;0,Main[[#This Row],[تعداد کل روزهای بدهکار (روز)]],0)</f>
        <v>0</v>
      </c>
      <c r="AF1764" s="6">
        <f ca="1">Main[[#This Row],[تعداد روزهای بدهکار سررسید شده (روز)]]*Main[[#This Row],[مانده در خط سررسید شده (کیلوگرم)]]</f>
        <v>0</v>
      </c>
    </row>
    <row r="1765" spans="1:32" hidden="1" x14ac:dyDescent="0.35">
      <c r="A1765" s="5">
        <f>ROW()-ROW(INDEX(Main[ردیف],1))+1</f>
        <v>1763</v>
      </c>
      <c r="B1765" s="31">
        <f>SUBTOTAL(2,INDEX(Main[ردیف],1):Main[[#This Row],[ردیف]])</f>
        <v>158</v>
      </c>
      <c r="C1765" s="32" t="s">
        <v>718</v>
      </c>
      <c r="D1765" s="32" t="str">
        <f>_xlfn.CONCAT("14",Main[[#This Row],[تاريخ]])</f>
        <v>1400/07/11</v>
      </c>
      <c r="E1765" s="33">
        <v>44472</v>
      </c>
      <c r="F1765" s="32">
        <v>50016</v>
      </c>
      <c r="G1765" s="5" t="str">
        <f>INDEX(customer[عنوان],MATCH(Main[[#This Row],[کد ردیابی]],customer[کد],0))</f>
        <v xml:space="preserve">مهدی یوسفی  </v>
      </c>
      <c r="H1765">
        <v>-5052</v>
      </c>
      <c r="I1765" s="6">
        <f ca="1">-Main[[#This Row],[بدهی تسویه شده (کیلوگرم)]]+Main[[#This Row],[بستانکار (کیلوگرم)]]</f>
        <v>-5052</v>
      </c>
      <c r="J1765" s="6">
        <f>IF(Main[[#This Row],[مقدار (کیلوگرم)]]&gt;0,Main[[#This Row],[مقدار (کیلوگرم)]],0)</f>
        <v>0</v>
      </c>
      <c r="K1765" s="6">
        <f>-IF(Main[[#This Row],[مقدار (کیلوگرم)]]&lt;0,Main[[#This Row],[مقدار (کیلوگرم)]],0)</f>
        <v>5052</v>
      </c>
      <c r="L17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5" s="7">
        <f>-IF(AND(Main[[#This Row],[مقدار (کیلوگرم)]]&lt;0,Main[[#This Row],[تاريخ میلادی]]&gt;44276),Main[[#This Row],[مقدار (کیلوگرم)]],0)</f>
        <v>5052</v>
      </c>
      <c r="N1765" s="6">
        <f ca="1">Main[[#This Row],[بدهکار (کیلوگرم)]]-Main[[#This Row],[بدهی تسویه نشده (کیلوگرم)]]</f>
        <v>5052</v>
      </c>
      <c r="O1765" s="6">
        <f ca="1">Main[[#This Row],[تفکیک]]</f>
        <v>0</v>
      </c>
      <c r="P1765" s="6">
        <f ca="1">IF(Main[[#This Row],[تاخیر از سررسید]]&gt;0,Main[[#This Row],[بدهی تسویه نشده (کیلوگرم)]],0)</f>
        <v>0</v>
      </c>
      <c r="Q1765" s="6">
        <f ca="1">IF(Main[[#This Row],[بدهی تسویه نشده (کیلوگرم)]]&gt;0,'گزارش فردی'!$B$7-Main[[#This Row],[تاريخ میلادی]],0)</f>
        <v>0</v>
      </c>
      <c r="R1765" s="6">
        <f ca="1">IF(Main[[#This Row],[بدهی تسویه نشده (کیلوگرم)]]&gt;0,'گزارش فردی'!$B$7-Main[[#This Row],[تاريخ میلادی]]-'گزارش فردی'!$B$8,0)</f>
        <v>0</v>
      </c>
      <c r="S1765" s="6">
        <f ca="1">Main[[#This Row],[روز از ارسال سفارش]]*Main[[#This Row],[بدهی تسویه نشده (کیلوگرم)]]</f>
        <v>0</v>
      </c>
      <c r="T1765" s="6">
        <f ca="1">Main[[#This Row],[بدهی سررسید شده (کیلوگرم)]]*Main[[#This Row],[روز از ارسال سفارش]]</f>
        <v>0</v>
      </c>
      <c r="U1765" s="6">
        <f>-SUBTOTAL(9,INDEX(Main[مقدار (کیلوگرم)],1):Main[[#This Row],[مقدار (کیلوگرم)]])</f>
        <v>17185</v>
      </c>
      <c r="V17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5" s="6">
        <f>Main[[#This Row],[تعداد کل روزهای بدهکار (روز)]]*Main[[#This Row],[مانده در خط کل (کیلوگرم)]]</f>
        <v>0</v>
      </c>
      <c r="X1765" s="6">
        <f ca="1">-SUBTOTAL(9,INDEX(Main[مقدار تسویه شده (کیلوگرم)],1):Main[[#This Row],[مقدار تسویه شده (کیلوگرم)]])</f>
        <v>17185</v>
      </c>
      <c r="Y1765" s="6">
        <f ca="1">IF(Main[[#This Row],[مانده در خط تسویه شده (کیلوگرم)]]&lt;&gt;0,Main[[#This Row],[تعداد کل روزهای بدهکار (روز)]],0)</f>
        <v>0</v>
      </c>
      <c r="Z1765" s="6">
        <f ca="1">Main[[#This Row],[تعداد روزهای بدهکار تسویه شده (روز)]]*Main[[#This Row],[مانده در خط تسویه شده (کیلوگرم)]]</f>
        <v>0</v>
      </c>
      <c r="AA1765" s="6">
        <f ca="1">SUBTOTAL(9,INDEX(Main[بدهی تسویه نشده (کیلوگرم)],1):Main[[#This Row],[بدهی تسویه نشده (کیلوگرم)]])</f>
        <v>0</v>
      </c>
      <c r="AB1765" s="6">
        <f ca="1">IF(Main[[#This Row],[مانده در خط تسویه نشده (کیلوگرم)]]&lt;&gt;0,Main[[#This Row],[تعداد کل روزهای بدهکار (روز)]],0)</f>
        <v>0</v>
      </c>
      <c r="AC1765" s="6">
        <f ca="1">Main[[#This Row],[تعداد روزهای بدهکار  تسویه نشده (روز)]]*Main[[#This Row],[مانده در خط تسویه نشده (کیلوگرم)]]</f>
        <v>0</v>
      </c>
      <c r="AD1765" s="6">
        <f ca="1">SUBTOTAL(9,INDEX(Main[بدهی سررسید شده (کیلوگرم)],1):Main[[#This Row],[بدهی سررسید شده (کیلوگرم)]])</f>
        <v>0</v>
      </c>
      <c r="AE1765" s="6">
        <f ca="1">IF(Main[[#This Row],[مانده در خط سررسید شده (کیلوگرم)]]&lt;&gt;0,Main[[#This Row],[تعداد کل روزهای بدهکار (روز)]],0)</f>
        <v>0</v>
      </c>
      <c r="AF1765" s="6">
        <f ca="1">Main[[#This Row],[تعداد روزهای بدهکار سررسید شده (روز)]]*Main[[#This Row],[مانده در خط سررسید شده (کیلوگرم)]]</f>
        <v>0</v>
      </c>
    </row>
    <row r="1766" spans="1:32" hidden="1" x14ac:dyDescent="0.35">
      <c r="A1766" s="5">
        <f>ROW()-ROW(INDEX(Main[ردیف],1))+1</f>
        <v>1764</v>
      </c>
      <c r="B1766" s="31">
        <f>SUBTOTAL(2,INDEX(Main[ردیف],1):Main[[#This Row],[ردیف]])</f>
        <v>158</v>
      </c>
      <c r="C1766" s="32" t="s">
        <v>718</v>
      </c>
      <c r="D1766" s="32" t="str">
        <f>_xlfn.CONCAT("14",Main[[#This Row],[تاريخ]])</f>
        <v>1400/07/11</v>
      </c>
      <c r="E1766" s="33">
        <v>44472</v>
      </c>
      <c r="F1766" s="32">
        <v>10070</v>
      </c>
      <c r="G1766" s="5" t="str">
        <f>INDEX(customer[عنوان],MATCH(Main[[#This Row],[کد ردیابی]],customer[کد],0))</f>
        <v xml:space="preserve">حمیدرضا شفیعی </v>
      </c>
      <c r="H1766">
        <v>1418</v>
      </c>
      <c r="I1766" s="6">
        <f ca="1">-Main[[#This Row],[بدهی تسویه شده (کیلوگرم)]]+Main[[#This Row],[بستانکار (کیلوگرم)]]</f>
        <v>1418</v>
      </c>
      <c r="J1766" s="6">
        <f>IF(Main[[#This Row],[مقدار (کیلوگرم)]]&gt;0,Main[[#This Row],[مقدار (کیلوگرم)]],0)</f>
        <v>1418</v>
      </c>
      <c r="K1766" s="6">
        <f>-IF(Main[[#This Row],[مقدار (کیلوگرم)]]&lt;0,Main[[#This Row],[مقدار (کیلوگرم)]],0)</f>
        <v>0</v>
      </c>
      <c r="L17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6" s="7">
        <f>-IF(AND(Main[[#This Row],[مقدار (کیلوگرم)]]&lt;0,Main[[#This Row],[تاريخ میلادی]]&gt;44276),Main[[#This Row],[مقدار (کیلوگرم)]],0)</f>
        <v>0</v>
      </c>
      <c r="N1766" s="6">
        <f ca="1">Main[[#This Row],[بدهکار (کیلوگرم)]]-Main[[#This Row],[بدهی تسویه نشده (کیلوگرم)]]</f>
        <v>0</v>
      </c>
      <c r="O1766" s="6">
        <f ca="1">Main[[#This Row],[تفکیک]]</f>
        <v>0</v>
      </c>
      <c r="P1766" s="6">
        <f ca="1">IF(Main[[#This Row],[تاخیر از سررسید]]&gt;0,Main[[#This Row],[بدهی تسویه نشده (کیلوگرم)]],0)</f>
        <v>0</v>
      </c>
      <c r="Q1766" s="6">
        <f ca="1">IF(Main[[#This Row],[بدهی تسویه نشده (کیلوگرم)]]&gt;0,'گزارش فردی'!$B$7-Main[[#This Row],[تاريخ میلادی]],0)</f>
        <v>0</v>
      </c>
      <c r="R1766" s="6">
        <f ca="1">IF(Main[[#This Row],[بدهی تسویه نشده (کیلوگرم)]]&gt;0,'گزارش فردی'!$B$7-Main[[#This Row],[تاريخ میلادی]]-'گزارش فردی'!$B$8,0)</f>
        <v>0</v>
      </c>
      <c r="S1766" s="6">
        <f ca="1">Main[[#This Row],[روز از ارسال سفارش]]*Main[[#This Row],[بدهی تسویه نشده (کیلوگرم)]]</f>
        <v>0</v>
      </c>
      <c r="T1766" s="6">
        <f ca="1">Main[[#This Row],[بدهی سررسید شده (کیلوگرم)]]*Main[[#This Row],[روز از ارسال سفارش]]</f>
        <v>0</v>
      </c>
      <c r="U1766" s="6">
        <f>-SUBTOTAL(9,INDEX(Main[مقدار (کیلوگرم)],1):Main[[#This Row],[مقدار (کیلوگرم)]])</f>
        <v>17185</v>
      </c>
      <c r="V17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6" s="6">
        <f>Main[[#This Row],[تعداد کل روزهای بدهکار (روز)]]*Main[[#This Row],[مانده در خط کل (کیلوگرم)]]</f>
        <v>0</v>
      </c>
      <c r="X1766" s="6">
        <f ca="1">-SUBTOTAL(9,INDEX(Main[مقدار تسویه شده (کیلوگرم)],1):Main[[#This Row],[مقدار تسویه شده (کیلوگرم)]])</f>
        <v>17185</v>
      </c>
      <c r="Y1766" s="6">
        <f ca="1">IF(Main[[#This Row],[مانده در خط تسویه شده (کیلوگرم)]]&lt;&gt;0,Main[[#This Row],[تعداد کل روزهای بدهکار (روز)]],0)</f>
        <v>0</v>
      </c>
      <c r="Z1766" s="6">
        <f ca="1">Main[[#This Row],[تعداد روزهای بدهکار تسویه شده (روز)]]*Main[[#This Row],[مانده در خط تسویه شده (کیلوگرم)]]</f>
        <v>0</v>
      </c>
      <c r="AA1766" s="6">
        <f ca="1">SUBTOTAL(9,INDEX(Main[بدهی تسویه نشده (کیلوگرم)],1):Main[[#This Row],[بدهی تسویه نشده (کیلوگرم)]])</f>
        <v>0</v>
      </c>
      <c r="AB1766" s="6">
        <f ca="1">IF(Main[[#This Row],[مانده در خط تسویه نشده (کیلوگرم)]]&lt;&gt;0,Main[[#This Row],[تعداد کل روزهای بدهکار (روز)]],0)</f>
        <v>0</v>
      </c>
      <c r="AC1766" s="6">
        <f ca="1">Main[[#This Row],[تعداد روزهای بدهکار  تسویه نشده (روز)]]*Main[[#This Row],[مانده در خط تسویه نشده (کیلوگرم)]]</f>
        <v>0</v>
      </c>
      <c r="AD1766" s="6">
        <f ca="1">SUBTOTAL(9,INDEX(Main[بدهی سررسید شده (کیلوگرم)],1):Main[[#This Row],[بدهی سررسید شده (کیلوگرم)]])</f>
        <v>0</v>
      </c>
      <c r="AE1766" s="6">
        <f ca="1">IF(Main[[#This Row],[مانده در خط سررسید شده (کیلوگرم)]]&lt;&gt;0,Main[[#This Row],[تعداد کل روزهای بدهکار (روز)]],0)</f>
        <v>0</v>
      </c>
      <c r="AF1766" s="6">
        <f ca="1">Main[[#This Row],[تعداد روزهای بدهکار سررسید شده (روز)]]*Main[[#This Row],[مانده در خط سررسید شده (کیلوگرم)]]</f>
        <v>0</v>
      </c>
    </row>
    <row r="1767" spans="1:32" hidden="1" x14ac:dyDescent="0.35">
      <c r="A1767" s="5">
        <f>ROW()-ROW(INDEX(Main[ردیف],1))+1</f>
        <v>1765</v>
      </c>
      <c r="B1767" s="31">
        <f>SUBTOTAL(2,INDEX(Main[ردیف],1):Main[[#This Row],[ردیف]])</f>
        <v>158</v>
      </c>
      <c r="C1767" s="32" t="s">
        <v>718</v>
      </c>
      <c r="D1767" s="32" t="str">
        <f>_xlfn.CONCAT("14",Main[[#This Row],[تاريخ]])</f>
        <v>1400/07/11</v>
      </c>
      <c r="E1767" s="33">
        <v>44472</v>
      </c>
      <c r="F1767" s="32">
        <v>30191</v>
      </c>
      <c r="G1767" s="5" t="str">
        <f>INDEX(customer[عنوان],MATCH(Main[[#This Row],[کد ردیابی]],customer[کد],0))</f>
        <v>ایران گرما</v>
      </c>
      <c r="H1767">
        <v>-1016</v>
      </c>
      <c r="I1767" s="6">
        <f ca="1">-Main[[#This Row],[بدهی تسویه شده (کیلوگرم)]]+Main[[#This Row],[بستانکار (کیلوگرم)]]</f>
        <v>-1016</v>
      </c>
      <c r="J1767" s="6">
        <f>IF(Main[[#This Row],[مقدار (کیلوگرم)]]&gt;0,Main[[#This Row],[مقدار (کیلوگرم)]],0)</f>
        <v>0</v>
      </c>
      <c r="K1767" s="6">
        <f>-IF(Main[[#This Row],[مقدار (کیلوگرم)]]&lt;0,Main[[#This Row],[مقدار (کیلوگرم)]],0)</f>
        <v>1016</v>
      </c>
      <c r="L17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7" s="7">
        <f>-IF(AND(Main[[#This Row],[مقدار (کیلوگرم)]]&lt;0,Main[[#This Row],[تاريخ میلادی]]&gt;44276),Main[[#This Row],[مقدار (کیلوگرم)]],0)</f>
        <v>1016</v>
      </c>
      <c r="N1767" s="6">
        <f ca="1">Main[[#This Row],[بدهکار (کیلوگرم)]]-Main[[#This Row],[بدهی تسویه نشده (کیلوگرم)]]</f>
        <v>1016</v>
      </c>
      <c r="O1767" s="6">
        <f ca="1">Main[[#This Row],[تفکیک]]</f>
        <v>0</v>
      </c>
      <c r="P1767" s="6">
        <f ca="1">IF(Main[[#This Row],[تاخیر از سررسید]]&gt;0,Main[[#This Row],[بدهی تسویه نشده (کیلوگرم)]],0)</f>
        <v>0</v>
      </c>
      <c r="Q1767" s="6">
        <f ca="1">IF(Main[[#This Row],[بدهی تسویه نشده (کیلوگرم)]]&gt;0,'گزارش فردی'!$B$7-Main[[#This Row],[تاريخ میلادی]],0)</f>
        <v>0</v>
      </c>
      <c r="R1767" s="6">
        <f ca="1">IF(Main[[#This Row],[بدهی تسویه نشده (کیلوگرم)]]&gt;0,'گزارش فردی'!$B$7-Main[[#This Row],[تاريخ میلادی]]-'گزارش فردی'!$B$8,0)</f>
        <v>0</v>
      </c>
      <c r="S1767" s="6">
        <f ca="1">Main[[#This Row],[روز از ارسال سفارش]]*Main[[#This Row],[بدهی تسویه نشده (کیلوگرم)]]</f>
        <v>0</v>
      </c>
      <c r="T1767" s="6">
        <f ca="1">Main[[#This Row],[بدهی سررسید شده (کیلوگرم)]]*Main[[#This Row],[روز از ارسال سفارش]]</f>
        <v>0</v>
      </c>
      <c r="U1767" s="6">
        <f>-SUBTOTAL(9,INDEX(Main[مقدار (کیلوگرم)],1):Main[[#This Row],[مقدار (کیلوگرم)]])</f>
        <v>17185</v>
      </c>
      <c r="V17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7" s="6">
        <f>Main[[#This Row],[تعداد کل روزهای بدهکار (روز)]]*Main[[#This Row],[مانده در خط کل (کیلوگرم)]]</f>
        <v>0</v>
      </c>
      <c r="X1767" s="6">
        <f ca="1">-SUBTOTAL(9,INDEX(Main[مقدار تسویه شده (کیلوگرم)],1):Main[[#This Row],[مقدار تسویه شده (کیلوگرم)]])</f>
        <v>17185</v>
      </c>
      <c r="Y1767" s="6">
        <f ca="1">IF(Main[[#This Row],[مانده در خط تسویه شده (کیلوگرم)]]&lt;&gt;0,Main[[#This Row],[تعداد کل روزهای بدهکار (روز)]],0)</f>
        <v>0</v>
      </c>
      <c r="Z1767" s="6">
        <f ca="1">Main[[#This Row],[تعداد روزهای بدهکار تسویه شده (روز)]]*Main[[#This Row],[مانده در خط تسویه شده (کیلوگرم)]]</f>
        <v>0</v>
      </c>
      <c r="AA1767" s="6">
        <f ca="1">SUBTOTAL(9,INDEX(Main[بدهی تسویه نشده (کیلوگرم)],1):Main[[#This Row],[بدهی تسویه نشده (کیلوگرم)]])</f>
        <v>0</v>
      </c>
      <c r="AB1767" s="6">
        <f ca="1">IF(Main[[#This Row],[مانده در خط تسویه نشده (کیلوگرم)]]&lt;&gt;0,Main[[#This Row],[تعداد کل روزهای بدهکار (روز)]],0)</f>
        <v>0</v>
      </c>
      <c r="AC1767" s="6">
        <f ca="1">Main[[#This Row],[تعداد روزهای بدهکار  تسویه نشده (روز)]]*Main[[#This Row],[مانده در خط تسویه نشده (کیلوگرم)]]</f>
        <v>0</v>
      </c>
      <c r="AD1767" s="6">
        <f ca="1">SUBTOTAL(9,INDEX(Main[بدهی سررسید شده (کیلوگرم)],1):Main[[#This Row],[بدهی سررسید شده (کیلوگرم)]])</f>
        <v>0</v>
      </c>
      <c r="AE1767" s="6">
        <f ca="1">IF(Main[[#This Row],[مانده در خط سررسید شده (کیلوگرم)]]&lt;&gt;0,Main[[#This Row],[تعداد کل روزهای بدهکار (روز)]],0)</f>
        <v>0</v>
      </c>
      <c r="AF1767" s="6">
        <f ca="1">Main[[#This Row],[تعداد روزهای بدهکار سررسید شده (روز)]]*Main[[#This Row],[مانده در خط سررسید شده (کیلوگرم)]]</f>
        <v>0</v>
      </c>
    </row>
    <row r="1768" spans="1:32" hidden="1" x14ac:dyDescent="0.35">
      <c r="A1768" s="5">
        <f>ROW()-ROW(INDEX(Main[ردیف],1))+1</f>
        <v>1766</v>
      </c>
      <c r="B1768" s="31">
        <f>SUBTOTAL(2,INDEX(Main[ردیف],1):Main[[#This Row],[ردیف]])</f>
        <v>158</v>
      </c>
      <c r="C1768" s="32" t="s">
        <v>718</v>
      </c>
      <c r="D1768" s="32" t="str">
        <f>_xlfn.CONCAT("14",Main[[#This Row],[تاريخ]])</f>
        <v>1400/07/11</v>
      </c>
      <c r="E1768" s="33">
        <v>44472</v>
      </c>
      <c r="F1768" s="32">
        <v>30191</v>
      </c>
      <c r="G1768" s="5" t="str">
        <f>INDEX(customer[عنوان],MATCH(Main[[#This Row],[کد ردیابی]],customer[کد],0))</f>
        <v>ایران گرما</v>
      </c>
      <c r="H1768">
        <v>163</v>
      </c>
      <c r="I1768" s="6">
        <f ca="1">-Main[[#This Row],[بدهی تسویه شده (کیلوگرم)]]+Main[[#This Row],[بستانکار (کیلوگرم)]]</f>
        <v>163</v>
      </c>
      <c r="J1768" s="6">
        <f>IF(Main[[#This Row],[مقدار (کیلوگرم)]]&gt;0,Main[[#This Row],[مقدار (کیلوگرم)]],0)</f>
        <v>163</v>
      </c>
      <c r="K1768" s="6">
        <f>-IF(Main[[#This Row],[مقدار (کیلوگرم)]]&lt;0,Main[[#This Row],[مقدار (کیلوگرم)]],0)</f>
        <v>0</v>
      </c>
      <c r="L17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8" s="7">
        <f>-IF(AND(Main[[#This Row],[مقدار (کیلوگرم)]]&lt;0,Main[[#This Row],[تاريخ میلادی]]&gt;44276),Main[[#This Row],[مقدار (کیلوگرم)]],0)</f>
        <v>0</v>
      </c>
      <c r="N1768" s="6">
        <f ca="1">Main[[#This Row],[بدهکار (کیلوگرم)]]-Main[[#This Row],[بدهی تسویه نشده (کیلوگرم)]]</f>
        <v>0</v>
      </c>
      <c r="O1768" s="6">
        <f ca="1">Main[[#This Row],[تفکیک]]</f>
        <v>0</v>
      </c>
      <c r="P1768" s="6">
        <f ca="1">IF(Main[[#This Row],[تاخیر از سررسید]]&gt;0,Main[[#This Row],[بدهی تسویه نشده (کیلوگرم)]],0)</f>
        <v>0</v>
      </c>
      <c r="Q1768" s="6">
        <f ca="1">IF(Main[[#This Row],[بدهی تسویه نشده (کیلوگرم)]]&gt;0,'گزارش فردی'!$B$7-Main[[#This Row],[تاريخ میلادی]],0)</f>
        <v>0</v>
      </c>
      <c r="R1768" s="6">
        <f ca="1">IF(Main[[#This Row],[بدهی تسویه نشده (کیلوگرم)]]&gt;0,'گزارش فردی'!$B$7-Main[[#This Row],[تاريخ میلادی]]-'گزارش فردی'!$B$8,0)</f>
        <v>0</v>
      </c>
      <c r="S1768" s="6">
        <f ca="1">Main[[#This Row],[روز از ارسال سفارش]]*Main[[#This Row],[بدهی تسویه نشده (کیلوگرم)]]</f>
        <v>0</v>
      </c>
      <c r="T1768" s="6">
        <f ca="1">Main[[#This Row],[بدهی سررسید شده (کیلوگرم)]]*Main[[#This Row],[روز از ارسال سفارش]]</f>
        <v>0</v>
      </c>
      <c r="U1768" s="6">
        <f>-SUBTOTAL(9,INDEX(Main[مقدار (کیلوگرم)],1):Main[[#This Row],[مقدار (کیلوگرم)]])</f>
        <v>17185</v>
      </c>
      <c r="V17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8" s="6">
        <f>Main[[#This Row],[تعداد کل روزهای بدهکار (روز)]]*Main[[#This Row],[مانده در خط کل (کیلوگرم)]]</f>
        <v>0</v>
      </c>
      <c r="X1768" s="6">
        <f ca="1">-SUBTOTAL(9,INDEX(Main[مقدار تسویه شده (کیلوگرم)],1):Main[[#This Row],[مقدار تسویه شده (کیلوگرم)]])</f>
        <v>17185</v>
      </c>
      <c r="Y1768" s="6">
        <f ca="1">IF(Main[[#This Row],[مانده در خط تسویه شده (کیلوگرم)]]&lt;&gt;0,Main[[#This Row],[تعداد کل روزهای بدهکار (روز)]],0)</f>
        <v>0</v>
      </c>
      <c r="Z1768" s="6">
        <f ca="1">Main[[#This Row],[تعداد روزهای بدهکار تسویه شده (روز)]]*Main[[#This Row],[مانده در خط تسویه شده (کیلوگرم)]]</f>
        <v>0</v>
      </c>
      <c r="AA1768" s="6">
        <f ca="1">SUBTOTAL(9,INDEX(Main[بدهی تسویه نشده (کیلوگرم)],1):Main[[#This Row],[بدهی تسویه نشده (کیلوگرم)]])</f>
        <v>0</v>
      </c>
      <c r="AB1768" s="6">
        <f ca="1">IF(Main[[#This Row],[مانده در خط تسویه نشده (کیلوگرم)]]&lt;&gt;0,Main[[#This Row],[تعداد کل روزهای بدهکار (روز)]],0)</f>
        <v>0</v>
      </c>
      <c r="AC1768" s="6">
        <f ca="1">Main[[#This Row],[تعداد روزهای بدهکار  تسویه نشده (روز)]]*Main[[#This Row],[مانده در خط تسویه نشده (کیلوگرم)]]</f>
        <v>0</v>
      </c>
      <c r="AD1768" s="6">
        <f ca="1">SUBTOTAL(9,INDEX(Main[بدهی سررسید شده (کیلوگرم)],1):Main[[#This Row],[بدهی سررسید شده (کیلوگرم)]])</f>
        <v>0</v>
      </c>
      <c r="AE1768" s="6">
        <f ca="1">IF(Main[[#This Row],[مانده در خط سررسید شده (کیلوگرم)]]&lt;&gt;0,Main[[#This Row],[تعداد کل روزهای بدهکار (روز)]],0)</f>
        <v>0</v>
      </c>
      <c r="AF1768" s="6">
        <f ca="1">Main[[#This Row],[تعداد روزهای بدهکار سررسید شده (روز)]]*Main[[#This Row],[مانده در خط سررسید شده (کیلوگرم)]]</f>
        <v>0</v>
      </c>
    </row>
    <row r="1769" spans="1:32" hidden="1" x14ac:dyDescent="0.35">
      <c r="A1769" s="5">
        <f>ROW()-ROW(INDEX(Main[ردیف],1))+1</f>
        <v>1767</v>
      </c>
      <c r="B1769" s="31">
        <f>SUBTOTAL(2,INDEX(Main[ردیف],1):Main[[#This Row],[ردیف]])</f>
        <v>158</v>
      </c>
      <c r="C1769" s="32" t="s">
        <v>718</v>
      </c>
      <c r="D1769" s="32" t="str">
        <f>_xlfn.CONCAT("14",Main[[#This Row],[تاريخ]])</f>
        <v>1400/07/11</v>
      </c>
      <c r="E1769" s="33">
        <v>44472</v>
      </c>
      <c r="F1769" s="32">
        <v>30066</v>
      </c>
      <c r="G1769" s="5" t="str">
        <f>INDEX(customer[عنوان],MATCH(Main[[#This Row],[کد ردیابی]],customer[کد],0))</f>
        <v xml:space="preserve">شیر آلات بهداشتی قهرمان </v>
      </c>
      <c r="H1769">
        <v>-702</v>
      </c>
      <c r="I1769" s="6">
        <f ca="1">-Main[[#This Row],[بدهی تسویه شده (کیلوگرم)]]+Main[[#This Row],[بستانکار (کیلوگرم)]]</f>
        <v>-702</v>
      </c>
      <c r="J1769" s="6">
        <f>IF(Main[[#This Row],[مقدار (کیلوگرم)]]&gt;0,Main[[#This Row],[مقدار (کیلوگرم)]],0)</f>
        <v>0</v>
      </c>
      <c r="K1769" s="6">
        <f>-IF(Main[[#This Row],[مقدار (کیلوگرم)]]&lt;0,Main[[#This Row],[مقدار (کیلوگرم)]],0)</f>
        <v>702</v>
      </c>
      <c r="L17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9" s="7">
        <f>-IF(AND(Main[[#This Row],[مقدار (کیلوگرم)]]&lt;0,Main[[#This Row],[تاريخ میلادی]]&gt;44276),Main[[#This Row],[مقدار (کیلوگرم)]],0)</f>
        <v>702</v>
      </c>
      <c r="N1769" s="6">
        <f ca="1">Main[[#This Row],[بدهکار (کیلوگرم)]]-Main[[#This Row],[بدهی تسویه نشده (کیلوگرم)]]</f>
        <v>702</v>
      </c>
      <c r="O1769" s="6">
        <f ca="1">Main[[#This Row],[تفکیک]]</f>
        <v>0</v>
      </c>
      <c r="P1769" s="6">
        <f ca="1">IF(Main[[#This Row],[تاخیر از سررسید]]&gt;0,Main[[#This Row],[بدهی تسویه نشده (کیلوگرم)]],0)</f>
        <v>0</v>
      </c>
      <c r="Q1769" s="6">
        <f ca="1">IF(Main[[#This Row],[بدهی تسویه نشده (کیلوگرم)]]&gt;0,'گزارش فردی'!$B$7-Main[[#This Row],[تاريخ میلادی]],0)</f>
        <v>0</v>
      </c>
      <c r="R1769" s="6">
        <f ca="1">IF(Main[[#This Row],[بدهی تسویه نشده (کیلوگرم)]]&gt;0,'گزارش فردی'!$B$7-Main[[#This Row],[تاريخ میلادی]]-'گزارش فردی'!$B$8,0)</f>
        <v>0</v>
      </c>
      <c r="S1769" s="6">
        <f ca="1">Main[[#This Row],[روز از ارسال سفارش]]*Main[[#This Row],[بدهی تسویه نشده (کیلوگرم)]]</f>
        <v>0</v>
      </c>
      <c r="T1769" s="6">
        <f ca="1">Main[[#This Row],[بدهی سررسید شده (کیلوگرم)]]*Main[[#This Row],[روز از ارسال سفارش]]</f>
        <v>0</v>
      </c>
      <c r="U1769" s="6">
        <f>-SUBTOTAL(9,INDEX(Main[مقدار (کیلوگرم)],1):Main[[#This Row],[مقدار (کیلوگرم)]])</f>
        <v>17185</v>
      </c>
      <c r="V17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9" s="6">
        <f>Main[[#This Row],[تعداد کل روزهای بدهکار (روز)]]*Main[[#This Row],[مانده در خط کل (کیلوگرم)]]</f>
        <v>0</v>
      </c>
      <c r="X1769" s="6">
        <f ca="1">-SUBTOTAL(9,INDEX(Main[مقدار تسویه شده (کیلوگرم)],1):Main[[#This Row],[مقدار تسویه شده (کیلوگرم)]])</f>
        <v>17185</v>
      </c>
      <c r="Y1769" s="6">
        <f ca="1">IF(Main[[#This Row],[مانده در خط تسویه شده (کیلوگرم)]]&lt;&gt;0,Main[[#This Row],[تعداد کل روزهای بدهکار (روز)]],0)</f>
        <v>0</v>
      </c>
      <c r="Z1769" s="6">
        <f ca="1">Main[[#This Row],[تعداد روزهای بدهکار تسویه شده (روز)]]*Main[[#This Row],[مانده در خط تسویه شده (کیلوگرم)]]</f>
        <v>0</v>
      </c>
      <c r="AA1769" s="6">
        <f ca="1">SUBTOTAL(9,INDEX(Main[بدهی تسویه نشده (کیلوگرم)],1):Main[[#This Row],[بدهی تسویه نشده (کیلوگرم)]])</f>
        <v>0</v>
      </c>
      <c r="AB1769" s="6">
        <f ca="1">IF(Main[[#This Row],[مانده در خط تسویه نشده (کیلوگرم)]]&lt;&gt;0,Main[[#This Row],[تعداد کل روزهای بدهکار (روز)]],0)</f>
        <v>0</v>
      </c>
      <c r="AC1769" s="6">
        <f ca="1">Main[[#This Row],[تعداد روزهای بدهکار  تسویه نشده (روز)]]*Main[[#This Row],[مانده در خط تسویه نشده (کیلوگرم)]]</f>
        <v>0</v>
      </c>
      <c r="AD1769" s="6">
        <f ca="1">SUBTOTAL(9,INDEX(Main[بدهی سررسید شده (کیلوگرم)],1):Main[[#This Row],[بدهی سررسید شده (کیلوگرم)]])</f>
        <v>0</v>
      </c>
      <c r="AE1769" s="6">
        <f ca="1">IF(Main[[#This Row],[مانده در خط سررسید شده (کیلوگرم)]]&lt;&gt;0,Main[[#This Row],[تعداد کل روزهای بدهکار (روز)]],0)</f>
        <v>0</v>
      </c>
      <c r="AF1769" s="6">
        <f ca="1">Main[[#This Row],[تعداد روزهای بدهکار سررسید شده (روز)]]*Main[[#This Row],[مانده در خط سررسید شده (کیلوگرم)]]</f>
        <v>0</v>
      </c>
    </row>
    <row r="1770" spans="1:32" hidden="1" x14ac:dyDescent="0.35">
      <c r="A1770" s="5">
        <f>ROW()-ROW(INDEX(Main[ردیف],1))+1</f>
        <v>1768</v>
      </c>
      <c r="B1770" s="31">
        <f>SUBTOTAL(2,INDEX(Main[ردیف],1):Main[[#This Row],[ردیف]])</f>
        <v>158</v>
      </c>
      <c r="C1770" s="32" t="s">
        <v>718</v>
      </c>
      <c r="D1770" s="32" t="str">
        <f>_xlfn.CONCAT("14",Main[[#This Row],[تاريخ]])</f>
        <v>1400/07/11</v>
      </c>
      <c r="E1770" s="33">
        <v>44472</v>
      </c>
      <c r="F1770" s="32">
        <v>30191</v>
      </c>
      <c r="G1770" s="5" t="str">
        <f>INDEX(customer[عنوان],MATCH(Main[[#This Row],[کد ردیابی]],customer[کد],0))</f>
        <v>ایران گرما</v>
      </c>
      <c r="H1770">
        <v>51</v>
      </c>
      <c r="I1770" s="6">
        <f ca="1">-Main[[#This Row],[بدهی تسویه شده (کیلوگرم)]]+Main[[#This Row],[بستانکار (کیلوگرم)]]</f>
        <v>51</v>
      </c>
      <c r="J1770" s="6">
        <f>IF(Main[[#This Row],[مقدار (کیلوگرم)]]&gt;0,Main[[#This Row],[مقدار (کیلوگرم)]],0)</f>
        <v>51</v>
      </c>
      <c r="K1770" s="6">
        <f>-IF(Main[[#This Row],[مقدار (کیلوگرم)]]&lt;0,Main[[#This Row],[مقدار (کیلوگرم)]],0)</f>
        <v>0</v>
      </c>
      <c r="L17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0" s="7">
        <f>-IF(AND(Main[[#This Row],[مقدار (کیلوگرم)]]&lt;0,Main[[#This Row],[تاريخ میلادی]]&gt;44276),Main[[#This Row],[مقدار (کیلوگرم)]],0)</f>
        <v>0</v>
      </c>
      <c r="N1770" s="6">
        <f ca="1">Main[[#This Row],[بدهکار (کیلوگرم)]]-Main[[#This Row],[بدهی تسویه نشده (کیلوگرم)]]</f>
        <v>0</v>
      </c>
      <c r="O1770" s="6">
        <f ca="1">Main[[#This Row],[تفکیک]]</f>
        <v>0</v>
      </c>
      <c r="P1770" s="6">
        <f ca="1">IF(Main[[#This Row],[تاخیر از سررسید]]&gt;0,Main[[#This Row],[بدهی تسویه نشده (کیلوگرم)]],0)</f>
        <v>0</v>
      </c>
      <c r="Q1770" s="6">
        <f ca="1">IF(Main[[#This Row],[بدهی تسویه نشده (کیلوگرم)]]&gt;0,'گزارش فردی'!$B$7-Main[[#This Row],[تاريخ میلادی]],0)</f>
        <v>0</v>
      </c>
      <c r="R1770" s="6">
        <f ca="1">IF(Main[[#This Row],[بدهی تسویه نشده (کیلوگرم)]]&gt;0,'گزارش فردی'!$B$7-Main[[#This Row],[تاريخ میلادی]]-'گزارش فردی'!$B$8,0)</f>
        <v>0</v>
      </c>
      <c r="S1770" s="6">
        <f ca="1">Main[[#This Row],[روز از ارسال سفارش]]*Main[[#This Row],[بدهی تسویه نشده (کیلوگرم)]]</f>
        <v>0</v>
      </c>
      <c r="T1770" s="6">
        <f ca="1">Main[[#This Row],[بدهی سررسید شده (کیلوگرم)]]*Main[[#This Row],[روز از ارسال سفارش]]</f>
        <v>0</v>
      </c>
      <c r="U1770" s="6">
        <f>-SUBTOTAL(9,INDEX(Main[مقدار (کیلوگرم)],1):Main[[#This Row],[مقدار (کیلوگرم)]])</f>
        <v>17185</v>
      </c>
      <c r="V17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0" s="6">
        <f>Main[[#This Row],[تعداد کل روزهای بدهکار (روز)]]*Main[[#This Row],[مانده در خط کل (کیلوگرم)]]</f>
        <v>0</v>
      </c>
      <c r="X1770" s="6">
        <f ca="1">-SUBTOTAL(9,INDEX(Main[مقدار تسویه شده (کیلوگرم)],1):Main[[#This Row],[مقدار تسویه شده (کیلوگرم)]])</f>
        <v>17185</v>
      </c>
      <c r="Y1770" s="6">
        <f ca="1">IF(Main[[#This Row],[مانده در خط تسویه شده (کیلوگرم)]]&lt;&gt;0,Main[[#This Row],[تعداد کل روزهای بدهکار (روز)]],0)</f>
        <v>0</v>
      </c>
      <c r="Z1770" s="6">
        <f ca="1">Main[[#This Row],[تعداد روزهای بدهکار تسویه شده (روز)]]*Main[[#This Row],[مانده در خط تسویه شده (کیلوگرم)]]</f>
        <v>0</v>
      </c>
      <c r="AA1770" s="6">
        <f ca="1">SUBTOTAL(9,INDEX(Main[بدهی تسویه نشده (کیلوگرم)],1):Main[[#This Row],[بدهی تسویه نشده (کیلوگرم)]])</f>
        <v>0</v>
      </c>
      <c r="AB1770" s="6">
        <f ca="1">IF(Main[[#This Row],[مانده در خط تسویه نشده (کیلوگرم)]]&lt;&gt;0,Main[[#This Row],[تعداد کل روزهای بدهکار (روز)]],0)</f>
        <v>0</v>
      </c>
      <c r="AC1770" s="6">
        <f ca="1">Main[[#This Row],[تعداد روزهای بدهکار  تسویه نشده (روز)]]*Main[[#This Row],[مانده در خط تسویه نشده (کیلوگرم)]]</f>
        <v>0</v>
      </c>
      <c r="AD1770" s="6">
        <f ca="1">SUBTOTAL(9,INDEX(Main[بدهی سررسید شده (کیلوگرم)],1):Main[[#This Row],[بدهی سررسید شده (کیلوگرم)]])</f>
        <v>0</v>
      </c>
      <c r="AE1770" s="6">
        <f ca="1">IF(Main[[#This Row],[مانده در خط سررسید شده (کیلوگرم)]]&lt;&gt;0,Main[[#This Row],[تعداد کل روزهای بدهکار (روز)]],0)</f>
        <v>0</v>
      </c>
      <c r="AF1770" s="6">
        <f ca="1">Main[[#This Row],[تعداد روزهای بدهکار سررسید شده (روز)]]*Main[[#This Row],[مانده در خط سررسید شده (کیلوگرم)]]</f>
        <v>0</v>
      </c>
    </row>
    <row r="1771" spans="1:32" hidden="1" x14ac:dyDescent="0.35">
      <c r="A1771" s="5">
        <f>ROW()-ROW(INDEX(Main[ردیف],1))+1</f>
        <v>1769</v>
      </c>
      <c r="B1771" s="31">
        <f>SUBTOTAL(2,INDEX(Main[ردیف],1):Main[[#This Row],[ردیف]])</f>
        <v>158</v>
      </c>
      <c r="C1771" s="32" t="s">
        <v>718</v>
      </c>
      <c r="D1771" s="32" t="str">
        <f>_xlfn.CONCAT("14",Main[[#This Row],[تاريخ]])</f>
        <v>1400/07/11</v>
      </c>
      <c r="E1771" s="33">
        <v>44472</v>
      </c>
      <c r="F1771" s="32">
        <v>10029</v>
      </c>
      <c r="G1771" s="5" t="str">
        <f>INDEX(customer[عنوان],MATCH(Main[[#This Row],[کد ردیابی]],customer[کد],0))</f>
        <v>رضا شریعتی</v>
      </c>
      <c r="H1771">
        <v>-1581</v>
      </c>
      <c r="I1771" s="6">
        <f ca="1">-Main[[#This Row],[بدهی تسویه شده (کیلوگرم)]]+Main[[#This Row],[بستانکار (کیلوگرم)]]</f>
        <v>-1581</v>
      </c>
      <c r="J1771" s="6">
        <f>IF(Main[[#This Row],[مقدار (کیلوگرم)]]&gt;0,Main[[#This Row],[مقدار (کیلوگرم)]],0)</f>
        <v>0</v>
      </c>
      <c r="K1771" s="6">
        <f>-IF(Main[[#This Row],[مقدار (کیلوگرم)]]&lt;0,Main[[#This Row],[مقدار (کیلوگرم)]],0)</f>
        <v>1581</v>
      </c>
      <c r="L17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1" s="7">
        <f>-IF(AND(Main[[#This Row],[مقدار (کیلوگرم)]]&lt;0,Main[[#This Row],[تاريخ میلادی]]&gt;44276),Main[[#This Row],[مقدار (کیلوگرم)]],0)</f>
        <v>1581</v>
      </c>
      <c r="N1771" s="6">
        <f ca="1">Main[[#This Row],[بدهکار (کیلوگرم)]]-Main[[#This Row],[بدهی تسویه نشده (کیلوگرم)]]</f>
        <v>1581</v>
      </c>
      <c r="O1771" s="6">
        <f ca="1">Main[[#This Row],[تفکیک]]</f>
        <v>0</v>
      </c>
      <c r="P1771" s="6">
        <f ca="1">IF(Main[[#This Row],[تاخیر از سررسید]]&gt;0,Main[[#This Row],[بدهی تسویه نشده (کیلوگرم)]],0)</f>
        <v>0</v>
      </c>
      <c r="Q1771" s="6">
        <f ca="1">IF(Main[[#This Row],[بدهی تسویه نشده (کیلوگرم)]]&gt;0,'گزارش فردی'!$B$7-Main[[#This Row],[تاريخ میلادی]],0)</f>
        <v>0</v>
      </c>
      <c r="R1771" s="6">
        <f ca="1">IF(Main[[#This Row],[بدهی تسویه نشده (کیلوگرم)]]&gt;0,'گزارش فردی'!$B$7-Main[[#This Row],[تاريخ میلادی]]-'گزارش فردی'!$B$8,0)</f>
        <v>0</v>
      </c>
      <c r="S1771" s="6">
        <f ca="1">Main[[#This Row],[روز از ارسال سفارش]]*Main[[#This Row],[بدهی تسویه نشده (کیلوگرم)]]</f>
        <v>0</v>
      </c>
      <c r="T1771" s="6">
        <f ca="1">Main[[#This Row],[بدهی سررسید شده (کیلوگرم)]]*Main[[#This Row],[روز از ارسال سفارش]]</f>
        <v>0</v>
      </c>
      <c r="U1771" s="6">
        <f>-SUBTOTAL(9,INDEX(Main[مقدار (کیلوگرم)],1):Main[[#This Row],[مقدار (کیلوگرم)]])</f>
        <v>17185</v>
      </c>
      <c r="V17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1" s="6">
        <f>Main[[#This Row],[تعداد کل روزهای بدهکار (روز)]]*Main[[#This Row],[مانده در خط کل (کیلوگرم)]]</f>
        <v>0</v>
      </c>
      <c r="X1771" s="6">
        <f ca="1">-SUBTOTAL(9,INDEX(Main[مقدار تسویه شده (کیلوگرم)],1):Main[[#This Row],[مقدار تسویه شده (کیلوگرم)]])</f>
        <v>17185</v>
      </c>
      <c r="Y1771" s="6">
        <f ca="1">IF(Main[[#This Row],[مانده در خط تسویه شده (کیلوگرم)]]&lt;&gt;0,Main[[#This Row],[تعداد کل روزهای بدهکار (روز)]],0)</f>
        <v>0</v>
      </c>
      <c r="Z1771" s="6">
        <f ca="1">Main[[#This Row],[تعداد روزهای بدهکار تسویه شده (روز)]]*Main[[#This Row],[مانده در خط تسویه شده (کیلوگرم)]]</f>
        <v>0</v>
      </c>
      <c r="AA1771" s="6">
        <f ca="1">SUBTOTAL(9,INDEX(Main[بدهی تسویه نشده (کیلوگرم)],1):Main[[#This Row],[بدهی تسویه نشده (کیلوگرم)]])</f>
        <v>0</v>
      </c>
      <c r="AB1771" s="6">
        <f ca="1">IF(Main[[#This Row],[مانده در خط تسویه نشده (کیلوگرم)]]&lt;&gt;0,Main[[#This Row],[تعداد کل روزهای بدهکار (روز)]],0)</f>
        <v>0</v>
      </c>
      <c r="AC1771" s="6">
        <f ca="1">Main[[#This Row],[تعداد روزهای بدهکار  تسویه نشده (روز)]]*Main[[#This Row],[مانده در خط تسویه نشده (کیلوگرم)]]</f>
        <v>0</v>
      </c>
      <c r="AD1771" s="6">
        <f ca="1">SUBTOTAL(9,INDEX(Main[بدهی سررسید شده (کیلوگرم)],1):Main[[#This Row],[بدهی سررسید شده (کیلوگرم)]])</f>
        <v>0</v>
      </c>
      <c r="AE1771" s="6">
        <f ca="1">IF(Main[[#This Row],[مانده در خط سررسید شده (کیلوگرم)]]&lt;&gt;0,Main[[#This Row],[تعداد کل روزهای بدهکار (روز)]],0)</f>
        <v>0</v>
      </c>
      <c r="AF1771" s="6">
        <f ca="1">Main[[#This Row],[تعداد روزهای بدهکار سررسید شده (روز)]]*Main[[#This Row],[مانده در خط سررسید شده (کیلوگرم)]]</f>
        <v>0</v>
      </c>
    </row>
    <row r="1772" spans="1:32" hidden="1" x14ac:dyDescent="0.35">
      <c r="A1772" s="5">
        <f>ROW()-ROW(INDEX(Main[ردیف],1))+1</f>
        <v>1770</v>
      </c>
      <c r="B1772" s="31">
        <f>SUBTOTAL(2,INDEX(Main[ردیف],1):Main[[#This Row],[ردیف]])</f>
        <v>158</v>
      </c>
      <c r="C1772" s="32" t="s">
        <v>718</v>
      </c>
      <c r="D1772" s="32" t="str">
        <f>_xlfn.CONCAT("14",Main[[#This Row],[تاريخ]])</f>
        <v>1400/07/11</v>
      </c>
      <c r="E1772" s="33">
        <v>44472</v>
      </c>
      <c r="F1772" s="32">
        <v>30187</v>
      </c>
      <c r="G1772" s="5" t="str">
        <f>INDEX(customer[عنوان],MATCH(Main[[#This Row],[کد ردیابی]],customer[کد],0))</f>
        <v>شرکت جام جم</v>
      </c>
      <c r="H1772">
        <v>360</v>
      </c>
      <c r="I1772" s="6">
        <f ca="1">-Main[[#This Row],[بدهی تسویه شده (کیلوگرم)]]+Main[[#This Row],[بستانکار (کیلوگرم)]]</f>
        <v>360</v>
      </c>
      <c r="J1772" s="6">
        <f>IF(Main[[#This Row],[مقدار (کیلوگرم)]]&gt;0,Main[[#This Row],[مقدار (کیلوگرم)]],0)</f>
        <v>360</v>
      </c>
      <c r="K1772" s="6">
        <f>-IF(Main[[#This Row],[مقدار (کیلوگرم)]]&lt;0,Main[[#This Row],[مقدار (کیلوگرم)]],0)</f>
        <v>0</v>
      </c>
      <c r="L17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2" s="7">
        <f>-IF(AND(Main[[#This Row],[مقدار (کیلوگرم)]]&lt;0,Main[[#This Row],[تاريخ میلادی]]&gt;44276),Main[[#This Row],[مقدار (کیلوگرم)]],0)</f>
        <v>0</v>
      </c>
      <c r="N1772" s="6">
        <f ca="1">Main[[#This Row],[بدهکار (کیلوگرم)]]-Main[[#This Row],[بدهی تسویه نشده (کیلوگرم)]]</f>
        <v>0</v>
      </c>
      <c r="O1772" s="6">
        <f ca="1">Main[[#This Row],[تفکیک]]</f>
        <v>0</v>
      </c>
      <c r="P1772" s="6">
        <f ca="1">IF(Main[[#This Row],[تاخیر از سررسید]]&gt;0,Main[[#This Row],[بدهی تسویه نشده (کیلوگرم)]],0)</f>
        <v>0</v>
      </c>
      <c r="Q1772" s="6">
        <f ca="1">IF(Main[[#This Row],[بدهی تسویه نشده (کیلوگرم)]]&gt;0,'گزارش فردی'!$B$7-Main[[#This Row],[تاريخ میلادی]],0)</f>
        <v>0</v>
      </c>
      <c r="R1772" s="6">
        <f ca="1">IF(Main[[#This Row],[بدهی تسویه نشده (کیلوگرم)]]&gt;0,'گزارش فردی'!$B$7-Main[[#This Row],[تاريخ میلادی]]-'گزارش فردی'!$B$8,0)</f>
        <v>0</v>
      </c>
      <c r="S1772" s="6">
        <f ca="1">Main[[#This Row],[روز از ارسال سفارش]]*Main[[#This Row],[بدهی تسویه نشده (کیلوگرم)]]</f>
        <v>0</v>
      </c>
      <c r="T1772" s="6">
        <f ca="1">Main[[#This Row],[بدهی سررسید شده (کیلوگرم)]]*Main[[#This Row],[روز از ارسال سفارش]]</f>
        <v>0</v>
      </c>
      <c r="U1772" s="6">
        <f>-SUBTOTAL(9,INDEX(Main[مقدار (کیلوگرم)],1):Main[[#This Row],[مقدار (کیلوگرم)]])</f>
        <v>17185</v>
      </c>
      <c r="V17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2" s="6">
        <f>Main[[#This Row],[تعداد کل روزهای بدهکار (روز)]]*Main[[#This Row],[مانده در خط کل (کیلوگرم)]]</f>
        <v>0</v>
      </c>
      <c r="X1772" s="6">
        <f ca="1">-SUBTOTAL(9,INDEX(Main[مقدار تسویه شده (کیلوگرم)],1):Main[[#This Row],[مقدار تسویه شده (کیلوگرم)]])</f>
        <v>17185</v>
      </c>
      <c r="Y1772" s="6">
        <f ca="1">IF(Main[[#This Row],[مانده در خط تسویه شده (کیلوگرم)]]&lt;&gt;0,Main[[#This Row],[تعداد کل روزهای بدهکار (روز)]],0)</f>
        <v>0</v>
      </c>
      <c r="Z1772" s="6">
        <f ca="1">Main[[#This Row],[تعداد روزهای بدهکار تسویه شده (روز)]]*Main[[#This Row],[مانده در خط تسویه شده (کیلوگرم)]]</f>
        <v>0</v>
      </c>
      <c r="AA1772" s="6">
        <f ca="1">SUBTOTAL(9,INDEX(Main[بدهی تسویه نشده (کیلوگرم)],1):Main[[#This Row],[بدهی تسویه نشده (کیلوگرم)]])</f>
        <v>0</v>
      </c>
      <c r="AB1772" s="6">
        <f ca="1">IF(Main[[#This Row],[مانده در خط تسویه نشده (کیلوگرم)]]&lt;&gt;0,Main[[#This Row],[تعداد کل روزهای بدهکار (روز)]],0)</f>
        <v>0</v>
      </c>
      <c r="AC1772" s="6">
        <f ca="1">Main[[#This Row],[تعداد روزهای بدهکار  تسویه نشده (روز)]]*Main[[#This Row],[مانده در خط تسویه نشده (کیلوگرم)]]</f>
        <v>0</v>
      </c>
      <c r="AD1772" s="6">
        <f ca="1">SUBTOTAL(9,INDEX(Main[بدهی سررسید شده (کیلوگرم)],1):Main[[#This Row],[بدهی سررسید شده (کیلوگرم)]])</f>
        <v>0</v>
      </c>
      <c r="AE1772" s="6">
        <f ca="1">IF(Main[[#This Row],[مانده در خط سررسید شده (کیلوگرم)]]&lt;&gt;0,Main[[#This Row],[تعداد کل روزهای بدهکار (روز)]],0)</f>
        <v>0</v>
      </c>
      <c r="AF1772" s="6">
        <f ca="1">Main[[#This Row],[تعداد روزهای بدهکار سررسید شده (روز)]]*Main[[#This Row],[مانده در خط سررسید شده (کیلوگرم)]]</f>
        <v>0</v>
      </c>
    </row>
    <row r="1773" spans="1:32" x14ac:dyDescent="0.35">
      <c r="A1773" s="5">
        <f>ROW()-ROW(INDEX(Main[ردیف],1))+1</f>
        <v>1771</v>
      </c>
      <c r="B1773" s="31">
        <f>SUBTOTAL(2,INDEX(Main[ردیف],1):Main[[#This Row],[ردیف]])</f>
        <v>159</v>
      </c>
      <c r="C1773" s="32" t="s">
        <v>718</v>
      </c>
      <c r="D1773" s="32" t="str">
        <f>_xlfn.CONCAT("14",Main[[#This Row],[تاريخ]])</f>
        <v>1400/07/11</v>
      </c>
      <c r="E1773" s="33">
        <v>44472</v>
      </c>
      <c r="F1773" s="32">
        <v>10003</v>
      </c>
      <c r="G1773" s="5" t="str">
        <f>INDEX(customer[عنوان],MATCH(Main[[#This Row],[کد ردیابی]],customer[کد],0))</f>
        <v>اصغر نورعلی</v>
      </c>
      <c r="H1773">
        <v>-4678</v>
      </c>
      <c r="I1773" s="6">
        <f ca="1">-Main[[#This Row],[بدهی تسویه شده (کیلوگرم)]]+Main[[#This Row],[بستانکار (کیلوگرم)]]</f>
        <v>-4678</v>
      </c>
      <c r="J1773" s="6">
        <f>IF(Main[[#This Row],[مقدار (کیلوگرم)]]&gt;0,Main[[#This Row],[مقدار (کیلوگرم)]],0)</f>
        <v>0</v>
      </c>
      <c r="K1773" s="6">
        <f>-IF(Main[[#This Row],[مقدار (کیلوگرم)]]&lt;0,Main[[#This Row],[مقدار (کیلوگرم)]],0)</f>
        <v>4678</v>
      </c>
      <c r="L17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3" s="7">
        <f>-IF(AND(Main[[#This Row],[مقدار (کیلوگرم)]]&lt;0,Main[[#This Row],[تاريخ میلادی]]&gt;44276),Main[[#This Row],[مقدار (کیلوگرم)]],0)</f>
        <v>4678</v>
      </c>
      <c r="N1773" s="6">
        <f ca="1">Main[[#This Row],[بدهکار (کیلوگرم)]]-Main[[#This Row],[بدهی تسویه نشده (کیلوگرم)]]</f>
        <v>4678</v>
      </c>
      <c r="O1773" s="6">
        <f ca="1">Main[[#This Row],[تفکیک]]</f>
        <v>0</v>
      </c>
      <c r="P1773" s="6">
        <f ca="1">IF(Main[[#This Row],[تاخیر از سررسید]]&gt;0,Main[[#This Row],[بدهی تسویه نشده (کیلوگرم)]],0)</f>
        <v>0</v>
      </c>
      <c r="Q1773" s="6">
        <f ca="1">IF(Main[[#This Row],[بدهی تسویه نشده (کیلوگرم)]]&gt;0,'گزارش فردی'!$B$7-Main[[#This Row],[تاريخ میلادی]],0)</f>
        <v>0</v>
      </c>
      <c r="R1773" s="6">
        <f ca="1">IF(Main[[#This Row],[بدهی تسویه نشده (کیلوگرم)]]&gt;0,'گزارش فردی'!$B$7-Main[[#This Row],[تاريخ میلادی]]-'گزارش فردی'!$B$8,0)</f>
        <v>0</v>
      </c>
      <c r="S1773" s="6">
        <f ca="1">Main[[#This Row],[روز از ارسال سفارش]]*Main[[#This Row],[بدهی تسویه نشده (کیلوگرم)]]</f>
        <v>0</v>
      </c>
      <c r="T1773" s="6">
        <f ca="1">Main[[#This Row],[بدهی سررسید شده (کیلوگرم)]]*Main[[#This Row],[روز از ارسال سفارش]]</f>
        <v>0</v>
      </c>
      <c r="U1773" s="6">
        <f>-SUBTOTAL(9,INDEX(Main[مقدار (کیلوگرم)],1):Main[[#This Row],[مقدار (کیلوگرم)]])</f>
        <v>21863</v>
      </c>
      <c r="V17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3" s="6">
        <f>Main[[#This Row],[تعداد کل روزهای بدهکار (روز)]]*Main[[#This Row],[مانده در خط کل (کیلوگرم)]]</f>
        <v>21863</v>
      </c>
      <c r="X1773" s="6">
        <f ca="1">-SUBTOTAL(9,INDEX(Main[مقدار تسویه شده (کیلوگرم)],1):Main[[#This Row],[مقدار تسویه شده (کیلوگرم)]])</f>
        <v>21863</v>
      </c>
      <c r="Y1773" s="6">
        <f ca="1">IF(Main[[#This Row],[مانده در خط تسویه شده (کیلوگرم)]]&lt;&gt;0,Main[[#This Row],[تعداد کل روزهای بدهکار (روز)]],0)</f>
        <v>1</v>
      </c>
      <c r="Z1773" s="6">
        <f ca="1">Main[[#This Row],[تعداد روزهای بدهکار تسویه شده (روز)]]*Main[[#This Row],[مانده در خط تسویه شده (کیلوگرم)]]</f>
        <v>21863</v>
      </c>
      <c r="AA1773" s="6">
        <f ca="1">SUBTOTAL(9,INDEX(Main[بدهی تسویه نشده (کیلوگرم)],1):Main[[#This Row],[بدهی تسویه نشده (کیلوگرم)]])</f>
        <v>0</v>
      </c>
      <c r="AB1773" s="6">
        <f ca="1">IF(Main[[#This Row],[مانده در خط تسویه نشده (کیلوگرم)]]&lt;&gt;0,Main[[#This Row],[تعداد کل روزهای بدهکار (روز)]],0)</f>
        <v>0</v>
      </c>
      <c r="AC1773" s="6">
        <f ca="1">Main[[#This Row],[تعداد روزهای بدهکار  تسویه نشده (روز)]]*Main[[#This Row],[مانده در خط تسویه نشده (کیلوگرم)]]</f>
        <v>0</v>
      </c>
      <c r="AD1773" s="6">
        <f ca="1">SUBTOTAL(9,INDEX(Main[بدهی سررسید شده (کیلوگرم)],1):Main[[#This Row],[بدهی سررسید شده (کیلوگرم)]])</f>
        <v>0</v>
      </c>
      <c r="AE1773" s="6">
        <f ca="1">IF(Main[[#This Row],[مانده در خط سررسید شده (کیلوگرم)]]&lt;&gt;0,Main[[#This Row],[تعداد کل روزهای بدهکار (روز)]],0)</f>
        <v>0</v>
      </c>
      <c r="AF1773" s="6">
        <f ca="1">Main[[#This Row],[تعداد روزهای بدهکار سررسید شده (روز)]]*Main[[#This Row],[مانده در خط سررسید شده (کیلوگرم)]]</f>
        <v>0</v>
      </c>
    </row>
    <row r="1774" spans="1:32" hidden="1" x14ac:dyDescent="0.35">
      <c r="A1774" s="5">
        <f>ROW()-ROW(INDEX(Main[ردیف],1))+1</f>
        <v>1772</v>
      </c>
      <c r="B1774" s="31">
        <f>SUBTOTAL(2,INDEX(Main[ردیف],1):Main[[#This Row],[ردیف]])</f>
        <v>159</v>
      </c>
      <c r="C1774" s="32" t="s">
        <v>718</v>
      </c>
      <c r="D1774" s="32" t="str">
        <f>_xlfn.CONCAT("14",Main[[#This Row],[تاريخ]])</f>
        <v>1400/07/11</v>
      </c>
      <c r="E1774" s="33">
        <v>44472</v>
      </c>
      <c r="F1774" s="32">
        <v>30187</v>
      </c>
      <c r="G1774" s="5" t="str">
        <f>INDEX(customer[عنوان],MATCH(Main[[#This Row],[کد ردیابی]],customer[کد],0))</f>
        <v>شرکت جام جم</v>
      </c>
      <c r="H1774">
        <v>1384</v>
      </c>
      <c r="I1774" s="6">
        <f ca="1">-Main[[#This Row],[بدهی تسویه شده (کیلوگرم)]]+Main[[#This Row],[بستانکار (کیلوگرم)]]</f>
        <v>1384</v>
      </c>
      <c r="J1774" s="6">
        <f>IF(Main[[#This Row],[مقدار (کیلوگرم)]]&gt;0,Main[[#This Row],[مقدار (کیلوگرم)]],0)</f>
        <v>1384</v>
      </c>
      <c r="K1774" s="6">
        <f>-IF(Main[[#This Row],[مقدار (کیلوگرم)]]&lt;0,Main[[#This Row],[مقدار (کیلوگرم)]],0)</f>
        <v>0</v>
      </c>
      <c r="L17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4" s="7">
        <f>-IF(AND(Main[[#This Row],[مقدار (کیلوگرم)]]&lt;0,Main[[#This Row],[تاريخ میلادی]]&gt;44276),Main[[#This Row],[مقدار (کیلوگرم)]],0)</f>
        <v>0</v>
      </c>
      <c r="N1774" s="6">
        <f ca="1">Main[[#This Row],[بدهکار (کیلوگرم)]]-Main[[#This Row],[بدهی تسویه نشده (کیلوگرم)]]</f>
        <v>0</v>
      </c>
      <c r="O1774" s="6">
        <f ca="1">Main[[#This Row],[تفکیک]]</f>
        <v>0</v>
      </c>
      <c r="P1774" s="6">
        <f ca="1">IF(Main[[#This Row],[تاخیر از سررسید]]&gt;0,Main[[#This Row],[بدهی تسویه نشده (کیلوگرم)]],0)</f>
        <v>0</v>
      </c>
      <c r="Q1774" s="6">
        <f ca="1">IF(Main[[#This Row],[بدهی تسویه نشده (کیلوگرم)]]&gt;0,'گزارش فردی'!$B$7-Main[[#This Row],[تاريخ میلادی]],0)</f>
        <v>0</v>
      </c>
      <c r="R1774" s="6">
        <f ca="1">IF(Main[[#This Row],[بدهی تسویه نشده (کیلوگرم)]]&gt;0,'گزارش فردی'!$B$7-Main[[#This Row],[تاريخ میلادی]]-'گزارش فردی'!$B$8,0)</f>
        <v>0</v>
      </c>
      <c r="S1774" s="6">
        <f ca="1">Main[[#This Row],[روز از ارسال سفارش]]*Main[[#This Row],[بدهی تسویه نشده (کیلوگرم)]]</f>
        <v>0</v>
      </c>
      <c r="T1774" s="6">
        <f ca="1">Main[[#This Row],[بدهی سررسید شده (کیلوگرم)]]*Main[[#This Row],[روز از ارسال سفارش]]</f>
        <v>0</v>
      </c>
      <c r="U1774" s="6">
        <f>-SUBTOTAL(9,INDEX(Main[مقدار (کیلوگرم)],1):Main[[#This Row],[مقدار (کیلوگرم)]])</f>
        <v>21863</v>
      </c>
      <c r="V17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4" s="6">
        <f>Main[[#This Row],[تعداد کل روزهای بدهکار (روز)]]*Main[[#This Row],[مانده در خط کل (کیلوگرم)]]</f>
        <v>21863</v>
      </c>
      <c r="X1774" s="6">
        <f ca="1">-SUBTOTAL(9,INDEX(Main[مقدار تسویه شده (کیلوگرم)],1):Main[[#This Row],[مقدار تسویه شده (کیلوگرم)]])</f>
        <v>21863</v>
      </c>
      <c r="Y1774" s="6">
        <f ca="1">IF(Main[[#This Row],[مانده در خط تسویه شده (کیلوگرم)]]&lt;&gt;0,Main[[#This Row],[تعداد کل روزهای بدهکار (روز)]],0)</f>
        <v>1</v>
      </c>
      <c r="Z1774" s="6">
        <f ca="1">Main[[#This Row],[تعداد روزهای بدهکار تسویه شده (روز)]]*Main[[#This Row],[مانده در خط تسویه شده (کیلوگرم)]]</f>
        <v>21863</v>
      </c>
      <c r="AA1774" s="6">
        <f ca="1">SUBTOTAL(9,INDEX(Main[بدهی تسویه نشده (کیلوگرم)],1):Main[[#This Row],[بدهی تسویه نشده (کیلوگرم)]])</f>
        <v>0</v>
      </c>
      <c r="AB1774" s="6">
        <f ca="1">IF(Main[[#This Row],[مانده در خط تسویه نشده (کیلوگرم)]]&lt;&gt;0,Main[[#This Row],[تعداد کل روزهای بدهکار (روز)]],0)</f>
        <v>0</v>
      </c>
      <c r="AC1774" s="6">
        <f ca="1">Main[[#This Row],[تعداد روزهای بدهکار  تسویه نشده (روز)]]*Main[[#This Row],[مانده در خط تسویه نشده (کیلوگرم)]]</f>
        <v>0</v>
      </c>
      <c r="AD1774" s="6">
        <f ca="1">SUBTOTAL(9,INDEX(Main[بدهی سررسید شده (کیلوگرم)],1):Main[[#This Row],[بدهی سررسید شده (کیلوگرم)]])</f>
        <v>0</v>
      </c>
      <c r="AE1774" s="6">
        <f ca="1">IF(Main[[#This Row],[مانده در خط سررسید شده (کیلوگرم)]]&lt;&gt;0,Main[[#This Row],[تعداد کل روزهای بدهکار (روز)]],0)</f>
        <v>0</v>
      </c>
      <c r="AF1774" s="6">
        <f ca="1">Main[[#This Row],[تعداد روزهای بدهکار سررسید شده (روز)]]*Main[[#This Row],[مانده در خط سررسید شده (کیلوگرم)]]</f>
        <v>0</v>
      </c>
    </row>
    <row r="1775" spans="1:32" hidden="1" x14ac:dyDescent="0.35">
      <c r="A1775" s="5">
        <f>ROW()-ROW(INDEX(Main[ردیف],1))+1</f>
        <v>1773</v>
      </c>
      <c r="B1775" s="31">
        <f>SUBTOTAL(2,INDEX(Main[ردیف],1):Main[[#This Row],[ردیف]])</f>
        <v>159</v>
      </c>
      <c r="C1775" s="32" t="s">
        <v>718</v>
      </c>
      <c r="D1775" s="32" t="str">
        <f>_xlfn.CONCAT("14",Main[[#This Row],[تاريخ]])</f>
        <v>1400/07/11</v>
      </c>
      <c r="E1775" s="33">
        <v>44472</v>
      </c>
      <c r="F1775" s="32">
        <v>30009</v>
      </c>
      <c r="G1775" s="5" t="str">
        <f>INDEX(customer[عنوان],MATCH(Main[[#This Row],[کد ردیابی]],customer[کد],0))</f>
        <v>شرکت ایمن تک پیشرو</v>
      </c>
      <c r="H1775">
        <v>-1038</v>
      </c>
      <c r="I1775" s="6">
        <f ca="1">-Main[[#This Row],[بدهی تسویه شده (کیلوگرم)]]+Main[[#This Row],[بستانکار (کیلوگرم)]]</f>
        <v>-1038</v>
      </c>
      <c r="J1775" s="6">
        <f>IF(Main[[#This Row],[مقدار (کیلوگرم)]]&gt;0,Main[[#This Row],[مقدار (کیلوگرم)]],0)</f>
        <v>0</v>
      </c>
      <c r="K1775" s="6">
        <f>-IF(Main[[#This Row],[مقدار (کیلوگرم)]]&lt;0,Main[[#This Row],[مقدار (کیلوگرم)]],0)</f>
        <v>1038</v>
      </c>
      <c r="L17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5" s="7">
        <f>-IF(AND(Main[[#This Row],[مقدار (کیلوگرم)]]&lt;0,Main[[#This Row],[تاريخ میلادی]]&gt;44276),Main[[#This Row],[مقدار (کیلوگرم)]],0)</f>
        <v>1038</v>
      </c>
      <c r="N1775" s="6">
        <f ca="1">Main[[#This Row],[بدهکار (کیلوگرم)]]-Main[[#This Row],[بدهی تسویه نشده (کیلوگرم)]]</f>
        <v>1038</v>
      </c>
      <c r="O1775" s="6">
        <f ca="1">Main[[#This Row],[تفکیک]]</f>
        <v>0</v>
      </c>
      <c r="P1775" s="6">
        <f ca="1">IF(Main[[#This Row],[تاخیر از سررسید]]&gt;0,Main[[#This Row],[بدهی تسویه نشده (کیلوگرم)]],0)</f>
        <v>0</v>
      </c>
      <c r="Q1775" s="6">
        <f ca="1">IF(Main[[#This Row],[بدهی تسویه نشده (کیلوگرم)]]&gt;0,'گزارش فردی'!$B$7-Main[[#This Row],[تاريخ میلادی]],0)</f>
        <v>0</v>
      </c>
      <c r="R1775" s="6">
        <f ca="1">IF(Main[[#This Row],[بدهی تسویه نشده (کیلوگرم)]]&gt;0,'گزارش فردی'!$B$7-Main[[#This Row],[تاريخ میلادی]]-'گزارش فردی'!$B$8,0)</f>
        <v>0</v>
      </c>
      <c r="S1775" s="6">
        <f ca="1">Main[[#This Row],[روز از ارسال سفارش]]*Main[[#This Row],[بدهی تسویه نشده (کیلوگرم)]]</f>
        <v>0</v>
      </c>
      <c r="T1775" s="6">
        <f ca="1">Main[[#This Row],[بدهی سررسید شده (کیلوگرم)]]*Main[[#This Row],[روز از ارسال سفارش]]</f>
        <v>0</v>
      </c>
      <c r="U1775" s="6">
        <f>-SUBTOTAL(9,INDEX(Main[مقدار (کیلوگرم)],1):Main[[#This Row],[مقدار (کیلوگرم)]])</f>
        <v>21863</v>
      </c>
      <c r="V17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5" s="6">
        <f>Main[[#This Row],[تعداد کل روزهای بدهکار (روز)]]*Main[[#This Row],[مانده در خط کل (کیلوگرم)]]</f>
        <v>21863</v>
      </c>
      <c r="X1775" s="6">
        <f ca="1">-SUBTOTAL(9,INDEX(Main[مقدار تسویه شده (کیلوگرم)],1):Main[[#This Row],[مقدار تسویه شده (کیلوگرم)]])</f>
        <v>21863</v>
      </c>
      <c r="Y1775" s="6">
        <f ca="1">IF(Main[[#This Row],[مانده در خط تسویه شده (کیلوگرم)]]&lt;&gt;0,Main[[#This Row],[تعداد کل روزهای بدهکار (روز)]],0)</f>
        <v>1</v>
      </c>
      <c r="Z1775" s="6">
        <f ca="1">Main[[#This Row],[تعداد روزهای بدهکار تسویه شده (روز)]]*Main[[#This Row],[مانده در خط تسویه شده (کیلوگرم)]]</f>
        <v>21863</v>
      </c>
      <c r="AA1775" s="6">
        <f ca="1">SUBTOTAL(9,INDEX(Main[بدهی تسویه نشده (کیلوگرم)],1):Main[[#This Row],[بدهی تسویه نشده (کیلوگرم)]])</f>
        <v>0</v>
      </c>
      <c r="AB1775" s="6">
        <f ca="1">IF(Main[[#This Row],[مانده در خط تسویه نشده (کیلوگرم)]]&lt;&gt;0,Main[[#This Row],[تعداد کل روزهای بدهکار (روز)]],0)</f>
        <v>0</v>
      </c>
      <c r="AC1775" s="6">
        <f ca="1">Main[[#This Row],[تعداد روزهای بدهکار  تسویه نشده (روز)]]*Main[[#This Row],[مانده در خط تسویه نشده (کیلوگرم)]]</f>
        <v>0</v>
      </c>
      <c r="AD1775" s="6">
        <f ca="1">SUBTOTAL(9,INDEX(Main[بدهی سررسید شده (کیلوگرم)],1):Main[[#This Row],[بدهی سررسید شده (کیلوگرم)]])</f>
        <v>0</v>
      </c>
      <c r="AE1775" s="6">
        <f ca="1">IF(Main[[#This Row],[مانده در خط سررسید شده (کیلوگرم)]]&lt;&gt;0,Main[[#This Row],[تعداد کل روزهای بدهکار (روز)]],0)</f>
        <v>0</v>
      </c>
      <c r="AF1775" s="6">
        <f ca="1">Main[[#This Row],[تعداد روزهای بدهکار سررسید شده (روز)]]*Main[[#This Row],[مانده در خط سررسید شده (کیلوگرم)]]</f>
        <v>0</v>
      </c>
    </row>
    <row r="1776" spans="1:32" hidden="1" x14ac:dyDescent="0.35">
      <c r="A1776" s="5">
        <f>ROW()-ROW(INDEX(Main[ردیف],1))+1</f>
        <v>1774</v>
      </c>
      <c r="B1776" s="31">
        <f>SUBTOTAL(2,INDEX(Main[ردیف],1):Main[[#This Row],[ردیف]])</f>
        <v>159</v>
      </c>
      <c r="C1776" s="32" t="s">
        <v>718</v>
      </c>
      <c r="D1776" s="32" t="str">
        <f>_xlfn.CONCAT("14",Main[[#This Row],[تاريخ]])</f>
        <v>1400/07/11</v>
      </c>
      <c r="E1776" s="33">
        <v>44472</v>
      </c>
      <c r="F1776" s="32">
        <v>10070</v>
      </c>
      <c r="G1776" s="5" t="str">
        <f>INDEX(customer[عنوان],MATCH(Main[[#This Row],[کد ردیابی]],customer[کد],0))</f>
        <v xml:space="preserve">حمیدرضا شفیعی </v>
      </c>
      <c r="H1776">
        <v>-126</v>
      </c>
      <c r="I1776" s="6">
        <f ca="1">-Main[[#This Row],[بدهی تسویه شده (کیلوگرم)]]+Main[[#This Row],[بستانکار (کیلوگرم)]]</f>
        <v>-126</v>
      </c>
      <c r="J1776" s="6">
        <f>IF(Main[[#This Row],[مقدار (کیلوگرم)]]&gt;0,Main[[#This Row],[مقدار (کیلوگرم)]],0)</f>
        <v>0</v>
      </c>
      <c r="K1776" s="6">
        <f>-IF(Main[[#This Row],[مقدار (کیلوگرم)]]&lt;0,Main[[#This Row],[مقدار (کیلوگرم)]],0)</f>
        <v>126</v>
      </c>
      <c r="L17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6" s="7">
        <f>-IF(AND(Main[[#This Row],[مقدار (کیلوگرم)]]&lt;0,Main[[#This Row],[تاريخ میلادی]]&gt;44276),Main[[#This Row],[مقدار (کیلوگرم)]],0)</f>
        <v>126</v>
      </c>
      <c r="N1776" s="6">
        <f ca="1">Main[[#This Row],[بدهکار (کیلوگرم)]]-Main[[#This Row],[بدهی تسویه نشده (کیلوگرم)]]</f>
        <v>126</v>
      </c>
      <c r="O1776" s="6">
        <f ca="1">Main[[#This Row],[تفکیک]]</f>
        <v>0</v>
      </c>
      <c r="P1776" s="6">
        <f ca="1">IF(Main[[#This Row],[تاخیر از سررسید]]&gt;0,Main[[#This Row],[بدهی تسویه نشده (کیلوگرم)]],0)</f>
        <v>0</v>
      </c>
      <c r="Q1776" s="6">
        <f ca="1">IF(Main[[#This Row],[بدهی تسویه نشده (کیلوگرم)]]&gt;0,'گزارش فردی'!$B$7-Main[[#This Row],[تاريخ میلادی]],0)</f>
        <v>0</v>
      </c>
      <c r="R1776" s="6">
        <f ca="1">IF(Main[[#This Row],[بدهی تسویه نشده (کیلوگرم)]]&gt;0,'گزارش فردی'!$B$7-Main[[#This Row],[تاريخ میلادی]]-'گزارش فردی'!$B$8,0)</f>
        <v>0</v>
      </c>
      <c r="S1776" s="6">
        <f ca="1">Main[[#This Row],[روز از ارسال سفارش]]*Main[[#This Row],[بدهی تسویه نشده (کیلوگرم)]]</f>
        <v>0</v>
      </c>
      <c r="T1776" s="6">
        <f ca="1">Main[[#This Row],[بدهی سررسید شده (کیلوگرم)]]*Main[[#This Row],[روز از ارسال سفارش]]</f>
        <v>0</v>
      </c>
      <c r="U1776" s="6">
        <f>-SUBTOTAL(9,INDEX(Main[مقدار (کیلوگرم)],1):Main[[#This Row],[مقدار (کیلوگرم)]])</f>
        <v>21863</v>
      </c>
      <c r="V17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6" s="6">
        <f>Main[[#This Row],[تعداد کل روزهای بدهکار (روز)]]*Main[[#This Row],[مانده در خط کل (کیلوگرم)]]</f>
        <v>21863</v>
      </c>
      <c r="X1776" s="6">
        <f ca="1">-SUBTOTAL(9,INDEX(Main[مقدار تسویه شده (کیلوگرم)],1):Main[[#This Row],[مقدار تسویه شده (کیلوگرم)]])</f>
        <v>21863</v>
      </c>
      <c r="Y1776" s="6">
        <f ca="1">IF(Main[[#This Row],[مانده در خط تسویه شده (کیلوگرم)]]&lt;&gt;0,Main[[#This Row],[تعداد کل روزهای بدهکار (روز)]],0)</f>
        <v>1</v>
      </c>
      <c r="Z1776" s="6">
        <f ca="1">Main[[#This Row],[تعداد روزهای بدهکار تسویه شده (روز)]]*Main[[#This Row],[مانده در خط تسویه شده (کیلوگرم)]]</f>
        <v>21863</v>
      </c>
      <c r="AA1776" s="6">
        <f ca="1">SUBTOTAL(9,INDEX(Main[بدهی تسویه نشده (کیلوگرم)],1):Main[[#This Row],[بدهی تسویه نشده (کیلوگرم)]])</f>
        <v>0</v>
      </c>
      <c r="AB1776" s="6">
        <f ca="1">IF(Main[[#This Row],[مانده در خط تسویه نشده (کیلوگرم)]]&lt;&gt;0,Main[[#This Row],[تعداد کل روزهای بدهکار (روز)]],0)</f>
        <v>0</v>
      </c>
      <c r="AC1776" s="6">
        <f ca="1">Main[[#This Row],[تعداد روزهای بدهکار  تسویه نشده (روز)]]*Main[[#This Row],[مانده در خط تسویه نشده (کیلوگرم)]]</f>
        <v>0</v>
      </c>
      <c r="AD1776" s="6">
        <f ca="1">SUBTOTAL(9,INDEX(Main[بدهی سررسید شده (کیلوگرم)],1):Main[[#This Row],[بدهی سررسید شده (کیلوگرم)]])</f>
        <v>0</v>
      </c>
      <c r="AE1776" s="6">
        <f ca="1">IF(Main[[#This Row],[مانده در خط سررسید شده (کیلوگرم)]]&lt;&gt;0,Main[[#This Row],[تعداد کل روزهای بدهکار (روز)]],0)</f>
        <v>0</v>
      </c>
      <c r="AF1776" s="6">
        <f ca="1">Main[[#This Row],[تعداد روزهای بدهکار سررسید شده (روز)]]*Main[[#This Row],[مانده در خط سررسید شده (کیلوگرم)]]</f>
        <v>0</v>
      </c>
    </row>
    <row r="1777" spans="1:32" hidden="1" x14ac:dyDescent="0.35">
      <c r="A1777" s="5">
        <f>ROW()-ROW(INDEX(Main[ردیف],1))+1</f>
        <v>1775</v>
      </c>
      <c r="B1777" s="31">
        <f>SUBTOTAL(2,INDEX(Main[ردیف],1):Main[[#This Row],[ردیف]])</f>
        <v>159</v>
      </c>
      <c r="C1777" s="32" t="s">
        <v>720</v>
      </c>
      <c r="D1777" s="32" t="str">
        <f>_xlfn.CONCAT("14",Main[[#This Row],[تاريخ]])</f>
        <v>1400/07/12</v>
      </c>
      <c r="E1777" s="33">
        <v>44473</v>
      </c>
      <c r="F1777" s="32">
        <v>30146</v>
      </c>
      <c r="G1777" s="5" t="str">
        <f>INDEX(customer[عنوان],MATCH(Main[[#This Row],[کد ردیابی]],customer[کد],0))</f>
        <v>شرکت آذرپاد</v>
      </c>
      <c r="H1777">
        <v>2245</v>
      </c>
      <c r="I1777" s="6">
        <f ca="1">-Main[[#This Row],[بدهی تسویه شده (کیلوگرم)]]+Main[[#This Row],[بستانکار (کیلوگرم)]]</f>
        <v>2245</v>
      </c>
      <c r="J1777" s="6">
        <f>IF(Main[[#This Row],[مقدار (کیلوگرم)]]&gt;0,Main[[#This Row],[مقدار (کیلوگرم)]],0)</f>
        <v>2245</v>
      </c>
      <c r="K1777" s="6">
        <f>-IF(Main[[#This Row],[مقدار (کیلوگرم)]]&lt;0,Main[[#This Row],[مقدار (کیلوگرم)]],0)</f>
        <v>0</v>
      </c>
      <c r="L17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7" s="7">
        <f>-IF(AND(Main[[#This Row],[مقدار (کیلوگرم)]]&lt;0,Main[[#This Row],[تاريخ میلادی]]&gt;44276),Main[[#This Row],[مقدار (کیلوگرم)]],0)</f>
        <v>0</v>
      </c>
      <c r="N1777" s="6">
        <f ca="1">Main[[#This Row],[بدهکار (کیلوگرم)]]-Main[[#This Row],[بدهی تسویه نشده (کیلوگرم)]]</f>
        <v>0</v>
      </c>
      <c r="O1777" s="6">
        <f ca="1">Main[[#This Row],[تفکیک]]</f>
        <v>0</v>
      </c>
      <c r="P1777" s="6">
        <f ca="1">IF(Main[[#This Row],[تاخیر از سررسید]]&gt;0,Main[[#This Row],[بدهی تسویه نشده (کیلوگرم)]],0)</f>
        <v>0</v>
      </c>
      <c r="Q1777" s="6">
        <f ca="1">IF(Main[[#This Row],[بدهی تسویه نشده (کیلوگرم)]]&gt;0,'گزارش فردی'!$B$7-Main[[#This Row],[تاريخ میلادی]],0)</f>
        <v>0</v>
      </c>
      <c r="R1777" s="6">
        <f ca="1">IF(Main[[#This Row],[بدهی تسویه نشده (کیلوگرم)]]&gt;0,'گزارش فردی'!$B$7-Main[[#This Row],[تاريخ میلادی]]-'گزارش فردی'!$B$8,0)</f>
        <v>0</v>
      </c>
      <c r="S1777" s="6">
        <f ca="1">Main[[#This Row],[روز از ارسال سفارش]]*Main[[#This Row],[بدهی تسویه نشده (کیلوگرم)]]</f>
        <v>0</v>
      </c>
      <c r="T1777" s="6">
        <f ca="1">Main[[#This Row],[بدهی سررسید شده (کیلوگرم)]]*Main[[#This Row],[روز از ارسال سفارش]]</f>
        <v>0</v>
      </c>
      <c r="U1777" s="6">
        <f>-SUBTOTAL(9,INDEX(Main[مقدار (کیلوگرم)],1):Main[[#This Row],[مقدار (کیلوگرم)]])</f>
        <v>21863</v>
      </c>
      <c r="V17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7" s="6">
        <f>Main[[#This Row],[تعداد کل روزهای بدهکار (روز)]]*Main[[#This Row],[مانده در خط کل (کیلوگرم)]]</f>
        <v>0</v>
      </c>
      <c r="X1777" s="6">
        <f ca="1">-SUBTOTAL(9,INDEX(Main[مقدار تسویه شده (کیلوگرم)],1):Main[[#This Row],[مقدار تسویه شده (کیلوگرم)]])</f>
        <v>21863</v>
      </c>
      <c r="Y1777" s="6">
        <f ca="1">IF(Main[[#This Row],[مانده در خط تسویه شده (کیلوگرم)]]&lt;&gt;0,Main[[#This Row],[تعداد کل روزهای بدهکار (روز)]],0)</f>
        <v>0</v>
      </c>
      <c r="Z1777" s="6">
        <f ca="1">Main[[#This Row],[تعداد روزهای بدهکار تسویه شده (روز)]]*Main[[#This Row],[مانده در خط تسویه شده (کیلوگرم)]]</f>
        <v>0</v>
      </c>
      <c r="AA1777" s="6">
        <f ca="1">SUBTOTAL(9,INDEX(Main[بدهی تسویه نشده (کیلوگرم)],1):Main[[#This Row],[بدهی تسویه نشده (کیلوگرم)]])</f>
        <v>0</v>
      </c>
      <c r="AB1777" s="6">
        <f ca="1">IF(Main[[#This Row],[مانده در خط تسویه نشده (کیلوگرم)]]&lt;&gt;0,Main[[#This Row],[تعداد کل روزهای بدهکار (روز)]],0)</f>
        <v>0</v>
      </c>
      <c r="AC1777" s="6">
        <f ca="1">Main[[#This Row],[تعداد روزهای بدهکار  تسویه نشده (روز)]]*Main[[#This Row],[مانده در خط تسویه نشده (کیلوگرم)]]</f>
        <v>0</v>
      </c>
      <c r="AD1777" s="6">
        <f ca="1">SUBTOTAL(9,INDEX(Main[بدهی سررسید شده (کیلوگرم)],1):Main[[#This Row],[بدهی سررسید شده (کیلوگرم)]])</f>
        <v>0</v>
      </c>
      <c r="AE1777" s="6">
        <f ca="1">IF(Main[[#This Row],[مانده در خط سررسید شده (کیلوگرم)]]&lt;&gt;0,Main[[#This Row],[تعداد کل روزهای بدهکار (روز)]],0)</f>
        <v>0</v>
      </c>
      <c r="AF1777" s="6">
        <f ca="1">Main[[#This Row],[تعداد روزهای بدهکار سررسید شده (روز)]]*Main[[#This Row],[مانده در خط سررسید شده (کیلوگرم)]]</f>
        <v>0</v>
      </c>
    </row>
    <row r="1778" spans="1:32" hidden="1" x14ac:dyDescent="0.35">
      <c r="A1778" s="5">
        <f>ROW()-ROW(INDEX(Main[ردیف],1))+1</f>
        <v>1776</v>
      </c>
      <c r="B1778" s="31">
        <f>SUBTOTAL(2,INDEX(Main[ردیف],1):Main[[#This Row],[ردیف]])</f>
        <v>159</v>
      </c>
      <c r="C1778" s="32" t="s">
        <v>720</v>
      </c>
      <c r="D1778" s="32" t="str">
        <f>_xlfn.CONCAT("14",Main[[#This Row],[تاريخ]])</f>
        <v>1400/07/12</v>
      </c>
      <c r="E1778" s="33">
        <v>44473</v>
      </c>
      <c r="F1778" s="32">
        <v>30004</v>
      </c>
      <c r="G1778" s="5" t="str">
        <f>INDEX(customer[عنوان],MATCH(Main[[#This Row],[کد ردیابی]],customer[کد],0))</f>
        <v>تولیدی صنعتی صفاشیر پارس</v>
      </c>
      <c r="H1778">
        <v>-2710</v>
      </c>
      <c r="I1778" s="6">
        <f ca="1">-Main[[#This Row],[بدهی تسویه شده (کیلوگرم)]]+Main[[#This Row],[بستانکار (کیلوگرم)]]</f>
        <v>-2710</v>
      </c>
      <c r="J1778" s="6">
        <f>IF(Main[[#This Row],[مقدار (کیلوگرم)]]&gt;0,Main[[#This Row],[مقدار (کیلوگرم)]],0)</f>
        <v>0</v>
      </c>
      <c r="K1778" s="6">
        <f>-IF(Main[[#This Row],[مقدار (کیلوگرم)]]&lt;0,Main[[#This Row],[مقدار (کیلوگرم)]],0)</f>
        <v>2710</v>
      </c>
      <c r="L17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8" s="7">
        <f>-IF(AND(Main[[#This Row],[مقدار (کیلوگرم)]]&lt;0,Main[[#This Row],[تاريخ میلادی]]&gt;44276),Main[[#This Row],[مقدار (کیلوگرم)]],0)</f>
        <v>2710</v>
      </c>
      <c r="N1778" s="6">
        <f ca="1">Main[[#This Row],[بدهکار (کیلوگرم)]]-Main[[#This Row],[بدهی تسویه نشده (کیلوگرم)]]</f>
        <v>2710</v>
      </c>
      <c r="O1778" s="6">
        <f ca="1">Main[[#This Row],[تفکیک]]</f>
        <v>0</v>
      </c>
      <c r="P1778" s="6">
        <f ca="1">IF(Main[[#This Row],[تاخیر از سررسید]]&gt;0,Main[[#This Row],[بدهی تسویه نشده (کیلوگرم)]],0)</f>
        <v>0</v>
      </c>
      <c r="Q1778" s="6">
        <f ca="1">IF(Main[[#This Row],[بدهی تسویه نشده (کیلوگرم)]]&gt;0,'گزارش فردی'!$B$7-Main[[#This Row],[تاريخ میلادی]],0)</f>
        <v>0</v>
      </c>
      <c r="R1778" s="6">
        <f ca="1">IF(Main[[#This Row],[بدهی تسویه نشده (کیلوگرم)]]&gt;0,'گزارش فردی'!$B$7-Main[[#This Row],[تاريخ میلادی]]-'گزارش فردی'!$B$8,0)</f>
        <v>0</v>
      </c>
      <c r="S1778" s="6">
        <f ca="1">Main[[#This Row],[روز از ارسال سفارش]]*Main[[#This Row],[بدهی تسویه نشده (کیلوگرم)]]</f>
        <v>0</v>
      </c>
      <c r="T1778" s="6">
        <f ca="1">Main[[#This Row],[بدهی سررسید شده (کیلوگرم)]]*Main[[#This Row],[روز از ارسال سفارش]]</f>
        <v>0</v>
      </c>
      <c r="U1778" s="6">
        <f>-SUBTOTAL(9,INDEX(Main[مقدار (کیلوگرم)],1):Main[[#This Row],[مقدار (کیلوگرم)]])</f>
        <v>21863</v>
      </c>
      <c r="V17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8" s="6">
        <f>Main[[#This Row],[تعداد کل روزهای بدهکار (روز)]]*Main[[#This Row],[مانده در خط کل (کیلوگرم)]]</f>
        <v>0</v>
      </c>
      <c r="X1778" s="6">
        <f ca="1">-SUBTOTAL(9,INDEX(Main[مقدار تسویه شده (کیلوگرم)],1):Main[[#This Row],[مقدار تسویه شده (کیلوگرم)]])</f>
        <v>21863</v>
      </c>
      <c r="Y1778" s="6">
        <f ca="1">IF(Main[[#This Row],[مانده در خط تسویه شده (کیلوگرم)]]&lt;&gt;0,Main[[#This Row],[تعداد کل روزهای بدهکار (روز)]],0)</f>
        <v>0</v>
      </c>
      <c r="Z1778" s="6">
        <f ca="1">Main[[#This Row],[تعداد روزهای بدهکار تسویه شده (روز)]]*Main[[#This Row],[مانده در خط تسویه شده (کیلوگرم)]]</f>
        <v>0</v>
      </c>
      <c r="AA1778" s="6">
        <f ca="1">SUBTOTAL(9,INDEX(Main[بدهی تسویه نشده (کیلوگرم)],1):Main[[#This Row],[بدهی تسویه نشده (کیلوگرم)]])</f>
        <v>0</v>
      </c>
      <c r="AB1778" s="6">
        <f ca="1">IF(Main[[#This Row],[مانده در خط تسویه نشده (کیلوگرم)]]&lt;&gt;0,Main[[#This Row],[تعداد کل روزهای بدهکار (روز)]],0)</f>
        <v>0</v>
      </c>
      <c r="AC1778" s="6">
        <f ca="1">Main[[#This Row],[تعداد روزهای بدهکار  تسویه نشده (روز)]]*Main[[#This Row],[مانده در خط تسویه نشده (کیلوگرم)]]</f>
        <v>0</v>
      </c>
      <c r="AD1778" s="6">
        <f ca="1">SUBTOTAL(9,INDEX(Main[بدهی سررسید شده (کیلوگرم)],1):Main[[#This Row],[بدهی سررسید شده (کیلوگرم)]])</f>
        <v>0</v>
      </c>
      <c r="AE1778" s="6">
        <f ca="1">IF(Main[[#This Row],[مانده در خط سررسید شده (کیلوگرم)]]&lt;&gt;0,Main[[#This Row],[تعداد کل روزهای بدهکار (روز)]],0)</f>
        <v>0</v>
      </c>
      <c r="AF1778" s="6">
        <f ca="1">Main[[#This Row],[تعداد روزهای بدهکار سررسید شده (روز)]]*Main[[#This Row],[مانده در خط سررسید شده (کیلوگرم)]]</f>
        <v>0</v>
      </c>
    </row>
    <row r="1779" spans="1:32" hidden="1" x14ac:dyDescent="0.35">
      <c r="A1779" s="5">
        <f>ROW()-ROW(INDEX(Main[ردیف],1))+1</f>
        <v>1777</v>
      </c>
      <c r="B1779" s="31">
        <f>SUBTOTAL(2,INDEX(Main[ردیف],1):Main[[#This Row],[ردیف]])</f>
        <v>159</v>
      </c>
      <c r="C1779" s="32" t="s">
        <v>720</v>
      </c>
      <c r="D1779" s="32" t="str">
        <f>_xlfn.CONCAT("14",Main[[#This Row],[تاريخ]])</f>
        <v>1400/07/12</v>
      </c>
      <c r="E1779" s="33">
        <v>44473</v>
      </c>
      <c r="F1779" s="32">
        <v>30072</v>
      </c>
      <c r="G1779" s="5" t="str">
        <f>INDEX(customer[عنوان],MATCH(Main[[#This Row],[کد ردیابی]],customer[کد],0))</f>
        <v>تولیدی صنعتی صالح</v>
      </c>
      <c r="H1779">
        <v>514</v>
      </c>
      <c r="I1779" s="6">
        <f ca="1">-Main[[#This Row],[بدهی تسویه شده (کیلوگرم)]]+Main[[#This Row],[بستانکار (کیلوگرم)]]</f>
        <v>514</v>
      </c>
      <c r="J1779" s="6">
        <f>IF(Main[[#This Row],[مقدار (کیلوگرم)]]&gt;0,Main[[#This Row],[مقدار (کیلوگرم)]],0)</f>
        <v>514</v>
      </c>
      <c r="K1779" s="6">
        <f>-IF(Main[[#This Row],[مقدار (کیلوگرم)]]&lt;0,Main[[#This Row],[مقدار (کیلوگرم)]],0)</f>
        <v>0</v>
      </c>
      <c r="L17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9" s="7">
        <f>-IF(AND(Main[[#This Row],[مقدار (کیلوگرم)]]&lt;0,Main[[#This Row],[تاريخ میلادی]]&gt;44276),Main[[#This Row],[مقدار (کیلوگرم)]],0)</f>
        <v>0</v>
      </c>
      <c r="N1779" s="6">
        <f ca="1">Main[[#This Row],[بدهکار (کیلوگرم)]]-Main[[#This Row],[بدهی تسویه نشده (کیلوگرم)]]</f>
        <v>0</v>
      </c>
      <c r="O1779" s="6">
        <f ca="1">Main[[#This Row],[تفکیک]]</f>
        <v>0</v>
      </c>
      <c r="P1779" s="6">
        <f ca="1">IF(Main[[#This Row],[تاخیر از سررسید]]&gt;0,Main[[#This Row],[بدهی تسویه نشده (کیلوگرم)]],0)</f>
        <v>0</v>
      </c>
      <c r="Q1779" s="6">
        <f ca="1">IF(Main[[#This Row],[بدهی تسویه نشده (کیلوگرم)]]&gt;0,'گزارش فردی'!$B$7-Main[[#This Row],[تاريخ میلادی]],0)</f>
        <v>0</v>
      </c>
      <c r="R1779" s="6">
        <f ca="1">IF(Main[[#This Row],[بدهی تسویه نشده (کیلوگرم)]]&gt;0,'گزارش فردی'!$B$7-Main[[#This Row],[تاريخ میلادی]]-'گزارش فردی'!$B$8,0)</f>
        <v>0</v>
      </c>
      <c r="S1779" s="6">
        <f ca="1">Main[[#This Row],[روز از ارسال سفارش]]*Main[[#This Row],[بدهی تسویه نشده (کیلوگرم)]]</f>
        <v>0</v>
      </c>
      <c r="T1779" s="6">
        <f ca="1">Main[[#This Row],[بدهی سررسید شده (کیلوگرم)]]*Main[[#This Row],[روز از ارسال سفارش]]</f>
        <v>0</v>
      </c>
      <c r="U1779" s="6">
        <f>-SUBTOTAL(9,INDEX(Main[مقدار (کیلوگرم)],1):Main[[#This Row],[مقدار (کیلوگرم)]])</f>
        <v>21863</v>
      </c>
      <c r="V17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9" s="6">
        <f>Main[[#This Row],[تعداد کل روزهای بدهکار (روز)]]*Main[[#This Row],[مانده در خط کل (کیلوگرم)]]</f>
        <v>0</v>
      </c>
      <c r="X1779" s="6">
        <f ca="1">-SUBTOTAL(9,INDEX(Main[مقدار تسویه شده (کیلوگرم)],1):Main[[#This Row],[مقدار تسویه شده (کیلوگرم)]])</f>
        <v>21863</v>
      </c>
      <c r="Y1779" s="6">
        <f ca="1">IF(Main[[#This Row],[مانده در خط تسویه شده (کیلوگرم)]]&lt;&gt;0,Main[[#This Row],[تعداد کل روزهای بدهکار (روز)]],0)</f>
        <v>0</v>
      </c>
      <c r="Z1779" s="6">
        <f ca="1">Main[[#This Row],[تعداد روزهای بدهکار تسویه شده (روز)]]*Main[[#This Row],[مانده در خط تسویه شده (کیلوگرم)]]</f>
        <v>0</v>
      </c>
      <c r="AA1779" s="6">
        <f ca="1">SUBTOTAL(9,INDEX(Main[بدهی تسویه نشده (کیلوگرم)],1):Main[[#This Row],[بدهی تسویه نشده (کیلوگرم)]])</f>
        <v>0</v>
      </c>
      <c r="AB1779" s="6">
        <f ca="1">IF(Main[[#This Row],[مانده در خط تسویه نشده (کیلوگرم)]]&lt;&gt;0,Main[[#This Row],[تعداد کل روزهای بدهکار (روز)]],0)</f>
        <v>0</v>
      </c>
      <c r="AC1779" s="6">
        <f ca="1">Main[[#This Row],[تعداد روزهای بدهکار  تسویه نشده (روز)]]*Main[[#This Row],[مانده در خط تسویه نشده (کیلوگرم)]]</f>
        <v>0</v>
      </c>
      <c r="AD1779" s="6">
        <f ca="1">SUBTOTAL(9,INDEX(Main[بدهی سررسید شده (کیلوگرم)],1):Main[[#This Row],[بدهی سررسید شده (کیلوگرم)]])</f>
        <v>0</v>
      </c>
      <c r="AE1779" s="6">
        <f ca="1">IF(Main[[#This Row],[مانده در خط سررسید شده (کیلوگرم)]]&lt;&gt;0,Main[[#This Row],[تعداد کل روزهای بدهکار (روز)]],0)</f>
        <v>0</v>
      </c>
      <c r="AF1779" s="6">
        <f ca="1">Main[[#This Row],[تعداد روزهای بدهکار سررسید شده (روز)]]*Main[[#This Row],[مانده در خط سررسید شده (کیلوگرم)]]</f>
        <v>0</v>
      </c>
    </row>
    <row r="1780" spans="1:32" hidden="1" x14ac:dyDescent="0.35">
      <c r="A1780" s="5">
        <f>ROW()-ROW(INDEX(Main[ردیف],1))+1</f>
        <v>1778</v>
      </c>
      <c r="B1780" s="31">
        <f>SUBTOTAL(2,INDEX(Main[ردیف],1):Main[[#This Row],[ردیف]])</f>
        <v>159</v>
      </c>
      <c r="C1780" s="32" t="s">
        <v>720</v>
      </c>
      <c r="D1780" s="32" t="str">
        <f>_xlfn.CONCAT("14",Main[[#This Row],[تاريخ]])</f>
        <v>1400/07/12</v>
      </c>
      <c r="E1780" s="33">
        <v>44473</v>
      </c>
      <c r="F1780" s="32">
        <v>30131</v>
      </c>
      <c r="G1780" s="5" t="str">
        <f>INDEX(customer[عنوان],MATCH(Main[[#This Row],[کد ردیابی]],customer[کد],0))</f>
        <v>ادهم مس تبریز</v>
      </c>
      <c r="H1780">
        <v>-4802</v>
      </c>
      <c r="I1780" s="6">
        <f ca="1">-Main[[#This Row],[بدهی تسویه شده (کیلوگرم)]]+Main[[#This Row],[بستانکار (کیلوگرم)]]</f>
        <v>-4802</v>
      </c>
      <c r="J1780" s="6">
        <f>IF(Main[[#This Row],[مقدار (کیلوگرم)]]&gt;0,Main[[#This Row],[مقدار (کیلوگرم)]],0)</f>
        <v>0</v>
      </c>
      <c r="K1780" s="6">
        <f>-IF(Main[[#This Row],[مقدار (کیلوگرم)]]&lt;0,Main[[#This Row],[مقدار (کیلوگرم)]],0)</f>
        <v>4802</v>
      </c>
      <c r="L17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0" s="7">
        <f>-IF(AND(Main[[#This Row],[مقدار (کیلوگرم)]]&lt;0,Main[[#This Row],[تاريخ میلادی]]&gt;44276),Main[[#This Row],[مقدار (کیلوگرم)]],0)</f>
        <v>4802</v>
      </c>
      <c r="N1780" s="6">
        <f ca="1">Main[[#This Row],[بدهکار (کیلوگرم)]]-Main[[#This Row],[بدهی تسویه نشده (کیلوگرم)]]</f>
        <v>4802</v>
      </c>
      <c r="O1780" s="6">
        <f ca="1">Main[[#This Row],[تفکیک]]</f>
        <v>0</v>
      </c>
      <c r="P1780" s="6">
        <f ca="1">IF(Main[[#This Row],[تاخیر از سررسید]]&gt;0,Main[[#This Row],[بدهی تسویه نشده (کیلوگرم)]],0)</f>
        <v>0</v>
      </c>
      <c r="Q1780" s="6">
        <f ca="1">IF(Main[[#This Row],[بدهی تسویه نشده (کیلوگرم)]]&gt;0,'گزارش فردی'!$B$7-Main[[#This Row],[تاريخ میلادی]],0)</f>
        <v>0</v>
      </c>
      <c r="R1780" s="6">
        <f ca="1">IF(Main[[#This Row],[بدهی تسویه نشده (کیلوگرم)]]&gt;0,'گزارش فردی'!$B$7-Main[[#This Row],[تاريخ میلادی]]-'گزارش فردی'!$B$8,0)</f>
        <v>0</v>
      </c>
      <c r="S1780" s="6">
        <f ca="1">Main[[#This Row],[روز از ارسال سفارش]]*Main[[#This Row],[بدهی تسویه نشده (کیلوگرم)]]</f>
        <v>0</v>
      </c>
      <c r="T1780" s="6">
        <f ca="1">Main[[#This Row],[بدهی سررسید شده (کیلوگرم)]]*Main[[#This Row],[روز از ارسال سفارش]]</f>
        <v>0</v>
      </c>
      <c r="U1780" s="6">
        <f>-SUBTOTAL(9,INDEX(Main[مقدار (کیلوگرم)],1):Main[[#This Row],[مقدار (کیلوگرم)]])</f>
        <v>21863</v>
      </c>
      <c r="V17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0" s="6">
        <f>Main[[#This Row],[تعداد کل روزهای بدهکار (روز)]]*Main[[#This Row],[مانده در خط کل (کیلوگرم)]]</f>
        <v>0</v>
      </c>
      <c r="X1780" s="6">
        <f ca="1">-SUBTOTAL(9,INDEX(Main[مقدار تسویه شده (کیلوگرم)],1):Main[[#This Row],[مقدار تسویه شده (کیلوگرم)]])</f>
        <v>21863</v>
      </c>
      <c r="Y1780" s="6">
        <f ca="1">IF(Main[[#This Row],[مانده در خط تسویه شده (کیلوگرم)]]&lt;&gt;0,Main[[#This Row],[تعداد کل روزهای بدهکار (روز)]],0)</f>
        <v>0</v>
      </c>
      <c r="Z1780" s="6">
        <f ca="1">Main[[#This Row],[تعداد روزهای بدهکار تسویه شده (روز)]]*Main[[#This Row],[مانده در خط تسویه شده (کیلوگرم)]]</f>
        <v>0</v>
      </c>
      <c r="AA1780" s="6">
        <f ca="1">SUBTOTAL(9,INDEX(Main[بدهی تسویه نشده (کیلوگرم)],1):Main[[#This Row],[بدهی تسویه نشده (کیلوگرم)]])</f>
        <v>0</v>
      </c>
      <c r="AB1780" s="6">
        <f ca="1">IF(Main[[#This Row],[مانده در خط تسویه نشده (کیلوگرم)]]&lt;&gt;0,Main[[#This Row],[تعداد کل روزهای بدهکار (روز)]],0)</f>
        <v>0</v>
      </c>
      <c r="AC1780" s="6">
        <f ca="1">Main[[#This Row],[تعداد روزهای بدهکار  تسویه نشده (روز)]]*Main[[#This Row],[مانده در خط تسویه نشده (کیلوگرم)]]</f>
        <v>0</v>
      </c>
      <c r="AD1780" s="6">
        <f ca="1">SUBTOTAL(9,INDEX(Main[بدهی سررسید شده (کیلوگرم)],1):Main[[#This Row],[بدهی سررسید شده (کیلوگرم)]])</f>
        <v>0</v>
      </c>
      <c r="AE1780" s="6">
        <f ca="1">IF(Main[[#This Row],[مانده در خط سررسید شده (کیلوگرم)]]&lt;&gt;0,Main[[#This Row],[تعداد کل روزهای بدهکار (روز)]],0)</f>
        <v>0</v>
      </c>
      <c r="AF1780" s="6">
        <f ca="1">Main[[#This Row],[تعداد روزهای بدهکار سررسید شده (روز)]]*Main[[#This Row],[مانده در خط سررسید شده (کیلوگرم)]]</f>
        <v>0</v>
      </c>
    </row>
    <row r="1781" spans="1:32" x14ac:dyDescent="0.35">
      <c r="A1781" s="5">
        <f>ROW()-ROW(INDEX(Main[ردیف],1))+1</f>
        <v>1779</v>
      </c>
      <c r="B1781" s="31">
        <f>SUBTOTAL(2,INDEX(Main[ردیف],1):Main[[#This Row],[ردیف]])</f>
        <v>160</v>
      </c>
      <c r="C1781" s="32" t="s">
        <v>720</v>
      </c>
      <c r="D1781" s="32" t="str">
        <f>_xlfn.CONCAT("14",Main[[#This Row],[تاريخ]])</f>
        <v>1400/07/12</v>
      </c>
      <c r="E1781" s="33">
        <v>44473</v>
      </c>
      <c r="F1781" s="32">
        <v>10003</v>
      </c>
      <c r="G1781" s="5" t="str">
        <f>INDEX(customer[عنوان],MATCH(Main[[#This Row],[کد ردیابی]],customer[کد],0))</f>
        <v>اصغر نورعلی</v>
      </c>
      <c r="H1781">
        <v>2791</v>
      </c>
      <c r="I1781" s="6">
        <f ca="1">-Main[[#This Row],[بدهی تسویه شده (کیلوگرم)]]+Main[[#This Row],[بستانکار (کیلوگرم)]]</f>
        <v>2791</v>
      </c>
      <c r="J1781" s="6">
        <f>IF(Main[[#This Row],[مقدار (کیلوگرم)]]&gt;0,Main[[#This Row],[مقدار (کیلوگرم)]],0)</f>
        <v>2791</v>
      </c>
      <c r="K1781" s="6">
        <f>-IF(Main[[#This Row],[مقدار (کیلوگرم)]]&lt;0,Main[[#This Row],[مقدار (کیلوگرم)]],0)</f>
        <v>0</v>
      </c>
      <c r="L17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1" s="7">
        <f>-IF(AND(Main[[#This Row],[مقدار (کیلوگرم)]]&lt;0,Main[[#This Row],[تاريخ میلادی]]&gt;44276),Main[[#This Row],[مقدار (کیلوگرم)]],0)</f>
        <v>0</v>
      </c>
      <c r="N1781" s="6">
        <f ca="1">Main[[#This Row],[بدهکار (کیلوگرم)]]-Main[[#This Row],[بدهی تسویه نشده (کیلوگرم)]]</f>
        <v>0</v>
      </c>
      <c r="O1781" s="6">
        <f ca="1">Main[[#This Row],[تفکیک]]</f>
        <v>0</v>
      </c>
      <c r="P1781" s="6">
        <f ca="1">IF(Main[[#This Row],[تاخیر از سررسید]]&gt;0,Main[[#This Row],[بدهی تسویه نشده (کیلوگرم)]],0)</f>
        <v>0</v>
      </c>
      <c r="Q1781" s="6">
        <f ca="1">IF(Main[[#This Row],[بدهی تسویه نشده (کیلوگرم)]]&gt;0,'گزارش فردی'!$B$7-Main[[#This Row],[تاريخ میلادی]],0)</f>
        <v>0</v>
      </c>
      <c r="R1781" s="6">
        <f ca="1">IF(Main[[#This Row],[بدهی تسویه نشده (کیلوگرم)]]&gt;0,'گزارش فردی'!$B$7-Main[[#This Row],[تاريخ میلادی]]-'گزارش فردی'!$B$8,0)</f>
        <v>0</v>
      </c>
      <c r="S1781" s="6">
        <f ca="1">Main[[#This Row],[روز از ارسال سفارش]]*Main[[#This Row],[بدهی تسویه نشده (کیلوگرم)]]</f>
        <v>0</v>
      </c>
      <c r="T1781" s="6">
        <f ca="1">Main[[#This Row],[بدهی سررسید شده (کیلوگرم)]]*Main[[#This Row],[روز از ارسال سفارش]]</f>
        <v>0</v>
      </c>
      <c r="U1781" s="6">
        <f>-SUBTOTAL(9,INDEX(Main[مقدار (کیلوگرم)],1):Main[[#This Row],[مقدار (کیلوگرم)]])</f>
        <v>19072</v>
      </c>
      <c r="V17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1" s="6">
        <f>Main[[#This Row],[تعداد کل روزهای بدهکار (روز)]]*Main[[#This Row],[مانده در خط کل (کیلوگرم)]]</f>
        <v>0</v>
      </c>
      <c r="X1781" s="6">
        <f ca="1">-SUBTOTAL(9,INDEX(Main[مقدار تسویه شده (کیلوگرم)],1):Main[[#This Row],[مقدار تسویه شده (کیلوگرم)]])</f>
        <v>19072</v>
      </c>
      <c r="Y1781" s="6">
        <f ca="1">IF(Main[[#This Row],[مانده در خط تسویه شده (کیلوگرم)]]&lt;&gt;0,Main[[#This Row],[تعداد کل روزهای بدهکار (روز)]],0)</f>
        <v>0</v>
      </c>
      <c r="Z1781" s="6">
        <f ca="1">Main[[#This Row],[تعداد روزهای بدهکار تسویه شده (روز)]]*Main[[#This Row],[مانده در خط تسویه شده (کیلوگرم)]]</f>
        <v>0</v>
      </c>
      <c r="AA1781" s="6">
        <f ca="1">SUBTOTAL(9,INDEX(Main[بدهی تسویه نشده (کیلوگرم)],1):Main[[#This Row],[بدهی تسویه نشده (کیلوگرم)]])</f>
        <v>0</v>
      </c>
      <c r="AB1781" s="6">
        <f ca="1">IF(Main[[#This Row],[مانده در خط تسویه نشده (کیلوگرم)]]&lt;&gt;0,Main[[#This Row],[تعداد کل روزهای بدهکار (روز)]],0)</f>
        <v>0</v>
      </c>
      <c r="AC1781" s="6">
        <f ca="1">Main[[#This Row],[تعداد روزهای بدهکار  تسویه نشده (روز)]]*Main[[#This Row],[مانده در خط تسویه نشده (کیلوگرم)]]</f>
        <v>0</v>
      </c>
      <c r="AD1781" s="6">
        <f ca="1">SUBTOTAL(9,INDEX(Main[بدهی سررسید شده (کیلوگرم)],1):Main[[#This Row],[بدهی سررسید شده (کیلوگرم)]])</f>
        <v>0</v>
      </c>
      <c r="AE1781" s="6">
        <f ca="1">IF(Main[[#This Row],[مانده در خط سررسید شده (کیلوگرم)]]&lt;&gt;0,Main[[#This Row],[تعداد کل روزهای بدهکار (روز)]],0)</f>
        <v>0</v>
      </c>
      <c r="AF1781" s="6">
        <f ca="1">Main[[#This Row],[تعداد روزهای بدهکار سررسید شده (روز)]]*Main[[#This Row],[مانده در خط سررسید شده (کیلوگرم)]]</f>
        <v>0</v>
      </c>
    </row>
    <row r="1782" spans="1:32" hidden="1" x14ac:dyDescent="0.35">
      <c r="A1782" s="5">
        <f>ROW()-ROW(INDEX(Main[ردیف],1))+1</f>
        <v>1780</v>
      </c>
      <c r="B1782" s="31">
        <f>SUBTOTAL(2,INDEX(Main[ردیف],1):Main[[#This Row],[ردیف]])</f>
        <v>160</v>
      </c>
      <c r="C1782" s="32" t="s">
        <v>720</v>
      </c>
      <c r="D1782" s="32" t="str">
        <f>_xlfn.CONCAT("14",Main[[#This Row],[تاريخ]])</f>
        <v>1400/07/12</v>
      </c>
      <c r="E1782" s="33">
        <v>44473</v>
      </c>
      <c r="F1782" s="32">
        <v>30191</v>
      </c>
      <c r="G1782" s="5" t="str">
        <f>INDEX(customer[عنوان],MATCH(Main[[#This Row],[کد ردیابی]],customer[کد],0))</f>
        <v>ایران گرما</v>
      </c>
      <c r="H1782">
        <v>-1010</v>
      </c>
      <c r="I1782" s="6">
        <f ca="1">-Main[[#This Row],[بدهی تسویه شده (کیلوگرم)]]+Main[[#This Row],[بستانکار (کیلوگرم)]]</f>
        <v>-1010</v>
      </c>
      <c r="J1782" s="6">
        <f>IF(Main[[#This Row],[مقدار (کیلوگرم)]]&gt;0,Main[[#This Row],[مقدار (کیلوگرم)]],0)</f>
        <v>0</v>
      </c>
      <c r="K1782" s="6">
        <f>-IF(Main[[#This Row],[مقدار (کیلوگرم)]]&lt;0,Main[[#This Row],[مقدار (کیلوگرم)]],0)</f>
        <v>1010</v>
      </c>
      <c r="L17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2" s="7">
        <f>-IF(AND(Main[[#This Row],[مقدار (کیلوگرم)]]&lt;0,Main[[#This Row],[تاريخ میلادی]]&gt;44276),Main[[#This Row],[مقدار (کیلوگرم)]],0)</f>
        <v>1010</v>
      </c>
      <c r="N1782" s="6">
        <f ca="1">Main[[#This Row],[بدهکار (کیلوگرم)]]-Main[[#This Row],[بدهی تسویه نشده (کیلوگرم)]]</f>
        <v>1010</v>
      </c>
      <c r="O1782" s="6">
        <f ca="1">Main[[#This Row],[تفکیک]]</f>
        <v>0</v>
      </c>
      <c r="P1782" s="6">
        <f ca="1">IF(Main[[#This Row],[تاخیر از سررسید]]&gt;0,Main[[#This Row],[بدهی تسویه نشده (کیلوگرم)]],0)</f>
        <v>0</v>
      </c>
      <c r="Q1782" s="6">
        <f ca="1">IF(Main[[#This Row],[بدهی تسویه نشده (کیلوگرم)]]&gt;0,'گزارش فردی'!$B$7-Main[[#This Row],[تاريخ میلادی]],0)</f>
        <v>0</v>
      </c>
      <c r="R1782" s="6">
        <f ca="1">IF(Main[[#This Row],[بدهی تسویه نشده (کیلوگرم)]]&gt;0,'گزارش فردی'!$B$7-Main[[#This Row],[تاريخ میلادی]]-'گزارش فردی'!$B$8,0)</f>
        <v>0</v>
      </c>
      <c r="S1782" s="6">
        <f ca="1">Main[[#This Row],[روز از ارسال سفارش]]*Main[[#This Row],[بدهی تسویه نشده (کیلوگرم)]]</f>
        <v>0</v>
      </c>
      <c r="T1782" s="6">
        <f ca="1">Main[[#This Row],[بدهی سررسید شده (کیلوگرم)]]*Main[[#This Row],[روز از ارسال سفارش]]</f>
        <v>0</v>
      </c>
      <c r="U1782" s="6">
        <f>-SUBTOTAL(9,INDEX(Main[مقدار (کیلوگرم)],1):Main[[#This Row],[مقدار (کیلوگرم)]])</f>
        <v>19072</v>
      </c>
      <c r="V17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2" s="6">
        <f>Main[[#This Row],[تعداد کل روزهای بدهکار (روز)]]*Main[[#This Row],[مانده در خط کل (کیلوگرم)]]</f>
        <v>0</v>
      </c>
      <c r="X1782" s="6">
        <f ca="1">-SUBTOTAL(9,INDEX(Main[مقدار تسویه شده (کیلوگرم)],1):Main[[#This Row],[مقدار تسویه شده (کیلوگرم)]])</f>
        <v>19072</v>
      </c>
      <c r="Y1782" s="6">
        <f ca="1">IF(Main[[#This Row],[مانده در خط تسویه شده (کیلوگرم)]]&lt;&gt;0,Main[[#This Row],[تعداد کل روزهای بدهکار (روز)]],0)</f>
        <v>0</v>
      </c>
      <c r="Z1782" s="6">
        <f ca="1">Main[[#This Row],[تعداد روزهای بدهکار تسویه شده (روز)]]*Main[[#This Row],[مانده در خط تسویه شده (کیلوگرم)]]</f>
        <v>0</v>
      </c>
      <c r="AA1782" s="6">
        <f ca="1">SUBTOTAL(9,INDEX(Main[بدهی تسویه نشده (کیلوگرم)],1):Main[[#This Row],[بدهی تسویه نشده (کیلوگرم)]])</f>
        <v>0</v>
      </c>
      <c r="AB1782" s="6">
        <f ca="1">IF(Main[[#This Row],[مانده در خط تسویه نشده (کیلوگرم)]]&lt;&gt;0,Main[[#This Row],[تعداد کل روزهای بدهکار (روز)]],0)</f>
        <v>0</v>
      </c>
      <c r="AC1782" s="6">
        <f ca="1">Main[[#This Row],[تعداد روزهای بدهکار  تسویه نشده (روز)]]*Main[[#This Row],[مانده در خط تسویه نشده (کیلوگرم)]]</f>
        <v>0</v>
      </c>
      <c r="AD1782" s="6">
        <f ca="1">SUBTOTAL(9,INDEX(Main[بدهی سررسید شده (کیلوگرم)],1):Main[[#This Row],[بدهی سررسید شده (کیلوگرم)]])</f>
        <v>0</v>
      </c>
      <c r="AE1782" s="6">
        <f ca="1">IF(Main[[#This Row],[مانده در خط سررسید شده (کیلوگرم)]]&lt;&gt;0,Main[[#This Row],[تعداد کل روزهای بدهکار (روز)]],0)</f>
        <v>0</v>
      </c>
      <c r="AF1782" s="6">
        <f ca="1">Main[[#This Row],[تعداد روزهای بدهکار سررسید شده (روز)]]*Main[[#This Row],[مانده در خط سررسید شده (کیلوگرم)]]</f>
        <v>0</v>
      </c>
    </row>
    <row r="1783" spans="1:32" hidden="1" x14ac:dyDescent="0.35">
      <c r="A1783" s="5">
        <f>ROW()-ROW(INDEX(Main[ردیف],1))+1</f>
        <v>1781</v>
      </c>
      <c r="B1783" s="31">
        <f>SUBTOTAL(2,INDEX(Main[ردیف],1):Main[[#This Row],[ردیف]])</f>
        <v>160</v>
      </c>
      <c r="C1783" s="32" t="s">
        <v>720</v>
      </c>
      <c r="D1783" s="32" t="str">
        <f>_xlfn.CONCAT("14",Main[[#This Row],[تاريخ]])</f>
        <v>1400/07/12</v>
      </c>
      <c r="E1783" s="33">
        <v>44473</v>
      </c>
      <c r="F1783" s="32">
        <v>30131</v>
      </c>
      <c r="G1783" s="5" t="str">
        <f>INDEX(customer[عنوان],MATCH(Main[[#This Row],[کد ردیابی]],customer[کد],0))</f>
        <v>ادهم مس تبریز</v>
      </c>
      <c r="H1783">
        <v>4495</v>
      </c>
      <c r="I1783" s="6">
        <f ca="1">-Main[[#This Row],[بدهی تسویه شده (کیلوگرم)]]+Main[[#This Row],[بستانکار (کیلوگرم)]]</f>
        <v>4495</v>
      </c>
      <c r="J1783" s="6">
        <f>IF(Main[[#This Row],[مقدار (کیلوگرم)]]&gt;0,Main[[#This Row],[مقدار (کیلوگرم)]],0)</f>
        <v>4495</v>
      </c>
      <c r="K1783" s="6">
        <f>-IF(Main[[#This Row],[مقدار (کیلوگرم)]]&lt;0,Main[[#This Row],[مقدار (کیلوگرم)]],0)</f>
        <v>0</v>
      </c>
      <c r="L17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3" s="7">
        <f>-IF(AND(Main[[#This Row],[مقدار (کیلوگرم)]]&lt;0,Main[[#This Row],[تاريخ میلادی]]&gt;44276),Main[[#This Row],[مقدار (کیلوگرم)]],0)</f>
        <v>0</v>
      </c>
      <c r="N1783" s="6">
        <f ca="1">Main[[#This Row],[بدهکار (کیلوگرم)]]-Main[[#This Row],[بدهی تسویه نشده (کیلوگرم)]]</f>
        <v>0</v>
      </c>
      <c r="O1783" s="6">
        <f ca="1">Main[[#This Row],[تفکیک]]</f>
        <v>0</v>
      </c>
      <c r="P1783" s="6">
        <f ca="1">IF(Main[[#This Row],[تاخیر از سررسید]]&gt;0,Main[[#This Row],[بدهی تسویه نشده (کیلوگرم)]],0)</f>
        <v>0</v>
      </c>
      <c r="Q1783" s="6">
        <f ca="1">IF(Main[[#This Row],[بدهی تسویه نشده (کیلوگرم)]]&gt;0,'گزارش فردی'!$B$7-Main[[#This Row],[تاريخ میلادی]],0)</f>
        <v>0</v>
      </c>
      <c r="R1783" s="6">
        <f ca="1">IF(Main[[#This Row],[بدهی تسویه نشده (کیلوگرم)]]&gt;0,'گزارش فردی'!$B$7-Main[[#This Row],[تاريخ میلادی]]-'گزارش فردی'!$B$8,0)</f>
        <v>0</v>
      </c>
      <c r="S1783" s="6">
        <f ca="1">Main[[#This Row],[روز از ارسال سفارش]]*Main[[#This Row],[بدهی تسویه نشده (کیلوگرم)]]</f>
        <v>0</v>
      </c>
      <c r="T1783" s="6">
        <f ca="1">Main[[#This Row],[بدهی سررسید شده (کیلوگرم)]]*Main[[#This Row],[روز از ارسال سفارش]]</f>
        <v>0</v>
      </c>
      <c r="U1783" s="6">
        <f>-SUBTOTAL(9,INDEX(Main[مقدار (کیلوگرم)],1):Main[[#This Row],[مقدار (کیلوگرم)]])</f>
        <v>19072</v>
      </c>
      <c r="V17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3" s="6">
        <f>Main[[#This Row],[تعداد کل روزهای بدهکار (روز)]]*Main[[#This Row],[مانده در خط کل (کیلوگرم)]]</f>
        <v>0</v>
      </c>
      <c r="X1783" s="6">
        <f ca="1">-SUBTOTAL(9,INDEX(Main[مقدار تسویه شده (کیلوگرم)],1):Main[[#This Row],[مقدار تسویه شده (کیلوگرم)]])</f>
        <v>19072</v>
      </c>
      <c r="Y1783" s="6">
        <f ca="1">IF(Main[[#This Row],[مانده در خط تسویه شده (کیلوگرم)]]&lt;&gt;0,Main[[#This Row],[تعداد کل روزهای بدهکار (روز)]],0)</f>
        <v>0</v>
      </c>
      <c r="Z1783" s="6">
        <f ca="1">Main[[#This Row],[تعداد روزهای بدهکار تسویه شده (روز)]]*Main[[#This Row],[مانده در خط تسویه شده (کیلوگرم)]]</f>
        <v>0</v>
      </c>
      <c r="AA1783" s="6">
        <f ca="1">SUBTOTAL(9,INDEX(Main[بدهی تسویه نشده (کیلوگرم)],1):Main[[#This Row],[بدهی تسویه نشده (کیلوگرم)]])</f>
        <v>0</v>
      </c>
      <c r="AB1783" s="6">
        <f ca="1">IF(Main[[#This Row],[مانده در خط تسویه نشده (کیلوگرم)]]&lt;&gt;0,Main[[#This Row],[تعداد کل روزهای بدهکار (روز)]],0)</f>
        <v>0</v>
      </c>
      <c r="AC1783" s="6">
        <f ca="1">Main[[#This Row],[تعداد روزهای بدهکار  تسویه نشده (روز)]]*Main[[#This Row],[مانده در خط تسویه نشده (کیلوگرم)]]</f>
        <v>0</v>
      </c>
      <c r="AD1783" s="6">
        <f ca="1">SUBTOTAL(9,INDEX(Main[بدهی سررسید شده (کیلوگرم)],1):Main[[#This Row],[بدهی سررسید شده (کیلوگرم)]])</f>
        <v>0</v>
      </c>
      <c r="AE1783" s="6">
        <f ca="1">IF(Main[[#This Row],[مانده در خط سررسید شده (کیلوگرم)]]&lt;&gt;0,Main[[#This Row],[تعداد کل روزهای بدهکار (روز)]],0)</f>
        <v>0</v>
      </c>
      <c r="AF1783" s="6">
        <f ca="1">Main[[#This Row],[تعداد روزهای بدهکار سررسید شده (روز)]]*Main[[#This Row],[مانده در خط سررسید شده (کیلوگرم)]]</f>
        <v>0</v>
      </c>
    </row>
    <row r="1784" spans="1:32" x14ac:dyDescent="0.35">
      <c r="A1784" s="5">
        <f>ROW()-ROW(INDEX(Main[ردیف],1))+1</f>
        <v>1782</v>
      </c>
      <c r="B1784" s="31">
        <f>SUBTOTAL(2,INDEX(Main[ردیف],1):Main[[#This Row],[ردیف]])</f>
        <v>161</v>
      </c>
      <c r="C1784" s="32" t="s">
        <v>720</v>
      </c>
      <c r="D1784" s="32" t="str">
        <f>_xlfn.CONCAT("14",Main[[#This Row],[تاريخ]])</f>
        <v>1400/07/12</v>
      </c>
      <c r="E1784" s="33">
        <v>44473</v>
      </c>
      <c r="F1784" s="32">
        <v>10003</v>
      </c>
      <c r="G1784" s="5" t="str">
        <f>INDEX(customer[عنوان],MATCH(Main[[#This Row],[کد ردیابی]],customer[کد],0))</f>
        <v>اصغر نورعلی</v>
      </c>
      <c r="H1784">
        <v>-1783</v>
      </c>
      <c r="I1784" s="6">
        <f ca="1">-Main[[#This Row],[بدهی تسویه شده (کیلوگرم)]]+Main[[#This Row],[بستانکار (کیلوگرم)]]</f>
        <v>-1783</v>
      </c>
      <c r="J1784" s="6">
        <f>IF(Main[[#This Row],[مقدار (کیلوگرم)]]&gt;0,Main[[#This Row],[مقدار (کیلوگرم)]],0)</f>
        <v>0</v>
      </c>
      <c r="K1784" s="6">
        <f>-IF(Main[[#This Row],[مقدار (کیلوگرم)]]&lt;0,Main[[#This Row],[مقدار (کیلوگرم)]],0)</f>
        <v>1783</v>
      </c>
      <c r="L17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4" s="7">
        <f>-IF(AND(Main[[#This Row],[مقدار (کیلوگرم)]]&lt;0,Main[[#This Row],[تاريخ میلادی]]&gt;44276),Main[[#This Row],[مقدار (کیلوگرم)]],0)</f>
        <v>1783</v>
      </c>
      <c r="N1784" s="6">
        <f ca="1">Main[[#This Row],[بدهکار (کیلوگرم)]]-Main[[#This Row],[بدهی تسویه نشده (کیلوگرم)]]</f>
        <v>1783</v>
      </c>
      <c r="O1784" s="6">
        <f ca="1">Main[[#This Row],[تفکیک]]</f>
        <v>0</v>
      </c>
      <c r="P1784" s="6">
        <f ca="1">IF(Main[[#This Row],[تاخیر از سررسید]]&gt;0,Main[[#This Row],[بدهی تسویه نشده (کیلوگرم)]],0)</f>
        <v>0</v>
      </c>
      <c r="Q1784" s="6">
        <f ca="1">IF(Main[[#This Row],[بدهی تسویه نشده (کیلوگرم)]]&gt;0,'گزارش فردی'!$B$7-Main[[#This Row],[تاريخ میلادی]],0)</f>
        <v>0</v>
      </c>
      <c r="R1784" s="6">
        <f ca="1">IF(Main[[#This Row],[بدهی تسویه نشده (کیلوگرم)]]&gt;0,'گزارش فردی'!$B$7-Main[[#This Row],[تاريخ میلادی]]-'گزارش فردی'!$B$8,0)</f>
        <v>0</v>
      </c>
      <c r="S1784" s="6">
        <f ca="1">Main[[#This Row],[روز از ارسال سفارش]]*Main[[#This Row],[بدهی تسویه نشده (کیلوگرم)]]</f>
        <v>0</v>
      </c>
      <c r="T1784" s="6">
        <f ca="1">Main[[#This Row],[بدهی سررسید شده (کیلوگرم)]]*Main[[#This Row],[روز از ارسال سفارش]]</f>
        <v>0</v>
      </c>
      <c r="U1784" s="6">
        <f>-SUBTOTAL(9,INDEX(Main[مقدار (کیلوگرم)],1):Main[[#This Row],[مقدار (کیلوگرم)]])</f>
        <v>20855</v>
      </c>
      <c r="V1784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4" s="6">
        <f>Main[[#This Row],[تعداد کل روزهای بدهکار (روز)]]*Main[[#This Row],[مانده در خط کل (کیلوگرم)]]</f>
        <v>145985</v>
      </c>
      <c r="X1784" s="6">
        <f ca="1">-SUBTOTAL(9,INDEX(Main[مقدار تسویه شده (کیلوگرم)],1):Main[[#This Row],[مقدار تسویه شده (کیلوگرم)]])</f>
        <v>20855</v>
      </c>
      <c r="Y1784" s="6">
        <f ca="1">IF(Main[[#This Row],[مانده در خط تسویه شده (کیلوگرم)]]&lt;&gt;0,Main[[#This Row],[تعداد کل روزهای بدهکار (روز)]],0)</f>
        <v>7</v>
      </c>
      <c r="Z1784" s="6">
        <f ca="1">Main[[#This Row],[تعداد روزهای بدهکار تسویه شده (روز)]]*Main[[#This Row],[مانده در خط تسویه شده (کیلوگرم)]]</f>
        <v>145985</v>
      </c>
      <c r="AA1784" s="6">
        <f ca="1">SUBTOTAL(9,INDEX(Main[بدهی تسویه نشده (کیلوگرم)],1):Main[[#This Row],[بدهی تسویه نشده (کیلوگرم)]])</f>
        <v>0</v>
      </c>
      <c r="AB1784" s="6">
        <f ca="1">IF(Main[[#This Row],[مانده در خط تسویه نشده (کیلوگرم)]]&lt;&gt;0,Main[[#This Row],[تعداد کل روزهای بدهکار (روز)]],0)</f>
        <v>0</v>
      </c>
      <c r="AC1784" s="6">
        <f ca="1">Main[[#This Row],[تعداد روزهای بدهکار  تسویه نشده (روز)]]*Main[[#This Row],[مانده در خط تسویه نشده (کیلوگرم)]]</f>
        <v>0</v>
      </c>
      <c r="AD1784" s="6">
        <f ca="1">SUBTOTAL(9,INDEX(Main[بدهی سررسید شده (کیلوگرم)],1):Main[[#This Row],[بدهی سررسید شده (کیلوگرم)]])</f>
        <v>0</v>
      </c>
      <c r="AE1784" s="6">
        <f ca="1">IF(Main[[#This Row],[مانده در خط سررسید شده (کیلوگرم)]]&lt;&gt;0,Main[[#This Row],[تعداد کل روزهای بدهکار (روز)]],0)</f>
        <v>0</v>
      </c>
      <c r="AF1784" s="6">
        <f ca="1">Main[[#This Row],[تعداد روزهای بدهکار سررسید شده (روز)]]*Main[[#This Row],[مانده در خط سررسید شده (کیلوگرم)]]</f>
        <v>0</v>
      </c>
    </row>
    <row r="1785" spans="1:32" hidden="1" x14ac:dyDescent="0.35">
      <c r="A1785" s="5">
        <f>ROW()-ROW(INDEX(Main[ردیف],1))+1</f>
        <v>1783</v>
      </c>
      <c r="B1785" s="31">
        <f>SUBTOTAL(2,INDEX(Main[ردیف],1):Main[[#This Row],[ردیف]])</f>
        <v>161</v>
      </c>
      <c r="C1785" s="32" t="s">
        <v>720</v>
      </c>
      <c r="D1785" s="32" t="str">
        <f>_xlfn.CONCAT("14",Main[[#This Row],[تاريخ]])</f>
        <v>1400/07/12</v>
      </c>
      <c r="E1785" s="33">
        <v>44473</v>
      </c>
      <c r="F1785" s="32">
        <v>30131</v>
      </c>
      <c r="G1785" s="5" t="str">
        <f>INDEX(customer[عنوان],MATCH(Main[[#This Row],[کد ردیابی]],customer[کد],0))</f>
        <v>ادهم مس تبریز</v>
      </c>
      <c r="H1785">
        <v>424</v>
      </c>
      <c r="I1785" s="6">
        <f ca="1">-Main[[#This Row],[بدهی تسویه شده (کیلوگرم)]]+Main[[#This Row],[بستانکار (کیلوگرم)]]</f>
        <v>424</v>
      </c>
      <c r="J1785" s="6">
        <f>IF(Main[[#This Row],[مقدار (کیلوگرم)]]&gt;0,Main[[#This Row],[مقدار (کیلوگرم)]],0)</f>
        <v>424</v>
      </c>
      <c r="K1785" s="6">
        <f>-IF(Main[[#This Row],[مقدار (کیلوگرم)]]&lt;0,Main[[#This Row],[مقدار (کیلوگرم)]],0)</f>
        <v>0</v>
      </c>
      <c r="L17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5" s="7">
        <f>-IF(AND(Main[[#This Row],[مقدار (کیلوگرم)]]&lt;0,Main[[#This Row],[تاريخ میلادی]]&gt;44276),Main[[#This Row],[مقدار (کیلوگرم)]],0)</f>
        <v>0</v>
      </c>
      <c r="N1785" s="6">
        <f ca="1">Main[[#This Row],[بدهکار (کیلوگرم)]]-Main[[#This Row],[بدهی تسویه نشده (کیلوگرم)]]</f>
        <v>0</v>
      </c>
      <c r="O1785" s="6">
        <f ca="1">Main[[#This Row],[تفکیک]]</f>
        <v>0</v>
      </c>
      <c r="P1785" s="6">
        <f ca="1">IF(Main[[#This Row],[تاخیر از سررسید]]&gt;0,Main[[#This Row],[بدهی تسویه نشده (کیلوگرم)]],0)</f>
        <v>0</v>
      </c>
      <c r="Q1785" s="6">
        <f ca="1">IF(Main[[#This Row],[بدهی تسویه نشده (کیلوگرم)]]&gt;0,'گزارش فردی'!$B$7-Main[[#This Row],[تاريخ میلادی]],0)</f>
        <v>0</v>
      </c>
      <c r="R1785" s="6">
        <f ca="1">IF(Main[[#This Row],[بدهی تسویه نشده (کیلوگرم)]]&gt;0,'گزارش فردی'!$B$7-Main[[#This Row],[تاريخ میلادی]]-'گزارش فردی'!$B$8,0)</f>
        <v>0</v>
      </c>
      <c r="S1785" s="6">
        <f ca="1">Main[[#This Row],[روز از ارسال سفارش]]*Main[[#This Row],[بدهی تسویه نشده (کیلوگرم)]]</f>
        <v>0</v>
      </c>
      <c r="T1785" s="6">
        <f ca="1">Main[[#This Row],[بدهی سررسید شده (کیلوگرم)]]*Main[[#This Row],[روز از ارسال سفارش]]</f>
        <v>0</v>
      </c>
      <c r="U1785" s="6">
        <f>-SUBTOTAL(9,INDEX(Main[مقدار (کیلوگرم)],1):Main[[#This Row],[مقدار (کیلوگرم)]])</f>
        <v>20855</v>
      </c>
      <c r="V1785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5" s="6">
        <f>Main[[#This Row],[تعداد کل روزهای بدهکار (روز)]]*Main[[#This Row],[مانده در خط کل (کیلوگرم)]]</f>
        <v>145985</v>
      </c>
      <c r="X1785" s="6">
        <f ca="1">-SUBTOTAL(9,INDEX(Main[مقدار تسویه شده (کیلوگرم)],1):Main[[#This Row],[مقدار تسویه شده (کیلوگرم)]])</f>
        <v>20855</v>
      </c>
      <c r="Y1785" s="6">
        <f ca="1">IF(Main[[#This Row],[مانده در خط تسویه شده (کیلوگرم)]]&lt;&gt;0,Main[[#This Row],[تعداد کل روزهای بدهکار (روز)]],0)</f>
        <v>7</v>
      </c>
      <c r="Z1785" s="6">
        <f ca="1">Main[[#This Row],[تعداد روزهای بدهکار تسویه شده (روز)]]*Main[[#This Row],[مانده در خط تسویه شده (کیلوگرم)]]</f>
        <v>145985</v>
      </c>
      <c r="AA1785" s="6">
        <f ca="1">SUBTOTAL(9,INDEX(Main[بدهی تسویه نشده (کیلوگرم)],1):Main[[#This Row],[بدهی تسویه نشده (کیلوگرم)]])</f>
        <v>0</v>
      </c>
      <c r="AB1785" s="6">
        <f ca="1">IF(Main[[#This Row],[مانده در خط تسویه نشده (کیلوگرم)]]&lt;&gt;0,Main[[#This Row],[تعداد کل روزهای بدهکار (روز)]],0)</f>
        <v>0</v>
      </c>
      <c r="AC1785" s="6">
        <f ca="1">Main[[#This Row],[تعداد روزهای بدهکار  تسویه نشده (روز)]]*Main[[#This Row],[مانده در خط تسویه نشده (کیلوگرم)]]</f>
        <v>0</v>
      </c>
      <c r="AD1785" s="6">
        <f ca="1">SUBTOTAL(9,INDEX(Main[بدهی سررسید شده (کیلوگرم)],1):Main[[#This Row],[بدهی سررسید شده (کیلوگرم)]])</f>
        <v>0</v>
      </c>
      <c r="AE1785" s="6">
        <f ca="1">IF(Main[[#This Row],[مانده در خط سررسید شده (کیلوگرم)]]&lt;&gt;0,Main[[#This Row],[تعداد کل روزهای بدهکار (روز)]],0)</f>
        <v>0</v>
      </c>
      <c r="AF1785" s="6">
        <f ca="1">Main[[#This Row],[تعداد روزهای بدهکار سررسید شده (روز)]]*Main[[#This Row],[مانده در خط سررسید شده (کیلوگرم)]]</f>
        <v>0</v>
      </c>
    </row>
    <row r="1786" spans="1:32" hidden="1" x14ac:dyDescent="0.35">
      <c r="A1786" s="5">
        <f>ROW()-ROW(INDEX(Main[ردیف],1))+1</f>
        <v>1784</v>
      </c>
      <c r="B1786" s="31">
        <f>SUBTOTAL(2,INDEX(Main[ردیف],1):Main[[#This Row],[ردیف]])</f>
        <v>161</v>
      </c>
      <c r="C1786" s="32" t="s">
        <v>720</v>
      </c>
      <c r="D1786" s="32" t="str">
        <f>_xlfn.CONCAT("14",Main[[#This Row],[تاريخ]])</f>
        <v>1400/07/12</v>
      </c>
      <c r="E1786" s="33">
        <v>44473</v>
      </c>
      <c r="F1786" s="32">
        <v>10004</v>
      </c>
      <c r="G1786" s="5" t="str">
        <f>INDEX(customer[عنوان],MATCH(Main[[#This Row],[کد ردیابی]],customer[کد],0))</f>
        <v xml:space="preserve">محمد عباسی </v>
      </c>
      <c r="H1786">
        <v>-499</v>
      </c>
      <c r="I1786" s="6">
        <f ca="1">-Main[[#This Row],[بدهی تسویه شده (کیلوگرم)]]+Main[[#This Row],[بستانکار (کیلوگرم)]]</f>
        <v>-499</v>
      </c>
      <c r="J1786" s="6">
        <f>IF(Main[[#This Row],[مقدار (کیلوگرم)]]&gt;0,Main[[#This Row],[مقدار (کیلوگرم)]],0)</f>
        <v>0</v>
      </c>
      <c r="K1786" s="6">
        <f>-IF(Main[[#This Row],[مقدار (کیلوگرم)]]&lt;0,Main[[#This Row],[مقدار (کیلوگرم)]],0)</f>
        <v>499</v>
      </c>
      <c r="L17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6" s="7">
        <f>-IF(AND(Main[[#This Row],[مقدار (کیلوگرم)]]&lt;0,Main[[#This Row],[تاريخ میلادی]]&gt;44276),Main[[#This Row],[مقدار (کیلوگرم)]],0)</f>
        <v>499</v>
      </c>
      <c r="N1786" s="6">
        <f ca="1">Main[[#This Row],[بدهکار (کیلوگرم)]]-Main[[#This Row],[بدهی تسویه نشده (کیلوگرم)]]</f>
        <v>499</v>
      </c>
      <c r="O1786" s="6">
        <f ca="1">Main[[#This Row],[تفکیک]]</f>
        <v>0</v>
      </c>
      <c r="P1786" s="6">
        <f ca="1">IF(Main[[#This Row],[تاخیر از سررسید]]&gt;0,Main[[#This Row],[بدهی تسویه نشده (کیلوگرم)]],0)</f>
        <v>0</v>
      </c>
      <c r="Q1786" s="6">
        <f ca="1">IF(Main[[#This Row],[بدهی تسویه نشده (کیلوگرم)]]&gt;0,'گزارش فردی'!$B$7-Main[[#This Row],[تاريخ میلادی]],0)</f>
        <v>0</v>
      </c>
      <c r="R1786" s="6">
        <f ca="1">IF(Main[[#This Row],[بدهی تسویه نشده (کیلوگرم)]]&gt;0,'گزارش فردی'!$B$7-Main[[#This Row],[تاريخ میلادی]]-'گزارش فردی'!$B$8,0)</f>
        <v>0</v>
      </c>
      <c r="S1786" s="6">
        <f ca="1">Main[[#This Row],[روز از ارسال سفارش]]*Main[[#This Row],[بدهی تسویه نشده (کیلوگرم)]]</f>
        <v>0</v>
      </c>
      <c r="T1786" s="6">
        <f ca="1">Main[[#This Row],[بدهی سررسید شده (کیلوگرم)]]*Main[[#This Row],[روز از ارسال سفارش]]</f>
        <v>0</v>
      </c>
      <c r="U1786" s="6">
        <f>-SUBTOTAL(9,INDEX(Main[مقدار (کیلوگرم)],1):Main[[#This Row],[مقدار (کیلوگرم)]])</f>
        <v>20855</v>
      </c>
      <c r="V1786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6" s="6">
        <f>Main[[#This Row],[تعداد کل روزهای بدهکار (روز)]]*Main[[#This Row],[مانده در خط کل (کیلوگرم)]]</f>
        <v>145985</v>
      </c>
      <c r="X1786" s="6">
        <f ca="1">-SUBTOTAL(9,INDEX(Main[مقدار تسویه شده (کیلوگرم)],1):Main[[#This Row],[مقدار تسویه شده (کیلوگرم)]])</f>
        <v>20855</v>
      </c>
      <c r="Y1786" s="6">
        <f ca="1">IF(Main[[#This Row],[مانده در خط تسویه شده (کیلوگرم)]]&lt;&gt;0,Main[[#This Row],[تعداد کل روزهای بدهکار (روز)]],0)</f>
        <v>7</v>
      </c>
      <c r="Z1786" s="6">
        <f ca="1">Main[[#This Row],[تعداد روزهای بدهکار تسویه شده (روز)]]*Main[[#This Row],[مانده در خط تسویه شده (کیلوگرم)]]</f>
        <v>145985</v>
      </c>
      <c r="AA1786" s="6">
        <f ca="1">SUBTOTAL(9,INDEX(Main[بدهی تسویه نشده (کیلوگرم)],1):Main[[#This Row],[بدهی تسویه نشده (کیلوگرم)]])</f>
        <v>0</v>
      </c>
      <c r="AB1786" s="6">
        <f ca="1">IF(Main[[#This Row],[مانده در خط تسویه نشده (کیلوگرم)]]&lt;&gt;0,Main[[#This Row],[تعداد کل روزهای بدهکار (روز)]],0)</f>
        <v>0</v>
      </c>
      <c r="AC1786" s="6">
        <f ca="1">Main[[#This Row],[تعداد روزهای بدهکار  تسویه نشده (روز)]]*Main[[#This Row],[مانده در خط تسویه نشده (کیلوگرم)]]</f>
        <v>0</v>
      </c>
      <c r="AD1786" s="6">
        <f ca="1">SUBTOTAL(9,INDEX(Main[بدهی سررسید شده (کیلوگرم)],1):Main[[#This Row],[بدهی سررسید شده (کیلوگرم)]])</f>
        <v>0</v>
      </c>
      <c r="AE1786" s="6">
        <f ca="1">IF(Main[[#This Row],[مانده در خط سررسید شده (کیلوگرم)]]&lt;&gt;0,Main[[#This Row],[تعداد کل روزهای بدهکار (روز)]],0)</f>
        <v>0</v>
      </c>
      <c r="AF1786" s="6">
        <f ca="1">Main[[#This Row],[تعداد روزهای بدهکار سررسید شده (روز)]]*Main[[#This Row],[مانده در خط سررسید شده (کیلوگرم)]]</f>
        <v>0</v>
      </c>
    </row>
    <row r="1787" spans="1:32" hidden="1" x14ac:dyDescent="0.35">
      <c r="A1787" s="5">
        <f>ROW()-ROW(INDEX(Main[ردیف],1))+1</f>
        <v>1785</v>
      </c>
      <c r="B1787" s="31">
        <f>SUBTOTAL(2,INDEX(Main[ردیف],1):Main[[#This Row],[ردیف]])</f>
        <v>161</v>
      </c>
      <c r="C1787" s="32" t="s">
        <v>720</v>
      </c>
      <c r="D1787" s="32" t="str">
        <f>_xlfn.CONCAT("14",Main[[#This Row],[تاريخ]])</f>
        <v>1400/07/12</v>
      </c>
      <c r="E1787" s="33">
        <v>44473</v>
      </c>
      <c r="F1787" s="32">
        <v>30009</v>
      </c>
      <c r="G1787" s="5" t="str">
        <f>INDEX(customer[عنوان],MATCH(Main[[#This Row],[کد ردیابی]],customer[کد],0))</f>
        <v>شرکت ایمن تک پیشرو</v>
      </c>
      <c r="H1787">
        <v>1410</v>
      </c>
      <c r="I1787" s="6">
        <f ca="1">-Main[[#This Row],[بدهی تسویه شده (کیلوگرم)]]+Main[[#This Row],[بستانکار (کیلوگرم)]]</f>
        <v>1410</v>
      </c>
      <c r="J1787" s="6">
        <f>IF(Main[[#This Row],[مقدار (کیلوگرم)]]&gt;0,Main[[#This Row],[مقدار (کیلوگرم)]],0)</f>
        <v>1410</v>
      </c>
      <c r="K1787" s="6">
        <f>-IF(Main[[#This Row],[مقدار (کیلوگرم)]]&lt;0,Main[[#This Row],[مقدار (کیلوگرم)]],0)</f>
        <v>0</v>
      </c>
      <c r="L17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7" s="7">
        <f>-IF(AND(Main[[#This Row],[مقدار (کیلوگرم)]]&lt;0,Main[[#This Row],[تاريخ میلادی]]&gt;44276),Main[[#This Row],[مقدار (کیلوگرم)]],0)</f>
        <v>0</v>
      </c>
      <c r="N1787" s="6">
        <f ca="1">Main[[#This Row],[بدهکار (کیلوگرم)]]-Main[[#This Row],[بدهی تسویه نشده (کیلوگرم)]]</f>
        <v>0</v>
      </c>
      <c r="O1787" s="6">
        <f ca="1">Main[[#This Row],[تفکیک]]</f>
        <v>0</v>
      </c>
      <c r="P1787" s="6">
        <f ca="1">IF(Main[[#This Row],[تاخیر از سررسید]]&gt;0,Main[[#This Row],[بدهی تسویه نشده (کیلوگرم)]],0)</f>
        <v>0</v>
      </c>
      <c r="Q1787" s="6">
        <f ca="1">IF(Main[[#This Row],[بدهی تسویه نشده (کیلوگرم)]]&gt;0,'گزارش فردی'!$B$7-Main[[#This Row],[تاريخ میلادی]],0)</f>
        <v>0</v>
      </c>
      <c r="R1787" s="6">
        <f ca="1">IF(Main[[#This Row],[بدهی تسویه نشده (کیلوگرم)]]&gt;0,'گزارش فردی'!$B$7-Main[[#This Row],[تاريخ میلادی]]-'گزارش فردی'!$B$8,0)</f>
        <v>0</v>
      </c>
      <c r="S1787" s="6">
        <f ca="1">Main[[#This Row],[روز از ارسال سفارش]]*Main[[#This Row],[بدهی تسویه نشده (کیلوگرم)]]</f>
        <v>0</v>
      </c>
      <c r="T1787" s="6">
        <f ca="1">Main[[#This Row],[بدهی سررسید شده (کیلوگرم)]]*Main[[#This Row],[روز از ارسال سفارش]]</f>
        <v>0</v>
      </c>
      <c r="U1787" s="6">
        <f>-SUBTOTAL(9,INDEX(Main[مقدار (کیلوگرم)],1):Main[[#This Row],[مقدار (کیلوگرم)]])</f>
        <v>20855</v>
      </c>
      <c r="V1787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7" s="6">
        <f>Main[[#This Row],[تعداد کل روزهای بدهکار (روز)]]*Main[[#This Row],[مانده در خط کل (کیلوگرم)]]</f>
        <v>145985</v>
      </c>
      <c r="X1787" s="6">
        <f ca="1">-SUBTOTAL(9,INDEX(Main[مقدار تسویه شده (کیلوگرم)],1):Main[[#This Row],[مقدار تسویه شده (کیلوگرم)]])</f>
        <v>20855</v>
      </c>
      <c r="Y1787" s="6">
        <f ca="1">IF(Main[[#This Row],[مانده در خط تسویه شده (کیلوگرم)]]&lt;&gt;0,Main[[#This Row],[تعداد کل روزهای بدهکار (روز)]],0)</f>
        <v>7</v>
      </c>
      <c r="Z1787" s="6">
        <f ca="1">Main[[#This Row],[تعداد روزهای بدهکار تسویه شده (روز)]]*Main[[#This Row],[مانده در خط تسویه شده (کیلوگرم)]]</f>
        <v>145985</v>
      </c>
      <c r="AA1787" s="6">
        <f ca="1">SUBTOTAL(9,INDEX(Main[بدهی تسویه نشده (کیلوگرم)],1):Main[[#This Row],[بدهی تسویه نشده (کیلوگرم)]])</f>
        <v>0</v>
      </c>
      <c r="AB1787" s="6">
        <f ca="1">IF(Main[[#This Row],[مانده در خط تسویه نشده (کیلوگرم)]]&lt;&gt;0,Main[[#This Row],[تعداد کل روزهای بدهکار (روز)]],0)</f>
        <v>0</v>
      </c>
      <c r="AC1787" s="6">
        <f ca="1">Main[[#This Row],[تعداد روزهای بدهکار  تسویه نشده (روز)]]*Main[[#This Row],[مانده در خط تسویه نشده (کیلوگرم)]]</f>
        <v>0</v>
      </c>
      <c r="AD1787" s="6">
        <f ca="1">SUBTOTAL(9,INDEX(Main[بدهی سررسید شده (کیلوگرم)],1):Main[[#This Row],[بدهی سررسید شده (کیلوگرم)]])</f>
        <v>0</v>
      </c>
      <c r="AE1787" s="6">
        <f ca="1">IF(Main[[#This Row],[مانده در خط سررسید شده (کیلوگرم)]]&lt;&gt;0,Main[[#This Row],[تعداد کل روزهای بدهکار (روز)]],0)</f>
        <v>0</v>
      </c>
      <c r="AF1787" s="6">
        <f ca="1">Main[[#This Row],[تعداد روزهای بدهکار سررسید شده (روز)]]*Main[[#This Row],[مانده در خط سررسید شده (کیلوگرم)]]</f>
        <v>0</v>
      </c>
    </row>
    <row r="1788" spans="1:32" hidden="1" x14ac:dyDescent="0.35">
      <c r="A1788" s="5">
        <f>ROW()-ROW(INDEX(Main[ردیف],1))+1</f>
        <v>1786</v>
      </c>
      <c r="B1788" s="31">
        <f>SUBTOTAL(2,INDEX(Main[ردیف],1):Main[[#This Row],[ردیف]])</f>
        <v>161</v>
      </c>
      <c r="C1788" s="32" t="s">
        <v>720</v>
      </c>
      <c r="D1788" s="32" t="str">
        <f>_xlfn.CONCAT("14",Main[[#This Row],[تاريخ]])</f>
        <v>1400/07/12</v>
      </c>
      <c r="E1788" s="33">
        <v>44473</v>
      </c>
      <c r="F1788" s="32">
        <v>10055</v>
      </c>
      <c r="G1788" s="5" t="str">
        <f>INDEX(customer[عنوان],MATCH(Main[[#This Row],[کد ردیابی]],customer[کد],0))</f>
        <v xml:space="preserve">مریم فیض آبادی  </v>
      </c>
      <c r="H1788">
        <v>-4812</v>
      </c>
      <c r="I1788" s="6">
        <f ca="1">-Main[[#This Row],[بدهی تسویه شده (کیلوگرم)]]+Main[[#This Row],[بستانکار (کیلوگرم)]]</f>
        <v>-4812</v>
      </c>
      <c r="J1788" s="6">
        <f>IF(Main[[#This Row],[مقدار (کیلوگرم)]]&gt;0,Main[[#This Row],[مقدار (کیلوگرم)]],0)</f>
        <v>0</v>
      </c>
      <c r="K1788" s="6">
        <f>-IF(Main[[#This Row],[مقدار (کیلوگرم)]]&lt;0,Main[[#This Row],[مقدار (کیلوگرم)]],0)</f>
        <v>4812</v>
      </c>
      <c r="L17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8" s="7">
        <f>-IF(AND(Main[[#This Row],[مقدار (کیلوگرم)]]&lt;0,Main[[#This Row],[تاريخ میلادی]]&gt;44276),Main[[#This Row],[مقدار (کیلوگرم)]],0)</f>
        <v>4812</v>
      </c>
      <c r="N1788" s="6">
        <f ca="1">Main[[#This Row],[بدهکار (کیلوگرم)]]-Main[[#This Row],[بدهی تسویه نشده (کیلوگرم)]]</f>
        <v>4812</v>
      </c>
      <c r="O1788" s="6">
        <f ca="1">Main[[#This Row],[تفکیک]]</f>
        <v>0</v>
      </c>
      <c r="P1788" s="6">
        <f ca="1">IF(Main[[#This Row],[تاخیر از سررسید]]&gt;0,Main[[#This Row],[بدهی تسویه نشده (کیلوگرم)]],0)</f>
        <v>0</v>
      </c>
      <c r="Q1788" s="6">
        <f ca="1">IF(Main[[#This Row],[بدهی تسویه نشده (کیلوگرم)]]&gt;0,'گزارش فردی'!$B$7-Main[[#This Row],[تاريخ میلادی]],0)</f>
        <v>0</v>
      </c>
      <c r="R1788" s="6">
        <f ca="1">IF(Main[[#This Row],[بدهی تسویه نشده (کیلوگرم)]]&gt;0,'گزارش فردی'!$B$7-Main[[#This Row],[تاريخ میلادی]]-'گزارش فردی'!$B$8,0)</f>
        <v>0</v>
      </c>
      <c r="S1788" s="6">
        <f ca="1">Main[[#This Row],[روز از ارسال سفارش]]*Main[[#This Row],[بدهی تسویه نشده (کیلوگرم)]]</f>
        <v>0</v>
      </c>
      <c r="T1788" s="6">
        <f ca="1">Main[[#This Row],[بدهی سررسید شده (کیلوگرم)]]*Main[[#This Row],[روز از ارسال سفارش]]</f>
        <v>0</v>
      </c>
      <c r="U1788" s="6">
        <f>-SUBTOTAL(9,INDEX(Main[مقدار (کیلوگرم)],1):Main[[#This Row],[مقدار (کیلوگرم)]])</f>
        <v>20855</v>
      </c>
      <c r="V1788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8" s="6">
        <f>Main[[#This Row],[تعداد کل روزهای بدهکار (روز)]]*Main[[#This Row],[مانده در خط کل (کیلوگرم)]]</f>
        <v>145985</v>
      </c>
      <c r="X1788" s="6">
        <f ca="1">-SUBTOTAL(9,INDEX(Main[مقدار تسویه شده (کیلوگرم)],1):Main[[#This Row],[مقدار تسویه شده (کیلوگرم)]])</f>
        <v>20855</v>
      </c>
      <c r="Y1788" s="6">
        <f ca="1">IF(Main[[#This Row],[مانده در خط تسویه شده (کیلوگرم)]]&lt;&gt;0,Main[[#This Row],[تعداد کل روزهای بدهکار (روز)]],0)</f>
        <v>7</v>
      </c>
      <c r="Z1788" s="6">
        <f ca="1">Main[[#This Row],[تعداد روزهای بدهکار تسویه شده (روز)]]*Main[[#This Row],[مانده در خط تسویه شده (کیلوگرم)]]</f>
        <v>145985</v>
      </c>
      <c r="AA1788" s="6">
        <f ca="1">SUBTOTAL(9,INDEX(Main[بدهی تسویه نشده (کیلوگرم)],1):Main[[#This Row],[بدهی تسویه نشده (کیلوگرم)]])</f>
        <v>0</v>
      </c>
      <c r="AB1788" s="6">
        <f ca="1">IF(Main[[#This Row],[مانده در خط تسویه نشده (کیلوگرم)]]&lt;&gt;0,Main[[#This Row],[تعداد کل روزهای بدهکار (روز)]],0)</f>
        <v>0</v>
      </c>
      <c r="AC1788" s="6">
        <f ca="1">Main[[#This Row],[تعداد روزهای بدهکار  تسویه نشده (روز)]]*Main[[#This Row],[مانده در خط تسویه نشده (کیلوگرم)]]</f>
        <v>0</v>
      </c>
      <c r="AD1788" s="6">
        <f ca="1">SUBTOTAL(9,INDEX(Main[بدهی سررسید شده (کیلوگرم)],1):Main[[#This Row],[بدهی سررسید شده (کیلوگرم)]])</f>
        <v>0</v>
      </c>
      <c r="AE1788" s="6">
        <f ca="1">IF(Main[[#This Row],[مانده در خط سررسید شده (کیلوگرم)]]&lt;&gt;0,Main[[#This Row],[تعداد کل روزهای بدهکار (روز)]],0)</f>
        <v>0</v>
      </c>
      <c r="AF1788" s="6">
        <f ca="1">Main[[#This Row],[تعداد روزهای بدهکار سررسید شده (روز)]]*Main[[#This Row],[مانده در خط سررسید شده (کیلوگرم)]]</f>
        <v>0</v>
      </c>
    </row>
    <row r="1789" spans="1:32" hidden="1" x14ac:dyDescent="0.35">
      <c r="A1789" s="5">
        <f>ROW()-ROW(INDEX(Main[ردیف],1))+1</f>
        <v>1787</v>
      </c>
      <c r="B1789" s="31">
        <f>SUBTOTAL(2,INDEX(Main[ردیف],1):Main[[#This Row],[ردیف]])</f>
        <v>161</v>
      </c>
      <c r="C1789" s="32" t="s">
        <v>720</v>
      </c>
      <c r="D1789" s="32" t="str">
        <f>_xlfn.CONCAT("14",Main[[#This Row],[تاريخ]])</f>
        <v>1400/07/12</v>
      </c>
      <c r="E1789" s="33">
        <v>44473</v>
      </c>
      <c r="F1789" s="32">
        <v>10104</v>
      </c>
      <c r="G1789" s="5" t="str">
        <f>INDEX(customer[عنوان],MATCH(Main[[#This Row],[کد ردیابی]],customer[کد],0))</f>
        <v>بهزادی فر اصغر</v>
      </c>
      <c r="H1789">
        <v>694</v>
      </c>
      <c r="I1789" s="6">
        <f ca="1">-Main[[#This Row],[بدهی تسویه شده (کیلوگرم)]]+Main[[#This Row],[بستانکار (کیلوگرم)]]</f>
        <v>694</v>
      </c>
      <c r="J1789" s="6">
        <f>IF(Main[[#This Row],[مقدار (کیلوگرم)]]&gt;0,Main[[#This Row],[مقدار (کیلوگرم)]],0)</f>
        <v>694</v>
      </c>
      <c r="K1789" s="6">
        <f>-IF(Main[[#This Row],[مقدار (کیلوگرم)]]&lt;0,Main[[#This Row],[مقدار (کیلوگرم)]],0)</f>
        <v>0</v>
      </c>
      <c r="L17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9" s="7">
        <f>-IF(AND(Main[[#This Row],[مقدار (کیلوگرم)]]&lt;0,Main[[#This Row],[تاريخ میلادی]]&gt;44276),Main[[#This Row],[مقدار (کیلوگرم)]],0)</f>
        <v>0</v>
      </c>
      <c r="N1789" s="6">
        <f ca="1">Main[[#This Row],[بدهکار (کیلوگرم)]]-Main[[#This Row],[بدهی تسویه نشده (کیلوگرم)]]</f>
        <v>0</v>
      </c>
      <c r="O1789" s="6">
        <f ca="1">Main[[#This Row],[تفکیک]]</f>
        <v>0</v>
      </c>
      <c r="P1789" s="6">
        <f ca="1">IF(Main[[#This Row],[تاخیر از سررسید]]&gt;0,Main[[#This Row],[بدهی تسویه نشده (کیلوگرم)]],0)</f>
        <v>0</v>
      </c>
      <c r="Q1789" s="6">
        <f ca="1">IF(Main[[#This Row],[بدهی تسویه نشده (کیلوگرم)]]&gt;0,'گزارش فردی'!$B$7-Main[[#This Row],[تاريخ میلادی]],0)</f>
        <v>0</v>
      </c>
      <c r="R1789" s="6">
        <f ca="1">IF(Main[[#This Row],[بدهی تسویه نشده (کیلوگرم)]]&gt;0,'گزارش فردی'!$B$7-Main[[#This Row],[تاريخ میلادی]]-'گزارش فردی'!$B$8,0)</f>
        <v>0</v>
      </c>
      <c r="S1789" s="6">
        <f ca="1">Main[[#This Row],[روز از ارسال سفارش]]*Main[[#This Row],[بدهی تسویه نشده (کیلوگرم)]]</f>
        <v>0</v>
      </c>
      <c r="T1789" s="6">
        <f ca="1">Main[[#This Row],[بدهی سررسید شده (کیلوگرم)]]*Main[[#This Row],[روز از ارسال سفارش]]</f>
        <v>0</v>
      </c>
      <c r="U1789" s="6">
        <f>-SUBTOTAL(9,INDEX(Main[مقدار (کیلوگرم)],1):Main[[#This Row],[مقدار (کیلوگرم)]])</f>
        <v>20855</v>
      </c>
      <c r="V1789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9" s="6">
        <f>Main[[#This Row],[تعداد کل روزهای بدهکار (روز)]]*Main[[#This Row],[مانده در خط کل (کیلوگرم)]]</f>
        <v>145985</v>
      </c>
      <c r="X1789" s="6">
        <f ca="1">-SUBTOTAL(9,INDEX(Main[مقدار تسویه شده (کیلوگرم)],1):Main[[#This Row],[مقدار تسویه شده (کیلوگرم)]])</f>
        <v>20855</v>
      </c>
      <c r="Y1789" s="6">
        <f ca="1">IF(Main[[#This Row],[مانده در خط تسویه شده (کیلوگرم)]]&lt;&gt;0,Main[[#This Row],[تعداد کل روزهای بدهکار (روز)]],0)</f>
        <v>7</v>
      </c>
      <c r="Z1789" s="6">
        <f ca="1">Main[[#This Row],[تعداد روزهای بدهکار تسویه شده (روز)]]*Main[[#This Row],[مانده در خط تسویه شده (کیلوگرم)]]</f>
        <v>145985</v>
      </c>
      <c r="AA1789" s="6">
        <f ca="1">SUBTOTAL(9,INDEX(Main[بدهی تسویه نشده (کیلوگرم)],1):Main[[#This Row],[بدهی تسویه نشده (کیلوگرم)]])</f>
        <v>0</v>
      </c>
      <c r="AB1789" s="6">
        <f ca="1">IF(Main[[#This Row],[مانده در خط تسویه نشده (کیلوگرم)]]&lt;&gt;0,Main[[#This Row],[تعداد کل روزهای بدهکار (روز)]],0)</f>
        <v>0</v>
      </c>
      <c r="AC1789" s="6">
        <f ca="1">Main[[#This Row],[تعداد روزهای بدهکار  تسویه نشده (روز)]]*Main[[#This Row],[مانده در خط تسویه نشده (کیلوگرم)]]</f>
        <v>0</v>
      </c>
      <c r="AD1789" s="6">
        <f ca="1">SUBTOTAL(9,INDEX(Main[بدهی سررسید شده (کیلوگرم)],1):Main[[#This Row],[بدهی سررسید شده (کیلوگرم)]])</f>
        <v>0</v>
      </c>
      <c r="AE1789" s="6">
        <f ca="1">IF(Main[[#This Row],[مانده در خط سررسید شده (کیلوگرم)]]&lt;&gt;0,Main[[#This Row],[تعداد کل روزهای بدهکار (روز)]],0)</f>
        <v>0</v>
      </c>
      <c r="AF1789" s="6">
        <f ca="1">Main[[#This Row],[تعداد روزهای بدهکار سررسید شده (روز)]]*Main[[#This Row],[مانده در خط سررسید شده (کیلوگرم)]]</f>
        <v>0</v>
      </c>
    </row>
    <row r="1790" spans="1:32" hidden="1" x14ac:dyDescent="0.35">
      <c r="A1790" s="5">
        <f>ROW()-ROW(INDEX(Main[ردیف],1))+1</f>
        <v>1788</v>
      </c>
      <c r="B1790" s="31">
        <f>SUBTOTAL(2,INDEX(Main[ردیف],1):Main[[#This Row],[ردیف]])</f>
        <v>161</v>
      </c>
      <c r="C1790" s="32" t="s">
        <v>721</v>
      </c>
      <c r="D1790" s="32" t="str">
        <f>_xlfn.CONCAT("14",Main[[#This Row],[تاريخ]])</f>
        <v>1400/07/14</v>
      </c>
      <c r="E1790" s="33">
        <v>44475</v>
      </c>
      <c r="F1790" s="32">
        <v>10084</v>
      </c>
      <c r="G1790" s="5" t="str">
        <f>INDEX(customer[عنوان],MATCH(Main[[#This Row],[کد ردیابی]],customer[کد],0))</f>
        <v xml:space="preserve">سیدحمید کاظمی </v>
      </c>
      <c r="H1790">
        <v>210</v>
      </c>
      <c r="I1790" s="6">
        <f ca="1">-Main[[#This Row],[بدهی تسویه شده (کیلوگرم)]]+Main[[#This Row],[بستانکار (کیلوگرم)]]</f>
        <v>210</v>
      </c>
      <c r="J1790" s="6">
        <f>IF(Main[[#This Row],[مقدار (کیلوگرم)]]&gt;0,Main[[#This Row],[مقدار (کیلوگرم)]],0)</f>
        <v>210</v>
      </c>
      <c r="K1790" s="6">
        <f>-IF(Main[[#This Row],[مقدار (کیلوگرم)]]&lt;0,Main[[#This Row],[مقدار (کیلوگرم)]],0)</f>
        <v>0</v>
      </c>
      <c r="L17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0" s="7">
        <f>-IF(AND(Main[[#This Row],[مقدار (کیلوگرم)]]&lt;0,Main[[#This Row],[تاريخ میلادی]]&gt;44276),Main[[#This Row],[مقدار (کیلوگرم)]],0)</f>
        <v>0</v>
      </c>
      <c r="N1790" s="6">
        <f ca="1">Main[[#This Row],[بدهکار (کیلوگرم)]]-Main[[#This Row],[بدهی تسویه نشده (کیلوگرم)]]</f>
        <v>0</v>
      </c>
      <c r="O1790" s="6">
        <f ca="1">Main[[#This Row],[تفکیک]]</f>
        <v>0</v>
      </c>
      <c r="P1790" s="6">
        <f ca="1">IF(Main[[#This Row],[تاخیر از سررسید]]&gt;0,Main[[#This Row],[بدهی تسویه نشده (کیلوگرم)]],0)</f>
        <v>0</v>
      </c>
      <c r="Q1790" s="6">
        <f ca="1">IF(Main[[#This Row],[بدهی تسویه نشده (کیلوگرم)]]&gt;0,'گزارش فردی'!$B$7-Main[[#This Row],[تاريخ میلادی]],0)</f>
        <v>0</v>
      </c>
      <c r="R1790" s="6">
        <f ca="1">IF(Main[[#This Row],[بدهی تسویه نشده (کیلوگرم)]]&gt;0,'گزارش فردی'!$B$7-Main[[#This Row],[تاريخ میلادی]]-'گزارش فردی'!$B$8,0)</f>
        <v>0</v>
      </c>
      <c r="S1790" s="6">
        <f ca="1">Main[[#This Row],[روز از ارسال سفارش]]*Main[[#This Row],[بدهی تسویه نشده (کیلوگرم)]]</f>
        <v>0</v>
      </c>
      <c r="T1790" s="6">
        <f ca="1">Main[[#This Row],[بدهی سررسید شده (کیلوگرم)]]*Main[[#This Row],[روز از ارسال سفارش]]</f>
        <v>0</v>
      </c>
      <c r="U1790" s="6">
        <f>-SUBTOTAL(9,INDEX(Main[مقدار (کیلوگرم)],1):Main[[#This Row],[مقدار (کیلوگرم)]])</f>
        <v>20855</v>
      </c>
      <c r="V1790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790" s="6">
        <f>Main[[#This Row],[تعداد کل روزهای بدهکار (روز)]]*Main[[#This Row],[مانده در خط کل (کیلوگرم)]]</f>
        <v>104275</v>
      </c>
      <c r="X1790" s="6">
        <f ca="1">-SUBTOTAL(9,INDEX(Main[مقدار تسویه شده (کیلوگرم)],1):Main[[#This Row],[مقدار تسویه شده (کیلوگرم)]])</f>
        <v>20855</v>
      </c>
      <c r="Y1790" s="6">
        <f ca="1">IF(Main[[#This Row],[مانده در خط تسویه شده (کیلوگرم)]]&lt;&gt;0,Main[[#This Row],[تعداد کل روزهای بدهکار (روز)]],0)</f>
        <v>5</v>
      </c>
      <c r="Z1790" s="6">
        <f ca="1">Main[[#This Row],[تعداد روزهای بدهکار تسویه شده (روز)]]*Main[[#This Row],[مانده در خط تسویه شده (کیلوگرم)]]</f>
        <v>104275</v>
      </c>
      <c r="AA1790" s="6">
        <f ca="1">SUBTOTAL(9,INDEX(Main[بدهی تسویه نشده (کیلوگرم)],1):Main[[#This Row],[بدهی تسویه نشده (کیلوگرم)]])</f>
        <v>0</v>
      </c>
      <c r="AB1790" s="6">
        <f ca="1">IF(Main[[#This Row],[مانده در خط تسویه نشده (کیلوگرم)]]&lt;&gt;0,Main[[#This Row],[تعداد کل روزهای بدهکار (روز)]],0)</f>
        <v>0</v>
      </c>
      <c r="AC1790" s="6">
        <f ca="1">Main[[#This Row],[تعداد روزهای بدهکار  تسویه نشده (روز)]]*Main[[#This Row],[مانده در خط تسویه نشده (کیلوگرم)]]</f>
        <v>0</v>
      </c>
      <c r="AD1790" s="6">
        <f ca="1">SUBTOTAL(9,INDEX(Main[بدهی سررسید شده (کیلوگرم)],1):Main[[#This Row],[بدهی سررسید شده (کیلوگرم)]])</f>
        <v>0</v>
      </c>
      <c r="AE1790" s="6">
        <f ca="1">IF(Main[[#This Row],[مانده در خط سررسید شده (کیلوگرم)]]&lt;&gt;0,Main[[#This Row],[تعداد کل روزهای بدهکار (روز)]],0)</f>
        <v>0</v>
      </c>
      <c r="AF1790" s="6">
        <f ca="1">Main[[#This Row],[تعداد روزهای بدهکار سررسید شده (روز)]]*Main[[#This Row],[مانده در خط سررسید شده (کیلوگرم)]]</f>
        <v>0</v>
      </c>
    </row>
    <row r="1791" spans="1:32" hidden="1" x14ac:dyDescent="0.35">
      <c r="A1791" s="5">
        <f>ROW()-ROW(INDEX(Main[ردیف],1))+1</f>
        <v>1789</v>
      </c>
      <c r="B1791" s="31">
        <f>SUBTOTAL(2,INDEX(Main[ردیف],1):Main[[#This Row],[ردیف]])</f>
        <v>161</v>
      </c>
      <c r="C1791" s="32" t="s">
        <v>721</v>
      </c>
      <c r="D1791" s="32" t="str">
        <f>_xlfn.CONCAT("14",Main[[#This Row],[تاريخ]])</f>
        <v>1400/07/14</v>
      </c>
      <c r="E1791" s="33">
        <v>44475</v>
      </c>
      <c r="F1791" s="32">
        <v>30191</v>
      </c>
      <c r="G1791" s="5" t="str">
        <f>INDEX(customer[عنوان],MATCH(Main[[#This Row],[کد ردیابی]],customer[کد],0))</f>
        <v>ایران گرما</v>
      </c>
      <c r="H1791">
        <v>933</v>
      </c>
      <c r="I1791" s="6">
        <f ca="1">-Main[[#This Row],[بدهی تسویه شده (کیلوگرم)]]+Main[[#This Row],[بستانکار (کیلوگرم)]]</f>
        <v>933</v>
      </c>
      <c r="J1791" s="6">
        <f>IF(Main[[#This Row],[مقدار (کیلوگرم)]]&gt;0,Main[[#This Row],[مقدار (کیلوگرم)]],0)</f>
        <v>933</v>
      </c>
      <c r="K1791" s="6">
        <f>-IF(Main[[#This Row],[مقدار (کیلوگرم)]]&lt;0,Main[[#This Row],[مقدار (کیلوگرم)]],0)</f>
        <v>0</v>
      </c>
      <c r="L17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1" s="7">
        <f>-IF(AND(Main[[#This Row],[مقدار (کیلوگرم)]]&lt;0,Main[[#This Row],[تاريخ میلادی]]&gt;44276),Main[[#This Row],[مقدار (کیلوگرم)]],0)</f>
        <v>0</v>
      </c>
      <c r="N1791" s="6">
        <f ca="1">Main[[#This Row],[بدهکار (کیلوگرم)]]-Main[[#This Row],[بدهی تسویه نشده (کیلوگرم)]]</f>
        <v>0</v>
      </c>
      <c r="O1791" s="6">
        <f ca="1">Main[[#This Row],[تفکیک]]</f>
        <v>0</v>
      </c>
      <c r="P1791" s="6">
        <f ca="1">IF(Main[[#This Row],[تاخیر از سررسید]]&gt;0,Main[[#This Row],[بدهی تسویه نشده (کیلوگرم)]],0)</f>
        <v>0</v>
      </c>
      <c r="Q1791" s="6">
        <f ca="1">IF(Main[[#This Row],[بدهی تسویه نشده (کیلوگرم)]]&gt;0,'گزارش فردی'!$B$7-Main[[#This Row],[تاريخ میلادی]],0)</f>
        <v>0</v>
      </c>
      <c r="R1791" s="6">
        <f ca="1">IF(Main[[#This Row],[بدهی تسویه نشده (کیلوگرم)]]&gt;0,'گزارش فردی'!$B$7-Main[[#This Row],[تاريخ میلادی]]-'گزارش فردی'!$B$8,0)</f>
        <v>0</v>
      </c>
      <c r="S1791" s="6">
        <f ca="1">Main[[#This Row],[روز از ارسال سفارش]]*Main[[#This Row],[بدهی تسویه نشده (کیلوگرم)]]</f>
        <v>0</v>
      </c>
      <c r="T1791" s="6">
        <f ca="1">Main[[#This Row],[بدهی سررسید شده (کیلوگرم)]]*Main[[#This Row],[روز از ارسال سفارش]]</f>
        <v>0</v>
      </c>
      <c r="U1791" s="6">
        <f>-SUBTOTAL(9,INDEX(Main[مقدار (کیلوگرم)],1):Main[[#This Row],[مقدار (کیلوگرم)]])</f>
        <v>20855</v>
      </c>
      <c r="V1791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791" s="6">
        <f>Main[[#This Row],[تعداد کل روزهای بدهکار (روز)]]*Main[[#This Row],[مانده در خط کل (کیلوگرم)]]</f>
        <v>104275</v>
      </c>
      <c r="X1791" s="6">
        <f ca="1">-SUBTOTAL(9,INDEX(Main[مقدار تسویه شده (کیلوگرم)],1):Main[[#This Row],[مقدار تسویه شده (کیلوگرم)]])</f>
        <v>20855</v>
      </c>
      <c r="Y1791" s="6">
        <f ca="1">IF(Main[[#This Row],[مانده در خط تسویه شده (کیلوگرم)]]&lt;&gt;0,Main[[#This Row],[تعداد کل روزهای بدهکار (روز)]],0)</f>
        <v>5</v>
      </c>
      <c r="Z1791" s="6">
        <f ca="1">Main[[#This Row],[تعداد روزهای بدهکار تسویه شده (روز)]]*Main[[#This Row],[مانده در خط تسویه شده (کیلوگرم)]]</f>
        <v>104275</v>
      </c>
      <c r="AA1791" s="6">
        <f ca="1">SUBTOTAL(9,INDEX(Main[بدهی تسویه نشده (کیلوگرم)],1):Main[[#This Row],[بدهی تسویه نشده (کیلوگرم)]])</f>
        <v>0</v>
      </c>
      <c r="AB1791" s="6">
        <f ca="1">IF(Main[[#This Row],[مانده در خط تسویه نشده (کیلوگرم)]]&lt;&gt;0,Main[[#This Row],[تعداد کل روزهای بدهکار (روز)]],0)</f>
        <v>0</v>
      </c>
      <c r="AC1791" s="6">
        <f ca="1">Main[[#This Row],[تعداد روزهای بدهکار  تسویه نشده (روز)]]*Main[[#This Row],[مانده در خط تسویه نشده (کیلوگرم)]]</f>
        <v>0</v>
      </c>
      <c r="AD1791" s="6">
        <f ca="1">SUBTOTAL(9,INDEX(Main[بدهی سررسید شده (کیلوگرم)],1):Main[[#This Row],[بدهی سررسید شده (کیلوگرم)]])</f>
        <v>0</v>
      </c>
      <c r="AE1791" s="6">
        <f ca="1">IF(Main[[#This Row],[مانده در خط سررسید شده (کیلوگرم)]]&lt;&gt;0,Main[[#This Row],[تعداد کل روزهای بدهکار (روز)]],0)</f>
        <v>0</v>
      </c>
      <c r="AF1791" s="6">
        <f ca="1">Main[[#This Row],[تعداد روزهای بدهکار سررسید شده (روز)]]*Main[[#This Row],[مانده در خط سررسید شده (کیلوگرم)]]</f>
        <v>0</v>
      </c>
    </row>
    <row r="1792" spans="1:32" hidden="1" x14ac:dyDescent="0.35">
      <c r="A1792" s="5">
        <f>ROW()-ROW(INDEX(Main[ردیف],1))+1</f>
        <v>1790</v>
      </c>
      <c r="B1792" s="31">
        <f>SUBTOTAL(2,INDEX(Main[ردیف],1):Main[[#This Row],[ردیف]])</f>
        <v>161</v>
      </c>
      <c r="C1792" s="32" t="s">
        <v>722</v>
      </c>
      <c r="D1792" s="32" t="str">
        <f>_xlfn.CONCAT("14",Main[[#This Row],[تاريخ]])</f>
        <v>1400/07/17</v>
      </c>
      <c r="E1792" s="33">
        <v>44478</v>
      </c>
      <c r="F1792" s="32">
        <v>10127</v>
      </c>
      <c r="G1792" s="5" t="str">
        <f>INDEX(customer[عنوان],MATCH(Main[[#This Row],[کد ردیابی]],customer[کد],0))</f>
        <v xml:space="preserve">عماد هاشمی </v>
      </c>
      <c r="H1792">
        <v>-2026</v>
      </c>
      <c r="I1792" s="6">
        <f ca="1">-Main[[#This Row],[بدهی تسویه شده (کیلوگرم)]]+Main[[#This Row],[بستانکار (کیلوگرم)]]</f>
        <v>-2026</v>
      </c>
      <c r="J1792" s="6">
        <f>IF(Main[[#This Row],[مقدار (کیلوگرم)]]&gt;0,Main[[#This Row],[مقدار (کیلوگرم)]],0)</f>
        <v>0</v>
      </c>
      <c r="K1792" s="6">
        <f>-IF(Main[[#This Row],[مقدار (کیلوگرم)]]&lt;0,Main[[#This Row],[مقدار (کیلوگرم)]],0)</f>
        <v>2026</v>
      </c>
      <c r="L17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2" s="7">
        <f>-IF(AND(Main[[#This Row],[مقدار (کیلوگرم)]]&lt;0,Main[[#This Row],[تاريخ میلادی]]&gt;44276),Main[[#This Row],[مقدار (کیلوگرم)]],0)</f>
        <v>2026</v>
      </c>
      <c r="N1792" s="6">
        <f ca="1">Main[[#This Row],[بدهکار (کیلوگرم)]]-Main[[#This Row],[بدهی تسویه نشده (کیلوگرم)]]</f>
        <v>2026</v>
      </c>
      <c r="O1792" s="6">
        <f ca="1">Main[[#This Row],[تفکیک]]</f>
        <v>0</v>
      </c>
      <c r="P1792" s="6">
        <f ca="1">IF(Main[[#This Row],[تاخیر از سررسید]]&gt;0,Main[[#This Row],[بدهی تسویه نشده (کیلوگرم)]],0)</f>
        <v>0</v>
      </c>
      <c r="Q1792" s="6">
        <f ca="1">IF(Main[[#This Row],[بدهی تسویه نشده (کیلوگرم)]]&gt;0,'گزارش فردی'!$B$7-Main[[#This Row],[تاريخ میلادی]],0)</f>
        <v>0</v>
      </c>
      <c r="R1792" s="6">
        <f ca="1">IF(Main[[#This Row],[بدهی تسویه نشده (کیلوگرم)]]&gt;0,'گزارش فردی'!$B$7-Main[[#This Row],[تاريخ میلادی]]-'گزارش فردی'!$B$8,0)</f>
        <v>0</v>
      </c>
      <c r="S1792" s="6">
        <f ca="1">Main[[#This Row],[روز از ارسال سفارش]]*Main[[#This Row],[بدهی تسویه نشده (کیلوگرم)]]</f>
        <v>0</v>
      </c>
      <c r="T1792" s="6">
        <f ca="1">Main[[#This Row],[بدهی سررسید شده (کیلوگرم)]]*Main[[#This Row],[روز از ارسال سفارش]]</f>
        <v>0</v>
      </c>
      <c r="U1792" s="6">
        <f>-SUBTOTAL(9,INDEX(Main[مقدار (کیلوگرم)],1):Main[[#This Row],[مقدار (کیلوگرم)]])</f>
        <v>20855</v>
      </c>
      <c r="V17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2" s="6">
        <f>Main[[#This Row],[تعداد کل روزهای بدهکار (روز)]]*Main[[#This Row],[مانده در خط کل (کیلوگرم)]]</f>
        <v>41710</v>
      </c>
      <c r="X1792" s="6">
        <f ca="1">-SUBTOTAL(9,INDEX(Main[مقدار تسویه شده (کیلوگرم)],1):Main[[#This Row],[مقدار تسویه شده (کیلوگرم)]])</f>
        <v>20855</v>
      </c>
      <c r="Y1792" s="6">
        <f ca="1">IF(Main[[#This Row],[مانده در خط تسویه شده (کیلوگرم)]]&lt;&gt;0,Main[[#This Row],[تعداد کل روزهای بدهکار (روز)]],0)</f>
        <v>2</v>
      </c>
      <c r="Z1792" s="6">
        <f ca="1">Main[[#This Row],[تعداد روزهای بدهکار تسویه شده (روز)]]*Main[[#This Row],[مانده در خط تسویه شده (کیلوگرم)]]</f>
        <v>41710</v>
      </c>
      <c r="AA1792" s="6">
        <f ca="1">SUBTOTAL(9,INDEX(Main[بدهی تسویه نشده (کیلوگرم)],1):Main[[#This Row],[بدهی تسویه نشده (کیلوگرم)]])</f>
        <v>0</v>
      </c>
      <c r="AB1792" s="6">
        <f ca="1">IF(Main[[#This Row],[مانده در خط تسویه نشده (کیلوگرم)]]&lt;&gt;0,Main[[#This Row],[تعداد کل روزهای بدهکار (روز)]],0)</f>
        <v>0</v>
      </c>
      <c r="AC1792" s="6">
        <f ca="1">Main[[#This Row],[تعداد روزهای بدهکار  تسویه نشده (روز)]]*Main[[#This Row],[مانده در خط تسویه نشده (کیلوگرم)]]</f>
        <v>0</v>
      </c>
      <c r="AD1792" s="6">
        <f ca="1">SUBTOTAL(9,INDEX(Main[بدهی سررسید شده (کیلوگرم)],1):Main[[#This Row],[بدهی سررسید شده (کیلوگرم)]])</f>
        <v>0</v>
      </c>
      <c r="AE1792" s="6">
        <f ca="1">IF(Main[[#This Row],[مانده در خط سررسید شده (کیلوگرم)]]&lt;&gt;0,Main[[#This Row],[تعداد کل روزهای بدهکار (روز)]],0)</f>
        <v>0</v>
      </c>
      <c r="AF1792" s="6">
        <f ca="1">Main[[#This Row],[تعداد روزهای بدهکار سررسید شده (روز)]]*Main[[#This Row],[مانده در خط سررسید شده (کیلوگرم)]]</f>
        <v>0</v>
      </c>
    </row>
    <row r="1793" spans="1:32" hidden="1" x14ac:dyDescent="0.35">
      <c r="A1793" s="5">
        <f>ROW()-ROW(INDEX(Main[ردیف],1))+1</f>
        <v>1791</v>
      </c>
      <c r="B1793" s="31">
        <f>SUBTOTAL(2,INDEX(Main[ردیف],1):Main[[#This Row],[ردیف]])</f>
        <v>161</v>
      </c>
      <c r="C1793" s="32" t="s">
        <v>722</v>
      </c>
      <c r="D1793" s="32" t="str">
        <f>_xlfn.CONCAT("14",Main[[#This Row],[تاريخ]])</f>
        <v>1400/07/17</v>
      </c>
      <c r="E1793" s="33">
        <v>44478</v>
      </c>
      <c r="F1793" s="32">
        <v>10020</v>
      </c>
      <c r="G1793" s="5" t="str">
        <f>INDEX(customer[عنوان],MATCH(Main[[#This Row],[کد ردیابی]],customer[کد],0))</f>
        <v>فرزاد اسماعیل زاده</v>
      </c>
      <c r="H1793">
        <v>358</v>
      </c>
      <c r="I1793" s="6">
        <f ca="1">-Main[[#This Row],[بدهی تسویه شده (کیلوگرم)]]+Main[[#This Row],[بستانکار (کیلوگرم)]]</f>
        <v>358</v>
      </c>
      <c r="J1793" s="6">
        <f>IF(Main[[#This Row],[مقدار (کیلوگرم)]]&gt;0,Main[[#This Row],[مقدار (کیلوگرم)]],0)</f>
        <v>358</v>
      </c>
      <c r="K1793" s="6">
        <f>-IF(Main[[#This Row],[مقدار (کیلوگرم)]]&lt;0,Main[[#This Row],[مقدار (کیلوگرم)]],0)</f>
        <v>0</v>
      </c>
      <c r="L17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3" s="7">
        <f>-IF(AND(Main[[#This Row],[مقدار (کیلوگرم)]]&lt;0,Main[[#This Row],[تاريخ میلادی]]&gt;44276),Main[[#This Row],[مقدار (کیلوگرم)]],0)</f>
        <v>0</v>
      </c>
      <c r="N1793" s="6">
        <f ca="1">Main[[#This Row],[بدهکار (کیلوگرم)]]-Main[[#This Row],[بدهی تسویه نشده (کیلوگرم)]]</f>
        <v>0</v>
      </c>
      <c r="O1793" s="6">
        <f ca="1">Main[[#This Row],[تفکیک]]</f>
        <v>0</v>
      </c>
      <c r="P1793" s="6">
        <f ca="1">IF(Main[[#This Row],[تاخیر از سررسید]]&gt;0,Main[[#This Row],[بدهی تسویه نشده (کیلوگرم)]],0)</f>
        <v>0</v>
      </c>
      <c r="Q1793" s="6">
        <f ca="1">IF(Main[[#This Row],[بدهی تسویه نشده (کیلوگرم)]]&gt;0,'گزارش فردی'!$B$7-Main[[#This Row],[تاريخ میلادی]],0)</f>
        <v>0</v>
      </c>
      <c r="R1793" s="6">
        <f ca="1">IF(Main[[#This Row],[بدهی تسویه نشده (کیلوگرم)]]&gt;0,'گزارش فردی'!$B$7-Main[[#This Row],[تاريخ میلادی]]-'گزارش فردی'!$B$8,0)</f>
        <v>0</v>
      </c>
      <c r="S1793" s="6">
        <f ca="1">Main[[#This Row],[روز از ارسال سفارش]]*Main[[#This Row],[بدهی تسویه نشده (کیلوگرم)]]</f>
        <v>0</v>
      </c>
      <c r="T1793" s="6">
        <f ca="1">Main[[#This Row],[بدهی سررسید شده (کیلوگرم)]]*Main[[#This Row],[روز از ارسال سفارش]]</f>
        <v>0</v>
      </c>
      <c r="U1793" s="6">
        <f>-SUBTOTAL(9,INDEX(Main[مقدار (کیلوگرم)],1):Main[[#This Row],[مقدار (کیلوگرم)]])</f>
        <v>20855</v>
      </c>
      <c r="V17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3" s="6">
        <f>Main[[#This Row],[تعداد کل روزهای بدهکار (روز)]]*Main[[#This Row],[مانده در خط کل (کیلوگرم)]]</f>
        <v>41710</v>
      </c>
      <c r="X1793" s="6">
        <f ca="1">-SUBTOTAL(9,INDEX(Main[مقدار تسویه شده (کیلوگرم)],1):Main[[#This Row],[مقدار تسویه شده (کیلوگرم)]])</f>
        <v>20855</v>
      </c>
      <c r="Y1793" s="6">
        <f ca="1">IF(Main[[#This Row],[مانده در خط تسویه شده (کیلوگرم)]]&lt;&gt;0,Main[[#This Row],[تعداد کل روزهای بدهکار (روز)]],0)</f>
        <v>2</v>
      </c>
      <c r="Z1793" s="6">
        <f ca="1">Main[[#This Row],[تعداد روزهای بدهکار تسویه شده (روز)]]*Main[[#This Row],[مانده در خط تسویه شده (کیلوگرم)]]</f>
        <v>41710</v>
      </c>
      <c r="AA1793" s="6">
        <f ca="1">SUBTOTAL(9,INDEX(Main[بدهی تسویه نشده (کیلوگرم)],1):Main[[#This Row],[بدهی تسویه نشده (کیلوگرم)]])</f>
        <v>0</v>
      </c>
      <c r="AB1793" s="6">
        <f ca="1">IF(Main[[#This Row],[مانده در خط تسویه نشده (کیلوگرم)]]&lt;&gt;0,Main[[#This Row],[تعداد کل روزهای بدهکار (روز)]],0)</f>
        <v>0</v>
      </c>
      <c r="AC1793" s="6">
        <f ca="1">Main[[#This Row],[تعداد روزهای بدهکار  تسویه نشده (روز)]]*Main[[#This Row],[مانده در خط تسویه نشده (کیلوگرم)]]</f>
        <v>0</v>
      </c>
      <c r="AD1793" s="6">
        <f ca="1">SUBTOTAL(9,INDEX(Main[بدهی سررسید شده (کیلوگرم)],1):Main[[#This Row],[بدهی سررسید شده (کیلوگرم)]])</f>
        <v>0</v>
      </c>
      <c r="AE1793" s="6">
        <f ca="1">IF(Main[[#This Row],[مانده در خط سررسید شده (کیلوگرم)]]&lt;&gt;0,Main[[#This Row],[تعداد کل روزهای بدهکار (روز)]],0)</f>
        <v>0</v>
      </c>
      <c r="AF1793" s="6">
        <f ca="1">Main[[#This Row],[تعداد روزهای بدهکار سررسید شده (روز)]]*Main[[#This Row],[مانده در خط سررسید شده (کیلوگرم)]]</f>
        <v>0</v>
      </c>
    </row>
    <row r="1794" spans="1:32" hidden="1" x14ac:dyDescent="0.35">
      <c r="A1794" s="5">
        <f>ROW()-ROW(INDEX(Main[ردیف],1))+1</f>
        <v>1792</v>
      </c>
      <c r="B1794" s="31">
        <f>SUBTOTAL(2,INDEX(Main[ردیف],1):Main[[#This Row],[ردیف]])</f>
        <v>161</v>
      </c>
      <c r="C1794" s="32" t="s">
        <v>722</v>
      </c>
      <c r="D1794" s="32" t="str">
        <f>_xlfn.CONCAT("14",Main[[#This Row],[تاريخ]])</f>
        <v>1400/07/17</v>
      </c>
      <c r="E1794" s="33">
        <v>44478</v>
      </c>
      <c r="F1794" s="32">
        <v>30009</v>
      </c>
      <c r="G1794" s="5" t="str">
        <f>INDEX(customer[عنوان],MATCH(Main[[#This Row],[کد ردیابی]],customer[کد],0))</f>
        <v>شرکت ایمن تک پیشرو</v>
      </c>
      <c r="H1794">
        <v>-2019</v>
      </c>
      <c r="I1794" s="6">
        <f ca="1">-Main[[#This Row],[بدهی تسویه شده (کیلوگرم)]]+Main[[#This Row],[بستانکار (کیلوگرم)]]</f>
        <v>-2019</v>
      </c>
      <c r="J1794" s="6">
        <f>IF(Main[[#This Row],[مقدار (کیلوگرم)]]&gt;0,Main[[#This Row],[مقدار (کیلوگرم)]],0)</f>
        <v>0</v>
      </c>
      <c r="K1794" s="6">
        <f>-IF(Main[[#This Row],[مقدار (کیلوگرم)]]&lt;0,Main[[#This Row],[مقدار (کیلوگرم)]],0)</f>
        <v>2019</v>
      </c>
      <c r="L17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4" s="7">
        <f>-IF(AND(Main[[#This Row],[مقدار (کیلوگرم)]]&lt;0,Main[[#This Row],[تاريخ میلادی]]&gt;44276),Main[[#This Row],[مقدار (کیلوگرم)]],0)</f>
        <v>2019</v>
      </c>
      <c r="N1794" s="6">
        <f ca="1">Main[[#This Row],[بدهکار (کیلوگرم)]]-Main[[#This Row],[بدهی تسویه نشده (کیلوگرم)]]</f>
        <v>2019</v>
      </c>
      <c r="O1794" s="6">
        <f ca="1">Main[[#This Row],[تفکیک]]</f>
        <v>0</v>
      </c>
      <c r="P1794" s="6">
        <f ca="1">IF(Main[[#This Row],[تاخیر از سررسید]]&gt;0,Main[[#This Row],[بدهی تسویه نشده (کیلوگرم)]],0)</f>
        <v>0</v>
      </c>
      <c r="Q1794" s="6">
        <f ca="1">IF(Main[[#This Row],[بدهی تسویه نشده (کیلوگرم)]]&gt;0,'گزارش فردی'!$B$7-Main[[#This Row],[تاريخ میلادی]],0)</f>
        <v>0</v>
      </c>
      <c r="R1794" s="6">
        <f ca="1">IF(Main[[#This Row],[بدهی تسویه نشده (کیلوگرم)]]&gt;0,'گزارش فردی'!$B$7-Main[[#This Row],[تاريخ میلادی]]-'گزارش فردی'!$B$8,0)</f>
        <v>0</v>
      </c>
      <c r="S1794" s="6">
        <f ca="1">Main[[#This Row],[روز از ارسال سفارش]]*Main[[#This Row],[بدهی تسویه نشده (کیلوگرم)]]</f>
        <v>0</v>
      </c>
      <c r="T1794" s="6">
        <f ca="1">Main[[#This Row],[بدهی سررسید شده (کیلوگرم)]]*Main[[#This Row],[روز از ارسال سفارش]]</f>
        <v>0</v>
      </c>
      <c r="U1794" s="6">
        <f>-SUBTOTAL(9,INDEX(Main[مقدار (کیلوگرم)],1):Main[[#This Row],[مقدار (کیلوگرم)]])</f>
        <v>20855</v>
      </c>
      <c r="V179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4" s="6">
        <f>Main[[#This Row],[تعداد کل روزهای بدهکار (روز)]]*Main[[#This Row],[مانده در خط کل (کیلوگرم)]]</f>
        <v>41710</v>
      </c>
      <c r="X1794" s="6">
        <f ca="1">-SUBTOTAL(9,INDEX(Main[مقدار تسویه شده (کیلوگرم)],1):Main[[#This Row],[مقدار تسویه شده (کیلوگرم)]])</f>
        <v>20855</v>
      </c>
      <c r="Y1794" s="6">
        <f ca="1">IF(Main[[#This Row],[مانده در خط تسویه شده (کیلوگرم)]]&lt;&gt;0,Main[[#This Row],[تعداد کل روزهای بدهکار (روز)]],0)</f>
        <v>2</v>
      </c>
      <c r="Z1794" s="6">
        <f ca="1">Main[[#This Row],[تعداد روزهای بدهکار تسویه شده (روز)]]*Main[[#This Row],[مانده در خط تسویه شده (کیلوگرم)]]</f>
        <v>41710</v>
      </c>
      <c r="AA1794" s="6">
        <f ca="1">SUBTOTAL(9,INDEX(Main[بدهی تسویه نشده (کیلوگرم)],1):Main[[#This Row],[بدهی تسویه نشده (کیلوگرم)]])</f>
        <v>0</v>
      </c>
      <c r="AB1794" s="6">
        <f ca="1">IF(Main[[#This Row],[مانده در خط تسویه نشده (کیلوگرم)]]&lt;&gt;0,Main[[#This Row],[تعداد کل روزهای بدهکار (روز)]],0)</f>
        <v>0</v>
      </c>
      <c r="AC1794" s="6">
        <f ca="1">Main[[#This Row],[تعداد روزهای بدهکار  تسویه نشده (روز)]]*Main[[#This Row],[مانده در خط تسویه نشده (کیلوگرم)]]</f>
        <v>0</v>
      </c>
      <c r="AD1794" s="6">
        <f ca="1">SUBTOTAL(9,INDEX(Main[بدهی سررسید شده (کیلوگرم)],1):Main[[#This Row],[بدهی سررسید شده (کیلوگرم)]])</f>
        <v>0</v>
      </c>
      <c r="AE1794" s="6">
        <f ca="1">IF(Main[[#This Row],[مانده در خط سررسید شده (کیلوگرم)]]&lt;&gt;0,Main[[#This Row],[تعداد کل روزهای بدهکار (روز)]],0)</f>
        <v>0</v>
      </c>
      <c r="AF1794" s="6">
        <f ca="1">Main[[#This Row],[تعداد روزهای بدهکار سررسید شده (روز)]]*Main[[#This Row],[مانده در خط سررسید شده (کیلوگرم)]]</f>
        <v>0</v>
      </c>
    </row>
    <row r="1795" spans="1:32" hidden="1" x14ac:dyDescent="0.35">
      <c r="A1795" s="5">
        <f>ROW()-ROW(INDEX(Main[ردیف],1))+1</f>
        <v>1793</v>
      </c>
      <c r="B1795" s="31">
        <f>SUBTOTAL(2,INDEX(Main[ردیف],1):Main[[#This Row],[ردیف]])</f>
        <v>161</v>
      </c>
      <c r="C1795" s="32" t="s">
        <v>722</v>
      </c>
      <c r="D1795" s="32" t="str">
        <f>_xlfn.CONCAT("14",Main[[#This Row],[تاريخ]])</f>
        <v>1400/07/17</v>
      </c>
      <c r="E1795" s="33">
        <v>44478</v>
      </c>
      <c r="F1795" s="32">
        <v>10127</v>
      </c>
      <c r="G1795" s="5" t="str">
        <f>INDEX(customer[عنوان],MATCH(Main[[#This Row],[کد ردیابی]],customer[کد],0))</f>
        <v xml:space="preserve">عماد هاشمی </v>
      </c>
      <c r="H1795">
        <v>2104</v>
      </c>
      <c r="I1795" s="6">
        <f ca="1">-Main[[#This Row],[بدهی تسویه شده (کیلوگرم)]]+Main[[#This Row],[بستانکار (کیلوگرم)]]</f>
        <v>2104</v>
      </c>
      <c r="J1795" s="6">
        <f>IF(Main[[#This Row],[مقدار (کیلوگرم)]]&gt;0,Main[[#This Row],[مقدار (کیلوگرم)]],0)</f>
        <v>2104</v>
      </c>
      <c r="K1795" s="6">
        <f>-IF(Main[[#This Row],[مقدار (کیلوگرم)]]&lt;0,Main[[#This Row],[مقدار (کیلوگرم)]],0)</f>
        <v>0</v>
      </c>
      <c r="L17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5" s="7">
        <f>-IF(AND(Main[[#This Row],[مقدار (کیلوگرم)]]&lt;0,Main[[#This Row],[تاريخ میلادی]]&gt;44276),Main[[#This Row],[مقدار (کیلوگرم)]],0)</f>
        <v>0</v>
      </c>
      <c r="N1795" s="6">
        <f ca="1">Main[[#This Row],[بدهکار (کیلوگرم)]]-Main[[#This Row],[بدهی تسویه نشده (کیلوگرم)]]</f>
        <v>0</v>
      </c>
      <c r="O1795" s="6">
        <f ca="1">Main[[#This Row],[تفکیک]]</f>
        <v>0</v>
      </c>
      <c r="P1795" s="6">
        <f ca="1">IF(Main[[#This Row],[تاخیر از سررسید]]&gt;0,Main[[#This Row],[بدهی تسویه نشده (کیلوگرم)]],0)</f>
        <v>0</v>
      </c>
      <c r="Q1795" s="6">
        <f ca="1">IF(Main[[#This Row],[بدهی تسویه نشده (کیلوگرم)]]&gt;0,'گزارش فردی'!$B$7-Main[[#This Row],[تاريخ میلادی]],0)</f>
        <v>0</v>
      </c>
      <c r="R1795" s="6">
        <f ca="1">IF(Main[[#This Row],[بدهی تسویه نشده (کیلوگرم)]]&gt;0,'گزارش فردی'!$B$7-Main[[#This Row],[تاريخ میلادی]]-'گزارش فردی'!$B$8,0)</f>
        <v>0</v>
      </c>
      <c r="S1795" s="6">
        <f ca="1">Main[[#This Row],[روز از ارسال سفارش]]*Main[[#This Row],[بدهی تسویه نشده (کیلوگرم)]]</f>
        <v>0</v>
      </c>
      <c r="T1795" s="6">
        <f ca="1">Main[[#This Row],[بدهی سررسید شده (کیلوگرم)]]*Main[[#This Row],[روز از ارسال سفارش]]</f>
        <v>0</v>
      </c>
      <c r="U1795" s="6">
        <f>-SUBTOTAL(9,INDEX(Main[مقدار (کیلوگرم)],1):Main[[#This Row],[مقدار (کیلوگرم)]])</f>
        <v>20855</v>
      </c>
      <c r="V179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5" s="6">
        <f>Main[[#This Row],[تعداد کل روزهای بدهکار (روز)]]*Main[[#This Row],[مانده در خط کل (کیلوگرم)]]</f>
        <v>41710</v>
      </c>
      <c r="X1795" s="6">
        <f ca="1">-SUBTOTAL(9,INDEX(Main[مقدار تسویه شده (کیلوگرم)],1):Main[[#This Row],[مقدار تسویه شده (کیلوگرم)]])</f>
        <v>20855</v>
      </c>
      <c r="Y1795" s="6">
        <f ca="1">IF(Main[[#This Row],[مانده در خط تسویه شده (کیلوگرم)]]&lt;&gt;0,Main[[#This Row],[تعداد کل روزهای بدهکار (روز)]],0)</f>
        <v>2</v>
      </c>
      <c r="Z1795" s="6">
        <f ca="1">Main[[#This Row],[تعداد روزهای بدهکار تسویه شده (روز)]]*Main[[#This Row],[مانده در خط تسویه شده (کیلوگرم)]]</f>
        <v>41710</v>
      </c>
      <c r="AA1795" s="6">
        <f ca="1">SUBTOTAL(9,INDEX(Main[بدهی تسویه نشده (کیلوگرم)],1):Main[[#This Row],[بدهی تسویه نشده (کیلوگرم)]])</f>
        <v>0</v>
      </c>
      <c r="AB1795" s="6">
        <f ca="1">IF(Main[[#This Row],[مانده در خط تسویه نشده (کیلوگرم)]]&lt;&gt;0,Main[[#This Row],[تعداد کل روزهای بدهکار (روز)]],0)</f>
        <v>0</v>
      </c>
      <c r="AC1795" s="6">
        <f ca="1">Main[[#This Row],[تعداد روزهای بدهکار  تسویه نشده (روز)]]*Main[[#This Row],[مانده در خط تسویه نشده (کیلوگرم)]]</f>
        <v>0</v>
      </c>
      <c r="AD1795" s="6">
        <f ca="1">SUBTOTAL(9,INDEX(Main[بدهی سررسید شده (کیلوگرم)],1):Main[[#This Row],[بدهی سررسید شده (کیلوگرم)]])</f>
        <v>0</v>
      </c>
      <c r="AE1795" s="6">
        <f ca="1">IF(Main[[#This Row],[مانده در خط سررسید شده (کیلوگرم)]]&lt;&gt;0,Main[[#This Row],[تعداد کل روزهای بدهکار (روز)]],0)</f>
        <v>0</v>
      </c>
      <c r="AF1795" s="6">
        <f ca="1">Main[[#This Row],[تعداد روزهای بدهکار سررسید شده (روز)]]*Main[[#This Row],[مانده در خط سررسید شده (کیلوگرم)]]</f>
        <v>0</v>
      </c>
    </row>
    <row r="1796" spans="1:32" hidden="1" x14ac:dyDescent="0.35">
      <c r="A1796" s="5">
        <f>ROW()-ROW(INDEX(Main[ردیف],1))+1</f>
        <v>1794</v>
      </c>
      <c r="B1796" s="31">
        <f>SUBTOTAL(2,INDEX(Main[ردیف],1):Main[[#This Row],[ردیف]])</f>
        <v>161</v>
      </c>
      <c r="C1796" s="32" t="s">
        <v>722</v>
      </c>
      <c r="D1796" s="32" t="str">
        <f>_xlfn.CONCAT("14",Main[[#This Row],[تاريخ]])</f>
        <v>1400/07/17</v>
      </c>
      <c r="E1796" s="33">
        <v>44478</v>
      </c>
      <c r="F1796" s="32">
        <v>10029</v>
      </c>
      <c r="G1796" s="5" t="str">
        <f>INDEX(customer[عنوان],MATCH(Main[[#This Row],[کد ردیابی]],customer[کد],0))</f>
        <v>رضا شریعتی</v>
      </c>
      <c r="H1796">
        <v>-487</v>
      </c>
      <c r="I1796" s="6">
        <f ca="1">-Main[[#This Row],[بدهی تسویه شده (کیلوگرم)]]+Main[[#This Row],[بستانکار (کیلوگرم)]]</f>
        <v>-487</v>
      </c>
      <c r="J1796" s="6">
        <f>IF(Main[[#This Row],[مقدار (کیلوگرم)]]&gt;0,Main[[#This Row],[مقدار (کیلوگرم)]],0)</f>
        <v>0</v>
      </c>
      <c r="K1796" s="6">
        <f>-IF(Main[[#This Row],[مقدار (کیلوگرم)]]&lt;0,Main[[#This Row],[مقدار (کیلوگرم)]],0)</f>
        <v>487</v>
      </c>
      <c r="L17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6" s="7">
        <f>-IF(AND(Main[[#This Row],[مقدار (کیلوگرم)]]&lt;0,Main[[#This Row],[تاريخ میلادی]]&gt;44276),Main[[#This Row],[مقدار (کیلوگرم)]],0)</f>
        <v>487</v>
      </c>
      <c r="N1796" s="6">
        <f ca="1">Main[[#This Row],[بدهکار (کیلوگرم)]]-Main[[#This Row],[بدهی تسویه نشده (کیلوگرم)]]</f>
        <v>487</v>
      </c>
      <c r="O1796" s="6">
        <f ca="1">Main[[#This Row],[تفکیک]]</f>
        <v>0</v>
      </c>
      <c r="P1796" s="6">
        <f ca="1">IF(Main[[#This Row],[تاخیر از سررسید]]&gt;0,Main[[#This Row],[بدهی تسویه نشده (کیلوگرم)]],0)</f>
        <v>0</v>
      </c>
      <c r="Q1796" s="6">
        <f ca="1">IF(Main[[#This Row],[بدهی تسویه نشده (کیلوگرم)]]&gt;0,'گزارش فردی'!$B$7-Main[[#This Row],[تاريخ میلادی]],0)</f>
        <v>0</v>
      </c>
      <c r="R1796" s="6">
        <f ca="1">IF(Main[[#This Row],[بدهی تسویه نشده (کیلوگرم)]]&gt;0,'گزارش فردی'!$B$7-Main[[#This Row],[تاريخ میلادی]]-'گزارش فردی'!$B$8,0)</f>
        <v>0</v>
      </c>
      <c r="S1796" s="6">
        <f ca="1">Main[[#This Row],[روز از ارسال سفارش]]*Main[[#This Row],[بدهی تسویه نشده (کیلوگرم)]]</f>
        <v>0</v>
      </c>
      <c r="T1796" s="6">
        <f ca="1">Main[[#This Row],[بدهی سررسید شده (کیلوگرم)]]*Main[[#This Row],[روز از ارسال سفارش]]</f>
        <v>0</v>
      </c>
      <c r="U1796" s="6">
        <f>-SUBTOTAL(9,INDEX(Main[مقدار (کیلوگرم)],1):Main[[#This Row],[مقدار (کیلوگرم)]])</f>
        <v>20855</v>
      </c>
      <c r="V179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6" s="6">
        <f>Main[[#This Row],[تعداد کل روزهای بدهکار (روز)]]*Main[[#This Row],[مانده در خط کل (کیلوگرم)]]</f>
        <v>41710</v>
      </c>
      <c r="X1796" s="6">
        <f ca="1">-SUBTOTAL(9,INDEX(Main[مقدار تسویه شده (کیلوگرم)],1):Main[[#This Row],[مقدار تسویه شده (کیلوگرم)]])</f>
        <v>20855</v>
      </c>
      <c r="Y1796" s="6">
        <f ca="1">IF(Main[[#This Row],[مانده در خط تسویه شده (کیلوگرم)]]&lt;&gt;0,Main[[#This Row],[تعداد کل روزهای بدهکار (روز)]],0)</f>
        <v>2</v>
      </c>
      <c r="Z1796" s="6">
        <f ca="1">Main[[#This Row],[تعداد روزهای بدهکار تسویه شده (روز)]]*Main[[#This Row],[مانده در خط تسویه شده (کیلوگرم)]]</f>
        <v>41710</v>
      </c>
      <c r="AA1796" s="6">
        <f ca="1">SUBTOTAL(9,INDEX(Main[بدهی تسویه نشده (کیلوگرم)],1):Main[[#This Row],[بدهی تسویه نشده (کیلوگرم)]])</f>
        <v>0</v>
      </c>
      <c r="AB1796" s="6">
        <f ca="1">IF(Main[[#This Row],[مانده در خط تسویه نشده (کیلوگرم)]]&lt;&gt;0,Main[[#This Row],[تعداد کل روزهای بدهکار (روز)]],0)</f>
        <v>0</v>
      </c>
      <c r="AC1796" s="6">
        <f ca="1">Main[[#This Row],[تعداد روزهای بدهکار  تسویه نشده (روز)]]*Main[[#This Row],[مانده در خط تسویه نشده (کیلوگرم)]]</f>
        <v>0</v>
      </c>
      <c r="AD1796" s="6">
        <f ca="1">SUBTOTAL(9,INDEX(Main[بدهی سررسید شده (کیلوگرم)],1):Main[[#This Row],[بدهی سررسید شده (کیلوگرم)]])</f>
        <v>0</v>
      </c>
      <c r="AE1796" s="6">
        <f ca="1">IF(Main[[#This Row],[مانده در خط سررسید شده (کیلوگرم)]]&lt;&gt;0,Main[[#This Row],[تعداد کل روزهای بدهکار (روز)]],0)</f>
        <v>0</v>
      </c>
      <c r="AF1796" s="6">
        <f ca="1">Main[[#This Row],[تعداد روزهای بدهکار سررسید شده (روز)]]*Main[[#This Row],[مانده در خط سررسید شده (کیلوگرم)]]</f>
        <v>0</v>
      </c>
    </row>
    <row r="1797" spans="1:32" hidden="1" x14ac:dyDescent="0.35">
      <c r="A1797" s="5">
        <f>ROW()-ROW(INDEX(Main[ردیف],1))+1</f>
        <v>1795</v>
      </c>
      <c r="B1797" s="31">
        <f>SUBTOTAL(2,INDEX(Main[ردیف],1):Main[[#This Row],[ردیف]])</f>
        <v>161</v>
      </c>
      <c r="C1797" s="32" t="s">
        <v>722</v>
      </c>
      <c r="D1797" s="32" t="str">
        <f>_xlfn.CONCAT("14",Main[[#This Row],[تاريخ]])</f>
        <v>1400/07/17</v>
      </c>
      <c r="E1797" s="33">
        <v>44478</v>
      </c>
      <c r="F1797" s="32">
        <v>10020</v>
      </c>
      <c r="G1797" s="5" t="str">
        <f>INDEX(customer[عنوان],MATCH(Main[[#This Row],[کد ردیابی]],customer[کد],0))</f>
        <v>فرزاد اسماعیل زاده</v>
      </c>
      <c r="H1797">
        <v>1250</v>
      </c>
      <c r="I1797" s="6">
        <f ca="1">-Main[[#This Row],[بدهی تسویه شده (کیلوگرم)]]+Main[[#This Row],[بستانکار (کیلوگرم)]]</f>
        <v>1250</v>
      </c>
      <c r="J1797" s="6">
        <f>IF(Main[[#This Row],[مقدار (کیلوگرم)]]&gt;0,Main[[#This Row],[مقدار (کیلوگرم)]],0)</f>
        <v>1250</v>
      </c>
      <c r="K1797" s="6">
        <f>-IF(Main[[#This Row],[مقدار (کیلوگرم)]]&lt;0,Main[[#This Row],[مقدار (کیلوگرم)]],0)</f>
        <v>0</v>
      </c>
      <c r="L17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7" s="7">
        <f>-IF(AND(Main[[#This Row],[مقدار (کیلوگرم)]]&lt;0,Main[[#This Row],[تاريخ میلادی]]&gt;44276),Main[[#This Row],[مقدار (کیلوگرم)]],0)</f>
        <v>0</v>
      </c>
      <c r="N1797" s="6">
        <f ca="1">Main[[#This Row],[بدهکار (کیلوگرم)]]-Main[[#This Row],[بدهی تسویه نشده (کیلوگرم)]]</f>
        <v>0</v>
      </c>
      <c r="O1797" s="6">
        <f ca="1">Main[[#This Row],[تفکیک]]</f>
        <v>0</v>
      </c>
      <c r="P1797" s="6">
        <f ca="1">IF(Main[[#This Row],[تاخیر از سررسید]]&gt;0,Main[[#This Row],[بدهی تسویه نشده (کیلوگرم)]],0)</f>
        <v>0</v>
      </c>
      <c r="Q1797" s="6">
        <f ca="1">IF(Main[[#This Row],[بدهی تسویه نشده (کیلوگرم)]]&gt;0,'گزارش فردی'!$B$7-Main[[#This Row],[تاريخ میلادی]],0)</f>
        <v>0</v>
      </c>
      <c r="R1797" s="6">
        <f ca="1">IF(Main[[#This Row],[بدهی تسویه نشده (کیلوگرم)]]&gt;0,'گزارش فردی'!$B$7-Main[[#This Row],[تاريخ میلادی]]-'گزارش فردی'!$B$8,0)</f>
        <v>0</v>
      </c>
      <c r="S1797" s="6">
        <f ca="1">Main[[#This Row],[روز از ارسال سفارش]]*Main[[#This Row],[بدهی تسویه نشده (کیلوگرم)]]</f>
        <v>0</v>
      </c>
      <c r="T1797" s="6">
        <f ca="1">Main[[#This Row],[بدهی سررسید شده (کیلوگرم)]]*Main[[#This Row],[روز از ارسال سفارش]]</f>
        <v>0</v>
      </c>
      <c r="U1797" s="6">
        <f>-SUBTOTAL(9,INDEX(Main[مقدار (کیلوگرم)],1):Main[[#This Row],[مقدار (کیلوگرم)]])</f>
        <v>20855</v>
      </c>
      <c r="V179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7" s="6">
        <f>Main[[#This Row],[تعداد کل روزهای بدهکار (روز)]]*Main[[#This Row],[مانده در خط کل (کیلوگرم)]]</f>
        <v>41710</v>
      </c>
      <c r="X1797" s="6">
        <f ca="1">-SUBTOTAL(9,INDEX(Main[مقدار تسویه شده (کیلوگرم)],1):Main[[#This Row],[مقدار تسویه شده (کیلوگرم)]])</f>
        <v>20855</v>
      </c>
      <c r="Y1797" s="6">
        <f ca="1">IF(Main[[#This Row],[مانده در خط تسویه شده (کیلوگرم)]]&lt;&gt;0,Main[[#This Row],[تعداد کل روزهای بدهکار (روز)]],0)</f>
        <v>2</v>
      </c>
      <c r="Z1797" s="6">
        <f ca="1">Main[[#This Row],[تعداد روزهای بدهکار تسویه شده (روز)]]*Main[[#This Row],[مانده در خط تسویه شده (کیلوگرم)]]</f>
        <v>41710</v>
      </c>
      <c r="AA1797" s="6">
        <f ca="1">SUBTOTAL(9,INDEX(Main[بدهی تسویه نشده (کیلوگرم)],1):Main[[#This Row],[بدهی تسویه نشده (کیلوگرم)]])</f>
        <v>0</v>
      </c>
      <c r="AB1797" s="6">
        <f ca="1">IF(Main[[#This Row],[مانده در خط تسویه نشده (کیلوگرم)]]&lt;&gt;0,Main[[#This Row],[تعداد کل روزهای بدهکار (روز)]],0)</f>
        <v>0</v>
      </c>
      <c r="AC1797" s="6">
        <f ca="1">Main[[#This Row],[تعداد روزهای بدهکار  تسویه نشده (روز)]]*Main[[#This Row],[مانده در خط تسویه نشده (کیلوگرم)]]</f>
        <v>0</v>
      </c>
      <c r="AD1797" s="6">
        <f ca="1">SUBTOTAL(9,INDEX(Main[بدهی سررسید شده (کیلوگرم)],1):Main[[#This Row],[بدهی سررسید شده (کیلوگرم)]])</f>
        <v>0</v>
      </c>
      <c r="AE1797" s="6">
        <f ca="1">IF(Main[[#This Row],[مانده در خط سررسید شده (کیلوگرم)]]&lt;&gt;0,Main[[#This Row],[تعداد کل روزهای بدهکار (روز)]],0)</f>
        <v>0</v>
      </c>
      <c r="AF1797" s="6">
        <f ca="1">Main[[#This Row],[تعداد روزهای بدهکار سررسید شده (روز)]]*Main[[#This Row],[مانده در خط سررسید شده (کیلوگرم)]]</f>
        <v>0</v>
      </c>
    </row>
    <row r="1798" spans="1:32" hidden="1" x14ac:dyDescent="0.35">
      <c r="A1798" s="5">
        <f>ROW()-ROW(INDEX(Main[ردیف],1))+1</f>
        <v>1796</v>
      </c>
      <c r="B1798" s="31">
        <f>SUBTOTAL(2,INDEX(Main[ردیف],1):Main[[#This Row],[ردیف]])</f>
        <v>161</v>
      </c>
      <c r="C1798" s="32" t="s">
        <v>722</v>
      </c>
      <c r="D1798" s="32" t="str">
        <f>_xlfn.CONCAT("14",Main[[#This Row],[تاريخ]])</f>
        <v>1400/07/17</v>
      </c>
      <c r="E1798" s="33">
        <v>44478</v>
      </c>
      <c r="F1798" s="32">
        <v>10009</v>
      </c>
      <c r="G1798" s="5" t="str">
        <f>INDEX(customer[عنوان],MATCH(Main[[#This Row],[کد ردیابی]],customer[کد],0))</f>
        <v>محمد نمازی</v>
      </c>
      <c r="H1798">
        <v>-956</v>
      </c>
      <c r="I1798" s="6">
        <f ca="1">-Main[[#This Row],[بدهی تسویه شده (کیلوگرم)]]+Main[[#This Row],[بستانکار (کیلوگرم)]]</f>
        <v>-956</v>
      </c>
      <c r="J1798" s="6">
        <f>IF(Main[[#This Row],[مقدار (کیلوگرم)]]&gt;0,Main[[#This Row],[مقدار (کیلوگرم)]],0)</f>
        <v>0</v>
      </c>
      <c r="K1798" s="6">
        <f>-IF(Main[[#This Row],[مقدار (کیلوگرم)]]&lt;0,Main[[#This Row],[مقدار (کیلوگرم)]],0)</f>
        <v>956</v>
      </c>
      <c r="L17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8" s="7">
        <f>-IF(AND(Main[[#This Row],[مقدار (کیلوگرم)]]&lt;0,Main[[#This Row],[تاريخ میلادی]]&gt;44276),Main[[#This Row],[مقدار (کیلوگرم)]],0)</f>
        <v>956</v>
      </c>
      <c r="N1798" s="6">
        <f ca="1">Main[[#This Row],[بدهکار (کیلوگرم)]]-Main[[#This Row],[بدهی تسویه نشده (کیلوگرم)]]</f>
        <v>956</v>
      </c>
      <c r="O1798" s="6">
        <f ca="1">Main[[#This Row],[تفکیک]]</f>
        <v>0</v>
      </c>
      <c r="P1798" s="6">
        <f ca="1">IF(Main[[#This Row],[تاخیر از سررسید]]&gt;0,Main[[#This Row],[بدهی تسویه نشده (کیلوگرم)]],0)</f>
        <v>0</v>
      </c>
      <c r="Q1798" s="6">
        <f ca="1">IF(Main[[#This Row],[بدهی تسویه نشده (کیلوگرم)]]&gt;0,'گزارش فردی'!$B$7-Main[[#This Row],[تاريخ میلادی]],0)</f>
        <v>0</v>
      </c>
      <c r="R1798" s="6">
        <f ca="1">IF(Main[[#This Row],[بدهی تسویه نشده (کیلوگرم)]]&gt;0,'گزارش فردی'!$B$7-Main[[#This Row],[تاريخ میلادی]]-'گزارش فردی'!$B$8,0)</f>
        <v>0</v>
      </c>
      <c r="S1798" s="6">
        <f ca="1">Main[[#This Row],[روز از ارسال سفارش]]*Main[[#This Row],[بدهی تسویه نشده (کیلوگرم)]]</f>
        <v>0</v>
      </c>
      <c r="T1798" s="6">
        <f ca="1">Main[[#This Row],[بدهی سررسید شده (کیلوگرم)]]*Main[[#This Row],[روز از ارسال سفارش]]</f>
        <v>0</v>
      </c>
      <c r="U1798" s="6">
        <f>-SUBTOTAL(9,INDEX(Main[مقدار (کیلوگرم)],1):Main[[#This Row],[مقدار (کیلوگرم)]])</f>
        <v>20855</v>
      </c>
      <c r="V179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8" s="6">
        <f>Main[[#This Row],[تعداد کل روزهای بدهکار (روز)]]*Main[[#This Row],[مانده در خط کل (کیلوگرم)]]</f>
        <v>41710</v>
      </c>
      <c r="X1798" s="6">
        <f ca="1">-SUBTOTAL(9,INDEX(Main[مقدار تسویه شده (کیلوگرم)],1):Main[[#This Row],[مقدار تسویه شده (کیلوگرم)]])</f>
        <v>20855</v>
      </c>
      <c r="Y1798" s="6">
        <f ca="1">IF(Main[[#This Row],[مانده در خط تسویه شده (کیلوگرم)]]&lt;&gt;0,Main[[#This Row],[تعداد کل روزهای بدهکار (روز)]],0)</f>
        <v>2</v>
      </c>
      <c r="Z1798" s="6">
        <f ca="1">Main[[#This Row],[تعداد روزهای بدهکار تسویه شده (روز)]]*Main[[#This Row],[مانده در خط تسویه شده (کیلوگرم)]]</f>
        <v>41710</v>
      </c>
      <c r="AA1798" s="6">
        <f ca="1">SUBTOTAL(9,INDEX(Main[بدهی تسویه نشده (کیلوگرم)],1):Main[[#This Row],[بدهی تسویه نشده (کیلوگرم)]])</f>
        <v>0</v>
      </c>
      <c r="AB1798" s="6">
        <f ca="1">IF(Main[[#This Row],[مانده در خط تسویه نشده (کیلوگرم)]]&lt;&gt;0,Main[[#This Row],[تعداد کل روزهای بدهکار (روز)]],0)</f>
        <v>0</v>
      </c>
      <c r="AC1798" s="6">
        <f ca="1">Main[[#This Row],[تعداد روزهای بدهکار  تسویه نشده (روز)]]*Main[[#This Row],[مانده در خط تسویه نشده (کیلوگرم)]]</f>
        <v>0</v>
      </c>
      <c r="AD1798" s="6">
        <f ca="1">SUBTOTAL(9,INDEX(Main[بدهی سررسید شده (کیلوگرم)],1):Main[[#This Row],[بدهی سررسید شده (کیلوگرم)]])</f>
        <v>0</v>
      </c>
      <c r="AE1798" s="6">
        <f ca="1">IF(Main[[#This Row],[مانده در خط سررسید شده (کیلوگرم)]]&lt;&gt;0,Main[[#This Row],[تعداد کل روزهای بدهکار (روز)]],0)</f>
        <v>0</v>
      </c>
      <c r="AF1798" s="6">
        <f ca="1">Main[[#This Row],[تعداد روزهای بدهکار سررسید شده (روز)]]*Main[[#This Row],[مانده در خط سررسید شده (کیلوگرم)]]</f>
        <v>0</v>
      </c>
    </row>
    <row r="1799" spans="1:32" hidden="1" x14ac:dyDescent="0.35">
      <c r="A1799" s="5">
        <f>ROW()-ROW(INDEX(Main[ردیف],1))+1</f>
        <v>1797</v>
      </c>
      <c r="B1799" s="31">
        <f>SUBTOTAL(2,INDEX(Main[ردیف],1):Main[[#This Row],[ردیف]])</f>
        <v>161</v>
      </c>
      <c r="C1799" s="32" t="s">
        <v>722</v>
      </c>
      <c r="D1799" s="32" t="str">
        <f>_xlfn.CONCAT("14",Main[[#This Row],[تاريخ]])</f>
        <v>1400/07/17</v>
      </c>
      <c r="E1799" s="33">
        <v>44478</v>
      </c>
      <c r="F1799" s="32">
        <v>30014</v>
      </c>
      <c r="G1799" s="5" t="str">
        <f>INDEX(customer[عنوان],MATCH(Main[[#This Row],[کد ردیابی]],customer[کد],0))</f>
        <v>کلون</v>
      </c>
      <c r="H1799">
        <v>3222</v>
      </c>
      <c r="I1799" s="6">
        <f ca="1">-Main[[#This Row],[بدهی تسویه شده (کیلوگرم)]]+Main[[#This Row],[بستانکار (کیلوگرم)]]</f>
        <v>3222</v>
      </c>
      <c r="J1799" s="6">
        <f>IF(Main[[#This Row],[مقدار (کیلوگرم)]]&gt;0,Main[[#This Row],[مقدار (کیلوگرم)]],0)</f>
        <v>3222</v>
      </c>
      <c r="K1799" s="6">
        <f>-IF(Main[[#This Row],[مقدار (کیلوگرم)]]&lt;0,Main[[#This Row],[مقدار (کیلوگرم)]],0)</f>
        <v>0</v>
      </c>
      <c r="L17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9" s="7">
        <f>-IF(AND(Main[[#This Row],[مقدار (کیلوگرم)]]&lt;0,Main[[#This Row],[تاريخ میلادی]]&gt;44276),Main[[#This Row],[مقدار (کیلوگرم)]],0)</f>
        <v>0</v>
      </c>
      <c r="N1799" s="6">
        <f ca="1">Main[[#This Row],[بدهکار (کیلوگرم)]]-Main[[#This Row],[بدهی تسویه نشده (کیلوگرم)]]</f>
        <v>0</v>
      </c>
      <c r="O1799" s="6">
        <f ca="1">Main[[#This Row],[تفکیک]]</f>
        <v>0</v>
      </c>
      <c r="P1799" s="6">
        <f ca="1">IF(Main[[#This Row],[تاخیر از سررسید]]&gt;0,Main[[#This Row],[بدهی تسویه نشده (کیلوگرم)]],0)</f>
        <v>0</v>
      </c>
      <c r="Q1799" s="6">
        <f ca="1">IF(Main[[#This Row],[بدهی تسویه نشده (کیلوگرم)]]&gt;0,'گزارش فردی'!$B$7-Main[[#This Row],[تاريخ میلادی]],0)</f>
        <v>0</v>
      </c>
      <c r="R1799" s="6">
        <f ca="1">IF(Main[[#This Row],[بدهی تسویه نشده (کیلوگرم)]]&gt;0,'گزارش فردی'!$B$7-Main[[#This Row],[تاريخ میلادی]]-'گزارش فردی'!$B$8,0)</f>
        <v>0</v>
      </c>
      <c r="S1799" s="6">
        <f ca="1">Main[[#This Row],[روز از ارسال سفارش]]*Main[[#This Row],[بدهی تسویه نشده (کیلوگرم)]]</f>
        <v>0</v>
      </c>
      <c r="T1799" s="6">
        <f ca="1">Main[[#This Row],[بدهی سررسید شده (کیلوگرم)]]*Main[[#This Row],[روز از ارسال سفارش]]</f>
        <v>0</v>
      </c>
      <c r="U1799" s="6">
        <f>-SUBTOTAL(9,INDEX(Main[مقدار (کیلوگرم)],1):Main[[#This Row],[مقدار (کیلوگرم)]])</f>
        <v>20855</v>
      </c>
      <c r="V179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9" s="6">
        <f>Main[[#This Row],[تعداد کل روزهای بدهکار (روز)]]*Main[[#This Row],[مانده در خط کل (کیلوگرم)]]</f>
        <v>41710</v>
      </c>
      <c r="X1799" s="6">
        <f ca="1">-SUBTOTAL(9,INDEX(Main[مقدار تسویه شده (کیلوگرم)],1):Main[[#This Row],[مقدار تسویه شده (کیلوگرم)]])</f>
        <v>20855</v>
      </c>
      <c r="Y1799" s="6">
        <f ca="1">IF(Main[[#This Row],[مانده در خط تسویه شده (کیلوگرم)]]&lt;&gt;0,Main[[#This Row],[تعداد کل روزهای بدهکار (روز)]],0)</f>
        <v>2</v>
      </c>
      <c r="Z1799" s="6">
        <f ca="1">Main[[#This Row],[تعداد روزهای بدهکار تسویه شده (روز)]]*Main[[#This Row],[مانده در خط تسویه شده (کیلوگرم)]]</f>
        <v>41710</v>
      </c>
      <c r="AA1799" s="6">
        <f ca="1">SUBTOTAL(9,INDEX(Main[بدهی تسویه نشده (کیلوگرم)],1):Main[[#This Row],[بدهی تسویه نشده (کیلوگرم)]])</f>
        <v>0</v>
      </c>
      <c r="AB1799" s="6">
        <f ca="1">IF(Main[[#This Row],[مانده در خط تسویه نشده (کیلوگرم)]]&lt;&gt;0,Main[[#This Row],[تعداد کل روزهای بدهکار (روز)]],0)</f>
        <v>0</v>
      </c>
      <c r="AC1799" s="6">
        <f ca="1">Main[[#This Row],[تعداد روزهای بدهکار  تسویه نشده (روز)]]*Main[[#This Row],[مانده در خط تسویه نشده (کیلوگرم)]]</f>
        <v>0</v>
      </c>
      <c r="AD1799" s="6">
        <f ca="1">SUBTOTAL(9,INDEX(Main[بدهی سررسید شده (کیلوگرم)],1):Main[[#This Row],[بدهی سررسید شده (کیلوگرم)]])</f>
        <v>0</v>
      </c>
      <c r="AE1799" s="6">
        <f ca="1">IF(Main[[#This Row],[مانده در خط سررسید شده (کیلوگرم)]]&lt;&gt;0,Main[[#This Row],[تعداد کل روزهای بدهکار (روز)]],0)</f>
        <v>0</v>
      </c>
      <c r="AF1799" s="6">
        <f ca="1">Main[[#This Row],[تعداد روزهای بدهکار سررسید شده (روز)]]*Main[[#This Row],[مانده در خط سررسید شده (کیلوگرم)]]</f>
        <v>0</v>
      </c>
    </row>
    <row r="1800" spans="1:32" hidden="1" x14ac:dyDescent="0.35">
      <c r="A1800" s="5">
        <f>ROW()-ROW(INDEX(Main[ردیف],1))+1</f>
        <v>1798</v>
      </c>
      <c r="B1800" s="31">
        <f>SUBTOTAL(2,INDEX(Main[ردیف],1):Main[[#This Row],[ردیف]])</f>
        <v>161</v>
      </c>
      <c r="C1800" s="32" t="s">
        <v>722</v>
      </c>
      <c r="D1800" s="32" t="str">
        <f>_xlfn.CONCAT("14",Main[[#This Row],[تاريخ]])</f>
        <v>1400/07/17</v>
      </c>
      <c r="E1800" s="33">
        <v>44478</v>
      </c>
      <c r="F1800" s="32">
        <v>10020</v>
      </c>
      <c r="G1800" s="5" t="str">
        <f>INDEX(customer[عنوان],MATCH(Main[[#This Row],[کد ردیابی]],customer[کد],0))</f>
        <v>فرزاد اسماعیل زاده</v>
      </c>
      <c r="H1800">
        <v>-500</v>
      </c>
      <c r="I1800" s="6">
        <f ca="1">-Main[[#This Row],[بدهی تسویه شده (کیلوگرم)]]+Main[[#This Row],[بستانکار (کیلوگرم)]]</f>
        <v>-500</v>
      </c>
      <c r="J1800" s="6">
        <f>IF(Main[[#This Row],[مقدار (کیلوگرم)]]&gt;0,Main[[#This Row],[مقدار (کیلوگرم)]],0)</f>
        <v>0</v>
      </c>
      <c r="K1800" s="6">
        <f>-IF(Main[[#This Row],[مقدار (کیلوگرم)]]&lt;0,Main[[#This Row],[مقدار (کیلوگرم)]],0)</f>
        <v>500</v>
      </c>
      <c r="L18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0" s="7">
        <f>-IF(AND(Main[[#This Row],[مقدار (کیلوگرم)]]&lt;0,Main[[#This Row],[تاريخ میلادی]]&gt;44276),Main[[#This Row],[مقدار (کیلوگرم)]],0)</f>
        <v>500</v>
      </c>
      <c r="N1800" s="6">
        <f ca="1">Main[[#This Row],[بدهکار (کیلوگرم)]]-Main[[#This Row],[بدهی تسویه نشده (کیلوگرم)]]</f>
        <v>500</v>
      </c>
      <c r="O1800" s="6">
        <f ca="1">Main[[#This Row],[تفکیک]]</f>
        <v>0</v>
      </c>
      <c r="P1800" s="6">
        <f ca="1">IF(Main[[#This Row],[تاخیر از سررسید]]&gt;0,Main[[#This Row],[بدهی تسویه نشده (کیلوگرم)]],0)</f>
        <v>0</v>
      </c>
      <c r="Q1800" s="6">
        <f ca="1">IF(Main[[#This Row],[بدهی تسویه نشده (کیلوگرم)]]&gt;0,'گزارش فردی'!$B$7-Main[[#This Row],[تاريخ میلادی]],0)</f>
        <v>0</v>
      </c>
      <c r="R1800" s="6">
        <f ca="1">IF(Main[[#This Row],[بدهی تسویه نشده (کیلوگرم)]]&gt;0,'گزارش فردی'!$B$7-Main[[#This Row],[تاريخ میلادی]]-'گزارش فردی'!$B$8,0)</f>
        <v>0</v>
      </c>
      <c r="S1800" s="6">
        <f ca="1">Main[[#This Row],[روز از ارسال سفارش]]*Main[[#This Row],[بدهی تسویه نشده (کیلوگرم)]]</f>
        <v>0</v>
      </c>
      <c r="T1800" s="6">
        <f ca="1">Main[[#This Row],[بدهی سررسید شده (کیلوگرم)]]*Main[[#This Row],[روز از ارسال سفارش]]</f>
        <v>0</v>
      </c>
      <c r="U1800" s="6">
        <f>-SUBTOTAL(9,INDEX(Main[مقدار (کیلوگرم)],1):Main[[#This Row],[مقدار (کیلوگرم)]])</f>
        <v>20855</v>
      </c>
      <c r="V180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0" s="6">
        <f>Main[[#This Row],[تعداد کل روزهای بدهکار (روز)]]*Main[[#This Row],[مانده در خط کل (کیلوگرم)]]</f>
        <v>41710</v>
      </c>
      <c r="X1800" s="6">
        <f ca="1">-SUBTOTAL(9,INDEX(Main[مقدار تسویه شده (کیلوگرم)],1):Main[[#This Row],[مقدار تسویه شده (کیلوگرم)]])</f>
        <v>20855</v>
      </c>
      <c r="Y1800" s="6">
        <f ca="1">IF(Main[[#This Row],[مانده در خط تسویه شده (کیلوگرم)]]&lt;&gt;0,Main[[#This Row],[تعداد کل روزهای بدهکار (روز)]],0)</f>
        <v>2</v>
      </c>
      <c r="Z1800" s="6">
        <f ca="1">Main[[#This Row],[تعداد روزهای بدهکار تسویه شده (روز)]]*Main[[#This Row],[مانده در خط تسویه شده (کیلوگرم)]]</f>
        <v>41710</v>
      </c>
      <c r="AA1800" s="6">
        <f ca="1">SUBTOTAL(9,INDEX(Main[بدهی تسویه نشده (کیلوگرم)],1):Main[[#This Row],[بدهی تسویه نشده (کیلوگرم)]])</f>
        <v>0</v>
      </c>
      <c r="AB1800" s="6">
        <f ca="1">IF(Main[[#This Row],[مانده در خط تسویه نشده (کیلوگرم)]]&lt;&gt;0,Main[[#This Row],[تعداد کل روزهای بدهکار (روز)]],0)</f>
        <v>0</v>
      </c>
      <c r="AC1800" s="6">
        <f ca="1">Main[[#This Row],[تعداد روزهای بدهکار  تسویه نشده (روز)]]*Main[[#This Row],[مانده در خط تسویه نشده (کیلوگرم)]]</f>
        <v>0</v>
      </c>
      <c r="AD1800" s="6">
        <f ca="1">SUBTOTAL(9,INDEX(Main[بدهی سررسید شده (کیلوگرم)],1):Main[[#This Row],[بدهی سررسید شده (کیلوگرم)]])</f>
        <v>0</v>
      </c>
      <c r="AE1800" s="6">
        <f ca="1">IF(Main[[#This Row],[مانده در خط سررسید شده (کیلوگرم)]]&lt;&gt;0,Main[[#This Row],[تعداد کل روزهای بدهکار (روز)]],0)</f>
        <v>0</v>
      </c>
      <c r="AF1800" s="6">
        <f ca="1">Main[[#This Row],[تعداد روزهای بدهکار سررسید شده (روز)]]*Main[[#This Row],[مانده در خط سررسید شده (کیلوگرم)]]</f>
        <v>0</v>
      </c>
    </row>
    <row r="1801" spans="1:32" hidden="1" x14ac:dyDescent="0.35">
      <c r="A1801" s="5">
        <f>ROW()-ROW(INDEX(Main[ردیف],1))+1</f>
        <v>1799</v>
      </c>
      <c r="B1801" s="31">
        <f>SUBTOTAL(2,INDEX(Main[ردیف],1):Main[[#This Row],[ردیف]])</f>
        <v>161</v>
      </c>
      <c r="C1801" s="32" t="s">
        <v>722</v>
      </c>
      <c r="D1801" s="32" t="str">
        <f>_xlfn.CONCAT("14",Main[[#This Row],[تاريخ]])</f>
        <v>1400/07/17</v>
      </c>
      <c r="E1801" s="33">
        <v>44478</v>
      </c>
      <c r="F1801" s="32">
        <v>10104</v>
      </c>
      <c r="G1801" s="5" t="str">
        <f>INDEX(customer[عنوان],MATCH(Main[[#This Row],[کد ردیابی]],customer[کد],0))</f>
        <v>بهزادی فر اصغر</v>
      </c>
      <c r="H1801">
        <v>1280</v>
      </c>
      <c r="I1801" s="6">
        <f ca="1">-Main[[#This Row],[بدهی تسویه شده (کیلوگرم)]]+Main[[#This Row],[بستانکار (کیلوگرم)]]</f>
        <v>1280</v>
      </c>
      <c r="J1801" s="6">
        <f>IF(Main[[#This Row],[مقدار (کیلوگرم)]]&gt;0,Main[[#This Row],[مقدار (کیلوگرم)]],0)</f>
        <v>1280</v>
      </c>
      <c r="K1801" s="6">
        <f>-IF(Main[[#This Row],[مقدار (کیلوگرم)]]&lt;0,Main[[#This Row],[مقدار (کیلوگرم)]],0)</f>
        <v>0</v>
      </c>
      <c r="L18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1" s="7">
        <f>-IF(AND(Main[[#This Row],[مقدار (کیلوگرم)]]&lt;0,Main[[#This Row],[تاريخ میلادی]]&gt;44276),Main[[#This Row],[مقدار (کیلوگرم)]],0)</f>
        <v>0</v>
      </c>
      <c r="N1801" s="6">
        <f ca="1">Main[[#This Row],[بدهکار (کیلوگرم)]]-Main[[#This Row],[بدهی تسویه نشده (کیلوگرم)]]</f>
        <v>0</v>
      </c>
      <c r="O1801" s="6">
        <f ca="1">Main[[#This Row],[تفکیک]]</f>
        <v>0</v>
      </c>
      <c r="P1801" s="6">
        <f ca="1">IF(Main[[#This Row],[تاخیر از سررسید]]&gt;0,Main[[#This Row],[بدهی تسویه نشده (کیلوگرم)]],0)</f>
        <v>0</v>
      </c>
      <c r="Q1801" s="6">
        <f ca="1">IF(Main[[#This Row],[بدهی تسویه نشده (کیلوگرم)]]&gt;0,'گزارش فردی'!$B$7-Main[[#This Row],[تاريخ میلادی]],0)</f>
        <v>0</v>
      </c>
      <c r="R1801" s="6">
        <f ca="1">IF(Main[[#This Row],[بدهی تسویه نشده (کیلوگرم)]]&gt;0,'گزارش فردی'!$B$7-Main[[#This Row],[تاريخ میلادی]]-'گزارش فردی'!$B$8,0)</f>
        <v>0</v>
      </c>
      <c r="S1801" s="6">
        <f ca="1">Main[[#This Row],[روز از ارسال سفارش]]*Main[[#This Row],[بدهی تسویه نشده (کیلوگرم)]]</f>
        <v>0</v>
      </c>
      <c r="T1801" s="6">
        <f ca="1">Main[[#This Row],[بدهی سررسید شده (کیلوگرم)]]*Main[[#This Row],[روز از ارسال سفارش]]</f>
        <v>0</v>
      </c>
      <c r="U1801" s="6">
        <f>-SUBTOTAL(9,INDEX(Main[مقدار (کیلوگرم)],1):Main[[#This Row],[مقدار (کیلوگرم)]])</f>
        <v>20855</v>
      </c>
      <c r="V18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1" s="6">
        <f>Main[[#This Row],[تعداد کل روزهای بدهکار (روز)]]*Main[[#This Row],[مانده در خط کل (کیلوگرم)]]</f>
        <v>41710</v>
      </c>
      <c r="X1801" s="6">
        <f ca="1">-SUBTOTAL(9,INDEX(Main[مقدار تسویه شده (کیلوگرم)],1):Main[[#This Row],[مقدار تسویه شده (کیلوگرم)]])</f>
        <v>20855</v>
      </c>
      <c r="Y1801" s="6">
        <f ca="1">IF(Main[[#This Row],[مانده در خط تسویه شده (کیلوگرم)]]&lt;&gt;0,Main[[#This Row],[تعداد کل روزهای بدهکار (روز)]],0)</f>
        <v>2</v>
      </c>
      <c r="Z1801" s="6">
        <f ca="1">Main[[#This Row],[تعداد روزهای بدهکار تسویه شده (روز)]]*Main[[#This Row],[مانده در خط تسویه شده (کیلوگرم)]]</f>
        <v>41710</v>
      </c>
      <c r="AA1801" s="6">
        <f ca="1">SUBTOTAL(9,INDEX(Main[بدهی تسویه نشده (کیلوگرم)],1):Main[[#This Row],[بدهی تسویه نشده (کیلوگرم)]])</f>
        <v>0</v>
      </c>
      <c r="AB1801" s="6">
        <f ca="1">IF(Main[[#This Row],[مانده در خط تسویه نشده (کیلوگرم)]]&lt;&gt;0,Main[[#This Row],[تعداد کل روزهای بدهکار (روز)]],0)</f>
        <v>0</v>
      </c>
      <c r="AC1801" s="6">
        <f ca="1">Main[[#This Row],[تعداد روزهای بدهکار  تسویه نشده (روز)]]*Main[[#This Row],[مانده در خط تسویه نشده (کیلوگرم)]]</f>
        <v>0</v>
      </c>
      <c r="AD1801" s="6">
        <f ca="1">SUBTOTAL(9,INDEX(Main[بدهی سررسید شده (کیلوگرم)],1):Main[[#This Row],[بدهی سررسید شده (کیلوگرم)]])</f>
        <v>0</v>
      </c>
      <c r="AE1801" s="6">
        <f ca="1">IF(Main[[#This Row],[مانده در خط سررسید شده (کیلوگرم)]]&lt;&gt;0,Main[[#This Row],[تعداد کل روزهای بدهکار (روز)]],0)</f>
        <v>0</v>
      </c>
      <c r="AF1801" s="6">
        <f ca="1">Main[[#This Row],[تعداد روزهای بدهکار سررسید شده (روز)]]*Main[[#This Row],[مانده در خط سررسید شده (کیلوگرم)]]</f>
        <v>0</v>
      </c>
    </row>
    <row r="1802" spans="1:32" hidden="1" x14ac:dyDescent="0.35">
      <c r="A1802" s="5">
        <f>ROW()-ROW(INDEX(Main[ردیف],1))+1</f>
        <v>1800</v>
      </c>
      <c r="B1802" s="31">
        <f>SUBTOTAL(2,INDEX(Main[ردیف],1):Main[[#This Row],[ردیف]])</f>
        <v>161</v>
      </c>
      <c r="C1802" s="32" t="s">
        <v>722</v>
      </c>
      <c r="D1802" s="32" t="str">
        <f>_xlfn.CONCAT("14",Main[[#This Row],[تاريخ]])</f>
        <v>1400/07/17</v>
      </c>
      <c r="E1802" s="33">
        <v>44478</v>
      </c>
      <c r="F1802" s="32">
        <v>10029</v>
      </c>
      <c r="G1802" s="5" t="str">
        <f>INDEX(customer[عنوان],MATCH(Main[[#This Row],[کد ردیابی]],customer[کد],0))</f>
        <v>رضا شریعتی</v>
      </c>
      <c r="H1802">
        <v>-1428</v>
      </c>
      <c r="I1802" s="6">
        <f ca="1">-Main[[#This Row],[بدهی تسویه شده (کیلوگرم)]]+Main[[#This Row],[بستانکار (کیلوگرم)]]</f>
        <v>-1428</v>
      </c>
      <c r="J1802" s="6">
        <f>IF(Main[[#This Row],[مقدار (کیلوگرم)]]&gt;0,Main[[#This Row],[مقدار (کیلوگرم)]],0)</f>
        <v>0</v>
      </c>
      <c r="K1802" s="6">
        <f>-IF(Main[[#This Row],[مقدار (کیلوگرم)]]&lt;0,Main[[#This Row],[مقدار (کیلوگرم)]],0)</f>
        <v>1428</v>
      </c>
      <c r="L18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2" s="7">
        <f>-IF(AND(Main[[#This Row],[مقدار (کیلوگرم)]]&lt;0,Main[[#This Row],[تاريخ میلادی]]&gt;44276),Main[[#This Row],[مقدار (کیلوگرم)]],0)</f>
        <v>1428</v>
      </c>
      <c r="N1802" s="6">
        <f ca="1">Main[[#This Row],[بدهکار (کیلوگرم)]]-Main[[#This Row],[بدهی تسویه نشده (کیلوگرم)]]</f>
        <v>1428</v>
      </c>
      <c r="O1802" s="6">
        <f ca="1">Main[[#This Row],[تفکیک]]</f>
        <v>0</v>
      </c>
      <c r="P1802" s="6">
        <f ca="1">IF(Main[[#This Row],[تاخیر از سررسید]]&gt;0,Main[[#This Row],[بدهی تسویه نشده (کیلوگرم)]],0)</f>
        <v>0</v>
      </c>
      <c r="Q1802" s="6">
        <f ca="1">IF(Main[[#This Row],[بدهی تسویه نشده (کیلوگرم)]]&gt;0,'گزارش فردی'!$B$7-Main[[#This Row],[تاريخ میلادی]],0)</f>
        <v>0</v>
      </c>
      <c r="R1802" s="6">
        <f ca="1">IF(Main[[#This Row],[بدهی تسویه نشده (کیلوگرم)]]&gt;0,'گزارش فردی'!$B$7-Main[[#This Row],[تاريخ میلادی]]-'گزارش فردی'!$B$8,0)</f>
        <v>0</v>
      </c>
      <c r="S1802" s="6">
        <f ca="1">Main[[#This Row],[روز از ارسال سفارش]]*Main[[#This Row],[بدهی تسویه نشده (کیلوگرم)]]</f>
        <v>0</v>
      </c>
      <c r="T1802" s="6">
        <f ca="1">Main[[#This Row],[بدهی سررسید شده (کیلوگرم)]]*Main[[#This Row],[روز از ارسال سفارش]]</f>
        <v>0</v>
      </c>
      <c r="U1802" s="6">
        <f>-SUBTOTAL(9,INDEX(Main[مقدار (کیلوگرم)],1):Main[[#This Row],[مقدار (کیلوگرم)]])</f>
        <v>20855</v>
      </c>
      <c r="V180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2" s="6">
        <f>Main[[#This Row],[تعداد کل روزهای بدهکار (روز)]]*Main[[#This Row],[مانده در خط کل (کیلوگرم)]]</f>
        <v>41710</v>
      </c>
      <c r="X1802" s="6">
        <f ca="1">-SUBTOTAL(9,INDEX(Main[مقدار تسویه شده (کیلوگرم)],1):Main[[#This Row],[مقدار تسویه شده (کیلوگرم)]])</f>
        <v>20855</v>
      </c>
      <c r="Y1802" s="6">
        <f ca="1">IF(Main[[#This Row],[مانده در خط تسویه شده (کیلوگرم)]]&lt;&gt;0,Main[[#This Row],[تعداد کل روزهای بدهکار (روز)]],0)</f>
        <v>2</v>
      </c>
      <c r="Z1802" s="6">
        <f ca="1">Main[[#This Row],[تعداد روزهای بدهکار تسویه شده (روز)]]*Main[[#This Row],[مانده در خط تسویه شده (کیلوگرم)]]</f>
        <v>41710</v>
      </c>
      <c r="AA1802" s="6">
        <f ca="1">SUBTOTAL(9,INDEX(Main[بدهی تسویه نشده (کیلوگرم)],1):Main[[#This Row],[بدهی تسویه نشده (کیلوگرم)]])</f>
        <v>0</v>
      </c>
      <c r="AB1802" s="6">
        <f ca="1">IF(Main[[#This Row],[مانده در خط تسویه نشده (کیلوگرم)]]&lt;&gt;0,Main[[#This Row],[تعداد کل روزهای بدهکار (روز)]],0)</f>
        <v>0</v>
      </c>
      <c r="AC1802" s="6">
        <f ca="1">Main[[#This Row],[تعداد روزهای بدهکار  تسویه نشده (روز)]]*Main[[#This Row],[مانده در خط تسویه نشده (کیلوگرم)]]</f>
        <v>0</v>
      </c>
      <c r="AD1802" s="6">
        <f ca="1">SUBTOTAL(9,INDEX(Main[بدهی سررسید شده (کیلوگرم)],1):Main[[#This Row],[بدهی سررسید شده (کیلوگرم)]])</f>
        <v>0</v>
      </c>
      <c r="AE1802" s="6">
        <f ca="1">IF(Main[[#This Row],[مانده در خط سررسید شده (کیلوگرم)]]&lt;&gt;0,Main[[#This Row],[تعداد کل روزهای بدهکار (روز)]],0)</f>
        <v>0</v>
      </c>
      <c r="AF1802" s="6">
        <f ca="1">Main[[#This Row],[تعداد روزهای بدهکار سررسید شده (روز)]]*Main[[#This Row],[مانده در خط سررسید شده (کیلوگرم)]]</f>
        <v>0</v>
      </c>
    </row>
    <row r="1803" spans="1:32" hidden="1" x14ac:dyDescent="0.35">
      <c r="A1803" s="5">
        <f>ROW()-ROW(INDEX(Main[ردیف],1))+1</f>
        <v>1801</v>
      </c>
      <c r="B1803" s="31">
        <f>SUBTOTAL(2,INDEX(Main[ردیف],1):Main[[#This Row],[ردیف]])</f>
        <v>161</v>
      </c>
      <c r="C1803" s="32" t="s">
        <v>722</v>
      </c>
      <c r="D1803" s="32" t="str">
        <f>_xlfn.CONCAT("14",Main[[#This Row],[تاريخ]])</f>
        <v>1400/07/17</v>
      </c>
      <c r="E1803" s="33">
        <v>44478</v>
      </c>
      <c r="F1803" s="32">
        <v>30009</v>
      </c>
      <c r="G1803" s="5" t="str">
        <f>INDEX(customer[عنوان],MATCH(Main[[#This Row],[کد ردیابی]],customer[کد],0))</f>
        <v>شرکت ایمن تک پیشرو</v>
      </c>
      <c r="H1803">
        <v>1940</v>
      </c>
      <c r="I1803" s="6">
        <f ca="1">-Main[[#This Row],[بدهی تسویه شده (کیلوگرم)]]+Main[[#This Row],[بستانکار (کیلوگرم)]]</f>
        <v>1940</v>
      </c>
      <c r="J1803" s="6">
        <f>IF(Main[[#This Row],[مقدار (کیلوگرم)]]&gt;0,Main[[#This Row],[مقدار (کیلوگرم)]],0)</f>
        <v>1940</v>
      </c>
      <c r="K1803" s="6">
        <f>-IF(Main[[#This Row],[مقدار (کیلوگرم)]]&lt;0,Main[[#This Row],[مقدار (کیلوگرم)]],0)</f>
        <v>0</v>
      </c>
      <c r="L18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3" s="7">
        <f>-IF(AND(Main[[#This Row],[مقدار (کیلوگرم)]]&lt;0,Main[[#This Row],[تاريخ میلادی]]&gt;44276),Main[[#This Row],[مقدار (کیلوگرم)]],0)</f>
        <v>0</v>
      </c>
      <c r="N1803" s="6">
        <f ca="1">Main[[#This Row],[بدهکار (کیلوگرم)]]-Main[[#This Row],[بدهی تسویه نشده (کیلوگرم)]]</f>
        <v>0</v>
      </c>
      <c r="O1803" s="6">
        <f ca="1">Main[[#This Row],[تفکیک]]</f>
        <v>0</v>
      </c>
      <c r="P1803" s="6">
        <f ca="1">IF(Main[[#This Row],[تاخیر از سررسید]]&gt;0,Main[[#This Row],[بدهی تسویه نشده (کیلوگرم)]],0)</f>
        <v>0</v>
      </c>
      <c r="Q1803" s="6">
        <f ca="1">IF(Main[[#This Row],[بدهی تسویه نشده (کیلوگرم)]]&gt;0,'گزارش فردی'!$B$7-Main[[#This Row],[تاريخ میلادی]],0)</f>
        <v>0</v>
      </c>
      <c r="R1803" s="6">
        <f ca="1">IF(Main[[#This Row],[بدهی تسویه نشده (کیلوگرم)]]&gt;0,'گزارش فردی'!$B$7-Main[[#This Row],[تاريخ میلادی]]-'گزارش فردی'!$B$8,0)</f>
        <v>0</v>
      </c>
      <c r="S1803" s="6">
        <f ca="1">Main[[#This Row],[روز از ارسال سفارش]]*Main[[#This Row],[بدهی تسویه نشده (کیلوگرم)]]</f>
        <v>0</v>
      </c>
      <c r="T1803" s="6">
        <f ca="1">Main[[#This Row],[بدهی سررسید شده (کیلوگرم)]]*Main[[#This Row],[روز از ارسال سفارش]]</f>
        <v>0</v>
      </c>
      <c r="U1803" s="6">
        <f>-SUBTOTAL(9,INDEX(Main[مقدار (کیلوگرم)],1):Main[[#This Row],[مقدار (کیلوگرم)]])</f>
        <v>20855</v>
      </c>
      <c r="V180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3" s="6">
        <f>Main[[#This Row],[تعداد کل روزهای بدهکار (روز)]]*Main[[#This Row],[مانده در خط کل (کیلوگرم)]]</f>
        <v>41710</v>
      </c>
      <c r="X1803" s="6">
        <f ca="1">-SUBTOTAL(9,INDEX(Main[مقدار تسویه شده (کیلوگرم)],1):Main[[#This Row],[مقدار تسویه شده (کیلوگرم)]])</f>
        <v>20855</v>
      </c>
      <c r="Y1803" s="6">
        <f ca="1">IF(Main[[#This Row],[مانده در خط تسویه شده (کیلوگرم)]]&lt;&gt;0,Main[[#This Row],[تعداد کل روزهای بدهکار (روز)]],0)</f>
        <v>2</v>
      </c>
      <c r="Z1803" s="6">
        <f ca="1">Main[[#This Row],[تعداد روزهای بدهکار تسویه شده (روز)]]*Main[[#This Row],[مانده در خط تسویه شده (کیلوگرم)]]</f>
        <v>41710</v>
      </c>
      <c r="AA1803" s="6">
        <f ca="1">SUBTOTAL(9,INDEX(Main[بدهی تسویه نشده (کیلوگرم)],1):Main[[#This Row],[بدهی تسویه نشده (کیلوگرم)]])</f>
        <v>0</v>
      </c>
      <c r="AB1803" s="6">
        <f ca="1">IF(Main[[#This Row],[مانده در خط تسویه نشده (کیلوگرم)]]&lt;&gt;0,Main[[#This Row],[تعداد کل روزهای بدهکار (روز)]],0)</f>
        <v>0</v>
      </c>
      <c r="AC1803" s="6">
        <f ca="1">Main[[#This Row],[تعداد روزهای بدهکار  تسویه نشده (روز)]]*Main[[#This Row],[مانده در خط تسویه نشده (کیلوگرم)]]</f>
        <v>0</v>
      </c>
      <c r="AD1803" s="6">
        <f ca="1">SUBTOTAL(9,INDEX(Main[بدهی سررسید شده (کیلوگرم)],1):Main[[#This Row],[بدهی سررسید شده (کیلوگرم)]])</f>
        <v>0</v>
      </c>
      <c r="AE1803" s="6">
        <f ca="1">IF(Main[[#This Row],[مانده در خط سررسید شده (کیلوگرم)]]&lt;&gt;0,Main[[#This Row],[تعداد کل روزهای بدهکار (روز)]],0)</f>
        <v>0</v>
      </c>
      <c r="AF1803" s="6">
        <f ca="1">Main[[#This Row],[تعداد روزهای بدهکار سررسید شده (روز)]]*Main[[#This Row],[مانده در خط سررسید شده (کیلوگرم)]]</f>
        <v>0</v>
      </c>
    </row>
    <row r="1804" spans="1:32" hidden="1" x14ac:dyDescent="0.35">
      <c r="A1804" s="5">
        <f>ROW()-ROW(INDEX(Main[ردیف],1))+1</f>
        <v>1802</v>
      </c>
      <c r="B1804" s="31">
        <f>SUBTOTAL(2,INDEX(Main[ردیف],1):Main[[#This Row],[ردیف]])</f>
        <v>161</v>
      </c>
      <c r="C1804" s="32" t="s">
        <v>723</v>
      </c>
      <c r="D1804" s="32" t="str">
        <f>_xlfn.CONCAT("14",Main[[#This Row],[تاريخ]])</f>
        <v>1400/07/18</v>
      </c>
      <c r="E1804" s="33">
        <v>44479</v>
      </c>
      <c r="F1804" s="32">
        <v>30009</v>
      </c>
      <c r="G1804" s="5" t="str">
        <f>INDEX(customer[عنوان],MATCH(Main[[#This Row],[کد ردیابی]],customer[کد],0))</f>
        <v>شرکت ایمن تک پیشرو</v>
      </c>
      <c r="H1804">
        <v>-2100</v>
      </c>
      <c r="I1804" s="6">
        <f ca="1">-Main[[#This Row],[بدهی تسویه شده (کیلوگرم)]]+Main[[#This Row],[بستانکار (کیلوگرم)]]</f>
        <v>-2100</v>
      </c>
      <c r="J1804" s="6">
        <f>IF(Main[[#This Row],[مقدار (کیلوگرم)]]&gt;0,Main[[#This Row],[مقدار (کیلوگرم)]],0)</f>
        <v>0</v>
      </c>
      <c r="K1804" s="6">
        <f>-IF(Main[[#This Row],[مقدار (کیلوگرم)]]&lt;0,Main[[#This Row],[مقدار (کیلوگرم)]],0)</f>
        <v>2100</v>
      </c>
      <c r="L18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4" s="7">
        <f>-IF(AND(Main[[#This Row],[مقدار (کیلوگرم)]]&lt;0,Main[[#This Row],[تاريخ میلادی]]&gt;44276),Main[[#This Row],[مقدار (کیلوگرم)]],0)</f>
        <v>2100</v>
      </c>
      <c r="N1804" s="6">
        <f ca="1">Main[[#This Row],[بدهکار (کیلوگرم)]]-Main[[#This Row],[بدهی تسویه نشده (کیلوگرم)]]</f>
        <v>2100</v>
      </c>
      <c r="O1804" s="6">
        <f ca="1">Main[[#This Row],[تفکیک]]</f>
        <v>0</v>
      </c>
      <c r="P1804" s="6">
        <f ca="1">IF(Main[[#This Row],[تاخیر از سررسید]]&gt;0,Main[[#This Row],[بدهی تسویه نشده (کیلوگرم)]],0)</f>
        <v>0</v>
      </c>
      <c r="Q1804" s="6">
        <f ca="1">IF(Main[[#This Row],[بدهی تسویه نشده (کیلوگرم)]]&gt;0,'گزارش فردی'!$B$7-Main[[#This Row],[تاريخ میلادی]],0)</f>
        <v>0</v>
      </c>
      <c r="R1804" s="6">
        <f ca="1">IF(Main[[#This Row],[بدهی تسویه نشده (کیلوگرم)]]&gt;0,'گزارش فردی'!$B$7-Main[[#This Row],[تاريخ میلادی]]-'گزارش فردی'!$B$8,0)</f>
        <v>0</v>
      </c>
      <c r="S1804" s="6">
        <f ca="1">Main[[#This Row],[روز از ارسال سفارش]]*Main[[#This Row],[بدهی تسویه نشده (کیلوگرم)]]</f>
        <v>0</v>
      </c>
      <c r="T1804" s="6">
        <f ca="1">Main[[#This Row],[بدهی سررسید شده (کیلوگرم)]]*Main[[#This Row],[روز از ارسال سفارش]]</f>
        <v>0</v>
      </c>
      <c r="U1804" s="6">
        <f>-SUBTOTAL(9,INDEX(Main[مقدار (کیلوگرم)],1):Main[[#This Row],[مقدار (کیلوگرم)]])</f>
        <v>20855</v>
      </c>
      <c r="V18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4" s="6">
        <f>Main[[#This Row],[تعداد کل روزهای بدهکار (روز)]]*Main[[#This Row],[مانده در خط کل (کیلوگرم)]]</f>
        <v>20855</v>
      </c>
      <c r="X1804" s="6">
        <f ca="1">-SUBTOTAL(9,INDEX(Main[مقدار تسویه شده (کیلوگرم)],1):Main[[#This Row],[مقدار تسویه شده (کیلوگرم)]])</f>
        <v>20855</v>
      </c>
      <c r="Y1804" s="6">
        <f ca="1">IF(Main[[#This Row],[مانده در خط تسویه شده (کیلوگرم)]]&lt;&gt;0,Main[[#This Row],[تعداد کل روزهای بدهکار (روز)]],0)</f>
        <v>1</v>
      </c>
      <c r="Z1804" s="6">
        <f ca="1">Main[[#This Row],[تعداد روزهای بدهکار تسویه شده (روز)]]*Main[[#This Row],[مانده در خط تسویه شده (کیلوگرم)]]</f>
        <v>20855</v>
      </c>
      <c r="AA1804" s="6">
        <f ca="1">SUBTOTAL(9,INDEX(Main[بدهی تسویه نشده (کیلوگرم)],1):Main[[#This Row],[بدهی تسویه نشده (کیلوگرم)]])</f>
        <v>0</v>
      </c>
      <c r="AB1804" s="6">
        <f ca="1">IF(Main[[#This Row],[مانده در خط تسویه نشده (کیلوگرم)]]&lt;&gt;0,Main[[#This Row],[تعداد کل روزهای بدهکار (روز)]],0)</f>
        <v>0</v>
      </c>
      <c r="AC1804" s="6">
        <f ca="1">Main[[#This Row],[تعداد روزهای بدهکار  تسویه نشده (روز)]]*Main[[#This Row],[مانده در خط تسویه نشده (کیلوگرم)]]</f>
        <v>0</v>
      </c>
      <c r="AD1804" s="6">
        <f ca="1">SUBTOTAL(9,INDEX(Main[بدهی سررسید شده (کیلوگرم)],1):Main[[#This Row],[بدهی سررسید شده (کیلوگرم)]])</f>
        <v>0</v>
      </c>
      <c r="AE1804" s="6">
        <f ca="1">IF(Main[[#This Row],[مانده در خط سررسید شده (کیلوگرم)]]&lt;&gt;0,Main[[#This Row],[تعداد کل روزهای بدهکار (روز)]],0)</f>
        <v>0</v>
      </c>
      <c r="AF1804" s="6">
        <f ca="1">Main[[#This Row],[تعداد روزهای بدهکار سررسید شده (روز)]]*Main[[#This Row],[مانده در خط سررسید شده (کیلوگرم)]]</f>
        <v>0</v>
      </c>
    </row>
    <row r="1805" spans="1:32" hidden="1" x14ac:dyDescent="0.35">
      <c r="A1805" s="5">
        <f>ROW()-ROW(INDEX(Main[ردیف],1))+1</f>
        <v>1803</v>
      </c>
      <c r="B1805" s="31">
        <f>SUBTOTAL(2,INDEX(Main[ردیف],1):Main[[#This Row],[ردیف]])</f>
        <v>161</v>
      </c>
      <c r="C1805" s="32" t="s">
        <v>723</v>
      </c>
      <c r="D1805" s="32" t="str">
        <f>_xlfn.CONCAT("14",Main[[#This Row],[تاريخ]])</f>
        <v>1400/07/18</v>
      </c>
      <c r="E1805" s="33">
        <v>44479</v>
      </c>
      <c r="F1805" s="32">
        <v>30004</v>
      </c>
      <c r="G1805" s="5" t="str">
        <f>INDEX(customer[عنوان],MATCH(Main[[#This Row],[کد ردیابی]],customer[کد],0))</f>
        <v>تولیدی صنعتی صفاشیر پارس</v>
      </c>
      <c r="H1805">
        <v>1270</v>
      </c>
      <c r="I1805" s="6">
        <f ca="1">-Main[[#This Row],[بدهی تسویه شده (کیلوگرم)]]+Main[[#This Row],[بستانکار (کیلوگرم)]]</f>
        <v>1270</v>
      </c>
      <c r="J1805" s="6">
        <f>IF(Main[[#This Row],[مقدار (کیلوگرم)]]&gt;0,Main[[#This Row],[مقدار (کیلوگرم)]],0)</f>
        <v>1270</v>
      </c>
      <c r="K1805" s="6">
        <f>-IF(Main[[#This Row],[مقدار (کیلوگرم)]]&lt;0,Main[[#This Row],[مقدار (کیلوگرم)]],0)</f>
        <v>0</v>
      </c>
      <c r="L18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5" s="7">
        <f>-IF(AND(Main[[#This Row],[مقدار (کیلوگرم)]]&lt;0,Main[[#This Row],[تاريخ میلادی]]&gt;44276),Main[[#This Row],[مقدار (کیلوگرم)]],0)</f>
        <v>0</v>
      </c>
      <c r="N1805" s="6">
        <f ca="1">Main[[#This Row],[بدهکار (کیلوگرم)]]-Main[[#This Row],[بدهی تسویه نشده (کیلوگرم)]]</f>
        <v>0</v>
      </c>
      <c r="O1805" s="6">
        <f ca="1">Main[[#This Row],[تفکیک]]</f>
        <v>0</v>
      </c>
      <c r="P1805" s="6">
        <f ca="1">IF(Main[[#This Row],[تاخیر از سررسید]]&gt;0,Main[[#This Row],[بدهی تسویه نشده (کیلوگرم)]],0)</f>
        <v>0</v>
      </c>
      <c r="Q1805" s="6">
        <f ca="1">IF(Main[[#This Row],[بدهی تسویه نشده (کیلوگرم)]]&gt;0,'گزارش فردی'!$B$7-Main[[#This Row],[تاريخ میلادی]],0)</f>
        <v>0</v>
      </c>
      <c r="R1805" s="6">
        <f ca="1">IF(Main[[#This Row],[بدهی تسویه نشده (کیلوگرم)]]&gt;0,'گزارش فردی'!$B$7-Main[[#This Row],[تاريخ میلادی]]-'گزارش فردی'!$B$8,0)</f>
        <v>0</v>
      </c>
      <c r="S1805" s="6">
        <f ca="1">Main[[#This Row],[روز از ارسال سفارش]]*Main[[#This Row],[بدهی تسویه نشده (کیلوگرم)]]</f>
        <v>0</v>
      </c>
      <c r="T1805" s="6">
        <f ca="1">Main[[#This Row],[بدهی سررسید شده (کیلوگرم)]]*Main[[#This Row],[روز از ارسال سفارش]]</f>
        <v>0</v>
      </c>
      <c r="U1805" s="6">
        <f>-SUBTOTAL(9,INDEX(Main[مقدار (کیلوگرم)],1):Main[[#This Row],[مقدار (کیلوگرم)]])</f>
        <v>20855</v>
      </c>
      <c r="V18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5" s="6">
        <f>Main[[#This Row],[تعداد کل روزهای بدهکار (روز)]]*Main[[#This Row],[مانده در خط کل (کیلوگرم)]]</f>
        <v>20855</v>
      </c>
      <c r="X1805" s="6">
        <f ca="1">-SUBTOTAL(9,INDEX(Main[مقدار تسویه شده (کیلوگرم)],1):Main[[#This Row],[مقدار تسویه شده (کیلوگرم)]])</f>
        <v>20855</v>
      </c>
      <c r="Y1805" s="6">
        <f ca="1">IF(Main[[#This Row],[مانده در خط تسویه شده (کیلوگرم)]]&lt;&gt;0,Main[[#This Row],[تعداد کل روزهای بدهکار (روز)]],0)</f>
        <v>1</v>
      </c>
      <c r="Z1805" s="6">
        <f ca="1">Main[[#This Row],[تعداد روزهای بدهکار تسویه شده (روز)]]*Main[[#This Row],[مانده در خط تسویه شده (کیلوگرم)]]</f>
        <v>20855</v>
      </c>
      <c r="AA1805" s="6">
        <f ca="1">SUBTOTAL(9,INDEX(Main[بدهی تسویه نشده (کیلوگرم)],1):Main[[#This Row],[بدهی تسویه نشده (کیلوگرم)]])</f>
        <v>0</v>
      </c>
      <c r="AB1805" s="6">
        <f ca="1">IF(Main[[#This Row],[مانده در خط تسویه نشده (کیلوگرم)]]&lt;&gt;0,Main[[#This Row],[تعداد کل روزهای بدهکار (روز)]],0)</f>
        <v>0</v>
      </c>
      <c r="AC1805" s="6">
        <f ca="1">Main[[#This Row],[تعداد روزهای بدهکار  تسویه نشده (روز)]]*Main[[#This Row],[مانده در خط تسویه نشده (کیلوگرم)]]</f>
        <v>0</v>
      </c>
      <c r="AD1805" s="6">
        <f ca="1">SUBTOTAL(9,INDEX(Main[بدهی سررسید شده (کیلوگرم)],1):Main[[#This Row],[بدهی سررسید شده (کیلوگرم)]])</f>
        <v>0</v>
      </c>
      <c r="AE1805" s="6">
        <f ca="1">IF(Main[[#This Row],[مانده در خط سررسید شده (کیلوگرم)]]&lt;&gt;0,Main[[#This Row],[تعداد کل روزهای بدهکار (روز)]],0)</f>
        <v>0</v>
      </c>
      <c r="AF1805" s="6">
        <f ca="1">Main[[#This Row],[تعداد روزهای بدهکار سررسید شده (روز)]]*Main[[#This Row],[مانده در خط سررسید شده (کیلوگرم)]]</f>
        <v>0</v>
      </c>
    </row>
    <row r="1806" spans="1:32" hidden="1" x14ac:dyDescent="0.35">
      <c r="A1806" s="5">
        <f>ROW()-ROW(INDEX(Main[ردیف],1))+1</f>
        <v>1804</v>
      </c>
      <c r="B1806" s="31">
        <f>SUBTOTAL(2,INDEX(Main[ردیف],1):Main[[#This Row],[ردیف]])</f>
        <v>161</v>
      </c>
      <c r="C1806" s="32" t="s">
        <v>723</v>
      </c>
      <c r="D1806" s="32" t="str">
        <f>_xlfn.CONCAT("14",Main[[#This Row],[تاريخ]])</f>
        <v>1400/07/18</v>
      </c>
      <c r="E1806" s="33">
        <v>44479</v>
      </c>
      <c r="F1806" s="32">
        <v>30017</v>
      </c>
      <c r="G1806" s="5" t="str">
        <f>INDEX(customer[عنوان],MATCH(Main[[#This Row],[کد ردیابی]],customer[کد],0))</f>
        <v xml:space="preserve">البرز یدک </v>
      </c>
      <c r="H1806">
        <v>-5567</v>
      </c>
      <c r="I1806" s="6">
        <f ca="1">-Main[[#This Row],[بدهی تسویه شده (کیلوگرم)]]+Main[[#This Row],[بستانکار (کیلوگرم)]]</f>
        <v>-5567</v>
      </c>
      <c r="J1806" s="6">
        <f>IF(Main[[#This Row],[مقدار (کیلوگرم)]]&gt;0,Main[[#This Row],[مقدار (کیلوگرم)]],0)</f>
        <v>0</v>
      </c>
      <c r="K1806" s="6">
        <f>-IF(Main[[#This Row],[مقدار (کیلوگرم)]]&lt;0,Main[[#This Row],[مقدار (کیلوگرم)]],0)</f>
        <v>5567</v>
      </c>
      <c r="L18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6" s="7">
        <f>-IF(AND(Main[[#This Row],[مقدار (کیلوگرم)]]&lt;0,Main[[#This Row],[تاريخ میلادی]]&gt;44276),Main[[#This Row],[مقدار (کیلوگرم)]],0)</f>
        <v>5567</v>
      </c>
      <c r="N1806" s="6">
        <f ca="1">Main[[#This Row],[بدهکار (کیلوگرم)]]-Main[[#This Row],[بدهی تسویه نشده (کیلوگرم)]]</f>
        <v>5567</v>
      </c>
      <c r="O1806" s="6">
        <f ca="1">Main[[#This Row],[تفکیک]]</f>
        <v>0</v>
      </c>
      <c r="P1806" s="6">
        <f ca="1">IF(Main[[#This Row],[تاخیر از سررسید]]&gt;0,Main[[#This Row],[بدهی تسویه نشده (کیلوگرم)]],0)</f>
        <v>0</v>
      </c>
      <c r="Q1806" s="6">
        <f ca="1">IF(Main[[#This Row],[بدهی تسویه نشده (کیلوگرم)]]&gt;0,'گزارش فردی'!$B$7-Main[[#This Row],[تاريخ میلادی]],0)</f>
        <v>0</v>
      </c>
      <c r="R1806" s="6">
        <f ca="1">IF(Main[[#This Row],[بدهی تسویه نشده (کیلوگرم)]]&gt;0,'گزارش فردی'!$B$7-Main[[#This Row],[تاريخ میلادی]]-'گزارش فردی'!$B$8,0)</f>
        <v>0</v>
      </c>
      <c r="S1806" s="6">
        <f ca="1">Main[[#This Row],[روز از ارسال سفارش]]*Main[[#This Row],[بدهی تسویه نشده (کیلوگرم)]]</f>
        <v>0</v>
      </c>
      <c r="T1806" s="6">
        <f ca="1">Main[[#This Row],[بدهی سررسید شده (کیلوگرم)]]*Main[[#This Row],[روز از ارسال سفارش]]</f>
        <v>0</v>
      </c>
      <c r="U1806" s="6">
        <f>-SUBTOTAL(9,INDEX(Main[مقدار (کیلوگرم)],1):Main[[#This Row],[مقدار (کیلوگرم)]])</f>
        <v>20855</v>
      </c>
      <c r="V18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6" s="6">
        <f>Main[[#This Row],[تعداد کل روزهای بدهکار (روز)]]*Main[[#This Row],[مانده در خط کل (کیلوگرم)]]</f>
        <v>20855</v>
      </c>
      <c r="X1806" s="6">
        <f ca="1">-SUBTOTAL(9,INDEX(Main[مقدار تسویه شده (کیلوگرم)],1):Main[[#This Row],[مقدار تسویه شده (کیلوگرم)]])</f>
        <v>20855</v>
      </c>
      <c r="Y1806" s="6">
        <f ca="1">IF(Main[[#This Row],[مانده در خط تسویه شده (کیلوگرم)]]&lt;&gt;0,Main[[#This Row],[تعداد کل روزهای بدهکار (روز)]],0)</f>
        <v>1</v>
      </c>
      <c r="Z1806" s="6">
        <f ca="1">Main[[#This Row],[تعداد روزهای بدهکار تسویه شده (روز)]]*Main[[#This Row],[مانده در خط تسویه شده (کیلوگرم)]]</f>
        <v>20855</v>
      </c>
      <c r="AA1806" s="6">
        <f ca="1">SUBTOTAL(9,INDEX(Main[بدهی تسویه نشده (کیلوگرم)],1):Main[[#This Row],[بدهی تسویه نشده (کیلوگرم)]])</f>
        <v>0</v>
      </c>
      <c r="AB1806" s="6">
        <f ca="1">IF(Main[[#This Row],[مانده در خط تسویه نشده (کیلوگرم)]]&lt;&gt;0,Main[[#This Row],[تعداد کل روزهای بدهکار (روز)]],0)</f>
        <v>0</v>
      </c>
      <c r="AC1806" s="6">
        <f ca="1">Main[[#This Row],[تعداد روزهای بدهکار  تسویه نشده (روز)]]*Main[[#This Row],[مانده در خط تسویه نشده (کیلوگرم)]]</f>
        <v>0</v>
      </c>
      <c r="AD1806" s="6">
        <f ca="1">SUBTOTAL(9,INDEX(Main[بدهی سررسید شده (کیلوگرم)],1):Main[[#This Row],[بدهی سررسید شده (کیلوگرم)]])</f>
        <v>0</v>
      </c>
      <c r="AE1806" s="6">
        <f ca="1">IF(Main[[#This Row],[مانده در خط سررسید شده (کیلوگرم)]]&lt;&gt;0,Main[[#This Row],[تعداد کل روزهای بدهکار (روز)]],0)</f>
        <v>0</v>
      </c>
      <c r="AF1806" s="6">
        <f ca="1">Main[[#This Row],[تعداد روزهای بدهکار سررسید شده (روز)]]*Main[[#This Row],[مانده در خط سررسید شده (کیلوگرم)]]</f>
        <v>0</v>
      </c>
    </row>
    <row r="1807" spans="1:32" hidden="1" x14ac:dyDescent="0.35">
      <c r="A1807" s="5">
        <f>ROW()-ROW(INDEX(Main[ردیف],1))+1</f>
        <v>1805</v>
      </c>
      <c r="B1807" s="31">
        <f>SUBTOTAL(2,INDEX(Main[ردیف],1):Main[[#This Row],[ردیف]])</f>
        <v>161</v>
      </c>
      <c r="C1807" s="32" t="s">
        <v>723</v>
      </c>
      <c r="D1807" s="32" t="str">
        <f>_xlfn.CONCAT("14",Main[[#This Row],[تاريخ]])</f>
        <v>1400/07/18</v>
      </c>
      <c r="E1807" s="33">
        <v>44479</v>
      </c>
      <c r="F1807" s="32">
        <v>30191</v>
      </c>
      <c r="G1807" s="5" t="str">
        <f>INDEX(customer[عنوان],MATCH(Main[[#This Row],[کد ردیابی]],customer[کد],0))</f>
        <v>ایران گرما</v>
      </c>
      <c r="H1807">
        <v>272</v>
      </c>
      <c r="I1807" s="6">
        <f ca="1">-Main[[#This Row],[بدهی تسویه شده (کیلوگرم)]]+Main[[#This Row],[بستانکار (کیلوگرم)]]</f>
        <v>272</v>
      </c>
      <c r="J1807" s="6">
        <f>IF(Main[[#This Row],[مقدار (کیلوگرم)]]&gt;0,Main[[#This Row],[مقدار (کیلوگرم)]],0)</f>
        <v>272</v>
      </c>
      <c r="K1807" s="6">
        <f>-IF(Main[[#This Row],[مقدار (کیلوگرم)]]&lt;0,Main[[#This Row],[مقدار (کیلوگرم)]],0)</f>
        <v>0</v>
      </c>
      <c r="L18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7" s="7">
        <f>-IF(AND(Main[[#This Row],[مقدار (کیلوگرم)]]&lt;0,Main[[#This Row],[تاريخ میلادی]]&gt;44276),Main[[#This Row],[مقدار (کیلوگرم)]],0)</f>
        <v>0</v>
      </c>
      <c r="N1807" s="6">
        <f ca="1">Main[[#This Row],[بدهکار (کیلوگرم)]]-Main[[#This Row],[بدهی تسویه نشده (کیلوگرم)]]</f>
        <v>0</v>
      </c>
      <c r="O1807" s="6">
        <f ca="1">Main[[#This Row],[تفکیک]]</f>
        <v>0</v>
      </c>
      <c r="P1807" s="6">
        <f ca="1">IF(Main[[#This Row],[تاخیر از سررسید]]&gt;0,Main[[#This Row],[بدهی تسویه نشده (کیلوگرم)]],0)</f>
        <v>0</v>
      </c>
      <c r="Q1807" s="6">
        <f ca="1">IF(Main[[#This Row],[بدهی تسویه نشده (کیلوگرم)]]&gt;0,'گزارش فردی'!$B$7-Main[[#This Row],[تاريخ میلادی]],0)</f>
        <v>0</v>
      </c>
      <c r="R1807" s="6">
        <f ca="1">IF(Main[[#This Row],[بدهی تسویه نشده (کیلوگرم)]]&gt;0,'گزارش فردی'!$B$7-Main[[#This Row],[تاريخ میلادی]]-'گزارش فردی'!$B$8,0)</f>
        <v>0</v>
      </c>
      <c r="S1807" s="6">
        <f ca="1">Main[[#This Row],[روز از ارسال سفارش]]*Main[[#This Row],[بدهی تسویه نشده (کیلوگرم)]]</f>
        <v>0</v>
      </c>
      <c r="T1807" s="6">
        <f ca="1">Main[[#This Row],[بدهی سررسید شده (کیلوگرم)]]*Main[[#This Row],[روز از ارسال سفارش]]</f>
        <v>0</v>
      </c>
      <c r="U1807" s="6">
        <f>-SUBTOTAL(9,INDEX(Main[مقدار (کیلوگرم)],1):Main[[#This Row],[مقدار (کیلوگرم)]])</f>
        <v>20855</v>
      </c>
      <c r="V18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7" s="6">
        <f>Main[[#This Row],[تعداد کل روزهای بدهکار (روز)]]*Main[[#This Row],[مانده در خط کل (کیلوگرم)]]</f>
        <v>20855</v>
      </c>
      <c r="X1807" s="6">
        <f ca="1">-SUBTOTAL(9,INDEX(Main[مقدار تسویه شده (کیلوگرم)],1):Main[[#This Row],[مقدار تسویه شده (کیلوگرم)]])</f>
        <v>20855</v>
      </c>
      <c r="Y1807" s="6">
        <f ca="1">IF(Main[[#This Row],[مانده در خط تسویه شده (کیلوگرم)]]&lt;&gt;0,Main[[#This Row],[تعداد کل روزهای بدهکار (روز)]],0)</f>
        <v>1</v>
      </c>
      <c r="Z1807" s="6">
        <f ca="1">Main[[#This Row],[تعداد روزهای بدهکار تسویه شده (روز)]]*Main[[#This Row],[مانده در خط تسویه شده (کیلوگرم)]]</f>
        <v>20855</v>
      </c>
      <c r="AA1807" s="6">
        <f ca="1">SUBTOTAL(9,INDEX(Main[بدهی تسویه نشده (کیلوگرم)],1):Main[[#This Row],[بدهی تسویه نشده (کیلوگرم)]])</f>
        <v>0</v>
      </c>
      <c r="AB1807" s="6">
        <f ca="1">IF(Main[[#This Row],[مانده در خط تسویه نشده (کیلوگرم)]]&lt;&gt;0,Main[[#This Row],[تعداد کل روزهای بدهکار (روز)]],0)</f>
        <v>0</v>
      </c>
      <c r="AC1807" s="6">
        <f ca="1">Main[[#This Row],[تعداد روزهای بدهکار  تسویه نشده (روز)]]*Main[[#This Row],[مانده در خط تسویه نشده (کیلوگرم)]]</f>
        <v>0</v>
      </c>
      <c r="AD1807" s="6">
        <f ca="1">SUBTOTAL(9,INDEX(Main[بدهی سررسید شده (کیلوگرم)],1):Main[[#This Row],[بدهی سررسید شده (کیلوگرم)]])</f>
        <v>0</v>
      </c>
      <c r="AE1807" s="6">
        <f ca="1">IF(Main[[#This Row],[مانده در خط سررسید شده (کیلوگرم)]]&lt;&gt;0,Main[[#This Row],[تعداد کل روزهای بدهکار (روز)]],0)</f>
        <v>0</v>
      </c>
      <c r="AF1807" s="6">
        <f ca="1">Main[[#This Row],[تعداد روزهای بدهکار سررسید شده (روز)]]*Main[[#This Row],[مانده در خط سررسید شده (کیلوگرم)]]</f>
        <v>0</v>
      </c>
    </row>
    <row r="1808" spans="1:32" hidden="1" x14ac:dyDescent="0.35">
      <c r="A1808" s="5">
        <f>ROW()-ROW(INDEX(Main[ردیف],1))+1</f>
        <v>1806</v>
      </c>
      <c r="B1808" s="31">
        <f>SUBTOTAL(2,INDEX(Main[ردیف],1):Main[[#This Row],[ردیف]])</f>
        <v>161</v>
      </c>
      <c r="C1808" s="32" t="s">
        <v>723</v>
      </c>
      <c r="D1808" s="32" t="str">
        <f>_xlfn.CONCAT("14",Main[[#This Row],[تاريخ]])</f>
        <v>1400/07/18</v>
      </c>
      <c r="E1808" s="33">
        <v>44479</v>
      </c>
      <c r="F1808" s="32">
        <v>30127</v>
      </c>
      <c r="G1808" s="5" t="str">
        <f>INDEX(customer[عنوان],MATCH(Main[[#This Row],[کد ردیابی]],customer[کد],0))</f>
        <v>شیر گاز آذران</v>
      </c>
      <c r="H1808">
        <v>-15341</v>
      </c>
      <c r="I1808" s="6">
        <f ca="1">-Main[[#This Row],[بدهی تسویه شده (کیلوگرم)]]+Main[[#This Row],[بستانکار (کیلوگرم)]]</f>
        <v>-15341</v>
      </c>
      <c r="J1808" s="6">
        <f>IF(Main[[#This Row],[مقدار (کیلوگرم)]]&gt;0,Main[[#This Row],[مقدار (کیلوگرم)]],0)</f>
        <v>0</v>
      </c>
      <c r="K1808" s="6">
        <f>-IF(Main[[#This Row],[مقدار (کیلوگرم)]]&lt;0,Main[[#This Row],[مقدار (کیلوگرم)]],0)</f>
        <v>15341</v>
      </c>
      <c r="L18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8" s="7">
        <f>-IF(AND(Main[[#This Row],[مقدار (کیلوگرم)]]&lt;0,Main[[#This Row],[تاريخ میلادی]]&gt;44276),Main[[#This Row],[مقدار (کیلوگرم)]],0)</f>
        <v>15341</v>
      </c>
      <c r="N1808" s="6">
        <f ca="1">Main[[#This Row],[بدهکار (کیلوگرم)]]-Main[[#This Row],[بدهی تسویه نشده (کیلوگرم)]]</f>
        <v>15341</v>
      </c>
      <c r="O1808" s="6">
        <f ca="1">Main[[#This Row],[تفکیک]]</f>
        <v>0</v>
      </c>
      <c r="P1808" s="6">
        <f ca="1">IF(Main[[#This Row],[تاخیر از سررسید]]&gt;0,Main[[#This Row],[بدهی تسویه نشده (کیلوگرم)]],0)</f>
        <v>0</v>
      </c>
      <c r="Q1808" s="6">
        <f ca="1">IF(Main[[#This Row],[بدهی تسویه نشده (کیلوگرم)]]&gt;0,'گزارش فردی'!$B$7-Main[[#This Row],[تاريخ میلادی]],0)</f>
        <v>0</v>
      </c>
      <c r="R1808" s="6">
        <f ca="1">IF(Main[[#This Row],[بدهی تسویه نشده (کیلوگرم)]]&gt;0,'گزارش فردی'!$B$7-Main[[#This Row],[تاريخ میلادی]]-'گزارش فردی'!$B$8,0)</f>
        <v>0</v>
      </c>
      <c r="S1808" s="6">
        <f ca="1">Main[[#This Row],[روز از ارسال سفارش]]*Main[[#This Row],[بدهی تسویه نشده (کیلوگرم)]]</f>
        <v>0</v>
      </c>
      <c r="T1808" s="6">
        <f ca="1">Main[[#This Row],[بدهی سررسید شده (کیلوگرم)]]*Main[[#This Row],[روز از ارسال سفارش]]</f>
        <v>0</v>
      </c>
      <c r="U1808" s="6">
        <f>-SUBTOTAL(9,INDEX(Main[مقدار (کیلوگرم)],1):Main[[#This Row],[مقدار (کیلوگرم)]])</f>
        <v>20855</v>
      </c>
      <c r="V18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8" s="6">
        <f>Main[[#This Row],[تعداد کل روزهای بدهکار (روز)]]*Main[[#This Row],[مانده در خط کل (کیلوگرم)]]</f>
        <v>20855</v>
      </c>
      <c r="X1808" s="6">
        <f ca="1">-SUBTOTAL(9,INDEX(Main[مقدار تسویه شده (کیلوگرم)],1):Main[[#This Row],[مقدار تسویه شده (کیلوگرم)]])</f>
        <v>20855</v>
      </c>
      <c r="Y1808" s="6">
        <f ca="1">IF(Main[[#This Row],[مانده در خط تسویه شده (کیلوگرم)]]&lt;&gt;0,Main[[#This Row],[تعداد کل روزهای بدهکار (روز)]],0)</f>
        <v>1</v>
      </c>
      <c r="Z1808" s="6">
        <f ca="1">Main[[#This Row],[تعداد روزهای بدهکار تسویه شده (روز)]]*Main[[#This Row],[مانده در خط تسویه شده (کیلوگرم)]]</f>
        <v>20855</v>
      </c>
      <c r="AA1808" s="6">
        <f ca="1">SUBTOTAL(9,INDEX(Main[بدهی تسویه نشده (کیلوگرم)],1):Main[[#This Row],[بدهی تسویه نشده (کیلوگرم)]])</f>
        <v>0</v>
      </c>
      <c r="AB1808" s="6">
        <f ca="1">IF(Main[[#This Row],[مانده در خط تسویه نشده (کیلوگرم)]]&lt;&gt;0,Main[[#This Row],[تعداد کل روزهای بدهکار (روز)]],0)</f>
        <v>0</v>
      </c>
      <c r="AC1808" s="6">
        <f ca="1">Main[[#This Row],[تعداد روزهای بدهکار  تسویه نشده (روز)]]*Main[[#This Row],[مانده در خط تسویه نشده (کیلوگرم)]]</f>
        <v>0</v>
      </c>
      <c r="AD1808" s="6">
        <f ca="1">SUBTOTAL(9,INDEX(Main[بدهی سررسید شده (کیلوگرم)],1):Main[[#This Row],[بدهی سررسید شده (کیلوگرم)]])</f>
        <v>0</v>
      </c>
      <c r="AE1808" s="6">
        <f ca="1">IF(Main[[#This Row],[مانده در خط سررسید شده (کیلوگرم)]]&lt;&gt;0,Main[[#This Row],[تعداد کل روزهای بدهکار (روز)]],0)</f>
        <v>0</v>
      </c>
      <c r="AF1808" s="6">
        <f ca="1">Main[[#This Row],[تعداد روزهای بدهکار سررسید شده (روز)]]*Main[[#This Row],[مانده در خط سررسید شده (کیلوگرم)]]</f>
        <v>0</v>
      </c>
    </row>
    <row r="1809" spans="1:32" hidden="1" x14ac:dyDescent="0.35">
      <c r="A1809" s="5">
        <f>ROW()-ROW(INDEX(Main[ردیف],1))+1</f>
        <v>1807</v>
      </c>
      <c r="B1809" s="31">
        <f>SUBTOTAL(2,INDEX(Main[ردیف],1):Main[[#This Row],[ردیف]])</f>
        <v>161</v>
      </c>
      <c r="C1809" s="32" t="s">
        <v>723</v>
      </c>
      <c r="D1809" s="32" t="str">
        <f>_xlfn.CONCAT("14",Main[[#This Row],[تاريخ]])</f>
        <v>1400/07/18</v>
      </c>
      <c r="E1809" s="33">
        <v>44479</v>
      </c>
      <c r="F1809" s="32">
        <v>30004</v>
      </c>
      <c r="G1809" s="5" t="str">
        <f>INDEX(customer[عنوان],MATCH(Main[[#This Row],[کد ردیابی]],customer[کد],0))</f>
        <v>تولیدی صنعتی صفاشیر پارس</v>
      </c>
      <c r="H1809">
        <v>3714</v>
      </c>
      <c r="I1809" s="6">
        <f ca="1">-Main[[#This Row],[بدهی تسویه شده (کیلوگرم)]]+Main[[#This Row],[بستانکار (کیلوگرم)]]</f>
        <v>3714</v>
      </c>
      <c r="J1809" s="6">
        <f>IF(Main[[#This Row],[مقدار (کیلوگرم)]]&gt;0,Main[[#This Row],[مقدار (کیلوگرم)]],0)</f>
        <v>3714</v>
      </c>
      <c r="K1809" s="6">
        <f>-IF(Main[[#This Row],[مقدار (کیلوگرم)]]&lt;0,Main[[#This Row],[مقدار (کیلوگرم)]],0)</f>
        <v>0</v>
      </c>
      <c r="L18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9" s="7">
        <f>-IF(AND(Main[[#This Row],[مقدار (کیلوگرم)]]&lt;0,Main[[#This Row],[تاريخ میلادی]]&gt;44276),Main[[#This Row],[مقدار (کیلوگرم)]],0)</f>
        <v>0</v>
      </c>
      <c r="N1809" s="6">
        <f ca="1">Main[[#This Row],[بدهکار (کیلوگرم)]]-Main[[#This Row],[بدهی تسویه نشده (کیلوگرم)]]</f>
        <v>0</v>
      </c>
      <c r="O1809" s="6">
        <f ca="1">Main[[#This Row],[تفکیک]]</f>
        <v>0</v>
      </c>
      <c r="P1809" s="6">
        <f ca="1">IF(Main[[#This Row],[تاخیر از سررسید]]&gt;0,Main[[#This Row],[بدهی تسویه نشده (کیلوگرم)]],0)</f>
        <v>0</v>
      </c>
      <c r="Q1809" s="6">
        <f ca="1">IF(Main[[#This Row],[بدهی تسویه نشده (کیلوگرم)]]&gt;0,'گزارش فردی'!$B$7-Main[[#This Row],[تاريخ میلادی]],0)</f>
        <v>0</v>
      </c>
      <c r="R1809" s="6">
        <f ca="1">IF(Main[[#This Row],[بدهی تسویه نشده (کیلوگرم)]]&gt;0,'گزارش فردی'!$B$7-Main[[#This Row],[تاريخ میلادی]]-'گزارش فردی'!$B$8,0)</f>
        <v>0</v>
      </c>
      <c r="S1809" s="6">
        <f ca="1">Main[[#This Row],[روز از ارسال سفارش]]*Main[[#This Row],[بدهی تسویه نشده (کیلوگرم)]]</f>
        <v>0</v>
      </c>
      <c r="T1809" s="6">
        <f ca="1">Main[[#This Row],[بدهی سررسید شده (کیلوگرم)]]*Main[[#This Row],[روز از ارسال سفارش]]</f>
        <v>0</v>
      </c>
      <c r="U1809" s="6">
        <f>-SUBTOTAL(9,INDEX(Main[مقدار (کیلوگرم)],1):Main[[#This Row],[مقدار (کیلوگرم)]])</f>
        <v>20855</v>
      </c>
      <c r="V18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9" s="6">
        <f>Main[[#This Row],[تعداد کل روزهای بدهکار (روز)]]*Main[[#This Row],[مانده در خط کل (کیلوگرم)]]</f>
        <v>20855</v>
      </c>
      <c r="X1809" s="6">
        <f ca="1">-SUBTOTAL(9,INDEX(Main[مقدار تسویه شده (کیلوگرم)],1):Main[[#This Row],[مقدار تسویه شده (کیلوگرم)]])</f>
        <v>20855</v>
      </c>
      <c r="Y1809" s="6">
        <f ca="1">IF(Main[[#This Row],[مانده در خط تسویه شده (کیلوگرم)]]&lt;&gt;0,Main[[#This Row],[تعداد کل روزهای بدهکار (روز)]],0)</f>
        <v>1</v>
      </c>
      <c r="Z1809" s="6">
        <f ca="1">Main[[#This Row],[تعداد روزهای بدهکار تسویه شده (روز)]]*Main[[#This Row],[مانده در خط تسویه شده (کیلوگرم)]]</f>
        <v>20855</v>
      </c>
      <c r="AA1809" s="6">
        <f ca="1">SUBTOTAL(9,INDEX(Main[بدهی تسویه نشده (کیلوگرم)],1):Main[[#This Row],[بدهی تسویه نشده (کیلوگرم)]])</f>
        <v>0</v>
      </c>
      <c r="AB1809" s="6">
        <f ca="1">IF(Main[[#This Row],[مانده در خط تسویه نشده (کیلوگرم)]]&lt;&gt;0,Main[[#This Row],[تعداد کل روزهای بدهکار (روز)]],0)</f>
        <v>0</v>
      </c>
      <c r="AC1809" s="6">
        <f ca="1">Main[[#This Row],[تعداد روزهای بدهکار  تسویه نشده (روز)]]*Main[[#This Row],[مانده در خط تسویه نشده (کیلوگرم)]]</f>
        <v>0</v>
      </c>
      <c r="AD1809" s="6">
        <f ca="1">SUBTOTAL(9,INDEX(Main[بدهی سررسید شده (کیلوگرم)],1):Main[[#This Row],[بدهی سررسید شده (کیلوگرم)]])</f>
        <v>0</v>
      </c>
      <c r="AE1809" s="6">
        <f ca="1">IF(Main[[#This Row],[مانده در خط سررسید شده (کیلوگرم)]]&lt;&gt;0,Main[[#This Row],[تعداد کل روزهای بدهکار (روز)]],0)</f>
        <v>0</v>
      </c>
      <c r="AF1809" s="6">
        <f ca="1">Main[[#This Row],[تعداد روزهای بدهکار سررسید شده (روز)]]*Main[[#This Row],[مانده در خط سررسید شده (کیلوگرم)]]</f>
        <v>0</v>
      </c>
    </row>
    <row r="1810" spans="1:32" hidden="1" x14ac:dyDescent="0.35">
      <c r="A1810" s="5">
        <f>ROW()-ROW(INDEX(Main[ردیف],1))+1</f>
        <v>1808</v>
      </c>
      <c r="B1810" s="31">
        <f>SUBTOTAL(2,INDEX(Main[ردیف],1):Main[[#This Row],[ردیف]])</f>
        <v>161</v>
      </c>
      <c r="C1810" s="32" t="s">
        <v>723</v>
      </c>
      <c r="D1810" s="32" t="str">
        <f>_xlfn.CONCAT("14",Main[[#This Row],[تاريخ]])</f>
        <v>1400/07/18</v>
      </c>
      <c r="E1810" s="33">
        <v>44479</v>
      </c>
      <c r="F1810" s="32">
        <v>30004</v>
      </c>
      <c r="G1810" s="5" t="str">
        <f>INDEX(customer[عنوان],MATCH(Main[[#This Row],[کد ردیابی]],customer[کد],0))</f>
        <v>تولیدی صنعتی صفاشیر پارس</v>
      </c>
      <c r="H1810">
        <v>-4879</v>
      </c>
      <c r="I1810" s="6">
        <f ca="1">-Main[[#This Row],[بدهی تسویه شده (کیلوگرم)]]+Main[[#This Row],[بستانکار (کیلوگرم)]]</f>
        <v>-4879</v>
      </c>
      <c r="J1810" s="6">
        <f>IF(Main[[#This Row],[مقدار (کیلوگرم)]]&gt;0,Main[[#This Row],[مقدار (کیلوگرم)]],0)</f>
        <v>0</v>
      </c>
      <c r="K1810" s="6">
        <f>-IF(Main[[#This Row],[مقدار (کیلوگرم)]]&lt;0,Main[[#This Row],[مقدار (کیلوگرم)]],0)</f>
        <v>4879</v>
      </c>
      <c r="L18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0" s="7">
        <f>-IF(AND(Main[[#This Row],[مقدار (کیلوگرم)]]&lt;0,Main[[#This Row],[تاريخ میلادی]]&gt;44276),Main[[#This Row],[مقدار (کیلوگرم)]],0)</f>
        <v>4879</v>
      </c>
      <c r="N1810" s="6">
        <f ca="1">Main[[#This Row],[بدهکار (کیلوگرم)]]-Main[[#This Row],[بدهی تسویه نشده (کیلوگرم)]]</f>
        <v>4879</v>
      </c>
      <c r="O1810" s="6">
        <f ca="1">Main[[#This Row],[تفکیک]]</f>
        <v>0</v>
      </c>
      <c r="P1810" s="6">
        <f ca="1">IF(Main[[#This Row],[تاخیر از سررسید]]&gt;0,Main[[#This Row],[بدهی تسویه نشده (کیلوگرم)]],0)</f>
        <v>0</v>
      </c>
      <c r="Q1810" s="6">
        <f ca="1">IF(Main[[#This Row],[بدهی تسویه نشده (کیلوگرم)]]&gt;0,'گزارش فردی'!$B$7-Main[[#This Row],[تاريخ میلادی]],0)</f>
        <v>0</v>
      </c>
      <c r="R1810" s="6">
        <f ca="1">IF(Main[[#This Row],[بدهی تسویه نشده (کیلوگرم)]]&gt;0,'گزارش فردی'!$B$7-Main[[#This Row],[تاريخ میلادی]]-'گزارش فردی'!$B$8,0)</f>
        <v>0</v>
      </c>
      <c r="S1810" s="6">
        <f ca="1">Main[[#This Row],[روز از ارسال سفارش]]*Main[[#This Row],[بدهی تسویه نشده (کیلوگرم)]]</f>
        <v>0</v>
      </c>
      <c r="T1810" s="6">
        <f ca="1">Main[[#This Row],[بدهی سررسید شده (کیلوگرم)]]*Main[[#This Row],[روز از ارسال سفارش]]</f>
        <v>0</v>
      </c>
      <c r="U1810" s="6">
        <f>-SUBTOTAL(9,INDEX(Main[مقدار (کیلوگرم)],1):Main[[#This Row],[مقدار (کیلوگرم)]])</f>
        <v>20855</v>
      </c>
      <c r="V18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0" s="6">
        <f>Main[[#This Row],[تعداد کل روزهای بدهکار (روز)]]*Main[[#This Row],[مانده در خط کل (کیلوگرم)]]</f>
        <v>20855</v>
      </c>
      <c r="X1810" s="6">
        <f ca="1">-SUBTOTAL(9,INDEX(Main[مقدار تسویه شده (کیلوگرم)],1):Main[[#This Row],[مقدار تسویه شده (کیلوگرم)]])</f>
        <v>20855</v>
      </c>
      <c r="Y1810" s="6">
        <f ca="1">IF(Main[[#This Row],[مانده در خط تسویه شده (کیلوگرم)]]&lt;&gt;0,Main[[#This Row],[تعداد کل روزهای بدهکار (روز)]],0)</f>
        <v>1</v>
      </c>
      <c r="Z1810" s="6">
        <f ca="1">Main[[#This Row],[تعداد روزهای بدهکار تسویه شده (روز)]]*Main[[#This Row],[مانده در خط تسویه شده (کیلوگرم)]]</f>
        <v>20855</v>
      </c>
      <c r="AA1810" s="6">
        <f ca="1">SUBTOTAL(9,INDEX(Main[بدهی تسویه نشده (کیلوگرم)],1):Main[[#This Row],[بدهی تسویه نشده (کیلوگرم)]])</f>
        <v>0</v>
      </c>
      <c r="AB1810" s="6">
        <f ca="1">IF(Main[[#This Row],[مانده در خط تسویه نشده (کیلوگرم)]]&lt;&gt;0,Main[[#This Row],[تعداد کل روزهای بدهکار (روز)]],0)</f>
        <v>0</v>
      </c>
      <c r="AC1810" s="6">
        <f ca="1">Main[[#This Row],[تعداد روزهای بدهکار  تسویه نشده (روز)]]*Main[[#This Row],[مانده در خط تسویه نشده (کیلوگرم)]]</f>
        <v>0</v>
      </c>
      <c r="AD1810" s="6">
        <f ca="1">SUBTOTAL(9,INDEX(Main[بدهی سررسید شده (کیلوگرم)],1):Main[[#This Row],[بدهی سررسید شده (کیلوگرم)]])</f>
        <v>0</v>
      </c>
      <c r="AE1810" s="6">
        <f ca="1">IF(Main[[#This Row],[مانده در خط سررسید شده (کیلوگرم)]]&lt;&gt;0,Main[[#This Row],[تعداد کل روزهای بدهکار (روز)]],0)</f>
        <v>0</v>
      </c>
      <c r="AF1810" s="6">
        <f ca="1">Main[[#This Row],[تعداد روزهای بدهکار سررسید شده (روز)]]*Main[[#This Row],[مانده در خط سررسید شده (کیلوگرم)]]</f>
        <v>0</v>
      </c>
    </row>
    <row r="1811" spans="1:32" hidden="1" x14ac:dyDescent="0.35">
      <c r="A1811" s="5">
        <f>ROW()-ROW(INDEX(Main[ردیف],1))+1</f>
        <v>1809</v>
      </c>
      <c r="B1811" s="31">
        <f>SUBTOTAL(2,INDEX(Main[ردیف],1):Main[[#This Row],[ردیف]])</f>
        <v>161</v>
      </c>
      <c r="C1811" s="32" t="s">
        <v>723</v>
      </c>
      <c r="D1811" s="32" t="str">
        <f>_xlfn.CONCAT("14",Main[[#This Row],[تاريخ]])</f>
        <v>1400/07/18</v>
      </c>
      <c r="E1811" s="33">
        <v>44479</v>
      </c>
      <c r="F1811" s="32">
        <v>30127</v>
      </c>
      <c r="G1811" s="5" t="str">
        <f>INDEX(customer[عنوان],MATCH(Main[[#This Row],[کد ردیابی]],customer[کد],0))</f>
        <v>شیر گاز آذران</v>
      </c>
      <c r="H1811">
        <v>15020</v>
      </c>
      <c r="I1811" s="6">
        <f ca="1">-Main[[#This Row],[بدهی تسویه شده (کیلوگرم)]]+Main[[#This Row],[بستانکار (کیلوگرم)]]</f>
        <v>15020</v>
      </c>
      <c r="J1811" s="6">
        <f>IF(Main[[#This Row],[مقدار (کیلوگرم)]]&gt;0,Main[[#This Row],[مقدار (کیلوگرم)]],0)</f>
        <v>15020</v>
      </c>
      <c r="K1811" s="6">
        <f>-IF(Main[[#This Row],[مقدار (کیلوگرم)]]&lt;0,Main[[#This Row],[مقدار (کیلوگرم)]],0)</f>
        <v>0</v>
      </c>
      <c r="L18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1" s="7">
        <f>-IF(AND(Main[[#This Row],[مقدار (کیلوگرم)]]&lt;0,Main[[#This Row],[تاريخ میلادی]]&gt;44276),Main[[#This Row],[مقدار (کیلوگرم)]],0)</f>
        <v>0</v>
      </c>
      <c r="N1811" s="6">
        <f ca="1">Main[[#This Row],[بدهکار (کیلوگرم)]]-Main[[#This Row],[بدهی تسویه نشده (کیلوگرم)]]</f>
        <v>0</v>
      </c>
      <c r="O1811" s="6">
        <f ca="1">Main[[#This Row],[تفکیک]]</f>
        <v>0</v>
      </c>
      <c r="P1811" s="6">
        <f ca="1">IF(Main[[#This Row],[تاخیر از سررسید]]&gt;0,Main[[#This Row],[بدهی تسویه نشده (کیلوگرم)]],0)</f>
        <v>0</v>
      </c>
      <c r="Q1811" s="6">
        <f ca="1">IF(Main[[#This Row],[بدهی تسویه نشده (کیلوگرم)]]&gt;0,'گزارش فردی'!$B$7-Main[[#This Row],[تاريخ میلادی]],0)</f>
        <v>0</v>
      </c>
      <c r="R1811" s="6">
        <f ca="1">IF(Main[[#This Row],[بدهی تسویه نشده (کیلوگرم)]]&gt;0,'گزارش فردی'!$B$7-Main[[#This Row],[تاريخ میلادی]]-'گزارش فردی'!$B$8,0)</f>
        <v>0</v>
      </c>
      <c r="S1811" s="6">
        <f ca="1">Main[[#This Row],[روز از ارسال سفارش]]*Main[[#This Row],[بدهی تسویه نشده (کیلوگرم)]]</f>
        <v>0</v>
      </c>
      <c r="T1811" s="6">
        <f ca="1">Main[[#This Row],[بدهی سررسید شده (کیلوگرم)]]*Main[[#This Row],[روز از ارسال سفارش]]</f>
        <v>0</v>
      </c>
      <c r="U1811" s="6">
        <f>-SUBTOTAL(9,INDEX(Main[مقدار (کیلوگرم)],1):Main[[#This Row],[مقدار (کیلوگرم)]])</f>
        <v>20855</v>
      </c>
      <c r="V18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1" s="6">
        <f>Main[[#This Row],[تعداد کل روزهای بدهکار (روز)]]*Main[[#This Row],[مانده در خط کل (کیلوگرم)]]</f>
        <v>20855</v>
      </c>
      <c r="X1811" s="6">
        <f ca="1">-SUBTOTAL(9,INDEX(Main[مقدار تسویه شده (کیلوگرم)],1):Main[[#This Row],[مقدار تسویه شده (کیلوگرم)]])</f>
        <v>20855</v>
      </c>
      <c r="Y1811" s="6">
        <f ca="1">IF(Main[[#This Row],[مانده در خط تسویه شده (کیلوگرم)]]&lt;&gt;0,Main[[#This Row],[تعداد کل روزهای بدهکار (روز)]],0)</f>
        <v>1</v>
      </c>
      <c r="Z1811" s="6">
        <f ca="1">Main[[#This Row],[تعداد روزهای بدهکار تسویه شده (روز)]]*Main[[#This Row],[مانده در خط تسویه شده (کیلوگرم)]]</f>
        <v>20855</v>
      </c>
      <c r="AA1811" s="6">
        <f ca="1">SUBTOTAL(9,INDEX(Main[بدهی تسویه نشده (کیلوگرم)],1):Main[[#This Row],[بدهی تسویه نشده (کیلوگرم)]])</f>
        <v>0</v>
      </c>
      <c r="AB1811" s="6">
        <f ca="1">IF(Main[[#This Row],[مانده در خط تسویه نشده (کیلوگرم)]]&lt;&gt;0,Main[[#This Row],[تعداد کل روزهای بدهکار (روز)]],0)</f>
        <v>0</v>
      </c>
      <c r="AC1811" s="6">
        <f ca="1">Main[[#This Row],[تعداد روزهای بدهکار  تسویه نشده (روز)]]*Main[[#This Row],[مانده در خط تسویه نشده (کیلوگرم)]]</f>
        <v>0</v>
      </c>
      <c r="AD1811" s="6">
        <f ca="1">SUBTOTAL(9,INDEX(Main[بدهی سررسید شده (کیلوگرم)],1):Main[[#This Row],[بدهی سررسید شده (کیلوگرم)]])</f>
        <v>0</v>
      </c>
      <c r="AE1811" s="6">
        <f ca="1">IF(Main[[#This Row],[مانده در خط سررسید شده (کیلوگرم)]]&lt;&gt;0,Main[[#This Row],[تعداد کل روزهای بدهکار (روز)]],0)</f>
        <v>0</v>
      </c>
      <c r="AF1811" s="6">
        <f ca="1">Main[[#This Row],[تعداد روزهای بدهکار سررسید شده (روز)]]*Main[[#This Row],[مانده در خط سررسید شده (کیلوگرم)]]</f>
        <v>0</v>
      </c>
    </row>
    <row r="1812" spans="1:32" hidden="1" x14ac:dyDescent="0.35">
      <c r="A1812" s="5">
        <f>ROW()-ROW(INDEX(Main[ردیف],1))+1</f>
        <v>1810</v>
      </c>
      <c r="B1812" s="31">
        <f>SUBTOTAL(2,INDEX(Main[ردیف],1):Main[[#This Row],[ردیف]])</f>
        <v>161</v>
      </c>
      <c r="C1812" s="32" t="s">
        <v>723</v>
      </c>
      <c r="D1812" s="32" t="str">
        <f>_xlfn.CONCAT("14",Main[[#This Row],[تاريخ]])</f>
        <v>1400/07/18</v>
      </c>
      <c r="E1812" s="33">
        <v>44479</v>
      </c>
      <c r="F1812" s="32">
        <v>10026</v>
      </c>
      <c r="G1812" s="5" t="str">
        <f>INDEX(customer[عنوان],MATCH(Main[[#This Row],[کد ردیابی]],customer[کد],0))</f>
        <v xml:space="preserve">محسن فیاض بخش </v>
      </c>
      <c r="H1812">
        <v>-1697</v>
      </c>
      <c r="I1812" s="6">
        <f ca="1">-Main[[#This Row],[بدهی تسویه شده (کیلوگرم)]]+Main[[#This Row],[بستانکار (کیلوگرم)]]</f>
        <v>-1697</v>
      </c>
      <c r="J1812" s="6">
        <f>IF(Main[[#This Row],[مقدار (کیلوگرم)]]&gt;0,Main[[#This Row],[مقدار (کیلوگرم)]],0)</f>
        <v>0</v>
      </c>
      <c r="K1812" s="6">
        <f>-IF(Main[[#This Row],[مقدار (کیلوگرم)]]&lt;0,Main[[#This Row],[مقدار (کیلوگرم)]],0)</f>
        <v>1697</v>
      </c>
      <c r="L18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2" s="7">
        <f>-IF(AND(Main[[#This Row],[مقدار (کیلوگرم)]]&lt;0,Main[[#This Row],[تاريخ میلادی]]&gt;44276),Main[[#This Row],[مقدار (کیلوگرم)]],0)</f>
        <v>1697</v>
      </c>
      <c r="N1812" s="6">
        <f ca="1">Main[[#This Row],[بدهکار (کیلوگرم)]]-Main[[#This Row],[بدهی تسویه نشده (کیلوگرم)]]</f>
        <v>1697</v>
      </c>
      <c r="O1812" s="6">
        <f ca="1">Main[[#This Row],[تفکیک]]</f>
        <v>0</v>
      </c>
      <c r="P1812" s="6">
        <f ca="1">IF(Main[[#This Row],[تاخیر از سررسید]]&gt;0,Main[[#This Row],[بدهی تسویه نشده (کیلوگرم)]],0)</f>
        <v>0</v>
      </c>
      <c r="Q1812" s="6">
        <f ca="1">IF(Main[[#This Row],[بدهی تسویه نشده (کیلوگرم)]]&gt;0,'گزارش فردی'!$B$7-Main[[#This Row],[تاريخ میلادی]],0)</f>
        <v>0</v>
      </c>
      <c r="R1812" s="6">
        <f ca="1">IF(Main[[#This Row],[بدهی تسویه نشده (کیلوگرم)]]&gt;0,'گزارش فردی'!$B$7-Main[[#This Row],[تاريخ میلادی]]-'گزارش فردی'!$B$8,0)</f>
        <v>0</v>
      </c>
      <c r="S1812" s="6">
        <f ca="1">Main[[#This Row],[روز از ارسال سفارش]]*Main[[#This Row],[بدهی تسویه نشده (کیلوگرم)]]</f>
        <v>0</v>
      </c>
      <c r="T1812" s="6">
        <f ca="1">Main[[#This Row],[بدهی سررسید شده (کیلوگرم)]]*Main[[#This Row],[روز از ارسال سفارش]]</f>
        <v>0</v>
      </c>
      <c r="U1812" s="6">
        <f>-SUBTOTAL(9,INDEX(Main[مقدار (کیلوگرم)],1):Main[[#This Row],[مقدار (کیلوگرم)]])</f>
        <v>20855</v>
      </c>
      <c r="V18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2" s="6">
        <f>Main[[#This Row],[تعداد کل روزهای بدهکار (روز)]]*Main[[#This Row],[مانده در خط کل (کیلوگرم)]]</f>
        <v>20855</v>
      </c>
      <c r="X1812" s="6">
        <f ca="1">-SUBTOTAL(9,INDEX(Main[مقدار تسویه شده (کیلوگرم)],1):Main[[#This Row],[مقدار تسویه شده (کیلوگرم)]])</f>
        <v>20855</v>
      </c>
      <c r="Y1812" s="6">
        <f ca="1">IF(Main[[#This Row],[مانده در خط تسویه شده (کیلوگرم)]]&lt;&gt;0,Main[[#This Row],[تعداد کل روزهای بدهکار (روز)]],0)</f>
        <v>1</v>
      </c>
      <c r="Z1812" s="6">
        <f ca="1">Main[[#This Row],[تعداد روزهای بدهکار تسویه شده (روز)]]*Main[[#This Row],[مانده در خط تسویه شده (کیلوگرم)]]</f>
        <v>20855</v>
      </c>
      <c r="AA1812" s="6">
        <f ca="1">SUBTOTAL(9,INDEX(Main[بدهی تسویه نشده (کیلوگرم)],1):Main[[#This Row],[بدهی تسویه نشده (کیلوگرم)]])</f>
        <v>0</v>
      </c>
      <c r="AB1812" s="6">
        <f ca="1">IF(Main[[#This Row],[مانده در خط تسویه نشده (کیلوگرم)]]&lt;&gt;0,Main[[#This Row],[تعداد کل روزهای بدهکار (روز)]],0)</f>
        <v>0</v>
      </c>
      <c r="AC1812" s="6">
        <f ca="1">Main[[#This Row],[تعداد روزهای بدهکار  تسویه نشده (روز)]]*Main[[#This Row],[مانده در خط تسویه نشده (کیلوگرم)]]</f>
        <v>0</v>
      </c>
      <c r="AD1812" s="6">
        <f ca="1">SUBTOTAL(9,INDEX(Main[بدهی سررسید شده (کیلوگرم)],1):Main[[#This Row],[بدهی سررسید شده (کیلوگرم)]])</f>
        <v>0</v>
      </c>
      <c r="AE1812" s="6">
        <f ca="1">IF(Main[[#This Row],[مانده در خط سررسید شده (کیلوگرم)]]&lt;&gt;0,Main[[#This Row],[تعداد کل روزهای بدهکار (روز)]],0)</f>
        <v>0</v>
      </c>
      <c r="AF1812" s="6">
        <f ca="1">Main[[#This Row],[تعداد روزهای بدهکار سررسید شده (روز)]]*Main[[#This Row],[مانده در خط سررسید شده (کیلوگرم)]]</f>
        <v>0</v>
      </c>
    </row>
    <row r="1813" spans="1:32" hidden="1" x14ac:dyDescent="0.35">
      <c r="A1813" s="5">
        <f>ROW()-ROW(INDEX(Main[ردیف],1))+1</f>
        <v>1811</v>
      </c>
      <c r="B1813" s="31">
        <f>SUBTOTAL(2,INDEX(Main[ردیف],1):Main[[#This Row],[ردیف]])</f>
        <v>161</v>
      </c>
      <c r="C1813" s="32" t="s">
        <v>723</v>
      </c>
      <c r="D1813" s="32" t="str">
        <f>_xlfn.CONCAT("14",Main[[#This Row],[تاريخ]])</f>
        <v>1400/07/18</v>
      </c>
      <c r="E1813" s="33">
        <v>44479</v>
      </c>
      <c r="F1813" s="32">
        <v>10055</v>
      </c>
      <c r="G1813" s="5" t="str">
        <f>INDEX(customer[عنوان],MATCH(Main[[#This Row],[کد ردیابی]],customer[کد],0))</f>
        <v xml:space="preserve">مریم فیض آبادی  </v>
      </c>
      <c r="H1813">
        <v>5387</v>
      </c>
      <c r="I1813" s="6">
        <f ca="1">-Main[[#This Row],[بدهی تسویه شده (کیلوگرم)]]+Main[[#This Row],[بستانکار (کیلوگرم)]]</f>
        <v>5387</v>
      </c>
      <c r="J1813" s="6">
        <f>IF(Main[[#This Row],[مقدار (کیلوگرم)]]&gt;0,Main[[#This Row],[مقدار (کیلوگرم)]],0)</f>
        <v>5387</v>
      </c>
      <c r="K1813" s="6">
        <f>-IF(Main[[#This Row],[مقدار (کیلوگرم)]]&lt;0,Main[[#This Row],[مقدار (کیلوگرم)]],0)</f>
        <v>0</v>
      </c>
      <c r="L18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3" s="7">
        <f>-IF(AND(Main[[#This Row],[مقدار (کیلوگرم)]]&lt;0,Main[[#This Row],[تاريخ میلادی]]&gt;44276),Main[[#This Row],[مقدار (کیلوگرم)]],0)</f>
        <v>0</v>
      </c>
      <c r="N1813" s="6">
        <f ca="1">Main[[#This Row],[بدهکار (کیلوگرم)]]-Main[[#This Row],[بدهی تسویه نشده (کیلوگرم)]]</f>
        <v>0</v>
      </c>
      <c r="O1813" s="6">
        <f ca="1">Main[[#This Row],[تفکیک]]</f>
        <v>0</v>
      </c>
      <c r="P1813" s="6">
        <f ca="1">IF(Main[[#This Row],[تاخیر از سررسید]]&gt;0,Main[[#This Row],[بدهی تسویه نشده (کیلوگرم)]],0)</f>
        <v>0</v>
      </c>
      <c r="Q1813" s="6">
        <f ca="1">IF(Main[[#This Row],[بدهی تسویه نشده (کیلوگرم)]]&gt;0,'گزارش فردی'!$B$7-Main[[#This Row],[تاريخ میلادی]],0)</f>
        <v>0</v>
      </c>
      <c r="R1813" s="6">
        <f ca="1">IF(Main[[#This Row],[بدهی تسویه نشده (کیلوگرم)]]&gt;0,'گزارش فردی'!$B$7-Main[[#This Row],[تاريخ میلادی]]-'گزارش فردی'!$B$8,0)</f>
        <v>0</v>
      </c>
      <c r="S1813" s="6">
        <f ca="1">Main[[#This Row],[روز از ارسال سفارش]]*Main[[#This Row],[بدهی تسویه نشده (کیلوگرم)]]</f>
        <v>0</v>
      </c>
      <c r="T1813" s="6">
        <f ca="1">Main[[#This Row],[بدهی سررسید شده (کیلوگرم)]]*Main[[#This Row],[روز از ارسال سفارش]]</f>
        <v>0</v>
      </c>
      <c r="U1813" s="6">
        <f>-SUBTOTAL(9,INDEX(Main[مقدار (کیلوگرم)],1):Main[[#This Row],[مقدار (کیلوگرم)]])</f>
        <v>20855</v>
      </c>
      <c r="V18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3" s="6">
        <f>Main[[#This Row],[تعداد کل روزهای بدهکار (روز)]]*Main[[#This Row],[مانده در خط کل (کیلوگرم)]]</f>
        <v>20855</v>
      </c>
      <c r="X1813" s="6">
        <f ca="1">-SUBTOTAL(9,INDEX(Main[مقدار تسویه شده (کیلوگرم)],1):Main[[#This Row],[مقدار تسویه شده (کیلوگرم)]])</f>
        <v>20855</v>
      </c>
      <c r="Y1813" s="6">
        <f ca="1">IF(Main[[#This Row],[مانده در خط تسویه شده (کیلوگرم)]]&lt;&gt;0,Main[[#This Row],[تعداد کل روزهای بدهکار (روز)]],0)</f>
        <v>1</v>
      </c>
      <c r="Z1813" s="6">
        <f ca="1">Main[[#This Row],[تعداد روزهای بدهکار تسویه شده (روز)]]*Main[[#This Row],[مانده در خط تسویه شده (کیلوگرم)]]</f>
        <v>20855</v>
      </c>
      <c r="AA1813" s="6">
        <f ca="1">SUBTOTAL(9,INDEX(Main[بدهی تسویه نشده (کیلوگرم)],1):Main[[#This Row],[بدهی تسویه نشده (کیلوگرم)]])</f>
        <v>0</v>
      </c>
      <c r="AB1813" s="6">
        <f ca="1">IF(Main[[#This Row],[مانده در خط تسویه نشده (کیلوگرم)]]&lt;&gt;0,Main[[#This Row],[تعداد کل روزهای بدهکار (روز)]],0)</f>
        <v>0</v>
      </c>
      <c r="AC1813" s="6">
        <f ca="1">Main[[#This Row],[تعداد روزهای بدهکار  تسویه نشده (روز)]]*Main[[#This Row],[مانده در خط تسویه نشده (کیلوگرم)]]</f>
        <v>0</v>
      </c>
      <c r="AD1813" s="6">
        <f ca="1">SUBTOTAL(9,INDEX(Main[بدهی سررسید شده (کیلوگرم)],1):Main[[#This Row],[بدهی سررسید شده (کیلوگرم)]])</f>
        <v>0</v>
      </c>
      <c r="AE1813" s="6">
        <f ca="1">IF(Main[[#This Row],[مانده در خط سررسید شده (کیلوگرم)]]&lt;&gt;0,Main[[#This Row],[تعداد کل روزهای بدهکار (روز)]],0)</f>
        <v>0</v>
      </c>
      <c r="AF1813" s="6">
        <f ca="1">Main[[#This Row],[تعداد روزهای بدهکار سررسید شده (روز)]]*Main[[#This Row],[مانده در خط سررسید شده (کیلوگرم)]]</f>
        <v>0</v>
      </c>
    </row>
    <row r="1814" spans="1:32" hidden="1" x14ac:dyDescent="0.35">
      <c r="A1814" s="5">
        <f>ROW()-ROW(INDEX(Main[ردیف],1))+1</f>
        <v>1812</v>
      </c>
      <c r="B1814" s="31">
        <f>SUBTOTAL(2,INDEX(Main[ردیف],1):Main[[#This Row],[ردیف]])</f>
        <v>161</v>
      </c>
      <c r="C1814" s="32" t="s">
        <v>723</v>
      </c>
      <c r="D1814" s="32" t="str">
        <f>_xlfn.CONCAT("14",Main[[#This Row],[تاريخ]])</f>
        <v>1400/07/18</v>
      </c>
      <c r="E1814" s="33">
        <v>44479</v>
      </c>
      <c r="F1814" s="32">
        <v>10048</v>
      </c>
      <c r="G1814" s="5" t="str">
        <f>INDEX(customer[عنوان],MATCH(Main[[#This Row],[کد ردیابی]],customer[کد],0))</f>
        <v xml:space="preserve">حسام کریمان  </v>
      </c>
      <c r="H1814">
        <v>-703</v>
      </c>
      <c r="I1814" s="6">
        <f ca="1">-Main[[#This Row],[بدهی تسویه شده (کیلوگرم)]]+Main[[#This Row],[بستانکار (کیلوگرم)]]</f>
        <v>-703</v>
      </c>
      <c r="J1814" s="6">
        <f>IF(Main[[#This Row],[مقدار (کیلوگرم)]]&gt;0,Main[[#This Row],[مقدار (کیلوگرم)]],0)</f>
        <v>0</v>
      </c>
      <c r="K1814" s="6">
        <f>-IF(Main[[#This Row],[مقدار (کیلوگرم)]]&lt;0,Main[[#This Row],[مقدار (کیلوگرم)]],0)</f>
        <v>703</v>
      </c>
      <c r="L18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4" s="7">
        <f>-IF(AND(Main[[#This Row],[مقدار (کیلوگرم)]]&lt;0,Main[[#This Row],[تاريخ میلادی]]&gt;44276),Main[[#This Row],[مقدار (کیلوگرم)]],0)</f>
        <v>703</v>
      </c>
      <c r="N1814" s="6">
        <f ca="1">Main[[#This Row],[بدهکار (کیلوگرم)]]-Main[[#This Row],[بدهی تسویه نشده (کیلوگرم)]]</f>
        <v>703</v>
      </c>
      <c r="O1814" s="6">
        <f ca="1">Main[[#This Row],[تفکیک]]</f>
        <v>0</v>
      </c>
      <c r="P1814" s="6">
        <f ca="1">IF(Main[[#This Row],[تاخیر از سررسید]]&gt;0,Main[[#This Row],[بدهی تسویه نشده (کیلوگرم)]],0)</f>
        <v>0</v>
      </c>
      <c r="Q1814" s="6">
        <f ca="1">IF(Main[[#This Row],[بدهی تسویه نشده (کیلوگرم)]]&gt;0,'گزارش فردی'!$B$7-Main[[#This Row],[تاريخ میلادی]],0)</f>
        <v>0</v>
      </c>
      <c r="R1814" s="6">
        <f ca="1">IF(Main[[#This Row],[بدهی تسویه نشده (کیلوگرم)]]&gt;0,'گزارش فردی'!$B$7-Main[[#This Row],[تاريخ میلادی]]-'گزارش فردی'!$B$8,0)</f>
        <v>0</v>
      </c>
      <c r="S1814" s="6">
        <f ca="1">Main[[#This Row],[روز از ارسال سفارش]]*Main[[#This Row],[بدهی تسویه نشده (کیلوگرم)]]</f>
        <v>0</v>
      </c>
      <c r="T1814" s="6">
        <f ca="1">Main[[#This Row],[بدهی سررسید شده (کیلوگرم)]]*Main[[#This Row],[روز از ارسال سفارش]]</f>
        <v>0</v>
      </c>
      <c r="U1814" s="6">
        <f>-SUBTOTAL(9,INDEX(Main[مقدار (کیلوگرم)],1):Main[[#This Row],[مقدار (کیلوگرم)]])</f>
        <v>20855</v>
      </c>
      <c r="V18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4" s="6">
        <f>Main[[#This Row],[تعداد کل روزهای بدهکار (روز)]]*Main[[#This Row],[مانده در خط کل (کیلوگرم)]]</f>
        <v>20855</v>
      </c>
      <c r="X1814" s="6">
        <f ca="1">-SUBTOTAL(9,INDEX(Main[مقدار تسویه شده (کیلوگرم)],1):Main[[#This Row],[مقدار تسویه شده (کیلوگرم)]])</f>
        <v>20855</v>
      </c>
      <c r="Y1814" s="6">
        <f ca="1">IF(Main[[#This Row],[مانده در خط تسویه شده (کیلوگرم)]]&lt;&gt;0,Main[[#This Row],[تعداد کل روزهای بدهکار (روز)]],0)</f>
        <v>1</v>
      </c>
      <c r="Z1814" s="6">
        <f ca="1">Main[[#This Row],[تعداد روزهای بدهکار تسویه شده (روز)]]*Main[[#This Row],[مانده در خط تسویه شده (کیلوگرم)]]</f>
        <v>20855</v>
      </c>
      <c r="AA1814" s="6">
        <f ca="1">SUBTOTAL(9,INDEX(Main[بدهی تسویه نشده (کیلوگرم)],1):Main[[#This Row],[بدهی تسویه نشده (کیلوگرم)]])</f>
        <v>0</v>
      </c>
      <c r="AB1814" s="6">
        <f ca="1">IF(Main[[#This Row],[مانده در خط تسویه نشده (کیلوگرم)]]&lt;&gt;0,Main[[#This Row],[تعداد کل روزهای بدهکار (روز)]],0)</f>
        <v>0</v>
      </c>
      <c r="AC1814" s="6">
        <f ca="1">Main[[#This Row],[تعداد روزهای بدهکار  تسویه نشده (روز)]]*Main[[#This Row],[مانده در خط تسویه نشده (کیلوگرم)]]</f>
        <v>0</v>
      </c>
      <c r="AD1814" s="6">
        <f ca="1">SUBTOTAL(9,INDEX(Main[بدهی سررسید شده (کیلوگرم)],1):Main[[#This Row],[بدهی سررسید شده (کیلوگرم)]])</f>
        <v>0</v>
      </c>
      <c r="AE1814" s="6">
        <f ca="1">IF(Main[[#This Row],[مانده در خط سررسید شده (کیلوگرم)]]&lt;&gt;0,Main[[#This Row],[تعداد کل روزهای بدهکار (روز)]],0)</f>
        <v>0</v>
      </c>
      <c r="AF1814" s="6">
        <f ca="1">Main[[#This Row],[تعداد روزهای بدهکار سررسید شده (روز)]]*Main[[#This Row],[مانده در خط سررسید شده (کیلوگرم)]]</f>
        <v>0</v>
      </c>
    </row>
    <row r="1815" spans="1:32" hidden="1" x14ac:dyDescent="0.35">
      <c r="A1815" s="5">
        <f>ROW()-ROW(INDEX(Main[ردیف],1))+1</f>
        <v>1813</v>
      </c>
      <c r="B1815" s="31">
        <f>SUBTOTAL(2,INDEX(Main[ردیف],1):Main[[#This Row],[ردیف]])</f>
        <v>161</v>
      </c>
      <c r="C1815" s="32" t="s">
        <v>723</v>
      </c>
      <c r="D1815" s="32" t="str">
        <f>_xlfn.CONCAT("14",Main[[#This Row],[تاريخ]])</f>
        <v>1400/07/18</v>
      </c>
      <c r="E1815" s="33">
        <v>44479</v>
      </c>
      <c r="F1815" s="32">
        <v>10048</v>
      </c>
      <c r="G1815" s="5" t="str">
        <f>INDEX(customer[عنوان],MATCH(Main[[#This Row],[کد ردیابی]],customer[کد],0))</f>
        <v xml:space="preserve">حسام کریمان  </v>
      </c>
      <c r="H1815">
        <v>407</v>
      </c>
      <c r="I1815" s="6">
        <f ca="1">-Main[[#This Row],[بدهی تسویه شده (کیلوگرم)]]+Main[[#This Row],[بستانکار (کیلوگرم)]]</f>
        <v>407</v>
      </c>
      <c r="J1815" s="6">
        <f>IF(Main[[#This Row],[مقدار (کیلوگرم)]]&gt;0,Main[[#This Row],[مقدار (کیلوگرم)]],0)</f>
        <v>407</v>
      </c>
      <c r="K1815" s="6">
        <f>-IF(Main[[#This Row],[مقدار (کیلوگرم)]]&lt;0,Main[[#This Row],[مقدار (کیلوگرم)]],0)</f>
        <v>0</v>
      </c>
      <c r="L18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5" s="7">
        <f>-IF(AND(Main[[#This Row],[مقدار (کیلوگرم)]]&lt;0,Main[[#This Row],[تاريخ میلادی]]&gt;44276),Main[[#This Row],[مقدار (کیلوگرم)]],0)</f>
        <v>0</v>
      </c>
      <c r="N1815" s="6">
        <f ca="1">Main[[#This Row],[بدهکار (کیلوگرم)]]-Main[[#This Row],[بدهی تسویه نشده (کیلوگرم)]]</f>
        <v>0</v>
      </c>
      <c r="O1815" s="6">
        <f ca="1">Main[[#This Row],[تفکیک]]</f>
        <v>0</v>
      </c>
      <c r="P1815" s="6">
        <f ca="1">IF(Main[[#This Row],[تاخیر از سررسید]]&gt;0,Main[[#This Row],[بدهی تسویه نشده (کیلوگرم)]],0)</f>
        <v>0</v>
      </c>
      <c r="Q1815" s="6">
        <f ca="1">IF(Main[[#This Row],[بدهی تسویه نشده (کیلوگرم)]]&gt;0,'گزارش فردی'!$B$7-Main[[#This Row],[تاريخ میلادی]],0)</f>
        <v>0</v>
      </c>
      <c r="R1815" s="6">
        <f ca="1">IF(Main[[#This Row],[بدهی تسویه نشده (کیلوگرم)]]&gt;0,'گزارش فردی'!$B$7-Main[[#This Row],[تاريخ میلادی]]-'گزارش فردی'!$B$8,0)</f>
        <v>0</v>
      </c>
      <c r="S1815" s="6">
        <f ca="1">Main[[#This Row],[روز از ارسال سفارش]]*Main[[#This Row],[بدهی تسویه نشده (کیلوگرم)]]</f>
        <v>0</v>
      </c>
      <c r="T1815" s="6">
        <f ca="1">Main[[#This Row],[بدهی سررسید شده (کیلوگرم)]]*Main[[#This Row],[روز از ارسال سفارش]]</f>
        <v>0</v>
      </c>
      <c r="U1815" s="6">
        <f>-SUBTOTAL(9,INDEX(Main[مقدار (کیلوگرم)],1):Main[[#This Row],[مقدار (کیلوگرم)]])</f>
        <v>20855</v>
      </c>
      <c r="V18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5" s="6">
        <f>Main[[#This Row],[تعداد کل روزهای بدهکار (روز)]]*Main[[#This Row],[مانده در خط کل (کیلوگرم)]]</f>
        <v>20855</v>
      </c>
      <c r="X1815" s="6">
        <f ca="1">-SUBTOTAL(9,INDEX(Main[مقدار تسویه شده (کیلوگرم)],1):Main[[#This Row],[مقدار تسویه شده (کیلوگرم)]])</f>
        <v>20855</v>
      </c>
      <c r="Y1815" s="6">
        <f ca="1">IF(Main[[#This Row],[مانده در خط تسویه شده (کیلوگرم)]]&lt;&gt;0,Main[[#This Row],[تعداد کل روزهای بدهکار (روز)]],0)</f>
        <v>1</v>
      </c>
      <c r="Z1815" s="6">
        <f ca="1">Main[[#This Row],[تعداد روزهای بدهکار تسویه شده (روز)]]*Main[[#This Row],[مانده در خط تسویه شده (کیلوگرم)]]</f>
        <v>20855</v>
      </c>
      <c r="AA1815" s="6">
        <f ca="1">SUBTOTAL(9,INDEX(Main[بدهی تسویه نشده (کیلوگرم)],1):Main[[#This Row],[بدهی تسویه نشده (کیلوگرم)]])</f>
        <v>0</v>
      </c>
      <c r="AB1815" s="6">
        <f ca="1">IF(Main[[#This Row],[مانده در خط تسویه نشده (کیلوگرم)]]&lt;&gt;0,Main[[#This Row],[تعداد کل روزهای بدهکار (روز)]],0)</f>
        <v>0</v>
      </c>
      <c r="AC1815" s="6">
        <f ca="1">Main[[#This Row],[تعداد روزهای بدهکار  تسویه نشده (روز)]]*Main[[#This Row],[مانده در خط تسویه نشده (کیلوگرم)]]</f>
        <v>0</v>
      </c>
      <c r="AD1815" s="6">
        <f ca="1">SUBTOTAL(9,INDEX(Main[بدهی سررسید شده (کیلوگرم)],1):Main[[#This Row],[بدهی سررسید شده (کیلوگرم)]])</f>
        <v>0</v>
      </c>
      <c r="AE1815" s="6">
        <f ca="1">IF(Main[[#This Row],[مانده در خط سررسید شده (کیلوگرم)]]&lt;&gt;0,Main[[#This Row],[تعداد کل روزهای بدهکار (روز)]],0)</f>
        <v>0</v>
      </c>
      <c r="AF1815" s="6">
        <f ca="1">Main[[#This Row],[تعداد روزهای بدهکار سررسید شده (روز)]]*Main[[#This Row],[مانده در خط سررسید شده (کیلوگرم)]]</f>
        <v>0</v>
      </c>
    </row>
    <row r="1816" spans="1:32" hidden="1" x14ac:dyDescent="0.35">
      <c r="A1816" s="5">
        <f>ROW()-ROW(INDEX(Main[ردیف],1))+1</f>
        <v>1814</v>
      </c>
      <c r="B1816" s="31">
        <f>SUBTOTAL(2,INDEX(Main[ردیف],1):Main[[#This Row],[ردیف]])</f>
        <v>161</v>
      </c>
      <c r="C1816" s="32" t="s">
        <v>723</v>
      </c>
      <c r="D1816" s="32" t="str">
        <f>_xlfn.CONCAT("14",Main[[#This Row],[تاريخ]])</f>
        <v>1400/07/18</v>
      </c>
      <c r="E1816" s="33">
        <v>44479</v>
      </c>
      <c r="F1816" s="32">
        <v>10093</v>
      </c>
      <c r="G1816" s="5" t="str">
        <f>INDEX(customer[عنوان],MATCH(Main[[#This Row],[کد ردیابی]],customer[کد],0))</f>
        <v>مهدوی علیرضا</v>
      </c>
      <c r="H1816">
        <v>-853</v>
      </c>
      <c r="I1816" s="6">
        <f ca="1">-Main[[#This Row],[بدهی تسویه شده (کیلوگرم)]]+Main[[#This Row],[بستانکار (کیلوگرم)]]</f>
        <v>-853</v>
      </c>
      <c r="J1816" s="6">
        <f>IF(Main[[#This Row],[مقدار (کیلوگرم)]]&gt;0,Main[[#This Row],[مقدار (کیلوگرم)]],0)</f>
        <v>0</v>
      </c>
      <c r="K1816" s="6">
        <f>-IF(Main[[#This Row],[مقدار (کیلوگرم)]]&lt;0,Main[[#This Row],[مقدار (کیلوگرم)]],0)</f>
        <v>853</v>
      </c>
      <c r="L18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6" s="7">
        <f>-IF(AND(Main[[#This Row],[مقدار (کیلوگرم)]]&lt;0,Main[[#This Row],[تاريخ میلادی]]&gt;44276),Main[[#This Row],[مقدار (کیلوگرم)]],0)</f>
        <v>853</v>
      </c>
      <c r="N1816" s="6">
        <f ca="1">Main[[#This Row],[بدهکار (کیلوگرم)]]-Main[[#This Row],[بدهی تسویه نشده (کیلوگرم)]]</f>
        <v>853</v>
      </c>
      <c r="O1816" s="6">
        <f ca="1">Main[[#This Row],[تفکیک]]</f>
        <v>0</v>
      </c>
      <c r="P1816" s="6">
        <f ca="1">IF(Main[[#This Row],[تاخیر از سررسید]]&gt;0,Main[[#This Row],[بدهی تسویه نشده (کیلوگرم)]],0)</f>
        <v>0</v>
      </c>
      <c r="Q1816" s="6">
        <f ca="1">IF(Main[[#This Row],[بدهی تسویه نشده (کیلوگرم)]]&gt;0,'گزارش فردی'!$B$7-Main[[#This Row],[تاريخ میلادی]],0)</f>
        <v>0</v>
      </c>
      <c r="R1816" s="6">
        <f ca="1">IF(Main[[#This Row],[بدهی تسویه نشده (کیلوگرم)]]&gt;0,'گزارش فردی'!$B$7-Main[[#This Row],[تاريخ میلادی]]-'گزارش فردی'!$B$8,0)</f>
        <v>0</v>
      </c>
      <c r="S1816" s="6">
        <f ca="1">Main[[#This Row],[روز از ارسال سفارش]]*Main[[#This Row],[بدهی تسویه نشده (کیلوگرم)]]</f>
        <v>0</v>
      </c>
      <c r="T1816" s="6">
        <f ca="1">Main[[#This Row],[بدهی سررسید شده (کیلوگرم)]]*Main[[#This Row],[روز از ارسال سفارش]]</f>
        <v>0</v>
      </c>
      <c r="U1816" s="6">
        <f>-SUBTOTAL(9,INDEX(Main[مقدار (کیلوگرم)],1):Main[[#This Row],[مقدار (کیلوگرم)]])</f>
        <v>20855</v>
      </c>
      <c r="V18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6" s="6">
        <f>Main[[#This Row],[تعداد کل روزهای بدهکار (روز)]]*Main[[#This Row],[مانده در خط کل (کیلوگرم)]]</f>
        <v>20855</v>
      </c>
      <c r="X1816" s="6">
        <f ca="1">-SUBTOTAL(9,INDEX(Main[مقدار تسویه شده (کیلوگرم)],1):Main[[#This Row],[مقدار تسویه شده (کیلوگرم)]])</f>
        <v>20855</v>
      </c>
      <c r="Y1816" s="6">
        <f ca="1">IF(Main[[#This Row],[مانده در خط تسویه شده (کیلوگرم)]]&lt;&gt;0,Main[[#This Row],[تعداد کل روزهای بدهکار (روز)]],0)</f>
        <v>1</v>
      </c>
      <c r="Z1816" s="6">
        <f ca="1">Main[[#This Row],[تعداد روزهای بدهکار تسویه شده (روز)]]*Main[[#This Row],[مانده در خط تسویه شده (کیلوگرم)]]</f>
        <v>20855</v>
      </c>
      <c r="AA1816" s="6">
        <f ca="1">SUBTOTAL(9,INDEX(Main[بدهی تسویه نشده (کیلوگرم)],1):Main[[#This Row],[بدهی تسویه نشده (کیلوگرم)]])</f>
        <v>0</v>
      </c>
      <c r="AB1816" s="6">
        <f ca="1">IF(Main[[#This Row],[مانده در خط تسویه نشده (کیلوگرم)]]&lt;&gt;0,Main[[#This Row],[تعداد کل روزهای بدهکار (روز)]],0)</f>
        <v>0</v>
      </c>
      <c r="AC1816" s="6">
        <f ca="1">Main[[#This Row],[تعداد روزهای بدهکار  تسویه نشده (روز)]]*Main[[#This Row],[مانده در خط تسویه نشده (کیلوگرم)]]</f>
        <v>0</v>
      </c>
      <c r="AD1816" s="6">
        <f ca="1">SUBTOTAL(9,INDEX(Main[بدهی سررسید شده (کیلوگرم)],1):Main[[#This Row],[بدهی سررسید شده (کیلوگرم)]])</f>
        <v>0</v>
      </c>
      <c r="AE1816" s="6">
        <f ca="1">IF(Main[[#This Row],[مانده در خط سررسید شده (کیلوگرم)]]&lt;&gt;0,Main[[#This Row],[تعداد کل روزهای بدهکار (روز)]],0)</f>
        <v>0</v>
      </c>
      <c r="AF1816" s="6">
        <f ca="1">Main[[#This Row],[تعداد روزهای بدهکار سررسید شده (روز)]]*Main[[#This Row],[مانده در خط سررسید شده (کیلوگرم)]]</f>
        <v>0</v>
      </c>
    </row>
    <row r="1817" spans="1:32" hidden="1" x14ac:dyDescent="0.35">
      <c r="A1817" s="5">
        <f>ROW()-ROW(INDEX(Main[ردیف],1))+1</f>
        <v>1815</v>
      </c>
      <c r="B1817" s="31">
        <f>SUBTOTAL(2,INDEX(Main[ردیف],1):Main[[#This Row],[ردیف]])</f>
        <v>161</v>
      </c>
      <c r="C1817" s="32" t="s">
        <v>726</v>
      </c>
      <c r="D1817" s="32" t="str">
        <f>_xlfn.CONCAT("14",Main[[#This Row],[تاريخ]])</f>
        <v>1400/07/19</v>
      </c>
      <c r="E1817" s="33">
        <v>44480</v>
      </c>
      <c r="F1817" s="32">
        <v>30009</v>
      </c>
      <c r="G1817" s="5" t="str">
        <f>INDEX(customer[عنوان],MATCH(Main[[#This Row],[کد ردیابی]],customer[کد],0))</f>
        <v>شرکت ایمن تک پیشرو</v>
      </c>
      <c r="H1817">
        <v>1361</v>
      </c>
      <c r="I1817" s="6">
        <f ca="1">-Main[[#This Row],[بدهی تسویه شده (کیلوگرم)]]+Main[[#This Row],[بستانکار (کیلوگرم)]]</f>
        <v>1361</v>
      </c>
      <c r="J1817" s="6">
        <f>IF(Main[[#This Row],[مقدار (کیلوگرم)]]&gt;0,Main[[#This Row],[مقدار (کیلوگرم)]],0)</f>
        <v>1361</v>
      </c>
      <c r="K1817" s="6">
        <f>-IF(Main[[#This Row],[مقدار (کیلوگرم)]]&lt;0,Main[[#This Row],[مقدار (کیلوگرم)]],0)</f>
        <v>0</v>
      </c>
      <c r="L18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7" s="7">
        <f>-IF(AND(Main[[#This Row],[مقدار (کیلوگرم)]]&lt;0,Main[[#This Row],[تاريخ میلادی]]&gt;44276),Main[[#This Row],[مقدار (کیلوگرم)]],0)</f>
        <v>0</v>
      </c>
      <c r="N1817" s="6">
        <f ca="1">Main[[#This Row],[بدهکار (کیلوگرم)]]-Main[[#This Row],[بدهی تسویه نشده (کیلوگرم)]]</f>
        <v>0</v>
      </c>
      <c r="O1817" s="6">
        <f ca="1">Main[[#This Row],[تفکیک]]</f>
        <v>0</v>
      </c>
      <c r="P1817" s="6">
        <f ca="1">IF(Main[[#This Row],[تاخیر از سررسید]]&gt;0,Main[[#This Row],[بدهی تسویه نشده (کیلوگرم)]],0)</f>
        <v>0</v>
      </c>
      <c r="Q1817" s="6">
        <f ca="1">IF(Main[[#This Row],[بدهی تسویه نشده (کیلوگرم)]]&gt;0,'گزارش فردی'!$B$7-Main[[#This Row],[تاريخ میلادی]],0)</f>
        <v>0</v>
      </c>
      <c r="R1817" s="6">
        <f ca="1">IF(Main[[#This Row],[بدهی تسویه نشده (کیلوگرم)]]&gt;0,'گزارش فردی'!$B$7-Main[[#This Row],[تاريخ میلادی]]-'گزارش فردی'!$B$8,0)</f>
        <v>0</v>
      </c>
      <c r="S1817" s="6">
        <f ca="1">Main[[#This Row],[روز از ارسال سفارش]]*Main[[#This Row],[بدهی تسویه نشده (کیلوگرم)]]</f>
        <v>0</v>
      </c>
      <c r="T1817" s="6">
        <f ca="1">Main[[#This Row],[بدهی سررسید شده (کیلوگرم)]]*Main[[#This Row],[روز از ارسال سفارش]]</f>
        <v>0</v>
      </c>
      <c r="U1817" s="6">
        <f>-SUBTOTAL(9,INDEX(Main[مقدار (کیلوگرم)],1):Main[[#This Row],[مقدار (کیلوگرم)]])</f>
        <v>20855</v>
      </c>
      <c r="V18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7" s="6">
        <f>Main[[#This Row],[تعداد کل روزهای بدهکار (روز)]]*Main[[#This Row],[مانده در خط کل (کیلوگرم)]]</f>
        <v>0</v>
      </c>
      <c r="X1817" s="6">
        <f ca="1">-SUBTOTAL(9,INDEX(Main[مقدار تسویه شده (کیلوگرم)],1):Main[[#This Row],[مقدار تسویه شده (کیلوگرم)]])</f>
        <v>20855</v>
      </c>
      <c r="Y1817" s="6">
        <f ca="1">IF(Main[[#This Row],[مانده در خط تسویه شده (کیلوگرم)]]&lt;&gt;0,Main[[#This Row],[تعداد کل روزهای بدهکار (روز)]],0)</f>
        <v>0</v>
      </c>
      <c r="Z1817" s="6">
        <f ca="1">Main[[#This Row],[تعداد روزهای بدهکار تسویه شده (روز)]]*Main[[#This Row],[مانده در خط تسویه شده (کیلوگرم)]]</f>
        <v>0</v>
      </c>
      <c r="AA1817" s="6">
        <f ca="1">SUBTOTAL(9,INDEX(Main[بدهی تسویه نشده (کیلوگرم)],1):Main[[#This Row],[بدهی تسویه نشده (کیلوگرم)]])</f>
        <v>0</v>
      </c>
      <c r="AB1817" s="6">
        <f ca="1">IF(Main[[#This Row],[مانده در خط تسویه نشده (کیلوگرم)]]&lt;&gt;0,Main[[#This Row],[تعداد کل روزهای بدهکار (روز)]],0)</f>
        <v>0</v>
      </c>
      <c r="AC1817" s="6">
        <f ca="1">Main[[#This Row],[تعداد روزهای بدهکار  تسویه نشده (روز)]]*Main[[#This Row],[مانده در خط تسویه نشده (کیلوگرم)]]</f>
        <v>0</v>
      </c>
      <c r="AD1817" s="6">
        <f ca="1">SUBTOTAL(9,INDEX(Main[بدهی سررسید شده (کیلوگرم)],1):Main[[#This Row],[بدهی سررسید شده (کیلوگرم)]])</f>
        <v>0</v>
      </c>
      <c r="AE1817" s="6">
        <f ca="1">IF(Main[[#This Row],[مانده در خط سررسید شده (کیلوگرم)]]&lt;&gt;0,Main[[#This Row],[تعداد کل روزهای بدهکار (روز)]],0)</f>
        <v>0</v>
      </c>
      <c r="AF1817" s="6">
        <f ca="1">Main[[#This Row],[تعداد روزهای بدهکار سررسید شده (روز)]]*Main[[#This Row],[مانده در خط سررسید شده (کیلوگرم)]]</f>
        <v>0</v>
      </c>
    </row>
    <row r="1818" spans="1:32" hidden="1" x14ac:dyDescent="0.35">
      <c r="A1818" s="5">
        <f>ROW()-ROW(INDEX(Main[ردیف],1))+1</f>
        <v>1816</v>
      </c>
      <c r="B1818" s="31">
        <f>SUBTOTAL(2,INDEX(Main[ردیف],1):Main[[#This Row],[ردیف]])</f>
        <v>161</v>
      </c>
      <c r="C1818" s="32" t="s">
        <v>726</v>
      </c>
      <c r="D1818" s="32" t="str">
        <f>_xlfn.CONCAT("14",Main[[#This Row],[تاريخ]])</f>
        <v>1400/07/19</v>
      </c>
      <c r="E1818" s="33">
        <v>44480</v>
      </c>
      <c r="F1818" s="32">
        <v>30055</v>
      </c>
      <c r="G1818" s="5" t="str">
        <f>INDEX(customer[عنوان],MATCH(Main[[#This Row],[کد ردیابی]],customer[کد],0))</f>
        <v xml:space="preserve">تکنو کار </v>
      </c>
      <c r="H1818">
        <v>-12</v>
      </c>
      <c r="I1818" s="6">
        <f ca="1">-Main[[#This Row],[بدهی تسویه شده (کیلوگرم)]]+Main[[#This Row],[بستانکار (کیلوگرم)]]</f>
        <v>-12</v>
      </c>
      <c r="J1818" s="6">
        <f>IF(Main[[#This Row],[مقدار (کیلوگرم)]]&gt;0,Main[[#This Row],[مقدار (کیلوگرم)]],0)</f>
        <v>0</v>
      </c>
      <c r="K1818" s="6">
        <f>-IF(Main[[#This Row],[مقدار (کیلوگرم)]]&lt;0,Main[[#This Row],[مقدار (کیلوگرم)]],0)</f>
        <v>12</v>
      </c>
      <c r="L18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8" s="7">
        <f>-IF(AND(Main[[#This Row],[مقدار (کیلوگرم)]]&lt;0,Main[[#This Row],[تاريخ میلادی]]&gt;44276),Main[[#This Row],[مقدار (کیلوگرم)]],0)</f>
        <v>12</v>
      </c>
      <c r="N1818" s="6">
        <f ca="1">Main[[#This Row],[بدهکار (کیلوگرم)]]-Main[[#This Row],[بدهی تسویه نشده (کیلوگرم)]]</f>
        <v>12</v>
      </c>
      <c r="O1818" s="6">
        <f ca="1">Main[[#This Row],[تفکیک]]</f>
        <v>0</v>
      </c>
      <c r="P1818" s="6">
        <f ca="1">IF(Main[[#This Row],[تاخیر از سررسید]]&gt;0,Main[[#This Row],[بدهی تسویه نشده (کیلوگرم)]],0)</f>
        <v>0</v>
      </c>
      <c r="Q1818" s="6">
        <f ca="1">IF(Main[[#This Row],[بدهی تسویه نشده (کیلوگرم)]]&gt;0,'گزارش فردی'!$B$7-Main[[#This Row],[تاريخ میلادی]],0)</f>
        <v>0</v>
      </c>
      <c r="R1818" s="6">
        <f ca="1">IF(Main[[#This Row],[بدهی تسویه نشده (کیلوگرم)]]&gt;0,'گزارش فردی'!$B$7-Main[[#This Row],[تاريخ میلادی]]-'گزارش فردی'!$B$8,0)</f>
        <v>0</v>
      </c>
      <c r="S1818" s="6">
        <f ca="1">Main[[#This Row],[روز از ارسال سفارش]]*Main[[#This Row],[بدهی تسویه نشده (کیلوگرم)]]</f>
        <v>0</v>
      </c>
      <c r="T1818" s="6">
        <f ca="1">Main[[#This Row],[بدهی سررسید شده (کیلوگرم)]]*Main[[#This Row],[روز از ارسال سفارش]]</f>
        <v>0</v>
      </c>
      <c r="U1818" s="6">
        <f>-SUBTOTAL(9,INDEX(Main[مقدار (کیلوگرم)],1):Main[[#This Row],[مقدار (کیلوگرم)]])</f>
        <v>20855</v>
      </c>
      <c r="V18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8" s="6">
        <f>Main[[#This Row],[تعداد کل روزهای بدهکار (روز)]]*Main[[#This Row],[مانده در خط کل (کیلوگرم)]]</f>
        <v>0</v>
      </c>
      <c r="X1818" s="6">
        <f ca="1">-SUBTOTAL(9,INDEX(Main[مقدار تسویه شده (کیلوگرم)],1):Main[[#This Row],[مقدار تسویه شده (کیلوگرم)]])</f>
        <v>20855</v>
      </c>
      <c r="Y1818" s="6">
        <f ca="1">IF(Main[[#This Row],[مانده در خط تسویه شده (کیلوگرم)]]&lt;&gt;0,Main[[#This Row],[تعداد کل روزهای بدهکار (روز)]],0)</f>
        <v>0</v>
      </c>
      <c r="Z1818" s="6">
        <f ca="1">Main[[#This Row],[تعداد روزهای بدهکار تسویه شده (روز)]]*Main[[#This Row],[مانده در خط تسویه شده (کیلوگرم)]]</f>
        <v>0</v>
      </c>
      <c r="AA1818" s="6">
        <f ca="1">SUBTOTAL(9,INDEX(Main[بدهی تسویه نشده (کیلوگرم)],1):Main[[#This Row],[بدهی تسویه نشده (کیلوگرم)]])</f>
        <v>0</v>
      </c>
      <c r="AB1818" s="6">
        <f ca="1">IF(Main[[#This Row],[مانده در خط تسویه نشده (کیلوگرم)]]&lt;&gt;0,Main[[#This Row],[تعداد کل روزهای بدهکار (روز)]],0)</f>
        <v>0</v>
      </c>
      <c r="AC1818" s="6">
        <f ca="1">Main[[#This Row],[تعداد روزهای بدهکار  تسویه نشده (روز)]]*Main[[#This Row],[مانده در خط تسویه نشده (کیلوگرم)]]</f>
        <v>0</v>
      </c>
      <c r="AD1818" s="6">
        <f ca="1">SUBTOTAL(9,INDEX(Main[بدهی سررسید شده (کیلوگرم)],1):Main[[#This Row],[بدهی سررسید شده (کیلوگرم)]])</f>
        <v>0</v>
      </c>
      <c r="AE1818" s="6">
        <f ca="1">IF(Main[[#This Row],[مانده در خط سررسید شده (کیلوگرم)]]&lt;&gt;0,Main[[#This Row],[تعداد کل روزهای بدهکار (روز)]],0)</f>
        <v>0</v>
      </c>
      <c r="AF1818" s="6">
        <f ca="1">Main[[#This Row],[تعداد روزهای بدهکار سررسید شده (روز)]]*Main[[#This Row],[مانده در خط سررسید شده (کیلوگرم)]]</f>
        <v>0</v>
      </c>
    </row>
    <row r="1819" spans="1:32" hidden="1" x14ac:dyDescent="0.35">
      <c r="A1819" s="5">
        <f>ROW()-ROW(INDEX(Main[ردیف],1))+1</f>
        <v>1817</v>
      </c>
      <c r="B1819" s="31">
        <f>SUBTOTAL(2,INDEX(Main[ردیف],1):Main[[#This Row],[ردیف]])</f>
        <v>161</v>
      </c>
      <c r="C1819" s="32" t="s">
        <v>726</v>
      </c>
      <c r="D1819" s="32" t="str">
        <f>_xlfn.CONCAT("14",Main[[#This Row],[تاريخ]])</f>
        <v>1400/07/19</v>
      </c>
      <c r="E1819" s="33">
        <v>44480</v>
      </c>
      <c r="F1819" s="32">
        <v>30066</v>
      </c>
      <c r="G1819" s="5" t="str">
        <f>INDEX(customer[عنوان],MATCH(Main[[#This Row],[کد ردیابی]],customer[کد],0))</f>
        <v xml:space="preserve">شیر آلات بهداشتی قهرمان </v>
      </c>
      <c r="H1819">
        <v>702</v>
      </c>
      <c r="I1819" s="6">
        <f ca="1">-Main[[#This Row],[بدهی تسویه شده (کیلوگرم)]]+Main[[#This Row],[بستانکار (کیلوگرم)]]</f>
        <v>702</v>
      </c>
      <c r="J1819" s="6">
        <f>IF(Main[[#This Row],[مقدار (کیلوگرم)]]&gt;0,Main[[#This Row],[مقدار (کیلوگرم)]],0)</f>
        <v>702</v>
      </c>
      <c r="K1819" s="6">
        <f>-IF(Main[[#This Row],[مقدار (کیلوگرم)]]&lt;0,Main[[#This Row],[مقدار (کیلوگرم)]],0)</f>
        <v>0</v>
      </c>
      <c r="L18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9" s="7">
        <f>-IF(AND(Main[[#This Row],[مقدار (کیلوگرم)]]&lt;0,Main[[#This Row],[تاريخ میلادی]]&gt;44276),Main[[#This Row],[مقدار (کیلوگرم)]],0)</f>
        <v>0</v>
      </c>
      <c r="N1819" s="6">
        <f ca="1">Main[[#This Row],[بدهکار (کیلوگرم)]]-Main[[#This Row],[بدهی تسویه نشده (کیلوگرم)]]</f>
        <v>0</v>
      </c>
      <c r="O1819" s="6">
        <f ca="1">Main[[#This Row],[تفکیک]]</f>
        <v>0</v>
      </c>
      <c r="P1819" s="6">
        <f ca="1">IF(Main[[#This Row],[تاخیر از سررسید]]&gt;0,Main[[#This Row],[بدهی تسویه نشده (کیلوگرم)]],0)</f>
        <v>0</v>
      </c>
      <c r="Q1819" s="6">
        <f ca="1">IF(Main[[#This Row],[بدهی تسویه نشده (کیلوگرم)]]&gt;0,'گزارش فردی'!$B$7-Main[[#This Row],[تاريخ میلادی]],0)</f>
        <v>0</v>
      </c>
      <c r="R1819" s="6">
        <f ca="1">IF(Main[[#This Row],[بدهی تسویه نشده (کیلوگرم)]]&gt;0,'گزارش فردی'!$B$7-Main[[#This Row],[تاريخ میلادی]]-'گزارش فردی'!$B$8,0)</f>
        <v>0</v>
      </c>
      <c r="S1819" s="6">
        <f ca="1">Main[[#This Row],[روز از ارسال سفارش]]*Main[[#This Row],[بدهی تسویه نشده (کیلوگرم)]]</f>
        <v>0</v>
      </c>
      <c r="T1819" s="6">
        <f ca="1">Main[[#This Row],[بدهی سررسید شده (کیلوگرم)]]*Main[[#This Row],[روز از ارسال سفارش]]</f>
        <v>0</v>
      </c>
      <c r="U1819" s="6">
        <f>-SUBTOTAL(9,INDEX(Main[مقدار (کیلوگرم)],1):Main[[#This Row],[مقدار (کیلوگرم)]])</f>
        <v>20855</v>
      </c>
      <c r="V18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9" s="6">
        <f>Main[[#This Row],[تعداد کل روزهای بدهکار (روز)]]*Main[[#This Row],[مانده در خط کل (کیلوگرم)]]</f>
        <v>0</v>
      </c>
      <c r="X1819" s="6">
        <f ca="1">-SUBTOTAL(9,INDEX(Main[مقدار تسویه شده (کیلوگرم)],1):Main[[#This Row],[مقدار تسویه شده (کیلوگرم)]])</f>
        <v>20855</v>
      </c>
      <c r="Y1819" s="6">
        <f ca="1">IF(Main[[#This Row],[مانده در خط تسویه شده (کیلوگرم)]]&lt;&gt;0,Main[[#This Row],[تعداد کل روزهای بدهکار (روز)]],0)</f>
        <v>0</v>
      </c>
      <c r="Z1819" s="6">
        <f ca="1">Main[[#This Row],[تعداد روزهای بدهکار تسویه شده (روز)]]*Main[[#This Row],[مانده در خط تسویه شده (کیلوگرم)]]</f>
        <v>0</v>
      </c>
      <c r="AA1819" s="6">
        <f ca="1">SUBTOTAL(9,INDEX(Main[بدهی تسویه نشده (کیلوگرم)],1):Main[[#This Row],[بدهی تسویه نشده (کیلوگرم)]])</f>
        <v>0</v>
      </c>
      <c r="AB1819" s="6">
        <f ca="1">IF(Main[[#This Row],[مانده در خط تسویه نشده (کیلوگرم)]]&lt;&gt;0,Main[[#This Row],[تعداد کل روزهای بدهکار (روز)]],0)</f>
        <v>0</v>
      </c>
      <c r="AC1819" s="6">
        <f ca="1">Main[[#This Row],[تعداد روزهای بدهکار  تسویه نشده (روز)]]*Main[[#This Row],[مانده در خط تسویه نشده (کیلوگرم)]]</f>
        <v>0</v>
      </c>
      <c r="AD1819" s="6">
        <f ca="1">SUBTOTAL(9,INDEX(Main[بدهی سررسید شده (کیلوگرم)],1):Main[[#This Row],[بدهی سررسید شده (کیلوگرم)]])</f>
        <v>0</v>
      </c>
      <c r="AE1819" s="6">
        <f ca="1">IF(Main[[#This Row],[مانده در خط سررسید شده (کیلوگرم)]]&lt;&gt;0,Main[[#This Row],[تعداد کل روزهای بدهکار (روز)]],0)</f>
        <v>0</v>
      </c>
      <c r="AF1819" s="6">
        <f ca="1">Main[[#This Row],[تعداد روزهای بدهکار سررسید شده (روز)]]*Main[[#This Row],[مانده در خط سررسید شده (کیلوگرم)]]</f>
        <v>0</v>
      </c>
    </row>
    <row r="1820" spans="1:32" hidden="1" x14ac:dyDescent="0.35">
      <c r="A1820" s="5">
        <f>ROW()-ROW(INDEX(Main[ردیف],1))+1</f>
        <v>1818</v>
      </c>
      <c r="B1820" s="31">
        <f>SUBTOTAL(2,INDEX(Main[ردیف],1):Main[[#This Row],[ردیف]])</f>
        <v>161</v>
      </c>
      <c r="C1820" s="32" t="s">
        <v>726</v>
      </c>
      <c r="D1820" s="32" t="str">
        <f>_xlfn.CONCAT("14",Main[[#This Row],[تاريخ]])</f>
        <v>1400/07/19</v>
      </c>
      <c r="E1820" s="33">
        <v>44480</v>
      </c>
      <c r="F1820" s="32">
        <v>30187</v>
      </c>
      <c r="G1820" s="5" t="str">
        <f>INDEX(customer[عنوان],MATCH(Main[[#This Row],[کد ردیابی]],customer[کد],0))</f>
        <v>شرکت جام جم</v>
      </c>
      <c r="H1820">
        <v>-854</v>
      </c>
      <c r="I1820" s="6">
        <f ca="1">-Main[[#This Row],[بدهی تسویه شده (کیلوگرم)]]+Main[[#This Row],[بستانکار (کیلوگرم)]]</f>
        <v>-854</v>
      </c>
      <c r="J1820" s="6">
        <f>IF(Main[[#This Row],[مقدار (کیلوگرم)]]&gt;0,Main[[#This Row],[مقدار (کیلوگرم)]],0)</f>
        <v>0</v>
      </c>
      <c r="K1820" s="6">
        <f>-IF(Main[[#This Row],[مقدار (کیلوگرم)]]&lt;0,Main[[#This Row],[مقدار (کیلوگرم)]],0)</f>
        <v>854</v>
      </c>
      <c r="L18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0" s="7">
        <f>-IF(AND(Main[[#This Row],[مقدار (کیلوگرم)]]&lt;0,Main[[#This Row],[تاريخ میلادی]]&gt;44276),Main[[#This Row],[مقدار (کیلوگرم)]],0)</f>
        <v>854</v>
      </c>
      <c r="N1820" s="6">
        <f ca="1">Main[[#This Row],[بدهکار (کیلوگرم)]]-Main[[#This Row],[بدهی تسویه نشده (کیلوگرم)]]</f>
        <v>854</v>
      </c>
      <c r="O1820" s="6">
        <f ca="1">Main[[#This Row],[تفکیک]]</f>
        <v>0</v>
      </c>
      <c r="P1820" s="6">
        <f ca="1">IF(Main[[#This Row],[تاخیر از سررسید]]&gt;0,Main[[#This Row],[بدهی تسویه نشده (کیلوگرم)]],0)</f>
        <v>0</v>
      </c>
      <c r="Q1820" s="6">
        <f ca="1">IF(Main[[#This Row],[بدهی تسویه نشده (کیلوگرم)]]&gt;0,'گزارش فردی'!$B$7-Main[[#This Row],[تاريخ میلادی]],0)</f>
        <v>0</v>
      </c>
      <c r="R1820" s="6">
        <f ca="1">IF(Main[[#This Row],[بدهی تسویه نشده (کیلوگرم)]]&gt;0,'گزارش فردی'!$B$7-Main[[#This Row],[تاريخ میلادی]]-'گزارش فردی'!$B$8,0)</f>
        <v>0</v>
      </c>
      <c r="S1820" s="6">
        <f ca="1">Main[[#This Row],[روز از ارسال سفارش]]*Main[[#This Row],[بدهی تسویه نشده (کیلوگرم)]]</f>
        <v>0</v>
      </c>
      <c r="T1820" s="6">
        <f ca="1">Main[[#This Row],[بدهی سررسید شده (کیلوگرم)]]*Main[[#This Row],[روز از ارسال سفارش]]</f>
        <v>0</v>
      </c>
      <c r="U1820" s="6">
        <f>-SUBTOTAL(9,INDEX(Main[مقدار (کیلوگرم)],1):Main[[#This Row],[مقدار (کیلوگرم)]])</f>
        <v>20855</v>
      </c>
      <c r="V18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0" s="6">
        <f>Main[[#This Row],[تعداد کل روزهای بدهکار (روز)]]*Main[[#This Row],[مانده در خط کل (کیلوگرم)]]</f>
        <v>0</v>
      </c>
      <c r="X1820" s="6">
        <f ca="1">-SUBTOTAL(9,INDEX(Main[مقدار تسویه شده (کیلوگرم)],1):Main[[#This Row],[مقدار تسویه شده (کیلوگرم)]])</f>
        <v>20855</v>
      </c>
      <c r="Y1820" s="6">
        <f ca="1">IF(Main[[#This Row],[مانده در خط تسویه شده (کیلوگرم)]]&lt;&gt;0,Main[[#This Row],[تعداد کل روزهای بدهکار (روز)]],0)</f>
        <v>0</v>
      </c>
      <c r="Z1820" s="6">
        <f ca="1">Main[[#This Row],[تعداد روزهای بدهکار تسویه شده (روز)]]*Main[[#This Row],[مانده در خط تسویه شده (کیلوگرم)]]</f>
        <v>0</v>
      </c>
      <c r="AA1820" s="6">
        <f ca="1">SUBTOTAL(9,INDEX(Main[بدهی تسویه نشده (کیلوگرم)],1):Main[[#This Row],[بدهی تسویه نشده (کیلوگرم)]])</f>
        <v>0</v>
      </c>
      <c r="AB1820" s="6">
        <f ca="1">IF(Main[[#This Row],[مانده در خط تسویه نشده (کیلوگرم)]]&lt;&gt;0,Main[[#This Row],[تعداد کل روزهای بدهکار (روز)]],0)</f>
        <v>0</v>
      </c>
      <c r="AC1820" s="6">
        <f ca="1">Main[[#This Row],[تعداد روزهای بدهکار  تسویه نشده (روز)]]*Main[[#This Row],[مانده در خط تسویه نشده (کیلوگرم)]]</f>
        <v>0</v>
      </c>
      <c r="AD1820" s="6">
        <f ca="1">SUBTOTAL(9,INDEX(Main[بدهی سررسید شده (کیلوگرم)],1):Main[[#This Row],[بدهی سررسید شده (کیلوگرم)]])</f>
        <v>0</v>
      </c>
      <c r="AE1820" s="6">
        <f ca="1">IF(Main[[#This Row],[مانده در خط سررسید شده (کیلوگرم)]]&lt;&gt;0,Main[[#This Row],[تعداد کل روزهای بدهکار (روز)]],0)</f>
        <v>0</v>
      </c>
      <c r="AF1820" s="6">
        <f ca="1">Main[[#This Row],[تعداد روزهای بدهکار سررسید شده (روز)]]*Main[[#This Row],[مانده در خط سررسید شده (کیلوگرم)]]</f>
        <v>0</v>
      </c>
    </row>
    <row r="1821" spans="1:32" hidden="1" x14ac:dyDescent="0.35">
      <c r="A1821" s="5">
        <f>ROW()-ROW(INDEX(Main[ردیف],1))+1</f>
        <v>1819</v>
      </c>
      <c r="B1821" s="31">
        <f>SUBTOTAL(2,INDEX(Main[ردیف],1):Main[[#This Row],[ردیف]])</f>
        <v>161</v>
      </c>
      <c r="C1821" s="32" t="s">
        <v>726</v>
      </c>
      <c r="D1821" s="32" t="str">
        <f>_xlfn.CONCAT("14",Main[[#This Row],[تاريخ]])</f>
        <v>1400/07/19</v>
      </c>
      <c r="E1821" s="33">
        <v>44480</v>
      </c>
      <c r="F1821" s="32">
        <v>10126</v>
      </c>
      <c r="G1821" s="5" t="str">
        <f>INDEX(customer[عنوان],MATCH(Main[[#This Row],[کد ردیابی]],customer[کد],0))</f>
        <v xml:space="preserve">کریم اسمعیلی </v>
      </c>
      <c r="H1821">
        <v>365</v>
      </c>
      <c r="I1821" s="6">
        <f ca="1">-Main[[#This Row],[بدهی تسویه شده (کیلوگرم)]]+Main[[#This Row],[بستانکار (کیلوگرم)]]</f>
        <v>365</v>
      </c>
      <c r="J1821" s="6">
        <f>IF(Main[[#This Row],[مقدار (کیلوگرم)]]&gt;0,Main[[#This Row],[مقدار (کیلوگرم)]],0)</f>
        <v>365</v>
      </c>
      <c r="K1821" s="6">
        <f>-IF(Main[[#This Row],[مقدار (کیلوگرم)]]&lt;0,Main[[#This Row],[مقدار (کیلوگرم)]],0)</f>
        <v>0</v>
      </c>
      <c r="L18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1" s="7">
        <f>-IF(AND(Main[[#This Row],[مقدار (کیلوگرم)]]&lt;0,Main[[#This Row],[تاريخ میلادی]]&gt;44276),Main[[#This Row],[مقدار (کیلوگرم)]],0)</f>
        <v>0</v>
      </c>
      <c r="N1821" s="6">
        <f ca="1">Main[[#This Row],[بدهکار (کیلوگرم)]]-Main[[#This Row],[بدهی تسویه نشده (کیلوگرم)]]</f>
        <v>0</v>
      </c>
      <c r="O1821" s="6">
        <f ca="1">Main[[#This Row],[تفکیک]]</f>
        <v>0</v>
      </c>
      <c r="P1821" s="6">
        <f ca="1">IF(Main[[#This Row],[تاخیر از سررسید]]&gt;0,Main[[#This Row],[بدهی تسویه نشده (کیلوگرم)]],0)</f>
        <v>0</v>
      </c>
      <c r="Q1821" s="6">
        <f ca="1">IF(Main[[#This Row],[بدهی تسویه نشده (کیلوگرم)]]&gt;0,'گزارش فردی'!$B$7-Main[[#This Row],[تاريخ میلادی]],0)</f>
        <v>0</v>
      </c>
      <c r="R1821" s="6">
        <f ca="1">IF(Main[[#This Row],[بدهی تسویه نشده (کیلوگرم)]]&gt;0,'گزارش فردی'!$B$7-Main[[#This Row],[تاريخ میلادی]]-'گزارش فردی'!$B$8,0)</f>
        <v>0</v>
      </c>
      <c r="S1821" s="6">
        <f ca="1">Main[[#This Row],[روز از ارسال سفارش]]*Main[[#This Row],[بدهی تسویه نشده (کیلوگرم)]]</f>
        <v>0</v>
      </c>
      <c r="T1821" s="6">
        <f ca="1">Main[[#This Row],[بدهی سررسید شده (کیلوگرم)]]*Main[[#This Row],[روز از ارسال سفارش]]</f>
        <v>0</v>
      </c>
      <c r="U1821" s="6">
        <f>-SUBTOTAL(9,INDEX(Main[مقدار (کیلوگرم)],1):Main[[#This Row],[مقدار (کیلوگرم)]])</f>
        <v>20855</v>
      </c>
      <c r="V18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1" s="6">
        <f>Main[[#This Row],[تعداد کل روزهای بدهکار (روز)]]*Main[[#This Row],[مانده در خط کل (کیلوگرم)]]</f>
        <v>0</v>
      </c>
      <c r="X1821" s="6">
        <f ca="1">-SUBTOTAL(9,INDEX(Main[مقدار تسویه شده (کیلوگرم)],1):Main[[#This Row],[مقدار تسویه شده (کیلوگرم)]])</f>
        <v>20855</v>
      </c>
      <c r="Y1821" s="6">
        <f ca="1">IF(Main[[#This Row],[مانده در خط تسویه شده (کیلوگرم)]]&lt;&gt;0,Main[[#This Row],[تعداد کل روزهای بدهکار (روز)]],0)</f>
        <v>0</v>
      </c>
      <c r="Z1821" s="6">
        <f ca="1">Main[[#This Row],[تعداد روزهای بدهکار تسویه شده (روز)]]*Main[[#This Row],[مانده در خط تسویه شده (کیلوگرم)]]</f>
        <v>0</v>
      </c>
      <c r="AA1821" s="6">
        <f ca="1">SUBTOTAL(9,INDEX(Main[بدهی تسویه نشده (کیلوگرم)],1):Main[[#This Row],[بدهی تسویه نشده (کیلوگرم)]])</f>
        <v>0</v>
      </c>
      <c r="AB1821" s="6">
        <f ca="1">IF(Main[[#This Row],[مانده در خط تسویه نشده (کیلوگرم)]]&lt;&gt;0,Main[[#This Row],[تعداد کل روزهای بدهکار (روز)]],0)</f>
        <v>0</v>
      </c>
      <c r="AC1821" s="6">
        <f ca="1">Main[[#This Row],[تعداد روزهای بدهکار  تسویه نشده (روز)]]*Main[[#This Row],[مانده در خط تسویه نشده (کیلوگرم)]]</f>
        <v>0</v>
      </c>
      <c r="AD1821" s="6">
        <f ca="1">SUBTOTAL(9,INDEX(Main[بدهی سررسید شده (کیلوگرم)],1):Main[[#This Row],[بدهی سررسید شده (کیلوگرم)]])</f>
        <v>0</v>
      </c>
      <c r="AE1821" s="6">
        <f ca="1">IF(Main[[#This Row],[مانده در خط سررسید شده (کیلوگرم)]]&lt;&gt;0,Main[[#This Row],[تعداد کل روزهای بدهکار (روز)]],0)</f>
        <v>0</v>
      </c>
      <c r="AF1821" s="6">
        <f ca="1">Main[[#This Row],[تعداد روزهای بدهکار سررسید شده (روز)]]*Main[[#This Row],[مانده در خط سررسید شده (کیلوگرم)]]</f>
        <v>0</v>
      </c>
    </row>
    <row r="1822" spans="1:32" hidden="1" x14ac:dyDescent="0.35">
      <c r="A1822" s="5">
        <f>ROW()-ROW(INDEX(Main[ردیف],1))+1</f>
        <v>1820</v>
      </c>
      <c r="B1822" s="31">
        <f>SUBTOTAL(2,INDEX(Main[ردیف],1):Main[[#This Row],[ردیف]])</f>
        <v>161</v>
      </c>
      <c r="C1822" s="32" t="s">
        <v>726</v>
      </c>
      <c r="D1822" s="32" t="str">
        <f>_xlfn.CONCAT("14",Main[[#This Row],[تاريخ]])</f>
        <v>1400/07/19</v>
      </c>
      <c r="E1822" s="33">
        <v>44480</v>
      </c>
      <c r="F1822" s="32">
        <v>10055</v>
      </c>
      <c r="G1822" s="5" t="str">
        <f>INDEX(customer[عنوان],MATCH(Main[[#This Row],[کد ردیابی]],customer[کد],0))</f>
        <v xml:space="preserve">مریم فیض آبادی  </v>
      </c>
      <c r="H1822">
        <v>-4626</v>
      </c>
      <c r="I1822" s="6">
        <f ca="1">-Main[[#This Row],[بدهی تسویه شده (کیلوگرم)]]+Main[[#This Row],[بستانکار (کیلوگرم)]]</f>
        <v>-4626</v>
      </c>
      <c r="J1822" s="6">
        <f>IF(Main[[#This Row],[مقدار (کیلوگرم)]]&gt;0,Main[[#This Row],[مقدار (کیلوگرم)]],0)</f>
        <v>0</v>
      </c>
      <c r="K1822" s="6">
        <f>-IF(Main[[#This Row],[مقدار (کیلوگرم)]]&lt;0,Main[[#This Row],[مقدار (کیلوگرم)]],0)</f>
        <v>4626</v>
      </c>
      <c r="L18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2" s="7">
        <f>-IF(AND(Main[[#This Row],[مقدار (کیلوگرم)]]&lt;0,Main[[#This Row],[تاريخ میلادی]]&gt;44276),Main[[#This Row],[مقدار (کیلوگرم)]],0)</f>
        <v>4626</v>
      </c>
      <c r="N1822" s="6">
        <f ca="1">Main[[#This Row],[بدهکار (کیلوگرم)]]-Main[[#This Row],[بدهی تسویه نشده (کیلوگرم)]]</f>
        <v>4626</v>
      </c>
      <c r="O1822" s="6">
        <f ca="1">Main[[#This Row],[تفکیک]]</f>
        <v>0</v>
      </c>
      <c r="P1822" s="6">
        <f ca="1">IF(Main[[#This Row],[تاخیر از سررسید]]&gt;0,Main[[#This Row],[بدهی تسویه نشده (کیلوگرم)]],0)</f>
        <v>0</v>
      </c>
      <c r="Q1822" s="6">
        <f ca="1">IF(Main[[#This Row],[بدهی تسویه نشده (کیلوگرم)]]&gt;0,'گزارش فردی'!$B$7-Main[[#This Row],[تاريخ میلادی]],0)</f>
        <v>0</v>
      </c>
      <c r="R1822" s="6">
        <f ca="1">IF(Main[[#This Row],[بدهی تسویه نشده (کیلوگرم)]]&gt;0,'گزارش فردی'!$B$7-Main[[#This Row],[تاريخ میلادی]]-'گزارش فردی'!$B$8,0)</f>
        <v>0</v>
      </c>
      <c r="S1822" s="6">
        <f ca="1">Main[[#This Row],[روز از ارسال سفارش]]*Main[[#This Row],[بدهی تسویه نشده (کیلوگرم)]]</f>
        <v>0</v>
      </c>
      <c r="T1822" s="6">
        <f ca="1">Main[[#This Row],[بدهی سررسید شده (کیلوگرم)]]*Main[[#This Row],[روز از ارسال سفارش]]</f>
        <v>0</v>
      </c>
      <c r="U1822" s="6">
        <f>-SUBTOTAL(9,INDEX(Main[مقدار (کیلوگرم)],1):Main[[#This Row],[مقدار (کیلوگرم)]])</f>
        <v>20855</v>
      </c>
      <c r="V18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2" s="6">
        <f>Main[[#This Row],[تعداد کل روزهای بدهکار (روز)]]*Main[[#This Row],[مانده در خط کل (کیلوگرم)]]</f>
        <v>0</v>
      </c>
      <c r="X1822" s="6">
        <f ca="1">-SUBTOTAL(9,INDEX(Main[مقدار تسویه شده (کیلوگرم)],1):Main[[#This Row],[مقدار تسویه شده (کیلوگرم)]])</f>
        <v>20855</v>
      </c>
      <c r="Y1822" s="6">
        <f ca="1">IF(Main[[#This Row],[مانده در خط تسویه شده (کیلوگرم)]]&lt;&gt;0,Main[[#This Row],[تعداد کل روزهای بدهکار (روز)]],0)</f>
        <v>0</v>
      </c>
      <c r="Z1822" s="6">
        <f ca="1">Main[[#This Row],[تعداد روزهای بدهکار تسویه شده (روز)]]*Main[[#This Row],[مانده در خط تسویه شده (کیلوگرم)]]</f>
        <v>0</v>
      </c>
      <c r="AA1822" s="6">
        <f ca="1">SUBTOTAL(9,INDEX(Main[بدهی تسویه نشده (کیلوگرم)],1):Main[[#This Row],[بدهی تسویه نشده (کیلوگرم)]])</f>
        <v>0</v>
      </c>
      <c r="AB1822" s="6">
        <f ca="1">IF(Main[[#This Row],[مانده در خط تسویه نشده (کیلوگرم)]]&lt;&gt;0,Main[[#This Row],[تعداد کل روزهای بدهکار (روز)]],0)</f>
        <v>0</v>
      </c>
      <c r="AC1822" s="6">
        <f ca="1">Main[[#This Row],[تعداد روزهای بدهکار  تسویه نشده (روز)]]*Main[[#This Row],[مانده در خط تسویه نشده (کیلوگرم)]]</f>
        <v>0</v>
      </c>
      <c r="AD1822" s="6">
        <f ca="1">SUBTOTAL(9,INDEX(Main[بدهی سررسید شده (کیلوگرم)],1):Main[[#This Row],[بدهی سررسید شده (کیلوگرم)]])</f>
        <v>0</v>
      </c>
      <c r="AE1822" s="6">
        <f ca="1">IF(Main[[#This Row],[مانده در خط سررسید شده (کیلوگرم)]]&lt;&gt;0,Main[[#This Row],[تعداد کل روزهای بدهکار (روز)]],0)</f>
        <v>0</v>
      </c>
      <c r="AF1822" s="6">
        <f ca="1">Main[[#This Row],[تعداد روزهای بدهکار سررسید شده (روز)]]*Main[[#This Row],[مانده در خط سررسید شده (کیلوگرم)]]</f>
        <v>0</v>
      </c>
    </row>
    <row r="1823" spans="1:32" hidden="1" x14ac:dyDescent="0.35">
      <c r="A1823" s="5">
        <f>ROW()-ROW(INDEX(Main[ردیف],1))+1</f>
        <v>1821</v>
      </c>
      <c r="B1823" s="31">
        <f>SUBTOTAL(2,INDEX(Main[ردیف],1):Main[[#This Row],[ردیف]])</f>
        <v>161</v>
      </c>
      <c r="C1823" s="32" t="s">
        <v>726</v>
      </c>
      <c r="D1823" s="32" t="str">
        <f>_xlfn.CONCAT("14",Main[[#This Row],[تاريخ]])</f>
        <v>1400/07/19</v>
      </c>
      <c r="E1823" s="33">
        <v>44480</v>
      </c>
      <c r="F1823" s="32">
        <v>10026</v>
      </c>
      <c r="G1823" s="5" t="str">
        <f>INDEX(customer[عنوان],MATCH(Main[[#This Row],[کد ردیابی]],customer[کد],0))</f>
        <v xml:space="preserve">محسن فیاض بخش </v>
      </c>
      <c r="H1823">
        <v>3151</v>
      </c>
      <c r="I1823" s="6">
        <f ca="1">-Main[[#This Row],[بدهی تسویه شده (کیلوگرم)]]+Main[[#This Row],[بستانکار (کیلوگرم)]]</f>
        <v>3151</v>
      </c>
      <c r="J1823" s="6">
        <f>IF(Main[[#This Row],[مقدار (کیلوگرم)]]&gt;0,Main[[#This Row],[مقدار (کیلوگرم)]],0)</f>
        <v>3151</v>
      </c>
      <c r="K1823" s="6">
        <f>-IF(Main[[#This Row],[مقدار (کیلوگرم)]]&lt;0,Main[[#This Row],[مقدار (کیلوگرم)]],0)</f>
        <v>0</v>
      </c>
      <c r="L18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3" s="7">
        <f>-IF(AND(Main[[#This Row],[مقدار (کیلوگرم)]]&lt;0,Main[[#This Row],[تاريخ میلادی]]&gt;44276),Main[[#This Row],[مقدار (کیلوگرم)]],0)</f>
        <v>0</v>
      </c>
      <c r="N1823" s="6">
        <f ca="1">Main[[#This Row],[بدهکار (کیلوگرم)]]-Main[[#This Row],[بدهی تسویه نشده (کیلوگرم)]]</f>
        <v>0</v>
      </c>
      <c r="O1823" s="6">
        <f ca="1">Main[[#This Row],[تفکیک]]</f>
        <v>0</v>
      </c>
      <c r="P1823" s="6">
        <f ca="1">IF(Main[[#This Row],[تاخیر از سررسید]]&gt;0,Main[[#This Row],[بدهی تسویه نشده (کیلوگرم)]],0)</f>
        <v>0</v>
      </c>
      <c r="Q1823" s="6">
        <f ca="1">IF(Main[[#This Row],[بدهی تسویه نشده (کیلوگرم)]]&gt;0,'گزارش فردی'!$B$7-Main[[#This Row],[تاريخ میلادی]],0)</f>
        <v>0</v>
      </c>
      <c r="R1823" s="6">
        <f ca="1">IF(Main[[#This Row],[بدهی تسویه نشده (کیلوگرم)]]&gt;0,'گزارش فردی'!$B$7-Main[[#This Row],[تاريخ میلادی]]-'گزارش فردی'!$B$8,0)</f>
        <v>0</v>
      </c>
      <c r="S1823" s="6">
        <f ca="1">Main[[#This Row],[روز از ارسال سفارش]]*Main[[#This Row],[بدهی تسویه نشده (کیلوگرم)]]</f>
        <v>0</v>
      </c>
      <c r="T1823" s="6">
        <f ca="1">Main[[#This Row],[بدهی سررسید شده (کیلوگرم)]]*Main[[#This Row],[روز از ارسال سفارش]]</f>
        <v>0</v>
      </c>
      <c r="U1823" s="6">
        <f>-SUBTOTAL(9,INDEX(Main[مقدار (کیلوگرم)],1):Main[[#This Row],[مقدار (کیلوگرم)]])</f>
        <v>20855</v>
      </c>
      <c r="V18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3" s="6">
        <f>Main[[#This Row],[تعداد کل روزهای بدهکار (روز)]]*Main[[#This Row],[مانده در خط کل (کیلوگرم)]]</f>
        <v>0</v>
      </c>
      <c r="X1823" s="6">
        <f ca="1">-SUBTOTAL(9,INDEX(Main[مقدار تسویه شده (کیلوگرم)],1):Main[[#This Row],[مقدار تسویه شده (کیلوگرم)]])</f>
        <v>20855</v>
      </c>
      <c r="Y1823" s="6">
        <f ca="1">IF(Main[[#This Row],[مانده در خط تسویه شده (کیلوگرم)]]&lt;&gt;0,Main[[#This Row],[تعداد کل روزهای بدهکار (روز)]],0)</f>
        <v>0</v>
      </c>
      <c r="Z1823" s="6">
        <f ca="1">Main[[#This Row],[تعداد روزهای بدهکار تسویه شده (روز)]]*Main[[#This Row],[مانده در خط تسویه شده (کیلوگرم)]]</f>
        <v>0</v>
      </c>
      <c r="AA1823" s="6">
        <f ca="1">SUBTOTAL(9,INDEX(Main[بدهی تسویه نشده (کیلوگرم)],1):Main[[#This Row],[بدهی تسویه نشده (کیلوگرم)]])</f>
        <v>0</v>
      </c>
      <c r="AB1823" s="6">
        <f ca="1">IF(Main[[#This Row],[مانده در خط تسویه نشده (کیلوگرم)]]&lt;&gt;0,Main[[#This Row],[تعداد کل روزهای بدهکار (روز)]],0)</f>
        <v>0</v>
      </c>
      <c r="AC1823" s="6">
        <f ca="1">Main[[#This Row],[تعداد روزهای بدهکار  تسویه نشده (روز)]]*Main[[#This Row],[مانده در خط تسویه نشده (کیلوگرم)]]</f>
        <v>0</v>
      </c>
      <c r="AD1823" s="6">
        <f ca="1">SUBTOTAL(9,INDEX(Main[بدهی سررسید شده (کیلوگرم)],1):Main[[#This Row],[بدهی سررسید شده (کیلوگرم)]])</f>
        <v>0</v>
      </c>
      <c r="AE1823" s="6">
        <f ca="1">IF(Main[[#This Row],[مانده در خط سررسید شده (کیلوگرم)]]&lt;&gt;0,Main[[#This Row],[تعداد کل روزهای بدهکار (روز)]],0)</f>
        <v>0</v>
      </c>
      <c r="AF1823" s="6">
        <f ca="1">Main[[#This Row],[تعداد روزهای بدهکار سررسید شده (روز)]]*Main[[#This Row],[مانده در خط سررسید شده (کیلوگرم)]]</f>
        <v>0</v>
      </c>
    </row>
    <row r="1824" spans="1:32" x14ac:dyDescent="0.35">
      <c r="A1824" s="5">
        <f>ROW()-ROW(INDEX(Main[ردیف],1))+1</f>
        <v>1822</v>
      </c>
      <c r="B1824" s="31">
        <f>SUBTOTAL(2,INDEX(Main[ردیف],1):Main[[#This Row],[ردیف]])</f>
        <v>162</v>
      </c>
      <c r="C1824" s="32" t="s">
        <v>726</v>
      </c>
      <c r="D1824" s="32" t="str">
        <f>_xlfn.CONCAT("14",Main[[#This Row],[تاريخ]])</f>
        <v>1400/07/19</v>
      </c>
      <c r="E1824" s="33">
        <v>44480</v>
      </c>
      <c r="F1824" s="32">
        <v>10003</v>
      </c>
      <c r="G1824" s="5" t="str">
        <f>INDEX(customer[عنوان],MATCH(Main[[#This Row],[کد ردیابی]],customer[کد],0))</f>
        <v>اصغر نورعلی</v>
      </c>
      <c r="H1824">
        <v>-1150</v>
      </c>
      <c r="I1824" s="6">
        <f ca="1">-Main[[#This Row],[بدهی تسویه شده (کیلوگرم)]]+Main[[#This Row],[بستانکار (کیلوگرم)]]</f>
        <v>-1150</v>
      </c>
      <c r="J1824" s="6">
        <f>IF(Main[[#This Row],[مقدار (کیلوگرم)]]&gt;0,Main[[#This Row],[مقدار (کیلوگرم)]],0)</f>
        <v>0</v>
      </c>
      <c r="K1824" s="6">
        <f>-IF(Main[[#This Row],[مقدار (کیلوگرم)]]&lt;0,Main[[#This Row],[مقدار (کیلوگرم)]],0)</f>
        <v>1150</v>
      </c>
      <c r="L18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4" s="7">
        <f>-IF(AND(Main[[#This Row],[مقدار (کیلوگرم)]]&lt;0,Main[[#This Row],[تاريخ میلادی]]&gt;44276),Main[[#This Row],[مقدار (کیلوگرم)]],0)</f>
        <v>1150</v>
      </c>
      <c r="N1824" s="6">
        <f ca="1">Main[[#This Row],[بدهکار (کیلوگرم)]]-Main[[#This Row],[بدهی تسویه نشده (کیلوگرم)]]</f>
        <v>1150</v>
      </c>
      <c r="O1824" s="6">
        <f ca="1">Main[[#This Row],[تفکیک]]</f>
        <v>0</v>
      </c>
      <c r="P1824" s="6">
        <f ca="1">IF(Main[[#This Row],[تاخیر از سررسید]]&gt;0,Main[[#This Row],[بدهی تسویه نشده (کیلوگرم)]],0)</f>
        <v>0</v>
      </c>
      <c r="Q1824" s="6">
        <f ca="1">IF(Main[[#This Row],[بدهی تسویه نشده (کیلوگرم)]]&gt;0,'گزارش فردی'!$B$7-Main[[#This Row],[تاريخ میلادی]],0)</f>
        <v>0</v>
      </c>
      <c r="R1824" s="6">
        <f ca="1">IF(Main[[#This Row],[بدهی تسویه نشده (کیلوگرم)]]&gt;0,'گزارش فردی'!$B$7-Main[[#This Row],[تاريخ میلادی]]-'گزارش فردی'!$B$8,0)</f>
        <v>0</v>
      </c>
      <c r="S1824" s="6">
        <f ca="1">Main[[#This Row],[روز از ارسال سفارش]]*Main[[#This Row],[بدهی تسویه نشده (کیلوگرم)]]</f>
        <v>0</v>
      </c>
      <c r="T1824" s="6">
        <f ca="1">Main[[#This Row],[بدهی سررسید شده (کیلوگرم)]]*Main[[#This Row],[روز از ارسال سفارش]]</f>
        <v>0</v>
      </c>
      <c r="U1824" s="6">
        <f>-SUBTOTAL(9,INDEX(Main[مقدار (کیلوگرم)],1):Main[[#This Row],[مقدار (کیلوگرم)]])</f>
        <v>22005</v>
      </c>
      <c r="V182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4" s="6">
        <f>Main[[#This Row],[تعداد کل روزهای بدهکار (روز)]]*Main[[#This Row],[مانده در خط کل (کیلوگرم)]]</f>
        <v>44010</v>
      </c>
      <c r="X1824" s="6">
        <f ca="1">-SUBTOTAL(9,INDEX(Main[مقدار تسویه شده (کیلوگرم)],1):Main[[#This Row],[مقدار تسویه شده (کیلوگرم)]])</f>
        <v>22005</v>
      </c>
      <c r="Y1824" s="6">
        <f ca="1">IF(Main[[#This Row],[مانده در خط تسویه شده (کیلوگرم)]]&lt;&gt;0,Main[[#This Row],[تعداد کل روزهای بدهکار (روز)]],0)</f>
        <v>2</v>
      </c>
      <c r="Z1824" s="6">
        <f ca="1">Main[[#This Row],[تعداد روزهای بدهکار تسویه شده (روز)]]*Main[[#This Row],[مانده در خط تسویه شده (کیلوگرم)]]</f>
        <v>44010</v>
      </c>
      <c r="AA1824" s="6">
        <f ca="1">SUBTOTAL(9,INDEX(Main[بدهی تسویه نشده (کیلوگرم)],1):Main[[#This Row],[بدهی تسویه نشده (کیلوگرم)]])</f>
        <v>0</v>
      </c>
      <c r="AB1824" s="6">
        <f ca="1">IF(Main[[#This Row],[مانده در خط تسویه نشده (کیلوگرم)]]&lt;&gt;0,Main[[#This Row],[تعداد کل روزهای بدهکار (روز)]],0)</f>
        <v>0</v>
      </c>
      <c r="AC1824" s="6">
        <f ca="1">Main[[#This Row],[تعداد روزهای بدهکار  تسویه نشده (روز)]]*Main[[#This Row],[مانده در خط تسویه نشده (کیلوگرم)]]</f>
        <v>0</v>
      </c>
      <c r="AD1824" s="6">
        <f ca="1">SUBTOTAL(9,INDEX(Main[بدهی سررسید شده (کیلوگرم)],1):Main[[#This Row],[بدهی سررسید شده (کیلوگرم)]])</f>
        <v>0</v>
      </c>
      <c r="AE1824" s="6">
        <f ca="1">IF(Main[[#This Row],[مانده در خط سررسید شده (کیلوگرم)]]&lt;&gt;0,Main[[#This Row],[تعداد کل روزهای بدهکار (روز)]],0)</f>
        <v>0</v>
      </c>
      <c r="AF1824" s="6">
        <f ca="1">Main[[#This Row],[تعداد روزهای بدهکار سررسید شده (روز)]]*Main[[#This Row],[مانده در خط سررسید شده (کیلوگرم)]]</f>
        <v>0</v>
      </c>
    </row>
    <row r="1825" spans="1:32" hidden="1" x14ac:dyDescent="0.35">
      <c r="A1825" s="5">
        <f>ROW()-ROW(INDEX(Main[ردیف],1))+1</f>
        <v>1823</v>
      </c>
      <c r="B1825" s="31">
        <f>SUBTOTAL(2,INDEX(Main[ردیف],1):Main[[#This Row],[ردیف]])</f>
        <v>162</v>
      </c>
      <c r="C1825" s="32" t="s">
        <v>726</v>
      </c>
      <c r="D1825" s="32" t="str">
        <f>_xlfn.CONCAT("14",Main[[#This Row],[تاريخ]])</f>
        <v>1400/07/19</v>
      </c>
      <c r="E1825" s="33">
        <v>44480</v>
      </c>
      <c r="F1825" s="32">
        <v>30081</v>
      </c>
      <c r="G1825" s="5" t="str">
        <f>INDEX(customer[عنوان],MATCH(Main[[#This Row],[کد ردیابی]],customer[کد],0))</f>
        <v xml:space="preserve">شیرآلات بهداشتی راسان </v>
      </c>
      <c r="H1825">
        <v>1946</v>
      </c>
      <c r="I1825" s="6">
        <f ca="1">-Main[[#This Row],[بدهی تسویه شده (کیلوگرم)]]+Main[[#This Row],[بستانکار (کیلوگرم)]]</f>
        <v>1946</v>
      </c>
      <c r="J1825" s="6">
        <f>IF(Main[[#This Row],[مقدار (کیلوگرم)]]&gt;0,Main[[#This Row],[مقدار (کیلوگرم)]],0)</f>
        <v>1946</v>
      </c>
      <c r="K1825" s="6">
        <f>-IF(Main[[#This Row],[مقدار (کیلوگرم)]]&lt;0,Main[[#This Row],[مقدار (کیلوگرم)]],0)</f>
        <v>0</v>
      </c>
      <c r="L18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5" s="7">
        <f>-IF(AND(Main[[#This Row],[مقدار (کیلوگرم)]]&lt;0,Main[[#This Row],[تاريخ میلادی]]&gt;44276),Main[[#This Row],[مقدار (کیلوگرم)]],0)</f>
        <v>0</v>
      </c>
      <c r="N1825" s="6">
        <f ca="1">Main[[#This Row],[بدهکار (کیلوگرم)]]-Main[[#This Row],[بدهی تسویه نشده (کیلوگرم)]]</f>
        <v>0</v>
      </c>
      <c r="O1825" s="6">
        <f ca="1">Main[[#This Row],[تفکیک]]</f>
        <v>0</v>
      </c>
      <c r="P1825" s="6">
        <f ca="1">IF(Main[[#This Row],[تاخیر از سررسید]]&gt;0,Main[[#This Row],[بدهی تسویه نشده (کیلوگرم)]],0)</f>
        <v>0</v>
      </c>
      <c r="Q1825" s="6">
        <f ca="1">IF(Main[[#This Row],[بدهی تسویه نشده (کیلوگرم)]]&gt;0,'گزارش فردی'!$B$7-Main[[#This Row],[تاريخ میلادی]],0)</f>
        <v>0</v>
      </c>
      <c r="R1825" s="6">
        <f ca="1">IF(Main[[#This Row],[بدهی تسویه نشده (کیلوگرم)]]&gt;0,'گزارش فردی'!$B$7-Main[[#This Row],[تاريخ میلادی]]-'گزارش فردی'!$B$8,0)</f>
        <v>0</v>
      </c>
      <c r="S1825" s="6">
        <f ca="1">Main[[#This Row],[روز از ارسال سفارش]]*Main[[#This Row],[بدهی تسویه نشده (کیلوگرم)]]</f>
        <v>0</v>
      </c>
      <c r="T1825" s="6">
        <f ca="1">Main[[#This Row],[بدهی سررسید شده (کیلوگرم)]]*Main[[#This Row],[روز از ارسال سفارش]]</f>
        <v>0</v>
      </c>
      <c r="U1825" s="6">
        <f>-SUBTOTAL(9,INDEX(Main[مقدار (کیلوگرم)],1):Main[[#This Row],[مقدار (کیلوگرم)]])</f>
        <v>22005</v>
      </c>
      <c r="V18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5" s="6">
        <f>Main[[#This Row],[تعداد کل روزهای بدهکار (روز)]]*Main[[#This Row],[مانده در خط کل (کیلوگرم)]]</f>
        <v>44010</v>
      </c>
      <c r="X1825" s="6">
        <f ca="1">-SUBTOTAL(9,INDEX(Main[مقدار تسویه شده (کیلوگرم)],1):Main[[#This Row],[مقدار تسویه شده (کیلوگرم)]])</f>
        <v>22005</v>
      </c>
      <c r="Y1825" s="6">
        <f ca="1">IF(Main[[#This Row],[مانده در خط تسویه شده (کیلوگرم)]]&lt;&gt;0,Main[[#This Row],[تعداد کل روزهای بدهکار (روز)]],0)</f>
        <v>2</v>
      </c>
      <c r="Z1825" s="6">
        <f ca="1">Main[[#This Row],[تعداد روزهای بدهکار تسویه شده (روز)]]*Main[[#This Row],[مانده در خط تسویه شده (کیلوگرم)]]</f>
        <v>44010</v>
      </c>
      <c r="AA1825" s="6">
        <f ca="1">SUBTOTAL(9,INDEX(Main[بدهی تسویه نشده (کیلوگرم)],1):Main[[#This Row],[بدهی تسویه نشده (کیلوگرم)]])</f>
        <v>0</v>
      </c>
      <c r="AB1825" s="6">
        <f ca="1">IF(Main[[#This Row],[مانده در خط تسویه نشده (کیلوگرم)]]&lt;&gt;0,Main[[#This Row],[تعداد کل روزهای بدهکار (روز)]],0)</f>
        <v>0</v>
      </c>
      <c r="AC1825" s="6">
        <f ca="1">Main[[#This Row],[تعداد روزهای بدهکار  تسویه نشده (روز)]]*Main[[#This Row],[مانده در خط تسویه نشده (کیلوگرم)]]</f>
        <v>0</v>
      </c>
      <c r="AD1825" s="6">
        <f ca="1">SUBTOTAL(9,INDEX(Main[بدهی سررسید شده (کیلوگرم)],1):Main[[#This Row],[بدهی سررسید شده (کیلوگرم)]])</f>
        <v>0</v>
      </c>
      <c r="AE1825" s="6">
        <f ca="1">IF(Main[[#This Row],[مانده در خط سررسید شده (کیلوگرم)]]&lt;&gt;0,Main[[#This Row],[تعداد کل روزهای بدهکار (روز)]],0)</f>
        <v>0</v>
      </c>
      <c r="AF1825" s="6">
        <f ca="1">Main[[#This Row],[تعداد روزهای بدهکار سررسید شده (روز)]]*Main[[#This Row],[مانده در خط سررسید شده (کیلوگرم)]]</f>
        <v>0</v>
      </c>
    </row>
    <row r="1826" spans="1:32" hidden="1" x14ac:dyDescent="0.35">
      <c r="A1826" s="5">
        <f>ROW()-ROW(INDEX(Main[ردیف],1))+1</f>
        <v>1824</v>
      </c>
      <c r="B1826" s="31">
        <f>SUBTOTAL(2,INDEX(Main[ردیف],1):Main[[#This Row],[ردیف]])</f>
        <v>162</v>
      </c>
      <c r="C1826" s="32" t="s">
        <v>726</v>
      </c>
      <c r="D1826" s="32" t="str">
        <f>_xlfn.CONCAT("14",Main[[#This Row],[تاريخ]])</f>
        <v>1400/07/19</v>
      </c>
      <c r="E1826" s="33">
        <v>44480</v>
      </c>
      <c r="F1826" s="32">
        <v>10026</v>
      </c>
      <c r="G1826" s="5" t="str">
        <f>INDEX(customer[عنوان],MATCH(Main[[#This Row],[کد ردیابی]],customer[کد],0))</f>
        <v xml:space="preserve">محسن فیاض بخش </v>
      </c>
      <c r="H1826">
        <v>-3806</v>
      </c>
      <c r="I1826" s="6">
        <f ca="1">-Main[[#This Row],[بدهی تسویه شده (کیلوگرم)]]+Main[[#This Row],[بستانکار (کیلوگرم)]]</f>
        <v>-3806</v>
      </c>
      <c r="J1826" s="6">
        <f>IF(Main[[#This Row],[مقدار (کیلوگرم)]]&gt;0,Main[[#This Row],[مقدار (کیلوگرم)]],0)</f>
        <v>0</v>
      </c>
      <c r="K1826" s="6">
        <f>-IF(Main[[#This Row],[مقدار (کیلوگرم)]]&lt;0,Main[[#This Row],[مقدار (کیلوگرم)]],0)</f>
        <v>3806</v>
      </c>
      <c r="L18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6" s="7">
        <f>-IF(AND(Main[[#This Row],[مقدار (کیلوگرم)]]&lt;0,Main[[#This Row],[تاريخ میلادی]]&gt;44276),Main[[#This Row],[مقدار (کیلوگرم)]],0)</f>
        <v>3806</v>
      </c>
      <c r="N1826" s="6">
        <f ca="1">Main[[#This Row],[بدهکار (کیلوگرم)]]-Main[[#This Row],[بدهی تسویه نشده (کیلوگرم)]]</f>
        <v>3806</v>
      </c>
      <c r="O1826" s="6">
        <f ca="1">Main[[#This Row],[تفکیک]]</f>
        <v>0</v>
      </c>
      <c r="P1826" s="6">
        <f ca="1">IF(Main[[#This Row],[تاخیر از سررسید]]&gt;0,Main[[#This Row],[بدهی تسویه نشده (کیلوگرم)]],0)</f>
        <v>0</v>
      </c>
      <c r="Q1826" s="6">
        <f ca="1">IF(Main[[#This Row],[بدهی تسویه نشده (کیلوگرم)]]&gt;0,'گزارش فردی'!$B$7-Main[[#This Row],[تاريخ میلادی]],0)</f>
        <v>0</v>
      </c>
      <c r="R1826" s="6">
        <f ca="1">IF(Main[[#This Row],[بدهی تسویه نشده (کیلوگرم)]]&gt;0,'گزارش فردی'!$B$7-Main[[#This Row],[تاريخ میلادی]]-'گزارش فردی'!$B$8,0)</f>
        <v>0</v>
      </c>
      <c r="S1826" s="6">
        <f ca="1">Main[[#This Row],[روز از ارسال سفارش]]*Main[[#This Row],[بدهی تسویه نشده (کیلوگرم)]]</f>
        <v>0</v>
      </c>
      <c r="T1826" s="6">
        <f ca="1">Main[[#This Row],[بدهی سررسید شده (کیلوگرم)]]*Main[[#This Row],[روز از ارسال سفارش]]</f>
        <v>0</v>
      </c>
      <c r="U1826" s="6">
        <f>-SUBTOTAL(9,INDEX(Main[مقدار (کیلوگرم)],1):Main[[#This Row],[مقدار (کیلوگرم)]])</f>
        <v>22005</v>
      </c>
      <c r="V18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6" s="6">
        <f>Main[[#This Row],[تعداد کل روزهای بدهکار (روز)]]*Main[[#This Row],[مانده در خط کل (کیلوگرم)]]</f>
        <v>44010</v>
      </c>
      <c r="X1826" s="6">
        <f ca="1">-SUBTOTAL(9,INDEX(Main[مقدار تسویه شده (کیلوگرم)],1):Main[[#This Row],[مقدار تسویه شده (کیلوگرم)]])</f>
        <v>22005</v>
      </c>
      <c r="Y1826" s="6">
        <f ca="1">IF(Main[[#This Row],[مانده در خط تسویه شده (کیلوگرم)]]&lt;&gt;0,Main[[#This Row],[تعداد کل روزهای بدهکار (روز)]],0)</f>
        <v>2</v>
      </c>
      <c r="Z1826" s="6">
        <f ca="1">Main[[#This Row],[تعداد روزهای بدهکار تسویه شده (روز)]]*Main[[#This Row],[مانده در خط تسویه شده (کیلوگرم)]]</f>
        <v>44010</v>
      </c>
      <c r="AA1826" s="6">
        <f ca="1">SUBTOTAL(9,INDEX(Main[بدهی تسویه نشده (کیلوگرم)],1):Main[[#This Row],[بدهی تسویه نشده (کیلوگرم)]])</f>
        <v>0</v>
      </c>
      <c r="AB1826" s="6">
        <f ca="1">IF(Main[[#This Row],[مانده در خط تسویه نشده (کیلوگرم)]]&lt;&gt;0,Main[[#This Row],[تعداد کل روزهای بدهکار (روز)]],0)</f>
        <v>0</v>
      </c>
      <c r="AC1826" s="6">
        <f ca="1">Main[[#This Row],[تعداد روزهای بدهکار  تسویه نشده (روز)]]*Main[[#This Row],[مانده در خط تسویه نشده (کیلوگرم)]]</f>
        <v>0</v>
      </c>
      <c r="AD1826" s="6">
        <f ca="1">SUBTOTAL(9,INDEX(Main[بدهی سررسید شده (کیلوگرم)],1):Main[[#This Row],[بدهی سررسید شده (کیلوگرم)]])</f>
        <v>0</v>
      </c>
      <c r="AE1826" s="6">
        <f ca="1">IF(Main[[#This Row],[مانده در خط سررسید شده (کیلوگرم)]]&lt;&gt;0,Main[[#This Row],[تعداد کل روزهای بدهکار (روز)]],0)</f>
        <v>0</v>
      </c>
      <c r="AF1826" s="6">
        <f ca="1">Main[[#This Row],[تعداد روزهای بدهکار سررسید شده (روز)]]*Main[[#This Row],[مانده در خط سررسید شده (کیلوگرم)]]</f>
        <v>0</v>
      </c>
    </row>
    <row r="1827" spans="1:32" hidden="1" x14ac:dyDescent="0.35">
      <c r="A1827" s="5">
        <f>ROW()-ROW(INDEX(Main[ردیف],1))+1</f>
        <v>1825</v>
      </c>
      <c r="B1827" s="31">
        <f>SUBTOTAL(2,INDEX(Main[ردیف],1):Main[[#This Row],[ردیف]])</f>
        <v>162</v>
      </c>
      <c r="C1827" s="32" t="s">
        <v>726</v>
      </c>
      <c r="D1827" s="32" t="str">
        <f>_xlfn.CONCAT("14",Main[[#This Row],[تاريخ]])</f>
        <v>1400/07/19</v>
      </c>
      <c r="E1827" s="33">
        <v>44480</v>
      </c>
      <c r="F1827" s="32">
        <v>10126</v>
      </c>
      <c r="G1827" s="5" t="str">
        <f>INDEX(customer[عنوان],MATCH(Main[[#This Row],[کد ردیابی]],customer[کد],0))</f>
        <v xml:space="preserve">کریم اسمعیلی </v>
      </c>
      <c r="H1827">
        <v>87</v>
      </c>
      <c r="I1827" s="6">
        <f ca="1">-Main[[#This Row],[بدهی تسویه شده (کیلوگرم)]]+Main[[#This Row],[بستانکار (کیلوگرم)]]</f>
        <v>87</v>
      </c>
      <c r="J1827" s="6">
        <f>IF(Main[[#This Row],[مقدار (کیلوگرم)]]&gt;0,Main[[#This Row],[مقدار (کیلوگرم)]],0)</f>
        <v>87</v>
      </c>
      <c r="K1827" s="6">
        <f>-IF(Main[[#This Row],[مقدار (کیلوگرم)]]&lt;0,Main[[#This Row],[مقدار (کیلوگرم)]],0)</f>
        <v>0</v>
      </c>
      <c r="L18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7" s="7">
        <f>-IF(AND(Main[[#This Row],[مقدار (کیلوگرم)]]&lt;0,Main[[#This Row],[تاريخ میلادی]]&gt;44276),Main[[#This Row],[مقدار (کیلوگرم)]],0)</f>
        <v>0</v>
      </c>
      <c r="N1827" s="6">
        <f ca="1">Main[[#This Row],[بدهکار (کیلوگرم)]]-Main[[#This Row],[بدهی تسویه نشده (کیلوگرم)]]</f>
        <v>0</v>
      </c>
      <c r="O1827" s="6">
        <f ca="1">Main[[#This Row],[تفکیک]]</f>
        <v>0</v>
      </c>
      <c r="P1827" s="6">
        <f ca="1">IF(Main[[#This Row],[تاخیر از سررسید]]&gt;0,Main[[#This Row],[بدهی تسویه نشده (کیلوگرم)]],0)</f>
        <v>0</v>
      </c>
      <c r="Q1827" s="6">
        <f ca="1">IF(Main[[#This Row],[بدهی تسویه نشده (کیلوگرم)]]&gt;0,'گزارش فردی'!$B$7-Main[[#This Row],[تاريخ میلادی]],0)</f>
        <v>0</v>
      </c>
      <c r="R1827" s="6">
        <f ca="1">IF(Main[[#This Row],[بدهی تسویه نشده (کیلوگرم)]]&gt;0,'گزارش فردی'!$B$7-Main[[#This Row],[تاريخ میلادی]]-'گزارش فردی'!$B$8,0)</f>
        <v>0</v>
      </c>
      <c r="S1827" s="6">
        <f ca="1">Main[[#This Row],[روز از ارسال سفارش]]*Main[[#This Row],[بدهی تسویه نشده (کیلوگرم)]]</f>
        <v>0</v>
      </c>
      <c r="T1827" s="6">
        <f ca="1">Main[[#This Row],[بدهی سررسید شده (کیلوگرم)]]*Main[[#This Row],[روز از ارسال سفارش]]</f>
        <v>0</v>
      </c>
      <c r="U1827" s="6">
        <f>-SUBTOTAL(9,INDEX(Main[مقدار (کیلوگرم)],1):Main[[#This Row],[مقدار (کیلوگرم)]])</f>
        <v>22005</v>
      </c>
      <c r="V18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7" s="6">
        <f>Main[[#This Row],[تعداد کل روزهای بدهکار (روز)]]*Main[[#This Row],[مانده در خط کل (کیلوگرم)]]</f>
        <v>44010</v>
      </c>
      <c r="X1827" s="6">
        <f ca="1">-SUBTOTAL(9,INDEX(Main[مقدار تسویه شده (کیلوگرم)],1):Main[[#This Row],[مقدار تسویه شده (کیلوگرم)]])</f>
        <v>22005</v>
      </c>
      <c r="Y1827" s="6">
        <f ca="1">IF(Main[[#This Row],[مانده در خط تسویه شده (کیلوگرم)]]&lt;&gt;0,Main[[#This Row],[تعداد کل روزهای بدهکار (روز)]],0)</f>
        <v>2</v>
      </c>
      <c r="Z1827" s="6">
        <f ca="1">Main[[#This Row],[تعداد روزهای بدهکار تسویه شده (روز)]]*Main[[#This Row],[مانده در خط تسویه شده (کیلوگرم)]]</f>
        <v>44010</v>
      </c>
      <c r="AA1827" s="6">
        <f ca="1">SUBTOTAL(9,INDEX(Main[بدهی تسویه نشده (کیلوگرم)],1):Main[[#This Row],[بدهی تسویه نشده (کیلوگرم)]])</f>
        <v>0</v>
      </c>
      <c r="AB1827" s="6">
        <f ca="1">IF(Main[[#This Row],[مانده در خط تسویه نشده (کیلوگرم)]]&lt;&gt;0,Main[[#This Row],[تعداد کل روزهای بدهکار (روز)]],0)</f>
        <v>0</v>
      </c>
      <c r="AC1827" s="6">
        <f ca="1">Main[[#This Row],[تعداد روزهای بدهکار  تسویه نشده (روز)]]*Main[[#This Row],[مانده در خط تسویه نشده (کیلوگرم)]]</f>
        <v>0</v>
      </c>
      <c r="AD1827" s="6">
        <f ca="1">SUBTOTAL(9,INDEX(Main[بدهی سررسید شده (کیلوگرم)],1):Main[[#This Row],[بدهی سررسید شده (کیلوگرم)]])</f>
        <v>0</v>
      </c>
      <c r="AE1827" s="6">
        <f ca="1">IF(Main[[#This Row],[مانده در خط سررسید شده (کیلوگرم)]]&lt;&gt;0,Main[[#This Row],[تعداد کل روزهای بدهکار (روز)]],0)</f>
        <v>0</v>
      </c>
      <c r="AF1827" s="6">
        <f ca="1">Main[[#This Row],[تعداد روزهای بدهکار سررسید شده (روز)]]*Main[[#This Row],[مانده در خط سررسید شده (کیلوگرم)]]</f>
        <v>0</v>
      </c>
    </row>
    <row r="1828" spans="1:32" hidden="1" x14ac:dyDescent="0.35">
      <c r="A1828" s="5">
        <f>ROW()-ROW(INDEX(Main[ردیف],1))+1</f>
        <v>1826</v>
      </c>
      <c r="B1828" s="31">
        <f>SUBTOTAL(2,INDEX(Main[ردیف],1):Main[[#This Row],[ردیف]])</f>
        <v>162</v>
      </c>
      <c r="C1828" s="32" t="s">
        <v>727</v>
      </c>
      <c r="D1828" s="32" t="str">
        <f>_xlfn.CONCAT("14",Main[[#This Row],[تاريخ]])</f>
        <v>1400/07/20</v>
      </c>
      <c r="E1828" s="33">
        <v>44481</v>
      </c>
      <c r="F1828" s="32">
        <v>50011</v>
      </c>
      <c r="G1828" s="5" t="str">
        <f>INDEX(customer[عنوان],MATCH(Main[[#This Row],[کد ردیابی]],customer[کد],0))</f>
        <v xml:space="preserve">جعفر هوشمند </v>
      </c>
      <c r="H1828">
        <v>-2112</v>
      </c>
      <c r="I1828" s="6">
        <f ca="1">-Main[[#This Row],[بدهی تسویه شده (کیلوگرم)]]+Main[[#This Row],[بستانکار (کیلوگرم)]]</f>
        <v>-2112</v>
      </c>
      <c r="J1828" s="6">
        <f>IF(Main[[#This Row],[مقدار (کیلوگرم)]]&gt;0,Main[[#This Row],[مقدار (کیلوگرم)]],0)</f>
        <v>0</v>
      </c>
      <c r="K1828" s="6">
        <f>-IF(Main[[#This Row],[مقدار (کیلوگرم)]]&lt;0,Main[[#This Row],[مقدار (کیلوگرم)]],0)</f>
        <v>2112</v>
      </c>
      <c r="L18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8" s="7">
        <f>-IF(AND(Main[[#This Row],[مقدار (کیلوگرم)]]&lt;0,Main[[#This Row],[تاريخ میلادی]]&gt;44276),Main[[#This Row],[مقدار (کیلوگرم)]],0)</f>
        <v>2112</v>
      </c>
      <c r="N1828" s="6">
        <f ca="1">Main[[#This Row],[بدهکار (کیلوگرم)]]-Main[[#This Row],[بدهی تسویه نشده (کیلوگرم)]]</f>
        <v>2112</v>
      </c>
      <c r="O1828" s="6">
        <f ca="1">Main[[#This Row],[تفکیک]]</f>
        <v>0</v>
      </c>
      <c r="P1828" s="6">
        <f ca="1">IF(Main[[#This Row],[تاخیر از سررسید]]&gt;0,Main[[#This Row],[بدهی تسویه نشده (کیلوگرم)]],0)</f>
        <v>0</v>
      </c>
      <c r="Q1828" s="6">
        <f ca="1">IF(Main[[#This Row],[بدهی تسویه نشده (کیلوگرم)]]&gt;0,'گزارش فردی'!$B$7-Main[[#This Row],[تاريخ میلادی]],0)</f>
        <v>0</v>
      </c>
      <c r="R1828" s="6">
        <f ca="1">IF(Main[[#This Row],[بدهی تسویه نشده (کیلوگرم)]]&gt;0,'گزارش فردی'!$B$7-Main[[#This Row],[تاريخ میلادی]]-'گزارش فردی'!$B$8,0)</f>
        <v>0</v>
      </c>
      <c r="S1828" s="6">
        <f ca="1">Main[[#This Row],[روز از ارسال سفارش]]*Main[[#This Row],[بدهی تسویه نشده (کیلوگرم)]]</f>
        <v>0</v>
      </c>
      <c r="T1828" s="6">
        <f ca="1">Main[[#This Row],[بدهی سررسید شده (کیلوگرم)]]*Main[[#This Row],[روز از ارسال سفارش]]</f>
        <v>0</v>
      </c>
      <c r="U1828" s="6">
        <f>-SUBTOTAL(9,INDEX(Main[مقدار (کیلوگرم)],1):Main[[#This Row],[مقدار (کیلوگرم)]])</f>
        <v>22005</v>
      </c>
      <c r="V18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28" s="6">
        <f>Main[[#This Row],[تعداد کل روزهای بدهکار (روز)]]*Main[[#This Row],[مانده در خط کل (کیلوگرم)]]</f>
        <v>22005</v>
      </c>
      <c r="X1828" s="6">
        <f ca="1">-SUBTOTAL(9,INDEX(Main[مقدار تسویه شده (کیلوگرم)],1):Main[[#This Row],[مقدار تسویه شده (کیلوگرم)]])</f>
        <v>22005</v>
      </c>
      <c r="Y1828" s="6">
        <f ca="1">IF(Main[[#This Row],[مانده در خط تسویه شده (کیلوگرم)]]&lt;&gt;0,Main[[#This Row],[تعداد کل روزهای بدهکار (روز)]],0)</f>
        <v>1</v>
      </c>
      <c r="Z1828" s="6">
        <f ca="1">Main[[#This Row],[تعداد روزهای بدهکار تسویه شده (روز)]]*Main[[#This Row],[مانده در خط تسویه شده (کیلوگرم)]]</f>
        <v>22005</v>
      </c>
      <c r="AA1828" s="6">
        <f ca="1">SUBTOTAL(9,INDEX(Main[بدهی تسویه نشده (کیلوگرم)],1):Main[[#This Row],[بدهی تسویه نشده (کیلوگرم)]])</f>
        <v>0</v>
      </c>
      <c r="AB1828" s="6">
        <f ca="1">IF(Main[[#This Row],[مانده در خط تسویه نشده (کیلوگرم)]]&lt;&gt;0,Main[[#This Row],[تعداد کل روزهای بدهکار (روز)]],0)</f>
        <v>0</v>
      </c>
      <c r="AC1828" s="6">
        <f ca="1">Main[[#This Row],[تعداد روزهای بدهکار  تسویه نشده (روز)]]*Main[[#This Row],[مانده در خط تسویه نشده (کیلوگرم)]]</f>
        <v>0</v>
      </c>
      <c r="AD1828" s="6">
        <f ca="1">SUBTOTAL(9,INDEX(Main[بدهی سررسید شده (کیلوگرم)],1):Main[[#This Row],[بدهی سررسید شده (کیلوگرم)]])</f>
        <v>0</v>
      </c>
      <c r="AE1828" s="6">
        <f ca="1">IF(Main[[#This Row],[مانده در خط سررسید شده (کیلوگرم)]]&lt;&gt;0,Main[[#This Row],[تعداد کل روزهای بدهکار (روز)]],0)</f>
        <v>0</v>
      </c>
      <c r="AF1828" s="6">
        <f ca="1">Main[[#This Row],[تعداد روزهای بدهکار سررسید شده (روز)]]*Main[[#This Row],[مانده در خط سررسید شده (کیلوگرم)]]</f>
        <v>0</v>
      </c>
    </row>
    <row r="1829" spans="1:32" hidden="1" x14ac:dyDescent="0.35">
      <c r="A1829" s="5">
        <f>ROW()-ROW(INDEX(Main[ردیف],1))+1</f>
        <v>1827</v>
      </c>
      <c r="B1829" s="31">
        <f>SUBTOTAL(2,INDEX(Main[ردیف],1):Main[[#This Row],[ردیف]])</f>
        <v>162</v>
      </c>
      <c r="C1829" s="32" t="s">
        <v>727</v>
      </c>
      <c r="D1829" s="32" t="str">
        <f>_xlfn.CONCAT("14",Main[[#This Row],[تاريخ]])</f>
        <v>1400/07/20</v>
      </c>
      <c r="E1829" s="33">
        <v>44481</v>
      </c>
      <c r="F1829" s="32">
        <v>30160</v>
      </c>
      <c r="G1829" s="5" t="str">
        <f>INDEX(customer[عنوان],MATCH(Main[[#This Row],[کد ردیابی]],customer[کد],0))</f>
        <v>کیان صنعت</v>
      </c>
      <c r="H1829">
        <v>100</v>
      </c>
      <c r="I1829" s="6">
        <f ca="1">-Main[[#This Row],[بدهی تسویه شده (کیلوگرم)]]+Main[[#This Row],[بستانکار (کیلوگرم)]]</f>
        <v>100</v>
      </c>
      <c r="J1829" s="6">
        <f>IF(Main[[#This Row],[مقدار (کیلوگرم)]]&gt;0,Main[[#This Row],[مقدار (کیلوگرم)]],0)</f>
        <v>100</v>
      </c>
      <c r="K1829" s="6">
        <f>-IF(Main[[#This Row],[مقدار (کیلوگرم)]]&lt;0,Main[[#This Row],[مقدار (کیلوگرم)]],0)</f>
        <v>0</v>
      </c>
      <c r="L18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9" s="7">
        <f>-IF(AND(Main[[#This Row],[مقدار (کیلوگرم)]]&lt;0,Main[[#This Row],[تاريخ میلادی]]&gt;44276),Main[[#This Row],[مقدار (کیلوگرم)]],0)</f>
        <v>0</v>
      </c>
      <c r="N1829" s="6">
        <f ca="1">Main[[#This Row],[بدهکار (کیلوگرم)]]-Main[[#This Row],[بدهی تسویه نشده (کیلوگرم)]]</f>
        <v>0</v>
      </c>
      <c r="O1829" s="6">
        <f ca="1">Main[[#This Row],[تفکیک]]</f>
        <v>0</v>
      </c>
      <c r="P1829" s="6">
        <f ca="1">IF(Main[[#This Row],[تاخیر از سررسید]]&gt;0,Main[[#This Row],[بدهی تسویه نشده (کیلوگرم)]],0)</f>
        <v>0</v>
      </c>
      <c r="Q1829" s="6">
        <f ca="1">IF(Main[[#This Row],[بدهی تسویه نشده (کیلوگرم)]]&gt;0,'گزارش فردی'!$B$7-Main[[#This Row],[تاريخ میلادی]],0)</f>
        <v>0</v>
      </c>
      <c r="R1829" s="6">
        <f ca="1">IF(Main[[#This Row],[بدهی تسویه نشده (کیلوگرم)]]&gt;0,'گزارش فردی'!$B$7-Main[[#This Row],[تاريخ میلادی]]-'گزارش فردی'!$B$8,0)</f>
        <v>0</v>
      </c>
      <c r="S1829" s="6">
        <f ca="1">Main[[#This Row],[روز از ارسال سفارش]]*Main[[#This Row],[بدهی تسویه نشده (کیلوگرم)]]</f>
        <v>0</v>
      </c>
      <c r="T1829" s="6">
        <f ca="1">Main[[#This Row],[بدهی سررسید شده (کیلوگرم)]]*Main[[#This Row],[روز از ارسال سفارش]]</f>
        <v>0</v>
      </c>
      <c r="U1829" s="6">
        <f>-SUBTOTAL(9,INDEX(Main[مقدار (کیلوگرم)],1):Main[[#This Row],[مقدار (کیلوگرم)]])</f>
        <v>22005</v>
      </c>
      <c r="V18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29" s="6">
        <f>Main[[#This Row],[تعداد کل روزهای بدهکار (روز)]]*Main[[#This Row],[مانده در خط کل (کیلوگرم)]]</f>
        <v>22005</v>
      </c>
      <c r="X1829" s="6">
        <f ca="1">-SUBTOTAL(9,INDEX(Main[مقدار تسویه شده (کیلوگرم)],1):Main[[#This Row],[مقدار تسویه شده (کیلوگرم)]])</f>
        <v>22005</v>
      </c>
      <c r="Y1829" s="6">
        <f ca="1">IF(Main[[#This Row],[مانده در خط تسویه شده (کیلوگرم)]]&lt;&gt;0,Main[[#This Row],[تعداد کل روزهای بدهکار (روز)]],0)</f>
        <v>1</v>
      </c>
      <c r="Z1829" s="6">
        <f ca="1">Main[[#This Row],[تعداد روزهای بدهکار تسویه شده (روز)]]*Main[[#This Row],[مانده در خط تسویه شده (کیلوگرم)]]</f>
        <v>22005</v>
      </c>
      <c r="AA1829" s="6">
        <f ca="1">SUBTOTAL(9,INDEX(Main[بدهی تسویه نشده (کیلوگرم)],1):Main[[#This Row],[بدهی تسویه نشده (کیلوگرم)]])</f>
        <v>0</v>
      </c>
      <c r="AB1829" s="6">
        <f ca="1">IF(Main[[#This Row],[مانده در خط تسویه نشده (کیلوگرم)]]&lt;&gt;0,Main[[#This Row],[تعداد کل روزهای بدهکار (روز)]],0)</f>
        <v>0</v>
      </c>
      <c r="AC1829" s="6">
        <f ca="1">Main[[#This Row],[تعداد روزهای بدهکار  تسویه نشده (روز)]]*Main[[#This Row],[مانده در خط تسویه نشده (کیلوگرم)]]</f>
        <v>0</v>
      </c>
      <c r="AD1829" s="6">
        <f ca="1">SUBTOTAL(9,INDEX(Main[بدهی سررسید شده (کیلوگرم)],1):Main[[#This Row],[بدهی سررسید شده (کیلوگرم)]])</f>
        <v>0</v>
      </c>
      <c r="AE1829" s="6">
        <f ca="1">IF(Main[[#This Row],[مانده در خط سررسید شده (کیلوگرم)]]&lt;&gt;0,Main[[#This Row],[تعداد کل روزهای بدهکار (روز)]],0)</f>
        <v>0</v>
      </c>
      <c r="AF1829" s="6">
        <f ca="1">Main[[#This Row],[تعداد روزهای بدهکار سررسید شده (روز)]]*Main[[#This Row],[مانده در خط سررسید شده (کیلوگرم)]]</f>
        <v>0</v>
      </c>
    </row>
    <row r="1830" spans="1:32" hidden="1" x14ac:dyDescent="0.35">
      <c r="A1830" s="5">
        <f>ROW()-ROW(INDEX(Main[ردیف],1))+1</f>
        <v>1828</v>
      </c>
      <c r="B1830" s="31">
        <f>SUBTOTAL(2,INDEX(Main[ردیف],1):Main[[#This Row],[ردیف]])</f>
        <v>162</v>
      </c>
      <c r="C1830" s="32" t="s">
        <v>727</v>
      </c>
      <c r="D1830" s="32" t="str">
        <f>_xlfn.CONCAT("14",Main[[#This Row],[تاريخ]])</f>
        <v>1400/07/20</v>
      </c>
      <c r="E1830" s="33">
        <v>44481</v>
      </c>
      <c r="F1830" s="32">
        <v>50016</v>
      </c>
      <c r="G1830" s="5" t="str">
        <f>INDEX(customer[عنوان],MATCH(Main[[#This Row],[کد ردیابی]],customer[کد],0))</f>
        <v xml:space="preserve">مهدی یوسفی  </v>
      </c>
      <c r="H1830">
        <v>-4327</v>
      </c>
      <c r="I1830" s="6">
        <f ca="1">-Main[[#This Row],[بدهی تسویه شده (کیلوگرم)]]+Main[[#This Row],[بستانکار (کیلوگرم)]]</f>
        <v>-4327</v>
      </c>
      <c r="J1830" s="6">
        <f>IF(Main[[#This Row],[مقدار (کیلوگرم)]]&gt;0,Main[[#This Row],[مقدار (کیلوگرم)]],0)</f>
        <v>0</v>
      </c>
      <c r="K1830" s="6">
        <f>-IF(Main[[#This Row],[مقدار (کیلوگرم)]]&lt;0,Main[[#This Row],[مقدار (کیلوگرم)]],0)</f>
        <v>4327</v>
      </c>
      <c r="L18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0" s="7">
        <f>-IF(AND(Main[[#This Row],[مقدار (کیلوگرم)]]&lt;0,Main[[#This Row],[تاريخ میلادی]]&gt;44276),Main[[#This Row],[مقدار (کیلوگرم)]],0)</f>
        <v>4327</v>
      </c>
      <c r="N1830" s="6">
        <f ca="1">Main[[#This Row],[بدهکار (کیلوگرم)]]-Main[[#This Row],[بدهی تسویه نشده (کیلوگرم)]]</f>
        <v>4327</v>
      </c>
      <c r="O1830" s="6">
        <f ca="1">Main[[#This Row],[تفکیک]]</f>
        <v>0</v>
      </c>
      <c r="P1830" s="6">
        <f ca="1">IF(Main[[#This Row],[تاخیر از سررسید]]&gt;0,Main[[#This Row],[بدهی تسویه نشده (کیلوگرم)]],0)</f>
        <v>0</v>
      </c>
      <c r="Q1830" s="6">
        <f ca="1">IF(Main[[#This Row],[بدهی تسویه نشده (کیلوگرم)]]&gt;0,'گزارش فردی'!$B$7-Main[[#This Row],[تاريخ میلادی]],0)</f>
        <v>0</v>
      </c>
      <c r="R1830" s="6">
        <f ca="1">IF(Main[[#This Row],[بدهی تسویه نشده (کیلوگرم)]]&gt;0,'گزارش فردی'!$B$7-Main[[#This Row],[تاريخ میلادی]]-'گزارش فردی'!$B$8,0)</f>
        <v>0</v>
      </c>
      <c r="S1830" s="6">
        <f ca="1">Main[[#This Row],[روز از ارسال سفارش]]*Main[[#This Row],[بدهی تسویه نشده (کیلوگرم)]]</f>
        <v>0</v>
      </c>
      <c r="T1830" s="6">
        <f ca="1">Main[[#This Row],[بدهی سررسید شده (کیلوگرم)]]*Main[[#This Row],[روز از ارسال سفارش]]</f>
        <v>0</v>
      </c>
      <c r="U1830" s="6">
        <f>-SUBTOTAL(9,INDEX(Main[مقدار (کیلوگرم)],1):Main[[#This Row],[مقدار (کیلوگرم)]])</f>
        <v>22005</v>
      </c>
      <c r="V18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0" s="6">
        <f>Main[[#This Row],[تعداد کل روزهای بدهکار (روز)]]*Main[[#This Row],[مانده در خط کل (کیلوگرم)]]</f>
        <v>22005</v>
      </c>
      <c r="X1830" s="6">
        <f ca="1">-SUBTOTAL(9,INDEX(Main[مقدار تسویه شده (کیلوگرم)],1):Main[[#This Row],[مقدار تسویه شده (کیلوگرم)]])</f>
        <v>22005</v>
      </c>
      <c r="Y1830" s="6">
        <f ca="1">IF(Main[[#This Row],[مانده در خط تسویه شده (کیلوگرم)]]&lt;&gt;0,Main[[#This Row],[تعداد کل روزهای بدهکار (روز)]],0)</f>
        <v>1</v>
      </c>
      <c r="Z1830" s="6">
        <f ca="1">Main[[#This Row],[تعداد روزهای بدهکار تسویه شده (روز)]]*Main[[#This Row],[مانده در خط تسویه شده (کیلوگرم)]]</f>
        <v>22005</v>
      </c>
      <c r="AA1830" s="6">
        <f ca="1">SUBTOTAL(9,INDEX(Main[بدهی تسویه نشده (کیلوگرم)],1):Main[[#This Row],[بدهی تسویه نشده (کیلوگرم)]])</f>
        <v>0</v>
      </c>
      <c r="AB1830" s="6">
        <f ca="1">IF(Main[[#This Row],[مانده در خط تسویه نشده (کیلوگرم)]]&lt;&gt;0,Main[[#This Row],[تعداد کل روزهای بدهکار (روز)]],0)</f>
        <v>0</v>
      </c>
      <c r="AC1830" s="6">
        <f ca="1">Main[[#This Row],[تعداد روزهای بدهکار  تسویه نشده (روز)]]*Main[[#This Row],[مانده در خط تسویه نشده (کیلوگرم)]]</f>
        <v>0</v>
      </c>
      <c r="AD1830" s="6">
        <f ca="1">SUBTOTAL(9,INDEX(Main[بدهی سررسید شده (کیلوگرم)],1):Main[[#This Row],[بدهی سررسید شده (کیلوگرم)]])</f>
        <v>0</v>
      </c>
      <c r="AE1830" s="6">
        <f ca="1">IF(Main[[#This Row],[مانده در خط سررسید شده (کیلوگرم)]]&lt;&gt;0,Main[[#This Row],[تعداد کل روزهای بدهکار (روز)]],0)</f>
        <v>0</v>
      </c>
      <c r="AF1830" s="6">
        <f ca="1">Main[[#This Row],[تعداد روزهای بدهکار سررسید شده (روز)]]*Main[[#This Row],[مانده در خط سررسید شده (کیلوگرم)]]</f>
        <v>0</v>
      </c>
    </row>
    <row r="1831" spans="1:32" hidden="1" x14ac:dyDescent="0.35">
      <c r="A1831" s="5">
        <f>ROW()-ROW(INDEX(Main[ردیف],1))+1</f>
        <v>1829</v>
      </c>
      <c r="B1831" s="31">
        <f>SUBTOTAL(2,INDEX(Main[ردیف],1):Main[[#This Row],[ردیف]])</f>
        <v>162</v>
      </c>
      <c r="C1831" s="32" t="s">
        <v>727</v>
      </c>
      <c r="D1831" s="32" t="str">
        <f>_xlfn.CONCAT("14",Main[[#This Row],[تاريخ]])</f>
        <v>1400/07/20</v>
      </c>
      <c r="E1831" s="33">
        <v>44481</v>
      </c>
      <c r="F1831" s="32">
        <v>50011</v>
      </c>
      <c r="G1831" s="5" t="str">
        <f>INDEX(customer[عنوان],MATCH(Main[[#This Row],[کد ردیابی]],customer[کد],0))</f>
        <v xml:space="preserve">جعفر هوشمند </v>
      </c>
      <c r="H1831">
        <v>2092</v>
      </c>
      <c r="I1831" s="6">
        <f ca="1">-Main[[#This Row],[بدهی تسویه شده (کیلوگرم)]]+Main[[#This Row],[بستانکار (کیلوگرم)]]</f>
        <v>2092</v>
      </c>
      <c r="J1831" s="6">
        <f>IF(Main[[#This Row],[مقدار (کیلوگرم)]]&gt;0,Main[[#This Row],[مقدار (کیلوگرم)]],0)</f>
        <v>2092</v>
      </c>
      <c r="K1831" s="6">
        <f>-IF(Main[[#This Row],[مقدار (کیلوگرم)]]&lt;0,Main[[#This Row],[مقدار (کیلوگرم)]],0)</f>
        <v>0</v>
      </c>
      <c r="L18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1" s="7">
        <f>-IF(AND(Main[[#This Row],[مقدار (کیلوگرم)]]&lt;0,Main[[#This Row],[تاريخ میلادی]]&gt;44276),Main[[#This Row],[مقدار (کیلوگرم)]],0)</f>
        <v>0</v>
      </c>
      <c r="N1831" s="6">
        <f ca="1">Main[[#This Row],[بدهکار (کیلوگرم)]]-Main[[#This Row],[بدهی تسویه نشده (کیلوگرم)]]</f>
        <v>0</v>
      </c>
      <c r="O1831" s="6">
        <f ca="1">Main[[#This Row],[تفکیک]]</f>
        <v>0</v>
      </c>
      <c r="P1831" s="6">
        <f ca="1">IF(Main[[#This Row],[تاخیر از سررسید]]&gt;0,Main[[#This Row],[بدهی تسویه نشده (کیلوگرم)]],0)</f>
        <v>0</v>
      </c>
      <c r="Q1831" s="6">
        <f ca="1">IF(Main[[#This Row],[بدهی تسویه نشده (کیلوگرم)]]&gt;0,'گزارش فردی'!$B$7-Main[[#This Row],[تاريخ میلادی]],0)</f>
        <v>0</v>
      </c>
      <c r="R1831" s="6">
        <f ca="1">IF(Main[[#This Row],[بدهی تسویه نشده (کیلوگرم)]]&gt;0,'گزارش فردی'!$B$7-Main[[#This Row],[تاريخ میلادی]]-'گزارش فردی'!$B$8,0)</f>
        <v>0</v>
      </c>
      <c r="S1831" s="6">
        <f ca="1">Main[[#This Row],[روز از ارسال سفارش]]*Main[[#This Row],[بدهی تسویه نشده (کیلوگرم)]]</f>
        <v>0</v>
      </c>
      <c r="T1831" s="6">
        <f ca="1">Main[[#This Row],[بدهی سررسید شده (کیلوگرم)]]*Main[[#This Row],[روز از ارسال سفارش]]</f>
        <v>0</v>
      </c>
      <c r="U1831" s="6">
        <f>-SUBTOTAL(9,INDEX(Main[مقدار (کیلوگرم)],1):Main[[#This Row],[مقدار (کیلوگرم)]])</f>
        <v>22005</v>
      </c>
      <c r="V18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1" s="6">
        <f>Main[[#This Row],[تعداد کل روزهای بدهکار (روز)]]*Main[[#This Row],[مانده در خط کل (کیلوگرم)]]</f>
        <v>22005</v>
      </c>
      <c r="X1831" s="6">
        <f ca="1">-SUBTOTAL(9,INDEX(Main[مقدار تسویه شده (کیلوگرم)],1):Main[[#This Row],[مقدار تسویه شده (کیلوگرم)]])</f>
        <v>22005</v>
      </c>
      <c r="Y1831" s="6">
        <f ca="1">IF(Main[[#This Row],[مانده در خط تسویه شده (کیلوگرم)]]&lt;&gt;0,Main[[#This Row],[تعداد کل روزهای بدهکار (روز)]],0)</f>
        <v>1</v>
      </c>
      <c r="Z1831" s="6">
        <f ca="1">Main[[#This Row],[تعداد روزهای بدهکار تسویه شده (روز)]]*Main[[#This Row],[مانده در خط تسویه شده (کیلوگرم)]]</f>
        <v>22005</v>
      </c>
      <c r="AA1831" s="6">
        <f ca="1">SUBTOTAL(9,INDEX(Main[بدهی تسویه نشده (کیلوگرم)],1):Main[[#This Row],[بدهی تسویه نشده (کیلوگرم)]])</f>
        <v>0</v>
      </c>
      <c r="AB1831" s="6">
        <f ca="1">IF(Main[[#This Row],[مانده در خط تسویه نشده (کیلوگرم)]]&lt;&gt;0,Main[[#This Row],[تعداد کل روزهای بدهکار (روز)]],0)</f>
        <v>0</v>
      </c>
      <c r="AC1831" s="6">
        <f ca="1">Main[[#This Row],[تعداد روزهای بدهکار  تسویه نشده (روز)]]*Main[[#This Row],[مانده در خط تسویه نشده (کیلوگرم)]]</f>
        <v>0</v>
      </c>
      <c r="AD1831" s="6">
        <f ca="1">SUBTOTAL(9,INDEX(Main[بدهی سررسید شده (کیلوگرم)],1):Main[[#This Row],[بدهی سررسید شده (کیلوگرم)]])</f>
        <v>0</v>
      </c>
      <c r="AE1831" s="6">
        <f ca="1">IF(Main[[#This Row],[مانده در خط سررسید شده (کیلوگرم)]]&lt;&gt;0,Main[[#This Row],[تعداد کل روزهای بدهکار (روز)]],0)</f>
        <v>0</v>
      </c>
      <c r="AF1831" s="6">
        <f ca="1">Main[[#This Row],[تعداد روزهای بدهکار سررسید شده (روز)]]*Main[[#This Row],[مانده در خط سررسید شده (کیلوگرم)]]</f>
        <v>0</v>
      </c>
    </row>
    <row r="1832" spans="1:32" hidden="1" x14ac:dyDescent="0.35">
      <c r="A1832" s="5">
        <f>ROW()-ROW(INDEX(Main[ردیف],1))+1</f>
        <v>1830</v>
      </c>
      <c r="B1832" s="31">
        <f>SUBTOTAL(2,INDEX(Main[ردیف],1):Main[[#This Row],[ردیف]])</f>
        <v>162</v>
      </c>
      <c r="C1832" s="32" t="s">
        <v>727</v>
      </c>
      <c r="D1832" s="32" t="str">
        <f>_xlfn.CONCAT("14",Main[[#This Row],[تاريخ]])</f>
        <v>1400/07/20</v>
      </c>
      <c r="E1832" s="33">
        <v>44481</v>
      </c>
      <c r="F1832" s="32">
        <v>10070</v>
      </c>
      <c r="G1832" s="5" t="str">
        <f>INDEX(customer[عنوان],MATCH(Main[[#This Row],[کد ردیابی]],customer[کد],0))</f>
        <v xml:space="preserve">حمیدرضا شفیعی </v>
      </c>
      <c r="H1832">
        <v>-153</v>
      </c>
      <c r="I1832" s="6">
        <f ca="1">-Main[[#This Row],[بدهی تسویه شده (کیلوگرم)]]+Main[[#This Row],[بستانکار (کیلوگرم)]]</f>
        <v>-153</v>
      </c>
      <c r="J1832" s="6">
        <f>IF(Main[[#This Row],[مقدار (کیلوگرم)]]&gt;0,Main[[#This Row],[مقدار (کیلوگرم)]],0)</f>
        <v>0</v>
      </c>
      <c r="K1832" s="6">
        <f>-IF(Main[[#This Row],[مقدار (کیلوگرم)]]&lt;0,Main[[#This Row],[مقدار (کیلوگرم)]],0)</f>
        <v>153</v>
      </c>
      <c r="L18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2" s="7">
        <f>-IF(AND(Main[[#This Row],[مقدار (کیلوگرم)]]&lt;0,Main[[#This Row],[تاريخ میلادی]]&gt;44276),Main[[#This Row],[مقدار (کیلوگرم)]],0)</f>
        <v>153</v>
      </c>
      <c r="N1832" s="6">
        <f ca="1">Main[[#This Row],[بدهکار (کیلوگرم)]]-Main[[#This Row],[بدهی تسویه نشده (کیلوگرم)]]</f>
        <v>153</v>
      </c>
      <c r="O1832" s="6">
        <f ca="1">Main[[#This Row],[تفکیک]]</f>
        <v>0</v>
      </c>
      <c r="P1832" s="6">
        <f ca="1">IF(Main[[#This Row],[تاخیر از سررسید]]&gt;0,Main[[#This Row],[بدهی تسویه نشده (کیلوگرم)]],0)</f>
        <v>0</v>
      </c>
      <c r="Q1832" s="6">
        <f ca="1">IF(Main[[#This Row],[بدهی تسویه نشده (کیلوگرم)]]&gt;0,'گزارش فردی'!$B$7-Main[[#This Row],[تاريخ میلادی]],0)</f>
        <v>0</v>
      </c>
      <c r="R1832" s="6">
        <f ca="1">IF(Main[[#This Row],[بدهی تسویه نشده (کیلوگرم)]]&gt;0,'گزارش فردی'!$B$7-Main[[#This Row],[تاريخ میلادی]]-'گزارش فردی'!$B$8,0)</f>
        <v>0</v>
      </c>
      <c r="S1832" s="6">
        <f ca="1">Main[[#This Row],[روز از ارسال سفارش]]*Main[[#This Row],[بدهی تسویه نشده (کیلوگرم)]]</f>
        <v>0</v>
      </c>
      <c r="T1832" s="6">
        <f ca="1">Main[[#This Row],[بدهی سررسید شده (کیلوگرم)]]*Main[[#This Row],[روز از ارسال سفارش]]</f>
        <v>0</v>
      </c>
      <c r="U1832" s="6">
        <f>-SUBTOTAL(9,INDEX(Main[مقدار (کیلوگرم)],1):Main[[#This Row],[مقدار (کیلوگرم)]])</f>
        <v>22005</v>
      </c>
      <c r="V18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2" s="6">
        <f>Main[[#This Row],[تعداد کل روزهای بدهکار (روز)]]*Main[[#This Row],[مانده در خط کل (کیلوگرم)]]</f>
        <v>22005</v>
      </c>
      <c r="X1832" s="6">
        <f ca="1">-SUBTOTAL(9,INDEX(Main[مقدار تسویه شده (کیلوگرم)],1):Main[[#This Row],[مقدار تسویه شده (کیلوگرم)]])</f>
        <v>22005</v>
      </c>
      <c r="Y1832" s="6">
        <f ca="1">IF(Main[[#This Row],[مانده در خط تسویه شده (کیلوگرم)]]&lt;&gt;0,Main[[#This Row],[تعداد کل روزهای بدهکار (روز)]],0)</f>
        <v>1</v>
      </c>
      <c r="Z1832" s="6">
        <f ca="1">Main[[#This Row],[تعداد روزهای بدهکار تسویه شده (روز)]]*Main[[#This Row],[مانده در خط تسویه شده (کیلوگرم)]]</f>
        <v>22005</v>
      </c>
      <c r="AA1832" s="6">
        <f ca="1">SUBTOTAL(9,INDEX(Main[بدهی تسویه نشده (کیلوگرم)],1):Main[[#This Row],[بدهی تسویه نشده (کیلوگرم)]])</f>
        <v>0</v>
      </c>
      <c r="AB1832" s="6">
        <f ca="1">IF(Main[[#This Row],[مانده در خط تسویه نشده (کیلوگرم)]]&lt;&gt;0,Main[[#This Row],[تعداد کل روزهای بدهکار (روز)]],0)</f>
        <v>0</v>
      </c>
      <c r="AC1832" s="6">
        <f ca="1">Main[[#This Row],[تعداد روزهای بدهکار  تسویه نشده (روز)]]*Main[[#This Row],[مانده در خط تسویه نشده (کیلوگرم)]]</f>
        <v>0</v>
      </c>
      <c r="AD1832" s="6">
        <f ca="1">SUBTOTAL(9,INDEX(Main[بدهی سررسید شده (کیلوگرم)],1):Main[[#This Row],[بدهی سررسید شده (کیلوگرم)]])</f>
        <v>0</v>
      </c>
      <c r="AE1832" s="6">
        <f ca="1">IF(Main[[#This Row],[مانده در خط سررسید شده (کیلوگرم)]]&lt;&gt;0,Main[[#This Row],[تعداد کل روزهای بدهکار (روز)]],0)</f>
        <v>0</v>
      </c>
      <c r="AF1832" s="6">
        <f ca="1">Main[[#This Row],[تعداد روزهای بدهکار سررسید شده (روز)]]*Main[[#This Row],[مانده در خط سررسید شده (کیلوگرم)]]</f>
        <v>0</v>
      </c>
    </row>
    <row r="1833" spans="1:32" hidden="1" x14ac:dyDescent="0.35">
      <c r="A1833" s="5">
        <f>ROW()-ROW(INDEX(Main[ردیف],1))+1</f>
        <v>1831</v>
      </c>
      <c r="B1833" s="31">
        <f>SUBTOTAL(2,INDEX(Main[ردیف],1):Main[[#This Row],[ردیف]])</f>
        <v>162</v>
      </c>
      <c r="C1833" s="32" t="s">
        <v>727</v>
      </c>
      <c r="D1833" s="32" t="str">
        <f>_xlfn.CONCAT("14",Main[[#This Row],[تاريخ]])</f>
        <v>1400/07/20</v>
      </c>
      <c r="E1833" s="33">
        <v>44481</v>
      </c>
      <c r="F1833" s="32">
        <v>10048</v>
      </c>
      <c r="G1833" s="5" t="str">
        <f>INDEX(customer[عنوان],MATCH(Main[[#This Row],[کد ردیابی]],customer[کد],0))</f>
        <v xml:space="preserve">حسام کریمان  </v>
      </c>
      <c r="H1833">
        <v>280</v>
      </c>
      <c r="I1833" s="6">
        <f ca="1">-Main[[#This Row],[بدهی تسویه شده (کیلوگرم)]]+Main[[#This Row],[بستانکار (کیلوگرم)]]</f>
        <v>280</v>
      </c>
      <c r="J1833" s="6">
        <f>IF(Main[[#This Row],[مقدار (کیلوگرم)]]&gt;0,Main[[#This Row],[مقدار (کیلوگرم)]],0)</f>
        <v>280</v>
      </c>
      <c r="K1833" s="6">
        <f>-IF(Main[[#This Row],[مقدار (کیلوگرم)]]&lt;0,Main[[#This Row],[مقدار (کیلوگرم)]],0)</f>
        <v>0</v>
      </c>
      <c r="L18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3" s="7">
        <f>-IF(AND(Main[[#This Row],[مقدار (کیلوگرم)]]&lt;0,Main[[#This Row],[تاريخ میلادی]]&gt;44276),Main[[#This Row],[مقدار (کیلوگرم)]],0)</f>
        <v>0</v>
      </c>
      <c r="N1833" s="6">
        <f ca="1">Main[[#This Row],[بدهکار (کیلوگرم)]]-Main[[#This Row],[بدهی تسویه نشده (کیلوگرم)]]</f>
        <v>0</v>
      </c>
      <c r="O1833" s="6">
        <f ca="1">Main[[#This Row],[تفکیک]]</f>
        <v>0</v>
      </c>
      <c r="P1833" s="6">
        <f ca="1">IF(Main[[#This Row],[تاخیر از سررسید]]&gt;0,Main[[#This Row],[بدهی تسویه نشده (کیلوگرم)]],0)</f>
        <v>0</v>
      </c>
      <c r="Q1833" s="6">
        <f ca="1">IF(Main[[#This Row],[بدهی تسویه نشده (کیلوگرم)]]&gt;0,'گزارش فردی'!$B$7-Main[[#This Row],[تاريخ میلادی]],0)</f>
        <v>0</v>
      </c>
      <c r="R1833" s="6">
        <f ca="1">IF(Main[[#This Row],[بدهی تسویه نشده (کیلوگرم)]]&gt;0,'گزارش فردی'!$B$7-Main[[#This Row],[تاريخ میلادی]]-'گزارش فردی'!$B$8,0)</f>
        <v>0</v>
      </c>
      <c r="S1833" s="6">
        <f ca="1">Main[[#This Row],[روز از ارسال سفارش]]*Main[[#This Row],[بدهی تسویه نشده (کیلوگرم)]]</f>
        <v>0</v>
      </c>
      <c r="T1833" s="6">
        <f ca="1">Main[[#This Row],[بدهی سررسید شده (کیلوگرم)]]*Main[[#This Row],[روز از ارسال سفارش]]</f>
        <v>0</v>
      </c>
      <c r="U1833" s="6">
        <f>-SUBTOTAL(9,INDEX(Main[مقدار (کیلوگرم)],1):Main[[#This Row],[مقدار (کیلوگرم)]])</f>
        <v>22005</v>
      </c>
      <c r="V18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3" s="6">
        <f>Main[[#This Row],[تعداد کل روزهای بدهکار (روز)]]*Main[[#This Row],[مانده در خط کل (کیلوگرم)]]</f>
        <v>22005</v>
      </c>
      <c r="X1833" s="6">
        <f ca="1">-SUBTOTAL(9,INDEX(Main[مقدار تسویه شده (کیلوگرم)],1):Main[[#This Row],[مقدار تسویه شده (کیلوگرم)]])</f>
        <v>22005</v>
      </c>
      <c r="Y1833" s="6">
        <f ca="1">IF(Main[[#This Row],[مانده در خط تسویه شده (کیلوگرم)]]&lt;&gt;0,Main[[#This Row],[تعداد کل روزهای بدهکار (روز)]],0)</f>
        <v>1</v>
      </c>
      <c r="Z1833" s="6">
        <f ca="1">Main[[#This Row],[تعداد روزهای بدهکار تسویه شده (روز)]]*Main[[#This Row],[مانده در خط تسویه شده (کیلوگرم)]]</f>
        <v>22005</v>
      </c>
      <c r="AA1833" s="6">
        <f ca="1">SUBTOTAL(9,INDEX(Main[بدهی تسویه نشده (کیلوگرم)],1):Main[[#This Row],[بدهی تسویه نشده (کیلوگرم)]])</f>
        <v>0</v>
      </c>
      <c r="AB1833" s="6">
        <f ca="1">IF(Main[[#This Row],[مانده در خط تسویه نشده (کیلوگرم)]]&lt;&gt;0,Main[[#This Row],[تعداد کل روزهای بدهکار (روز)]],0)</f>
        <v>0</v>
      </c>
      <c r="AC1833" s="6">
        <f ca="1">Main[[#This Row],[تعداد روزهای بدهکار  تسویه نشده (روز)]]*Main[[#This Row],[مانده در خط تسویه نشده (کیلوگرم)]]</f>
        <v>0</v>
      </c>
      <c r="AD1833" s="6">
        <f ca="1">SUBTOTAL(9,INDEX(Main[بدهی سررسید شده (کیلوگرم)],1):Main[[#This Row],[بدهی سررسید شده (کیلوگرم)]])</f>
        <v>0</v>
      </c>
      <c r="AE1833" s="6">
        <f ca="1">IF(Main[[#This Row],[مانده در خط سررسید شده (کیلوگرم)]]&lt;&gt;0,Main[[#This Row],[تعداد کل روزهای بدهکار (روز)]],0)</f>
        <v>0</v>
      </c>
      <c r="AF1833" s="6">
        <f ca="1">Main[[#This Row],[تعداد روزهای بدهکار سررسید شده (روز)]]*Main[[#This Row],[مانده در خط سررسید شده (کیلوگرم)]]</f>
        <v>0</v>
      </c>
    </row>
    <row r="1834" spans="1:32" hidden="1" x14ac:dyDescent="0.35">
      <c r="A1834" s="5">
        <f>ROW()-ROW(INDEX(Main[ردیف],1))+1</f>
        <v>1832</v>
      </c>
      <c r="B1834" s="31">
        <f>SUBTOTAL(2,INDEX(Main[ردیف],1):Main[[#This Row],[ردیف]])</f>
        <v>162</v>
      </c>
      <c r="C1834" s="32" t="s">
        <v>727</v>
      </c>
      <c r="D1834" s="32" t="str">
        <f>_xlfn.CONCAT("14",Main[[#This Row],[تاريخ]])</f>
        <v>1400/07/20</v>
      </c>
      <c r="E1834" s="33">
        <v>44481</v>
      </c>
      <c r="F1834" s="32">
        <v>30081</v>
      </c>
      <c r="G1834" s="5" t="str">
        <f>INDEX(customer[عنوان],MATCH(Main[[#This Row],[کد ردیابی]],customer[کد],0))</f>
        <v xml:space="preserve">شیرآلات بهداشتی راسان </v>
      </c>
      <c r="H1834">
        <v>-1841</v>
      </c>
      <c r="I1834" s="6">
        <f ca="1">-Main[[#This Row],[بدهی تسویه شده (کیلوگرم)]]+Main[[#This Row],[بستانکار (کیلوگرم)]]</f>
        <v>-1841</v>
      </c>
      <c r="J1834" s="6">
        <f>IF(Main[[#This Row],[مقدار (کیلوگرم)]]&gt;0,Main[[#This Row],[مقدار (کیلوگرم)]],0)</f>
        <v>0</v>
      </c>
      <c r="K1834" s="6">
        <f>-IF(Main[[#This Row],[مقدار (کیلوگرم)]]&lt;0,Main[[#This Row],[مقدار (کیلوگرم)]],0)</f>
        <v>1841</v>
      </c>
      <c r="L18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4" s="7">
        <f>-IF(AND(Main[[#This Row],[مقدار (کیلوگرم)]]&lt;0,Main[[#This Row],[تاريخ میلادی]]&gt;44276),Main[[#This Row],[مقدار (کیلوگرم)]],0)</f>
        <v>1841</v>
      </c>
      <c r="N1834" s="6">
        <f ca="1">Main[[#This Row],[بدهکار (کیلوگرم)]]-Main[[#This Row],[بدهی تسویه نشده (کیلوگرم)]]</f>
        <v>1841</v>
      </c>
      <c r="O1834" s="6">
        <f ca="1">Main[[#This Row],[تفکیک]]</f>
        <v>0</v>
      </c>
      <c r="P1834" s="6">
        <f ca="1">IF(Main[[#This Row],[تاخیر از سررسید]]&gt;0,Main[[#This Row],[بدهی تسویه نشده (کیلوگرم)]],0)</f>
        <v>0</v>
      </c>
      <c r="Q1834" s="6">
        <f ca="1">IF(Main[[#This Row],[بدهی تسویه نشده (کیلوگرم)]]&gt;0,'گزارش فردی'!$B$7-Main[[#This Row],[تاريخ میلادی]],0)</f>
        <v>0</v>
      </c>
      <c r="R1834" s="6">
        <f ca="1">IF(Main[[#This Row],[بدهی تسویه نشده (کیلوگرم)]]&gt;0,'گزارش فردی'!$B$7-Main[[#This Row],[تاريخ میلادی]]-'گزارش فردی'!$B$8,0)</f>
        <v>0</v>
      </c>
      <c r="S1834" s="6">
        <f ca="1">Main[[#This Row],[روز از ارسال سفارش]]*Main[[#This Row],[بدهی تسویه نشده (کیلوگرم)]]</f>
        <v>0</v>
      </c>
      <c r="T1834" s="6">
        <f ca="1">Main[[#This Row],[بدهی سررسید شده (کیلوگرم)]]*Main[[#This Row],[روز از ارسال سفارش]]</f>
        <v>0</v>
      </c>
      <c r="U1834" s="6">
        <f>-SUBTOTAL(9,INDEX(Main[مقدار (کیلوگرم)],1):Main[[#This Row],[مقدار (کیلوگرم)]])</f>
        <v>22005</v>
      </c>
      <c r="V18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4" s="6">
        <f>Main[[#This Row],[تعداد کل روزهای بدهکار (روز)]]*Main[[#This Row],[مانده در خط کل (کیلوگرم)]]</f>
        <v>22005</v>
      </c>
      <c r="X1834" s="6">
        <f ca="1">-SUBTOTAL(9,INDEX(Main[مقدار تسویه شده (کیلوگرم)],1):Main[[#This Row],[مقدار تسویه شده (کیلوگرم)]])</f>
        <v>22005</v>
      </c>
      <c r="Y1834" s="6">
        <f ca="1">IF(Main[[#This Row],[مانده در خط تسویه شده (کیلوگرم)]]&lt;&gt;0,Main[[#This Row],[تعداد کل روزهای بدهکار (روز)]],0)</f>
        <v>1</v>
      </c>
      <c r="Z1834" s="6">
        <f ca="1">Main[[#This Row],[تعداد روزهای بدهکار تسویه شده (روز)]]*Main[[#This Row],[مانده در خط تسویه شده (کیلوگرم)]]</f>
        <v>22005</v>
      </c>
      <c r="AA1834" s="6">
        <f ca="1">SUBTOTAL(9,INDEX(Main[بدهی تسویه نشده (کیلوگرم)],1):Main[[#This Row],[بدهی تسویه نشده (کیلوگرم)]])</f>
        <v>0</v>
      </c>
      <c r="AB1834" s="6">
        <f ca="1">IF(Main[[#This Row],[مانده در خط تسویه نشده (کیلوگرم)]]&lt;&gt;0,Main[[#This Row],[تعداد کل روزهای بدهکار (روز)]],0)</f>
        <v>0</v>
      </c>
      <c r="AC1834" s="6">
        <f ca="1">Main[[#This Row],[تعداد روزهای بدهکار  تسویه نشده (روز)]]*Main[[#This Row],[مانده در خط تسویه نشده (کیلوگرم)]]</f>
        <v>0</v>
      </c>
      <c r="AD1834" s="6">
        <f ca="1">SUBTOTAL(9,INDEX(Main[بدهی سررسید شده (کیلوگرم)],1):Main[[#This Row],[بدهی سررسید شده (کیلوگرم)]])</f>
        <v>0</v>
      </c>
      <c r="AE1834" s="6">
        <f ca="1">IF(Main[[#This Row],[مانده در خط سررسید شده (کیلوگرم)]]&lt;&gt;0,Main[[#This Row],[تعداد کل روزهای بدهکار (روز)]],0)</f>
        <v>0</v>
      </c>
      <c r="AF1834" s="6">
        <f ca="1">Main[[#This Row],[تعداد روزهای بدهکار سررسید شده (روز)]]*Main[[#This Row],[مانده در خط سررسید شده (کیلوگرم)]]</f>
        <v>0</v>
      </c>
    </row>
    <row r="1835" spans="1:32" hidden="1" x14ac:dyDescent="0.35">
      <c r="A1835" s="5">
        <f>ROW()-ROW(INDEX(Main[ردیف],1))+1</f>
        <v>1833</v>
      </c>
      <c r="B1835" s="31">
        <f>SUBTOTAL(2,INDEX(Main[ردیف],1):Main[[#This Row],[ردیف]])</f>
        <v>162</v>
      </c>
      <c r="C1835" s="32" t="s">
        <v>727</v>
      </c>
      <c r="D1835" s="32" t="str">
        <f>_xlfn.CONCAT("14",Main[[#This Row],[تاريخ]])</f>
        <v>1400/07/20</v>
      </c>
      <c r="E1835" s="33">
        <v>44481</v>
      </c>
      <c r="F1835" s="32">
        <v>30066</v>
      </c>
      <c r="G1835" s="5" t="str">
        <f>INDEX(customer[عنوان],MATCH(Main[[#This Row],[کد ردیابی]],customer[کد],0))</f>
        <v xml:space="preserve">شیر آلات بهداشتی قهرمان </v>
      </c>
      <c r="H1835">
        <v>4294</v>
      </c>
      <c r="I1835" s="6">
        <f ca="1">-Main[[#This Row],[بدهی تسویه شده (کیلوگرم)]]+Main[[#This Row],[بستانکار (کیلوگرم)]]</f>
        <v>4294</v>
      </c>
      <c r="J1835" s="6">
        <f>IF(Main[[#This Row],[مقدار (کیلوگرم)]]&gt;0,Main[[#This Row],[مقدار (کیلوگرم)]],0)</f>
        <v>4294</v>
      </c>
      <c r="K1835" s="6">
        <f>-IF(Main[[#This Row],[مقدار (کیلوگرم)]]&lt;0,Main[[#This Row],[مقدار (کیلوگرم)]],0)</f>
        <v>0</v>
      </c>
      <c r="L18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5" s="7">
        <f>-IF(AND(Main[[#This Row],[مقدار (کیلوگرم)]]&lt;0,Main[[#This Row],[تاريخ میلادی]]&gt;44276),Main[[#This Row],[مقدار (کیلوگرم)]],0)</f>
        <v>0</v>
      </c>
      <c r="N1835" s="6">
        <f ca="1">Main[[#This Row],[بدهکار (کیلوگرم)]]-Main[[#This Row],[بدهی تسویه نشده (کیلوگرم)]]</f>
        <v>0</v>
      </c>
      <c r="O1835" s="6">
        <f ca="1">Main[[#This Row],[تفکیک]]</f>
        <v>0</v>
      </c>
      <c r="P1835" s="6">
        <f ca="1">IF(Main[[#This Row],[تاخیر از سررسید]]&gt;0,Main[[#This Row],[بدهی تسویه نشده (کیلوگرم)]],0)</f>
        <v>0</v>
      </c>
      <c r="Q1835" s="6">
        <f ca="1">IF(Main[[#This Row],[بدهی تسویه نشده (کیلوگرم)]]&gt;0,'گزارش فردی'!$B$7-Main[[#This Row],[تاريخ میلادی]],0)</f>
        <v>0</v>
      </c>
      <c r="R1835" s="6">
        <f ca="1">IF(Main[[#This Row],[بدهی تسویه نشده (کیلوگرم)]]&gt;0,'گزارش فردی'!$B$7-Main[[#This Row],[تاريخ میلادی]]-'گزارش فردی'!$B$8,0)</f>
        <v>0</v>
      </c>
      <c r="S1835" s="6">
        <f ca="1">Main[[#This Row],[روز از ارسال سفارش]]*Main[[#This Row],[بدهی تسویه نشده (کیلوگرم)]]</f>
        <v>0</v>
      </c>
      <c r="T1835" s="6">
        <f ca="1">Main[[#This Row],[بدهی سررسید شده (کیلوگرم)]]*Main[[#This Row],[روز از ارسال سفارش]]</f>
        <v>0</v>
      </c>
      <c r="U1835" s="6">
        <f>-SUBTOTAL(9,INDEX(Main[مقدار (کیلوگرم)],1):Main[[#This Row],[مقدار (کیلوگرم)]])</f>
        <v>22005</v>
      </c>
      <c r="V18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5" s="6">
        <f>Main[[#This Row],[تعداد کل روزهای بدهکار (روز)]]*Main[[#This Row],[مانده در خط کل (کیلوگرم)]]</f>
        <v>22005</v>
      </c>
      <c r="X1835" s="6">
        <f ca="1">-SUBTOTAL(9,INDEX(Main[مقدار تسویه شده (کیلوگرم)],1):Main[[#This Row],[مقدار تسویه شده (کیلوگرم)]])</f>
        <v>22005</v>
      </c>
      <c r="Y1835" s="6">
        <f ca="1">IF(Main[[#This Row],[مانده در خط تسویه شده (کیلوگرم)]]&lt;&gt;0,Main[[#This Row],[تعداد کل روزهای بدهکار (روز)]],0)</f>
        <v>1</v>
      </c>
      <c r="Z1835" s="6">
        <f ca="1">Main[[#This Row],[تعداد روزهای بدهکار تسویه شده (روز)]]*Main[[#This Row],[مانده در خط تسویه شده (کیلوگرم)]]</f>
        <v>22005</v>
      </c>
      <c r="AA1835" s="6">
        <f ca="1">SUBTOTAL(9,INDEX(Main[بدهی تسویه نشده (کیلوگرم)],1):Main[[#This Row],[بدهی تسویه نشده (کیلوگرم)]])</f>
        <v>0</v>
      </c>
      <c r="AB1835" s="6">
        <f ca="1">IF(Main[[#This Row],[مانده در خط تسویه نشده (کیلوگرم)]]&lt;&gt;0,Main[[#This Row],[تعداد کل روزهای بدهکار (روز)]],0)</f>
        <v>0</v>
      </c>
      <c r="AC1835" s="6">
        <f ca="1">Main[[#This Row],[تعداد روزهای بدهکار  تسویه نشده (روز)]]*Main[[#This Row],[مانده در خط تسویه نشده (کیلوگرم)]]</f>
        <v>0</v>
      </c>
      <c r="AD1835" s="6">
        <f ca="1">SUBTOTAL(9,INDEX(Main[بدهی سررسید شده (کیلوگرم)],1):Main[[#This Row],[بدهی سررسید شده (کیلوگرم)]])</f>
        <v>0</v>
      </c>
      <c r="AE1835" s="6">
        <f ca="1">IF(Main[[#This Row],[مانده در خط سررسید شده (کیلوگرم)]]&lt;&gt;0,Main[[#This Row],[تعداد کل روزهای بدهکار (روز)]],0)</f>
        <v>0</v>
      </c>
      <c r="AF1835" s="6">
        <f ca="1">Main[[#This Row],[تعداد روزهای بدهکار سررسید شده (روز)]]*Main[[#This Row],[مانده در خط سررسید شده (کیلوگرم)]]</f>
        <v>0</v>
      </c>
    </row>
    <row r="1836" spans="1:32" hidden="1" x14ac:dyDescent="0.35">
      <c r="A1836" s="5">
        <f>ROW()-ROW(INDEX(Main[ردیف],1))+1</f>
        <v>1834</v>
      </c>
      <c r="B1836" s="31">
        <f>SUBTOTAL(2,INDEX(Main[ردیف],1):Main[[#This Row],[ردیف]])</f>
        <v>162</v>
      </c>
      <c r="C1836" s="32" t="s">
        <v>727</v>
      </c>
      <c r="D1836" s="32" t="str">
        <f>_xlfn.CONCAT("14",Main[[#This Row],[تاريخ]])</f>
        <v>1400/07/20</v>
      </c>
      <c r="E1836" s="33">
        <v>44481</v>
      </c>
      <c r="F1836" s="32">
        <v>10069</v>
      </c>
      <c r="G1836" s="5" t="str">
        <f>INDEX(customer[عنوان],MATCH(Main[[#This Row],[کد ردیابی]],customer[کد],0))</f>
        <v xml:space="preserve">جواد عرب </v>
      </c>
      <c r="H1836">
        <v>-938</v>
      </c>
      <c r="I1836" s="6">
        <f ca="1">-Main[[#This Row],[بدهی تسویه شده (کیلوگرم)]]+Main[[#This Row],[بستانکار (کیلوگرم)]]</f>
        <v>-938</v>
      </c>
      <c r="J1836" s="6">
        <f>IF(Main[[#This Row],[مقدار (کیلوگرم)]]&gt;0,Main[[#This Row],[مقدار (کیلوگرم)]],0)</f>
        <v>0</v>
      </c>
      <c r="K1836" s="6">
        <f>-IF(Main[[#This Row],[مقدار (کیلوگرم)]]&lt;0,Main[[#This Row],[مقدار (کیلوگرم)]],0)</f>
        <v>938</v>
      </c>
      <c r="L18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6" s="7">
        <f>-IF(AND(Main[[#This Row],[مقدار (کیلوگرم)]]&lt;0,Main[[#This Row],[تاريخ میلادی]]&gt;44276),Main[[#This Row],[مقدار (کیلوگرم)]],0)</f>
        <v>938</v>
      </c>
      <c r="N1836" s="6">
        <f ca="1">Main[[#This Row],[بدهکار (کیلوگرم)]]-Main[[#This Row],[بدهی تسویه نشده (کیلوگرم)]]</f>
        <v>938</v>
      </c>
      <c r="O1836" s="6">
        <f ca="1">Main[[#This Row],[تفکیک]]</f>
        <v>0</v>
      </c>
      <c r="P1836" s="6">
        <f ca="1">IF(Main[[#This Row],[تاخیر از سررسید]]&gt;0,Main[[#This Row],[بدهی تسویه نشده (کیلوگرم)]],0)</f>
        <v>0</v>
      </c>
      <c r="Q1836" s="6">
        <f ca="1">IF(Main[[#This Row],[بدهی تسویه نشده (کیلوگرم)]]&gt;0,'گزارش فردی'!$B$7-Main[[#This Row],[تاريخ میلادی]],0)</f>
        <v>0</v>
      </c>
      <c r="R1836" s="6">
        <f ca="1">IF(Main[[#This Row],[بدهی تسویه نشده (کیلوگرم)]]&gt;0,'گزارش فردی'!$B$7-Main[[#This Row],[تاريخ میلادی]]-'گزارش فردی'!$B$8,0)</f>
        <v>0</v>
      </c>
      <c r="S1836" s="6">
        <f ca="1">Main[[#This Row],[روز از ارسال سفارش]]*Main[[#This Row],[بدهی تسویه نشده (کیلوگرم)]]</f>
        <v>0</v>
      </c>
      <c r="T1836" s="6">
        <f ca="1">Main[[#This Row],[بدهی سررسید شده (کیلوگرم)]]*Main[[#This Row],[روز از ارسال سفارش]]</f>
        <v>0</v>
      </c>
      <c r="U1836" s="6">
        <f>-SUBTOTAL(9,INDEX(Main[مقدار (کیلوگرم)],1):Main[[#This Row],[مقدار (کیلوگرم)]])</f>
        <v>22005</v>
      </c>
      <c r="V18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6" s="6">
        <f>Main[[#This Row],[تعداد کل روزهای بدهکار (روز)]]*Main[[#This Row],[مانده در خط کل (کیلوگرم)]]</f>
        <v>22005</v>
      </c>
      <c r="X1836" s="6">
        <f ca="1">-SUBTOTAL(9,INDEX(Main[مقدار تسویه شده (کیلوگرم)],1):Main[[#This Row],[مقدار تسویه شده (کیلوگرم)]])</f>
        <v>22005</v>
      </c>
      <c r="Y1836" s="6">
        <f ca="1">IF(Main[[#This Row],[مانده در خط تسویه شده (کیلوگرم)]]&lt;&gt;0,Main[[#This Row],[تعداد کل روزهای بدهکار (روز)]],0)</f>
        <v>1</v>
      </c>
      <c r="Z1836" s="6">
        <f ca="1">Main[[#This Row],[تعداد روزهای بدهکار تسویه شده (روز)]]*Main[[#This Row],[مانده در خط تسویه شده (کیلوگرم)]]</f>
        <v>22005</v>
      </c>
      <c r="AA1836" s="6">
        <f ca="1">SUBTOTAL(9,INDEX(Main[بدهی تسویه نشده (کیلوگرم)],1):Main[[#This Row],[بدهی تسویه نشده (کیلوگرم)]])</f>
        <v>0</v>
      </c>
      <c r="AB1836" s="6">
        <f ca="1">IF(Main[[#This Row],[مانده در خط تسویه نشده (کیلوگرم)]]&lt;&gt;0,Main[[#This Row],[تعداد کل روزهای بدهکار (روز)]],0)</f>
        <v>0</v>
      </c>
      <c r="AC1836" s="6">
        <f ca="1">Main[[#This Row],[تعداد روزهای بدهکار  تسویه نشده (روز)]]*Main[[#This Row],[مانده در خط تسویه نشده (کیلوگرم)]]</f>
        <v>0</v>
      </c>
      <c r="AD1836" s="6">
        <f ca="1">SUBTOTAL(9,INDEX(Main[بدهی سررسید شده (کیلوگرم)],1):Main[[#This Row],[بدهی سررسید شده (کیلوگرم)]])</f>
        <v>0</v>
      </c>
      <c r="AE1836" s="6">
        <f ca="1">IF(Main[[#This Row],[مانده در خط سررسید شده (کیلوگرم)]]&lt;&gt;0,Main[[#This Row],[تعداد کل روزهای بدهکار (روز)]],0)</f>
        <v>0</v>
      </c>
      <c r="AF1836" s="6">
        <f ca="1">Main[[#This Row],[تعداد روزهای بدهکار سررسید شده (روز)]]*Main[[#This Row],[مانده در خط سررسید شده (کیلوگرم)]]</f>
        <v>0</v>
      </c>
    </row>
    <row r="1837" spans="1:32" hidden="1" x14ac:dyDescent="0.35">
      <c r="A1837" s="5">
        <f>ROW()-ROW(INDEX(Main[ردیف],1))+1</f>
        <v>1835</v>
      </c>
      <c r="B1837" s="31">
        <f>SUBTOTAL(2,INDEX(Main[ردیف],1):Main[[#This Row],[ردیف]])</f>
        <v>162</v>
      </c>
      <c r="C1837" s="32" t="s">
        <v>727</v>
      </c>
      <c r="D1837" s="32" t="str">
        <f>_xlfn.CONCAT("14",Main[[#This Row],[تاريخ]])</f>
        <v>1400/07/20</v>
      </c>
      <c r="E1837" s="33">
        <v>44481</v>
      </c>
      <c r="F1837" s="32">
        <v>10019</v>
      </c>
      <c r="G1837" s="5" t="str">
        <f>INDEX(customer[عنوان],MATCH(Main[[#This Row],[کد ردیابی]],customer[کد],0))</f>
        <v>قدرت اله اورنگی</v>
      </c>
      <c r="H1837">
        <v>2012</v>
      </c>
      <c r="I1837" s="6">
        <f ca="1">-Main[[#This Row],[بدهی تسویه شده (کیلوگرم)]]+Main[[#This Row],[بستانکار (کیلوگرم)]]</f>
        <v>2012</v>
      </c>
      <c r="J1837" s="6">
        <f>IF(Main[[#This Row],[مقدار (کیلوگرم)]]&gt;0,Main[[#This Row],[مقدار (کیلوگرم)]],0)</f>
        <v>2012</v>
      </c>
      <c r="K1837" s="6">
        <f>-IF(Main[[#This Row],[مقدار (کیلوگرم)]]&lt;0,Main[[#This Row],[مقدار (کیلوگرم)]],0)</f>
        <v>0</v>
      </c>
      <c r="L18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7" s="7">
        <f>-IF(AND(Main[[#This Row],[مقدار (کیلوگرم)]]&lt;0,Main[[#This Row],[تاريخ میلادی]]&gt;44276),Main[[#This Row],[مقدار (کیلوگرم)]],0)</f>
        <v>0</v>
      </c>
      <c r="N1837" s="6">
        <f ca="1">Main[[#This Row],[بدهکار (کیلوگرم)]]-Main[[#This Row],[بدهی تسویه نشده (کیلوگرم)]]</f>
        <v>0</v>
      </c>
      <c r="O1837" s="6">
        <f ca="1">Main[[#This Row],[تفکیک]]</f>
        <v>0</v>
      </c>
      <c r="P1837" s="6">
        <f ca="1">IF(Main[[#This Row],[تاخیر از سررسید]]&gt;0,Main[[#This Row],[بدهی تسویه نشده (کیلوگرم)]],0)</f>
        <v>0</v>
      </c>
      <c r="Q1837" s="6">
        <f ca="1">IF(Main[[#This Row],[بدهی تسویه نشده (کیلوگرم)]]&gt;0,'گزارش فردی'!$B$7-Main[[#This Row],[تاريخ میلادی]],0)</f>
        <v>0</v>
      </c>
      <c r="R1837" s="6">
        <f ca="1">IF(Main[[#This Row],[بدهی تسویه نشده (کیلوگرم)]]&gt;0,'گزارش فردی'!$B$7-Main[[#This Row],[تاريخ میلادی]]-'گزارش فردی'!$B$8,0)</f>
        <v>0</v>
      </c>
      <c r="S1837" s="6">
        <f ca="1">Main[[#This Row],[روز از ارسال سفارش]]*Main[[#This Row],[بدهی تسویه نشده (کیلوگرم)]]</f>
        <v>0</v>
      </c>
      <c r="T1837" s="6">
        <f ca="1">Main[[#This Row],[بدهی سررسید شده (کیلوگرم)]]*Main[[#This Row],[روز از ارسال سفارش]]</f>
        <v>0</v>
      </c>
      <c r="U1837" s="6">
        <f>-SUBTOTAL(9,INDEX(Main[مقدار (کیلوگرم)],1):Main[[#This Row],[مقدار (کیلوگرم)]])</f>
        <v>22005</v>
      </c>
      <c r="V18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7" s="6">
        <f>Main[[#This Row],[تعداد کل روزهای بدهکار (روز)]]*Main[[#This Row],[مانده در خط کل (کیلوگرم)]]</f>
        <v>22005</v>
      </c>
      <c r="X1837" s="6">
        <f ca="1">-SUBTOTAL(9,INDEX(Main[مقدار تسویه شده (کیلوگرم)],1):Main[[#This Row],[مقدار تسویه شده (کیلوگرم)]])</f>
        <v>22005</v>
      </c>
      <c r="Y1837" s="6">
        <f ca="1">IF(Main[[#This Row],[مانده در خط تسویه شده (کیلوگرم)]]&lt;&gt;0,Main[[#This Row],[تعداد کل روزهای بدهکار (روز)]],0)</f>
        <v>1</v>
      </c>
      <c r="Z1837" s="6">
        <f ca="1">Main[[#This Row],[تعداد روزهای بدهکار تسویه شده (روز)]]*Main[[#This Row],[مانده در خط تسویه شده (کیلوگرم)]]</f>
        <v>22005</v>
      </c>
      <c r="AA1837" s="6">
        <f ca="1">SUBTOTAL(9,INDEX(Main[بدهی تسویه نشده (کیلوگرم)],1):Main[[#This Row],[بدهی تسویه نشده (کیلوگرم)]])</f>
        <v>0</v>
      </c>
      <c r="AB1837" s="6">
        <f ca="1">IF(Main[[#This Row],[مانده در خط تسویه نشده (کیلوگرم)]]&lt;&gt;0,Main[[#This Row],[تعداد کل روزهای بدهکار (روز)]],0)</f>
        <v>0</v>
      </c>
      <c r="AC1837" s="6">
        <f ca="1">Main[[#This Row],[تعداد روزهای بدهکار  تسویه نشده (روز)]]*Main[[#This Row],[مانده در خط تسویه نشده (کیلوگرم)]]</f>
        <v>0</v>
      </c>
      <c r="AD1837" s="6">
        <f ca="1">SUBTOTAL(9,INDEX(Main[بدهی سررسید شده (کیلوگرم)],1):Main[[#This Row],[بدهی سررسید شده (کیلوگرم)]])</f>
        <v>0</v>
      </c>
      <c r="AE1837" s="6">
        <f ca="1">IF(Main[[#This Row],[مانده در خط سررسید شده (کیلوگرم)]]&lt;&gt;0,Main[[#This Row],[تعداد کل روزهای بدهکار (روز)]],0)</f>
        <v>0</v>
      </c>
      <c r="AF1837" s="6">
        <f ca="1">Main[[#This Row],[تعداد روزهای بدهکار سررسید شده (روز)]]*Main[[#This Row],[مانده در خط سررسید شده (کیلوگرم)]]</f>
        <v>0</v>
      </c>
    </row>
    <row r="1838" spans="1:32" hidden="1" x14ac:dyDescent="0.35">
      <c r="A1838" s="5">
        <f>ROW()-ROW(INDEX(Main[ردیف],1))+1</f>
        <v>1836</v>
      </c>
      <c r="B1838" s="31">
        <f>SUBTOTAL(2,INDEX(Main[ردیف],1):Main[[#This Row],[ردیف]])</f>
        <v>162</v>
      </c>
      <c r="C1838" s="32" t="s">
        <v>727</v>
      </c>
      <c r="D1838" s="32" t="str">
        <f>_xlfn.CONCAT("14",Main[[#This Row],[تاريخ]])</f>
        <v>1400/07/20</v>
      </c>
      <c r="E1838" s="33">
        <v>44481</v>
      </c>
      <c r="F1838" s="32">
        <v>10070</v>
      </c>
      <c r="G1838" s="5" t="str">
        <f>INDEX(customer[عنوان],MATCH(Main[[#This Row],[کد ردیابی]],customer[کد],0))</f>
        <v xml:space="preserve">حمیدرضا شفیعی </v>
      </c>
      <c r="H1838">
        <v>-983</v>
      </c>
      <c r="I1838" s="6">
        <f ca="1">-Main[[#This Row],[بدهی تسویه شده (کیلوگرم)]]+Main[[#This Row],[بستانکار (کیلوگرم)]]</f>
        <v>-983</v>
      </c>
      <c r="J1838" s="6">
        <f>IF(Main[[#This Row],[مقدار (کیلوگرم)]]&gt;0,Main[[#This Row],[مقدار (کیلوگرم)]],0)</f>
        <v>0</v>
      </c>
      <c r="K1838" s="6">
        <f>-IF(Main[[#This Row],[مقدار (کیلوگرم)]]&lt;0,Main[[#This Row],[مقدار (کیلوگرم)]],0)</f>
        <v>983</v>
      </c>
      <c r="L18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8" s="7">
        <f>-IF(AND(Main[[#This Row],[مقدار (کیلوگرم)]]&lt;0,Main[[#This Row],[تاريخ میلادی]]&gt;44276),Main[[#This Row],[مقدار (کیلوگرم)]],0)</f>
        <v>983</v>
      </c>
      <c r="N1838" s="6">
        <f ca="1">Main[[#This Row],[بدهکار (کیلوگرم)]]-Main[[#This Row],[بدهی تسویه نشده (کیلوگرم)]]</f>
        <v>983</v>
      </c>
      <c r="O1838" s="6">
        <f ca="1">Main[[#This Row],[تفکیک]]</f>
        <v>0</v>
      </c>
      <c r="P1838" s="6">
        <f ca="1">IF(Main[[#This Row],[تاخیر از سررسید]]&gt;0,Main[[#This Row],[بدهی تسویه نشده (کیلوگرم)]],0)</f>
        <v>0</v>
      </c>
      <c r="Q1838" s="6">
        <f ca="1">IF(Main[[#This Row],[بدهی تسویه نشده (کیلوگرم)]]&gt;0,'گزارش فردی'!$B$7-Main[[#This Row],[تاريخ میلادی]],0)</f>
        <v>0</v>
      </c>
      <c r="R1838" s="6">
        <f ca="1">IF(Main[[#This Row],[بدهی تسویه نشده (کیلوگرم)]]&gt;0,'گزارش فردی'!$B$7-Main[[#This Row],[تاريخ میلادی]]-'گزارش فردی'!$B$8,0)</f>
        <v>0</v>
      </c>
      <c r="S1838" s="6">
        <f ca="1">Main[[#This Row],[روز از ارسال سفارش]]*Main[[#This Row],[بدهی تسویه نشده (کیلوگرم)]]</f>
        <v>0</v>
      </c>
      <c r="T1838" s="6">
        <f ca="1">Main[[#This Row],[بدهی سررسید شده (کیلوگرم)]]*Main[[#This Row],[روز از ارسال سفارش]]</f>
        <v>0</v>
      </c>
      <c r="U1838" s="6">
        <f>-SUBTOTAL(9,INDEX(Main[مقدار (کیلوگرم)],1):Main[[#This Row],[مقدار (کیلوگرم)]])</f>
        <v>22005</v>
      </c>
      <c r="V18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8" s="6">
        <f>Main[[#This Row],[تعداد کل روزهای بدهکار (روز)]]*Main[[#This Row],[مانده در خط کل (کیلوگرم)]]</f>
        <v>22005</v>
      </c>
      <c r="X1838" s="6">
        <f ca="1">-SUBTOTAL(9,INDEX(Main[مقدار تسویه شده (کیلوگرم)],1):Main[[#This Row],[مقدار تسویه شده (کیلوگرم)]])</f>
        <v>22005</v>
      </c>
      <c r="Y1838" s="6">
        <f ca="1">IF(Main[[#This Row],[مانده در خط تسویه شده (کیلوگرم)]]&lt;&gt;0,Main[[#This Row],[تعداد کل روزهای بدهکار (روز)]],0)</f>
        <v>1</v>
      </c>
      <c r="Z1838" s="6">
        <f ca="1">Main[[#This Row],[تعداد روزهای بدهکار تسویه شده (روز)]]*Main[[#This Row],[مانده در خط تسویه شده (کیلوگرم)]]</f>
        <v>22005</v>
      </c>
      <c r="AA1838" s="6">
        <f ca="1">SUBTOTAL(9,INDEX(Main[بدهی تسویه نشده (کیلوگرم)],1):Main[[#This Row],[بدهی تسویه نشده (کیلوگرم)]])</f>
        <v>0</v>
      </c>
      <c r="AB1838" s="6">
        <f ca="1">IF(Main[[#This Row],[مانده در خط تسویه نشده (کیلوگرم)]]&lt;&gt;0,Main[[#This Row],[تعداد کل روزهای بدهکار (روز)]],0)</f>
        <v>0</v>
      </c>
      <c r="AC1838" s="6">
        <f ca="1">Main[[#This Row],[تعداد روزهای بدهکار  تسویه نشده (روز)]]*Main[[#This Row],[مانده در خط تسویه نشده (کیلوگرم)]]</f>
        <v>0</v>
      </c>
      <c r="AD1838" s="6">
        <f ca="1">SUBTOTAL(9,INDEX(Main[بدهی سررسید شده (کیلوگرم)],1):Main[[#This Row],[بدهی سررسید شده (کیلوگرم)]])</f>
        <v>0</v>
      </c>
      <c r="AE1838" s="6">
        <f ca="1">IF(Main[[#This Row],[مانده در خط سررسید شده (کیلوگرم)]]&lt;&gt;0,Main[[#This Row],[تعداد کل روزهای بدهکار (روز)]],0)</f>
        <v>0</v>
      </c>
      <c r="AF1838" s="6">
        <f ca="1">Main[[#This Row],[تعداد روزهای بدهکار سررسید شده (روز)]]*Main[[#This Row],[مانده در خط سررسید شده (کیلوگرم)]]</f>
        <v>0</v>
      </c>
    </row>
    <row r="1839" spans="1:32" hidden="1" x14ac:dyDescent="0.35">
      <c r="A1839" s="5">
        <f>ROW()-ROW(INDEX(Main[ردیف],1))+1</f>
        <v>1837</v>
      </c>
      <c r="B1839" s="31">
        <f>SUBTOTAL(2,INDEX(Main[ردیف],1):Main[[#This Row],[ردیف]])</f>
        <v>162</v>
      </c>
      <c r="C1839" s="32" t="s">
        <v>727</v>
      </c>
      <c r="D1839" s="32" t="str">
        <f>_xlfn.CONCAT("14",Main[[#This Row],[تاريخ]])</f>
        <v>1400/07/20</v>
      </c>
      <c r="E1839" s="33">
        <v>44481</v>
      </c>
      <c r="F1839" s="32">
        <v>30009</v>
      </c>
      <c r="G1839" s="5" t="str">
        <f>INDEX(customer[عنوان],MATCH(Main[[#This Row],[کد ردیابی]],customer[کد],0))</f>
        <v>شرکت ایمن تک پیشرو</v>
      </c>
      <c r="H1839">
        <v>1718</v>
      </c>
      <c r="I1839" s="6">
        <f ca="1">-Main[[#This Row],[بدهی تسویه شده (کیلوگرم)]]+Main[[#This Row],[بستانکار (کیلوگرم)]]</f>
        <v>1718</v>
      </c>
      <c r="J1839" s="6">
        <f>IF(Main[[#This Row],[مقدار (کیلوگرم)]]&gt;0,Main[[#This Row],[مقدار (کیلوگرم)]],0)</f>
        <v>1718</v>
      </c>
      <c r="K1839" s="6">
        <f>-IF(Main[[#This Row],[مقدار (کیلوگرم)]]&lt;0,Main[[#This Row],[مقدار (کیلوگرم)]],0)</f>
        <v>0</v>
      </c>
      <c r="L18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9" s="7">
        <f>-IF(AND(Main[[#This Row],[مقدار (کیلوگرم)]]&lt;0,Main[[#This Row],[تاريخ میلادی]]&gt;44276),Main[[#This Row],[مقدار (کیلوگرم)]],0)</f>
        <v>0</v>
      </c>
      <c r="N1839" s="6">
        <f ca="1">Main[[#This Row],[بدهکار (کیلوگرم)]]-Main[[#This Row],[بدهی تسویه نشده (کیلوگرم)]]</f>
        <v>0</v>
      </c>
      <c r="O1839" s="6">
        <f ca="1">Main[[#This Row],[تفکیک]]</f>
        <v>0</v>
      </c>
      <c r="P1839" s="6">
        <f ca="1">IF(Main[[#This Row],[تاخیر از سررسید]]&gt;0,Main[[#This Row],[بدهی تسویه نشده (کیلوگرم)]],0)</f>
        <v>0</v>
      </c>
      <c r="Q1839" s="6">
        <f ca="1">IF(Main[[#This Row],[بدهی تسویه نشده (کیلوگرم)]]&gt;0,'گزارش فردی'!$B$7-Main[[#This Row],[تاريخ میلادی]],0)</f>
        <v>0</v>
      </c>
      <c r="R1839" s="6">
        <f ca="1">IF(Main[[#This Row],[بدهی تسویه نشده (کیلوگرم)]]&gt;0,'گزارش فردی'!$B$7-Main[[#This Row],[تاريخ میلادی]]-'گزارش فردی'!$B$8,0)</f>
        <v>0</v>
      </c>
      <c r="S1839" s="6">
        <f ca="1">Main[[#This Row],[روز از ارسال سفارش]]*Main[[#This Row],[بدهی تسویه نشده (کیلوگرم)]]</f>
        <v>0</v>
      </c>
      <c r="T1839" s="6">
        <f ca="1">Main[[#This Row],[بدهی سررسید شده (کیلوگرم)]]*Main[[#This Row],[روز از ارسال سفارش]]</f>
        <v>0</v>
      </c>
      <c r="U1839" s="6">
        <f>-SUBTOTAL(9,INDEX(Main[مقدار (کیلوگرم)],1):Main[[#This Row],[مقدار (کیلوگرم)]])</f>
        <v>22005</v>
      </c>
      <c r="V18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9" s="6">
        <f>Main[[#This Row],[تعداد کل روزهای بدهکار (روز)]]*Main[[#This Row],[مانده در خط کل (کیلوگرم)]]</f>
        <v>22005</v>
      </c>
      <c r="X1839" s="6">
        <f ca="1">-SUBTOTAL(9,INDEX(Main[مقدار تسویه شده (کیلوگرم)],1):Main[[#This Row],[مقدار تسویه شده (کیلوگرم)]])</f>
        <v>22005</v>
      </c>
      <c r="Y1839" s="6">
        <f ca="1">IF(Main[[#This Row],[مانده در خط تسویه شده (کیلوگرم)]]&lt;&gt;0,Main[[#This Row],[تعداد کل روزهای بدهکار (روز)]],0)</f>
        <v>1</v>
      </c>
      <c r="Z1839" s="6">
        <f ca="1">Main[[#This Row],[تعداد روزهای بدهکار تسویه شده (روز)]]*Main[[#This Row],[مانده در خط تسویه شده (کیلوگرم)]]</f>
        <v>22005</v>
      </c>
      <c r="AA1839" s="6">
        <f ca="1">SUBTOTAL(9,INDEX(Main[بدهی تسویه نشده (کیلوگرم)],1):Main[[#This Row],[بدهی تسویه نشده (کیلوگرم)]])</f>
        <v>0</v>
      </c>
      <c r="AB1839" s="6">
        <f ca="1">IF(Main[[#This Row],[مانده در خط تسویه نشده (کیلوگرم)]]&lt;&gt;0,Main[[#This Row],[تعداد کل روزهای بدهکار (روز)]],0)</f>
        <v>0</v>
      </c>
      <c r="AC1839" s="6">
        <f ca="1">Main[[#This Row],[تعداد روزهای بدهکار  تسویه نشده (روز)]]*Main[[#This Row],[مانده در خط تسویه نشده (کیلوگرم)]]</f>
        <v>0</v>
      </c>
      <c r="AD1839" s="6">
        <f ca="1">SUBTOTAL(9,INDEX(Main[بدهی سررسید شده (کیلوگرم)],1):Main[[#This Row],[بدهی سررسید شده (کیلوگرم)]])</f>
        <v>0</v>
      </c>
      <c r="AE1839" s="6">
        <f ca="1">IF(Main[[#This Row],[مانده در خط سررسید شده (کیلوگرم)]]&lt;&gt;0,Main[[#This Row],[تعداد کل روزهای بدهکار (روز)]],0)</f>
        <v>0</v>
      </c>
      <c r="AF1839" s="6">
        <f ca="1">Main[[#This Row],[تعداد روزهای بدهکار سررسید شده (روز)]]*Main[[#This Row],[مانده در خط سررسید شده (کیلوگرم)]]</f>
        <v>0</v>
      </c>
    </row>
    <row r="1840" spans="1:32" hidden="1" x14ac:dyDescent="0.35">
      <c r="A1840" s="5">
        <f>ROW()-ROW(INDEX(Main[ردیف],1))+1</f>
        <v>1838</v>
      </c>
      <c r="B1840" s="31">
        <f>SUBTOTAL(2,INDEX(Main[ردیف],1):Main[[#This Row],[ردیف]])</f>
        <v>162</v>
      </c>
      <c r="C1840" s="32" t="s">
        <v>727</v>
      </c>
      <c r="D1840" s="32" t="str">
        <f>_xlfn.CONCAT("14",Main[[#This Row],[تاريخ]])</f>
        <v>1400/07/20</v>
      </c>
      <c r="E1840" s="33">
        <v>44481</v>
      </c>
      <c r="F1840" s="32">
        <v>30009</v>
      </c>
      <c r="G1840" s="5" t="str">
        <f>INDEX(customer[عنوان],MATCH(Main[[#This Row],[کد ردیابی]],customer[کد],0))</f>
        <v>شرکت ایمن تک پیشرو</v>
      </c>
      <c r="H1840">
        <v>-2113</v>
      </c>
      <c r="I1840" s="6">
        <f ca="1">-Main[[#This Row],[بدهی تسویه شده (کیلوگرم)]]+Main[[#This Row],[بستانکار (کیلوگرم)]]</f>
        <v>-2113</v>
      </c>
      <c r="J1840" s="6">
        <f>IF(Main[[#This Row],[مقدار (کیلوگرم)]]&gt;0,Main[[#This Row],[مقدار (کیلوگرم)]],0)</f>
        <v>0</v>
      </c>
      <c r="K1840" s="6">
        <f>-IF(Main[[#This Row],[مقدار (کیلوگرم)]]&lt;0,Main[[#This Row],[مقدار (کیلوگرم)]],0)</f>
        <v>2113</v>
      </c>
      <c r="L18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0" s="7">
        <f>-IF(AND(Main[[#This Row],[مقدار (کیلوگرم)]]&lt;0,Main[[#This Row],[تاريخ میلادی]]&gt;44276),Main[[#This Row],[مقدار (کیلوگرم)]],0)</f>
        <v>2113</v>
      </c>
      <c r="N1840" s="6">
        <f ca="1">Main[[#This Row],[بدهکار (کیلوگرم)]]-Main[[#This Row],[بدهی تسویه نشده (کیلوگرم)]]</f>
        <v>2113</v>
      </c>
      <c r="O1840" s="6">
        <f ca="1">Main[[#This Row],[تفکیک]]</f>
        <v>0</v>
      </c>
      <c r="P1840" s="6">
        <f ca="1">IF(Main[[#This Row],[تاخیر از سررسید]]&gt;0,Main[[#This Row],[بدهی تسویه نشده (کیلوگرم)]],0)</f>
        <v>0</v>
      </c>
      <c r="Q1840" s="6">
        <f ca="1">IF(Main[[#This Row],[بدهی تسویه نشده (کیلوگرم)]]&gt;0,'گزارش فردی'!$B$7-Main[[#This Row],[تاريخ میلادی]],0)</f>
        <v>0</v>
      </c>
      <c r="R1840" s="6">
        <f ca="1">IF(Main[[#This Row],[بدهی تسویه نشده (کیلوگرم)]]&gt;0,'گزارش فردی'!$B$7-Main[[#This Row],[تاريخ میلادی]]-'گزارش فردی'!$B$8,0)</f>
        <v>0</v>
      </c>
      <c r="S1840" s="6">
        <f ca="1">Main[[#This Row],[روز از ارسال سفارش]]*Main[[#This Row],[بدهی تسویه نشده (کیلوگرم)]]</f>
        <v>0</v>
      </c>
      <c r="T1840" s="6">
        <f ca="1">Main[[#This Row],[بدهی سررسید شده (کیلوگرم)]]*Main[[#This Row],[روز از ارسال سفارش]]</f>
        <v>0</v>
      </c>
      <c r="U1840" s="6">
        <f>-SUBTOTAL(9,INDEX(Main[مقدار (کیلوگرم)],1):Main[[#This Row],[مقدار (کیلوگرم)]])</f>
        <v>22005</v>
      </c>
      <c r="V18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40" s="6">
        <f>Main[[#This Row],[تعداد کل روزهای بدهکار (روز)]]*Main[[#This Row],[مانده در خط کل (کیلوگرم)]]</f>
        <v>22005</v>
      </c>
      <c r="X1840" s="6">
        <f ca="1">-SUBTOTAL(9,INDEX(Main[مقدار تسویه شده (کیلوگرم)],1):Main[[#This Row],[مقدار تسویه شده (کیلوگرم)]])</f>
        <v>22005</v>
      </c>
      <c r="Y1840" s="6">
        <f ca="1">IF(Main[[#This Row],[مانده در خط تسویه شده (کیلوگرم)]]&lt;&gt;0,Main[[#This Row],[تعداد کل روزهای بدهکار (روز)]],0)</f>
        <v>1</v>
      </c>
      <c r="Z1840" s="6">
        <f ca="1">Main[[#This Row],[تعداد روزهای بدهکار تسویه شده (روز)]]*Main[[#This Row],[مانده در خط تسویه شده (کیلوگرم)]]</f>
        <v>22005</v>
      </c>
      <c r="AA1840" s="6">
        <f ca="1">SUBTOTAL(9,INDEX(Main[بدهی تسویه نشده (کیلوگرم)],1):Main[[#This Row],[بدهی تسویه نشده (کیلوگرم)]])</f>
        <v>0</v>
      </c>
      <c r="AB1840" s="6">
        <f ca="1">IF(Main[[#This Row],[مانده در خط تسویه نشده (کیلوگرم)]]&lt;&gt;0,Main[[#This Row],[تعداد کل روزهای بدهکار (روز)]],0)</f>
        <v>0</v>
      </c>
      <c r="AC1840" s="6">
        <f ca="1">Main[[#This Row],[تعداد روزهای بدهکار  تسویه نشده (روز)]]*Main[[#This Row],[مانده در خط تسویه نشده (کیلوگرم)]]</f>
        <v>0</v>
      </c>
      <c r="AD1840" s="6">
        <f ca="1">SUBTOTAL(9,INDEX(Main[بدهی سررسید شده (کیلوگرم)],1):Main[[#This Row],[بدهی سررسید شده (کیلوگرم)]])</f>
        <v>0</v>
      </c>
      <c r="AE1840" s="6">
        <f ca="1">IF(Main[[#This Row],[مانده در خط سررسید شده (کیلوگرم)]]&lt;&gt;0,Main[[#This Row],[تعداد کل روزهای بدهکار (روز)]],0)</f>
        <v>0</v>
      </c>
      <c r="AF1840" s="6">
        <f ca="1">Main[[#This Row],[تعداد روزهای بدهکار سررسید شده (روز)]]*Main[[#This Row],[مانده در خط سررسید شده (کیلوگرم)]]</f>
        <v>0</v>
      </c>
    </row>
    <row r="1841" spans="1:32" hidden="1" x14ac:dyDescent="0.35">
      <c r="A1841" s="5">
        <f>ROW()-ROW(INDEX(Main[ردیف],1))+1</f>
        <v>1839</v>
      </c>
      <c r="B1841" s="31">
        <f>SUBTOTAL(2,INDEX(Main[ردیف],1):Main[[#This Row],[ردیف]])</f>
        <v>162</v>
      </c>
      <c r="C1841" s="32" t="s">
        <v>727</v>
      </c>
      <c r="D1841" s="32" t="str">
        <f>_xlfn.CONCAT("14",Main[[#This Row],[تاريخ]])</f>
        <v>1400/07/20</v>
      </c>
      <c r="E1841" s="33">
        <v>44481</v>
      </c>
      <c r="F1841" s="32">
        <v>10069</v>
      </c>
      <c r="G1841" s="5" t="str">
        <f>INDEX(customer[عنوان],MATCH(Main[[#This Row],[کد ردیابی]],customer[کد],0))</f>
        <v xml:space="preserve">جواد عرب </v>
      </c>
      <c r="H1841">
        <v>1255</v>
      </c>
      <c r="I1841" s="6">
        <f ca="1">-Main[[#This Row],[بدهی تسویه شده (کیلوگرم)]]+Main[[#This Row],[بستانکار (کیلوگرم)]]</f>
        <v>1255</v>
      </c>
      <c r="J1841" s="6">
        <f>IF(Main[[#This Row],[مقدار (کیلوگرم)]]&gt;0,Main[[#This Row],[مقدار (کیلوگرم)]],0)</f>
        <v>1255</v>
      </c>
      <c r="K1841" s="6">
        <f>-IF(Main[[#This Row],[مقدار (کیلوگرم)]]&lt;0,Main[[#This Row],[مقدار (کیلوگرم)]],0)</f>
        <v>0</v>
      </c>
      <c r="L18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1" s="7">
        <f>-IF(AND(Main[[#This Row],[مقدار (کیلوگرم)]]&lt;0,Main[[#This Row],[تاريخ میلادی]]&gt;44276),Main[[#This Row],[مقدار (کیلوگرم)]],0)</f>
        <v>0</v>
      </c>
      <c r="N1841" s="6">
        <f ca="1">Main[[#This Row],[بدهکار (کیلوگرم)]]-Main[[#This Row],[بدهی تسویه نشده (کیلوگرم)]]</f>
        <v>0</v>
      </c>
      <c r="O1841" s="6">
        <f ca="1">Main[[#This Row],[تفکیک]]</f>
        <v>0</v>
      </c>
      <c r="P1841" s="6">
        <f ca="1">IF(Main[[#This Row],[تاخیر از سررسید]]&gt;0,Main[[#This Row],[بدهی تسویه نشده (کیلوگرم)]],0)</f>
        <v>0</v>
      </c>
      <c r="Q1841" s="6">
        <f ca="1">IF(Main[[#This Row],[بدهی تسویه نشده (کیلوگرم)]]&gt;0,'گزارش فردی'!$B$7-Main[[#This Row],[تاريخ میلادی]],0)</f>
        <v>0</v>
      </c>
      <c r="R1841" s="6">
        <f ca="1">IF(Main[[#This Row],[بدهی تسویه نشده (کیلوگرم)]]&gt;0,'گزارش فردی'!$B$7-Main[[#This Row],[تاريخ میلادی]]-'گزارش فردی'!$B$8,0)</f>
        <v>0</v>
      </c>
      <c r="S1841" s="6">
        <f ca="1">Main[[#This Row],[روز از ارسال سفارش]]*Main[[#This Row],[بدهی تسویه نشده (کیلوگرم)]]</f>
        <v>0</v>
      </c>
      <c r="T1841" s="6">
        <f ca="1">Main[[#This Row],[بدهی سررسید شده (کیلوگرم)]]*Main[[#This Row],[روز از ارسال سفارش]]</f>
        <v>0</v>
      </c>
      <c r="U1841" s="6">
        <f>-SUBTOTAL(9,INDEX(Main[مقدار (کیلوگرم)],1):Main[[#This Row],[مقدار (کیلوگرم)]])</f>
        <v>22005</v>
      </c>
      <c r="V18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41" s="6">
        <f>Main[[#This Row],[تعداد کل روزهای بدهکار (روز)]]*Main[[#This Row],[مانده در خط کل (کیلوگرم)]]</f>
        <v>22005</v>
      </c>
      <c r="X1841" s="6">
        <f ca="1">-SUBTOTAL(9,INDEX(Main[مقدار تسویه شده (کیلوگرم)],1):Main[[#This Row],[مقدار تسویه شده (کیلوگرم)]])</f>
        <v>22005</v>
      </c>
      <c r="Y1841" s="6">
        <f ca="1">IF(Main[[#This Row],[مانده در خط تسویه شده (کیلوگرم)]]&lt;&gt;0,Main[[#This Row],[تعداد کل روزهای بدهکار (روز)]],0)</f>
        <v>1</v>
      </c>
      <c r="Z1841" s="6">
        <f ca="1">Main[[#This Row],[تعداد روزهای بدهکار تسویه شده (روز)]]*Main[[#This Row],[مانده در خط تسویه شده (کیلوگرم)]]</f>
        <v>22005</v>
      </c>
      <c r="AA1841" s="6">
        <f ca="1">SUBTOTAL(9,INDEX(Main[بدهی تسویه نشده (کیلوگرم)],1):Main[[#This Row],[بدهی تسویه نشده (کیلوگرم)]])</f>
        <v>0</v>
      </c>
      <c r="AB1841" s="6">
        <f ca="1">IF(Main[[#This Row],[مانده در خط تسویه نشده (کیلوگرم)]]&lt;&gt;0,Main[[#This Row],[تعداد کل روزهای بدهکار (روز)]],0)</f>
        <v>0</v>
      </c>
      <c r="AC1841" s="6">
        <f ca="1">Main[[#This Row],[تعداد روزهای بدهکار  تسویه نشده (روز)]]*Main[[#This Row],[مانده در خط تسویه نشده (کیلوگرم)]]</f>
        <v>0</v>
      </c>
      <c r="AD1841" s="6">
        <f ca="1">SUBTOTAL(9,INDEX(Main[بدهی سررسید شده (کیلوگرم)],1):Main[[#This Row],[بدهی سررسید شده (کیلوگرم)]])</f>
        <v>0</v>
      </c>
      <c r="AE1841" s="6">
        <f ca="1">IF(Main[[#This Row],[مانده در خط سررسید شده (کیلوگرم)]]&lt;&gt;0,Main[[#This Row],[تعداد کل روزهای بدهکار (روز)]],0)</f>
        <v>0</v>
      </c>
      <c r="AF1841" s="6">
        <f ca="1">Main[[#This Row],[تعداد روزهای بدهکار سررسید شده (روز)]]*Main[[#This Row],[مانده در خط سررسید شده (کیلوگرم)]]</f>
        <v>0</v>
      </c>
    </row>
    <row r="1842" spans="1:32" hidden="1" x14ac:dyDescent="0.35">
      <c r="A1842" s="5">
        <f>ROW()-ROW(INDEX(Main[ردیف],1))+1</f>
        <v>1840</v>
      </c>
      <c r="B1842" s="31">
        <f>SUBTOTAL(2,INDEX(Main[ردیف],1):Main[[#This Row],[ردیف]])</f>
        <v>162</v>
      </c>
      <c r="C1842" s="32" t="s">
        <v>729</v>
      </c>
      <c r="D1842" s="32" t="str">
        <f>_xlfn.CONCAT("14",Main[[#This Row],[تاريخ]])</f>
        <v>1400/07/21</v>
      </c>
      <c r="E1842" s="33">
        <v>44482</v>
      </c>
      <c r="F1842" s="32">
        <v>10029</v>
      </c>
      <c r="G1842" s="5" t="str">
        <f>INDEX(customer[عنوان],MATCH(Main[[#This Row],[کد ردیابی]],customer[کد],0))</f>
        <v>رضا شریعتی</v>
      </c>
      <c r="H1842">
        <v>-503</v>
      </c>
      <c r="I1842" s="6">
        <f ca="1">-Main[[#This Row],[بدهی تسویه شده (کیلوگرم)]]+Main[[#This Row],[بستانکار (کیلوگرم)]]</f>
        <v>-503</v>
      </c>
      <c r="J1842" s="6">
        <f>IF(Main[[#This Row],[مقدار (کیلوگرم)]]&gt;0,Main[[#This Row],[مقدار (کیلوگرم)]],0)</f>
        <v>0</v>
      </c>
      <c r="K1842" s="6">
        <f>-IF(Main[[#This Row],[مقدار (کیلوگرم)]]&lt;0,Main[[#This Row],[مقدار (کیلوگرم)]],0)</f>
        <v>503</v>
      </c>
      <c r="L18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2" s="7">
        <f>-IF(AND(Main[[#This Row],[مقدار (کیلوگرم)]]&lt;0,Main[[#This Row],[تاريخ میلادی]]&gt;44276),Main[[#This Row],[مقدار (کیلوگرم)]],0)</f>
        <v>503</v>
      </c>
      <c r="N1842" s="6">
        <f ca="1">Main[[#This Row],[بدهکار (کیلوگرم)]]-Main[[#This Row],[بدهی تسویه نشده (کیلوگرم)]]</f>
        <v>503</v>
      </c>
      <c r="O1842" s="6">
        <f ca="1">Main[[#This Row],[تفکیک]]</f>
        <v>0</v>
      </c>
      <c r="P1842" s="6">
        <f ca="1">IF(Main[[#This Row],[تاخیر از سررسید]]&gt;0,Main[[#This Row],[بدهی تسویه نشده (کیلوگرم)]],0)</f>
        <v>0</v>
      </c>
      <c r="Q1842" s="6">
        <f ca="1">IF(Main[[#This Row],[بدهی تسویه نشده (کیلوگرم)]]&gt;0,'گزارش فردی'!$B$7-Main[[#This Row],[تاريخ میلادی]],0)</f>
        <v>0</v>
      </c>
      <c r="R1842" s="6">
        <f ca="1">IF(Main[[#This Row],[بدهی تسویه نشده (کیلوگرم)]]&gt;0,'گزارش فردی'!$B$7-Main[[#This Row],[تاريخ میلادی]]-'گزارش فردی'!$B$8,0)</f>
        <v>0</v>
      </c>
      <c r="S1842" s="6">
        <f ca="1">Main[[#This Row],[روز از ارسال سفارش]]*Main[[#This Row],[بدهی تسویه نشده (کیلوگرم)]]</f>
        <v>0</v>
      </c>
      <c r="T1842" s="6">
        <f ca="1">Main[[#This Row],[بدهی سررسید شده (کیلوگرم)]]*Main[[#This Row],[روز از ارسال سفارش]]</f>
        <v>0</v>
      </c>
      <c r="U1842" s="6">
        <f>-SUBTOTAL(9,INDEX(Main[مقدار (کیلوگرم)],1):Main[[#This Row],[مقدار (کیلوگرم)]])</f>
        <v>22005</v>
      </c>
      <c r="V18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2" s="6">
        <f>Main[[#This Row],[تعداد کل روزهای بدهکار (روز)]]*Main[[#This Row],[مانده در خط کل (کیلوگرم)]]</f>
        <v>0</v>
      </c>
      <c r="X1842" s="6">
        <f ca="1">-SUBTOTAL(9,INDEX(Main[مقدار تسویه شده (کیلوگرم)],1):Main[[#This Row],[مقدار تسویه شده (کیلوگرم)]])</f>
        <v>22005</v>
      </c>
      <c r="Y1842" s="6">
        <f ca="1">IF(Main[[#This Row],[مانده در خط تسویه شده (کیلوگرم)]]&lt;&gt;0,Main[[#This Row],[تعداد کل روزهای بدهکار (روز)]],0)</f>
        <v>0</v>
      </c>
      <c r="Z1842" s="6">
        <f ca="1">Main[[#This Row],[تعداد روزهای بدهکار تسویه شده (روز)]]*Main[[#This Row],[مانده در خط تسویه شده (کیلوگرم)]]</f>
        <v>0</v>
      </c>
      <c r="AA1842" s="6">
        <f ca="1">SUBTOTAL(9,INDEX(Main[بدهی تسویه نشده (کیلوگرم)],1):Main[[#This Row],[بدهی تسویه نشده (کیلوگرم)]])</f>
        <v>0</v>
      </c>
      <c r="AB1842" s="6">
        <f ca="1">IF(Main[[#This Row],[مانده در خط تسویه نشده (کیلوگرم)]]&lt;&gt;0,Main[[#This Row],[تعداد کل روزهای بدهکار (روز)]],0)</f>
        <v>0</v>
      </c>
      <c r="AC1842" s="6">
        <f ca="1">Main[[#This Row],[تعداد روزهای بدهکار  تسویه نشده (روز)]]*Main[[#This Row],[مانده در خط تسویه نشده (کیلوگرم)]]</f>
        <v>0</v>
      </c>
      <c r="AD1842" s="6">
        <f ca="1">SUBTOTAL(9,INDEX(Main[بدهی سررسید شده (کیلوگرم)],1):Main[[#This Row],[بدهی سررسید شده (کیلوگرم)]])</f>
        <v>0</v>
      </c>
      <c r="AE1842" s="6">
        <f ca="1">IF(Main[[#This Row],[مانده در خط سررسید شده (کیلوگرم)]]&lt;&gt;0,Main[[#This Row],[تعداد کل روزهای بدهکار (روز)]],0)</f>
        <v>0</v>
      </c>
      <c r="AF1842" s="6">
        <f ca="1">Main[[#This Row],[تعداد روزهای بدهکار سررسید شده (روز)]]*Main[[#This Row],[مانده در خط سررسید شده (کیلوگرم)]]</f>
        <v>0</v>
      </c>
    </row>
    <row r="1843" spans="1:32" hidden="1" x14ac:dyDescent="0.35">
      <c r="A1843" s="5">
        <f>ROW()-ROW(INDEX(Main[ردیف],1))+1</f>
        <v>1841</v>
      </c>
      <c r="B1843" s="31">
        <f>SUBTOTAL(2,INDEX(Main[ردیف],1):Main[[#This Row],[ردیف]])</f>
        <v>162</v>
      </c>
      <c r="C1843" s="32" t="s">
        <v>729</v>
      </c>
      <c r="D1843" s="32" t="str">
        <f>_xlfn.CONCAT("14",Main[[#This Row],[تاريخ]])</f>
        <v>1400/07/21</v>
      </c>
      <c r="E1843" s="33">
        <v>44482</v>
      </c>
      <c r="F1843" s="32">
        <v>10055</v>
      </c>
      <c r="G1843" s="5" t="str">
        <f>INDEX(customer[عنوان],MATCH(Main[[#This Row],[کد ردیابی]],customer[کد],0))</f>
        <v xml:space="preserve">مریم فیض آبادی  </v>
      </c>
      <c r="H1843">
        <v>7591</v>
      </c>
      <c r="I1843" s="6">
        <f ca="1">-Main[[#This Row],[بدهی تسویه شده (کیلوگرم)]]+Main[[#This Row],[بستانکار (کیلوگرم)]]</f>
        <v>7591</v>
      </c>
      <c r="J1843" s="6">
        <f>IF(Main[[#This Row],[مقدار (کیلوگرم)]]&gt;0,Main[[#This Row],[مقدار (کیلوگرم)]],0)</f>
        <v>7591</v>
      </c>
      <c r="K1843" s="6">
        <f>-IF(Main[[#This Row],[مقدار (کیلوگرم)]]&lt;0,Main[[#This Row],[مقدار (کیلوگرم)]],0)</f>
        <v>0</v>
      </c>
      <c r="L18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3" s="7">
        <f>-IF(AND(Main[[#This Row],[مقدار (کیلوگرم)]]&lt;0,Main[[#This Row],[تاريخ میلادی]]&gt;44276),Main[[#This Row],[مقدار (کیلوگرم)]],0)</f>
        <v>0</v>
      </c>
      <c r="N1843" s="6">
        <f ca="1">Main[[#This Row],[بدهکار (کیلوگرم)]]-Main[[#This Row],[بدهی تسویه نشده (کیلوگرم)]]</f>
        <v>0</v>
      </c>
      <c r="O1843" s="6">
        <f ca="1">Main[[#This Row],[تفکیک]]</f>
        <v>0</v>
      </c>
      <c r="P1843" s="6">
        <f ca="1">IF(Main[[#This Row],[تاخیر از سررسید]]&gt;0,Main[[#This Row],[بدهی تسویه نشده (کیلوگرم)]],0)</f>
        <v>0</v>
      </c>
      <c r="Q1843" s="6">
        <f ca="1">IF(Main[[#This Row],[بدهی تسویه نشده (کیلوگرم)]]&gt;0,'گزارش فردی'!$B$7-Main[[#This Row],[تاريخ میلادی]],0)</f>
        <v>0</v>
      </c>
      <c r="R1843" s="6">
        <f ca="1">IF(Main[[#This Row],[بدهی تسویه نشده (کیلوگرم)]]&gt;0,'گزارش فردی'!$B$7-Main[[#This Row],[تاريخ میلادی]]-'گزارش فردی'!$B$8,0)</f>
        <v>0</v>
      </c>
      <c r="S1843" s="6">
        <f ca="1">Main[[#This Row],[روز از ارسال سفارش]]*Main[[#This Row],[بدهی تسویه نشده (کیلوگرم)]]</f>
        <v>0</v>
      </c>
      <c r="T1843" s="6">
        <f ca="1">Main[[#This Row],[بدهی سررسید شده (کیلوگرم)]]*Main[[#This Row],[روز از ارسال سفارش]]</f>
        <v>0</v>
      </c>
      <c r="U1843" s="6">
        <f>-SUBTOTAL(9,INDEX(Main[مقدار (کیلوگرم)],1):Main[[#This Row],[مقدار (کیلوگرم)]])</f>
        <v>22005</v>
      </c>
      <c r="V18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3" s="6">
        <f>Main[[#This Row],[تعداد کل روزهای بدهکار (روز)]]*Main[[#This Row],[مانده در خط کل (کیلوگرم)]]</f>
        <v>0</v>
      </c>
      <c r="X1843" s="6">
        <f ca="1">-SUBTOTAL(9,INDEX(Main[مقدار تسویه شده (کیلوگرم)],1):Main[[#This Row],[مقدار تسویه شده (کیلوگرم)]])</f>
        <v>22005</v>
      </c>
      <c r="Y1843" s="6">
        <f ca="1">IF(Main[[#This Row],[مانده در خط تسویه شده (کیلوگرم)]]&lt;&gt;0,Main[[#This Row],[تعداد کل روزهای بدهکار (روز)]],0)</f>
        <v>0</v>
      </c>
      <c r="Z1843" s="6">
        <f ca="1">Main[[#This Row],[تعداد روزهای بدهکار تسویه شده (روز)]]*Main[[#This Row],[مانده در خط تسویه شده (کیلوگرم)]]</f>
        <v>0</v>
      </c>
      <c r="AA1843" s="6">
        <f ca="1">SUBTOTAL(9,INDEX(Main[بدهی تسویه نشده (کیلوگرم)],1):Main[[#This Row],[بدهی تسویه نشده (کیلوگرم)]])</f>
        <v>0</v>
      </c>
      <c r="AB1843" s="6">
        <f ca="1">IF(Main[[#This Row],[مانده در خط تسویه نشده (کیلوگرم)]]&lt;&gt;0,Main[[#This Row],[تعداد کل روزهای بدهکار (روز)]],0)</f>
        <v>0</v>
      </c>
      <c r="AC1843" s="6">
        <f ca="1">Main[[#This Row],[تعداد روزهای بدهکار  تسویه نشده (روز)]]*Main[[#This Row],[مانده در خط تسویه نشده (کیلوگرم)]]</f>
        <v>0</v>
      </c>
      <c r="AD1843" s="6">
        <f ca="1">SUBTOTAL(9,INDEX(Main[بدهی سررسید شده (کیلوگرم)],1):Main[[#This Row],[بدهی سررسید شده (کیلوگرم)]])</f>
        <v>0</v>
      </c>
      <c r="AE1843" s="6">
        <f ca="1">IF(Main[[#This Row],[مانده در خط سررسید شده (کیلوگرم)]]&lt;&gt;0,Main[[#This Row],[تعداد کل روزهای بدهکار (روز)]],0)</f>
        <v>0</v>
      </c>
      <c r="AF1843" s="6">
        <f ca="1">Main[[#This Row],[تعداد روزهای بدهکار سررسید شده (روز)]]*Main[[#This Row],[مانده در خط سررسید شده (کیلوگرم)]]</f>
        <v>0</v>
      </c>
    </row>
    <row r="1844" spans="1:32" x14ac:dyDescent="0.35">
      <c r="A1844" s="5">
        <f>ROW()-ROW(INDEX(Main[ردیف],1))+1</f>
        <v>1842</v>
      </c>
      <c r="B1844" s="31">
        <f>SUBTOTAL(2,INDEX(Main[ردیف],1):Main[[#This Row],[ردیف]])</f>
        <v>163</v>
      </c>
      <c r="C1844" s="32" t="s">
        <v>729</v>
      </c>
      <c r="D1844" s="32" t="str">
        <f>_xlfn.CONCAT("14",Main[[#This Row],[تاريخ]])</f>
        <v>1400/07/21</v>
      </c>
      <c r="E1844" s="33">
        <v>44482</v>
      </c>
      <c r="F1844" s="32">
        <v>10003</v>
      </c>
      <c r="G1844" s="5" t="str">
        <f>INDEX(customer[عنوان],MATCH(Main[[#This Row],[کد ردیابی]],customer[کد],0))</f>
        <v>اصغر نورعلی</v>
      </c>
      <c r="H1844">
        <v>-3169</v>
      </c>
      <c r="I1844" s="6">
        <f ca="1">-Main[[#This Row],[بدهی تسویه شده (کیلوگرم)]]+Main[[#This Row],[بستانکار (کیلوگرم)]]</f>
        <v>-3169</v>
      </c>
      <c r="J1844" s="6">
        <f>IF(Main[[#This Row],[مقدار (کیلوگرم)]]&gt;0,Main[[#This Row],[مقدار (کیلوگرم)]],0)</f>
        <v>0</v>
      </c>
      <c r="K1844" s="6">
        <f>-IF(Main[[#This Row],[مقدار (کیلوگرم)]]&lt;0,Main[[#This Row],[مقدار (کیلوگرم)]],0)</f>
        <v>3169</v>
      </c>
      <c r="L18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4" s="7">
        <f>-IF(AND(Main[[#This Row],[مقدار (کیلوگرم)]]&lt;0,Main[[#This Row],[تاريخ میلادی]]&gt;44276),Main[[#This Row],[مقدار (کیلوگرم)]],0)</f>
        <v>3169</v>
      </c>
      <c r="N1844" s="6">
        <f ca="1">Main[[#This Row],[بدهکار (کیلوگرم)]]-Main[[#This Row],[بدهی تسویه نشده (کیلوگرم)]]</f>
        <v>3169</v>
      </c>
      <c r="O1844" s="6">
        <f ca="1">Main[[#This Row],[تفکیک]]</f>
        <v>0</v>
      </c>
      <c r="P1844" s="6">
        <f ca="1">IF(Main[[#This Row],[تاخیر از سررسید]]&gt;0,Main[[#This Row],[بدهی تسویه نشده (کیلوگرم)]],0)</f>
        <v>0</v>
      </c>
      <c r="Q1844" s="6">
        <f ca="1">IF(Main[[#This Row],[بدهی تسویه نشده (کیلوگرم)]]&gt;0,'گزارش فردی'!$B$7-Main[[#This Row],[تاريخ میلادی]],0)</f>
        <v>0</v>
      </c>
      <c r="R1844" s="6">
        <f ca="1">IF(Main[[#This Row],[بدهی تسویه نشده (کیلوگرم)]]&gt;0,'گزارش فردی'!$B$7-Main[[#This Row],[تاريخ میلادی]]-'گزارش فردی'!$B$8,0)</f>
        <v>0</v>
      </c>
      <c r="S1844" s="6">
        <f ca="1">Main[[#This Row],[روز از ارسال سفارش]]*Main[[#This Row],[بدهی تسویه نشده (کیلوگرم)]]</f>
        <v>0</v>
      </c>
      <c r="T1844" s="6">
        <f ca="1">Main[[#This Row],[بدهی سررسید شده (کیلوگرم)]]*Main[[#This Row],[روز از ارسال سفارش]]</f>
        <v>0</v>
      </c>
      <c r="U1844" s="6">
        <f>-SUBTOTAL(9,INDEX(Main[مقدار (کیلوگرم)],1):Main[[#This Row],[مقدار (کیلوگرم)]])</f>
        <v>25174</v>
      </c>
      <c r="V18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4" s="6">
        <f>Main[[#This Row],[تعداد کل روزهای بدهکار (روز)]]*Main[[#This Row],[مانده در خط کل (کیلوگرم)]]</f>
        <v>0</v>
      </c>
      <c r="X1844" s="6">
        <f ca="1">-SUBTOTAL(9,INDEX(Main[مقدار تسویه شده (کیلوگرم)],1):Main[[#This Row],[مقدار تسویه شده (کیلوگرم)]])</f>
        <v>25174</v>
      </c>
      <c r="Y1844" s="6">
        <f ca="1">IF(Main[[#This Row],[مانده در خط تسویه شده (کیلوگرم)]]&lt;&gt;0,Main[[#This Row],[تعداد کل روزهای بدهکار (روز)]],0)</f>
        <v>0</v>
      </c>
      <c r="Z1844" s="6">
        <f ca="1">Main[[#This Row],[تعداد روزهای بدهکار تسویه شده (روز)]]*Main[[#This Row],[مانده در خط تسویه شده (کیلوگرم)]]</f>
        <v>0</v>
      </c>
      <c r="AA1844" s="6">
        <f ca="1">SUBTOTAL(9,INDEX(Main[بدهی تسویه نشده (کیلوگرم)],1):Main[[#This Row],[بدهی تسویه نشده (کیلوگرم)]])</f>
        <v>0</v>
      </c>
      <c r="AB1844" s="6">
        <f ca="1">IF(Main[[#This Row],[مانده در خط تسویه نشده (کیلوگرم)]]&lt;&gt;0,Main[[#This Row],[تعداد کل روزهای بدهکار (روز)]],0)</f>
        <v>0</v>
      </c>
      <c r="AC1844" s="6">
        <f ca="1">Main[[#This Row],[تعداد روزهای بدهکار  تسویه نشده (روز)]]*Main[[#This Row],[مانده در خط تسویه نشده (کیلوگرم)]]</f>
        <v>0</v>
      </c>
      <c r="AD1844" s="6">
        <f ca="1">SUBTOTAL(9,INDEX(Main[بدهی سررسید شده (کیلوگرم)],1):Main[[#This Row],[بدهی سررسید شده (کیلوگرم)]])</f>
        <v>0</v>
      </c>
      <c r="AE1844" s="6">
        <f ca="1">IF(Main[[#This Row],[مانده در خط سررسید شده (کیلوگرم)]]&lt;&gt;0,Main[[#This Row],[تعداد کل روزهای بدهکار (روز)]],0)</f>
        <v>0</v>
      </c>
      <c r="AF1844" s="6">
        <f ca="1">Main[[#This Row],[تعداد روزهای بدهکار سررسید شده (روز)]]*Main[[#This Row],[مانده در خط سررسید شده (کیلوگرم)]]</f>
        <v>0</v>
      </c>
    </row>
    <row r="1845" spans="1:32" hidden="1" x14ac:dyDescent="0.35">
      <c r="A1845" s="5">
        <f>ROW()-ROW(INDEX(Main[ردیف],1))+1</f>
        <v>1843</v>
      </c>
      <c r="B1845" s="31">
        <f>SUBTOTAL(2,INDEX(Main[ردیف],1):Main[[#This Row],[ردیف]])</f>
        <v>163</v>
      </c>
      <c r="C1845" s="32" t="s">
        <v>729</v>
      </c>
      <c r="D1845" s="32" t="str">
        <f>_xlfn.CONCAT("14",Main[[#This Row],[تاريخ]])</f>
        <v>1400/07/21</v>
      </c>
      <c r="E1845" s="33">
        <v>44482</v>
      </c>
      <c r="F1845" s="32">
        <v>30009</v>
      </c>
      <c r="G1845" s="5" t="str">
        <f>INDEX(customer[عنوان],MATCH(Main[[#This Row],[کد ردیابی]],customer[کد],0))</f>
        <v>شرکت ایمن تک پیشرو</v>
      </c>
      <c r="H1845">
        <v>2037</v>
      </c>
      <c r="I1845" s="6">
        <f ca="1">-Main[[#This Row],[بدهی تسویه شده (کیلوگرم)]]+Main[[#This Row],[بستانکار (کیلوگرم)]]</f>
        <v>2037</v>
      </c>
      <c r="J1845" s="6">
        <f>IF(Main[[#This Row],[مقدار (کیلوگرم)]]&gt;0,Main[[#This Row],[مقدار (کیلوگرم)]],0)</f>
        <v>2037</v>
      </c>
      <c r="K1845" s="6">
        <f>-IF(Main[[#This Row],[مقدار (کیلوگرم)]]&lt;0,Main[[#This Row],[مقدار (کیلوگرم)]],0)</f>
        <v>0</v>
      </c>
      <c r="L18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5" s="7">
        <f>-IF(AND(Main[[#This Row],[مقدار (کیلوگرم)]]&lt;0,Main[[#This Row],[تاريخ میلادی]]&gt;44276),Main[[#This Row],[مقدار (کیلوگرم)]],0)</f>
        <v>0</v>
      </c>
      <c r="N1845" s="6">
        <f ca="1">Main[[#This Row],[بدهکار (کیلوگرم)]]-Main[[#This Row],[بدهی تسویه نشده (کیلوگرم)]]</f>
        <v>0</v>
      </c>
      <c r="O1845" s="6">
        <f ca="1">Main[[#This Row],[تفکیک]]</f>
        <v>0</v>
      </c>
      <c r="P1845" s="6">
        <f ca="1">IF(Main[[#This Row],[تاخیر از سررسید]]&gt;0,Main[[#This Row],[بدهی تسویه نشده (کیلوگرم)]],0)</f>
        <v>0</v>
      </c>
      <c r="Q1845" s="6">
        <f ca="1">IF(Main[[#This Row],[بدهی تسویه نشده (کیلوگرم)]]&gt;0,'گزارش فردی'!$B$7-Main[[#This Row],[تاريخ میلادی]],0)</f>
        <v>0</v>
      </c>
      <c r="R1845" s="6">
        <f ca="1">IF(Main[[#This Row],[بدهی تسویه نشده (کیلوگرم)]]&gt;0,'گزارش فردی'!$B$7-Main[[#This Row],[تاريخ میلادی]]-'گزارش فردی'!$B$8,0)</f>
        <v>0</v>
      </c>
      <c r="S1845" s="6">
        <f ca="1">Main[[#This Row],[روز از ارسال سفارش]]*Main[[#This Row],[بدهی تسویه نشده (کیلوگرم)]]</f>
        <v>0</v>
      </c>
      <c r="T1845" s="6">
        <f ca="1">Main[[#This Row],[بدهی سررسید شده (کیلوگرم)]]*Main[[#This Row],[روز از ارسال سفارش]]</f>
        <v>0</v>
      </c>
      <c r="U1845" s="6">
        <f>-SUBTOTAL(9,INDEX(Main[مقدار (کیلوگرم)],1):Main[[#This Row],[مقدار (کیلوگرم)]])</f>
        <v>25174</v>
      </c>
      <c r="V18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5" s="6">
        <f>Main[[#This Row],[تعداد کل روزهای بدهکار (روز)]]*Main[[#This Row],[مانده در خط کل (کیلوگرم)]]</f>
        <v>0</v>
      </c>
      <c r="X1845" s="6">
        <f ca="1">-SUBTOTAL(9,INDEX(Main[مقدار تسویه شده (کیلوگرم)],1):Main[[#This Row],[مقدار تسویه شده (کیلوگرم)]])</f>
        <v>25174</v>
      </c>
      <c r="Y1845" s="6">
        <f ca="1">IF(Main[[#This Row],[مانده در خط تسویه شده (کیلوگرم)]]&lt;&gt;0,Main[[#This Row],[تعداد کل روزهای بدهکار (روز)]],0)</f>
        <v>0</v>
      </c>
      <c r="Z1845" s="6">
        <f ca="1">Main[[#This Row],[تعداد روزهای بدهکار تسویه شده (روز)]]*Main[[#This Row],[مانده در خط تسویه شده (کیلوگرم)]]</f>
        <v>0</v>
      </c>
      <c r="AA1845" s="6">
        <f ca="1">SUBTOTAL(9,INDEX(Main[بدهی تسویه نشده (کیلوگرم)],1):Main[[#This Row],[بدهی تسویه نشده (کیلوگرم)]])</f>
        <v>0</v>
      </c>
      <c r="AB1845" s="6">
        <f ca="1">IF(Main[[#This Row],[مانده در خط تسویه نشده (کیلوگرم)]]&lt;&gt;0,Main[[#This Row],[تعداد کل روزهای بدهکار (روز)]],0)</f>
        <v>0</v>
      </c>
      <c r="AC1845" s="6">
        <f ca="1">Main[[#This Row],[تعداد روزهای بدهکار  تسویه نشده (روز)]]*Main[[#This Row],[مانده در خط تسویه نشده (کیلوگرم)]]</f>
        <v>0</v>
      </c>
      <c r="AD1845" s="6">
        <f ca="1">SUBTOTAL(9,INDEX(Main[بدهی سررسید شده (کیلوگرم)],1):Main[[#This Row],[بدهی سررسید شده (کیلوگرم)]])</f>
        <v>0</v>
      </c>
      <c r="AE1845" s="6">
        <f ca="1">IF(Main[[#This Row],[مانده در خط سررسید شده (کیلوگرم)]]&lt;&gt;0,Main[[#This Row],[تعداد کل روزهای بدهکار (روز)]],0)</f>
        <v>0</v>
      </c>
      <c r="AF1845" s="6">
        <f ca="1">Main[[#This Row],[تعداد روزهای بدهکار سررسید شده (روز)]]*Main[[#This Row],[مانده در خط سررسید شده (کیلوگرم)]]</f>
        <v>0</v>
      </c>
    </row>
    <row r="1846" spans="1:32" x14ac:dyDescent="0.35">
      <c r="A1846" s="5">
        <f>ROW()-ROW(INDEX(Main[ردیف],1))+1</f>
        <v>1844</v>
      </c>
      <c r="B1846" s="31">
        <f>SUBTOTAL(2,INDEX(Main[ردیف],1):Main[[#This Row],[ردیف]])</f>
        <v>164</v>
      </c>
      <c r="C1846" s="32" t="s">
        <v>729</v>
      </c>
      <c r="D1846" s="32" t="str">
        <f>_xlfn.CONCAT("14",Main[[#This Row],[تاريخ]])</f>
        <v>1400/07/21</v>
      </c>
      <c r="E1846" s="33">
        <v>44482</v>
      </c>
      <c r="F1846" s="32">
        <v>10003</v>
      </c>
      <c r="G1846" s="5" t="str">
        <f>INDEX(customer[عنوان],MATCH(Main[[#This Row],[کد ردیابی]],customer[کد],0))</f>
        <v>اصغر نورعلی</v>
      </c>
      <c r="H1846">
        <v>2422</v>
      </c>
      <c r="I1846" s="6">
        <f ca="1">-Main[[#This Row],[بدهی تسویه شده (کیلوگرم)]]+Main[[#This Row],[بستانکار (کیلوگرم)]]</f>
        <v>2422</v>
      </c>
      <c r="J1846" s="6">
        <f>IF(Main[[#This Row],[مقدار (کیلوگرم)]]&gt;0,Main[[#This Row],[مقدار (کیلوگرم)]],0)</f>
        <v>2422</v>
      </c>
      <c r="K1846" s="6">
        <f>-IF(Main[[#This Row],[مقدار (کیلوگرم)]]&lt;0,Main[[#This Row],[مقدار (کیلوگرم)]],0)</f>
        <v>0</v>
      </c>
      <c r="L18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6" s="7">
        <f>-IF(AND(Main[[#This Row],[مقدار (کیلوگرم)]]&lt;0,Main[[#This Row],[تاريخ میلادی]]&gt;44276),Main[[#This Row],[مقدار (کیلوگرم)]],0)</f>
        <v>0</v>
      </c>
      <c r="N1846" s="6">
        <f ca="1">Main[[#This Row],[بدهکار (کیلوگرم)]]-Main[[#This Row],[بدهی تسویه نشده (کیلوگرم)]]</f>
        <v>0</v>
      </c>
      <c r="O1846" s="6">
        <f ca="1">Main[[#This Row],[تفکیک]]</f>
        <v>0</v>
      </c>
      <c r="P1846" s="6">
        <f ca="1">IF(Main[[#This Row],[تاخیر از سررسید]]&gt;0,Main[[#This Row],[بدهی تسویه نشده (کیلوگرم)]],0)</f>
        <v>0</v>
      </c>
      <c r="Q1846" s="6">
        <f ca="1">IF(Main[[#This Row],[بدهی تسویه نشده (کیلوگرم)]]&gt;0,'گزارش فردی'!$B$7-Main[[#This Row],[تاريخ میلادی]],0)</f>
        <v>0</v>
      </c>
      <c r="R1846" s="6">
        <f ca="1">IF(Main[[#This Row],[بدهی تسویه نشده (کیلوگرم)]]&gt;0,'گزارش فردی'!$B$7-Main[[#This Row],[تاريخ میلادی]]-'گزارش فردی'!$B$8,0)</f>
        <v>0</v>
      </c>
      <c r="S1846" s="6">
        <f ca="1">Main[[#This Row],[روز از ارسال سفارش]]*Main[[#This Row],[بدهی تسویه نشده (کیلوگرم)]]</f>
        <v>0</v>
      </c>
      <c r="T1846" s="6">
        <f ca="1">Main[[#This Row],[بدهی سررسید شده (کیلوگرم)]]*Main[[#This Row],[روز از ارسال سفارش]]</f>
        <v>0</v>
      </c>
      <c r="U1846" s="6">
        <f>-SUBTOTAL(9,INDEX(Main[مقدار (کیلوگرم)],1):Main[[#This Row],[مقدار (کیلوگرم)]])</f>
        <v>22752</v>
      </c>
      <c r="V184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6" s="6">
        <f>Main[[#This Row],[تعداد کل روزهای بدهکار (روز)]]*Main[[#This Row],[مانده در خط کل (کیلوگرم)]]</f>
        <v>68256</v>
      </c>
      <c r="X1846" s="6">
        <f ca="1">-SUBTOTAL(9,INDEX(Main[مقدار تسویه شده (کیلوگرم)],1):Main[[#This Row],[مقدار تسویه شده (کیلوگرم)]])</f>
        <v>22752</v>
      </c>
      <c r="Y1846" s="6">
        <f ca="1">IF(Main[[#This Row],[مانده در خط تسویه شده (کیلوگرم)]]&lt;&gt;0,Main[[#This Row],[تعداد کل روزهای بدهکار (روز)]],0)</f>
        <v>3</v>
      </c>
      <c r="Z1846" s="6">
        <f ca="1">Main[[#This Row],[تعداد روزهای بدهکار تسویه شده (روز)]]*Main[[#This Row],[مانده در خط تسویه شده (کیلوگرم)]]</f>
        <v>68256</v>
      </c>
      <c r="AA1846" s="6">
        <f ca="1">SUBTOTAL(9,INDEX(Main[بدهی تسویه نشده (کیلوگرم)],1):Main[[#This Row],[بدهی تسویه نشده (کیلوگرم)]])</f>
        <v>0</v>
      </c>
      <c r="AB1846" s="6">
        <f ca="1">IF(Main[[#This Row],[مانده در خط تسویه نشده (کیلوگرم)]]&lt;&gt;0,Main[[#This Row],[تعداد کل روزهای بدهکار (روز)]],0)</f>
        <v>0</v>
      </c>
      <c r="AC1846" s="6">
        <f ca="1">Main[[#This Row],[تعداد روزهای بدهکار  تسویه نشده (روز)]]*Main[[#This Row],[مانده در خط تسویه نشده (کیلوگرم)]]</f>
        <v>0</v>
      </c>
      <c r="AD1846" s="6">
        <f ca="1">SUBTOTAL(9,INDEX(Main[بدهی سررسید شده (کیلوگرم)],1):Main[[#This Row],[بدهی سررسید شده (کیلوگرم)]])</f>
        <v>0</v>
      </c>
      <c r="AE1846" s="6">
        <f ca="1">IF(Main[[#This Row],[مانده در خط سررسید شده (کیلوگرم)]]&lt;&gt;0,Main[[#This Row],[تعداد کل روزهای بدهکار (روز)]],0)</f>
        <v>0</v>
      </c>
      <c r="AF1846" s="6">
        <f ca="1">Main[[#This Row],[تعداد روزهای بدهکار سررسید شده (روز)]]*Main[[#This Row],[مانده در خط سررسید شده (کیلوگرم)]]</f>
        <v>0</v>
      </c>
    </row>
    <row r="1847" spans="1:32" hidden="1" x14ac:dyDescent="0.35">
      <c r="A1847" s="5">
        <f>ROW()-ROW(INDEX(Main[ردیف],1))+1</f>
        <v>1845</v>
      </c>
      <c r="B1847" s="31">
        <f>SUBTOTAL(2,INDEX(Main[ردیف],1):Main[[#This Row],[ردیف]])</f>
        <v>164</v>
      </c>
      <c r="C1847" s="32" t="s">
        <v>729</v>
      </c>
      <c r="D1847" s="32" t="str">
        <f>_xlfn.CONCAT("14",Main[[#This Row],[تاريخ]])</f>
        <v>1400/07/21</v>
      </c>
      <c r="E1847" s="33">
        <v>44482</v>
      </c>
      <c r="F1847" s="32">
        <v>30066</v>
      </c>
      <c r="G1847" s="5" t="str">
        <f>INDEX(customer[عنوان],MATCH(Main[[#This Row],[کد ردیابی]],customer[کد],0))</f>
        <v xml:space="preserve">شیر آلات بهداشتی قهرمان </v>
      </c>
      <c r="H1847">
        <v>2774</v>
      </c>
      <c r="I1847" s="6">
        <f ca="1">-Main[[#This Row],[بدهی تسویه شده (کیلوگرم)]]+Main[[#This Row],[بستانکار (کیلوگرم)]]</f>
        <v>2774</v>
      </c>
      <c r="J1847" s="6">
        <f>IF(Main[[#This Row],[مقدار (کیلوگرم)]]&gt;0,Main[[#This Row],[مقدار (کیلوگرم)]],0)</f>
        <v>2774</v>
      </c>
      <c r="K1847" s="6">
        <f>-IF(Main[[#This Row],[مقدار (کیلوگرم)]]&lt;0,Main[[#This Row],[مقدار (کیلوگرم)]],0)</f>
        <v>0</v>
      </c>
      <c r="L18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7" s="7">
        <f>-IF(AND(Main[[#This Row],[مقدار (کیلوگرم)]]&lt;0,Main[[#This Row],[تاريخ میلادی]]&gt;44276),Main[[#This Row],[مقدار (کیلوگرم)]],0)</f>
        <v>0</v>
      </c>
      <c r="N1847" s="6">
        <f ca="1">Main[[#This Row],[بدهکار (کیلوگرم)]]-Main[[#This Row],[بدهی تسویه نشده (کیلوگرم)]]</f>
        <v>0</v>
      </c>
      <c r="O1847" s="6">
        <f ca="1">Main[[#This Row],[تفکیک]]</f>
        <v>0</v>
      </c>
      <c r="P1847" s="6">
        <f ca="1">IF(Main[[#This Row],[تاخیر از سررسید]]&gt;0,Main[[#This Row],[بدهی تسویه نشده (کیلوگرم)]],0)</f>
        <v>0</v>
      </c>
      <c r="Q1847" s="6">
        <f ca="1">IF(Main[[#This Row],[بدهی تسویه نشده (کیلوگرم)]]&gt;0,'گزارش فردی'!$B$7-Main[[#This Row],[تاريخ میلادی]],0)</f>
        <v>0</v>
      </c>
      <c r="R1847" s="6">
        <f ca="1">IF(Main[[#This Row],[بدهی تسویه نشده (کیلوگرم)]]&gt;0,'گزارش فردی'!$B$7-Main[[#This Row],[تاريخ میلادی]]-'گزارش فردی'!$B$8,0)</f>
        <v>0</v>
      </c>
      <c r="S1847" s="6">
        <f ca="1">Main[[#This Row],[روز از ارسال سفارش]]*Main[[#This Row],[بدهی تسویه نشده (کیلوگرم)]]</f>
        <v>0</v>
      </c>
      <c r="T1847" s="6">
        <f ca="1">Main[[#This Row],[بدهی سررسید شده (کیلوگرم)]]*Main[[#This Row],[روز از ارسال سفارش]]</f>
        <v>0</v>
      </c>
      <c r="U1847" s="6">
        <f>-SUBTOTAL(9,INDEX(Main[مقدار (کیلوگرم)],1):Main[[#This Row],[مقدار (کیلوگرم)]])</f>
        <v>22752</v>
      </c>
      <c r="V184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7" s="6">
        <f>Main[[#This Row],[تعداد کل روزهای بدهکار (روز)]]*Main[[#This Row],[مانده در خط کل (کیلوگرم)]]</f>
        <v>68256</v>
      </c>
      <c r="X1847" s="6">
        <f ca="1">-SUBTOTAL(9,INDEX(Main[مقدار تسویه شده (کیلوگرم)],1):Main[[#This Row],[مقدار تسویه شده (کیلوگرم)]])</f>
        <v>22752</v>
      </c>
      <c r="Y1847" s="6">
        <f ca="1">IF(Main[[#This Row],[مانده در خط تسویه شده (کیلوگرم)]]&lt;&gt;0,Main[[#This Row],[تعداد کل روزهای بدهکار (روز)]],0)</f>
        <v>3</v>
      </c>
      <c r="Z1847" s="6">
        <f ca="1">Main[[#This Row],[تعداد روزهای بدهکار تسویه شده (روز)]]*Main[[#This Row],[مانده در خط تسویه شده (کیلوگرم)]]</f>
        <v>68256</v>
      </c>
      <c r="AA1847" s="6">
        <f ca="1">SUBTOTAL(9,INDEX(Main[بدهی تسویه نشده (کیلوگرم)],1):Main[[#This Row],[بدهی تسویه نشده (کیلوگرم)]])</f>
        <v>0</v>
      </c>
      <c r="AB1847" s="6">
        <f ca="1">IF(Main[[#This Row],[مانده در خط تسویه نشده (کیلوگرم)]]&lt;&gt;0,Main[[#This Row],[تعداد کل روزهای بدهکار (روز)]],0)</f>
        <v>0</v>
      </c>
      <c r="AC1847" s="6">
        <f ca="1">Main[[#This Row],[تعداد روزهای بدهکار  تسویه نشده (روز)]]*Main[[#This Row],[مانده در خط تسویه نشده (کیلوگرم)]]</f>
        <v>0</v>
      </c>
      <c r="AD1847" s="6">
        <f ca="1">SUBTOTAL(9,INDEX(Main[بدهی سررسید شده (کیلوگرم)],1):Main[[#This Row],[بدهی سررسید شده (کیلوگرم)]])</f>
        <v>0</v>
      </c>
      <c r="AE1847" s="6">
        <f ca="1">IF(Main[[#This Row],[مانده در خط سررسید شده (کیلوگرم)]]&lt;&gt;0,Main[[#This Row],[تعداد کل روزهای بدهکار (روز)]],0)</f>
        <v>0</v>
      </c>
      <c r="AF1847" s="6">
        <f ca="1">Main[[#This Row],[تعداد روزهای بدهکار سررسید شده (روز)]]*Main[[#This Row],[مانده در خط سررسید شده (کیلوگرم)]]</f>
        <v>0</v>
      </c>
    </row>
    <row r="1848" spans="1:32" hidden="1" x14ac:dyDescent="0.35">
      <c r="A1848" s="5">
        <f>ROW()-ROW(INDEX(Main[ردیف],1))+1</f>
        <v>1846</v>
      </c>
      <c r="B1848" s="31">
        <f>SUBTOTAL(2,INDEX(Main[ردیف],1):Main[[#This Row],[ردیف]])</f>
        <v>164</v>
      </c>
      <c r="C1848" s="32" t="s">
        <v>729</v>
      </c>
      <c r="D1848" s="32" t="str">
        <f>_xlfn.CONCAT("14",Main[[#This Row],[تاريخ]])</f>
        <v>1400/07/21</v>
      </c>
      <c r="E1848" s="33">
        <v>44482</v>
      </c>
      <c r="F1848" s="32">
        <v>10128</v>
      </c>
      <c r="G1848" s="5" t="str">
        <f>INDEX(customer[عنوان],MATCH(Main[[#This Row],[کد ردیابی]],customer[کد],0))</f>
        <v xml:space="preserve">رویا اصلانی </v>
      </c>
      <c r="H1848">
        <v>58</v>
      </c>
      <c r="I1848" s="6">
        <f ca="1">-Main[[#This Row],[بدهی تسویه شده (کیلوگرم)]]+Main[[#This Row],[بستانکار (کیلوگرم)]]</f>
        <v>58</v>
      </c>
      <c r="J1848" s="6">
        <f>IF(Main[[#This Row],[مقدار (کیلوگرم)]]&gt;0,Main[[#This Row],[مقدار (کیلوگرم)]],0)</f>
        <v>58</v>
      </c>
      <c r="K1848" s="6">
        <f>-IF(Main[[#This Row],[مقدار (کیلوگرم)]]&lt;0,Main[[#This Row],[مقدار (کیلوگرم)]],0)</f>
        <v>0</v>
      </c>
      <c r="L18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8" s="7">
        <f>-IF(AND(Main[[#This Row],[مقدار (کیلوگرم)]]&lt;0,Main[[#This Row],[تاريخ میلادی]]&gt;44276),Main[[#This Row],[مقدار (کیلوگرم)]],0)</f>
        <v>0</v>
      </c>
      <c r="N1848" s="6">
        <f ca="1">Main[[#This Row],[بدهکار (کیلوگرم)]]-Main[[#This Row],[بدهی تسویه نشده (کیلوگرم)]]</f>
        <v>0</v>
      </c>
      <c r="O1848" s="6">
        <f ca="1">Main[[#This Row],[تفکیک]]</f>
        <v>0</v>
      </c>
      <c r="P1848" s="6">
        <f ca="1">IF(Main[[#This Row],[تاخیر از سررسید]]&gt;0,Main[[#This Row],[بدهی تسویه نشده (کیلوگرم)]],0)</f>
        <v>0</v>
      </c>
      <c r="Q1848" s="6">
        <f ca="1">IF(Main[[#This Row],[بدهی تسویه نشده (کیلوگرم)]]&gt;0,'گزارش فردی'!$B$7-Main[[#This Row],[تاريخ میلادی]],0)</f>
        <v>0</v>
      </c>
      <c r="R1848" s="6">
        <f ca="1">IF(Main[[#This Row],[بدهی تسویه نشده (کیلوگرم)]]&gt;0,'گزارش فردی'!$B$7-Main[[#This Row],[تاريخ میلادی]]-'گزارش فردی'!$B$8,0)</f>
        <v>0</v>
      </c>
      <c r="S1848" s="6">
        <f ca="1">Main[[#This Row],[روز از ارسال سفارش]]*Main[[#This Row],[بدهی تسویه نشده (کیلوگرم)]]</f>
        <v>0</v>
      </c>
      <c r="T1848" s="6">
        <f ca="1">Main[[#This Row],[بدهی سررسید شده (کیلوگرم)]]*Main[[#This Row],[روز از ارسال سفارش]]</f>
        <v>0</v>
      </c>
      <c r="U1848" s="6">
        <f>-SUBTOTAL(9,INDEX(Main[مقدار (کیلوگرم)],1):Main[[#This Row],[مقدار (کیلوگرم)]])</f>
        <v>22752</v>
      </c>
      <c r="V184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8" s="6">
        <f>Main[[#This Row],[تعداد کل روزهای بدهکار (روز)]]*Main[[#This Row],[مانده در خط کل (کیلوگرم)]]</f>
        <v>68256</v>
      </c>
      <c r="X1848" s="6">
        <f ca="1">-SUBTOTAL(9,INDEX(Main[مقدار تسویه شده (کیلوگرم)],1):Main[[#This Row],[مقدار تسویه شده (کیلوگرم)]])</f>
        <v>22752</v>
      </c>
      <c r="Y1848" s="6">
        <f ca="1">IF(Main[[#This Row],[مانده در خط تسویه شده (کیلوگرم)]]&lt;&gt;0,Main[[#This Row],[تعداد کل روزهای بدهکار (روز)]],0)</f>
        <v>3</v>
      </c>
      <c r="Z1848" s="6">
        <f ca="1">Main[[#This Row],[تعداد روزهای بدهکار تسویه شده (روز)]]*Main[[#This Row],[مانده در خط تسویه شده (کیلوگرم)]]</f>
        <v>68256</v>
      </c>
      <c r="AA1848" s="6">
        <f ca="1">SUBTOTAL(9,INDEX(Main[بدهی تسویه نشده (کیلوگرم)],1):Main[[#This Row],[بدهی تسویه نشده (کیلوگرم)]])</f>
        <v>0</v>
      </c>
      <c r="AB1848" s="6">
        <f ca="1">IF(Main[[#This Row],[مانده در خط تسویه نشده (کیلوگرم)]]&lt;&gt;0,Main[[#This Row],[تعداد کل روزهای بدهکار (روز)]],0)</f>
        <v>0</v>
      </c>
      <c r="AC1848" s="6">
        <f ca="1">Main[[#This Row],[تعداد روزهای بدهکار  تسویه نشده (روز)]]*Main[[#This Row],[مانده در خط تسویه نشده (کیلوگرم)]]</f>
        <v>0</v>
      </c>
      <c r="AD1848" s="6">
        <f ca="1">SUBTOTAL(9,INDEX(Main[بدهی سررسید شده (کیلوگرم)],1):Main[[#This Row],[بدهی سررسید شده (کیلوگرم)]])</f>
        <v>0</v>
      </c>
      <c r="AE1848" s="6">
        <f ca="1">IF(Main[[#This Row],[مانده در خط سررسید شده (کیلوگرم)]]&lt;&gt;0,Main[[#This Row],[تعداد کل روزهای بدهکار (روز)]],0)</f>
        <v>0</v>
      </c>
      <c r="AF1848" s="6">
        <f ca="1">Main[[#This Row],[تعداد روزهای بدهکار سررسید شده (روز)]]*Main[[#This Row],[مانده در خط سررسید شده (کیلوگرم)]]</f>
        <v>0</v>
      </c>
    </row>
    <row r="1849" spans="1:32" hidden="1" x14ac:dyDescent="0.35">
      <c r="A1849" s="5">
        <f>ROW()-ROW(INDEX(Main[ردیف],1))+1</f>
        <v>1847</v>
      </c>
      <c r="B1849" s="31">
        <f>SUBTOTAL(2,INDEX(Main[ردیف],1):Main[[#This Row],[ردیف]])</f>
        <v>164</v>
      </c>
      <c r="C1849" s="32" t="s">
        <v>729</v>
      </c>
      <c r="D1849" s="32" t="str">
        <f>_xlfn.CONCAT("14",Main[[#This Row],[تاريخ]])</f>
        <v>1400/07/21</v>
      </c>
      <c r="E1849" s="33">
        <v>44482</v>
      </c>
      <c r="F1849" s="32">
        <v>10128</v>
      </c>
      <c r="G1849" s="5" t="str">
        <f>INDEX(customer[عنوان],MATCH(Main[[#This Row],[کد ردیابی]],customer[کد],0))</f>
        <v xml:space="preserve">رویا اصلانی </v>
      </c>
      <c r="H1849">
        <v>110</v>
      </c>
      <c r="I1849" s="6">
        <f ca="1">-Main[[#This Row],[بدهی تسویه شده (کیلوگرم)]]+Main[[#This Row],[بستانکار (کیلوگرم)]]</f>
        <v>110</v>
      </c>
      <c r="J1849" s="6">
        <f>IF(Main[[#This Row],[مقدار (کیلوگرم)]]&gt;0,Main[[#This Row],[مقدار (کیلوگرم)]],0)</f>
        <v>110</v>
      </c>
      <c r="K1849" s="6">
        <f>-IF(Main[[#This Row],[مقدار (کیلوگرم)]]&lt;0,Main[[#This Row],[مقدار (کیلوگرم)]],0)</f>
        <v>0</v>
      </c>
      <c r="L18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9" s="7">
        <f>-IF(AND(Main[[#This Row],[مقدار (کیلوگرم)]]&lt;0,Main[[#This Row],[تاريخ میلادی]]&gt;44276),Main[[#This Row],[مقدار (کیلوگرم)]],0)</f>
        <v>0</v>
      </c>
      <c r="N1849" s="6">
        <f ca="1">Main[[#This Row],[بدهکار (کیلوگرم)]]-Main[[#This Row],[بدهی تسویه نشده (کیلوگرم)]]</f>
        <v>0</v>
      </c>
      <c r="O1849" s="6">
        <f ca="1">Main[[#This Row],[تفکیک]]</f>
        <v>0</v>
      </c>
      <c r="P1849" s="6">
        <f ca="1">IF(Main[[#This Row],[تاخیر از سررسید]]&gt;0,Main[[#This Row],[بدهی تسویه نشده (کیلوگرم)]],0)</f>
        <v>0</v>
      </c>
      <c r="Q1849" s="6">
        <f ca="1">IF(Main[[#This Row],[بدهی تسویه نشده (کیلوگرم)]]&gt;0,'گزارش فردی'!$B$7-Main[[#This Row],[تاريخ میلادی]],0)</f>
        <v>0</v>
      </c>
      <c r="R1849" s="6">
        <f ca="1">IF(Main[[#This Row],[بدهی تسویه نشده (کیلوگرم)]]&gt;0,'گزارش فردی'!$B$7-Main[[#This Row],[تاريخ میلادی]]-'گزارش فردی'!$B$8,0)</f>
        <v>0</v>
      </c>
      <c r="S1849" s="6">
        <f ca="1">Main[[#This Row],[روز از ارسال سفارش]]*Main[[#This Row],[بدهی تسویه نشده (کیلوگرم)]]</f>
        <v>0</v>
      </c>
      <c r="T1849" s="6">
        <f ca="1">Main[[#This Row],[بدهی سررسید شده (کیلوگرم)]]*Main[[#This Row],[روز از ارسال سفارش]]</f>
        <v>0</v>
      </c>
      <c r="U1849" s="6">
        <f>-SUBTOTAL(9,INDEX(Main[مقدار (کیلوگرم)],1):Main[[#This Row],[مقدار (کیلوگرم)]])</f>
        <v>22752</v>
      </c>
      <c r="V184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9" s="6">
        <f>Main[[#This Row],[تعداد کل روزهای بدهکار (روز)]]*Main[[#This Row],[مانده در خط کل (کیلوگرم)]]</f>
        <v>68256</v>
      </c>
      <c r="X1849" s="6">
        <f ca="1">-SUBTOTAL(9,INDEX(Main[مقدار تسویه شده (کیلوگرم)],1):Main[[#This Row],[مقدار تسویه شده (کیلوگرم)]])</f>
        <v>22752</v>
      </c>
      <c r="Y1849" s="6">
        <f ca="1">IF(Main[[#This Row],[مانده در خط تسویه شده (کیلوگرم)]]&lt;&gt;0,Main[[#This Row],[تعداد کل روزهای بدهکار (روز)]],0)</f>
        <v>3</v>
      </c>
      <c r="Z1849" s="6">
        <f ca="1">Main[[#This Row],[تعداد روزهای بدهکار تسویه شده (روز)]]*Main[[#This Row],[مانده در خط تسویه شده (کیلوگرم)]]</f>
        <v>68256</v>
      </c>
      <c r="AA1849" s="6">
        <f ca="1">SUBTOTAL(9,INDEX(Main[بدهی تسویه نشده (کیلوگرم)],1):Main[[#This Row],[بدهی تسویه نشده (کیلوگرم)]])</f>
        <v>0</v>
      </c>
      <c r="AB1849" s="6">
        <f ca="1">IF(Main[[#This Row],[مانده در خط تسویه نشده (کیلوگرم)]]&lt;&gt;0,Main[[#This Row],[تعداد کل روزهای بدهکار (روز)]],0)</f>
        <v>0</v>
      </c>
      <c r="AC1849" s="6">
        <f ca="1">Main[[#This Row],[تعداد روزهای بدهکار  تسویه نشده (روز)]]*Main[[#This Row],[مانده در خط تسویه نشده (کیلوگرم)]]</f>
        <v>0</v>
      </c>
      <c r="AD1849" s="6">
        <f ca="1">SUBTOTAL(9,INDEX(Main[بدهی سررسید شده (کیلوگرم)],1):Main[[#This Row],[بدهی سررسید شده (کیلوگرم)]])</f>
        <v>0</v>
      </c>
      <c r="AE1849" s="6">
        <f ca="1">IF(Main[[#This Row],[مانده در خط سررسید شده (کیلوگرم)]]&lt;&gt;0,Main[[#This Row],[تعداد کل روزهای بدهکار (روز)]],0)</f>
        <v>0</v>
      </c>
      <c r="AF1849" s="6">
        <f ca="1">Main[[#This Row],[تعداد روزهای بدهکار سررسید شده (روز)]]*Main[[#This Row],[مانده در خط سررسید شده (کیلوگرم)]]</f>
        <v>0</v>
      </c>
    </row>
    <row r="1850" spans="1:32" hidden="1" x14ac:dyDescent="0.35">
      <c r="A1850" s="5">
        <f>ROW()-ROW(INDEX(Main[ردیف],1))+1</f>
        <v>1848</v>
      </c>
      <c r="B1850" s="31">
        <f>SUBTOTAL(2,INDEX(Main[ردیف],1):Main[[#This Row],[ردیف]])</f>
        <v>164</v>
      </c>
      <c r="C1850" s="32" t="s">
        <v>730</v>
      </c>
      <c r="D1850" s="32" t="str">
        <f>_xlfn.CONCAT("14",Main[[#This Row],[تاريخ]])</f>
        <v>1400/07/22</v>
      </c>
      <c r="E1850" s="33">
        <v>44483</v>
      </c>
      <c r="F1850" s="32">
        <v>30004</v>
      </c>
      <c r="G1850" s="5" t="str">
        <f>INDEX(customer[عنوان],MATCH(Main[[#This Row],[کد ردیابی]],customer[کد],0))</f>
        <v>تولیدی صنعتی صفاشیر پارس</v>
      </c>
      <c r="H1850">
        <v>-4766</v>
      </c>
      <c r="I1850" s="6">
        <f ca="1">-Main[[#This Row],[بدهی تسویه شده (کیلوگرم)]]+Main[[#This Row],[بستانکار (کیلوگرم)]]</f>
        <v>-4766</v>
      </c>
      <c r="J1850" s="6">
        <f>IF(Main[[#This Row],[مقدار (کیلوگرم)]]&gt;0,Main[[#This Row],[مقدار (کیلوگرم)]],0)</f>
        <v>0</v>
      </c>
      <c r="K1850" s="6">
        <f>-IF(Main[[#This Row],[مقدار (کیلوگرم)]]&lt;0,Main[[#This Row],[مقدار (کیلوگرم)]],0)</f>
        <v>4766</v>
      </c>
      <c r="L18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0" s="7">
        <f>-IF(AND(Main[[#This Row],[مقدار (کیلوگرم)]]&lt;0,Main[[#This Row],[تاريخ میلادی]]&gt;44276),Main[[#This Row],[مقدار (کیلوگرم)]],0)</f>
        <v>4766</v>
      </c>
      <c r="N1850" s="6">
        <f ca="1">Main[[#This Row],[بدهکار (کیلوگرم)]]-Main[[#This Row],[بدهی تسویه نشده (کیلوگرم)]]</f>
        <v>4766</v>
      </c>
      <c r="O1850" s="6">
        <f ca="1">Main[[#This Row],[تفکیک]]</f>
        <v>0</v>
      </c>
      <c r="P1850" s="6">
        <f ca="1">IF(Main[[#This Row],[تاخیر از سررسید]]&gt;0,Main[[#This Row],[بدهی تسویه نشده (کیلوگرم)]],0)</f>
        <v>0</v>
      </c>
      <c r="Q1850" s="6">
        <f ca="1">IF(Main[[#This Row],[بدهی تسویه نشده (کیلوگرم)]]&gt;0,'گزارش فردی'!$B$7-Main[[#This Row],[تاريخ میلادی]],0)</f>
        <v>0</v>
      </c>
      <c r="R1850" s="6">
        <f ca="1">IF(Main[[#This Row],[بدهی تسویه نشده (کیلوگرم)]]&gt;0,'گزارش فردی'!$B$7-Main[[#This Row],[تاريخ میلادی]]-'گزارش فردی'!$B$8,0)</f>
        <v>0</v>
      </c>
      <c r="S1850" s="6">
        <f ca="1">Main[[#This Row],[روز از ارسال سفارش]]*Main[[#This Row],[بدهی تسویه نشده (کیلوگرم)]]</f>
        <v>0</v>
      </c>
      <c r="T1850" s="6">
        <f ca="1">Main[[#This Row],[بدهی سررسید شده (کیلوگرم)]]*Main[[#This Row],[روز از ارسال سفارش]]</f>
        <v>0</v>
      </c>
      <c r="U1850" s="6">
        <f>-SUBTOTAL(9,INDEX(Main[مقدار (کیلوگرم)],1):Main[[#This Row],[مقدار (کیلوگرم)]])</f>
        <v>22752</v>
      </c>
      <c r="V18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0" s="6">
        <f>Main[[#This Row],[تعداد کل روزهای بدهکار (روز)]]*Main[[#This Row],[مانده در خط کل (کیلوگرم)]]</f>
        <v>45504</v>
      </c>
      <c r="X1850" s="6">
        <f ca="1">-SUBTOTAL(9,INDEX(Main[مقدار تسویه شده (کیلوگرم)],1):Main[[#This Row],[مقدار تسویه شده (کیلوگرم)]])</f>
        <v>22752</v>
      </c>
      <c r="Y1850" s="6">
        <f ca="1">IF(Main[[#This Row],[مانده در خط تسویه شده (کیلوگرم)]]&lt;&gt;0,Main[[#This Row],[تعداد کل روزهای بدهکار (روز)]],0)</f>
        <v>2</v>
      </c>
      <c r="Z1850" s="6">
        <f ca="1">Main[[#This Row],[تعداد روزهای بدهکار تسویه شده (روز)]]*Main[[#This Row],[مانده در خط تسویه شده (کیلوگرم)]]</f>
        <v>45504</v>
      </c>
      <c r="AA1850" s="6">
        <f ca="1">SUBTOTAL(9,INDEX(Main[بدهی تسویه نشده (کیلوگرم)],1):Main[[#This Row],[بدهی تسویه نشده (کیلوگرم)]])</f>
        <v>0</v>
      </c>
      <c r="AB1850" s="6">
        <f ca="1">IF(Main[[#This Row],[مانده در خط تسویه نشده (کیلوگرم)]]&lt;&gt;0,Main[[#This Row],[تعداد کل روزهای بدهکار (روز)]],0)</f>
        <v>0</v>
      </c>
      <c r="AC1850" s="6">
        <f ca="1">Main[[#This Row],[تعداد روزهای بدهکار  تسویه نشده (روز)]]*Main[[#This Row],[مانده در خط تسویه نشده (کیلوگرم)]]</f>
        <v>0</v>
      </c>
      <c r="AD1850" s="6">
        <f ca="1">SUBTOTAL(9,INDEX(Main[بدهی سررسید شده (کیلوگرم)],1):Main[[#This Row],[بدهی سررسید شده (کیلوگرم)]])</f>
        <v>0</v>
      </c>
      <c r="AE1850" s="6">
        <f ca="1">IF(Main[[#This Row],[مانده در خط سررسید شده (کیلوگرم)]]&lt;&gt;0,Main[[#This Row],[تعداد کل روزهای بدهکار (روز)]],0)</f>
        <v>0</v>
      </c>
      <c r="AF1850" s="6">
        <f ca="1">Main[[#This Row],[تعداد روزهای بدهکار سررسید شده (روز)]]*Main[[#This Row],[مانده در خط سررسید شده (کیلوگرم)]]</f>
        <v>0</v>
      </c>
    </row>
    <row r="1851" spans="1:32" hidden="1" x14ac:dyDescent="0.35">
      <c r="A1851" s="5">
        <f>ROW()-ROW(INDEX(Main[ردیف],1))+1</f>
        <v>1849</v>
      </c>
      <c r="B1851" s="31">
        <f>SUBTOTAL(2,INDEX(Main[ردیف],1):Main[[#This Row],[ردیف]])</f>
        <v>164</v>
      </c>
      <c r="C1851" s="32" t="s">
        <v>730</v>
      </c>
      <c r="D1851" s="32" t="str">
        <f>_xlfn.CONCAT("14",Main[[#This Row],[تاريخ]])</f>
        <v>1400/07/22</v>
      </c>
      <c r="E1851" s="33">
        <v>44483</v>
      </c>
      <c r="F1851" s="32">
        <v>10018</v>
      </c>
      <c r="G1851" s="5" t="str">
        <f>INDEX(customer[عنوان],MATCH(Main[[#This Row],[کد ردیابی]],customer[کد],0))</f>
        <v xml:space="preserve">کوهی </v>
      </c>
      <c r="H1851">
        <v>122</v>
      </c>
      <c r="I1851" s="6">
        <f ca="1">-Main[[#This Row],[بدهی تسویه شده (کیلوگرم)]]+Main[[#This Row],[بستانکار (کیلوگرم)]]</f>
        <v>122</v>
      </c>
      <c r="J1851" s="6">
        <f>IF(Main[[#This Row],[مقدار (کیلوگرم)]]&gt;0,Main[[#This Row],[مقدار (کیلوگرم)]],0)</f>
        <v>122</v>
      </c>
      <c r="K1851" s="6">
        <f>-IF(Main[[#This Row],[مقدار (کیلوگرم)]]&lt;0,Main[[#This Row],[مقدار (کیلوگرم)]],0)</f>
        <v>0</v>
      </c>
      <c r="L18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1" s="7">
        <f>-IF(AND(Main[[#This Row],[مقدار (کیلوگرم)]]&lt;0,Main[[#This Row],[تاريخ میلادی]]&gt;44276),Main[[#This Row],[مقدار (کیلوگرم)]],0)</f>
        <v>0</v>
      </c>
      <c r="N1851" s="6">
        <f ca="1">Main[[#This Row],[بدهکار (کیلوگرم)]]-Main[[#This Row],[بدهی تسویه نشده (کیلوگرم)]]</f>
        <v>0</v>
      </c>
      <c r="O1851" s="6">
        <f ca="1">Main[[#This Row],[تفکیک]]</f>
        <v>0</v>
      </c>
      <c r="P1851" s="6">
        <f ca="1">IF(Main[[#This Row],[تاخیر از سررسید]]&gt;0,Main[[#This Row],[بدهی تسویه نشده (کیلوگرم)]],0)</f>
        <v>0</v>
      </c>
      <c r="Q1851" s="6">
        <f ca="1">IF(Main[[#This Row],[بدهی تسویه نشده (کیلوگرم)]]&gt;0,'گزارش فردی'!$B$7-Main[[#This Row],[تاريخ میلادی]],0)</f>
        <v>0</v>
      </c>
      <c r="R1851" s="6">
        <f ca="1">IF(Main[[#This Row],[بدهی تسویه نشده (کیلوگرم)]]&gt;0,'گزارش فردی'!$B$7-Main[[#This Row],[تاريخ میلادی]]-'گزارش فردی'!$B$8,0)</f>
        <v>0</v>
      </c>
      <c r="S1851" s="6">
        <f ca="1">Main[[#This Row],[روز از ارسال سفارش]]*Main[[#This Row],[بدهی تسویه نشده (کیلوگرم)]]</f>
        <v>0</v>
      </c>
      <c r="T1851" s="6">
        <f ca="1">Main[[#This Row],[بدهی سررسید شده (کیلوگرم)]]*Main[[#This Row],[روز از ارسال سفارش]]</f>
        <v>0</v>
      </c>
      <c r="U1851" s="6">
        <f>-SUBTOTAL(9,INDEX(Main[مقدار (کیلوگرم)],1):Main[[#This Row],[مقدار (کیلوگرم)]])</f>
        <v>22752</v>
      </c>
      <c r="V185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1" s="6">
        <f>Main[[#This Row],[تعداد کل روزهای بدهکار (روز)]]*Main[[#This Row],[مانده در خط کل (کیلوگرم)]]</f>
        <v>45504</v>
      </c>
      <c r="X1851" s="6">
        <f ca="1">-SUBTOTAL(9,INDEX(Main[مقدار تسویه شده (کیلوگرم)],1):Main[[#This Row],[مقدار تسویه شده (کیلوگرم)]])</f>
        <v>22752</v>
      </c>
      <c r="Y1851" s="6">
        <f ca="1">IF(Main[[#This Row],[مانده در خط تسویه شده (کیلوگرم)]]&lt;&gt;0,Main[[#This Row],[تعداد کل روزهای بدهکار (روز)]],0)</f>
        <v>2</v>
      </c>
      <c r="Z1851" s="6">
        <f ca="1">Main[[#This Row],[تعداد روزهای بدهکار تسویه شده (روز)]]*Main[[#This Row],[مانده در خط تسویه شده (کیلوگرم)]]</f>
        <v>45504</v>
      </c>
      <c r="AA1851" s="6">
        <f ca="1">SUBTOTAL(9,INDEX(Main[بدهی تسویه نشده (کیلوگرم)],1):Main[[#This Row],[بدهی تسویه نشده (کیلوگرم)]])</f>
        <v>0</v>
      </c>
      <c r="AB1851" s="6">
        <f ca="1">IF(Main[[#This Row],[مانده در خط تسویه نشده (کیلوگرم)]]&lt;&gt;0,Main[[#This Row],[تعداد کل روزهای بدهکار (روز)]],0)</f>
        <v>0</v>
      </c>
      <c r="AC1851" s="6">
        <f ca="1">Main[[#This Row],[تعداد روزهای بدهکار  تسویه نشده (روز)]]*Main[[#This Row],[مانده در خط تسویه نشده (کیلوگرم)]]</f>
        <v>0</v>
      </c>
      <c r="AD1851" s="6">
        <f ca="1">SUBTOTAL(9,INDEX(Main[بدهی سررسید شده (کیلوگرم)],1):Main[[#This Row],[بدهی سررسید شده (کیلوگرم)]])</f>
        <v>0</v>
      </c>
      <c r="AE1851" s="6">
        <f ca="1">IF(Main[[#This Row],[مانده در خط سررسید شده (کیلوگرم)]]&lt;&gt;0,Main[[#This Row],[تعداد کل روزهای بدهکار (روز)]],0)</f>
        <v>0</v>
      </c>
      <c r="AF1851" s="6">
        <f ca="1">Main[[#This Row],[تعداد روزهای بدهکار سررسید شده (روز)]]*Main[[#This Row],[مانده در خط سررسید شده (کیلوگرم)]]</f>
        <v>0</v>
      </c>
    </row>
    <row r="1852" spans="1:32" hidden="1" x14ac:dyDescent="0.35">
      <c r="A1852" s="5">
        <f>ROW()-ROW(INDEX(Main[ردیف],1))+1</f>
        <v>1850</v>
      </c>
      <c r="B1852" s="31">
        <f>SUBTOTAL(2,INDEX(Main[ردیف],1):Main[[#This Row],[ردیف]])</f>
        <v>164</v>
      </c>
      <c r="C1852" s="32" t="s">
        <v>730</v>
      </c>
      <c r="D1852" s="32" t="str">
        <f>_xlfn.CONCAT("14",Main[[#This Row],[تاريخ]])</f>
        <v>1400/07/22</v>
      </c>
      <c r="E1852" s="33">
        <v>44483</v>
      </c>
      <c r="F1852" s="32">
        <v>30127</v>
      </c>
      <c r="G1852" s="5" t="str">
        <f>INDEX(customer[عنوان],MATCH(Main[[#This Row],[کد ردیابی]],customer[کد],0))</f>
        <v>شیر گاز آذران</v>
      </c>
      <c r="H1852">
        <v>-16631</v>
      </c>
      <c r="I1852" s="6">
        <f ca="1">-Main[[#This Row],[بدهی تسویه شده (کیلوگرم)]]+Main[[#This Row],[بستانکار (کیلوگرم)]]</f>
        <v>-16631</v>
      </c>
      <c r="J1852" s="6">
        <f>IF(Main[[#This Row],[مقدار (کیلوگرم)]]&gt;0,Main[[#This Row],[مقدار (کیلوگرم)]],0)</f>
        <v>0</v>
      </c>
      <c r="K1852" s="6">
        <f>-IF(Main[[#This Row],[مقدار (کیلوگرم)]]&lt;0,Main[[#This Row],[مقدار (کیلوگرم)]],0)</f>
        <v>16631</v>
      </c>
      <c r="L18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2" s="7">
        <f>-IF(AND(Main[[#This Row],[مقدار (کیلوگرم)]]&lt;0,Main[[#This Row],[تاريخ میلادی]]&gt;44276),Main[[#This Row],[مقدار (کیلوگرم)]],0)</f>
        <v>16631</v>
      </c>
      <c r="N1852" s="6">
        <f ca="1">Main[[#This Row],[بدهکار (کیلوگرم)]]-Main[[#This Row],[بدهی تسویه نشده (کیلوگرم)]]</f>
        <v>16631</v>
      </c>
      <c r="O1852" s="6">
        <f ca="1">Main[[#This Row],[تفکیک]]</f>
        <v>0</v>
      </c>
      <c r="P1852" s="6">
        <f ca="1">IF(Main[[#This Row],[تاخیر از سررسید]]&gt;0,Main[[#This Row],[بدهی تسویه نشده (کیلوگرم)]],0)</f>
        <v>0</v>
      </c>
      <c r="Q1852" s="6">
        <f ca="1">IF(Main[[#This Row],[بدهی تسویه نشده (کیلوگرم)]]&gt;0,'گزارش فردی'!$B$7-Main[[#This Row],[تاريخ میلادی]],0)</f>
        <v>0</v>
      </c>
      <c r="R1852" s="6">
        <f ca="1">IF(Main[[#This Row],[بدهی تسویه نشده (کیلوگرم)]]&gt;0,'گزارش فردی'!$B$7-Main[[#This Row],[تاريخ میلادی]]-'گزارش فردی'!$B$8,0)</f>
        <v>0</v>
      </c>
      <c r="S1852" s="6">
        <f ca="1">Main[[#This Row],[روز از ارسال سفارش]]*Main[[#This Row],[بدهی تسویه نشده (کیلوگرم)]]</f>
        <v>0</v>
      </c>
      <c r="T1852" s="6">
        <f ca="1">Main[[#This Row],[بدهی سررسید شده (کیلوگرم)]]*Main[[#This Row],[روز از ارسال سفارش]]</f>
        <v>0</v>
      </c>
      <c r="U1852" s="6">
        <f>-SUBTOTAL(9,INDEX(Main[مقدار (کیلوگرم)],1):Main[[#This Row],[مقدار (کیلوگرم)]])</f>
        <v>22752</v>
      </c>
      <c r="V18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2" s="6">
        <f>Main[[#This Row],[تعداد کل روزهای بدهکار (روز)]]*Main[[#This Row],[مانده در خط کل (کیلوگرم)]]</f>
        <v>45504</v>
      </c>
      <c r="X1852" s="6">
        <f ca="1">-SUBTOTAL(9,INDEX(Main[مقدار تسویه شده (کیلوگرم)],1):Main[[#This Row],[مقدار تسویه شده (کیلوگرم)]])</f>
        <v>22752</v>
      </c>
      <c r="Y1852" s="6">
        <f ca="1">IF(Main[[#This Row],[مانده در خط تسویه شده (کیلوگرم)]]&lt;&gt;0,Main[[#This Row],[تعداد کل روزهای بدهکار (روز)]],0)</f>
        <v>2</v>
      </c>
      <c r="Z1852" s="6">
        <f ca="1">Main[[#This Row],[تعداد روزهای بدهکار تسویه شده (روز)]]*Main[[#This Row],[مانده در خط تسویه شده (کیلوگرم)]]</f>
        <v>45504</v>
      </c>
      <c r="AA1852" s="6">
        <f ca="1">SUBTOTAL(9,INDEX(Main[بدهی تسویه نشده (کیلوگرم)],1):Main[[#This Row],[بدهی تسویه نشده (کیلوگرم)]])</f>
        <v>0</v>
      </c>
      <c r="AB1852" s="6">
        <f ca="1">IF(Main[[#This Row],[مانده در خط تسویه نشده (کیلوگرم)]]&lt;&gt;0,Main[[#This Row],[تعداد کل روزهای بدهکار (روز)]],0)</f>
        <v>0</v>
      </c>
      <c r="AC1852" s="6">
        <f ca="1">Main[[#This Row],[تعداد روزهای بدهکار  تسویه نشده (روز)]]*Main[[#This Row],[مانده در خط تسویه نشده (کیلوگرم)]]</f>
        <v>0</v>
      </c>
      <c r="AD1852" s="6">
        <f ca="1">SUBTOTAL(9,INDEX(Main[بدهی سررسید شده (کیلوگرم)],1):Main[[#This Row],[بدهی سررسید شده (کیلوگرم)]])</f>
        <v>0</v>
      </c>
      <c r="AE1852" s="6">
        <f ca="1">IF(Main[[#This Row],[مانده در خط سررسید شده (کیلوگرم)]]&lt;&gt;0,Main[[#This Row],[تعداد کل روزهای بدهکار (روز)]],0)</f>
        <v>0</v>
      </c>
      <c r="AF1852" s="6">
        <f ca="1">Main[[#This Row],[تعداد روزهای بدهکار سررسید شده (روز)]]*Main[[#This Row],[مانده در خط سررسید شده (کیلوگرم)]]</f>
        <v>0</v>
      </c>
    </row>
    <row r="1853" spans="1:32" hidden="1" x14ac:dyDescent="0.35">
      <c r="A1853" s="5">
        <f>ROW()-ROW(INDEX(Main[ردیف],1))+1</f>
        <v>1851</v>
      </c>
      <c r="B1853" s="31">
        <f>SUBTOTAL(2,INDEX(Main[ردیف],1):Main[[#This Row],[ردیف]])</f>
        <v>164</v>
      </c>
      <c r="C1853" s="32" t="s">
        <v>730</v>
      </c>
      <c r="D1853" s="32" t="str">
        <f>_xlfn.CONCAT("14",Main[[#This Row],[تاريخ]])</f>
        <v>1400/07/22</v>
      </c>
      <c r="E1853" s="33">
        <v>44483</v>
      </c>
      <c r="F1853" s="32">
        <v>30004</v>
      </c>
      <c r="G1853" s="5" t="str">
        <f>INDEX(customer[عنوان],MATCH(Main[[#This Row],[کد ردیابی]],customer[کد],0))</f>
        <v>تولیدی صنعتی صفاشیر پارس</v>
      </c>
      <c r="H1853">
        <v>3281</v>
      </c>
      <c r="I1853" s="6">
        <f ca="1">-Main[[#This Row],[بدهی تسویه شده (کیلوگرم)]]+Main[[#This Row],[بستانکار (کیلوگرم)]]</f>
        <v>3281</v>
      </c>
      <c r="J1853" s="6">
        <f>IF(Main[[#This Row],[مقدار (کیلوگرم)]]&gt;0,Main[[#This Row],[مقدار (کیلوگرم)]],0)</f>
        <v>3281</v>
      </c>
      <c r="K1853" s="6">
        <f>-IF(Main[[#This Row],[مقدار (کیلوگرم)]]&lt;0,Main[[#This Row],[مقدار (کیلوگرم)]],0)</f>
        <v>0</v>
      </c>
      <c r="L18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3" s="7">
        <f>-IF(AND(Main[[#This Row],[مقدار (کیلوگرم)]]&lt;0,Main[[#This Row],[تاريخ میلادی]]&gt;44276),Main[[#This Row],[مقدار (کیلوگرم)]],0)</f>
        <v>0</v>
      </c>
      <c r="N1853" s="6">
        <f ca="1">Main[[#This Row],[بدهکار (کیلوگرم)]]-Main[[#This Row],[بدهی تسویه نشده (کیلوگرم)]]</f>
        <v>0</v>
      </c>
      <c r="O1853" s="6">
        <f ca="1">Main[[#This Row],[تفکیک]]</f>
        <v>0</v>
      </c>
      <c r="P1853" s="6">
        <f ca="1">IF(Main[[#This Row],[تاخیر از سررسید]]&gt;0,Main[[#This Row],[بدهی تسویه نشده (کیلوگرم)]],0)</f>
        <v>0</v>
      </c>
      <c r="Q1853" s="6">
        <f ca="1">IF(Main[[#This Row],[بدهی تسویه نشده (کیلوگرم)]]&gt;0,'گزارش فردی'!$B$7-Main[[#This Row],[تاريخ میلادی]],0)</f>
        <v>0</v>
      </c>
      <c r="R1853" s="6">
        <f ca="1">IF(Main[[#This Row],[بدهی تسویه نشده (کیلوگرم)]]&gt;0,'گزارش فردی'!$B$7-Main[[#This Row],[تاريخ میلادی]]-'گزارش فردی'!$B$8,0)</f>
        <v>0</v>
      </c>
      <c r="S1853" s="6">
        <f ca="1">Main[[#This Row],[روز از ارسال سفارش]]*Main[[#This Row],[بدهی تسویه نشده (کیلوگرم)]]</f>
        <v>0</v>
      </c>
      <c r="T1853" s="6">
        <f ca="1">Main[[#This Row],[بدهی سررسید شده (کیلوگرم)]]*Main[[#This Row],[روز از ارسال سفارش]]</f>
        <v>0</v>
      </c>
      <c r="U1853" s="6">
        <f>-SUBTOTAL(9,INDEX(Main[مقدار (کیلوگرم)],1):Main[[#This Row],[مقدار (کیلوگرم)]])</f>
        <v>22752</v>
      </c>
      <c r="V18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3" s="6">
        <f>Main[[#This Row],[تعداد کل روزهای بدهکار (روز)]]*Main[[#This Row],[مانده در خط کل (کیلوگرم)]]</f>
        <v>45504</v>
      </c>
      <c r="X1853" s="6">
        <f ca="1">-SUBTOTAL(9,INDEX(Main[مقدار تسویه شده (کیلوگرم)],1):Main[[#This Row],[مقدار تسویه شده (کیلوگرم)]])</f>
        <v>22752</v>
      </c>
      <c r="Y1853" s="6">
        <f ca="1">IF(Main[[#This Row],[مانده در خط تسویه شده (کیلوگرم)]]&lt;&gt;0,Main[[#This Row],[تعداد کل روزهای بدهکار (روز)]],0)</f>
        <v>2</v>
      </c>
      <c r="Z1853" s="6">
        <f ca="1">Main[[#This Row],[تعداد روزهای بدهکار تسویه شده (روز)]]*Main[[#This Row],[مانده در خط تسویه شده (کیلوگرم)]]</f>
        <v>45504</v>
      </c>
      <c r="AA1853" s="6">
        <f ca="1">SUBTOTAL(9,INDEX(Main[بدهی تسویه نشده (کیلوگرم)],1):Main[[#This Row],[بدهی تسویه نشده (کیلوگرم)]])</f>
        <v>0</v>
      </c>
      <c r="AB1853" s="6">
        <f ca="1">IF(Main[[#This Row],[مانده در خط تسویه نشده (کیلوگرم)]]&lt;&gt;0,Main[[#This Row],[تعداد کل روزهای بدهکار (روز)]],0)</f>
        <v>0</v>
      </c>
      <c r="AC1853" s="6">
        <f ca="1">Main[[#This Row],[تعداد روزهای بدهکار  تسویه نشده (روز)]]*Main[[#This Row],[مانده در خط تسویه نشده (کیلوگرم)]]</f>
        <v>0</v>
      </c>
      <c r="AD1853" s="6">
        <f ca="1">SUBTOTAL(9,INDEX(Main[بدهی سررسید شده (کیلوگرم)],1):Main[[#This Row],[بدهی سررسید شده (کیلوگرم)]])</f>
        <v>0</v>
      </c>
      <c r="AE1853" s="6">
        <f ca="1">IF(Main[[#This Row],[مانده در خط سررسید شده (کیلوگرم)]]&lt;&gt;0,Main[[#This Row],[تعداد کل روزهای بدهکار (روز)]],0)</f>
        <v>0</v>
      </c>
      <c r="AF1853" s="6">
        <f ca="1">Main[[#This Row],[تعداد روزهای بدهکار سررسید شده (روز)]]*Main[[#This Row],[مانده در خط سررسید شده (کیلوگرم)]]</f>
        <v>0</v>
      </c>
    </row>
    <row r="1854" spans="1:32" hidden="1" x14ac:dyDescent="0.35">
      <c r="A1854" s="5">
        <f>ROW()-ROW(INDEX(Main[ردیف],1))+1</f>
        <v>1852</v>
      </c>
      <c r="B1854" s="31">
        <f>SUBTOTAL(2,INDEX(Main[ردیف],1):Main[[#This Row],[ردیف]])</f>
        <v>164</v>
      </c>
      <c r="C1854" s="32" t="s">
        <v>730</v>
      </c>
      <c r="D1854" s="32" t="str">
        <f>_xlfn.CONCAT("14",Main[[#This Row],[تاريخ]])</f>
        <v>1400/07/22</v>
      </c>
      <c r="E1854" s="33">
        <v>44483</v>
      </c>
      <c r="F1854" s="32">
        <v>10018</v>
      </c>
      <c r="G1854" s="5" t="str">
        <f>INDEX(customer[عنوان],MATCH(Main[[#This Row],[کد ردیابی]],customer[کد],0))</f>
        <v xml:space="preserve">کوهی </v>
      </c>
      <c r="H1854">
        <v>-494</v>
      </c>
      <c r="I1854" s="6">
        <f ca="1">-Main[[#This Row],[بدهی تسویه شده (کیلوگرم)]]+Main[[#This Row],[بستانکار (کیلوگرم)]]</f>
        <v>-494</v>
      </c>
      <c r="J1854" s="6">
        <f>IF(Main[[#This Row],[مقدار (کیلوگرم)]]&gt;0,Main[[#This Row],[مقدار (کیلوگرم)]],0)</f>
        <v>0</v>
      </c>
      <c r="K1854" s="6">
        <f>-IF(Main[[#This Row],[مقدار (کیلوگرم)]]&lt;0,Main[[#This Row],[مقدار (کیلوگرم)]],0)</f>
        <v>494</v>
      </c>
      <c r="L18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4" s="7">
        <f>-IF(AND(Main[[#This Row],[مقدار (کیلوگرم)]]&lt;0,Main[[#This Row],[تاريخ میلادی]]&gt;44276),Main[[#This Row],[مقدار (کیلوگرم)]],0)</f>
        <v>494</v>
      </c>
      <c r="N1854" s="6">
        <f ca="1">Main[[#This Row],[بدهکار (کیلوگرم)]]-Main[[#This Row],[بدهی تسویه نشده (کیلوگرم)]]</f>
        <v>494</v>
      </c>
      <c r="O1854" s="6">
        <f ca="1">Main[[#This Row],[تفکیک]]</f>
        <v>0</v>
      </c>
      <c r="P1854" s="6">
        <f ca="1">IF(Main[[#This Row],[تاخیر از سررسید]]&gt;0,Main[[#This Row],[بدهی تسویه نشده (کیلوگرم)]],0)</f>
        <v>0</v>
      </c>
      <c r="Q1854" s="6">
        <f ca="1">IF(Main[[#This Row],[بدهی تسویه نشده (کیلوگرم)]]&gt;0,'گزارش فردی'!$B$7-Main[[#This Row],[تاريخ میلادی]],0)</f>
        <v>0</v>
      </c>
      <c r="R1854" s="6">
        <f ca="1">IF(Main[[#This Row],[بدهی تسویه نشده (کیلوگرم)]]&gt;0,'گزارش فردی'!$B$7-Main[[#This Row],[تاريخ میلادی]]-'گزارش فردی'!$B$8,0)</f>
        <v>0</v>
      </c>
      <c r="S1854" s="6">
        <f ca="1">Main[[#This Row],[روز از ارسال سفارش]]*Main[[#This Row],[بدهی تسویه نشده (کیلوگرم)]]</f>
        <v>0</v>
      </c>
      <c r="T1854" s="6">
        <f ca="1">Main[[#This Row],[بدهی سررسید شده (کیلوگرم)]]*Main[[#This Row],[روز از ارسال سفارش]]</f>
        <v>0</v>
      </c>
      <c r="U1854" s="6">
        <f>-SUBTOTAL(9,INDEX(Main[مقدار (کیلوگرم)],1):Main[[#This Row],[مقدار (کیلوگرم)]])</f>
        <v>22752</v>
      </c>
      <c r="V185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4" s="6">
        <f>Main[[#This Row],[تعداد کل روزهای بدهکار (روز)]]*Main[[#This Row],[مانده در خط کل (کیلوگرم)]]</f>
        <v>45504</v>
      </c>
      <c r="X1854" s="6">
        <f ca="1">-SUBTOTAL(9,INDEX(Main[مقدار تسویه شده (کیلوگرم)],1):Main[[#This Row],[مقدار تسویه شده (کیلوگرم)]])</f>
        <v>22752</v>
      </c>
      <c r="Y1854" s="6">
        <f ca="1">IF(Main[[#This Row],[مانده در خط تسویه شده (کیلوگرم)]]&lt;&gt;0,Main[[#This Row],[تعداد کل روزهای بدهکار (روز)]],0)</f>
        <v>2</v>
      </c>
      <c r="Z1854" s="6">
        <f ca="1">Main[[#This Row],[تعداد روزهای بدهکار تسویه شده (روز)]]*Main[[#This Row],[مانده در خط تسویه شده (کیلوگرم)]]</f>
        <v>45504</v>
      </c>
      <c r="AA1854" s="6">
        <f ca="1">SUBTOTAL(9,INDEX(Main[بدهی تسویه نشده (کیلوگرم)],1):Main[[#This Row],[بدهی تسویه نشده (کیلوگرم)]])</f>
        <v>0</v>
      </c>
      <c r="AB1854" s="6">
        <f ca="1">IF(Main[[#This Row],[مانده در خط تسویه نشده (کیلوگرم)]]&lt;&gt;0,Main[[#This Row],[تعداد کل روزهای بدهکار (روز)]],0)</f>
        <v>0</v>
      </c>
      <c r="AC1854" s="6">
        <f ca="1">Main[[#This Row],[تعداد روزهای بدهکار  تسویه نشده (روز)]]*Main[[#This Row],[مانده در خط تسویه نشده (کیلوگرم)]]</f>
        <v>0</v>
      </c>
      <c r="AD1854" s="6">
        <f ca="1">SUBTOTAL(9,INDEX(Main[بدهی سررسید شده (کیلوگرم)],1):Main[[#This Row],[بدهی سررسید شده (کیلوگرم)]])</f>
        <v>0</v>
      </c>
      <c r="AE1854" s="6">
        <f ca="1">IF(Main[[#This Row],[مانده در خط سررسید شده (کیلوگرم)]]&lt;&gt;0,Main[[#This Row],[تعداد کل روزهای بدهکار (روز)]],0)</f>
        <v>0</v>
      </c>
      <c r="AF1854" s="6">
        <f ca="1">Main[[#This Row],[تعداد روزهای بدهکار سررسید شده (روز)]]*Main[[#This Row],[مانده در خط سررسید شده (کیلوگرم)]]</f>
        <v>0</v>
      </c>
    </row>
    <row r="1855" spans="1:32" hidden="1" x14ac:dyDescent="0.35">
      <c r="A1855" s="5">
        <f>ROW()-ROW(INDEX(Main[ردیف],1))+1</f>
        <v>1853</v>
      </c>
      <c r="B1855" s="31">
        <f>SUBTOTAL(2,INDEX(Main[ردیف],1):Main[[#This Row],[ردیف]])</f>
        <v>164</v>
      </c>
      <c r="C1855" s="32" t="s">
        <v>730</v>
      </c>
      <c r="D1855" s="32" t="str">
        <f>_xlfn.CONCAT("14",Main[[#This Row],[تاريخ]])</f>
        <v>1400/07/22</v>
      </c>
      <c r="E1855" s="33">
        <v>44483</v>
      </c>
      <c r="F1855" s="32">
        <v>30127</v>
      </c>
      <c r="G1855" s="5" t="str">
        <f>INDEX(customer[عنوان],MATCH(Main[[#This Row],[کد ردیابی]],customer[کد],0))</f>
        <v>شیر گاز آذران</v>
      </c>
      <c r="H1855">
        <v>15644</v>
      </c>
      <c r="I1855" s="6">
        <f ca="1">-Main[[#This Row],[بدهی تسویه شده (کیلوگرم)]]+Main[[#This Row],[بستانکار (کیلوگرم)]]</f>
        <v>15644</v>
      </c>
      <c r="J1855" s="6">
        <f>IF(Main[[#This Row],[مقدار (کیلوگرم)]]&gt;0,Main[[#This Row],[مقدار (کیلوگرم)]],0)</f>
        <v>15644</v>
      </c>
      <c r="K1855" s="6">
        <f>-IF(Main[[#This Row],[مقدار (کیلوگرم)]]&lt;0,Main[[#This Row],[مقدار (کیلوگرم)]],0)</f>
        <v>0</v>
      </c>
      <c r="L18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5" s="7">
        <f>-IF(AND(Main[[#This Row],[مقدار (کیلوگرم)]]&lt;0,Main[[#This Row],[تاريخ میلادی]]&gt;44276),Main[[#This Row],[مقدار (کیلوگرم)]],0)</f>
        <v>0</v>
      </c>
      <c r="N1855" s="6">
        <f ca="1">Main[[#This Row],[بدهکار (کیلوگرم)]]-Main[[#This Row],[بدهی تسویه نشده (کیلوگرم)]]</f>
        <v>0</v>
      </c>
      <c r="O1855" s="6">
        <f ca="1">Main[[#This Row],[تفکیک]]</f>
        <v>0</v>
      </c>
      <c r="P1855" s="6">
        <f ca="1">IF(Main[[#This Row],[تاخیر از سررسید]]&gt;0,Main[[#This Row],[بدهی تسویه نشده (کیلوگرم)]],0)</f>
        <v>0</v>
      </c>
      <c r="Q1855" s="6">
        <f ca="1">IF(Main[[#This Row],[بدهی تسویه نشده (کیلوگرم)]]&gt;0,'گزارش فردی'!$B$7-Main[[#This Row],[تاريخ میلادی]],0)</f>
        <v>0</v>
      </c>
      <c r="R1855" s="6">
        <f ca="1">IF(Main[[#This Row],[بدهی تسویه نشده (کیلوگرم)]]&gt;0,'گزارش فردی'!$B$7-Main[[#This Row],[تاريخ میلادی]]-'گزارش فردی'!$B$8,0)</f>
        <v>0</v>
      </c>
      <c r="S1855" s="6">
        <f ca="1">Main[[#This Row],[روز از ارسال سفارش]]*Main[[#This Row],[بدهی تسویه نشده (کیلوگرم)]]</f>
        <v>0</v>
      </c>
      <c r="T1855" s="6">
        <f ca="1">Main[[#This Row],[بدهی سررسید شده (کیلوگرم)]]*Main[[#This Row],[روز از ارسال سفارش]]</f>
        <v>0</v>
      </c>
      <c r="U1855" s="6">
        <f>-SUBTOTAL(9,INDEX(Main[مقدار (کیلوگرم)],1):Main[[#This Row],[مقدار (کیلوگرم)]])</f>
        <v>22752</v>
      </c>
      <c r="V185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5" s="6">
        <f>Main[[#This Row],[تعداد کل روزهای بدهکار (روز)]]*Main[[#This Row],[مانده در خط کل (کیلوگرم)]]</f>
        <v>45504</v>
      </c>
      <c r="X1855" s="6">
        <f ca="1">-SUBTOTAL(9,INDEX(Main[مقدار تسویه شده (کیلوگرم)],1):Main[[#This Row],[مقدار تسویه شده (کیلوگرم)]])</f>
        <v>22752</v>
      </c>
      <c r="Y1855" s="6">
        <f ca="1">IF(Main[[#This Row],[مانده در خط تسویه شده (کیلوگرم)]]&lt;&gt;0,Main[[#This Row],[تعداد کل روزهای بدهکار (روز)]],0)</f>
        <v>2</v>
      </c>
      <c r="Z1855" s="6">
        <f ca="1">Main[[#This Row],[تعداد روزهای بدهکار تسویه شده (روز)]]*Main[[#This Row],[مانده در خط تسویه شده (کیلوگرم)]]</f>
        <v>45504</v>
      </c>
      <c r="AA1855" s="6">
        <f ca="1">SUBTOTAL(9,INDEX(Main[بدهی تسویه نشده (کیلوگرم)],1):Main[[#This Row],[بدهی تسویه نشده (کیلوگرم)]])</f>
        <v>0</v>
      </c>
      <c r="AB1855" s="6">
        <f ca="1">IF(Main[[#This Row],[مانده در خط تسویه نشده (کیلوگرم)]]&lt;&gt;0,Main[[#This Row],[تعداد کل روزهای بدهکار (روز)]],0)</f>
        <v>0</v>
      </c>
      <c r="AC1855" s="6">
        <f ca="1">Main[[#This Row],[تعداد روزهای بدهکار  تسویه نشده (روز)]]*Main[[#This Row],[مانده در خط تسویه نشده (کیلوگرم)]]</f>
        <v>0</v>
      </c>
      <c r="AD1855" s="6">
        <f ca="1">SUBTOTAL(9,INDEX(Main[بدهی سررسید شده (کیلوگرم)],1):Main[[#This Row],[بدهی سررسید شده (کیلوگرم)]])</f>
        <v>0</v>
      </c>
      <c r="AE1855" s="6">
        <f ca="1">IF(Main[[#This Row],[مانده در خط سررسید شده (کیلوگرم)]]&lt;&gt;0,Main[[#This Row],[تعداد کل روزهای بدهکار (روز)]],0)</f>
        <v>0</v>
      </c>
      <c r="AF1855" s="6">
        <f ca="1">Main[[#This Row],[تعداد روزهای بدهکار سررسید شده (روز)]]*Main[[#This Row],[مانده در خط سررسید شده (کیلوگرم)]]</f>
        <v>0</v>
      </c>
    </row>
    <row r="1856" spans="1:32" hidden="1" x14ac:dyDescent="0.35">
      <c r="A1856" s="5">
        <f>ROW()-ROW(INDEX(Main[ردیف],1))+1</f>
        <v>1854</v>
      </c>
      <c r="B1856" s="31">
        <f>SUBTOTAL(2,INDEX(Main[ردیف],1):Main[[#This Row],[ردیف]])</f>
        <v>164</v>
      </c>
      <c r="C1856" s="32" t="s">
        <v>730</v>
      </c>
      <c r="D1856" s="32" t="str">
        <f>_xlfn.CONCAT("14",Main[[#This Row],[تاريخ]])</f>
        <v>1400/07/22</v>
      </c>
      <c r="E1856" s="33">
        <v>44483</v>
      </c>
      <c r="F1856" s="32">
        <v>30191</v>
      </c>
      <c r="G1856" s="5" t="str">
        <f>INDEX(customer[عنوان],MATCH(Main[[#This Row],[کد ردیابی]],customer[کد],0))</f>
        <v>ایران گرما</v>
      </c>
      <c r="H1856">
        <v>1095</v>
      </c>
      <c r="I1856" s="6">
        <f ca="1">-Main[[#This Row],[بدهی تسویه شده (کیلوگرم)]]+Main[[#This Row],[بستانکار (کیلوگرم)]]</f>
        <v>1095</v>
      </c>
      <c r="J1856" s="6">
        <f>IF(Main[[#This Row],[مقدار (کیلوگرم)]]&gt;0,Main[[#This Row],[مقدار (کیلوگرم)]],0)</f>
        <v>1095</v>
      </c>
      <c r="K1856" s="6">
        <f>-IF(Main[[#This Row],[مقدار (کیلوگرم)]]&lt;0,Main[[#This Row],[مقدار (کیلوگرم)]],0)</f>
        <v>0</v>
      </c>
      <c r="L18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6" s="7">
        <f>-IF(AND(Main[[#This Row],[مقدار (کیلوگرم)]]&lt;0,Main[[#This Row],[تاريخ میلادی]]&gt;44276),Main[[#This Row],[مقدار (کیلوگرم)]],0)</f>
        <v>0</v>
      </c>
      <c r="N1856" s="6">
        <f ca="1">Main[[#This Row],[بدهکار (کیلوگرم)]]-Main[[#This Row],[بدهی تسویه نشده (کیلوگرم)]]</f>
        <v>0</v>
      </c>
      <c r="O1856" s="6">
        <f ca="1">Main[[#This Row],[تفکیک]]</f>
        <v>0</v>
      </c>
      <c r="P1856" s="6">
        <f ca="1">IF(Main[[#This Row],[تاخیر از سررسید]]&gt;0,Main[[#This Row],[بدهی تسویه نشده (کیلوگرم)]],0)</f>
        <v>0</v>
      </c>
      <c r="Q1856" s="6">
        <f ca="1">IF(Main[[#This Row],[بدهی تسویه نشده (کیلوگرم)]]&gt;0,'گزارش فردی'!$B$7-Main[[#This Row],[تاريخ میلادی]],0)</f>
        <v>0</v>
      </c>
      <c r="R1856" s="6">
        <f ca="1">IF(Main[[#This Row],[بدهی تسویه نشده (کیلوگرم)]]&gt;0,'گزارش فردی'!$B$7-Main[[#This Row],[تاريخ میلادی]]-'گزارش فردی'!$B$8,0)</f>
        <v>0</v>
      </c>
      <c r="S1856" s="6">
        <f ca="1">Main[[#This Row],[روز از ارسال سفارش]]*Main[[#This Row],[بدهی تسویه نشده (کیلوگرم)]]</f>
        <v>0</v>
      </c>
      <c r="T1856" s="6">
        <f ca="1">Main[[#This Row],[بدهی سررسید شده (کیلوگرم)]]*Main[[#This Row],[روز از ارسال سفارش]]</f>
        <v>0</v>
      </c>
      <c r="U1856" s="6">
        <f>-SUBTOTAL(9,INDEX(Main[مقدار (کیلوگرم)],1):Main[[#This Row],[مقدار (کیلوگرم)]])</f>
        <v>22752</v>
      </c>
      <c r="V18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6" s="6">
        <f>Main[[#This Row],[تعداد کل روزهای بدهکار (روز)]]*Main[[#This Row],[مانده در خط کل (کیلوگرم)]]</f>
        <v>45504</v>
      </c>
      <c r="X1856" s="6">
        <f ca="1">-SUBTOTAL(9,INDEX(Main[مقدار تسویه شده (کیلوگرم)],1):Main[[#This Row],[مقدار تسویه شده (کیلوگرم)]])</f>
        <v>22752</v>
      </c>
      <c r="Y1856" s="6">
        <f ca="1">IF(Main[[#This Row],[مانده در خط تسویه شده (کیلوگرم)]]&lt;&gt;0,Main[[#This Row],[تعداد کل روزهای بدهکار (روز)]],0)</f>
        <v>2</v>
      </c>
      <c r="Z1856" s="6">
        <f ca="1">Main[[#This Row],[تعداد روزهای بدهکار تسویه شده (روز)]]*Main[[#This Row],[مانده در خط تسویه شده (کیلوگرم)]]</f>
        <v>45504</v>
      </c>
      <c r="AA1856" s="6">
        <f ca="1">SUBTOTAL(9,INDEX(Main[بدهی تسویه نشده (کیلوگرم)],1):Main[[#This Row],[بدهی تسویه نشده (کیلوگرم)]])</f>
        <v>0</v>
      </c>
      <c r="AB1856" s="6">
        <f ca="1">IF(Main[[#This Row],[مانده در خط تسویه نشده (کیلوگرم)]]&lt;&gt;0,Main[[#This Row],[تعداد کل روزهای بدهکار (روز)]],0)</f>
        <v>0</v>
      </c>
      <c r="AC1856" s="6">
        <f ca="1">Main[[#This Row],[تعداد روزهای بدهکار  تسویه نشده (روز)]]*Main[[#This Row],[مانده در خط تسویه نشده (کیلوگرم)]]</f>
        <v>0</v>
      </c>
      <c r="AD1856" s="6">
        <f ca="1">SUBTOTAL(9,INDEX(Main[بدهی سررسید شده (کیلوگرم)],1):Main[[#This Row],[بدهی سررسید شده (کیلوگرم)]])</f>
        <v>0</v>
      </c>
      <c r="AE1856" s="6">
        <f ca="1">IF(Main[[#This Row],[مانده در خط سررسید شده (کیلوگرم)]]&lt;&gt;0,Main[[#This Row],[تعداد کل روزهای بدهکار (روز)]],0)</f>
        <v>0</v>
      </c>
      <c r="AF1856" s="6">
        <f ca="1">Main[[#This Row],[تعداد روزهای بدهکار سررسید شده (روز)]]*Main[[#This Row],[مانده در خط سررسید شده (کیلوگرم)]]</f>
        <v>0</v>
      </c>
    </row>
    <row r="1857" spans="1:32" hidden="1" x14ac:dyDescent="0.35">
      <c r="A1857" s="5">
        <f>ROW()-ROW(INDEX(Main[ردیف],1))+1</f>
        <v>1855</v>
      </c>
      <c r="B1857" s="31">
        <f>SUBTOTAL(2,INDEX(Main[ردیف],1):Main[[#This Row],[ردیف]])</f>
        <v>164</v>
      </c>
      <c r="C1857" s="32" t="s">
        <v>730</v>
      </c>
      <c r="D1857" s="32" t="str">
        <f>_xlfn.CONCAT("14",Main[[#This Row],[تاريخ]])</f>
        <v>1400/07/22</v>
      </c>
      <c r="E1857" s="33">
        <v>44483</v>
      </c>
      <c r="F1857" s="32">
        <v>10018</v>
      </c>
      <c r="G1857" s="5" t="str">
        <f>INDEX(customer[عنوان],MATCH(Main[[#This Row],[کد ردیابی]],customer[کد],0))</f>
        <v xml:space="preserve">کوهی </v>
      </c>
      <c r="H1857">
        <v>226</v>
      </c>
      <c r="I1857" s="6">
        <f ca="1">-Main[[#This Row],[بدهی تسویه شده (کیلوگرم)]]+Main[[#This Row],[بستانکار (کیلوگرم)]]</f>
        <v>226</v>
      </c>
      <c r="J1857" s="6">
        <f>IF(Main[[#This Row],[مقدار (کیلوگرم)]]&gt;0,Main[[#This Row],[مقدار (کیلوگرم)]],0)</f>
        <v>226</v>
      </c>
      <c r="K1857" s="6">
        <f>-IF(Main[[#This Row],[مقدار (کیلوگرم)]]&lt;0,Main[[#This Row],[مقدار (کیلوگرم)]],0)</f>
        <v>0</v>
      </c>
      <c r="L18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7" s="7">
        <f>-IF(AND(Main[[#This Row],[مقدار (کیلوگرم)]]&lt;0,Main[[#This Row],[تاريخ میلادی]]&gt;44276),Main[[#This Row],[مقدار (کیلوگرم)]],0)</f>
        <v>0</v>
      </c>
      <c r="N1857" s="6">
        <f ca="1">Main[[#This Row],[بدهکار (کیلوگرم)]]-Main[[#This Row],[بدهی تسویه نشده (کیلوگرم)]]</f>
        <v>0</v>
      </c>
      <c r="O1857" s="6">
        <f ca="1">Main[[#This Row],[تفکیک]]</f>
        <v>0</v>
      </c>
      <c r="P1857" s="6">
        <f ca="1">IF(Main[[#This Row],[تاخیر از سررسید]]&gt;0,Main[[#This Row],[بدهی تسویه نشده (کیلوگرم)]],0)</f>
        <v>0</v>
      </c>
      <c r="Q1857" s="6">
        <f ca="1">IF(Main[[#This Row],[بدهی تسویه نشده (کیلوگرم)]]&gt;0,'گزارش فردی'!$B$7-Main[[#This Row],[تاريخ میلادی]],0)</f>
        <v>0</v>
      </c>
      <c r="R1857" s="6">
        <f ca="1">IF(Main[[#This Row],[بدهی تسویه نشده (کیلوگرم)]]&gt;0,'گزارش فردی'!$B$7-Main[[#This Row],[تاريخ میلادی]]-'گزارش فردی'!$B$8,0)</f>
        <v>0</v>
      </c>
      <c r="S1857" s="6">
        <f ca="1">Main[[#This Row],[روز از ارسال سفارش]]*Main[[#This Row],[بدهی تسویه نشده (کیلوگرم)]]</f>
        <v>0</v>
      </c>
      <c r="T1857" s="6">
        <f ca="1">Main[[#This Row],[بدهی سررسید شده (کیلوگرم)]]*Main[[#This Row],[روز از ارسال سفارش]]</f>
        <v>0</v>
      </c>
      <c r="U1857" s="6">
        <f>-SUBTOTAL(9,INDEX(Main[مقدار (کیلوگرم)],1):Main[[#This Row],[مقدار (کیلوگرم)]])</f>
        <v>22752</v>
      </c>
      <c r="V18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7" s="6">
        <f>Main[[#This Row],[تعداد کل روزهای بدهکار (روز)]]*Main[[#This Row],[مانده در خط کل (کیلوگرم)]]</f>
        <v>45504</v>
      </c>
      <c r="X1857" s="6">
        <f ca="1">-SUBTOTAL(9,INDEX(Main[مقدار تسویه شده (کیلوگرم)],1):Main[[#This Row],[مقدار تسویه شده (کیلوگرم)]])</f>
        <v>22752</v>
      </c>
      <c r="Y1857" s="6">
        <f ca="1">IF(Main[[#This Row],[مانده در خط تسویه شده (کیلوگرم)]]&lt;&gt;0,Main[[#This Row],[تعداد کل روزهای بدهکار (روز)]],0)</f>
        <v>2</v>
      </c>
      <c r="Z1857" s="6">
        <f ca="1">Main[[#This Row],[تعداد روزهای بدهکار تسویه شده (روز)]]*Main[[#This Row],[مانده در خط تسویه شده (کیلوگرم)]]</f>
        <v>45504</v>
      </c>
      <c r="AA1857" s="6">
        <f ca="1">SUBTOTAL(9,INDEX(Main[بدهی تسویه نشده (کیلوگرم)],1):Main[[#This Row],[بدهی تسویه نشده (کیلوگرم)]])</f>
        <v>0</v>
      </c>
      <c r="AB1857" s="6">
        <f ca="1">IF(Main[[#This Row],[مانده در خط تسویه نشده (کیلوگرم)]]&lt;&gt;0,Main[[#This Row],[تعداد کل روزهای بدهکار (روز)]],0)</f>
        <v>0</v>
      </c>
      <c r="AC1857" s="6">
        <f ca="1">Main[[#This Row],[تعداد روزهای بدهکار  تسویه نشده (روز)]]*Main[[#This Row],[مانده در خط تسویه نشده (کیلوگرم)]]</f>
        <v>0</v>
      </c>
      <c r="AD1857" s="6">
        <f ca="1">SUBTOTAL(9,INDEX(Main[بدهی سررسید شده (کیلوگرم)],1):Main[[#This Row],[بدهی سررسید شده (کیلوگرم)]])</f>
        <v>0</v>
      </c>
      <c r="AE1857" s="6">
        <f ca="1">IF(Main[[#This Row],[مانده در خط سررسید شده (کیلوگرم)]]&lt;&gt;0,Main[[#This Row],[تعداد کل روزهای بدهکار (روز)]],0)</f>
        <v>0</v>
      </c>
      <c r="AF1857" s="6">
        <f ca="1">Main[[#This Row],[تعداد روزهای بدهکار سررسید شده (روز)]]*Main[[#This Row],[مانده در خط سررسید شده (کیلوگرم)]]</f>
        <v>0</v>
      </c>
    </row>
    <row r="1858" spans="1:32" hidden="1" x14ac:dyDescent="0.35">
      <c r="A1858" s="5">
        <f>ROW()-ROW(INDEX(Main[ردیف],1))+1</f>
        <v>1856</v>
      </c>
      <c r="B1858" s="31">
        <f>SUBTOTAL(2,INDEX(Main[ردیف],1):Main[[#This Row],[ردیف]])</f>
        <v>164</v>
      </c>
      <c r="C1858" s="32" t="s">
        <v>730</v>
      </c>
      <c r="D1858" s="32" t="str">
        <f>_xlfn.CONCAT("14",Main[[#This Row],[تاريخ]])</f>
        <v>1400/07/22</v>
      </c>
      <c r="E1858" s="33">
        <v>44483</v>
      </c>
      <c r="F1858" s="32">
        <v>30009</v>
      </c>
      <c r="G1858" s="5" t="str">
        <f>INDEX(customer[عنوان],MATCH(Main[[#This Row],[کد ردیابی]],customer[کد],0))</f>
        <v>شرکت ایمن تک پیشرو</v>
      </c>
      <c r="H1858">
        <v>1023</v>
      </c>
      <c r="I1858" s="6">
        <f ca="1">-Main[[#This Row],[بدهی تسویه شده (کیلوگرم)]]+Main[[#This Row],[بستانکار (کیلوگرم)]]</f>
        <v>1023</v>
      </c>
      <c r="J1858" s="6">
        <f>IF(Main[[#This Row],[مقدار (کیلوگرم)]]&gt;0,Main[[#This Row],[مقدار (کیلوگرم)]],0)</f>
        <v>1023</v>
      </c>
      <c r="K1858" s="6">
        <f>-IF(Main[[#This Row],[مقدار (کیلوگرم)]]&lt;0,Main[[#This Row],[مقدار (کیلوگرم)]],0)</f>
        <v>0</v>
      </c>
      <c r="L18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8" s="7">
        <f>-IF(AND(Main[[#This Row],[مقدار (کیلوگرم)]]&lt;0,Main[[#This Row],[تاريخ میلادی]]&gt;44276),Main[[#This Row],[مقدار (کیلوگرم)]],0)</f>
        <v>0</v>
      </c>
      <c r="N1858" s="6">
        <f ca="1">Main[[#This Row],[بدهکار (کیلوگرم)]]-Main[[#This Row],[بدهی تسویه نشده (کیلوگرم)]]</f>
        <v>0</v>
      </c>
      <c r="O1858" s="6">
        <f ca="1">Main[[#This Row],[تفکیک]]</f>
        <v>0</v>
      </c>
      <c r="P1858" s="6">
        <f ca="1">IF(Main[[#This Row],[تاخیر از سررسید]]&gt;0,Main[[#This Row],[بدهی تسویه نشده (کیلوگرم)]],0)</f>
        <v>0</v>
      </c>
      <c r="Q1858" s="6">
        <f ca="1">IF(Main[[#This Row],[بدهی تسویه نشده (کیلوگرم)]]&gt;0,'گزارش فردی'!$B$7-Main[[#This Row],[تاريخ میلادی]],0)</f>
        <v>0</v>
      </c>
      <c r="R1858" s="6">
        <f ca="1">IF(Main[[#This Row],[بدهی تسویه نشده (کیلوگرم)]]&gt;0,'گزارش فردی'!$B$7-Main[[#This Row],[تاريخ میلادی]]-'گزارش فردی'!$B$8,0)</f>
        <v>0</v>
      </c>
      <c r="S1858" s="6">
        <f ca="1">Main[[#This Row],[روز از ارسال سفارش]]*Main[[#This Row],[بدهی تسویه نشده (کیلوگرم)]]</f>
        <v>0</v>
      </c>
      <c r="T1858" s="6">
        <f ca="1">Main[[#This Row],[بدهی سررسید شده (کیلوگرم)]]*Main[[#This Row],[روز از ارسال سفارش]]</f>
        <v>0</v>
      </c>
      <c r="U1858" s="6">
        <f>-SUBTOTAL(9,INDEX(Main[مقدار (کیلوگرم)],1):Main[[#This Row],[مقدار (کیلوگرم)]])</f>
        <v>22752</v>
      </c>
      <c r="V18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8" s="6">
        <f>Main[[#This Row],[تعداد کل روزهای بدهکار (روز)]]*Main[[#This Row],[مانده در خط کل (کیلوگرم)]]</f>
        <v>45504</v>
      </c>
      <c r="X1858" s="6">
        <f ca="1">-SUBTOTAL(9,INDEX(Main[مقدار تسویه شده (کیلوگرم)],1):Main[[#This Row],[مقدار تسویه شده (کیلوگرم)]])</f>
        <v>22752</v>
      </c>
      <c r="Y1858" s="6">
        <f ca="1">IF(Main[[#This Row],[مانده در خط تسویه شده (کیلوگرم)]]&lt;&gt;0,Main[[#This Row],[تعداد کل روزهای بدهکار (روز)]],0)</f>
        <v>2</v>
      </c>
      <c r="Z1858" s="6">
        <f ca="1">Main[[#This Row],[تعداد روزهای بدهکار تسویه شده (روز)]]*Main[[#This Row],[مانده در خط تسویه شده (کیلوگرم)]]</f>
        <v>45504</v>
      </c>
      <c r="AA1858" s="6">
        <f ca="1">SUBTOTAL(9,INDEX(Main[بدهی تسویه نشده (کیلوگرم)],1):Main[[#This Row],[بدهی تسویه نشده (کیلوگرم)]])</f>
        <v>0</v>
      </c>
      <c r="AB1858" s="6">
        <f ca="1">IF(Main[[#This Row],[مانده در خط تسویه نشده (کیلوگرم)]]&lt;&gt;0,Main[[#This Row],[تعداد کل روزهای بدهکار (روز)]],0)</f>
        <v>0</v>
      </c>
      <c r="AC1858" s="6">
        <f ca="1">Main[[#This Row],[تعداد روزهای بدهکار  تسویه نشده (روز)]]*Main[[#This Row],[مانده در خط تسویه نشده (کیلوگرم)]]</f>
        <v>0</v>
      </c>
      <c r="AD1858" s="6">
        <f ca="1">SUBTOTAL(9,INDEX(Main[بدهی سررسید شده (کیلوگرم)],1):Main[[#This Row],[بدهی سررسید شده (کیلوگرم)]])</f>
        <v>0</v>
      </c>
      <c r="AE1858" s="6">
        <f ca="1">IF(Main[[#This Row],[مانده در خط سررسید شده (کیلوگرم)]]&lt;&gt;0,Main[[#This Row],[تعداد کل روزهای بدهکار (روز)]],0)</f>
        <v>0</v>
      </c>
      <c r="AF1858" s="6">
        <f ca="1">Main[[#This Row],[تعداد روزهای بدهکار سررسید شده (روز)]]*Main[[#This Row],[مانده در خط سررسید شده (کیلوگرم)]]</f>
        <v>0</v>
      </c>
    </row>
    <row r="1859" spans="1:32" hidden="1" x14ac:dyDescent="0.35">
      <c r="A1859" s="5">
        <f>ROW()-ROW(INDEX(Main[ردیف],1))+1</f>
        <v>1857</v>
      </c>
      <c r="B1859" s="31">
        <f>SUBTOTAL(2,INDEX(Main[ردیف],1):Main[[#This Row],[ردیف]])</f>
        <v>164</v>
      </c>
      <c r="C1859" s="32" t="s">
        <v>731</v>
      </c>
      <c r="D1859" s="32" t="str">
        <f>_xlfn.CONCAT("14",Main[[#This Row],[تاريخ]])</f>
        <v>1400/07/24</v>
      </c>
      <c r="E1859" s="33">
        <v>44485</v>
      </c>
      <c r="F1859" s="32">
        <v>10104</v>
      </c>
      <c r="G1859" s="5" t="str">
        <f>INDEX(customer[عنوان],MATCH(Main[[#This Row],[کد ردیابی]],customer[کد],0))</f>
        <v>بهزادی فر اصغر</v>
      </c>
      <c r="H1859">
        <v>-552</v>
      </c>
      <c r="I1859" s="6">
        <f ca="1">-Main[[#This Row],[بدهی تسویه شده (کیلوگرم)]]+Main[[#This Row],[بستانکار (کیلوگرم)]]</f>
        <v>-552</v>
      </c>
      <c r="J1859" s="6">
        <f>IF(Main[[#This Row],[مقدار (کیلوگرم)]]&gt;0,Main[[#This Row],[مقدار (کیلوگرم)]],0)</f>
        <v>0</v>
      </c>
      <c r="K1859" s="6">
        <f>-IF(Main[[#This Row],[مقدار (کیلوگرم)]]&lt;0,Main[[#This Row],[مقدار (کیلوگرم)]],0)</f>
        <v>552</v>
      </c>
      <c r="L18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9" s="7">
        <f>-IF(AND(Main[[#This Row],[مقدار (کیلوگرم)]]&lt;0,Main[[#This Row],[تاريخ میلادی]]&gt;44276),Main[[#This Row],[مقدار (کیلوگرم)]],0)</f>
        <v>552</v>
      </c>
      <c r="N1859" s="6">
        <f ca="1">Main[[#This Row],[بدهکار (کیلوگرم)]]-Main[[#This Row],[بدهی تسویه نشده (کیلوگرم)]]</f>
        <v>552</v>
      </c>
      <c r="O1859" s="6">
        <f ca="1">Main[[#This Row],[تفکیک]]</f>
        <v>0</v>
      </c>
      <c r="P1859" s="6">
        <f ca="1">IF(Main[[#This Row],[تاخیر از سررسید]]&gt;0,Main[[#This Row],[بدهی تسویه نشده (کیلوگرم)]],0)</f>
        <v>0</v>
      </c>
      <c r="Q1859" s="6">
        <f ca="1">IF(Main[[#This Row],[بدهی تسویه نشده (کیلوگرم)]]&gt;0,'گزارش فردی'!$B$7-Main[[#This Row],[تاريخ میلادی]],0)</f>
        <v>0</v>
      </c>
      <c r="R1859" s="6">
        <f ca="1">IF(Main[[#This Row],[بدهی تسویه نشده (کیلوگرم)]]&gt;0,'گزارش فردی'!$B$7-Main[[#This Row],[تاريخ میلادی]]-'گزارش فردی'!$B$8,0)</f>
        <v>0</v>
      </c>
      <c r="S1859" s="6">
        <f ca="1">Main[[#This Row],[روز از ارسال سفارش]]*Main[[#This Row],[بدهی تسویه نشده (کیلوگرم)]]</f>
        <v>0</v>
      </c>
      <c r="T1859" s="6">
        <f ca="1">Main[[#This Row],[بدهی سررسید شده (کیلوگرم)]]*Main[[#This Row],[روز از ارسال سفارش]]</f>
        <v>0</v>
      </c>
      <c r="U1859" s="6">
        <f>-SUBTOTAL(9,INDEX(Main[مقدار (کیلوگرم)],1):Main[[#This Row],[مقدار (کیلوگرم)]])</f>
        <v>22752</v>
      </c>
      <c r="V18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59" s="6">
        <f>Main[[#This Row],[تعداد کل روزهای بدهکار (روز)]]*Main[[#This Row],[مانده در خط کل (کیلوگرم)]]</f>
        <v>0</v>
      </c>
      <c r="X1859" s="6">
        <f ca="1">-SUBTOTAL(9,INDEX(Main[مقدار تسویه شده (کیلوگرم)],1):Main[[#This Row],[مقدار تسویه شده (کیلوگرم)]])</f>
        <v>22752</v>
      </c>
      <c r="Y1859" s="6">
        <f ca="1">IF(Main[[#This Row],[مانده در خط تسویه شده (کیلوگرم)]]&lt;&gt;0,Main[[#This Row],[تعداد کل روزهای بدهکار (روز)]],0)</f>
        <v>0</v>
      </c>
      <c r="Z1859" s="6">
        <f ca="1">Main[[#This Row],[تعداد روزهای بدهکار تسویه شده (روز)]]*Main[[#This Row],[مانده در خط تسویه شده (کیلوگرم)]]</f>
        <v>0</v>
      </c>
      <c r="AA1859" s="6">
        <f ca="1">SUBTOTAL(9,INDEX(Main[بدهی تسویه نشده (کیلوگرم)],1):Main[[#This Row],[بدهی تسویه نشده (کیلوگرم)]])</f>
        <v>0</v>
      </c>
      <c r="AB1859" s="6">
        <f ca="1">IF(Main[[#This Row],[مانده در خط تسویه نشده (کیلوگرم)]]&lt;&gt;0,Main[[#This Row],[تعداد کل روزهای بدهکار (روز)]],0)</f>
        <v>0</v>
      </c>
      <c r="AC1859" s="6">
        <f ca="1">Main[[#This Row],[تعداد روزهای بدهکار  تسویه نشده (روز)]]*Main[[#This Row],[مانده در خط تسویه نشده (کیلوگرم)]]</f>
        <v>0</v>
      </c>
      <c r="AD1859" s="6">
        <f ca="1">SUBTOTAL(9,INDEX(Main[بدهی سررسید شده (کیلوگرم)],1):Main[[#This Row],[بدهی سررسید شده (کیلوگرم)]])</f>
        <v>0</v>
      </c>
      <c r="AE1859" s="6">
        <f ca="1">IF(Main[[#This Row],[مانده در خط سررسید شده (کیلوگرم)]]&lt;&gt;0,Main[[#This Row],[تعداد کل روزهای بدهکار (روز)]],0)</f>
        <v>0</v>
      </c>
      <c r="AF1859" s="6">
        <f ca="1">Main[[#This Row],[تعداد روزهای بدهکار سررسید شده (روز)]]*Main[[#This Row],[مانده در خط سررسید شده (کیلوگرم)]]</f>
        <v>0</v>
      </c>
    </row>
    <row r="1860" spans="1:32" hidden="1" x14ac:dyDescent="0.35">
      <c r="A1860" s="5">
        <f>ROW()-ROW(INDEX(Main[ردیف],1))+1</f>
        <v>1858</v>
      </c>
      <c r="B1860" s="31">
        <f>SUBTOTAL(2,INDEX(Main[ردیف],1):Main[[#This Row],[ردیف]])</f>
        <v>164</v>
      </c>
      <c r="C1860" s="32" t="s">
        <v>731</v>
      </c>
      <c r="D1860" s="32" t="str">
        <f>_xlfn.CONCAT("14",Main[[#This Row],[تاريخ]])</f>
        <v>1400/07/24</v>
      </c>
      <c r="E1860" s="33">
        <v>44485</v>
      </c>
      <c r="F1860" s="32">
        <v>10018</v>
      </c>
      <c r="G1860" s="5" t="str">
        <f>INDEX(customer[عنوان],MATCH(Main[[#This Row],[کد ردیابی]],customer[کد],0))</f>
        <v xml:space="preserve">کوهی </v>
      </c>
      <c r="H1860">
        <v>57</v>
      </c>
      <c r="I1860" s="6">
        <f ca="1">-Main[[#This Row],[بدهی تسویه شده (کیلوگرم)]]+Main[[#This Row],[بستانکار (کیلوگرم)]]</f>
        <v>57</v>
      </c>
      <c r="J1860" s="6">
        <f>IF(Main[[#This Row],[مقدار (کیلوگرم)]]&gt;0,Main[[#This Row],[مقدار (کیلوگرم)]],0)</f>
        <v>57</v>
      </c>
      <c r="K1860" s="6">
        <f>-IF(Main[[#This Row],[مقدار (کیلوگرم)]]&lt;0,Main[[#This Row],[مقدار (کیلوگرم)]],0)</f>
        <v>0</v>
      </c>
      <c r="L18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0" s="7">
        <f>-IF(AND(Main[[#This Row],[مقدار (کیلوگرم)]]&lt;0,Main[[#This Row],[تاريخ میلادی]]&gt;44276),Main[[#This Row],[مقدار (کیلوگرم)]],0)</f>
        <v>0</v>
      </c>
      <c r="N1860" s="6">
        <f ca="1">Main[[#This Row],[بدهکار (کیلوگرم)]]-Main[[#This Row],[بدهی تسویه نشده (کیلوگرم)]]</f>
        <v>0</v>
      </c>
      <c r="O1860" s="6">
        <f ca="1">Main[[#This Row],[تفکیک]]</f>
        <v>0</v>
      </c>
      <c r="P1860" s="6">
        <f ca="1">IF(Main[[#This Row],[تاخیر از سررسید]]&gt;0,Main[[#This Row],[بدهی تسویه نشده (کیلوگرم)]],0)</f>
        <v>0</v>
      </c>
      <c r="Q1860" s="6">
        <f ca="1">IF(Main[[#This Row],[بدهی تسویه نشده (کیلوگرم)]]&gt;0,'گزارش فردی'!$B$7-Main[[#This Row],[تاريخ میلادی]],0)</f>
        <v>0</v>
      </c>
      <c r="R1860" s="6">
        <f ca="1">IF(Main[[#This Row],[بدهی تسویه نشده (کیلوگرم)]]&gt;0,'گزارش فردی'!$B$7-Main[[#This Row],[تاريخ میلادی]]-'گزارش فردی'!$B$8,0)</f>
        <v>0</v>
      </c>
      <c r="S1860" s="6">
        <f ca="1">Main[[#This Row],[روز از ارسال سفارش]]*Main[[#This Row],[بدهی تسویه نشده (کیلوگرم)]]</f>
        <v>0</v>
      </c>
      <c r="T1860" s="6">
        <f ca="1">Main[[#This Row],[بدهی سررسید شده (کیلوگرم)]]*Main[[#This Row],[روز از ارسال سفارش]]</f>
        <v>0</v>
      </c>
      <c r="U1860" s="6">
        <f>-SUBTOTAL(9,INDEX(Main[مقدار (کیلوگرم)],1):Main[[#This Row],[مقدار (کیلوگرم)]])</f>
        <v>22752</v>
      </c>
      <c r="V18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0" s="6">
        <f>Main[[#This Row],[تعداد کل روزهای بدهکار (روز)]]*Main[[#This Row],[مانده در خط کل (کیلوگرم)]]</f>
        <v>0</v>
      </c>
      <c r="X1860" s="6">
        <f ca="1">-SUBTOTAL(9,INDEX(Main[مقدار تسویه شده (کیلوگرم)],1):Main[[#This Row],[مقدار تسویه شده (کیلوگرم)]])</f>
        <v>22752</v>
      </c>
      <c r="Y1860" s="6">
        <f ca="1">IF(Main[[#This Row],[مانده در خط تسویه شده (کیلوگرم)]]&lt;&gt;0,Main[[#This Row],[تعداد کل روزهای بدهکار (روز)]],0)</f>
        <v>0</v>
      </c>
      <c r="Z1860" s="6">
        <f ca="1">Main[[#This Row],[تعداد روزهای بدهکار تسویه شده (روز)]]*Main[[#This Row],[مانده در خط تسویه شده (کیلوگرم)]]</f>
        <v>0</v>
      </c>
      <c r="AA1860" s="6">
        <f ca="1">SUBTOTAL(9,INDEX(Main[بدهی تسویه نشده (کیلوگرم)],1):Main[[#This Row],[بدهی تسویه نشده (کیلوگرم)]])</f>
        <v>0</v>
      </c>
      <c r="AB1860" s="6">
        <f ca="1">IF(Main[[#This Row],[مانده در خط تسویه نشده (کیلوگرم)]]&lt;&gt;0,Main[[#This Row],[تعداد کل روزهای بدهکار (روز)]],0)</f>
        <v>0</v>
      </c>
      <c r="AC1860" s="6">
        <f ca="1">Main[[#This Row],[تعداد روزهای بدهکار  تسویه نشده (روز)]]*Main[[#This Row],[مانده در خط تسویه نشده (کیلوگرم)]]</f>
        <v>0</v>
      </c>
      <c r="AD1860" s="6">
        <f ca="1">SUBTOTAL(9,INDEX(Main[بدهی سررسید شده (کیلوگرم)],1):Main[[#This Row],[بدهی سررسید شده (کیلوگرم)]])</f>
        <v>0</v>
      </c>
      <c r="AE1860" s="6">
        <f ca="1">IF(Main[[#This Row],[مانده در خط سررسید شده (کیلوگرم)]]&lt;&gt;0,Main[[#This Row],[تعداد کل روزهای بدهکار (روز)]],0)</f>
        <v>0</v>
      </c>
      <c r="AF1860" s="6">
        <f ca="1">Main[[#This Row],[تعداد روزهای بدهکار سررسید شده (روز)]]*Main[[#This Row],[مانده در خط سررسید شده (کیلوگرم)]]</f>
        <v>0</v>
      </c>
    </row>
    <row r="1861" spans="1:32" hidden="1" x14ac:dyDescent="0.35">
      <c r="A1861" s="5">
        <f>ROW()-ROW(INDEX(Main[ردیف],1))+1</f>
        <v>1859</v>
      </c>
      <c r="B1861" s="31">
        <f>SUBTOTAL(2,INDEX(Main[ردیف],1):Main[[#This Row],[ردیف]])</f>
        <v>164</v>
      </c>
      <c r="C1861" s="32" t="s">
        <v>731</v>
      </c>
      <c r="D1861" s="32" t="str">
        <f>_xlfn.CONCAT("14",Main[[#This Row],[تاريخ]])</f>
        <v>1400/07/24</v>
      </c>
      <c r="E1861" s="33">
        <v>44485</v>
      </c>
      <c r="F1861" s="32">
        <v>30058</v>
      </c>
      <c r="G1861" s="5" t="str">
        <f>INDEX(customer[عنوان],MATCH(Main[[#This Row],[کد ردیابی]],customer[کد],0))</f>
        <v xml:space="preserve">پارس شیر </v>
      </c>
      <c r="H1861">
        <v>-1387</v>
      </c>
      <c r="I1861" s="6">
        <f ca="1">-Main[[#This Row],[بدهی تسویه شده (کیلوگرم)]]+Main[[#This Row],[بستانکار (کیلوگرم)]]</f>
        <v>-1387</v>
      </c>
      <c r="J1861" s="6">
        <f>IF(Main[[#This Row],[مقدار (کیلوگرم)]]&gt;0,Main[[#This Row],[مقدار (کیلوگرم)]],0)</f>
        <v>0</v>
      </c>
      <c r="K1861" s="6">
        <f>-IF(Main[[#This Row],[مقدار (کیلوگرم)]]&lt;0,Main[[#This Row],[مقدار (کیلوگرم)]],0)</f>
        <v>1387</v>
      </c>
      <c r="L18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1" s="7">
        <f>-IF(AND(Main[[#This Row],[مقدار (کیلوگرم)]]&lt;0,Main[[#This Row],[تاريخ میلادی]]&gt;44276),Main[[#This Row],[مقدار (کیلوگرم)]],0)</f>
        <v>1387</v>
      </c>
      <c r="N1861" s="6">
        <f ca="1">Main[[#This Row],[بدهکار (کیلوگرم)]]-Main[[#This Row],[بدهی تسویه نشده (کیلوگرم)]]</f>
        <v>1387</v>
      </c>
      <c r="O1861" s="6">
        <f ca="1">Main[[#This Row],[تفکیک]]</f>
        <v>0</v>
      </c>
      <c r="P1861" s="6">
        <f ca="1">IF(Main[[#This Row],[تاخیر از سررسید]]&gt;0,Main[[#This Row],[بدهی تسویه نشده (کیلوگرم)]],0)</f>
        <v>0</v>
      </c>
      <c r="Q1861" s="6">
        <f ca="1">IF(Main[[#This Row],[بدهی تسویه نشده (کیلوگرم)]]&gt;0,'گزارش فردی'!$B$7-Main[[#This Row],[تاريخ میلادی]],0)</f>
        <v>0</v>
      </c>
      <c r="R1861" s="6">
        <f ca="1">IF(Main[[#This Row],[بدهی تسویه نشده (کیلوگرم)]]&gt;0,'گزارش فردی'!$B$7-Main[[#This Row],[تاريخ میلادی]]-'گزارش فردی'!$B$8,0)</f>
        <v>0</v>
      </c>
      <c r="S1861" s="6">
        <f ca="1">Main[[#This Row],[روز از ارسال سفارش]]*Main[[#This Row],[بدهی تسویه نشده (کیلوگرم)]]</f>
        <v>0</v>
      </c>
      <c r="T1861" s="6">
        <f ca="1">Main[[#This Row],[بدهی سررسید شده (کیلوگرم)]]*Main[[#This Row],[روز از ارسال سفارش]]</f>
        <v>0</v>
      </c>
      <c r="U1861" s="6">
        <f>-SUBTOTAL(9,INDEX(Main[مقدار (کیلوگرم)],1):Main[[#This Row],[مقدار (کیلوگرم)]])</f>
        <v>22752</v>
      </c>
      <c r="V18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1" s="6">
        <f>Main[[#This Row],[تعداد کل روزهای بدهکار (روز)]]*Main[[#This Row],[مانده در خط کل (کیلوگرم)]]</f>
        <v>0</v>
      </c>
      <c r="X1861" s="6">
        <f ca="1">-SUBTOTAL(9,INDEX(Main[مقدار تسویه شده (کیلوگرم)],1):Main[[#This Row],[مقدار تسویه شده (کیلوگرم)]])</f>
        <v>22752</v>
      </c>
      <c r="Y1861" s="6">
        <f ca="1">IF(Main[[#This Row],[مانده در خط تسویه شده (کیلوگرم)]]&lt;&gt;0,Main[[#This Row],[تعداد کل روزهای بدهکار (روز)]],0)</f>
        <v>0</v>
      </c>
      <c r="Z1861" s="6">
        <f ca="1">Main[[#This Row],[تعداد روزهای بدهکار تسویه شده (روز)]]*Main[[#This Row],[مانده در خط تسویه شده (کیلوگرم)]]</f>
        <v>0</v>
      </c>
      <c r="AA1861" s="6">
        <f ca="1">SUBTOTAL(9,INDEX(Main[بدهی تسویه نشده (کیلوگرم)],1):Main[[#This Row],[بدهی تسویه نشده (کیلوگرم)]])</f>
        <v>0</v>
      </c>
      <c r="AB1861" s="6">
        <f ca="1">IF(Main[[#This Row],[مانده در خط تسویه نشده (کیلوگرم)]]&lt;&gt;0,Main[[#This Row],[تعداد کل روزهای بدهکار (روز)]],0)</f>
        <v>0</v>
      </c>
      <c r="AC1861" s="6">
        <f ca="1">Main[[#This Row],[تعداد روزهای بدهکار  تسویه نشده (روز)]]*Main[[#This Row],[مانده در خط تسویه نشده (کیلوگرم)]]</f>
        <v>0</v>
      </c>
      <c r="AD1861" s="6">
        <f ca="1">SUBTOTAL(9,INDEX(Main[بدهی سررسید شده (کیلوگرم)],1):Main[[#This Row],[بدهی سررسید شده (کیلوگرم)]])</f>
        <v>0</v>
      </c>
      <c r="AE1861" s="6">
        <f ca="1">IF(Main[[#This Row],[مانده در خط سررسید شده (کیلوگرم)]]&lt;&gt;0,Main[[#This Row],[تعداد کل روزهای بدهکار (روز)]],0)</f>
        <v>0</v>
      </c>
      <c r="AF1861" s="6">
        <f ca="1">Main[[#This Row],[تعداد روزهای بدهکار سررسید شده (روز)]]*Main[[#This Row],[مانده در خط سررسید شده (کیلوگرم)]]</f>
        <v>0</v>
      </c>
    </row>
    <row r="1862" spans="1:32" hidden="1" x14ac:dyDescent="0.35">
      <c r="A1862" s="5">
        <f>ROW()-ROW(INDEX(Main[ردیف],1))+1</f>
        <v>1860</v>
      </c>
      <c r="B1862" s="31">
        <f>SUBTOTAL(2,INDEX(Main[ردیف],1):Main[[#This Row],[ردیف]])</f>
        <v>164</v>
      </c>
      <c r="C1862" s="32" t="s">
        <v>731</v>
      </c>
      <c r="D1862" s="32" t="str">
        <f>_xlfn.CONCAT("14",Main[[#This Row],[تاريخ]])</f>
        <v>1400/07/24</v>
      </c>
      <c r="E1862" s="33">
        <v>44485</v>
      </c>
      <c r="F1862" s="32">
        <v>10018</v>
      </c>
      <c r="G1862" s="5" t="str">
        <f>INDEX(customer[عنوان],MATCH(Main[[#This Row],[کد ردیابی]],customer[کد],0))</f>
        <v xml:space="preserve">کوهی </v>
      </c>
      <c r="H1862">
        <v>31</v>
      </c>
      <c r="I1862" s="6">
        <f ca="1">-Main[[#This Row],[بدهی تسویه شده (کیلوگرم)]]+Main[[#This Row],[بستانکار (کیلوگرم)]]</f>
        <v>31</v>
      </c>
      <c r="J1862" s="6">
        <f>IF(Main[[#This Row],[مقدار (کیلوگرم)]]&gt;0,Main[[#This Row],[مقدار (کیلوگرم)]],0)</f>
        <v>31</v>
      </c>
      <c r="K1862" s="6">
        <f>-IF(Main[[#This Row],[مقدار (کیلوگرم)]]&lt;0,Main[[#This Row],[مقدار (کیلوگرم)]],0)</f>
        <v>0</v>
      </c>
      <c r="L18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2" s="7">
        <f>-IF(AND(Main[[#This Row],[مقدار (کیلوگرم)]]&lt;0,Main[[#This Row],[تاريخ میلادی]]&gt;44276),Main[[#This Row],[مقدار (کیلوگرم)]],0)</f>
        <v>0</v>
      </c>
      <c r="N1862" s="6">
        <f ca="1">Main[[#This Row],[بدهکار (کیلوگرم)]]-Main[[#This Row],[بدهی تسویه نشده (کیلوگرم)]]</f>
        <v>0</v>
      </c>
      <c r="O1862" s="6">
        <f ca="1">Main[[#This Row],[تفکیک]]</f>
        <v>0</v>
      </c>
      <c r="P1862" s="6">
        <f ca="1">IF(Main[[#This Row],[تاخیر از سررسید]]&gt;0,Main[[#This Row],[بدهی تسویه نشده (کیلوگرم)]],0)</f>
        <v>0</v>
      </c>
      <c r="Q1862" s="6">
        <f ca="1">IF(Main[[#This Row],[بدهی تسویه نشده (کیلوگرم)]]&gt;0,'گزارش فردی'!$B$7-Main[[#This Row],[تاريخ میلادی]],0)</f>
        <v>0</v>
      </c>
      <c r="R1862" s="6">
        <f ca="1">IF(Main[[#This Row],[بدهی تسویه نشده (کیلوگرم)]]&gt;0,'گزارش فردی'!$B$7-Main[[#This Row],[تاريخ میلادی]]-'گزارش فردی'!$B$8,0)</f>
        <v>0</v>
      </c>
      <c r="S1862" s="6">
        <f ca="1">Main[[#This Row],[روز از ارسال سفارش]]*Main[[#This Row],[بدهی تسویه نشده (کیلوگرم)]]</f>
        <v>0</v>
      </c>
      <c r="T1862" s="6">
        <f ca="1">Main[[#This Row],[بدهی سررسید شده (کیلوگرم)]]*Main[[#This Row],[روز از ارسال سفارش]]</f>
        <v>0</v>
      </c>
      <c r="U1862" s="6">
        <f>-SUBTOTAL(9,INDEX(Main[مقدار (کیلوگرم)],1):Main[[#This Row],[مقدار (کیلوگرم)]])</f>
        <v>22752</v>
      </c>
      <c r="V18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2" s="6">
        <f>Main[[#This Row],[تعداد کل روزهای بدهکار (روز)]]*Main[[#This Row],[مانده در خط کل (کیلوگرم)]]</f>
        <v>0</v>
      </c>
      <c r="X1862" s="6">
        <f ca="1">-SUBTOTAL(9,INDEX(Main[مقدار تسویه شده (کیلوگرم)],1):Main[[#This Row],[مقدار تسویه شده (کیلوگرم)]])</f>
        <v>22752</v>
      </c>
      <c r="Y1862" s="6">
        <f ca="1">IF(Main[[#This Row],[مانده در خط تسویه شده (کیلوگرم)]]&lt;&gt;0,Main[[#This Row],[تعداد کل روزهای بدهکار (روز)]],0)</f>
        <v>0</v>
      </c>
      <c r="Z1862" s="6">
        <f ca="1">Main[[#This Row],[تعداد روزهای بدهکار تسویه شده (روز)]]*Main[[#This Row],[مانده در خط تسویه شده (کیلوگرم)]]</f>
        <v>0</v>
      </c>
      <c r="AA1862" s="6">
        <f ca="1">SUBTOTAL(9,INDEX(Main[بدهی تسویه نشده (کیلوگرم)],1):Main[[#This Row],[بدهی تسویه نشده (کیلوگرم)]])</f>
        <v>0</v>
      </c>
      <c r="AB1862" s="6">
        <f ca="1">IF(Main[[#This Row],[مانده در خط تسویه نشده (کیلوگرم)]]&lt;&gt;0,Main[[#This Row],[تعداد کل روزهای بدهکار (روز)]],0)</f>
        <v>0</v>
      </c>
      <c r="AC1862" s="6">
        <f ca="1">Main[[#This Row],[تعداد روزهای بدهکار  تسویه نشده (روز)]]*Main[[#This Row],[مانده در خط تسویه نشده (کیلوگرم)]]</f>
        <v>0</v>
      </c>
      <c r="AD1862" s="6">
        <f ca="1">SUBTOTAL(9,INDEX(Main[بدهی سررسید شده (کیلوگرم)],1):Main[[#This Row],[بدهی سررسید شده (کیلوگرم)]])</f>
        <v>0</v>
      </c>
      <c r="AE1862" s="6">
        <f ca="1">IF(Main[[#This Row],[مانده در خط سررسید شده (کیلوگرم)]]&lt;&gt;0,Main[[#This Row],[تعداد کل روزهای بدهکار (روز)]],0)</f>
        <v>0</v>
      </c>
      <c r="AF1862" s="6">
        <f ca="1">Main[[#This Row],[تعداد روزهای بدهکار سررسید شده (روز)]]*Main[[#This Row],[مانده در خط سررسید شده (کیلوگرم)]]</f>
        <v>0</v>
      </c>
    </row>
    <row r="1863" spans="1:32" hidden="1" x14ac:dyDescent="0.35">
      <c r="A1863" s="5">
        <f>ROW()-ROW(INDEX(Main[ردیف],1))+1</f>
        <v>1861</v>
      </c>
      <c r="B1863" s="31">
        <f>SUBTOTAL(2,INDEX(Main[ردیف],1):Main[[#This Row],[ردیف]])</f>
        <v>164</v>
      </c>
      <c r="C1863" s="32" t="s">
        <v>731</v>
      </c>
      <c r="D1863" s="32" t="str">
        <f>_xlfn.CONCAT("14",Main[[#This Row],[تاريخ]])</f>
        <v>1400/07/24</v>
      </c>
      <c r="E1863" s="33">
        <v>44485</v>
      </c>
      <c r="F1863" s="32">
        <v>30066</v>
      </c>
      <c r="G1863" s="5" t="str">
        <f>INDEX(customer[عنوان],MATCH(Main[[#This Row],[کد ردیابی]],customer[کد],0))</f>
        <v xml:space="preserve">شیر آلات بهداشتی قهرمان </v>
      </c>
      <c r="H1863">
        <v>-2086</v>
      </c>
      <c r="I1863" s="6">
        <f ca="1">-Main[[#This Row],[بدهی تسویه شده (کیلوگرم)]]+Main[[#This Row],[بستانکار (کیلوگرم)]]</f>
        <v>-2086</v>
      </c>
      <c r="J1863" s="6">
        <f>IF(Main[[#This Row],[مقدار (کیلوگرم)]]&gt;0,Main[[#This Row],[مقدار (کیلوگرم)]],0)</f>
        <v>0</v>
      </c>
      <c r="K1863" s="6">
        <f>-IF(Main[[#This Row],[مقدار (کیلوگرم)]]&lt;0,Main[[#This Row],[مقدار (کیلوگرم)]],0)</f>
        <v>2086</v>
      </c>
      <c r="L18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3" s="7">
        <f>-IF(AND(Main[[#This Row],[مقدار (کیلوگرم)]]&lt;0,Main[[#This Row],[تاريخ میلادی]]&gt;44276),Main[[#This Row],[مقدار (کیلوگرم)]],0)</f>
        <v>2086</v>
      </c>
      <c r="N1863" s="6">
        <f ca="1">Main[[#This Row],[بدهکار (کیلوگرم)]]-Main[[#This Row],[بدهی تسویه نشده (کیلوگرم)]]</f>
        <v>2086</v>
      </c>
      <c r="O1863" s="6">
        <f ca="1">Main[[#This Row],[تفکیک]]</f>
        <v>0</v>
      </c>
      <c r="P1863" s="6">
        <f ca="1">IF(Main[[#This Row],[تاخیر از سررسید]]&gt;0,Main[[#This Row],[بدهی تسویه نشده (کیلوگرم)]],0)</f>
        <v>0</v>
      </c>
      <c r="Q1863" s="6">
        <f ca="1">IF(Main[[#This Row],[بدهی تسویه نشده (کیلوگرم)]]&gt;0,'گزارش فردی'!$B$7-Main[[#This Row],[تاريخ میلادی]],0)</f>
        <v>0</v>
      </c>
      <c r="R1863" s="6">
        <f ca="1">IF(Main[[#This Row],[بدهی تسویه نشده (کیلوگرم)]]&gt;0,'گزارش فردی'!$B$7-Main[[#This Row],[تاريخ میلادی]]-'گزارش فردی'!$B$8,0)</f>
        <v>0</v>
      </c>
      <c r="S1863" s="6">
        <f ca="1">Main[[#This Row],[روز از ارسال سفارش]]*Main[[#This Row],[بدهی تسویه نشده (کیلوگرم)]]</f>
        <v>0</v>
      </c>
      <c r="T1863" s="6">
        <f ca="1">Main[[#This Row],[بدهی سررسید شده (کیلوگرم)]]*Main[[#This Row],[روز از ارسال سفارش]]</f>
        <v>0</v>
      </c>
      <c r="U1863" s="6">
        <f>-SUBTOTAL(9,INDEX(Main[مقدار (کیلوگرم)],1):Main[[#This Row],[مقدار (کیلوگرم)]])</f>
        <v>22752</v>
      </c>
      <c r="V18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3" s="6">
        <f>Main[[#This Row],[تعداد کل روزهای بدهکار (روز)]]*Main[[#This Row],[مانده در خط کل (کیلوگرم)]]</f>
        <v>0</v>
      </c>
      <c r="X1863" s="6">
        <f ca="1">-SUBTOTAL(9,INDEX(Main[مقدار تسویه شده (کیلوگرم)],1):Main[[#This Row],[مقدار تسویه شده (کیلوگرم)]])</f>
        <v>22752</v>
      </c>
      <c r="Y1863" s="6">
        <f ca="1">IF(Main[[#This Row],[مانده در خط تسویه شده (کیلوگرم)]]&lt;&gt;0,Main[[#This Row],[تعداد کل روزهای بدهکار (روز)]],0)</f>
        <v>0</v>
      </c>
      <c r="Z1863" s="6">
        <f ca="1">Main[[#This Row],[تعداد روزهای بدهکار تسویه شده (روز)]]*Main[[#This Row],[مانده در خط تسویه شده (کیلوگرم)]]</f>
        <v>0</v>
      </c>
      <c r="AA1863" s="6">
        <f ca="1">SUBTOTAL(9,INDEX(Main[بدهی تسویه نشده (کیلوگرم)],1):Main[[#This Row],[بدهی تسویه نشده (کیلوگرم)]])</f>
        <v>0</v>
      </c>
      <c r="AB1863" s="6">
        <f ca="1">IF(Main[[#This Row],[مانده در خط تسویه نشده (کیلوگرم)]]&lt;&gt;0,Main[[#This Row],[تعداد کل روزهای بدهکار (روز)]],0)</f>
        <v>0</v>
      </c>
      <c r="AC1863" s="6">
        <f ca="1">Main[[#This Row],[تعداد روزهای بدهکار  تسویه نشده (روز)]]*Main[[#This Row],[مانده در خط تسویه نشده (کیلوگرم)]]</f>
        <v>0</v>
      </c>
      <c r="AD1863" s="6">
        <f ca="1">SUBTOTAL(9,INDEX(Main[بدهی سررسید شده (کیلوگرم)],1):Main[[#This Row],[بدهی سررسید شده (کیلوگرم)]])</f>
        <v>0</v>
      </c>
      <c r="AE1863" s="6">
        <f ca="1">IF(Main[[#This Row],[مانده در خط سررسید شده (کیلوگرم)]]&lt;&gt;0,Main[[#This Row],[تعداد کل روزهای بدهکار (روز)]],0)</f>
        <v>0</v>
      </c>
      <c r="AF1863" s="6">
        <f ca="1">Main[[#This Row],[تعداد روزهای بدهکار سررسید شده (روز)]]*Main[[#This Row],[مانده در خط سررسید شده (کیلوگرم)]]</f>
        <v>0</v>
      </c>
    </row>
    <row r="1864" spans="1:32" hidden="1" x14ac:dyDescent="0.35">
      <c r="A1864" s="5">
        <f>ROW()-ROW(INDEX(Main[ردیف],1))+1</f>
        <v>1862</v>
      </c>
      <c r="B1864" s="31">
        <f>SUBTOTAL(2,INDEX(Main[ردیف],1):Main[[#This Row],[ردیف]])</f>
        <v>164</v>
      </c>
      <c r="C1864" s="32" t="s">
        <v>731</v>
      </c>
      <c r="D1864" s="32" t="str">
        <f>_xlfn.CONCAT("14",Main[[#This Row],[تاريخ]])</f>
        <v>1400/07/24</v>
      </c>
      <c r="E1864" s="33">
        <v>44485</v>
      </c>
      <c r="F1864" s="32">
        <v>10026</v>
      </c>
      <c r="G1864" s="5" t="str">
        <f>INDEX(customer[عنوان],MATCH(Main[[#This Row],[کد ردیابی]],customer[کد],0))</f>
        <v xml:space="preserve">محسن فیاض بخش </v>
      </c>
      <c r="H1864">
        <v>818</v>
      </c>
      <c r="I1864" s="6">
        <f ca="1">-Main[[#This Row],[بدهی تسویه شده (کیلوگرم)]]+Main[[#This Row],[بستانکار (کیلوگرم)]]</f>
        <v>818</v>
      </c>
      <c r="J1864" s="6">
        <f>IF(Main[[#This Row],[مقدار (کیلوگرم)]]&gt;0,Main[[#This Row],[مقدار (کیلوگرم)]],0)</f>
        <v>818</v>
      </c>
      <c r="K1864" s="6">
        <f>-IF(Main[[#This Row],[مقدار (کیلوگرم)]]&lt;0,Main[[#This Row],[مقدار (کیلوگرم)]],0)</f>
        <v>0</v>
      </c>
      <c r="L18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4" s="7">
        <f>-IF(AND(Main[[#This Row],[مقدار (کیلوگرم)]]&lt;0,Main[[#This Row],[تاريخ میلادی]]&gt;44276),Main[[#This Row],[مقدار (کیلوگرم)]],0)</f>
        <v>0</v>
      </c>
      <c r="N1864" s="6">
        <f ca="1">Main[[#This Row],[بدهکار (کیلوگرم)]]-Main[[#This Row],[بدهی تسویه نشده (کیلوگرم)]]</f>
        <v>0</v>
      </c>
      <c r="O1864" s="6">
        <f ca="1">Main[[#This Row],[تفکیک]]</f>
        <v>0</v>
      </c>
      <c r="P1864" s="6">
        <f ca="1">IF(Main[[#This Row],[تاخیر از سررسید]]&gt;0,Main[[#This Row],[بدهی تسویه نشده (کیلوگرم)]],0)</f>
        <v>0</v>
      </c>
      <c r="Q1864" s="6">
        <f ca="1">IF(Main[[#This Row],[بدهی تسویه نشده (کیلوگرم)]]&gt;0,'گزارش فردی'!$B$7-Main[[#This Row],[تاريخ میلادی]],0)</f>
        <v>0</v>
      </c>
      <c r="R1864" s="6">
        <f ca="1">IF(Main[[#This Row],[بدهی تسویه نشده (کیلوگرم)]]&gt;0,'گزارش فردی'!$B$7-Main[[#This Row],[تاريخ میلادی]]-'گزارش فردی'!$B$8,0)</f>
        <v>0</v>
      </c>
      <c r="S1864" s="6">
        <f ca="1">Main[[#This Row],[روز از ارسال سفارش]]*Main[[#This Row],[بدهی تسویه نشده (کیلوگرم)]]</f>
        <v>0</v>
      </c>
      <c r="T1864" s="6">
        <f ca="1">Main[[#This Row],[بدهی سررسید شده (کیلوگرم)]]*Main[[#This Row],[روز از ارسال سفارش]]</f>
        <v>0</v>
      </c>
      <c r="U1864" s="6">
        <f>-SUBTOTAL(9,INDEX(Main[مقدار (کیلوگرم)],1):Main[[#This Row],[مقدار (کیلوگرم)]])</f>
        <v>22752</v>
      </c>
      <c r="V18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4" s="6">
        <f>Main[[#This Row],[تعداد کل روزهای بدهکار (روز)]]*Main[[#This Row],[مانده در خط کل (کیلوگرم)]]</f>
        <v>0</v>
      </c>
      <c r="X1864" s="6">
        <f ca="1">-SUBTOTAL(9,INDEX(Main[مقدار تسویه شده (کیلوگرم)],1):Main[[#This Row],[مقدار تسویه شده (کیلوگرم)]])</f>
        <v>22752</v>
      </c>
      <c r="Y1864" s="6">
        <f ca="1">IF(Main[[#This Row],[مانده در خط تسویه شده (کیلوگرم)]]&lt;&gt;0,Main[[#This Row],[تعداد کل روزهای بدهکار (روز)]],0)</f>
        <v>0</v>
      </c>
      <c r="Z1864" s="6">
        <f ca="1">Main[[#This Row],[تعداد روزهای بدهکار تسویه شده (روز)]]*Main[[#This Row],[مانده در خط تسویه شده (کیلوگرم)]]</f>
        <v>0</v>
      </c>
      <c r="AA1864" s="6">
        <f ca="1">SUBTOTAL(9,INDEX(Main[بدهی تسویه نشده (کیلوگرم)],1):Main[[#This Row],[بدهی تسویه نشده (کیلوگرم)]])</f>
        <v>0</v>
      </c>
      <c r="AB1864" s="6">
        <f ca="1">IF(Main[[#This Row],[مانده در خط تسویه نشده (کیلوگرم)]]&lt;&gt;0,Main[[#This Row],[تعداد کل روزهای بدهکار (روز)]],0)</f>
        <v>0</v>
      </c>
      <c r="AC1864" s="6">
        <f ca="1">Main[[#This Row],[تعداد روزهای بدهکار  تسویه نشده (روز)]]*Main[[#This Row],[مانده در خط تسویه نشده (کیلوگرم)]]</f>
        <v>0</v>
      </c>
      <c r="AD1864" s="6">
        <f ca="1">SUBTOTAL(9,INDEX(Main[بدهی سررسید شده (کیلوگرم)],1):Main[[#This Row],[بدهی سررسید شده (کیلوگرم)]])</f>
        <v>0</v>
      </c>
      <c r="AE1864" s="6">
        <f ca="1">IF(Main[[#This Row],[مانده در خط سررسید شده (کیلوگرم)]]&lt;&gt;0,Main[[#This Row],[تعداد کل روزهای بدهکار (روز)]],0)</f>
        <v>0</v>
      </c>
      <c r="AF1864" s="6">
        <f ca="1">Main[[#This Row],[تعداد روزهای بدهکار سررسید شده (روز)]]*Main[[#This Row],[مانده در خط سررسید شده (کیلوگرم)]]</f>
        <v>0</v>
      </c>
    </row>
    <row r="1865" spans="1:32" x14ac:dyDescent="0.35">
      <c r="A1865" s="5">
        <f>ROW()-ROW(INDEX(Main[ردیف],1))+1</f>
        <v>1863</v>
      </c>
      <c r="B1865" s="31">
        <f>SUBTOTAL(2,INDEX(Main[ردیف],1):Main[[#This Row],[ردیف]])</f>
        <v>165</v>
      </c>
      <c r="C1865" s="32" t="s">
        <v>731</v>
      </c>
      <c r="D1865" s="32" t="str">
        <f>_xlfn.CONCAT("14",Main[[#This Row],[تاريخ]])</f>
        <v>1400/07/24</v>
      </c>
      <c r="E1865" s="33">
        <v>44485</v>
      </c>
      <c r="F1865" s="32">
        <v>10003</v>
      </c>
      <c r="G1865" s="5" t="str">
        <f>INDEX(customer[عنوان],MATCH(Main[[#This Row],[کد ردیابی]],customer[کد],0))</f>
        <v>اصغر نورعلی</v>
      </c>
      <c r="H1865">
        <v>-3050</v>
      </c>
      <c r="I1865" s="6">
        <f ca="1">-Main[[#This Row],[بدهی تسویه شده (کیلوگرم)]]+Main[[#This Row],[بستانکار (کیلوگرم)]]</f>
        <v>-3050</v>
      </c>
      <c r="J1865" s="6">
        <f>IF(Main[[#This Row],[مقدار (کیلوگرم)]]&gt;0,Main[[#This Row],[مقدار (کیلوگرم)]],0)</f>
        <v>0</v>
      </c>
      <c r="K1865" s="6">
        <f>-IF(Main[[#This Row],[مقدار (کیلوگرم)]]&lt;0,Main[[#This Row],[مقدار (کیلوگرم)]],0)</f>
        <v>3050</v>
      </c>
      <c r="L18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5" s="7">
        <f>-IF(AND(Main[[#This Row],[مقدار (کیلوگرم)]]&lt;0,Main[[#This Row],[تاريخ میلادی]]&gt;44276),Main[[#This Row],[مقدار (کیلوگرم)]],0)</f>
        <v>3050</v>
      </c>
      <c r="N1865" s="6">
        <f ca="1">Main[[#This Row],[بدهکار (کیلوگرم)]]-Main[[#This Row],[بدهی تسویه نشده (کیلوگرم)]]</f>
        <v>3050</v>
      </c>
      <c r="O1865" s="6">
        <f ca="1">Main[[#This Row],[تفکیک]]</f>
        <v>0</v>
      </c>
      <c r="P1865" s="6">
        <f ca="1">IF(Main[[#This Row],[تاخیر از سررسید]]&gt;0,Main[[#This Row],[بدهی تسویه نشده (کیلوگرم)]],0)</f>
        <v>0</v>
      </c>
      <c r="Q1865" s="6">
        <f ca="1">IF(Main[[#This Row],[بدهی تسویه نشده (کیلوگرم)]]&gt;0,'گزارش فردی'!$B$7-Main[[#This Row],[تاريخ میلادی]],0)</f>
        <v>0</v>
      </c>
      <c r="R1865" s="6">
        <f ca="1">IF(Main[[#This Row],[بدهی تسویه نشده (کیلوگرم)]]&gt;0,'گزارش فردی'!$B$7-Main[[#This Row],[تاريخ میلادی]]-'گزارش فردی'!$B$8,0)</f>
        <v>0</v>
      </c>
      <c r="S1865" s="6">
        <f ca="1">Main[[#This Row],[روز از ارسال سفارش]]*Main[[#This Row],[بدهی تسویه نشده (کیلوگرم)]]</f>
        <v>0</v>
      </c>
      <c r="T1865" s="6">
        <f ca="1">Main[[#This Row],[بدهی سررسید شده (کیلوگرم)]]*Main[[#This Row],[روز از ارسال سفارش]]</f>
        <v>0</v>
      </c>
      <c r="U1865" s="6">
        <f>-SUBTOTAL(9,INDEX(Main[مقدار (کیلوگرم)],1):Main[[#This Row],[مقدار (کیلوگرم)]])</f>
        <v>25802</v>
      </c>
      <c r="V18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5" s="6">
        <f>Main[[#This Row],[تعداد کل روزهای بدهکار (روز)]]*Main[[#This Row],[مانده در خط کل (کیلوگرم)]]</f>
        <v>0</v>
      </c>
      <c r="X1865" s="6">
        <f ca="1">-SUBTOTAL(9,INDEX(Main[مقدار تسویه شده (کیلوگرم)],1):Main[[#This Row],[مقدار تسویه شده (کیلوگرم)]])</f>
        <v>25802</v>
      </c>
      <c r="Y1865" s="6">
        <f ca="1">IF(Main[[#This Row],[مانده در خط تسویه شده (کیلوگرم)]]&lt;&gt;0,Main[[#This Row],[تعداد کل روزهای بدهکار (روز)]],0)</f>
        <v>0</v>
      </c>
      <c r="Z1865" s="6">
        <f ca="1">Main[[#This Row],[تعداد روزهای بدهکار تسویه شده (روز)]]*Main[[#This Row],[مانده در خط تسویه شده (کیلوگرم)]]</f>
        <v>0</v>
      </c>
      <c r="AA1865" s="6">
        <f ca="1">SUBTOTAL(9,INDEX(Main[بدهی تسویه نشده (کیلوگرم)],1):Main[[#This Row],[بدهی تسویه نشده (کیلوگرم)]])</f>
        <v>0</v>
      </c>
      <c r="AB1865" s="6">
        <f ca="1">IF(Main[[#This Row],[مانده در خط تسویه نشده (کیلوگرم)]]&lt;&gt;0,Main[[#This Row],[تعداد کل روزهای بدهکار (روز)]],0)</f>
        <v>0</v>
      </c>
      <c r="AC1865" s="6">
        <f ca="1">Main[[#This Row],[تعداد روزهای بدهکار  تسویه نشده (روز)]]*Main[[#This Row],[مانده در خط تسویه نشده (کیلوگرم)]]</f>
        <v>0</v>
      </c>
      <c r="AD1865" s="6">
        <f ca="1">SUBTOTAL(9,INDEX(Main[بدهی سررسید شده (کیلوگرم)],1):Main[[#This Row],[بدهی سررسید شده (کیلوگرم)]])</f>
        <v>0</v>
      </c>
      <c r="AE1865" s="6">
        <f ca="1">IF(Main[[#This Row],[مانده در خط سررسید شده (کیلوگرم)]]&lt;&gt;0,Main[[#This Row],[تعداد کل روزهای بدهکار (روز)]],0)</f>
        <v>0</v>
      </c>
      <c r="AF1865" s="6">
        <f ca="1">Main[[#This Row],[تعداد روزهای بدهکار سررسید شده (روز)]]*Main[[#This Row],[مانده در خط سررسید شده (کیلوگرم)]]</f>
        <v>0</v>
      </c>
    </row>
    <row r="1866" spans="1:32" x14ac:dyDescent="0.35">
      <c r="A1866" s="5">
        <f>ROW()-ROW(INDEX(Main[ردیف],1))+1</f>
        <v>1864</v>
      </c>
      <c r="B1866" s="31">
        <f>SUBTOTAL(2,INDEX(Main[ردیف],1):Main[[#This Row],[ردیف]])</f>
        <v>166</v>
      </c>
      <c r="C1866" s="32" t="s">
        <v>731</v>
      </c>
      <c r="D1866" s="32" t="str">
        <f>_xlfn.CONCAT("14",Main[[#This Row],[تاريخ]])</f>
        <v>1400/07/24</v>
      </c>
      <c r="E1866" s="33">
        <v>44485</v>
      </c>
      <c r="F1866" s="32">
        <v>10003</v>
      </c>
      <c r="G1866" s="5" t="str">
        <f>INDEX(customer[عنوان],MATCH(Main[[#This Row],[کد ردیابی]],customer[کد],0))</f>
        <v>اصغر نورعلی</v>
      </c>
      <c r="H1866">
        <v>2554</v>
      </c>
      <c r="I1866" s="6">
        <f ca="1">-Main[[#This Row],[بدهی تسویه شده (کیلوگرم)]]+Main[[#This Row],[بستانکار (کیلوگرم)]]</f>
        <v>2554</v>
      </c>
      <c r="J1866" s="6">
        <f>IF(Main[[#This Row],[مقدار (کیلوگرم)]]&gt;0,Main[[#This Row],[مقدار (کیلوگرم)]],0)</f>
        <v>2554</v>
      </c>
      <c r="K1866" s="6">
        <f>-IF(Main[[#This Row],[مقدار (کیلوگرم)]]&lt;0,Main[[#This Row],[مقدار (کیلوگرم)]],0)</f>
        <v>0</v>
      </c>
      <c r="L18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6" s="7">
        <f>-IF(AND(Main[[#This Row],[مقدار (کیلوگرم)]]&lt;0,Main[[#This Row],[تاريخ میلادی]]&gt;44276),Main[[#This Row],[مقدار (کیلوگرم)]],0)</f>
        <v>0</v>
      </c>
      <c r="N1866" s="6">
        <f ca="1">Main[[#This Row],[بدهکار (کیلوگرم)]]-Main[[#This Row],[بدهی تسویه نشده (کیلوگرم)]]</f>
        <v>0</v>
      </c>
      <c r="O1866" s="6">
        <f ca="1">Main[[#This Row],[تفکیک]]</f>
        <v>0</v>
      </c>
      <c r="P1866" s="6">
        <f ca="1">IF(Main[[#This Row],[تاخیر از سررسید]]&gt;0,Main[[#This Row],[بدهی تسویه نشده (کیلوگرم)]],0)</f>
        <v>0</v>
      </c>
      <c r="Q1866" s="6">
        <f ca="1">IF(Main[[#This Row],[بدهی تسویه نشده (کیلوگرم)]]&gt;0,'گزارش فردی'!$B$7-Main[[#This Row],[تاريخ میلادی]],0)</f>
        <v>0</v>
      </c>
      <c r="R1866" s="6">
        <f ca="1">IF(Main[[#This Row],[بدهی تسویه نشده (کیلوگرم)]]&gt;0,'گزارش فردی'!$B$7-Main[[#This Row],[تاريخ میلادی]]-'گزارش فردی'!$B$8,0)</f>
        <v>0</v>
      </c>
      <c r="S1866" s="6">
        <f ca="1">Main[[#This Row],[روز از ارسال سفارش]]*Main[[#This Row],[بدهی تسویه نشده (کیلوگرم)]]</f>
        <v>0</v>
      </c>
      <c r="T1866" s="6">
        <f ca="1">Main[[#This Row],[بدهی سررسید شده (کیلوگرم)]]*Main[[#This Row],[روز از ارسال سفارش]]</f>
        <v>0</v>
      </c>
      <c r="U1866" s="6">
        <f>-SUBTOTAL(9,INDEX(Main[مقدار (کیلوگرم)],1):Main[[#This Row],[مقدار (کیلوگرم)]])</f>
        <v>23248</v>
      </c>
      <c r="V18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66" s="6">
        <f>Main[[#This Row],[تعداد کل روزهای بدهکار (روز)]]*Main[[#This Row],[مانده در خط کل (کیلوگرم)]]</f>
        <v>23248</v>
      </c>
      <c r="X1866" s="6">
        <f ca="1">-SUBTOTAL(9,INDEX(Main[مقدار تسویه شده (کیلوگرم)],1):Main[[#This Row],[مقدار تسویه شده (کیلوگرم)]])</f>
        <v>23248</v>
      </c>
      <c r="Y1866" s="6">
        <f ca="1">IF(Main[[#This Row],[مانده در خط تسویه شده (کیلوگرم)]]&lt;&gt;0,Main[[#This Row],[تعداد کل روزهای بدهکار (روز)]],0)</f>
        <v>1</v>
      </c>
      <c r="Z1866" s="6">
        <f ca="1">Main[[#This Row],[تعداد روزهای بدهکار تسویه شده (روز)]]*Main[[#This Row],[مانده در خط تسویه شده (کیلوگرم)]]</f>
        <v>23248</v>
      </c>
      <c r="AA1866" s="6">
        <f ca="1">SUBTOTAL(9,INDEX(Main[بدهی تسویه نشده (کیلوگرم)],1):Main[[#This Row],[بدهی تسویه نشده (کیلوگرم)]])</f>
        <v>0</v>
      </c>
      <c r="AB1866" s="6">
        <f ca="1">IF(Main[[#This Row],[مانده در خط تسویه نشده (کیلوگرم)]]&lt;&gt;0,Main[[#This Row],[تعداد کل روزهای بدهکار (روز)]],0)</f>
        <v>0</v>
      </c>
      <c r="AC1866" s="6">
        <f ca="1">Main[[#This Row],[تعداد روزهای بدهکار  تسویه نشده (روز)]]*Main[[#This Row],[مانده در خط تسویه نشده (کیلوگرم)]]</f>
        <v>0</v>
      </c>
      <c r="AD1866" s="6">
        <f ca="1">SUBTOTAL(9,INDEX(Main[بدهی سررسید شده (کیلوگرم)],1):Main[[#This Row],[بدهی سررسید شده (کیلوگرم)]])</f>
        <v>0</v>
      </c>
      <c r="AE1866" s="6">
        <f ca="1">IF(Main[[#This Row],[مانده در خط سررسید شده (کیلوگرم)]]&lt;&gt;0,Main[[#This Row],[تعداد کل روزهای بدهکار (روز)]],0)</f>
        <v>0</v>
      </c>
      <c r="AF1866" s="6">
        <f ca="1">Main[[#This Row],[تعداد روزهای بدهکار سررسید شده (روز)]]*Main[[#This Row],[مانده در خط سررسید شده (کیلوگرم)]]</f>
        <v>0</v>
      </c>
    </row>
    <row r="1867" spans="1:32" hidden="1" x14ac:dyDescent="0.35">
      <c r="A1867" s="5">
        <f>ROW()-ROW(INDEX(Main[ردیف],1))+1</f>
        <v>1865</v>
      </c>
      <c r="B1867" s="31">
        <f>SUBTOTAL(2,INDEX(Main[ردیف],1):Main[[#This Row],[ردیف]])</f>
        <v>166</v>
      </c>
      <c r="C1867" s="32" t="s">
        <v>731</v>
      </c>
      <c r="D1867" s="32" t="str">
        <f>_xlfn.CONCAT("14",Main[[#This Row],[تاريخ]])</f>
        <v>1400/07/24</v>
      </c>
      <c r="E1867" s="33">
        <v>44485</v>
      </c>
      <c r="F1867" s="32">
        <v>10018</v>
      </c>
      <c r="G1867" s="5" t="str">
        <f>INDEX(customer[عنوان],MATCH(Main[[#This Row],[کد ردیابی]],customer[کد],0))</f>
        <v xml:space="preserve">کوهی </v>
      </c>
      <c r="H1867">
        <v>-77</v>
      </c>
      <c r="I1867" s="6">
        <f ca="1">-Main[[#This Row],[بدهی تسویه شده (کیلوگرم)]]+Main[[#This Row],[بستانکار (کیلوگرم)]]</f>
        <v>-77</v>
      </c>
      <c r="J1867" s="6">
        <f>IF(Main[[#This Row],[مقدار (کیلوگرم)]]&gt;0,Main[[#This Row],[مقدار (کیلوگرم)]],0)</f>
        <v>0</v>
      </c>
      <c r="K1867" s="6">
        <f>-IF(Main[[#This Row],[مقدار (کیلوگرم)]]&lt;0,Main[[#This Row],[مقدار (کیلوگرم)]],0)</f>
        <v>77</v>
      </c>
      <c r="L18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7" s="7">
        <f>-IF(AND(Main[[#This Row],[مقدار (کیلوگرم)]]&lt;0,Main[[#This Row],[تاريخ میلادی]]&gt;44276),Main[[#This Row],[مقدار (کیلوگرم)]],0)</f>
        <v>77</v>
      </c>
      <c r="N1867" s="6">
        <f ca="1">Main[[#This Row],[بدهکار (کیلوگرم)]]-Main[[#This Row],[بدهی تسویه نشده (کیلوگرم)]]</f>
        <v>77</v>
      </c>
      <c r="O1867" s="6">
        <f ca="1">Main[[#This Row],[تفکیک]]</f>
        <v>0</v>
      </c>
      <c r="P1867" s="6">
        <f ca="1">IF(Main[[#This Row],[تاخیر از سررسید]]&gt;0,Main[[#This Row],[بدهی تسویه نشده (کیلوگرم)]],0)</f>
        <v>0</v>
      </c>
      <c r="Q1867" s="6">
        <f ca="1">IF(Main[[#This Row],[بدهی تسویه نشده (کیلوگرم)]]&gt;0,'گزارش فردی'!$B$7-Main[[#This Row],[تاريخ میلادی]],0)</f>
        <v>0</v>
      </c>
      <c r="R1867" s="6">
        <f ca="1">IF(Main[[#This Row],[بدهی تسویه نشده (کیلوگرم)]]&gt;0,'گزارش فردی'!$B$7-Main[[#This Row],[تاريخ میلادی]]-'گزارش فردی'!$B$8,0)</f>
        <v>0</v>
      </c>
      <c r="S1867" s="6">
        <f ca="1">Main[[#This Row],[روز از ارسال سفارش]]*Main[[#This Row],[بدهی تسویه نشده (کیلوگرم)]]</f>
        <v>0</v>
      </c>
      <c r="T1867" s="6">
        <f ca="1">Main[[#This Row],[بدهی سررسید شده (کیلوگرم)]]*Main[[#This Row],[روز از ارسال سفارش]]</f>
        <v>0</v>
      </c>
      <c r="U1867" s="6">
        <f>-SUBTOTAL(9,INDEX(Main[مقدار (کیلوگرم)],1):Main[[#This Row],[مقدار (کیلوگرم)]])</f>
        <v>23248</v>
      </c>
      <c r="V18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67" s="6">
        <f>Main[[#This Row],[تعداد کل روزهای بدهکار (روز)]]*Main[[#This Row],[مانده در خط کل (کیلوگرم)]]</f>
        <v>23248</v>
      </c>
      <c r="X1867" s="6">
        <f ca="1">-SUBTOTAL(9,INDEX(Main[مقدار تسویه شده (کیلوگرم)],1):Main[[#This Row],[مقدار تسویه شده (کیلوگرم)]])</f>
        <v>23248</v>
      </c>
      <c r="Y1867" s="6">
        <f ca="1">IF(Main[[#This Row],[مانده در خط تسویه شده (کیلوگرم)]]&lt;&gt;0,Main[[#This Row],[تعداد کل روزهای بدهکار (روز)]],0)</f>
        <v>1</v>
      </c>
      <c r="Z1867" s="6">
        <f ca="1">Main[[#This Row],[تعداد روزهای بدهکار تسویه شده (روز)]]*Main[[#This Row],[مانده در خط تسویه شده (کیلوگرم)]]</f>
        <v>23248</v>
      </c>
      <c r="AA1867" s="6">
        <f ca="1">SUBTOTAL(9,INDEX(Main[بدهی تسویه نشده (کیلوگرم)],1):Main[[#This Row],[بدهی تسویه نشده (کیلوگرم)]])</f>
        <v>0</v>
      </c>
      <c r="AB1867" s="6">
        <f ca="1">IF(Main[[#This Row],[مانده در خط تسویه نشده (کیلوگرم)]]&lt;&gt;0,Main[[#This Row],[تعداد کل روزهای بدهکار (روز)]],0)</f>
        <v>0</v>
      </c>
      <c r="AC1867" s="6">
        <f ca="1">Main[[#This Row],[تعداد روزهای بدهکار  تسویه نشده (روز)]]*Main[[#This Row],[مانده در خط تسویه نشده (کیلوگرم)]]</f>
        <v>0</v>
      </c>
      <c r="AD1867" s="6">
        <f ca="1">SUBTOTAL(9,INDEX(Main[بدهی سررسید شده (کیلوگرم)],1):Main[[#This Row],[بدهی سررسید شده (کیلوگرم)]])</f>
        <v>0</v>
      </c>
      <c r="AE1867" s="6">
        <f ca="1">IF(Main[[#This Row],[مانده در خط سررسید شده (کیلوگرم)]]&lt;&gt;0,Main[[#This Row],[تعداد کل روزهای بدهکار (روز)]],0)</f>
        <v>0</v>
      </c>
      <c r="AF1867" s="6">
        <f ca="1">Main[[#This Row],[تعداد روزهای بدهکار سررسید شده (روز)]]*Main[[#This Row],[مانده در خط سررسید شده (کیلوگرم)]]</f>
        <v>0</v>
      </c>
    </row>
    <row r="1868" spans="1:32" hidden="1" x14ac:dyDescent="0.35">
      <c r="A1868" s="5">
        <f>ROW()-ROW(INDEX(Main[ردیف],1))+1</f>
        <v>1866</v>
      </c>
      <c r="B1868" s="31">
        <f>SUBTOTAL(2,INDEX(Main[ردیف],1):Main[[#This Row],[ردیف]])</f>
        <v>166</v>
      </c>
      <c r="C1868" s="32" t="s">
        <v>731</v>
      </c>
      <c r="D1868" s="32" t="str">
        <f>_xlfn.CONCAT("14",Main[[#This Row],[تاريخ]])</f>
        <v>1400/07/24</v>
      </c>
      <c r="E1868" s="33">
        <v>44485</v>
      </c>
      <c r="F1868" s="32">
        <v>10055</v>
      </c>
      <c r="G1868" s="5" t="str">
        <f>INDEX(customer[عنوان],MATCH(Main[[#This Row],[کد ردیابی]],customer[کد],0))</f>
        <v xml:space="preserve">مریم فیض آبادی  </v>
      </c>
      <c r="H1868">
        <v>-4848</v>
      </c>
      <c r="I1868" s="6">
        <f ca="1">-Main[[#This Row],[بدهی تسویه شده (کیلوگرم)]]+Main[[#This Row],[بستانکار (کیلوگرم)]]</f>
        <v>-4848</v>
      </c>
      <c r="J1868" s="6">
        <f>IF(Main[[#This Row],[مقدار (کیلوگرم)]]&gt;0,Main[[#This Row],[مقدار (کیلوگرم)]],0)</f>
        <v>0</v>
      </c>
      <c r="K1868" s="6">
        <f>-IF(Main[[#This Row],[مقدار (کیلوگرم)]]&lt;0,Main[[#This Row],[مقدار (کیلوگرم)]],0)</f>
        <v>4848</v>
      </c>
      <c r="L18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8" s="7">
        <f>-IF(AND(Main[[#This Row],[مقدار (کیلوگرم)]]&lt;0,Main[[#This Row],[تاريخ میلادی]]&gt;44276),Main[[#This Row],[مقدار (کیلوگرم)]],0)</f>
        <v>4848</v>
      </c>
      <c r="N1868" s="6">
        <f ca="1">Main[[#This Row],[بدهکار (کیلوگرم)]]-Main[[#This Row],[بدهی تسویه نشده (کیلوگرم)]]</f>
        <v>4848</v>
      </c>
      <c r="O1868" s="6">
        <f ca="1">Main[[#This Row],[تفکیک]]</f>
        <v>0</v>
      </c>
      <c r="P1868" s="6">
        <f ca="1">IF(Main[[#This Row],[تاخیر از سررسید]]&gt;0,Main[[#This Row],[بدهی تسویه نشده (کیلوگرم)]],0)</f>
        <v>0</v>
      </c>
      <c r="Q1868" s="6">
        <f ca="1">IF(Main[[#This Row],[بدهی تسویه نشده (کیلوگرم)]]&gt;0,'گزارش فردی'!$B$7-Main[[#This Row],[تاريخ میلادی]],0)</f>
        <v>0</v>
      </c>
      <c r="R1868" s="6">
        <f ca="1">IF(Main[[#This Row],[بدهی تسویه نشده (کیلوگرم)]]&gt;0,'گزارش فردی'!$B$7-Main[[#This Row],[تاريخ میلادی]]-'گزارش فردی'!$B$8,0)</f>
        <v>0</v>
      </c>
      <c r="S1868" s="6">
        <f ca="1">Main[[#This Row],[روز از ارسال سفارش]]*Main[[#This Row],[بدهی تسویه نشده (کیلوگرم)]]</f>
        <v>0</v>
      </c>
      <c r="T1868" s="6">
        <f ca="1">Main[[#This Row],[بدهی سررسید شده (کیلوگرم)]]*Main[[#This Row],[روز از ارسال سفارش]]</f>
        <v>0</v>
      </c>
      <c r="U1868" s="6">
        <f>-SUBTOTAL(9,INDEX(Main[مقدار (کیلوگرم)],1):Main[[#This Row],[مقدار (کیلوگرم)]])</f>
        <v>23248</v>
      </c>
      <c r="V18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68" s="6">
        <f>Main[[#This Row],[تعداد کل روزهای بدهکار (روز)]]*Main[[#This Row],[مانده در خط کل (کیلوگرم)]]</f>
        <v>23248</v>
      </c>
      <c r="X1868" s="6">
        <f ca="1">-SUBTOTAL(9,INDEX(Main[مقدار تسویه شده (کیلوگرم)],1):Main[[#This Row],[مقدار تسویه شده (کیلوگرم)]])</f>
        <v>23248</v>
      </c>
      <c r="Y1868" s="6">
        <f ca="1">IF(Main[[#This Row],[مانده در خط تسویه شده (کیلوگرم)]]&lt;&gt;0,Main[[#This Row],[تعداد کل روزهای بدهکار (روز)]],0)</f>
        <v>1</v>
      </c>
      <c r="Z1868" s="6">
        <f ca="1">Main[[#This Row],[تعداد روزهای بدهکار تسویه شده (روز)]]*Main[[#This Row],[مانده در خط تسویه شده (کیلوگرم)]]</f>
        <v>23248</v>
      </c>
      <c r="AA1868" s="6">
        <f ca="1">SUBTOTAL(9,INDEX(Main[بدهی تسویه نشده (کیلوگرم)],1):Main[[#This Row],[بدهی تسویه نشده (کیلوگرم)]])</f>
        <v>0</v>
      </c>
      <c r="AB1868" s="6">
        <f ca="1">IF(Main[[#This Row],[مانده در خط تسویه نشده (کیلوگرم)]]&lt;&gt;0,Main[[#This Row],[تعداد کل روزهای بدهکار (روز)]],0)</f>
        <v>0</v>
      </c>
      <c r="AC1868" s="6">
        <f ca="1">Main[[#This Row],[تعداد روزهای بدهکار  تسویه نشده (روز)]]*Main[[#This Row],[مانده در خط تسویه نشده (کیلوگرم)]]</f>
        <v>0</v>
      </c>
      <c r="AD1868" s="6">
        <f ca="1">SUBTOTAL(9,INDEX(Main[بدهی سررسید شده (کیلوگرم)],1):Main[[#This Row],[بدهی سررسید شده (کیلوگرم)]])</f>
        <v>0</v>
      </c>
      <c r="AE1868" s="6">
        <f ca="1">IF(Main[[#This Row],[مانده در خط سررسید شده (کیلوگرم)]]&lt;&gt;0,Main[[#This Row],[تعداد کل روزهای بدهکار (روز)]],0)</f>
        <v>0</v>
      </c>
      <c r="AF1868" s="6">
        <f ca="1">Main[[#This Row],[تعداد روزهای بدهکار سررسید شده (روز)]]*Main[[#This Row],[مانده در خط سررسید شده (کیلوگرم)]]</f>
        <v>0</v>
      </c>
    </row>
    <row r="1869" spans="1:32" hidden="1" x14ac:dyDescent="0.35">
      <c r="A1869" s="5">
        <f>ROW()-ROW(INDEX(Main[ردیف],1))+1</f>
        <v>1867</v>
      </c>
      <c r="B1869" s="31">
        <f>SUBTOTAL(2,INDEX(Main[ردیف],1):Main[[#This Row],[ردیف]])</f>
        <v>166</v>
      </c>
      <c r="C1869" s="32" t="s">
        <v>732</v>
      </c>
      <c r="D1869" s="32" t="str">
        <f>_xlfn.CONCAT("14",Main[[#This Row],[تاريخ]])</f>
        <v>1400/07/25</v>
      </c>
      <c r="E1869" s="33">
        <v>44486</v>
      </c>
      <c r="F1869" s="32">
        <v>30009</v>
      </c>
      <c r="G1869" s="5" t="str">
        <f>INDEX(customer[عنوان],MATCH(Main[[#This Row],[کد ردیابی]],customer[کد],0))</f>
        <v>شرکت ایمن تک پیشرو</v>
      </c>
      <c r="H1869">
        <v>771</v>
      </c>
      <c r="I1869" s="6">
        <f ca="1">-Main[[#This Row],[بدهی تسویه شده (کیلوگرم)]]+Main[[#This Row],[بستانکار (کیلوگرم)]]</f>
        <v>771</v>
      </c>
      <c r="J1869" s="6">
        <f>IF(Main[[#This Row],[مقدار (کیلوگرم)]]&gt;0,Main[[#This Row],[مقدار (کیلوگرم)]],0)</f>
        <v>771</v>
      </c>
      <c r="K1869" s="6">
        <f>-IF(Main[[#This Row],[مقدار (کیلوگرم)]]&lt;0,Main[[#This Row],[مقدار (کیلوگرم)]],0)</f>
        <v>0</v>
      </c>
      <c r="L18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9" s="7">
        <f>-IF(AND(Main[[#This Row],[مقدار (کیلوگرم)]]&lt;0,Main[[#This Row],[تاريخ میلادی]]&gt;44276),Main[[#This Row],[مقدار (کیلوگرم)]],0)</f>
        <v>0</v>
      </c>
      <c r="N1869" s="6">
        <f ca="1">Main[[#This Row],[بدهکار (کیلوگرم)]]-Main[[#This Row],[بدهی تسویه نشده (کیلوگرم)]]</f>
        <v>0</v>
      </c>
      <c r="O1869" s="6">
        <f ca="1">Main[[#This Row],[تفکیک]]</f>
        <v>0</v>
      </c>
      <c r="P1869" s="6">
        <f ca="1">IF(Main[[#This Row],[تاخیر از سررسید]]&gt;0,Main[[#This Row],[بدهی تسویه نشده (کیلوگرم)]],0)</f>
        <v>0</v>
      </c>
      <c r="Q1869" s="6">
        <f ca="1">IF(Main[[#This Row],[بدهی تسویه نشده (کیلوگرم)]]&gt;0,'گزارش فردی'!$B$7-Main[[#This Row],[تاريخ میلادی]],0)</f>
        <v>0</v>
      </c>
      <c r="R1869" s="6">
        <f ca="1">IF(Main[[#This Row],[بدهی تسویه نشده (کیلوگرم)]]&gt;0,'گزارش فردی'!$B$7-Main[[#This Row],[تاريخ میلادی]]-'گزارش فردی'!$B$8,0)</f>
        <v>0</v>
      </c>
      <c r="S1869" s="6">
        <f ca="1">Main[[#This Row],[روز از ارسال سفارش]]*Main[[#This Row],[بدهی تسویه نشده (کیلوگرم)]]</f>
        <v>0</v>
      </c>
      <c r="T1869" s="6">
        <f ca="1">Main[[#This Row],[بدهی سررسید شده (کیلوگرم)]]*Main[[#This Row],[روز از ارسال سفارش]]</f>
        <v>0</v>
      </c>
      <c r="U1869" s="6">
        <f>-SUBTOTAL(9,INDEX(Main[مقدار (کیلوگرم)],1):Main[[#This Row],[مقدار (کیلوگرم)]])</f>
        <v>23248</v>
      </c>
      <c r="V18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9" s="6">
        <f>Main[[#This Row],[تعداد کل روزهای بدهکار (روز)]]*Main[[#This Row],[مانده در خط کل (کیلوگرم)]]</f>
        <v>0</v>
      </c>
      <c r="X1869" s="6">
        <f ca="1">-SUBTOTAL(9,INDEX(Main[مقدار تسویه شده (کیلوگرم)],1):Main[[#This Row],[مقدار تسویه شده (کیلوگرم)]])</f>
        <v>23248</v>
      </c>
      <c r="Y1869" s="6">
        <f ca="1">IF(Main[[#This Row],[مانده در خط تسویه شده (کیلوگرم)]]&lt;&gt;0,Main[[#This Row],[تعداد کل روزهای بدهکار (روز)]],0)</f>
        <v>0</v>
      </c>
      <c r="Z1869" s="6">
        <f ca="1">Main[[#This Row],[تعداد روزهای بدهکار تسویه شده (روز)]]*Main[[#This Row],[مانده در خط تسویه شده (کیلوگرم)]]</f>
        <v>0</v>
      </c>
      <c r="AA1869" s="6">
        <f ca="1">SUBTOTAL(9,INDEX(Main[بدهی تسویه نشده (کیلوگرم)],1):Main[[#This Row],[بدهی تسویه نشده (کیلوگرم)]])</f>
        <v>0</v>
      </c>
      <c r="AB1869" s="6">
        <f ca="1">IF(Main[[#This Row],[مانده در خط تسویه نشده (کیلوگرم)]]&lt;&gt;0,Main[[#This Row],[تعداد کل روزهای بدهکار (روز)]],0)</f>
        <v>0</v>
      </c>
      <c r="AC1869" s="6">
        <f ca="1">Main[[#This Row],[تعداد روزهای بدهکار  تسویه نشده (روز)]]*Main[[#This Row],[مانده در خط تسویه نشده (کیلوگرم)]]</f>
        <v>0</v>
      </c>
      <c r="AD1869" s="6">
        <f ca="1">SUBTOTAL(9,INDEX(Main[بدهی سررسید شده (کیلوگرم)],1):Main[[#This Row],[بدهی سررسید شده (کیلوگرم)]])</f>
        <v>0</v>
      </c>
      <c r="AE1869" s="6">
        <f ca="1">IF(Main[[#This Row],[مانده در خط سررسید شده (کیلوگرم)]]&lt;&gt;0,Main[[#This Row],[تعداد کل روزهای بدهکار (روز)]],0)</f>
        <v>0</v>
      </c>
      <c r="AF1869" s="6">
        <f ca="1">Main[[#This Row],[تعداد روزهای بدهکار سررسید شده (روز)]]*Main[[#This Row],[مانده در خط سررسید شده (کیلوگرم)]]</f>
        <v>0</v>
      </c>
    </row>
    <row r="1870" spans="1:32" hidden="1" x14ac:dyDescent="0.35">
      <c r="A1870" s="5">
        <f>ROW()-ROW(INDEX(Main[ردیف],1))+1</f>
        <v>1868</v>
      </c>
      <c r="B1870" s="31">
        <f>SUBTOTAL(2,INDEX(Main[ردیف],1):Main[[#This Row],[ردیف]])</f>
        <v>166</v>
      </c>
      <c r="C1870" s="32" t="s">
        <v>732</v>
      </c>
      <c r="D1870" s="32" t="str">
        <f>_xlfn.CONCAT("14",Main[[#This Row],[تاريخ]])</f>
        <v>1400/07/25</v>
      </c>
      <c r="E1870" s="33">
        <v>44486</v>
      </c>
      <c r="F1870" s="32">
        <v>30099</v>
      </c>
      <c r="G1870" s="5" t="str">
        <f>INDEX(customer[عنوان],MATCH(Main[[#This Row],[کد ردیابی]],customer[کد],0))</f>
        <v>ایران شرق نیشابور</v>
      </c>
      <c r="H1870">
        <v>-2514</v>
      </c>
      <c r="I1870" s="6">
        <f ca="1">-Main[[#This Row],[بدهی تسویه شده (کیلوگرم)]]+Main[[#This Row],[بستانکار (کیلوگرم)]]</f>
        <v>-2514</v>
      </c>
      <c r="J1870" s="6">
        <f>IF(Main[[#This Row],[مقدار (کیلوگرم)]]&gt;0,Main[[#This Row],[مقدار (کیلوگرم)]],0)</f>
        <v>0</v>
      </c>
      <c r="K1870" s="6">
        <f>-IF(Main[[#This Row],[مقدار (کیلوگرم)]]&lt;0,Main[[#This Row],[مقدار (کیلوگرم)]],0)</f>
        <v>2514</v>
      </c>
      <c r="L18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0" s="7">
        <f>-IF(AND(Main[[#This Row],[مقدار (کیلوگرم)]]&lt;0,Main[[#This Row],[تاريخ میلادی]]&gt;44276),Main[[#This Row],[مقدار (کیلوگرم)]],0)</f>
        <v>2514</v>
      </c>
      <c r="N1870" s="6">
        <f ca="1">Main[[#This Row],[بدهکار (کیلوگرم)]]-Main[[#This Row],[بدهی تسویه نشده (کیلوگرم)]]</f>
        <v>2514</v>
      </c>
      <c r="O1870" s="6">
        <f ca="1">Main[[#This Row],[تفکیک]]</f>
        <v>0</v>
      </c>
      <c r="P1870" s="6">
        <f ca="1">IF(Main[[#This Row],[تاخیر از سررسید]]&gt;0,Main[[#This Row],[بدهی تسویه نشده (کیلوگرم)]],0)</f>
        <v>0</v>
      </c>
      <c r="Q1870" s="6">
        <f ca="1">IF(Main[[#This Row],[بدهی تسویه نشده (کیلوگرم)]]&gt;0,'گزارش فردی'!$B$7-Main[[#This Row],[تاريخ میلادی]],0)</f>
        <v>0</v>
      </c>
      <c r="R1870" s="6">
        <f ca="1">IF(Main[[#This Row],[بدهی تسویه نشده (کیلوگرم)]]&gt;0,'گزارش فردی'!$B$7-Main[[#This Row],[تاريخ میلادی]]-'گزارش فردی'!$B$8,0)</f>
        <v>0</v>
      </c>
      <c r="S1870" s="6">
        <f ca="1">Main[[#This Row],[روز از ارسال سفارش]]*Main[[#This Row],[بدهی تسویه نشده (کیلوگرم)]]</f>
        <v>0</v>
      </c>
      <c r="T1870" s="6">
        <f ca="1">Main[[#This Row],[بدهی سررسید شده (کیلوگرم)]]*Main[[#This Row],[روز از ارسال سفارش]]</f>
        <v>0</v>
      </c>
      <c r="U1870" s="6">
        <f>-SUBTOTAL(9,INDEX(Main[مقدار (کیلوگرم)],1):Main[[#This Row],[مقدار (کیلوگرم)]])</f>
        <v>23248</v>
      </c>
      <c r="V18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0" s="6">
        <f>Main[[#This Row],[تعداد کل روزهای بدهکار (روز)]]*Main[[#This Row],[مانده در خط کل (کیلوگرم)]]</f>
        <v>0</v>
      </c>
      <c r="X1870" s="6">
        <f ca="1">-SUBTOTAL(9,INDEX(Main[مقدار تسویه شده (کیلوگرم)],1):Main[[#This Row],[مقدار تسویه شده (کیلوگرم)]])</f>
        <v>23248</v>
      </c>
      <c r="Y1870" s="6">
        <f ca="1">IF(Main[[#This Row],[مانده در خط تسویه شده (کیلوگرم)]]&lt;&gt;0,Main[[#This Row],[تعداد کل روزهای بدهکار (روز)]],0)</f>
        <v>0</v>
      </c>
      <c r="Z1870" s="6">
        <f ca="1">Main[[#This Row],[تعداد روزهای بدهکار تسویه شده (روز)]]*Main[[#This Row],[مانده در خط تسویه شده (کیلوگرم)]]</f>
        <v>0</v>
      </c>
      <c r="AA1870" s="6">
        <f ca="1">SUBTOTAL(9,INDEX(Main[بدهی تسویه نشده (کیلوگرم)],1):Main[[#This Row],[بدهی تسویه نشده (کیلوگرم)]])</f>
        <v>0</v>
      </c>
      <c r="AB1870" s="6">
        <f ca="1">IF(Main[[#This Row],[مانده در خط تسویه نشده (کیلوگرم)]]&lt;&gt;0,Main[[#This Row],[تعداد کل روزهای بدهکار (روز)]],0)</f>
        <v>0</v>
      </c>
      <c r="AC1870" s="6">
        <f ca="1">Main[[#This Row],[تعداد روزهای بدهکار  تسویه نشده (روز)]]*Main[[#This Row],[مانده در خط تسویه نشده (کیلوگرم)]]</f>
        <v>0</v>
      </c>
      <c r="AD1870" s="6">
        <f ca="1">SUBTOTAL(9,INDEX(Main[بدهی سررسید شده (کیلوگرم)],1):Main[[#This Row],[بدهی سررسید شده (کیلوگرم)]])</f>
        <v>0</v>
      </c>
      <c r="AE1870" s="6">
        <f ca="1">IF(Main[[#This Row],[مانده در خط سررسید شده (کیلوگرم)]]&lt;&gt;0,Main[[#This Row],[تعداد کل روزهای بدهکار (روز)]],0)</f>
        <v>0</v>
      </c>
      <c r="AF1870" s="6">
        <f ca="1">Main[[#This Row],[تعداد روزهای بدهکار سررسید شده (روز)]]*Main[[#This Row],[مانده در خط سررسید شده (کیلوگرم)]]</f>
        <v>0</v>
      </c>
    </row>
    <row r="1871" spans="1:32" hidden="1" x14ac:dyDescent="0.35">
      <c r="A1871" s="5">
        <f>ROW()-ROW(INDEX(Main[ردیف],1))+1</f>
        <v>1869</v>
      </c>
      <c r="B1871" s="31">
        <f>SUBTOTAL(2,INDEX(Main[ردیف],1):Main[[#This Row],[ردیف]])</f>
        <v>166</v>
      </c>
      <c r="C1871" s="32" t="s">
        <v>732</v>
      </c>
      <c r="D1871" s="32" t="str">
        <f>_xlfn.CONCAT("14",Main[[#This Row],[تاريخ]])</f>
        <v>1400/07/25</v>
      </c>
      <c r="E1871" s="33">
        <v>44486</v>
      </c>
      <c r="F1871" s="32">
        <v>30164</v>
      </c>
      <c r="G1871" s="5" t="str">
        <f>INDEX(customer[عنوان],MATCH(Main[[#This Row],[کد ردیابی]],customer[کد],0))</f>
        <v xml:space="preserve">پارت الکتریک </v>
      </c>
      <c r="H1871">
        <v>742</v>
      </c>
      <c r="I1871" s="6">
        <f ca="1">-Main[[#This Row],[بدهی تسویه شده (کیلوگرم)]]+Main[[#This Row],[بستانکار (کیلوگرم)]]</f>
        <v>742</v>
      </c>
      <c r="J1871" s="6">
        <f>IF(Main[[#This Row],[مقدار (کیلوگرم)]]&gt;0,Main[[#This Row],[مقدار (کیلوگرم)]],0)</f>
        <v>742</v>
      </c>
      <c r="K1871" s="6">
        <f>-IF(Main[[#This Row],[مقدار (کیلوگرم)]]&lt;0,Main[[#This Row],[مقدار (کیلوگرم)]],0)</f>
        <v>0</v>
      </c>
      <c r="L18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1" s="7">
        <f>-IF(AND(Main[[#This Row],[مقدار (کیلوگرم)]]&lt;0,Main[[#This Row],[تاريخ میلادی]]&gt;44276),Main[[#This Row],[مقدار (کیلوگرم)]],0)</f>
        <v>0</v>
      </c>
      <c r="N1871" s="6">
        <f ca="1">Main[[#This Row],[بدهکار (کیلوگرم)]]-Main[[#This Row],[بدهی تسویه نشده (کیلوگرم)]]</f>
        <v>0</v>
      </c>
      <c r="O1871" s="6">
        <f ca="1">Main[[#This Row],[تفکیک]]</f>
        <v>0</v>
      </c>
      <c r="P1871" s="6">
        <f ca="1">IF(Main[[#This Row],[تاخیر از سررسید]]&gt;0,Main[[#This Row],[بدهی تسویه نشده (کیلوگرم)]],0)</f>
        <v>0</v>
      </c>
      <c r="Q1871" s="6">
        <f ca="1">IF(Main[[#This Row],[بدهی تسویه نشده (کیلوگرم)]]&gt;0,'گزارش فردی'!$B$7-Main[[#This Row],[تاريخ میلادی]],0)</f>
        <v>0</v>
      </c>
      <c r="R1871" s="6">
        <f ca="1">IF(Main[[#This Row],[بدهی تسویه نشده (کیلوگرم)]]&gt;0,'گزارش فردی'!$B$7-Main[[#This Row],[تاريخ میلادی]]-'گزارش فردی'!$B$8,0)</f>
        <v>0</v>
      </c>
      <c r="S1871" s="6">
        <f ca="1">Main[[#This Row],[روز از ارسال سفارش]]*Main[[#This Row],[بدهی تسویه نشده (کیلوگرم)]]</f>
        <v>0</v>
      </c>
      <c r="T1871" s="6">
        <f ca="1">Main[[#This Row],[بدهی سررسید شده (کیلوگرم)]]*Main[[#This Row],[روز از ارسال سفارش]]</f>
        <v>0</v>
      </c>
      <c r="U1871" s="6">
        <f>-SUBTOTAL(9,INDEX(Main[مقدار (کیلوگرم)],1):Main[[#This Row],[مقدار (کیلوگرم)]])</f>
        <v>23248</v>
      </c>
      <c r="V18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1" s="6">
        <f>Main[[#This Row],[تعداد کل روزهای بدهکار (روز)]]*Main[[#This Row],[مانده در خط کل (کیلوگرم)]]</f>
        <v>0</v>
      </c>
      <c r="X1871" s="6">
        <f ca="1">-SUBTOTAL(9,INDEX(Main[مقدار تسویه شده (کیلوگرم)],1):Main[[#This Row],[مقدار تسویه شده (کیلوگرم)]])</f>
        <v>23248</v>
      </c>
      <c r="Y1871" s="6">
        <f ca="1">IF(Main[[#This Row],[مانده در خط تسویه شده (کیلوگرم)]]&lt;&gt;0,Main[[#This Row],[تعداد کل روزهای بدهکار (روز)]],0)</f>
        <v>0</v>
      </c>
      <c r="Z1871" s="6">
        <f ca="1">Main[[#This Row],[تعداد روزهای بدهکار تسویه شده (روز)]]*Main[[#This Row],[مانده در خط تسویه شده (کیلوگرم)]]</f>
        <v>0</v>
      </c>
      <c r="AA1871" s="6">
        <f ca="1">SUBTOTAL(9,INDEX(Main[بدهی تسویه نشده (کیلوگرم)],1):Main[[#This Row],[بدهی تسویه نشده (کیلوگرم)]])</f>
        <v>0</v>
      </c>
      <c r="AB1871" s="6">
        <f ca="1">IF(Main[[#This Row],[مانده در خط تسویه نشده (کیلوگرم)]]&lt;&gt;0,Main[[#This Row],[تعداد کل روزهای بدهکار (روز)]],0)</f>
        <v>0</v>
      </c>
      <c r="AC1871" s="6">
        <f ca="1">Main[[#This Row],[تعداد روزهای بدهکار  تسویه نشده (روز)]]*Main[[#This Row],[مانده در خط تسویه نشده (کیلوگرم)]]</f>
        <v>0</v>
      </c>
      <c r="AD1871" s="6">
        <f ca="1">SUBTOTAL(9,INDEX(Main[بدهی سررسید شده (کیلوگرم)],1):Main[[#This Row],[بدهی سررسید شده (کیلوگرم)]])</f>
        <v>0</v>
      </c>
      <c r="AE1871" s="6">
        <f ca="1">IF(Main[[#This Row],[مانده در خط سررسید شده (کیلوگرم)]]&lt;&gt;0,Main[[#This Row],[تعداد کل روزهای بدهکار (روز)]],0)</f>
        <v>0</v>
      </c>
      <c r="AF1871" s="6">
        <f ca="1">Main[[#This Row],[تعداد روزهای بدهکار سررسید شده (روز)]]*Main[[#This Row],[مانده در خط سررسید شده (کیلوگرم)]]</f>
        <v>0</v>
      </c>
    </row>
    <row r="1872" spans="1:32" hidden="1" x14ac:dyDescent="0.35">
      <c r="A1872" s="5">
        <f>ROW()-ROW(INDEX(Main[ردیف],1))+1</f>
        <v>1870</v>
      </c>
      <c r="B1872" s="31">
        <f>SUBTOTAL(2,INDEX(Main[ردیف],1):Main[[#This Row],[ردیف]])</f>
        <v>166</v>
      </c>
      <c r="C1872" s="32" t="s">
        <v>732</v>
      </c>
      <c r="D1872" s="32" t="str">
        <f>_xlfn.CONCAT("14",Main[[#This Row],[تاريخ]])</f>
        <v>1400/07/25</v>
      </c>
      <c r="E1872" s="33">
        <v>44486</v>
      </c>
      <c r="F1872" s="32">
        <v>30164</v>
      </c>
      <c r="G1872" s="5" t="str">
        <f>INDEX(customer[عنوان],MATCH(Main[[#This Row],[کد ردیابی]],customer[کد],0))</f>
        <v xml:space="preserve">پارت الکتریک </v>
      </c>
      <c r="H1872">
        <v>-873</v>
      </c>
      <c r="I1872" s="6">
        <f ca="1">-Main[[#This Row],[بدهی تسویه شده (کیلوگرم)]]+Main[[#This Row],[بستانکار (کیلوگرم)]]</f>
        <v>-873</v>
      </c>
      <c r="J1872" s="6">
        <f>IF(Main[[#This Row],[مقدار (کیلوگرم)]]&gt;0,Main[[#This Row],[مقدار (کیلوگرم)]],0)</f>
        <v>0</v>
      </c>
      <c r="K1872" s="6">
        <f>-IF(Main[[#This Row],[مقدار (کیلوگرم)]]&lt;0,Main[[#This Row],[مقدار (کیلوگرم)]],0)</f>
        <v>873</v>
      </c>
      <c r="L18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2" s="7">
        <f>-IF(AND(Main[[#This Row],[مقدار (کیلوگرم)]]&lt;0,Main[[#This Row],[تاريخ میلادی]]&gt;44276),Main[[#This Row],[مقدار (کیلوگرم)]],0)</f>
        <v>873</v>
      </c>
      <c r="N1872" s="6">
        <f ca="1">Main[[#This Row],[بدهکار (کیلوگرم)]]-Main[[#This Row],[بدهی تسویه نشده (کیلوگرم)]]</f>
        <v>873</v>
      </c>
      <c r="O1872" s="6">
        <f ca="1">Main[[#This Row],[تفکیک]]</f>
        <v>0</v>
      </c>
      <c r="P1872" s="6">
        <f ca="1">IF(Main[[#This Row],[تاخیر از سررسید]]&gt;0,Main[[#This Row],[بدهی تسویه نشده (کیلوگرم)]],0)</f>
        <v>0</v>
      </c>
      <c r="Q1872" s="6">
        <f ca="1">IF(Main[[#This Row],[بدهی تسویه نشده (کیلوگرم)]]&gt;0,'گزارش فردی'!$B$7-Main[[#This Row],[تاريخ میلادی]],0)</f>
        <v>0</v>
      </c>
      <c r="R1872" s="6">
        <f ca="1">IF(Main[[#This Row],[بدهی تسویه نشده (کیلوگرم)]]&gt;0,'گزارش فردی'!$B$7-Main[[#This Row],[تاريخ میلادی]]-'گزارش فردی'!$B$8,0)</f>
        <v>0</v>
      </c>
      <c r="S1872" s="6">
        <f ca="1">Main[[#This Row],[روز از ارسال سفارش]]*Main[[#This Row],[بدهی تسویه نشده (کیلوگرم)]]</f>
        <v>0</v>
      </c>
      <c r="T1872" s="6">
        <f ca="1">Main[[#This Row],[بدهی سررسید شده (کیلوگرم)]]*Main[[#This Row],[روز از ارسال سفارش]]</f>
        <v>0</v>
      </c>
      <c r="U1872" s="6">
        <f>-SUBTOTAL(9,INDEX(Main[مقدار (کیلوگرم)],1):Main[[#This Row],[مقدار (کیلوگرم)]])</f>
        <v>23248</v>
      </c>
      <c r="V18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2" s="6">
        <f>Main[[#This Row],[تعداد کل روزهای بدهکار (روز)]]*Main[[#This Row],[مانده در خط کل (کیلوگرم)]]</f>
        <v>0</v>
      </c>
      <c r="X1872" s="6">
        <f ca="1">-SUBTOTAL(9,INDEX(Main[مقدار تسویه شده (کیلوگرم)],1):Main[[#This Row],[مقدار تسویه شده (کیلوگرم)]])</f>
        <v>23248</v>
      </c>
      <c r="Y1872" s="6">
        <f ca="1">IF(Main[[#This Row],[مانده در خط تسویه شده (کیلوگرم)]]&lt;&gt;0,Main[[#This Row],[تعداد کل روزهای بدهکار (روز)]],0)</f>
        <v>0</v>
      </c>
      <c r="Z1872" s="6">
        <f ca="1">Main[[#This Row],[تعداد روزهای بدهکار تسویه شده (روز)]]*Main[[#This Row],[مانده در خط تسویه شده (کیلوگرم)]]</f>
        <v>0</v>
      </c>
      <c r="AA1872" s="6">
        <f ca="1">SUBTOTAL(9,INDEX(Main[بدهی تسویه نشده (کیلوگرم)],1):Main[[#This Row],[بدهی تسویه نشده (کیلوگرم)]])</f>
        <v>0</v>
      </c>
      <c r="AB1872" s="6">
        <f ca="1">IF(Main[[#This Row],[مانده در خط تسویه نشده (کیلوگرم)]]&lt;&gt;0,Main[[#This Row],[تعداد کل روزهای بدهکار (روز)]],0)</f>
        <v>0</v>
      </c>
      <c r="AC1872" s="6">
        <f ca="1">Main[[#This Row],[تعداد روزهای بدهکار  تسویه نشده (روز)]]*Main[[#This Row],[مانده در خط تسویه نشده (کیلوگرم)]]</f>
        <v>0</v>
      </c>
      <c r="AD1872" s="6">
        <f ca="1">SUBTOTAL(9,INDEX(Main[بدهی سررسید شده (کیلوگرم)],1):Main[[#This Row],[بدهی سررسید شده (کیلوگرم)]])</f>
        <v>0</v>
      </c>
      <c r="AE1872" s="6">
        <f ca="1">IF(Main[[#This Row],[مانده در خط سررسید شده (کیلوگرم)]]&lt;&gt;0,Main[[#This Row],[تعداد کل روزهای بدهکار (روز)]],0)</f>
        <v>0</v>
      </c>
      <c r="AF1872" s="6">
        <f ca="1">Main[[#This Row],[تعداد روزهای بدهکار سررسید شده (روز)]]*Main[[#This Row],[مانده در خط سررسید شده (کیلوگرم)]]</f>
        <v>0</v>
      </c>
    </row>
    <row r="1873" spans="1:32" hidden="1" x14ac:dyDescent="0.35">
      <c r="A1873" s="5">
        <f>ROW()-ROW(INDEX(Main[ردیف],1))+1</f>
        <v>1871</v>
      </c>
      <c r="B1873" s="31">
        <f>SUBTOTAL(2,INDEX(Main[ردیف],1):Main[[#This Row],[ردیف]])</f>
        <v>166</v>
      </c>
      <c r="C1873" s="32" t="s">
        <v>732</v>
      </c>
      <c r="D1873" s="32" t="str">
        <f>_xlfn.CONCAT("14",Main[[#This Row],[تاريخ]])</f>
        <v>1400/07/25</v>
      </c>
      <c r="E1873" s="33">
        <v>44486</v>
      </c>
      <c r="F1873" s="32">
        <v>10026</v>
      </c>
      <c r="G1873" s="5" t="str">
        <f>INDEX(customer[عنوان],MATCH(Main[[#This Row],[کد ردیابی]],customer[کد],0))</f>
        <v xml:space="preserve">محسن فیاض بخش </v>
      </c>
      <c r="H1873">
        <v>3000</v>
      </c>
      <c r="I1873" s="6">
        <f ca="1">-Main[[#This Row],[بدهی تسویه شده (کیلوگرم)]]+Main[[#This Row],[بستانکار (کیلوگرم)]]</f>
        <v>3000</v>
      </c>
      <c r="J1873" s="6">
        <f>IF(Main[[#This Row],[مقدار (کیلوگرم)]]&gt;0,Main[[#This Row],[مقدار (کیلوگرم)]],0)</f>
        <v>3000</v>
      </c>
      <c r="K1873" s="6">
        <f>-IF(Main[[#This Row],[مقدار (کیلوگرم)]]&lt;0,Main[[#This Row],[مقدار (کیلوگرم)]],0)</f>
        <v>0</v>
      </c>
      <c r="L18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3" s="7">
        <f>-IF(AND(Main[[#This Row],[مقدار (کیلوگرم)]]&lt;0,Main[[#This Row],[تاريخ میلادی]]&gt;44276),Main[[#This Row],[مقدار (کیلوگرم)]],0)</f>
        <v>0</v>
      </c>
      <c r="N1873" s="6">
        <f ca="1">Main[[#This Row],[بدهکار (کیلوگرم)]]-Main[[#This Row],[بدهی تسویه نشده (کیلوگرم)]]</f>
        <v>0</v>
      </c>
      <c r="O1873" s="6">
        <f ca="1">Main[[#This Row],[تفکیک]]</f>
        <v>0</v>
      </c>
      <c r="P1873" s="6">
        <f ca="1">IF(Main[[#This Row],[تاخیر از سررسید]]&gt;0,Main[[#This Row],[بدهی تسویه نشده (کیلوگرم)]],0)</f>
        <v>0</v>
      </c>
      <c r="Q1873" s="6">
        <f ca="1">IF(Main[[#This Row],[بدهی تسویه نشده (کیلوگرم)]]&gt;0,'گزارش فردی'!$B$7-Main[[#This Row],[تاريخ میلادی]],0)</f>
        <v>0</v>
      </c>
      <c r="R1873" s="6">
        <f ca="1">IF(Main[[#This Row],[بدهی تسویه نشده (کیلوگرم)]]&gt;0,'گزارش فردی'!$B$7-Main[[#This Row],[تاريخ میلادی]]-'گزارش فردی'!$B$8,0)</f>
        <v>0</v>
      </c>
      <c r="S1873" s="6">
        <f ca="1">Main[[#This Row],[روز از ارسال سفارش]]*Main[[#This Row],[بدهی تسویه نشده (کیلوگرم)]]</f>
        <v>0</v>
      </c>
      <c r="T1873" s="6">
        <f ca="1">Main[[#This Row],[بدهی سررسید شده (کیلوگرم)]]*Main[[#This Row],[روز از ارسال سفارش]]</f>
        <v>0</v>
      </c>
      <c r="U1873" s="6">
        <f>-SUBTOTAL(9,INDEX(Main[مقدار (کیلوگرم)],1):Main[[#This Row],[مقدار (کیلوگرم)]])</f>
        <v>23248</v>
      </c>
      <c r="V18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3" s="6">
        <f>Main[[#This Row],[تعداد کل روزهای بدهکار (روز)]]*Main[[#This Row],[مانده در خط کل (کیلوگرم)]]</f>
        <v>0</v>
      </c>
      <c r="X1873" s="6">
        <f ca="1">-SUBTOTAL(9,INDEX(Main[مقدار تسویه شده (کیلوگرم)],1):Main[[#This Row],[مقدار تسویه شده (کیلوگرم)]])</f>
        <v>23248</v>
      </c>
      <c r="Y1873" s="6">
        <f ca="1">IF(Main[[#This Row],[مانده در خط تسویه شده (کیلوگرم)]]&lt;&gt;0,Main[[#This Row],[تعداد کل روزهای بدهکار (روز)]],0)</f>
        <v>0</v>
      </c>
      <c r="Z1873" s="6">
        <f ca="1">Main[[#This Row],[تعداد روزهای بدهکار تسویه شده (روز)]]*Main[[#This Row],[مانده در خط تسویه شده (کیلوگرم)]]</f>
        <v>0</v>
      </c>
      <c r="AA1873" s="6">
        <f ca="1">SUBTOTAL(9,INDEX(Main[بدهی تسویه نشده (کیلوگرم)],1):Main[[#This Row],[بدهی تسویه نشده (کیلوگرم)]])</f>
        <v>0</v>
      </c>
      <c r="AB1873" s="6">
        <f ca="1">IF(Main[[#This Row],[مانده در خط تسویه نشده (کیلوگرم)]]&lt;&gt;0,Main[[#This Row],[تعداد کل روزهای بدهکار (روز)]],0)</f>
        <v>0</v>
      </c>
      <c r="AC1873" s="6">
        <f ca="1">Main[[#This Row],[تعداد روزهای بدهکار  تسویه نشده (روز)]]*Main[[#This Row],[مانده در خط تسویه نشده (کیلوگرم)]]</f>
        <v>0</v>
      </c>
      <c r="AD1873" s="6">
        <f ca="1">SUBTOTAL(9,INDEX(Main[بدهی سررسید شده (کیلوگرم)],1):Main[[#This Row],[بدهی سررسید شده (کیلوگرم)]])</f>
        <v>0</v>
      </c>
      <c r="AE1873" s="6">
        <f ca="1">IF(Main[[#This Row],[مانده در خط سررسید شده (کیلوگرم)]]&lt;&gt;0,Main[[#This Row],[تعداد کل روزهای بدهکار (روز)]],0)</f>
        <v>0</v>
      </c>
      <c r="AF1873" s="6">
        <f ca="1">Main[[#This Row],[تعداد روزهای بدهکار سررسید شده (روز)]]*Main[[#This Row],[مانده در خط سررسید شده (کیلوگرم)]]</f>
        <v>0</v>
      </c>
    </row>
    <row r="1874" spans="1:32" hidden="1" x14ac:dyDescent="0.35">
      <c r="A1874" s="5">
        <f>ROW()-ROW(INDEX(Main[ردیف],1))+1</f>
        <v>1872</v>
      </c>
      <c r="B1874" s="31">
        <f>SUBTOTAL(2,INDEX(Main[ردیف],1):Main[[#This Row],[ردیف]])</f>
        <v>166</v>
      </c>
      <c r="C1874" s="32" t="s">
        <v>732</v>
      </c>
      <c r="D1874" s="32" t="str">
        <f>_xlfn.CONCAT("14",Main[[#This Row],[تاريخ]])</f>
        <v>1400/07/25</v>
      </c>
      <c r="E1874" s="33">
        <v>44486</v>
      </c>
      <c r="F1874" s="32">
        <v>30116</v>
      </c>
      <c r="G1874" s="5" t="str">
        <f>INDEX(customer[عنوان],MATCH(Main[[#This Row],[کد ردیابی]],customer[کد],0))</f>
        <v>شرکت کیزایران</v>
      </c>
      <c r="H1874">
        <v>-77</v>
      </c>
      <c r="I1874" s="6">
        <f ca="1">-Main[[#This Row],[بدهی تسویه شده (کیلوگرم)]]+Main[[#This Row],[بستانکار (کیلوگرم)]]</f>
        <v>-77</v>
      </c>
      <c r="J1874" s="6">
        <f>IF(Main[[#This Row],[مقدار (کیلوگرم)]]&gt;0,Main[[#This Row],[مقدار (کیلوگرم)]],0)</f>
        <v>0</v>
      </c>
      <c r="K1874" s="6">
        <f>-IF(Main[[#This Row],[مقدار (کیلوگرم)]]&lt;0,Main[[#This Row],[مقدار (کیلوگرم)]],0)</f>
        <v>77</v>
      </c>
      <c r="L18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4" s="7">
        <f>-IF(AND(Main[[#This Row],[مقدار (کیلوگرم)]]&lt;0,Main[[#This Row],[تاريخ میلادی]]&gt;44276),Main[[#This Row],[مقدار (کیلوگرم)]],0)</f>
        <v>77</v>
      </c>
      <c r="N1874" s="6">
        <f ca="1">Main[[#This Row],[بدهکار (کیلوگرم)]]-Main[[#This Row],[بدهی تسویه نشده (کیلوگرم)]]</f>
        <v>77</v>
      </c>
      <c r="O1874" s="6">
        <f ca="1">Main[[#This Row],[تفکیک]]</f>
        <v>0</v>
      </c>
      <c r="P1874" s="6">
        <f ca="1">IF(Main[[#This Row],[تاخیر از سررسید]]&gt;0,Main[[#This Row],[بدهی تسویه نشده (کیلوگرم)]],0)</f>
        <v>0</v>
      </c>
      <c r="Q1874" s="6">
        <f ca="1">IF(Main[[#This Row],[بدهی تسویه نشده (کیلوگرم)]]&gt;0,'گزارش فردی'!$B$7-Main[[#This Row],[تاريخ میلادی]],0)</f>
        <v>0</v>
      </c>
      <c r="R1874" s="6">
        <f ca="1">IF(Main[[#This Row],[بدهی تسویه نشده (کیلوگرم)]]&gt;0,'گزارش فردی'!$B$7-Main[[#This Row],[تاريخ میلادی]]-'گزارش فردی'!$B$8,0)</f>
        <v>0</v>
      </c>
      <c r="S1874" s="6">
        <f ca="1">Main[[#This Row],[روز از ارسال سفارش]]*Main[[#This Row],[بدهی تسویه نشده (کیلوگرم)]]</f>
        <v>0</v>
      </c>
      <c r="T1874" s="6">
        <f ca="1">Main[[#This Row],[بدهی سررسید شده (کیلوگرم)]]*Main[[#This Row],[روز از ارسال سفارش]]</f>
        <v>0</v>
      </c>
      <c r="U1874" s="6">
        <f>-SUBTOTAL(9,INDEX(Main[مقدار (کیلوگرم)],1):Main[[#This Row],[مقدار (کیلوگرم)]])</f>
        <v>23248</v>
      </c>
      <c r="V18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4" s="6">
        <f>Main[[#This Row],[تعداد کل روزهای بدهکار (روز)]]*Main[[#This Row],[مانده در خط کل (کیلوگرم)]]</f>
        <v>0</v>
      </c>
      <c r="X1874" s="6">
        <f ca="1">-SUBTOTAL(9,INDEX(Main[مقدار تسویه شده (کیلوگرم)],1):Main[[#This Row],[مقدار تسویه شده (کیلوگرم)]])</f>
        <v>23248</v>
      </c>
      <c r="Y1874" s="6">
        <f ca="1">IF(Main[[#This Row],[مانده در خط تسویه شده (کیلوگرم)]]&lt;&gt;0,Main[[#This Row],[تعداد کل روزهای بدهکار (روز)]],0)</f>
        <v>0</v>
      </c>
      <c r="Z1874" s="6">
        <f ca="1">Main[[#This Row],[تعداد روزهای بدهکار تسویه شده (روز)]]*Main[[#This Row],[مانده در خط تسویه شده (کیلوگرم)]]</f>
        <v>0</v>
      </c>
      <c r="AA1874" s="6">
        <f ca="1">SUBTOTAL(9,INDEX(Main[بدهی تسویه نشده (کیلوگرم)],1):Main[[#This Row],[بدهی تسویه نشده (کیلوگرم)]])</f>
        <v>0</v>
      </c>
      <c r="AB1874" s="6">
        <f ca="1">IF(Main[[#This Row],[مانده در خط تسویه نشده (کیلوگرم)]]&lt;&gt;0,Main[[#This Row],[تعداد کل روزهای بدهکار (روز)]],0)</f>
        <v>0</v>
      </c>
      <c r="AC1874" s="6">
        <f ca="1">Main[[#This Row],[تعداد روزهای بدهکار  تسویه نشده (روز)]]*Main[[#This Row],[مانده در خط تسویه نشده (کیلوگرم)]]</f>
        <v>0</v>
      </c>
      <c r="AD1874" s="6">
        <f ca="1">SUBTOTAL(9,INDEX(Main[بدهی سررسید شده (کیلوگرم)],1):Main[[#This Row],[بدهی سررسید شده (کیلوگرم)]])</f>
        <v>0</v>
      </c>
      <c r="AE1874" s="6">
        <f ca="1">IF(Main[[#This Row],[مانده در خط سررسید شده (کیلوگرم)]]&lt;&gt;0,Main[[#This Row],[تعداد کل روزهای بدهکار (روز)]],0)</f>
        <v>0</v>
      </c>
      <c r="AF1874" s="6">
        <f ca="1">Main[[#This Row],[تعداد روزهای بدهکار سررسید شده (روز)]]*Main[[#This Row],[مانده در خط سررسید شده (کیلوگرم)]]</f>
        <v>0</v>
      </c>
    </row>
    <row r="1875" spans="1:32" hidden="1" x14ac:dyDescent="0.35">
      <c r="A1875" s="5">
        <f>ROW()-ROW(INDEX(Main[ردیف],1))+1</f>
        <v>1873</v>
      </c>
      <c r="B1875" s="31">
        <f>SUBTOTAL(2,INDEX(Main[ردیف],1):Main[[#This Row],[ردیف]])</f>
        <v>166</v>
      </c>
      <c r="C1875" s="32" t="s">
        <v>732</v>
      </c>
      <c r="D1875" s="32" t="str">
        <f>_xlfn.CONCAT("14",Main[[#This Row],[تاريخ]])</f>
        <v>1400/07/25</v>
      </c>
      <c r="E1875" s="33">
        <v>44486</v>
      </c>
      <c r="F1875" s="32">
        <v>30124</v>
      </c>
      <c r="G1875" s="5" t="str">
        <f>INDEX(customer[عنوان],MATCH(Main[[#This Row],[کد ردیابی]],customer[کد],0))</f>
        <v>شرکت لنگرمرواریدسبز</v>
      </c>
      <c r="H1875">
        <v>618</v>
      </c>
      <c r="I1875" s="6">
        <f ca="1">-Main[[#This Row],[بدهی تسویه شده (کیلوگرم)]]+Main[[#This Row],[بستانکار (کیلوگرم)]]</f>
        <v>618</v>
      </c>
      <c r="J1875" s="6">
        <f>IF(Main[[#This Row],[مقدار (کیلوگرم)]]&gt;0,Main[[#This Row],[مقدار (کیلوگرم)]],0)</f>
        <v>618</v>
      </c>
      <c r="K1875" s="6">
        <f>-IF(Main[[#This Row],[مقدار (کیلوگرم)]]&lt;0,Main[[#This Row],[مقدار (کیلوگرم)]],0)</f>
        <v>0</v>
      </c>
      <c r="L18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5" s="7">
        <f>-IF(AND(Main[[#This Row],[مقدار (کیلوگرم)]]&lt;0,Main[[#This Row],[تاريخ میلادی]]&gt;44276),Main[[#This Row],[مقدار (کیلوگرم)]],0)</f>
        <v>0</v>
      </c>
      <c r="N1875" s="6">
        <f ca="1">Main[[#This Row],[بدهکار (کیلوگرم)]]-Main[[#This Row],[بدهی تسویه نشده (کیلوگرم)]]</f>
        <v>0</v>
      </c>
      <c r="O1875" s="6">
        <f ca="1">Main[[#This Row],[تفکیک]]</f>
        <v>0</v>
      </c>
      <c r="P1875" s="6">
        <f ca="1">IF(Main[[#This Row],[تاخیر از سررسید]]&gt;0,Main[[#This Row],[بدهی تسویه نشده (کیلوگرم)]],0)</f>
        <v>0</v>
      </c>
      <c r="Q1875" s="6">
        <f ca="1">IF(Main[[#This Row],[بدهی تسویه نشده (کیلوگرم)]]&gt;0,'گزارش فردی'!$B$7-Main[[#This Row],[تاريخ میلادی]],0)</f>
        <v>0</v>
      </c>
      <c r="R1875" s="6">
        <f ca="1">IF(Main[[#This Row],[بدهی تسویه نشده (کیلوگرم)]]&gt;0,'گزارش فردی'!$B$7-Main[[#This Row],[تاريخ میلادی]]-'گزارش فردی'!$B$8,0)</f>
        <v>0</v>
      </c>
      <c r="S1875" s="6">
        <f ca="1">Main[[#This Row],[روز از ارسال سفارش]]*Main[[#This Row],[بدهی تسویه نشده (کیلوگرم)]]</f>
        <v>0</v>
      </c>
      <c r="T1875" s="6">
        <f ca="1">Main[[#This Row],[بدهی سررسید شده (کیلوگرم)]]*Main[[#This Row],[روز از ارسال سفارش]]</f>
        <v>0</v>
      </c>
      <c r="U1875" s="6">
        <f>-SUBTOTAL(9,INDEX(Main[مقدار (کیلوگرم)],1):Main[[#This Row],[مقدار (کیلوگرم)]])</f>
        <v>23248</v>
      </c>
      <c r="V18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5" s="6">
        <f>Main[[#This Row],[تعداد کل روزهای بدهکار (روز)]]*Main[[#This Row],[مانده در خط کل (کیلوگرم)]]</f>
        <v>0</v>
      </c>
      <c r="X1875" s="6">
        <f ca="1">-SUBTOTAL(9,INDEX(Main[مقدار تسویه شده (کیلوگرم)],1):Main[[#This Row],[مقدار تسویه شده (کیلوگرم)]])</f>
        <v>23248</v>
      </c>
      <c r="Y1875" s="6">
        <f ca="1">IF(Main[[#This Row],[مانده در خط تسویه شده (کیلوگرم)]]&lt;&gt;0,Main[[#This Row],[تعداد کل روزهای بدهکار (روز)]],0)</f>
        <v>0</v>
      </c>
      <c r="Z1875" s="6">
        <f ca="1">Main[[#This Row],[تعداد روزهای بدهکار تسویه شده (روز)]]*Main[[#This Row],[مانده در خط تسویه شده (کیلوگرم)]]</f>
        <v>0</v>
      </c>
      <c r="AA1875" s="6">
        <f ca="1">SUBTOTAL(9,INDEX(Main[بدهی تسویه نشده (کیلوگرم)],1):Main[[#This Row],[بدهی تسویه نشده (کیلوگرم)]])</f>
        <v>0</v>
      </c>
      <c r="AB1875" s="6">
        <f ca="1">IF(Main[[#This Row],[مانده در خط تسویه نشده (کیلوگرم)]]&lt;&gt;0,Main[[#This Row],[تعداد کل روزهای بدهکار (روز)]],0)</f>
        <v>0</v>
      </c>
      <c r="AC1875" s="6">
        <f ca="1">Main[[#This Row],[تعداد روزهای بدهکار  تسویه نشده (روز)]]*Main[[#This Row],[مانده در خط تسویه نشده (کیلوگرم)]]</f>
        <v>0</v>
      </c>
      <c r="AD1875" s="6">
        <f ca="1">SUBTOTAL(9,INDEX(Main[بدهی سررسید شده (کیلوگرم)],1):Main[[#This Row],[بدهی سررسید شده (کیلوگرم)]])</f>
        <v>0</v>
      </c>
      <c r="AE1875" s="6">
        <f ca="1">IF(Main[[#This Row],[مانده در خط سررسید شده (کیلوگرم)]]&lt;&gt;0,Main[[#This Row],[تعداد کل روزهای بدهکار (روز)]],0)</f>
        <v>0</v>
      </c>
      <c r="AF1875" s="6">
        <f ca="1">Main[[#This Row],[تعداد روزهای بدهکار سررسید شده (روز)]]*Main[[#This Row],[مانده در خط سررسید شده (کیلوگرم)]]</f>
        <v>0</v>
      </c>
    </row>
    <row r="1876" spans="1:32" hidden="1" x14ac:dyDescent="0.35">
      <c r="A1876" s="5">
        <f>ROW()-ROW(INDEX(Main[ردیف],1))+1</f>
        <v>1874</v>
      </c>
      <c r="B1876" s="31">
        <f>SUBTOTAL(2,INDEX(Main[ردیف],1):Main[[#This Row],[ردیف]])</f>
        <v>166</v>
      </c>
      <c r="C1876" s="32" t="s">
        <v>732</v>
      </c>
      <c r="D1876" s="32" t="str">
        <f>_xlfn.CONCAT("14",Main[[#This Row],[تاريخ]])</f>
        <v>1400/07/25</v>
      </c>
      <c r="E1876" s="33">
        <v>44486</v>
      </c>
      <c r="F1876" s="32">
        <v>30124</v>
      </c>
      <c r="G1876" s="5" t="str">
        <f>INDEX(customer[عنوان],MATCH(Main[[#This Row],[کد ردیابی]],customer[کد],0))</f>
        <v>شرکت لنگرمرواریدسبز</v>
      </c>
      <c r="H1876">
        <v>-3004</v>
      </c>
      <c r="I1876" s="6">
        <f ca="1">-Main[[#This Row],[بدهی تسویه شده (کیلوگرم)]]+Main[[#This Row],[بستانکار (کیلوگرم)]]</f>
        <v>-3004</v>
      </c>
      <c r="J1876" s="6">
        <f>IF(Main[[#This Row],[مقدار (کیلوگرم)]]&gt;0,Main[[#This Row],[مقدار (کیلوگرم)]],0)</f>
        <v>0</v>
      </c>
      <c r="K1876" s="6">
        <f>-IF(Main[[#This Row],[مقدار (کیلوگرم)]]&lt;0,Main[[#This Row],[مقدار (کیلوگرم)]],0)</f>
        <v>3004</v>
      </c>
      <c r="L18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6" s="7">
        <f>-IF(AND(Main[[#This Row],[مقدار (کیلوگرم)]]&lt;0,Main[[#This Row],[تاريخ میلادی]]&gt;44276),Main[[#This Row],[مقدار (کیلوگرم)]],0)</f>
        <v>3004</v>
      </c>
      <c r="N1876" s="6">
        <f ca="1">Main[[#This Row],[بدهکار (کیلوگرم)]]-Main[[#This Row],[بدهی تسویه نشده (کیلوگرم)]]</f>
        <v>3004</v>
      </c>
      <c r="O1876" s="6">
        <f ca="1">Main[[#This Row],[تفکیک]]</f>
        <v>0</v>
      </c>
      <c r="P1876" s="6">
        <f ca="1">IF(Main[[#This Row],[تاخیر از سررسید]]&gt;0,Main[[#This Row],[بدهی تسویه نشده (کیلوگرم)]],0)</f>
        <v>0</v>
      </c>
      <c r="Q1876" s="6">
        <f ca="1">IF(Main[[#This Row],[بدهی تسویه نشده (کیلوگرم)]]&gt;0,'گزارش فردی'!$B$7-Main[[#This Row],[تاريخ میلادی]],0)</f>
        <v>0</v>
      </c>
      <c r="R1876" s="6">
        <f ca="1">IF(Main[[#This Row],[بدهی تسویه نشده (کیلوگرم)]]&gt;0,'گزارش فردی'!$B$7-Main[[#This Row],[تاريخ میلادی]]-'گزارش فردی'!$B$8,0)</f>
        <v>0</v>
      </c>
      <c r="S1876" s="6">
        <f ca="1">Main[[#This Row],[روز از ارسال سفارش]]*Main[[#This Row],[بدهی تسویه نشده (کیلوگرم)]]</f>
        <v>0</v>
      </c>
      <c r="T1876" s="6">
        <f ca="1">Main[[#This Row],[بدهی سررسید شده (کیلوگرم)]]*Main[[#This Row],[روز از ارسال سفارش]]</f>
        <v>0</v>
      </c>
      <c r="U1876" s="6">
        <f>-SUBTOTAL(9,INDEX(Main[مقدار (کیلوگرم)],1):Main[[#This Row],[مقدار (کیلوگرم)]])</f>
        <v>23248</v>
      </c>
      <c r="V18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6" s="6">
        <f>Main[[#This Row],[تعداد کل روزهای بدهکار (روز)]]*Main[[#This Row],[مانده در خط کل (کیلوگرم)]]</f>
        <v>0</v>
      </c>
      <c r="X1876" s="6">
        <f ca="1">-SUBTOTAL(9,INDEX(Main[مقدار تسویه شده (کیلوگرم)],1):Main[[#This Row],[مقدار تسویه شده (کیلوگرم)]])</f>
        <v>23248</v>
      </c>
      <c r="Y1876" s="6">
        <f ca="1">IF(Main[[#This Row],[مانده در خط تسویه شده (کیلوگرم)]]&lt;&gt;0,Main[[#This Row],[تعداد کل روزهای بدهکار (روز)]],0)</f>
        <v>0</v>
      </c>
      <c r="Z1876" s="6">
        <f ca="1">Main[[#This Row],[تعداد روزهای بدهکار تسویه شده (روز)]]*Main[[#This Row],[مانده در خط تسویه شده (کیلوگرم)]]</f>
        <v>0</v>
      </c>
      <c r="AA1876" s="6">
        <f ca="1">SUBTOTAL(9,INDEX(Main[بدهی تسویه نشده (کیلوگرم)],1):Main[[#This Row],[بدهی تسویه نشده (کیلوگرم)]])</f>
        <v>0</v>
      </c>
      <c r="AB1876" s="6">
        <f ca="1">IF(Main[[#This Row],[مانده در خط تسویه نشده (کیلوگرم)]]&lt;&gt;0,Main[[#This Row],[تعداد کل روزهای بدهکار (روز)]],0)</f>
        <v>0</v>
      </c>
      <c r="AC1876" s="6">
        <f ca="1">Main[[#This Row],[تعداد روزهای بدهکار  تسویه نشده (روز)]]*Main[[#This Row],[مانده در خط تسویه نشده (کیلوگرم)]]</f>
        <v>0</v>
      </c>
      <c r="AD1876" s="6">
        <f ca="1">SUBTOTAL(9,INDEX(Main[بدهی سررسید شده (کیلوگرم)],1):Main[[#This Row],[بدهی سررسید شده (کیلوگرم)]])</f>
        <v>0</v>
      </c>
      <c r="AE1876" s="6">
        <f ca="1">IF(Main[[#This Row],[مانده در خط سررسید شده (کیلوگرم)]]&lt;&gt;0,Main[[#This Row],[تعداد کل روزهای بدهکار (روز)]],0)</f>
        <v>0</v>
      </c>
      <c r="AF1876" s="6">
        <f ca="1">Main[[#This Row],[تعداد روزهای بدهکار سررسید شده (روز)]]*Main[[#This Row],[مانده در خط سررسید شده (کیلوگرم)]]</f>
        <v>0</v>
      </c>
    </row>
    <row r="1877" spans="1:32" hidden="1" x14ac:dyDescent="0.35">
      <c r="A1877" s="5">
        <f>ROW()-ROW(INDEX(Main[ردیف],1))+1</f>
        <v>1875</v>
      </c>
      <c r="B1877" s="31">
        <f>SUBTOTAL(2,INDEX(Main[ردیف],1):Main[[#This Row],[ردیف]])</f>
        <v>166</v>
      </c>
      <c r="C1877" s="32" t="s">
        <v>732</v>
      </c>
      <c r="D1877" s="32" t="str">
        <f>_xlfn.CONCAT("14",Main[[#This Row],[تاريخ]])</f>
        <v>1400/07/25</v>
      </c>
      <c r="E1877" s="33">
        <v>44486</v>
      </c>
      <c r="F1877" s="32">
        <v>30124</v>
      </c>
      <c r="G1877" s="5" t="str">
        <f>INDEX(customer[عنوان],MATCH(Main[[#This Row],[کد ردیابی]],customer[کد],0))</f>
        <v>شرکت لنگرمرواریدسبز</v>
      </c>
      <c r="H1877">
        <v>3370</v>
      </c>
      <c r="I1877" s="6">
        <f ca="1">-Main[[#This Row],[بدهی تسویه شده (کیلوگرم)]]+Main[[#This Row],[بستانکار (کیلوگرم)]]</f>
        <v>3370</v>
      </c>
      <c r="J1877" s="6">
        <f>IF(Main[[#This Row],[مقدار (کیلوگرم)]]&gt;0,Main[[#This Row],[مقدار (کیلوگرم)]],0)</f>
        <v>3370</v>
      </c>
      <c r="K1877" s="6">
        <f>-IF(Main[[#This Row],[مقدار (کیلوگرم)]]&lt;0,Main[[#This Row],[مقدار (کیلوگرم)]],0)</f>
        <v>0</v>
      </c>
      <c r="L18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7" s="7">
        <f>-IF(AND(Main[[#This Row],[مقدار (کیلوگرم)]]&lt;0,Main[[#This Row],[تاريخ میلادی]]&gt;44276),Main[[#This Row],[مقدار (کیلوگرم)]],0)</f>
        <v>0</v>
      </c>
      <c r="N1877" s="6">
        <f ca="1">Main[[#This Row],[بدهکار (کیلوگرم)]]-Main[[#This Row],[بدهی تسویه نشده (کیلوگرم)]]</f>
        <v>0</v>
      </c>
      <c r="O1877" s="6">
        <f ca="1">Main[[#This Row],[تفکیک]]</f>
        <v>0</v>
      </c>
      <c r="P1877" s="6">
        <f ca="1">IF(Main[[#This Row],[تاخیر از سررسید]]&gt;0,Main[[#This Row],[بدهی تسویه نشده (کیلوگرم)]],0)</f>
        <v>0</v>
      </c>
      <c r="Q1877" s="6">
        <f ca="1">IF(Main[[#This Row],[بدهی تسویه نشده (کیلوگرم)]]&gt;0,'گزارش فردی'!$B$7-Main[[#This Row],[تاريخ میلادی]],0)</f>
        <v>0</v>
      </c>
      <c r="R1877" s="6">
        <f ca="1">IF(Main[[#This Row],[بدهی تسویه نشده (کیلوگرم)]]&gt;0,'گزارش فردی'!$B$7-Main[[#This Row],[تاريخ میلادی]]-'گزارش فردی'!$B$8,0)</f>
        <v>0</v>
      </c>
      <c r="S1877" s="6">
        <f ca="1">Main[[#This Row],[روز از ارسال سفارش]]*Main[[#This Row],[بدهی تسویه نشده (کیلوگرم)]]</f>
        <v>0</v>
      </c>
      <c r="T1877" s="6">
        <f ca="1">Main[[#This Row],[بدهی سررسید شده (کیلوگرم)]]*Main[[#This Row],[روز از ارسال سفارش]]</f>
        <v>0</v>
      </c>
      <c r="U1877" s="6">
        <f>-SUBTOTAL(9,INDEX(Main[مقدار (کیلوگرم)],1):Main[[#This Row],[مقدار (کیلوگرم)]])</f>
        <v>23248</v>
      </c>
      <c r="V18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7" s="6">
        <f>Main[[#This Row],[تعداد کل روزهای بدهکار (روز)]]*Main[[#This Row],[مانده در خط کل (کیلوگرم)]]</f>
        <v>0</v>
      </c>
      <c r="X1877" s="6">
        <f ca="1">-SUBTOTAL(9,INDEX(Main[مقدار تسویه شده (کیلوگرم)],1):Main[[#This Row],[مقدار تسویه شده (کیلوگرم)]])</f>
        <v>23248</v>
      </c>
      <c r="Y1877" s="6">
        <f ca="1">IF(Main[[#This Row],[مانده در خط تسویه شده (کیلوگرم)]]&lt;&gt;0,Main[[#This Row],[تعداد کل روزهای بدهکار (روز)]],0)</f>
        <v>0</v>
      </c>
      <c r="Z1877" s="6">
        <f ca="1">Main[[#This Row],[تعداد روزهای بدهکار تسویه شده (روز)]]*Main[[#This Row],[مانده در خط تسویه شده (کیلوگرم)]]</f>
        <v>0</v>
      </c>
      <c r="AA1877" s="6">
        <f ca="1">SUBTOTAL(9,INDEX(Main[بدهی تسویه نشده (کیلوگرم)],1):Main[[#This Row],[بدهی تسویه نشده (کیلوگرم)]])</f>
        <v>0</v>
      </c>
      <c r="AB1877" s="6">
        <f ca="1">IF(Main[[#This Row],[مانده در خط تسویه نشده (کیلوگرم)]]&lt;&gt;0,Main[[#This Row],[تعداد کل روزهای بدهکار (روز)]],0)</f>
        <v>0</v>
      </c>
      <c r="AC1877" s="6">
        <f ca="1">Main[[#This Row],[تعداد روزهای بدهکار  تسویه نشده (روز)]]*Main[[#This Row],[مانده در خط تسویه نشده (کیلوگرم)]]</f>
        <v>0</v>
      </c>
      <c r="AD1877" s="6">
        <f ca="1">SUBTOTAL(9,INDEX(Main[بدهی سررسید شده (کیلوگرم)],1):Main[[#This Row],[بدهی سررسید شده (کیلوگرم)]])</f>
        <v>0</v>
      </c>
      <c r="AE1877" s="6">
        <f ca="1">IF(Main[[#This Row],[مانده در خط سررسید شده (کیلوگرم)]]&lt;&gt;0,Main[[#This Row],[تعداد کل روزهای بدهکار (روز)]],0)</f>
        <v>0</v>
      </c>
      <c r="AF1877" s="6">
        <f ca="1">Main[[#This Row],[تعداد روزهای بدهکار سررسید شده (روز)]]*Main[[#This Row],[مانده در خط سررسید شده (کیلوگرم)]]</f>
        <v>0</v>
      </c>
    </row>
    <row r="1878" spans="1:32" hidden="1" x14ac:dyDescent="0.35">
      <c r="A1878" s="5">
        <f>ROW()-ROW(INDEX(Main[ردیف],1))+1</f>
        <v>1876</v>
      </c>
      <c r="B1878" s="31">
        <f>SUBTOTAL(2,INDEX(Main[ردیف],1):Main[[#This Row],[ردیف]])</f>
        <v>166</v>
      </c>
      <c r="C1878" s="32" t="s">
        <v>732</v>
      </c>
      <c r="D1878" s="32" t="str">
        <f>_xlfn.CONCAT("14",Main[[#This Row],[تاريخ]])</f>
        <v>1400/07/25</v>
      </c>
      <c r="E1878" s="33">
        <v>44486</v>
      </c>
      <c r="F1878" s="32">
        <v>30124</v>
      </c>
      <c r="G1878" s="5" t="str">
        <f>INDEX(customer[عنوان],MATCH(Main[[#This Row],[کد ردیابی]],customer[کد],0))</f>
        <v>شرکت لنگرمرواریدسبز</v>
      </c>
      <c r="H1878">
        <v>-985</v>
      </c>
      <c r="I1878" s="6">
        <f ca="1">-Main[[#This Row],[بدهی تسویه شده (کیلوگرم)]]+Main[[#This Row],[بستانکار (کیلوگرم)]]</f>
        <v>-985</v>
      </c>
      <c r="J1878" s="6">
        <f>IF(Main[[#This Row],[مقدار (کیلوگرم)]]&gt;0,Main[[#This Row],[مقدار (کیلوگرم)]],0)</f>
        <v>0</v>
      </c>
      <c r="K1878" s="6">
        <f>-IF(Main[[#This Row],[مقدار (کیلوگرم)]]&lt;0,Main[[#This Row],[مقدار (کیلوگرم)]],0)</f>
        <v>985</v>
      </c>
      <c r="L18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8" s="7">
        <f>-IF(AND(Main[[#This Row],[مقدار (کیلوگرم)]]&lt;0,Main[[#This Row],[تاريخ میلادی]]&gt;44276),Main[[#This Row],[مقدار (کیلوگرم)]],0)</f>
        <v>985</v>
      </c>
      <c r="N1878" s="6">
        <f ca="1">Main[[#This Row],[بدهکار (کیلوگرم)]]-Main[[#This Row],[بدهی تسویه نشده (کیلوگرم)]]</f>
        <v>985</v>
      </c>
      <c r="O1878" s="6">
        <f ca="1">Main[[#This Row],[تفکیک]]</f>
        <v>0</v>
      </c>
      <c r="P1878" s="6">
        <f ca="1">IF(Main[[#This Row],[تاخیر از سررسید]]&gt;0,Main[[#This Row],[بدهی تسویه نشده (کیلوگرم)]],0)</f>
        <v>0</v>
      </c>
      <c r="Q1878" s="6">
        <f ca="1">IF(Main[[#This Row],[بدهی تسویه نشده (کیلوگرم)]]&gt;0,'گزارش فردی'!$B$7-Main[[#This Row],[تاريخ میلادی]],0)</f>
        <v>0</v>
      </c>
      <c r="R1878" s="6">
        <f ca="1">IF(Main[[#This Row],[بدهی تسویه نشده (کیلوگرم)]]&gt;0,'گزارش فردی'!$B$7-Main[[#This Row],[تاريخ میلادی]]-'گزارش فردی'!$B$8,0)</f>
        <v>0</v>
      </c>
      <c r="S1878" s="6">
        <f ca="1">Main[[#This Row],[روز از ارسال سفارش]]*Main[[#This Row],[بدهی تسویه نشده (کیلوگرم)]]</f>
        <v>0</v>
      </c>
      <c r="T1878" s="6">
        <f ca="1">Main[[#This Row],[بدهی سررسید شده (کیلوگرم)]]*Main[[#This Row],[روز از ارسال سفارش]]</f>
        <v>0</v>
      </c>
      <c r="U1878" s="6">
        <f>-SUBTOTAL(9,INDEX(Main[مقدار (کیلوگرم)],1):Main[[#This Row],[مقدار (کیلوگرم)]])</f>
        <v>23248</v>
      </c>
      <c r="V18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8" s="6">
        <f>Main[[#This Row],[تعداد کل روزهای بدهکار (روز)]]*Main[[#This Row],[مانده در خط کل (کیلوگرم)]]</f>
        <v>0</v>
      </c>
      <c r="X1878" s="6">
        <f ca="1">-SUBTOTAL(9,INDEX(Main[مقدار تسویه شده (کیلوگرم)],1):Main[[#This Row],[مقدار تسویه شده (کیلوگرم)]])</f>
        <v>23248</v>
      </c>
      <c r="Y1878" s="6">
        <f ca="1">IF(Main[[#This Row],[مانده در خط تسویه شده (کیلوگرم)]]&lt;&gt;0,Main[[#This Row],[تعداد کل روزهای بدهکار (روز)]],0)</f>
        <v>0</v>
      </c>
      <c r="Z1878" s="6">
        <f ca="1">Main[[#This Row],[تعداد روزهای بدهکار تسویه شده (روز)]]*Main[[#This Row],[مانده در خط تسویه شده (کیلوگرم)]]</f>
        <v>0</v>
      </c>
      <c r="AA1878" s="6">
        <f ca="1">SUBTOTAL(9,INDEX(Main[بدهی تسویه نشده (کیلوگرم)],1):Main[[#This Row],[بدهی تسویه نشده (کیلوگرم)]])</f>
        <v>0</v>
      </c>
      <c r="AB1878" s="6">
        <f ca="1">IF(Main[[#This Row],[مانده در خط تسویه نشده (کیلوگرم)]]&lt;&gt;0,Main[[#This Row],[تعداد کل روزهای بدهکار (روز)]],0)</f>
        <v>0</v>
      </c>
      <c r="AC1878" s="6">
        <f ca="1">Main[[#This Row],[تعداد روزهای بدهکار  تسویه نشده (روز)]]*Main[[#This Row],[مانده در خط تسویه نشده (کیلوگرم)]]</f>
        <v>0</v>
      </c>
      <c r="AD1878" s="6">
        <f ca="1">SUBTOTAL(9,INDEX(Main[بدهی سررسید شده (کیلوگرم)],1):Main[[#This Row],[بدهی سررسید شده (کیلوگرم)]])</f>
        <v>0</v>
      </c>
      <c r="AE1878" s="6">
        <f ca="1">IF(Main[[#This Row],[مانده در خط سررسید شده (کیلوگرم)]]&lt;&gt;0,Main[[#This Row],[تعداد کل روزهای بدهکار (روز)]],0)</f>
        <v>0</v>
      </c>
      <c r="AF1878" s="6">
        <f ca="1">Main[[#This Row],[تعداد روزهای بدهکار سررسید شده (روز)]]*Main[[#This Row],[مانده در خط سررسید شده (کیلوگرم)]]</f>
        <v>0</v>
      </c>
    </row>
    <row r="1879" spans="1:32" hidden="1" x14ac:dyDescent="0.35">
      <c r="A1879" s="5">
        <f>ROW()-ROW(INDEX(Main[ردیف],1))+1</f>
        <v>1877</v>
      </c>
      <c r="B1879" s="31">
        <f>SUBTOTAL(2,INDEX(Main[ردیف],1):Main[[#This Row],[ردیف]])</f>
        <v>166</v>
      </c>
      <c r="C1879" s="32" t="s">
        <v>732</v>
      </c>
      <c r="D1879" s="32" t="str">
        <f>_xlfn.CONCAT("14",Main[[#This Row],[تاريخ]])</f>
        <v>1400/07/25</v>
      </c>
      <c r="E1879" s="33">
        <v>44486</v>
      </c>
      <c r="F1879" s="32">
        <v>30009</v>
      </c>
      <c r="G1879" s="5" t="str">
        <f>INDEX(customer[عنوان],MATCH(Main[[#This Row],[کد ردیابی]],customer[کد],0))</f>
        <v>شرکت ایمن تک پیشرو</v>
      </c>
      <c r="H1879">
        <v>432</v>
      </c>
      <c r="I1879" s="6">
        <f ca="1">-Main[[#This Row],[بدهی تسویه شده (کیلوگرم)]]+Main[[#This Row],[بستانکار (کیلوگرم)]]</f>
        <v>432</v>
      </c>
      <c r="J1879" s="6">
        <f>IF(Main[[#This Row],[مقدار (کیلوگرم)]]&gt;0,Main[[#This Row],[مقدار (کیلوگرم)]],0)</f>
        <v>432</v>
      </c>
      <c r="K1879" s="6">
        <f>-IF(Main[[#This Row],[مقدار (کیلوگرم)]]&lt;0,Main[[#This Row],[مقدار (کیلوگرم)]],0)</f>
        <v>0</v>
      </c>
      <c r="L18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9" s="7">
        <f>-IF(AND(Main[[#This Row],[مقدار (کیلوگرم)]]&lt;0,Main[[#This Row],[تاريخ میلادی]]&gt;44276),Main[[#This Row],[مقدار (کیلوگرم)]],0)</f>
        <v>0</v>
      </c>
      <c r="N1879" s="6">
        <f ca="1">Main[[#This Row],[بدهکار (کیلوگرم)]]-Main[[#This Row],[بدهی تسویه نشده (کیلوگرم)]]</f>
        <v>0</v>
      </c>
      <c r="O1879" s="6">
        <f ca="1">Main[[#This Row],[تفکیک]]</f>
        <v>0</v>
      </c>
      <c r="P1879" s="6">
        <f ca="1">IF(Main[[#This Row],[تاخیر از سررسید]]&gt;0,Main[[#This Row],[بدهی تسویه نشده (کیلوگرم)]],0)</f>
        <v>0</v>
      </c>
      <c r="Q1879" s="6">
        <f ca="1">IF(Main[[#This Row],[بدهی تسویه نشده (کیلوگرم)]]&gt;0,'گزارش فردی'!$B$7-Main[[#This Row],[تاريخ میلادی]],0)</f>
        <v>0</v>
      </c>
      <c r="R1879" s="6">
        <f ca="1">IF(Main[[#This Row],[بدهی تسویه نشده (کیلوگرم)]]&gt;0,'گزارش فردی'!$B$7-Main[[#This Row],[تاريخ میلادی]]-'گزارش فردی'!$B$8,0)</f>
        <v>0</v>
      </c>
      <c r="S1879" s="6">
        <f ca="1">Main[[#This Row],[روز از ارسال سفارش]]*Main[[#This Row],[بدهی تسویه نشده (کیلوگرم)]]</f>
        <v>0</v>
      </c>
      <c r="T1879" s="6">
        <f ca="1">Main[[#This Row],[بدهی سررسید شده (کیلوگرم)]]*Main[[#This Row],[روز از ارسال سفارش]]</f>
        <v>0</v>
      </c>
      <c r="U1879" s="6">
        <f>-SUBTOTAL(9,INDEX(Main[مقدار (کیلوگرم)],1):Main[[#This Row],[مقدار (کیلوگرم)]])</f>
        <v>23248</v>
      </c>
      <c r="V18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9" s="6">
        <f>Main[[#This Row],[تعداد کل روزهای بدهکار (روز)]]*Main[[#This Row],[مانده در خط کل (کیلوگرم)]]</f>
        <v>0</v>
      </c>
      <c r="X1879" s="6">
        <f ca="1">-SUBTOTAL(9,INDEX(Main[مقدار تسویه شده (کیلوگرم)],1):Main[[#This Row],[مقدار تسویه شده (کیلوگرم)]])</f>
        <v>23248</v>
      </c>
      <c r="Y1879" s="6">
        <f ca="1">IF(Main[[#This Row],[مانده در خط تسویه شده (کیلوگرم)]]&lt;&gt;0,Main[[#This Row],[تعداد کل روزهای بدهکار (روز)]],0)</f>
        <v>0</v>
      </c>
      <c r="Z1879" s="6">
        <f ca="1">Main[[#This Row],[تعداد روزهای بدهکار تسویه شده (روز)]]*Main[[#This Row],[مانده در خط تسویه شده (کیلوگرم)]]</f>
        <v>0</v>
      </c>
      <c r="AA1879" s="6">
        <f ca="1">SUBTOTAL(9,INDEX(Main[بدهی تسویه نشده (کیلوگرم)],1):Main[[#This Row],[بدهی تسویه نشده (کیلوگرم)]])</f>
        <v>0</v>
      </c>
      <c r="AB1879" s="6">
        <f ca="1">IF(Main[[#This Row],[مانده در خط تسویه نشده (کیلوگرم)]]&lt;&gt;0,Main[[#This Row],[تعداد کل روزهای بدهکار (روز)]],0)</f>
        <v>0</v>
      </c>
      <c r="AC1879" s="6">
        <f ca="1">Main[[#This Row],[تعداد روزهای بدهکار  تسویه نشده (روز)]]*Main[[#This Row],[مانده در خط تسویه نشده (کیلوگرم)]]</f>
        <v>0</v>
      </c>
      <c r="AD1879" s="6">
        <f ca="1">SUBTOTAL(9,INDEX(Main[بدهی سررسید شده (کیلوگرم)],1):Main[[#This Row],[بدهی سررسید شده (کیلوگرم)]])</f>
        <v>0</v>
      </c>
      <c r="AE1879" s="6">
        <f ca="1">IF(Main[[#This Row],[مانده در خط سررسید شده (کیلوگرم)]]&lt;&gt;0,Main[[#This Row],[تعداد کل روزهای بدهکار (روز)]],0)</f>
        <v>0</v>
      </c>
      <c r="AF1879" s="6">
        <f ca="1">Main[[#This Row],[تعداد روزهای بدهکار سررسید شده (روز)]]*Main[[#This Row],[مانده در خط سررسید شده (کیلوگرم)]]</f>
        <v>0</v>
      </c>
    </row>
    <row r="1880" spans="1:32" hidden="1" x14ac:dyDescent="0.35">
      <c r="A1880" s="5">
        <f>ROW()-ROW(INDEX(Main[ردیف],1))+1</f>
        <v>1878</v>
      </c>
      <c r="B1880" s="31">
        <f>SUBTOTAL(2,INDEX(Main[ردیف],1):Main[[#This Row],[ردیف]])</f>
        <v>166</v>
      </c>
      <c r="C1880" s="32" t="s">
        <v>732</v>
      </c>
      <c r="D1880" s="32" t="str">
        <f>_xlfn.CONCAT("14",Main[[#This Row],[تاريخ]])</f>
        <v>1400/07/25</v>
      </c>
      <c r="E1880" s="33">
        <v>44486</v>
      </c>
      <c r="F1880" s="32">
        <v>10084</v>
      </c>
      <c r="G1880" s="5" t="str">
        <f>INDEX(customer[عنوان],MATCH(Main[[#This Row],[کد ردیابی]],customer[کد],0))</f>
        <v xml:space="preserve">سیدحمید کاظمی </v>
      </c>
      <c r="H1880">
        <v>-1454</v>
      </c>
      <c r="I1880" s="6">
        <f ca="1">-Main[[#This Row],[بدهی تسویه شده (کیلوگرم)]]+Main[[#This Row],[بستانکار (کیلوگرم)]]</f>
        <v>-1454</v>
      </c>
      <c r="J1880" s="6">
        <f>IF(Main[[#This Row],[مقدار (کیلوگرم)]]&gt;0,Main[[#This Row],[مقدار (کیلوگرم)]],0)</f>
        <v>0</v>
      </c>
      <c r="K1880" s="6">
        <f>-IF(Main[[#This Row],[مقدار (کیلوگرم)]]&lt;0,Main[[#This Row],[مقدار (کیلوگرم)]],0)</f>
        <v>1454</v>
      </c>
      <c r="L18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0" s="7">
        <f>-IF(AND(Main[[#This Row],[مقدار (کیلوگرم)]]&lt;0,Main[[#This Row],[تاريخ میلادی]]&gt;44276),Main[[#This Row],[مقدار (کیلوگرم)]],0)</f>
        <v>1454</v>
      </c>
      <c r="N1880" s="6">
        <f ca="1">Main[[#This Row],[بدهکار (کیلوگرم)]]-Main[[#This Row],[بدهی تسویه نشده (کیلوگرم)]]</f>
        <v>1454</v>
      </c>
      <c r="O1880" s="6">
        <f ca="1">Main[[#This Row],[تفکیک]]</f>
        <v>0</v>
      </c>
      <c r="P1880" s="6">
        <f ca="1">IF(Main[[#This Row],[تاخیر از سررسید]]&gt;0,Main[[#This Row],[بدهی تسویه نشده (کیلوگرم)]],0)</f>
        <v>0</v>
      </c>
      <c r="Q1880" s="6">
        <f ca="1">IF(Main[[#This Row],[بدهی تسویه نشده (کیلوگرم)]]&gt;0,'گزارش فردی'!$B$7-Main[[#This Row],[تاريخ میلادی]],0)</f>
        <v>0</v>
      </c>
      <c r="R1880" s="6">
        <f ca="1">IF(Main[[#This Row],[بدهی تسویه نشده (کیلوگرم)]]&gt;0,'گزارش فردی'!$B$7-Main[[#This Row],[تاريخ میلادی]]-'گزارش فردی'!$B$8,0)</f>
        <v>0</v>
      </c>
      <c r="S1880" s="6">
        <f ca="1">Main[[#This Row],[روز از ارسال سفارش]]*Main[[#This Row],[بدهی تسویه نشده (کیلوگرم)]]</f>
        <v>0</v>
      </c>
      <c r="T1880" s="6">
        <f ca="1">Main[[#This Row],[بدهی سررسید شده (کیلوگرم)]]*Main[[#This Row],[روز از ارسال سفارش]]</f>
        <v>0</v>
      </c>
      <c r="U1880" s="6">
        <f>-SUBTOTAL(9,INDEX(Main[مقدار (کیلوگرم)],1):Main[[#This Row],[مقدار (کیلوگرم)]])</f>
        <v>23248</v>
      </c>
      <c r="V18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0" s="6">
        <f>Main[[#This Row],[تعداد کل روزهای بدهکار (روز)]]*Main[[#This Row],[مانده در خط کل (کیلوگرم)]]</f>
        <v>0</v>
      </c>
      <c r="X1880" s="6">
        <f ca="1">-SUBTOTAL(9,INDEX(Main[مقدار تسویه شده (کیلوگرم)],1):Main[[#This Row],[مقدار تسویه شده (کیلوگرم)]])</f>
        <v>23248</v>
      </c>
      <c r="Y1880" s="6">
        <f ca="1">IF(Main[[#This Row],[مانده در خط تسویه شده (کیلوگرم)]]&lt;&gt;0,Main[[#This Row],[تعداد کل روزهای بدهکار (روز)]],0)</f>
        <v>0</v>
      </c>
      <c r="Z1880" s="6">
        <f ca="1">Main[[#This Row],[تعداد روزهای بدهکار تسویه شده (روز)]]*Main[[#This Row],[مانده در خط تسویه شده (کیلوگرم)]]</f>
        <v>0</v>
      </c>
      <c r="AA1880" s="6">
        <f ca="1">SUBTOTAL(9,INDEX(Main[بدهی تسویه نشده (کیلوگرم)],1):Main[[#This Row],[بدهی تسویه نشده (کیلوگرم)]])</f>
        <v>0</v>
      </c>
      <c r="AB1880" s="6">
        <f ca="1">IF(Main[[#This Row],[مانده در خط تسویه نشده (کیلوگرم)]]&lt;&gt;0,Main[[#This Row],[تعداد کل روزهای بدهکار (روز)]],0)</f>
        <v>0</v>
      </c>
      <c r="AC1880" s="6">
        <f ca="1">Main[[#This Row],[تعداد روزهای بدهکار  تسویه نشده (روز)]]*Main[[#This Row],[مانده در خط تسویه نشده (کیلوگرم)]]</f>
        <v>0</v>
      </c>
      <c r="AD1880" s="6">
        <f ca="1">SUBTOTAL(9,INDEX(Main[بدهی سررسید شده (کیلوگرم)],1):Main[[#This Row],[بدهی سررسید شده (کیلوگرم)]])</f>
        <v>0</v>
      </c>
      <c r="AE1880" s="6">
        <f ca="1">IF(Main[[#This Row],[مانده در خط سررسید شده (کیلوگرم)]]&lt;&gt;0,Main[[#This Row],[تعداد کل روزهای بدهکار (روز)]],0)</f>
        <v>0</v>
      </c>
      <c r="AF1880" s="6">
        <f ca="1">Main[[#This Row],[تعداد روزهای بدهکار سررسید شده (روز)]]*Main[[#This Row],[مانده در خط سررسید شده (کیلوگرم)]]</f>
        <v>0</v>
      </c>
    </row>
    <row r="1881" spans="1:32" hidden="1" x14ac:dyDescent="0.35">
      <c r="A1881" s="5">
        <f>ROW()-ROW(INDEX(Main[ردیف],1))+1</f>
        <v>1879</v>
      </c>
      <c r="B1881" s="31">
        <f>SUBTOTAL(2,INDEX(Main[ردیف],1):Main[[#This Row],[ردیف]])</f>
        <v>166</v>
      </c>
      <c r="C1881" s="32" t="s">
        <v>732</v>
      </c>
      <c r="D1881" s="32" t="str">
        <f>_xlfn.CONCAT("14",Main[[#This Row],[تاريخ]])</f>
        <v>1400/07/25</v>
      </c>
      <c r="E1881" s="33">
        <v>44486</v>
      </c>
      <c r="F1881" s="32">
        <v>10026</v>
      </c>
      <c r="G1881" s="5" t="str">
        <f>INDEX(customer[عنوان],MATCH(Main[[#This Row],[کد ردیابی]],customer[کد],0))</f>
        <v xml:space="preserve">محسن فیاض بخش </v>
      </c>
      <c r="H1881">
        <v>2958</v>
      </c>
      <c r="I1881" s="6">
        <f ca="1">-Main[[#This Row],[بدهی تسویه شده (کیلوگرم)]]+Main[[#This Row],[بستانکار (کیلوگرم)]]</f>
        <v>2958</v>
      </c>
      <c r="J1881" s="6">
        <f>IF(Main[[#This Row],[مقدار (کیلوگرم)]]&gt;0,Main[[#This Row],[مقدار (کیلوگرم)]],0)</f>
        <v>2958</v>
      </c>
      <c r="K1881" s="6">
        <f>-IF(Main[[#This Row],[مقدار (کیلوگرم)]]&lt;0,Main[[#This Row],[مقدار (کیلوگرم)]],0)</f>
        <v>0</v>
      </c>
      <c r="L18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1" s="7">
        <f>-IF(AND(Main[[#This Row],[مقدار (کیلوگرم)]]&lt;0,Main[[#This Row],[تاريخ میلادی]]&gt;44276),Main[[#This Row],[مقدار (کیلوگرم)]],0)</f>
        <v>0</v>
      </c>
      <c r="N1881" s="6">
        <f ca="1">Main[[#This Row],[بدهکار (کیلوگرم)]]-Main[[#This Row],[بدهی تسویه نشده (کیلوگرم)]]</f>
        <v>0</v>
      </c>
      <c r="O1881" s="6">
        <f ca="1">Main[[#This Row],[تفکیک]]</f>
        <v>0</v>
      </c>
      <c r="P1881" s="6">
        <f ca="1">IF(Main[[#This Row],[تاخیر از سررسید]]&gt;0,Main[[#This Row],[بدهی تسویه نشده (کیلوگرم)]],0)</f>
        <v>0</v>
      </c>
      <c r="Q1881" s="6">
        <f ca="1">IF(Main[[#This Row],[بدهی تسویه نشده (کیلوگرم)]]&gt;0,'گزارش فردی'!$B$7-Main[[#This Row],[تاريخ میلادی]],0)</f>
        <v>0</v>
      </c>
      <c r="R1881" s="6">
        <f ca="1">IF(Main[[#This Row],[بدهی تسویه نشده (کیلوگرم)]]&gt;0,'گزارش فردی'!$B$7-Main[[#This Row],[تاريخ میلادی]]-'گزارش فردی'!$B$8,0)</f>
        <v>0</v>
      </c>
      <c r="S1881" s="6">
        <f ca="1">Main[[#This Row],[روز از ارسال سفارش]]*Main[[#This Row],[بدهی تسویه نشده (کیلوگرم)]]</f>
        <v>0</v>
      </c>
      <c r="T1881" s="6">
        <f ca="1">Main[[#This Row],[بدهی سررسید شده (کیلوگرم)]]*Main[[#This Row],[روز از ارسال سفارش]]</f>
        <v>0</v>
      </c>
      <c r="U1881" s="6">
        <f>-SUBTOTAL(9,INDEX(Main[مقدار (کیلوگرم)],1):Main[[#This Row],[مقدار (کیلوگرم)]])</f>
        <v>23248</v>
      </c>
      <c r="V18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1" s="6">
        <f>Main[[#This Row],[تعداد کل روزهای بدهکار (روز)]]*Main[[#This Row],[مانده در خط کل (کیلوگرم)]]</f>
        <v>0</v>
      </c>
      <c r="X1881" s="6">
        <f ca="1">-SUBTOTAL(9,INDEX(Main[مقدار تسویه شده (کیلوگرم)],1):Main[[#This Row],[مقدار تسویه شده (کیلوگرم)]])</f>
        <v>23248</v>
      </c>
      <c r="Y1881" s="6">
        <f ca="1">IF(Main[[#This Row],[مانده در خط تسویه شده (کیلوگرم)]]&lt;&gt;0,Main[[#This Row],[تعداد کل روزهای بدهکار (روز)]],0)</f>
        <v>0</v>
      </c>
      <c r="Z1881" s="6">
        <f ca="1">Main[[#This Row],[تعداد روزهای بدهکار تسویه شده (روز)]]*Main[[#This Row],[مانده در خط تسویه شده (کیلوگرم)]]</f>
        <v>0</v>
      </c>
      <c r="AA1881" s="6">
        <f ca="1">SUBTOTAL(9,INDEX(Main[بدهی تسویه نشده (کیلوگرم)],1):Main[[#This Row],[بدهی تسویه نشده (کیلوگرم)]])</f>
        <v>0</v>
      </c>
      <c r="AB1881" s="6">
        <f ca="1">IF(Main[[#This Row],[مانده در خط تسویه نشده (کیلوگرم)]]&lt;&gt;0,Main[[#This Row],[تعداد کل روزهای بدهکار (روز)]],0)</f>
        <v>0</v>
      </c>
      <c r="AC1881" s="6">
        <f ca="1">Main[[#This Row],[تعداد روزهای بدهکار  تسویه نشده (روز)]]*Main[[#This Row],[مانده در خط تسویه نشده (کیلوگرم)]]</f>
        <v>0</v>
      </c>
      <c r="AD1881" s="6">
        <f ca="1">SUBTOTAL(9,INDEX(Main[بدهی سررسید شده (کیلوگرم)],1):Main[[#This Row],[بدهی سررسید شده (کیلوگرم)]])</f>
        <v>0</v>
      </c>
      <c r="AE1881" s="6">
        <f ca="1">IF(Main[[#This Row],[مانده در خط سررسید شده (کیلوگرم)]]&lt;&gt;0,Main[[#This Row],[تعداد کل روزهای بدهکار (روز)]],0)</f>
        <v>0</v>
      </c>
      <c r="AF1881" s="6">
        <f ca="1">Main[[#This Row],[تعداد روزهای بدهکار سررسید شده (روز)]]*Main[[#This Row],[مانده در خط سررسید شده (کیلوگرم)]]</f>
        <v>0</v>
      </c>
    </row>
    <row r="1882" spans="1:32" x14ac:dyDescent="0.35">
      <c r="A1882" s="5">
        <f>ROW()-ROW(INDEX(Main[ردیف],1))+1</f>
        <v>1880</v>
      </c>
      <c r="B1882" s="31">
        <f>SUBTOTAL(2,INDEX(Main[ردیف],1):Main[[#This Row],[ردیف]])</f>
        <v>167</v>
      </c>
      <c r="C1882" s="32" t="s">
        <v>732</v>
      </c>
      <c r="D1882" s="32" t="str">
        <f>_xlfn.CONCAT("14",Main[[#This Row],[تاريخ]])</f>
        <v>1400/07/25</v>
      </c>
      <c r="E1882" s="33">
        <v>44486</v>
      </c>
      <c r="F1882" s="32">
        <v>10003</v>
      </c>
      <c r="G1882" s="5" t="str">
        <f>INDEX(customer[عنوان],MATCH(Main[[#This Row],[کد ردیابی]],customer[کد],0))</f>
        <v>اصغر نورعلی</v>
      </c>
      <c r="H1882">
        <v>-2994</v>
      </c>
      <c r="I1882" s="6">
        <f ca="1">-Main[[#This Row],[بدهی تسویه شده (کیلوگرم)]]+Main[[#This Row],[بستانکار (کیلوگرم)]]</f>
        <v>-2994</v>
      </c>
      <c r="J1882" s="6">
        <f>IF(Main[[#This Row],[مقدار (کیلوگرم)]]&gt;0,Main[[#This Row],[مقدار (کیلوگرم)]],0)</f>
        <v>0</v>
      </c>
      <c r="K1882" s="6">
        <f>-IF(Main[[#This Row],[مقدار (کیلوگرم)]]&lt;0,Main[[#This Row],[مقدار (کیلوگرم)]],0)</f>
        <v>2994</v>
      </c>
      <c r="L18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2" s="7">
        <f>-IF(AND(Main[[#This Row],[مقدار (کیلوگرم)]]&lt;0,Main[[#This Row],[تاريخ میلادی]]&gt;44276),Main[[#This Row],[مقدار (کیلوگرم)]],0)</f>
        <v>2994</v>
      </c>
      <c r="N1882" s="6">
        <f ca="1">Main[[#This Row],[بدهکار (کیلوگرم)]]-Main[[#This Row],[بدهی تسویه نشده (کیلوگرم)]]</f>
        <v>2994</v>
      </c>
      <c r="O1882" s="6">
        <f ca="1">Main[[#This Row],[تفکیک]]</f>
        <v>0</v>
      </c>
      <c r="P1882" s="6">
        <f ca="1">IF(Main[[#This Row],[تاخیر از سررسید]]&gt;0,Main[[#This Row],[بدهی تسویه نشده (کیلوگرم)]],0)</f>
        <v>0</v>
      </c>
      <c r="Q1882" s="6">
        <f ca="1">IF(Main[[#This Row],[بدهی تسویه نشده (کیلوگرم)]]&gt;0,'گزارش فردی'!$B$7-Main[[#This Row],[تاريخ میلادی]],0)</f>
        <v>0</v>
      </c>
      <c r="R1882" s="6">
        <f ca="1">IF(Main[[#This Row],[بدهی تسویه نشده (کیلوگرم)]]&gt;0,'گزارش فردی'!$B$7-Main[[#This Row],[تاريخ میلادی]]-'گزارش فردی'!$B$8,0)</f>
        <v>0</v>
      </c>
      <c r="S1882" s="6">
        <f ca="1">Main[[#This Row],[روز از ارسال سفارش]]*Main[[#This Row],[بدهی تسویه نشده (کیلوگرم)]]</f>
        <v>0</v>
      </c>
      <c r="T1882" s="6">
        <f ca="1">Main[[#This Row],[بدهی سررسید شده (کیلوگرم)]]*Main[[#This Row],[روز از ارسال سفارش]]</f>
        <v>0</v>
      </c>
      <c r="U1882" s="6">
        <f>-SUBTOTAL(9,INDEX(Main[مقدار (کیلوگرم)],1):Main[[#This Row],[مقدار (کیلوگرم)]])</f>
        <v>26242</v>
      </c>
      <c r="V188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2" s="6">
        <f>Main[[#This Row],[تعداد کل روزهای بدهکار (روز)]]*Main[[#This Row],[مانده در خط کل (کیلوگرم)]]</f>
        <v>26242</v>
      </c>
      <c r="X1882" s="6">
        <f ca="1">-SUBTOTAL(9,INDEX(Main[مقدار تسویه شده (کیلوگرم)],1):Main[[#This Row],[مقدار تسویه شده (کیلوگرم)]])</f>
        <v>26242</v>
      </c>
      <c r="Y1882" s="6">
        <f ca="1">IF(Main[[#This Row],[مانده در خط تسویه شده (کیلوگرم)]]&lt;&gt;0,Main[[#This Row],[تعداد کل روزهای بدهکار (روز)]],0)</f>
        <v>1</v>
      </c>
      <c r="Z1882" s="6">
        <f ca="1">Main[[#This Row],[تعداد روزهای بدهکار تسویه شده (روز)]]*Main[[#This Row],[مانده در خط تسویه شده (کیلوگرم)]]</f>
        <v>26242</v>
      </c>
      <c r="AA1882" s="6">
        <f ca="1">SUBTOTAL(9,INDEX(Main[بدهی تسویه نشده (کیلوگرم)],1):Main[[#This Row],[بدهی تسویه نشده (کیلوگرم)]])</f>
        <v>0</v>
      </c>
      <c r="AB1882" s="6">
        <f ca="1">IF(Main[[#This Row],[مانده در خط تسویه نشده (کیلوگرم)]]&lt;&gt;0,Main[[#This Row],[تعداد کل روزهای بدهکار (روز)]],0)</f>
        <v>0</v>
      </c>
      <c r="AC1882" s="6">
        <f ca="1">Main[[#This Row],[تعداد روزهای بدهکار  تسویه نشده (روز)]]*Main[[#This Row],[مانده در خط تسویه نشده (کیلوگرم)]]</f>
        <v>0</v>
      </c>
      <c r="AD1882" s="6">
        <f ca="1">SUBTOTAL(9,INDEX(Main[بدهی سررسید شده (کیلوگرم)],1):Main[[#This Row],[بدهی سررسید شده (کیلوگرم)]])</f>
        <v>0</v>
      </c>
      <c r="AE1882" s="6">
        <f ca="1">IF(Main[[#This Row],[مانده در خط سررسید شده (کیلوگرم)]]&lt;&gt;0,Main[[#This Row],[تعداد کل روزهای بدهکار (روز)]],0)</f>
        <v>0</v>
      </c>
      <c r="AF1882" s="6">
        <f ca="1">Main[[#This Row],[تعداد روزهای بدهکار سررسید شده (روز)]]*Main[[#This Row],[مانده در خط سررسید شده (کیلوگرم)]]</f>
        <v>0</v>
      </c>
    </row>
    <row r="1883" spans="1:32" hidden="1" x14ac:dyDescent="0.35">
      <c r="A1883" s="5">
        <f>ROW()-ROW(INDEX(Main[ردیف],1))+1</f>
        <v>1881</v>
      </c>
      <c r="B1883" s="31">
        <f>SUBTOTAL(2,INDEX(Main[ردیف],1):Main[[#This Row],[ردیف]])</f>
        <v>167</v>
      </c>
      <c r="C1883" s="32" t="s">
        <v>732</v>
      </c>
      <c r="D1883" s="32" t="str">
        <f>_xlfn.CONCAT("14",Main[[#This Row],[تاريخ]])</f>
        <v>1400/07/25</v>
      </c>
      <c r="E1883" s="33">
        <v>44486</v>
      </c>
      <c r="F1883" s="32">
        <v>30099</v>
      </c>
      <c r="G1883" s="5" t="str">
        <f>INDEX(customer[عنوان],MATCH(Main[[#This Row],[کد ردیابی]],customer[کد],0))</f>
        <v>ایران شرق نیشابور</v>
      </c>
      <c r="H1883">
        <v>-2405</v>
      </c>
      <c r="I1883" s="6">
        <f ca="1">-Main[[#This Row],[بدهی تسویه شده (کیلوگرم)]]+Main[[#This Row],[بستانکار (کیلوگرم)]]</f>
        <v>-2405</v>
      </c>
      <c r="J1883" s="6">
        <f>IF(Main[[#This Row],[مقدار (کیلوگرم)]]&gt;0,Main[[#This Row],[مقدار (کیلوگرم)]],0)</f>
        <v>0</v>
      </c>
      <c r="K1883" s="6">
        <f>-IF(Main[[#This Row],[مقدار (کیلوگرم)]]&lt;0,Main[[#This Row],[مقدار (کیلوگرم)]],0)</f>
        <v>2405</v>
      </c>
      <c r="L18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3" s="7">
        <f>-IF(AND(Main[[#This Row],[مقدار (کیلوگرم)]]&lt;0,Main[[#This Row],[تاريخ میلادی]]&gt;44276),Main[[#This Row],[مقدار (کیلوگرم)]],0)</f>
        <v>2405</v>
      </c>
      <c r="N1883" s="6">
        <f ca="1">Main[[#This Row],[بدهکار (کیلوگرم)]]-Main[[#This Row],[بدهی تسویه نشده (کیلوگرم)]]</f>
        <v>2405</v>
      </c>
      <c r="O1883" s="6">
        <f ca="1">Main[[#This Row],[تفکیک]]</f>
        <v>0</v>
      </c>
      <c r="P1883" s="6">
        <f ca="1">IF(Main[[#This Row],[تاخیر از سررسید]]&gt;0,Main[[#This Row],[بدهی تسویه نشده (کیلوگرم)]],0)</f>
        <v>0</v>
      </c>
      <c r="Q1883" s="6">
        <f ca="1">IF(Main[[#This Row],[بدهی تسویه نشده (کیلوگرم)]]&gt;0,'گزارش فردی'!$B$7-Main[[#This Row],[تاريخ میلادی]],0)</f>
        <v>0</v>
      </c>
      <c r="R1883" s="6">
        <f ca="1">IF(Main[[#This Row],[بدهی تسویه نشده (کیلوگرم)]]&gt;0,'گزارش فردی'!$B$7-Main[[#This Row],[تاريخ میلادی]]-'گزارش فردی'!$B$8,0)</f>
        <v>0</v>
      </c>
      <c r="S1883" s="6">
        <f ca="1">Main[[#This Row],[روز از ارسال سفارش]]*Main[[#This Row],[بدهی تسویه نشده (کیلوگرم)]]</f>
        <v>0</v>
      </c>
      <c r="T1883" s="6">
        <f ca="1">Main[[#This Row],[بدهی سررسید شده (کیلوگرم)]]*Main[[#This Row],[روز از ارسال سفارش]]</f>
        <v>0</v>
      </c>
      <c r="U1883" s="6">
        <f>-SUBTOTAL(9,INDEX(Main[مقدار (کیلوگرم)],1):Main[[#This Row],[مقدار (کیلوگرم)]])</f>
        <v>26242</v>
      </c>
      <c r="V18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3" s="6">
        <f>Main[[#This Row],[تعداد کل روزهای بدهکار (روز)]]*Main[[#This Row],[مانده در خط کل (کیلوگرم)]]</f>
        <v>26242</v>
      </c>
      <c r="X1883" s="6">
        <f ca="1">-SUBTOTAL(9,INDEX(Main[مقدار تسویه شده (کیلوگرم)],1):Main[[#This Row],[مقدار تسویه شده (کیلوگرم)]])</f>
        <v>26242</v>
      </c>
      <c r="Y1883" s="6">
        <f ca="1">IF(Main[[#This Row],[مانده در خط تسویه شده (کیلوگرم)]]&lt;&gt;0,Main[[#This Row],[تعداد کل روزهای بدهکار (روز)]],0)</f>
        <v>1</v>
      </c>
      <c r="Z1883" s="6">
        <f ca="1">Main[[#This Row],[تعداد روزهای بدهکار تسویه شده (روز)]]*Main[[#This Row],[مانده در خط تسویه شده (کیلوگرم)]]</f>
        <v>26242</v>
      </c>
      <c r="AA1883" s="6">
        <f ca="1">SUBTOTAL(9,INDEX(Main[بدهی تسویه نشده (کیلوگرم)],1):Main[[#This Row],[بدهی تسویه نشده (کیلوگرم)]])</f>
        <v>0</v>
      </c>
      <c r="AB1883" s="6">
        <f ca="1">IF(Main[[#This Row],[مانده در خط تسویه نشده (کیلوگرم)]]&lt;&gt;0,Main[[#This Row],[تعداد کل روزهای بدهکار (روز)]],0)</f>
        <v>0</v>
      </c>
      <c r="AC1883" s="6">
        <f ca="1">Main[[#This Row],[تعداد روزهای بدهکار  تسویه نشده (روز)]]*Main[[#This Row],[مانده در خط تسویه نشده (کیلوگرم)]]</f>
        <v>0</v>
      </c>
      <c r="AD1883" s="6">
        <f ca="1">SUBTOTAL(9,INDEX(Main[بدهی سررسید شده (کیلوگرم)],1):Main[[#This Row],[بدهی سررسید شده (کیلوگرم)]])</f>
        <v>0</v>
      </c>
      <c r="AE1883" s="6">
        <f ca="1">IF(Main[[#This Row],[مانده در خط سررسید شده (کیلوگرم)]]&lt;&gt;0,Main[[#This Row],[تعداد کل روزهای بدهکار (روز)]],0)</f>
        <v>0</v>
      </c>
      <c r="AF1883" s="6">
        <f ca="1">Main[[#This Row],[تعداد روزهای بدهکار سررسید شده (روز)]]*Main[[#This Row],[مانده در خط سررسید شده (کیلوگرم)]]</f>
        <v>0</v>
      </c>
    </row>
    <row r="1884" spans="1:32" hidden="1" x14ac:dyDescent="0.35">
      <c r="A1884" s="5">
        <f>ROW()-ROW(INDEX(Main[ردیف],1))+1</f>
        <v>1882</v>
      </c>
      <c r="B1884" s="31">
        <f>SUBTOTAL(2,INDEX(Main[ردیف],1):Main[[#This Row],[ردیف]])</f>
        <v>167</v>
      </c>
      <c r="C1884" s="32" t="s">
        <v>732</v>
      </c>
      <c r="D1884" s="32" t="str">
        <f>_xlfn.CONCAT("14",Main[[#This Row],[تاريخ]])</f>
        <v>1400/07/25</v>
      </c>
      <c r="E1884" s="33">
        <v>44486</v>
      </c>
      <c r="F1884" s="32">
        <v>30009</v>
      </c>
      <c r="G1884" s="5" t="str">
        <f>INDEX(customer[عنوان],MATCH(Main[[#This Row],[کد ردیابی]],customer[کد],0))</f>
        <v>شرکت ایمن تک پیشرو</v>
      </c>
      <c r="H1884">
        <v>-2256</v>
      </c>
      <c r="I1884" s="6">
        <f ca="1">-Main[[#This Row],[بدهی تسویه شده (کیلوگرم)]]+Main[[#This Row],[بستانکار (کیلوگرم)]]</f>
        <v>-2256</v>
      </c>
      <c r="J1884" s="6">
        <f>IF(Main[[#This Row],[مقدار (کیلوگرم)]]&gt;0,Main[[#This Row],[مقدار (کیلوگرم)]],0)</f>
        <v>0</v>
      </c>
      <c r="K1884" s="6">
        <f>-IF(Main[[#This Row],[مقدار (کیلوگرم)]]&lt;0,Main[[#This Row],[مقدار (کیلوگرم)]],0)</f>
        <v>2256</v>
      </c>
      <c r="L18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4" s="7">
        <f>-IF(AND(Main[[#This Row],[مقدار (کیلوگرم)]]&lt;0,Main[[#This Row],[تاريخ میلادی]]&gt;44276),Main[[#This Row],[مقدار (کیلوگرم)]],0)</f>
        <v>2256</v>
      </c>
      <c r="N1884" s="6">
        <f ca="1">Main[[#This Row],[بدهکار (کیلوگرم)]]-Main[[#This Row],[بدهی تسویه نشده (کیلوگرم)]]</f>
        <v>2256</v>
      </c>
      <c r="O1884" s="6">
        <f ca="1">Main[[#This Row],[تفکیک]]</f>
        <v>0</v>
      </c>
      <c r="P1884" s="6">
        <f ca="1">IF(Main[[#This Row],[تاخیر از سررسید]]&gt;0,Main[[#This Row],[بدهی تسویه نشده (کیلوگرم)]],0)</f>
        <v>0</v>
      </c>
      <c r="Q1884" s="6">
        <f ca="1">IF(Main[[#This Row],[بدهی تسویه نشده (کیلوگرم)]]&gt;0,'گزارش فردی'!$B$7-Main[[#This Row],[تاريخ میلادی]],0)</f>
        <v>0</v>
      </c>
      <c r="R1884" s="6">
        <f ca="1">IF(Main[[#This Row],[بدهی تسویه نشده (کیلوگرم)]]&gt;0,'گزارش فردی'!$B$7-Main[[#This Row],[تاريخ میلادی]]-'گزارش فردی'!$B$8,0)</f>
        <v>0</v>
      </c>
      <c r="S1884" s="6">
        <f ca="1">Main[[#This Row],[روز از ارسال سفارش]]*Main[[#This Row],[بدهی تسویه نشده (کیلوگرم)]]</f>
        <v>0</v>
      </c>
      <c r="T1884" s="6">
        <f ca="1">Main[[#This Row],[بدهی سررسید شده (کیلوگرم)]]*Main[[#This Row],[روز از ارسال سفارش]]</f>
        <v>0</v>
      </c>
      <c r="U1884" s="6">
        <f>-SUBTOTAL(9,INDEX(Main[مقدار (کیلوگرم)],1):Main[[#This Row],[مقدار (کیلوگرم)]])</f>
        <v>26242</v>
      </c>
      <c r="V18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4" s="6">
        <f>Main[[#This Row],[تعداد کل روزهای بدهکار (روز)]]*Main[[#This Row],[مانده در خط کل (کیلوگرم)]]</f>
        <v>26242</v>
      </c>
      <c r="X1884" s="6">
        <f ca="1">-SUBTOTAL(9,INDEX(Main[مقدار تسویه شده (کیلوگرم)],1):Main[[#This Row],[مقدار تسویه شده (کیلوگرم)]])</f>
        <v>26242</v>
      </c>
      <c r="Y1884" s="6">
        <f ca="1">IF(Main[[#This Row],[مانده در خط تسویه شده (کیلوگرم)]]&lt;&gt;0,Main[[#This Row],[تعداد کل روزهای بدهکار (روز)]],0)</f>
        <v>1</v>
      </c>
      <c r="Z1884" s="6">
        <f ca="1">Main[[#This Row],[تعداد روزهای بدهکار تسویه شده (روز)]]*Main[[#This Row],[مانده در خط تسویه شده (کیلوگرم)]]</f>
        <v>26242</v>
      </c>
      <c r="AA1884" s="6">
        <f ca="1">SUBTOTAL(9,INDEX(Main[بدهی تسویه نشده (کیلوگرم)],1):Main[[#This Row],[بدهی تسویه نشده (کیلوگرم)]])</f>
        <v>0</v>
      </c>
      <c r="AB1884" s="6">
        <f ca="1">IF(Main[[#This Row],[مانده در خط تسویه نشده (کیلوگرم)]]&lt;&gt;0,Main[[#This Row],[تعداد کل روزهای بدهکار (روز)]],0)</f>
        <v>0</v>
      </c>
      <c r="AC1884" s="6">
        <f ca="1">Main[[#This Row],[تعداد روزهای بدهکار  تسویه نشده (روز)]]*Main[[#This Row],[مانده در خط تسویه نشده (کیلوگرم)]]</f>
        <v>0</v>
      </c>
      <c r="AD1884" s="6">
        <f ca="1">SUBTOTAL(9,INDEX(Main[بدهی سررسید شده (کیلوگرم)],1):Main[[#This Row],[بدهی سررسید شده (کیلوگرم)]])</f>
        <v>0</v>
      </c>
      <c r="AE1884" s="6">
        <f ca="1">IF(Main[[#This Row],[مانده در خط سررسید شده (کیلوگرم)]]&lt;&gt;0,Main[[#This Row],[تعداد کل روزهای بدهکار (روز)]],0)</f>
        <v>0</v>
      </c>
      <c r="AF1884" s="6">
        <f ca="1">Main[[#This Row],[تعداد روزهای بدهکار سررسید شده (روز)]]*Main[[#This Row],[مانده در خط سررسید شده (کیلوگرم)]]</f>
        <v>0</v>
      </c>
    </row>
    <row r="1885" spans="1:32" hidden="1" x14ac:dyDescent="0.35">
      <c r="A1885" s="5">
        <f>ROW()-ROW(INDEX(Main[ردیف],1))+1</f>
        <v>1883</v>
      </c>
      <c r="B1885" s="31">
        <f>SUBTOTAL(2,INDEX(Main[ردیف],1):Main[[#This Row],[ردیف]])</f>
        <v>167</v>
      </c>
      <c r="C1885" s="32" t="s">
        <v>733</v>
      </c>
      <c r="D1885" s="32" t="str">
        <f>_xlfn.CONCAT("14",Main[[#This Row],[تاريخ]])</f>
        <v>1400/07/26</v>
      </c>
      <c r="E1885" s="33">
        <v>44487</v>
      </c>
      <c r="F1885" s="32">
        <v>30018</v>
      </c>
      <c r="G1885" s="5" t="str">
        <f>INDEX(customer[عنوان],MATCH(Main[[#This Row],[کد ردیابی]],customer[کد],0))</f>
        <v xml:space="preserve">تولیدی شیر سازی غریب پویا </v>
      </c>
      <c r="H1885">
        <v>2345</v>
      </c>
      <c r="I1885" s="6">
        <f ca="1">-Main[[#This Row],[بدهی تسویه شده (کیلوگرم)]]+Main[[#This Row],[بستانکار (کیلوگرم)]]</f>
        <v>2345</v>
      </c>
      <c r="J1885" s="6">
        <f>IF(Main[[#This Row],[مقدار (کیلوگرم)]]&gt;0,Main[[#This Row],[مقدار (کیلوگرم)]],0)</f>
        <v>2345</v>
      </c>
      <c r="K1885" s="6">
        <f>-IF(Main[[#This Row],[مقدار (کیلوگرم)]]&lt;0,Main[[#This Row],[مقدار (کیلوگرم)]],0)</f>
        <v>0</v>
      </c>
      <c r="L18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5" s="7">
        <f>-IF(AND(Main[[#This Row],[مقدار (کیلوگرم)]]&lt;0,Main[[#This Row],[تاريخ میلادی]]&gt;44276),Main[[#This Row],[مقدار (کیلوگرم)]],0)</f>
        <v>0</v>
      </c>
      <c r="N1885" s="6">
        <f ca="1">Main[[#This Row],[بدهکار (کیلوگرم)]]-Main[[#This Row],[بدهی تسویه نشده (کیلوگرم)]]</f>
        <v>0</v>
      </c>
      <c r="O1885" s="6">
        <f ca="1">Main[[#This Row],[تفکیک]]</f>
        <v>0</v>
      </c>
      <c r="P1885" s="6">
        <f ca="1">IF(Main[[#This Row],[تاخیر از سررسید]]&gt;0,Main[[#This Row],[بدهی تسویه نشده (کیلوگرم)]],0)</f>
        <v>0</v>
      </c>
      <c r="Q1885" s="6">
        <f ca="1">IF(Main[[#This Row],[بدهی تسویه نشده (کیلوگرم)]]&gt;0,'گزارش فردی'!$B$7-Main[[#This Row],[تاريخ میلادی]],0)</f>
        <v>0</v>
      </c>
      <c r="R1885" s="6">
        <f ca="1">IF(Main[[#This Row],[بدهی تسویه نشده (کیلوگرم)]]&gt;0,'گزارش فردی'!$B$7-Main[[#This Row],[تاريخ میلادی]]-'گزارش فردی'!$B$8,0)</f>
        <v>0</v>
      </c>
      <c r="S1885" s="6">
        <f ca="1">Main[[#This Row],[روز از ارسال سفارش]]*Main[[#This Row],[بدهی تسویه نشده (کیلوگرم)]]</f>
        <v>0</v>
      </c>
      <c r="T1885" s="6">
        <f ca="1">Main[[#This Row],[بدهی سررسید شده (کیلوگرم)]]*Main[[#This Row],[روز از ارسال سفارش]]</f>
        <v>0</v>
      </c>
      <c r="U1885" s="6">
        <f>-SUBTOTAL(9,INDEX(Main[مقدار (کیلوگرم)],1):Main[[#This Row],[مقدار (کیلوگرم)]])</f>
        <v>26242</v>
      </c>
      <c r="V18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5" s="6">
        <f>Main[[#This Row],[تعداد کل روزهای بدهکار (روز)]]*Main[[#This Row],[مانده در خط کل (کیلوگرم)]]</f>
        <v>0</v>
      </c>
      <c r="X1885" s="6">
        <f ca="1">-SUBTOTAL(9,INDEX(Main[مقدار تسویه شده (کیلوگرم)],1):Main[[#This Row],[مقدار تسویه شده (کیلوگرم)]])</f>
        <v>26242</v>
      </c>
      <c r="Y1885" s="6">
        <f ca="1">IF(Main[[#This Row],[مانده در خط تسویه شده (کیلوگرم)]]&lt;&gt;0,Main[[#This Row],[تعداد کل روزهای بدهکار (روز)]],0)</f>
        <v>0</v>
      </c>
      <c r="Z1885" s="6">
        <f ca="1">Main[[#This Row],[تعداد روزهای بدهکار تسویه شده (روز)]]*Main[[#This Row],[مانده در خط تسویه شده (کیلوگرم)]]</f>
        <v>0</v>
      </c>
      <c r="AA1885" s="6">
        <f ca="1">SUBTOTAL(9,INDEX(Main[بدهی تسویه نشده (کیلوگرم)],1):Main[[#This Row],[بدهی تسویه نشده (کیلوگرم)]])</f>
        <v>0</v>
      </c>
      <c r="AB1885" s="6">
        <f ca="1">IF(Main[[#This Row],[مانده در خط تسویه نشده (کیلوگرم)]]&lt;&gt;0,Main[[#This Row],[تعداد کل روزهای بدهکار (روز)]],0)</f>
        <v>0</v>
      </c>
      <c r="AC1885" s="6">
        <f ca="1">Main[[#This Row],[تعداد روزهای بدهکار  تسویه نشده (روز)]]*Main[[#This Row],[مانده در خط تسویه نشده (کیلوگرم)]]</f>
        <v>0</v>
      </c>
      <c r="AD1885" s="6">
        <f ca="1">SUBTOTAL(9,INDEX(Main[بدهی سررسید شده (کیلوگرم)],1):Main[[#This Row],[بدهی سررسید شده (کیلوگرم)]])</f>
        <v>0</v>
      </c>
      <c r="AE1885" s="6">
        <f ca="1">IF(Main[[#This Row],[مانده در خط سررسید شده (کیلوگرم)]]&lt;&gt;0,Main[[#This Row],[تعداد کل روزهای بدهکار (روز)]],0)</f>
        <v>0</v>
      </c>
      <c r="AF1885" s="6">
        <f ca="1">Main[[#This Row],[تعداد روزهای بدهکار سررسید شده (روز)]]*Main[[#This Row],[مانده در خط سررسید شده (کیلوگرم)]]</f>
        <v>0</v>
      </c>
    </row>
    <row r="1886" spans="1:32" hidden="1" x14ac:dyDescent="0.35">
      <c r="A1886" s="5">
        <f>ROW()-ROW(INDEX(Main[ردیف],1))+1</f>
        <v>1884</v>
      </c>
      <c r="B1886" s="31">
        <f>SUBTOTAL(2,INDEX(Main[ردیف],1):Main[[#This Row],[ردیف]])</f>
        <v>167</v>
      </c>
      <c r="C1886" s="32" t="s">
        <v>733</v>
      </c>
      <c r="D1886" s="32" t="str">
        <f>_xlfn.CONCAT("14",Main[[#This Row],[تاريخ]])</f>
        <v>1400/07/26</v>
      </c>
      <c r="E1886" s="33">
        <v>44487</v>
      </c>
      <c r="F1886" s="32">
        <v>10104</v>
      </c>
      <c r="G1886" s="5" t="str">
        <f>INDEX(customer[عنوان],MATCH(Main[[#This Row],[کد ردیابی]],customer[کد],0))</f>
        <v>بهزادی فر اصغر</v>
      </c>
      <c r="H1886">
        <v>-1037</v>
      </c>
      <c r="I1886" s="6">
        <f ca="1">-Main[[#This Row],[بدهی تسویه شده (کیلوگرم)]]+Main[[#This Row],[بستانکار (کیلوگرم)]]</f>
        <v>-1037</v>
      </c>
      <c r="J1886" s="6">
        <f>IF(Main[[#This Row],[مقدار (کیلوگرم)]]&gt;0,Main[[#This Row],[مقدار (کیلوگرم)]],0)</f>
        <v>0</v>
      </c>
      <c r="K1886" s="6">
        <f>-IF(Main[[#This Row],[مقدار (کیلوگرم)]]&lt;0,Main[[#This Row],[مقدار (کیلوگرم)]],0)</f>
        <v>1037</v>
      </c>
      <c r="L18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6" s="7">
        <f>-IF(AND(Main[[#This Row],[مقدار (کیلوگرم)]]&lt;0,Main[[#This Row],[تاريخ میلادی]]&gt;44276),Main[[#This Row],[مقدار (کیلوگرم)]],0)</f>
        <v>1037</v>
      </c>
      <c r="N1886" s="6">
        <f ca="1">Main[[#This Row],[بدهکار (کیلوگرم)]]-Main[[#This Row],[بدهی تسویه نشده (کیلوگرم)]]</f>
        <v>1037</v>
      </c>
      <c r="O1886" s="6">
        <f ca="1">Main[[#This Row],[تفکیک]]</f>
        <v>0</v>
      </c>
      <c r="P1886" s="6">
        <f ca="1">IF(Main[[#This Row],[تاخیر از سررسید]]&gt;0,Main[[#This Row],[بدهی تسویه نشده (کیلوگرم)]],0)</f>
        <v>0</v>
      </c>
      <c r="Q1886" s="6">
        <f ca="1">IF(Main[[#This Row],[بدهی تسویه نشده (کیلوگرم)]]&gt;0,'گزارش فردی'!$B$7-Main[[#This Row],[تاريخ میلادی]],0)</f>
        <v>0</v>
      </c>
      <c r="R1886" s="6">
        <f ca="1">IF(Main[[#This Row],[بدهی تسویه نشده (کیلوگرم)]]&gt;0,'گزارش فردی'!$B$7-Main[[#This Row],[تاريخ میلادی]]-'گزارش فردی'!$B$8,0)</f>
        <v>0</v>
      </c>
      <c r="S1886" s="6">
        <f ca="1">Main[[#This Row],[روز از ارسال سفارش]]*Main[[#This Row],[بدهی تسویه نشده (کیلوگرم)]]</f>
        <v>0</v>
      </c>
      <c r="T1886" s="6">
        <f ca="1">Main[[#This Row],[بدهی سررسید شده (کیلوگرم)]]*Main[[#This Row],[روز از ارسال سفارش]]</f>
        <v>0</v>
      </c>
      <c r="U1886" s="6">
        <f>-SUBTOTAL(9,INDEX(Main[مقدار (کیلوگرم)],1):Main[[#This Row],[مقدار (کیلوگرم)]])</f>
        <v>26242</v>
      </c>
      <c r="V18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6" s="6">
        <f>Main[[#This Row],[تعداد کل روزهای بدهکار (روز)]]*Main[[#This Row],[مانده در خط کل (کیلوگرم)]]</f>
        <v>0</v>
      </c>
      <c r="X1886" s="6">
        <f ca="1">-SUBTOTAL(9,INDEX(Main[مقدار تسویه شده (کیلوگرم)],1):Main[[#This Row],[مقدار تسویه شده (کیلوگرم)]])</f>
        <v>26242</v>
      </c>
      <c r="Y1886" s="6">
        <f ca="1">IF(Main[[#This Row],[مانده در خط تسویه شده (کیلوگرم)]]&lt;&gt;0,Main[[#This Row],[تعداد کل روزهای بدهکار (روز)]],0)</f>
        <v>0</v>
      </c>
      <c r="Z1886" s="6">
        <f ca="1">Main[[#This Row],[تعداد روزهای بدهکار تسویه شده (روز)]]*Main[[#This Row],[مانده در خط تسویه شده (کیلوگرم)]]</f>
        <v>0</v>
      </c>
      <c r="AA1886" s="6">
        <f ca="1">SUBTOTAL(9,INDEX(Main[بدهی تسویه نشده (کیلوگرم)],1):Main[[#This Row],[بدهی تسویه نشده (کیلوگرم)]])</f>
        <v>0</v>
      </c>
      <c r="AB1886" s="6">
        <f ca="1">IF(Main[[#This Row],[مانده در خط تسویه نشده (کیلوگرم)]]&lt;&gt;0,Main[[#This Row],[تعداد کل روزهای بدهکار (روز)]],0)</f>
        <v>0</v>
      </c>
      <c r="AC1886" s="6">
        <f ca="1">Main[[#This Row],[تعداد روزهای بدهکار  تسویه نشده (روز)]]*Main[[#This Row],[مانده در خط تسویه نشده (کیلوگرم)]]</f>
        <v>0</v>
      </c>
      <c r="AD1886" s="6">
        <f ca="1">SUBTOTAL(9,INDEX(Main[بدهی سررسید شده (کیلوگرم)],1):Main[[#This Row],[بدهی سررسید شده (کیلوگرم)]])</f>
        <v>0</v>
      </c>
      <c r="AE1886" s="6">
        <f ca="1">IF(Main[[#This Row],[مانده در خط سررسید شده (کیلوگرم)]]&lt;&gt;0,Main[[#This Row],[تعداد کل روزهای بدهکار (روز)]],0)</f>
        <v>0</v>
      </c>
      <c r="AF1886" s="6">
        <f ca="1">Main[[#This Row],[تعداد روزهای بدهکار سررسید شده (روز)]]*Main[[#This Row],[مانده در خط سررسید شده (کیلوگرم)]]</f>
        <v>0</v>
      </c>
    </row>
    <row r="1887" spans="1:32" hidden="1" x14ac:dyDescent="0.35">
      <c r="A1887" s="5">
        <f>ROW()-ROW(INDEX(Main[ردیف],1))+1</f>
        <v>1885</v>
      </c>
      <c r="B1887" s="31">
        <f>SUBTOTAL(2,INDEX(Main[ردیف],1):Main[[#This Row],[ردیف]])</f>
        <v>167</v>
      </c>
      <c r="C1887" s="32" t="s">
        <v>733</v>
      </c>
      <c r="D1887" s="32" t="str">
        <f>_xlfn.CONCAT("14",Main[[#This Row],[تاريخ]])</f>
        <v>1400/07/26</v>
      </c>
      <c r="E1887" s="33">
        <v>44487</v>
      </c>
      <c r="F1887" s="32">
        <v>10127</v>
      </c>
      <c r="G1887" s="5" t="str">
        <f>INDEX(customer[عنوان],MATCH(Main[[#This Row],[کد ردیابی]],customer[کد],0))</f>
        <v xml:space="preserve">عماد هاشمی </v>
      </c>
      <c r="H1887">
        <v>2000</v>
      </c>
      <c r="I1887" s="6">
        <f ca="1">-Main[[#This Row],[بدهی تسویه شده (کیلوگرم)]]+Main[[#This Row],[بستانکار (کیلوگرم)]]</f>
        <v>2000</v>
      </c>
      <c r="J1887" s="6">
        <f>IF(Main[[#This Row],[مقدار (کیلوگرم)]]&gt;0,Main[[#This Row],[مقدار (کیلوگرم)]],0)</f>
        <v>2000</v>
      </c>
      <c r="K1887" s="6">
        <f>-IF(Main[[#This Row],[مقدار (کیلوگرم)]]&lt;0,Main[[#This Row],[مقدار (کیلوگرم)]],0)</f>
        <v>0</v>
      </c>
      <c r="L18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7" s="7">
        <f>-IF(AND(Main[[#This Row],[مقدار (کیلوگرم)]]&lt;0,Main[[#This Row],[تاريخ میلادی]]&gt;44276),Main[[#This Row],[مقدار (کیلوگرم)]],0)</f>
        <v>0</v>
      </c>
      <c r="N1887" s="6">
        <f ca="1">Main[[#This Row],[بدهکار (کیلوگرم)]]-Main[[#This Row],[بدهی تسویه نشده (کیلوگرم)]]</f>
        <v>0</v>
      </c>
      <c r="O1887" s="6">
        <f ca="1">Main[[#This Row],[تفکیک]]</f>
        <v>0</v>
      </c>
      <c r="P1887" s="6">
        <f ca="1">IF(Main[[#This Row],[تاخیر از سررسید]]&gt;0,Main[[#This Row],[بدهی تسویه نشده (کیلوگرم)]],0)</f>
        <v>0</v>
      </c>
      <c r="Q1887" s="6">
        <f ca="1">IF(Main[[#This Row],[بدهی تسویه نشده (کیلوگرم)]]&gt;0,'گزارش فردی'!$B$7-Main[[#This Row],[تاريخ میلادی]],0)</f>
        <v>0</v>
      </c>
      <c r="R1887" s="6">
        <f ca="1">IF(Main[[#This Row],[بدهی تسویه نشده (کیلوگرم)]]&gt;0,'گزارش فردی'!$B$7-Main[[#This Row],[تاريخ میلادی]]-'گزارش فردی'!$B$8,0)</f>
        <v>0</v>
      </c>
      <c r="S1887" s="6">
        <f ca="1">Main[[#This Row],[روز از ارسال سفارش]]*Main[[#This Row],[بدهی تسویه نشده (کیلوگرم)]]</f>
        <v>0</v>
      </c>
      <c r="T1887" s="6">
        <f ca="1">Main[[#This Row],[بدهی سررسید شده (کیلوگرم)]]*Main[[#This Row],[روز از ارسال سفارش]]</f>
        <v>0</v>
      </c>
      <c r="U1887" s="6">
        <f>-SUBTOTAL(9,INDEX(Main[مقدار (کیلوگرم)],1):Main[[#This Row],[مقدار (کیلوگرم)]])</f>
        <v>26242</v>
      </c>
      <c r="V18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7" s="6">
        <f>Main[[#This Row],[تعداد کل روزهای بدهکار (روز)]]*Main[[#This Row],[مانده در خط کل (کیلوگرم)]]</f>
        <v>0</v>
      </c>
      <c r="X1887" s="6">
        <f ca="1">-SUBTOTAL(9,INDEX(Main[مقدار تسویه شده (کیلوگرم)],1):Main[[#This Row],[مقدار تسویه شده (کیلوگرم)]])</f>
        <v>26242</v>
      </c>
      <c r="Y1887" s="6">
        <f ca="1">IF(Main[[#This Row],[مانده در خط تسویه شده (کیلوگرم)]]&lt;&gt;0,Main[[#This Row],[تعداد کل روزهای بدهکار (روز)]],0)</f>
        <v>0</v>
      </c>
      <c r="Z1887" s="6">
        <f ca="1">Main[[#This Row],[تعداد روزهای بدهکار تسویه شده (روز)]]*Main[[#This Row],[مانده در خط تسویه شده (کیلوگرم)]]</f>
        <v>0</v>
      </c>
      <c r="AA1887" s="6">
        <f ca="1">SUBTOTAL(9,INDEX(Main[بدهی تسویه نشده (کیلوگرم)],1):Main[[#This Row],[بدهی تسویه نشده (کیلوگرم)]])</f>
        <v>0</v>
      </c>
      <c r="AB1887" s="6">
        <f ca="1">IF(Main[[#This Row],[مانده در خط تسویه نشده (کیلوگرم)]]&lt;&gt;0,Main[[#This Row],[تعداد کل روزهای بدهکار (روز)]],0)</f>
        <v>0</v>
      </c>
      <c r="AC1887" s="6">
        <f ca="1">Main[[#This Row],[تعداد روزهای بدهکار  تسویه نشده (روز)]]*Main[[#This Row],[مانده در خط تسویه نشده (کیلوگرم)]]</f>
        <v>0</v>
      </c>
      <c r="AD1887" s="6">
        <f ca="1">SUBTOTAL(9,INDEX(Main[بدهی سررسید شده (کیلوگرم)],1):Main[[#This Row],[بدهی سررسید شده (کیلوگرم)]])</f>
        <v>0</v>
      </c>
      <c r="AE1887" s="6">
        <f ca="1">IF(Main[[#This Row],[مانده در خط سررسید شده (کیلوگرم)]]&lt;&gt;0,Main[[#This Row],[تعداد کل روزهای بدهکار (روز)]],0)</f>
        <v>0</v>
      </c>
      <c r="AF1887" s="6">
        <f ca="1">Main[[#This Row],[تعداد روزهای بدهکار سررسید شده (روز)]]*Main[[#This Row],[مانده در خط سررسید شده (کیلوگرم)]]</f>
        <v>0</v>
      </c>
    </row>
    <row r="1888" spans="1:32" x14ac:dyDescent="0.35">
      <c r="A1888" s="5">
        <f>ROW()-ROW(INDEX(Main[ردیف],1))+1</f>
        <v>1886</v>
      </c>
      <c r="B1888" s="31">
        <f>SUBTOTAL(2,INDEX(Main[ردیف],1):Main[[#This Row],[ردیف]])</f>
        <v>168</v>
      </c>
      <c r="C1888" s="32" t="s">
        <v>733</v>
      </c>
      <c r="D1888" s="32" t="str">
        <f>_xlfn.CONCAT("14",Main[[#This Row],[تاريخ]])</f>
        <v>1400/07/26</v>
      </c>
      <c r="E1888" s="33">
        <v>44487</v>
      </c>
      <c r="F1888" s="32">
        <v>10003</v>
      </c>
      <c r="G1888" s="5" t="str">
        <f>INDEX(customer[عنوان],MATCH(Main[[#This Row],[کد ردیابی]],customer[کد],0))</f>
        <v>اصغر نورعلی</v>
      </c>
      <c r="H1888">
        <v>-1003</v>
      </c>
      <c r="I1888" s="6">
        <f ca="1">-Main[[#This Row],[بدهی تسویه شده (کیلوگرم)]]+Main[[#This Row],[بستانکار (کیلوگرم)]]</f>
        <v>-1003</v>
      </c>
      <c r="J1888" s="6">
        <f>IF(Main[[#This Row],[مقدار (کیلوگرم)]]&gt;0,Main[[#This Row],[مقدار (کیلوگرم)]],0)</f>
        <v>0</v>
      </c>
      <c r="K1888" s="6">
        <f>-IF(Main[[#This Row],[مقدار (کیلوگرم)]]&lt;0,Main[[#This Row],[مقدار (کیلوگرم)]],0)</f>
        <v>1003</v>
      </c>
      <c r="L18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8" s="7">
        <f>-IF(AND(Main[[#This Row],[مقدار (کیلوگرم)]]&lt;0,Main[[#This Row],[تاريخ میلادی]]&gt;44276),Main[[#This Row],[مقدار (کیلوگرم)]],0)</f>
        <v>1003</v>
      </c>
      <c r="N1888" s="6">
        <f ca="1">Main[[#This Row],[بدهکار (کیلوگرم)]]-Main[[#This Row],[بدهی تسویه نشده (کیلوگرم)]]</f>
        <v>1003</v>
      </c>
      <c r="O1888" s="6">
        <f ca="1">Main[[#This Row],[تفکیک]]</f>
        <v>0</v>
      </c>
      <c r="P1888" s="6">
        <f ca="1">IF(Main[[#This Row],[تاخیر از سررسید]]&gt;0,Main[[#This Row],[بدهی تسویه نشده (کیلوگرم)]],0)</f>
        <v>0</v>
      </c>
      <c r="Q1888" s="6">
        <f ca="1">IF(Main[[#This Row],[بدهی تسویه نشده (کیلوگرم)]]&gt;0,'گزارش فردی'!$B$7-Main[[#This Row],[تاريخ میلادی]],0)</f>
        <v>0</v>
      </c>
      <c r="R1888" s="6">
        <f ca="1">IF(Main[[#This Row],[بدهی تسویه نشده (کیلوگرم)]]&gt;0,'گزارش فردی'!$B$7-Main[[#This Row],[تاريخ میلادی]]-'گزارش فردی'!$B$8,0)</f>
        <v>0</v>
      </c>
      <c r="S1888" s="6">
        <f ca="1">Main[[#This Row],[روز از ارسال سفارش]]*Main[[#This Row],[بدهی تسویه نشده (کیلوگرم)]]</f>
        <v>0</v>
      </c>
      <c r="T1888" s="6">
        <f ca="1">Main[[#This Row],[بدهی سررسید شده (کیلوگرم)]]*Main[[#This Row],[روز از ارسال سفارش]]</f>
        <v>0</v>
      </c>
      <c r="U1888" s="6">
        <f>-SUBTOTAL(9,INDEX(Main[مقدار (کیلوگرم)],1):Main[[#This Row],[مقدار (کیلوگرم)]])</f>
        <v>27245</v>
      </c>
      <c r="V18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8" s="6">
        <f>Main[[#This Row],[تعداد کل روزهای بدهکار (روز)]]*Main[[#This Row],[مانده در خط کل (کیلوگرم)]]</f>
        <v>27245</v>
      </c>
      <c r="X1888" s="6">
        <f ca="1">-SUBTOTAL(9,INDEX(Main[مقدار تسویه شده (کیلوگرم)],1):Main[[#This Row],[مقدار تسویه شده (کیلوگرم)]])</f>
        <v>27245</v>
      </c>
      <c r="Y1888" s="6">
        <f ca="1">IF(Main[[#This Row],[مانده در خط تسویه شده (کیلوگرم)]]&lt;&gt;0,Main[[#This Row],[تعداد کل روزهای بدهکار (روز)]],0)</f>
        <v>1</v>
      </c>
      <c r="Z1888" s="6">
        <f ca="1">Main[[#This Row],[تعداد روزهای بدهکار تسویه شده (روز)]]*Main[[#This Row],[مانده در خط تسویه شده (کیلوگرم)]]</f>
        <v>27245</v>
      </c>
      <c r="AA1888" s="6">
        <f ca="1">SUBTOTAL(9,INDEX(Main[بدهی تسویه نشده (کیلوگرم)],1):Main[[#This Row],[بدهی تسویه نشده (کیلوگرم)]])</f>
        <v>0</v>
      </c>
      <c r="AB1888" s="6">
        <f ca="1">IF(Main[[#This Row],[مانده در خط تسویه نشده (کیلوگرم)]]&lt;&gt;0,Main[[#This Row],[تعداد کل روزهای بدهکار (روز)]],0)</f>
        <v>0</v>
      </c>
      <c r="AC1888" s="6">
        <f ca="1">Main[[#This Row],[تعداد روزهای بدهکار  تسویه نشده (روز)]]*Main[[#This Row],[مانده در خط تسویه نشده (کیلوگرم)]]</f>
        <v>0</v>
      </c>
      <c r="AD1888" s="6">
        <f ca="1">SUBTOTAL(9,INDEX(Main[بدهی سررسید شده (کیلوگرم)],1):Main[[#This Row],[بدهی سررسید شده (کیلوگرم)]])</f>
        <v>0</v>
      </c>
      <c r="AE1888" s="6">
        <f ca="1">IF(Main[[#This Row],[مانده در خط سررسید شده (کیلوگرم)]]&lt;&gt;0,Main[[#This Row],[تعداد کل روزهای بدهکار (روز)]],0)</f>
        <v>0</v>
      </c>
      <c r="AF1888" s="6">
        <f ca="1">Main[[#This Row],[تعداد روزهای بدهکار سررسید شده (روز)]]*Main[[#This Row],[مانده در خط سررسید شده (کیلوگرم)]]</f>
        <v>0</v>
      </c>
    </row>
    <row r="1889" spans="1:32" hidden="1" x14ac:dyDescent="0.35">
      <c r="A1889" s="5">
        <f>ROW()-ROW(INDEX(Main[ردیف],1))+1</f>
        <v>1887</v>
      </c>
      <c r="B1889" s="31">
        <f>SUBTOTAL(2,INDEX(Main[ردیف],1):Main[[#This Row],[ردیف]])</f>
        <v>168</v>
      </c>
      <c r="C1889" s="32" t="s">
        <v>733</v>
      </c>
      <c r="D1889" s="32" t="str">
        <f>_xlfn.CONCAT("14",Main[[#This Row],[تاريخ]])</f>
        <v>1400/07/26</v>
      </c>
      <c r="E1889" s="33">
        <v>44487</v>
      </c>
      <c r="F1889" s="32">
        <v>30009</v>
      </c>
      <c r="G1889" s="5" t="str">
        <f>INDEX(customer[عنوان],MATCH(Main[[#This Row],[کد ردیابی]],customer[کد],0))</f>
        <v>شرکت ایمن تک پیشرو</v>
      </c>
      <c r="H1889">
        <v>1943</v>
      </c>
      <c r="I1889" s="6">
        <f ca="1">-Main[[#This Row],[بدهی تسویه شده (کیلوگرم)]]+Main[[#This Row],[بستانکار (کیلوگرم)]]</f>
        <v>1943</v>
      </c>
      <c r="J1889" s="6">
        <f>IF(Main[[#This Row],[مقدار (کیلوگرم)]]&gt;0,Main[[#This Row],[مقدار (کیلوگرم)]],0)</f>
        <v>1943</v>
      </c>
      <c r="K1889" s="6">
        <f>-IF(Main[[#This Row],[مقدار (کیلوگرم)]]&lt;0,Main[[#This Row],[مقدار (کیلوگرم)]],0)</f>
        <v>0</v>
      </c>
      <c r="L18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9" s="7">
        <f>-IF(AND(Main[[#This Row],[مقدار (کیلوگرم)]]&lt;0,Main[[#This Row],[تاريخ میلادی]]&gt;44276),Main[[#This Row],[مقدار (کیلوگرم)]],0)</f>
        <v>0</v>
      </c>
      <c r="N1889" s="6">
        <f ca="1">Main[[#This Row],[بدهکار (کیلوگرم)]]-Main[[#This Row],[بدهی تسویه نشده (کیلوگرم)]]</f>
        <v>0</v>
      </c>
      <c r="O1889" s="6">
        <f ca="1">Main[[#This Row],[تفکیک]]</f>
        <v>0</v>
      </c>
      <c r="P1889" s="6">
        <f ca="1">IF(Main[[#This Row],[تاخیر از سررسید]]&gt;0,Main[[#This Row],[بدهی تسویه نشده (کیلوگرم)]],0)</f>
        <v>0</v>
      </c>
      <c r="Q1889" s="6">
        <f ca="1">IF(Main[[#This Row],[بدهی تسویه نشده (کیلوگرم)]]&gt;0,'گزارش فردی'!$B$7-Main[[#This Row],[تاريخ میلادی]],0)</f>
        <v>0</v>
      </c>
      <c r="R1889" s="6">
        <f ca="1">IF(Main[[#This Row],[بدهی تسویه نشده (کیلوگرم)]]&gt;0,'گزارش فردی'!$B$7-Main[[#This Row],[تاريخ میلادی]]-'گزارش فردی'!$B$8,0)</f>
        <v>0</v>
      </c>
      <c r="S1889" s="6">
        <f ca="1">Main[[#This Row],[روز از ارسال سفارش]]*Main[[#This Row],[بدهی تسویه نشده (کیلوگرم)]]</f>
        <v>0</v>
      </c>
      <c r="T1889" s="6">
        <f ca="1">Main[[#This Row],[بدهی سررسید شده (کیلوگرم)]]*Main[[#This Row],[روز از ارسال سفارش]]</f>
        <v>0</v>
      </c>
      <c r="U1889" s="6">
        <f>-SUBTOTAL(9,INDEX(Main[مقدار (کیلوگرم)],1):Main[[#This Row],[مقدار (کیلوگرم)]])</f>
        <v>27245</v>
      </c>
      <c r="V18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9" s="6">
        <f>Main[[#This Row],[تعداد کل روزهای بدهکار (روز)]]*Main[[#This Row],[مانده در خط کل (کیلوگرم)]]</f>
        <v>27245</v>
      </c>
      <c r="X1889" s="6">
        <f ca="1">-SUBTOTAL(9,INDEX(Main[مقدار تسویه شده (کیلوگرم)],1):Main[[#This Row],[مقدار تسویه شده (کیلوگرم)]])</f>
        <v>27245</v>
      </c>
      <c r="Y1889" s="6">
        <f ca="1">IF(Main[[#This Row],[مانده در خط تسویه شده (کیلوگرم)]]&lt;&gt;0,Main[[#This Row],[تعداد کل روزهای بدهکار (روز)]],0)</f>
        <v>1</v>
      </c>
      <c r="Z1889" s="6">
        <f ca="1">Main[[#This Row],[تعداد روزهای بدهکار تسویه شده (روز)]]*Main[[#This Row],[مانده در خط تسویه شده (کیلوگرم)]]</f>
        <v>27245</v>
      </c>
      <c r="AA1889" s="6">
        <f ca="1">SUBTOTAL(9,INDEX(Main[بدهی تسویه نشده (کیلوگرم)],1):Main[[#This Row],[بدهی تسویه نشده (کیلوگرم)]])</f>
        <v>0</v>
      </c>
      <c r="AB1889" s="6">
        <f ca="1">IF(Main[[#This Row],[مانده در خط تسویه نشده (کیلوگرم)]]&lt;&gt;0,Main[[#This Row],[تعداد کل روزهای بدهکار (روز)]],0)</f>
        <v>0</v>
      </c>
      <c r="AC1889" s="6">
        <f ca="1">Main[[#This Row],[تعداد روزهای بدهکار  تسویه نشده (روز)]]*Main[[#This Row],[مانده در خط تسویه نشده (کیلوگرم)]]</f>
        <v>0</v>
      </c>
      <c r="AD1889" s="6">
        <f ca="1">SUBTOTAL(9,INDEX(Main[بدهی سررسید شده (کیلوگرم)],1):Main[[#This Row],[بدهی سررسید شده (کیلوگرم)]])</f>
        <v>0</v>
      </c>
      <c r="AE1889" s="6">
        <f ca="1">IF(Main[[#This Row],[مانده در خط سررسید شده (کیلوگرم)]]&lt;&gt;0,Main[[#This Row],[تعداد کل روزهای بدهکار (روز)]],0)</f>
        <v>0</v>
      </c>
      <c r="AF1889" s="6">
        <f ca="1">Main[[#This Row],[تعداد روزهای بدهکار سررسید شده (روز)]]*Main[[#This Row],[مانده در خط سررسید شده (کیلوگرم)]]</f>
        <v>0</v>
      </c>
    </row>
    <row r="1890" spans="1:32" hidden="1" x14ac:dyDescent="0.35">
      <c r="A1890" s="5">
        <f>ROW()-ROW(INDEX(Main[ردیف],1))+1</f>
        <v>1888</v>
      </c>
      <c r="B1890" s="31">
        <f>SUBTOTAL(2,INDEX(Main[ردیف],1):Main[[#This Row],[ردیف]])</f>
        <v>168</v>
      </c>
      <c r="C1890" s="32" t="s">
        <v>733</v>
      </c>
      <c r="D1890" s="32" t="str">
        <f>_xlfn.CONCAT("14",Main[[#This Row],[تاريخ]])</f>
        <v>1400/07/26</v>
      </c>
      <c r="E1890" s="33">
        <v>44487</v>
      </c>
      <c r="F1890" s="32">
        <v>10084</v>
      </c>
      <c r="G1890" s="5" t="str">
        <f>INDEX(customer[عنوان],MATCH(Main[[#This Row],[کد ردیابی]],customer[کد],0))</f>
        <v xml:space="preserve">سیدحمید کاظمی </v>
      </c>
      <c r="H1890">
        <v>28</v>
      </c>
      <c r="I1890" s="6">
        <f ca="1">-Main[[#This Row],[بدهی تسویه شده (کیلوگرم)]]+Main[[#This Row],[بستانکار (کیلوگرم)]]</f>
        <v>28</v>
      </c>
      <c r="J1890" s="6">
        <f>IF(Main[[#This Row],[مقدار (کیلوگرم)]]&gt;0,Main[[#This Row],[مقدار (کیلوگرم)]],0)</f>
        <v>28</v>
      </c>
      <c r="K1890" s="6">
        <f>-IF(Main[[#This Row],[مقدار (کیلوگرم)]]&lt;0,Main[[#This Row],[مقدار (کیلوگرم)]],0)</f>
        <v>0</v>
      </c>
      <c r="L18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0" s="7">
        <f>-IF(AND(Main[[#This Row],[مقدار (کیلوگرم)]]&lt;0,Main[[#This Row],[تاريخ میلادی]]&gt;44276),Main[[#This Row],[مقدار (کیلوگرم)]],0)</f>
        <v>0</v>
      </c>
      <c r="N1890" s="6">
        <f ca="1">Main[[#This Row],[بدهکار (کیلوگرم)]]-Main[[#This Row],[بدهی تسویه نشده (کیلوگرم)]]</f>
        <v>0</v>
      </c>
      <c r="O1890" s="6">
        <f ca="1">Main[[#This Row],[تفکیک]]</f>
        <v>0</v>
      </c>
      <c r="P1890" s="6">
        <f ca="1">IF(Main[[#This Row],[تاخیر از سررسید]]&gt;0,Main[[#This Row],[بدهی تسویه نشده (کیلوگرم)]],0)</f>
        <v>0</v>
      </c>
      <c r="Q1890" s="6">
        <f ca="1">IF(Main[[#This Row],[بدهی تسویه نشده (کیلوگرم)]]&gt;0,'گزارش فردی'!$B$7-Main[[#This Row],[تاريخ میلادی]],0)</f>
        <v>0</v>
      </c>
      <c r="R1890" s="6">
        <f ca="1">IF(Main[[#This Row],[بدهی تسویه نشده (کیلوگرم)]]&gt;0,'گزارش فردی'!$B$7-Main[[#This Row],[تاريخ میلادی]]-'گزارش فردی'!$B$8,0)</f>
        <v>0</v>
      </c>
      <c r="S1890" s="6">
        <f ca="1">Main[[#This Row],[روز از ارسال سفارش]]*Main[[#This Row],[بدهی تسویه نشده (کیلوگرم)]]</f>
        <v>0</v>
      </c>
      <c r="T1890" s="6">
        <f ca="1">Main[[#This Row],[بدهی سررسید شده (کیلوگرم)]]*Main[[#This Row],[روز از ارسال سفارش]]</f>
        <v>0</v>
      </c>
      <c r="U1890" s="6">
        <f>-SUBTOTAL(9,INDEX(Main[مقدار (کیلوگرم)],1):Main[[#This Row],[مقدار (کیلوگرم)]])</f>
        <v>27245</v>
      </c>
      <c r="V18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90" s="6">
        <f>Main[[#This Row],[تعداد کل روزهای بدهکار (روز)]]*Main[[#This Row],[مانده در خط کل (کیلوگرم)]]</f>
        <v>27245</v>
      </c>
      <c r="X1890" s="6">
        <f ca="1">-SUBTOTAL(9,INDEX(Main[مقدار تسویه شده (کیلوگرم)],1):Main[[#This Row],[مقدار تسویه شده (کیلوگرم)]])</f>
        <v>27245</v>
      </c>
      <c r="Y1890" s="6">
        <f ca="1">IF(Main[[#This Row],[مانده در خط تسویه شده (کیلوگرم)]]&lt;&gt;0,Main[[#This Row],[تعداد کل روزهای بدهکار (روز)]],0)</f>
        <v>1</v>
      </c>
      <c r="Z1890" s="6">
        <f ca="1">Main[[#This Row],[تعداد روزهای بدهکار تسویه شده (روز)]]*Main[[#This Row],[مانده در خط تسویه شده (کیلوگرم)]]</f>
        <v>27245</v>
      </c>
      <c r="AA1890" s="6">
        <f ca="1">SUBTOTAL(9,INDEX(Main[بدهی تسویه نشده (کیلوگرم)],1):Main[[#This Row],[بدهی تسویه نشده (کیلوگرم)]])</f>
        <v>0</v>
      </c>
      <c r="AB1890" s="6">
        <f ca="1">IF(Main[[#This Row],[مانده در خط تسویه نشده (کیلوگرم)]]&lt;&gt;0,Main[[#This Row],[تعداد کل روزهای بدهکار (روز)]],0)</f>
        <v>0</v>
      </c>
      <c r="AC1890" s="6">
        <f ca="1">Main[[#This Row],[تعداد روزهای بدهکار  تسویه نشده (روز)]]*Main[[#This Row],[مانده در خط تسویه نشده (کیلوگرم)]]</f>
        <v>0</v>
      </c>
      <c r="AD1890" s="6">
        <f ca="1">SUBTOTAL(9,INDEX(Main[بدهی سررسید شده (کیلوگرم)],1):Main[[#This Row],[بدهی سررسید شده (کیلوگرم)]])</f>
        <v>0</v>
      </c>
      <c r="AE1890" s="6">
        <f ca="1">IF(Main[[#This Row],[مانده در خط سررسید شده (کیلوگرم)]]&lt;&gt;0,Main[[#This Row],[تعداد کل روزهای بدهکار (روز)]],0)</f>
        <v>0</v>
      </c>
      <c r="AF1890" s="6">
        <f ca="1">Main[[#This Row],[تعداد روزهای بدهکار سررسید شده (روز)]]*Main[[#This Row],[مانده در خط سررسید شده (کیلوگرم)]]</f>
        <v>0</v>
      </c>
    </row>
    <row r="1891" spans="1:32" hidden="1" x14ac:dyDescent="0.35">
      <c r="A1891" s="5">
        <f>ROW()-ROW(INDEX(Main[ردیف],1))+1</f>
        <v>1889</v>
      </c>
      <c r="B1891" s="31">
        <f>SUBTOTAL(2,INDEX(Main[ردیف],1):Main[[#This Row],[ردیف]])</f>
        <v>168</v>
      </c>
      <c r="C1891" s="32" t="s">
        <v>733</v>
      </c>
      <c r="D1891" s="32" t="str">
        <f>_xlfn.CONCAT("14",Main[[#This Row],[تاريخ]])</f>
        <v>1400/07/26</v>
      </c>
      <c r="E1891" s="33">
        <v>44487</v>
      </c>
      <c r="F1891" s="32">
        <v>10084</v>
      </c>
      <c r="G1891" s="5" t="str">
        <f>INDEX(customer[عنوان],MATCH(Main[[#This Row],[کد ردیابی]],customer[کد],0))</f>
        <v xml:space="preserve">سیدحمید کاظمی </v>
      </c>
      <c r="H1891">
        <v>24</v>
      </c>
      <c r="I1891" s="6">
        <f ca="1">-Main[[#This Row],[بدهی تسویه شده (کیلوگرم)]]+Main[[#This Row],[بستانکار (کیلوگرم)]]</f>
        <v>24</v>
      </c>
      <c r="J1891" s="6">
        <f>IF(Main[[#This Row],[مقدار (کیلوگرم)]]&gt;0,Main[[#This Row],[مقدار (کیلوگرم)]],0)</f>
        <v>24</v>
      </c>
      <c r="K1891" s="6">
        <f>-IF(Main[[#This Row],[مقدار (کیلوگرم)]]&lt;0,Main[[#This Row],[مقدار (کیلوگرم)]],0)</f>
        <v>0</v>
      </c>
      <c r="L18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1" s="7">
        <f>-IF(AND(Main[[#This Row],[مقدار (کیلوگرم)]]&lt;0,Main[[#This Row],[تاريخ میلادی]]&gt;44276),Main[[#This Row],[مقدار (کیلوگرم)]],0)</f>
        <v>0</v>
      </c>
      <c r="N1891" s="6">
        <f ca="1">Main[[#This Row],[بدهکار (کیلوگرم)]]-Main[[#This Row],[بدهی تسویه نشده (کیلوگرم)]]</f>
        <v>0</v>
      </c>
      <c r="O1891" s="6">
        <f ca="1">Main[[#This Row],[تفکیک]]</f>
        <v>0</v>
      </c>
      <c r="P1891" s="6">
        <f ca="1">IF(Main[[#This Row],[تاخیر از سررسید]]&gt;0,Main[[#This Row],[بدهی تسویه نشده (کیلوگرم)]],0)</f>
        <v>0</v>
      </c>
      <c r="Q1891" s="6">
        <f ca="1">IF(Main[[#This Row],[بدهی تسویه نشده (کیلوگرم)]]&gt;0,'گزارش فردی'!$B$7-Main[[#This Row],[تاريخ میلادی]],0)</f>
        <v>0</v>
      </c>
      <c r="R1891" s="6">
        <f ca="1">IF(Main[[#This Row],[بدهی تسویه نشده (کیلوگرم)]]&gt;0,'گزارش فردی'!$B$7-Main[[#This Row],[تاريخ میلادی]]-'گزارش فردی'!$B$8,0)</f>
        <v>0</v>
      </c>
      <c r="S1891" s="6">
        <f ca="1">Main[[#This Row],[روز از ارسال سفارش]]*Main[[#This Row],[بدهی تسویه نشده (کیلوگرم)]]</f>
        <v>0</v>
      </c>
      <c r="T1891" s="6">
        <f ca="1">Main[[#This Row],[بدهی سررسید شده (کیلوگرم)]]*Main[[#This Row],[روز از ارسال سفارش]]</f>
        <v>0</v>
      </c>
      <c r="U1891" s="6">
        <f>-SUBTOTAL(9,INDEX(Main[مقدار (کیلوگرم)],1):Main[[#This Row],[مقدار (کیلوگرم)]])</f>
        <v>27245</v>
      </c>
      <c r="V18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91" s="6">
        <f>Main[[#This Row],[تعداد کل روزهای بدهکار (روز)]]*Main[[#This Row],[مانده در خط کل (کیلوگرم)]]</f>
        <v>27245</v>
      </c>
      <c r="X1891" s="6">
        <f ca="1">-SUBTOTAL(9,INDEX(Main[مقدار تسویه شده (کیلوگرم)],1):Main[[#This Row],[مقدار تسویه شده (کیلوگرم)]])</f>
        <v>27245</v>
      </c>
      <c r="Y1891" s="6">
        <f ca="1">IF(Main[[#This Row],[مانده در خط تسویه شده (کیلوگرم)]]&lt;&gt;0,Main[[#This Row],[تعداد کل روزهای بدهکار (روز)]],0)</f>
        <v>1</v>
      </c>
      <c r="Z1891" s="6">
        <f ca="1">Main[[#This Row],[تعداد روزهای بدهکار تسویه شده (روز)]]*Main[[#This Row],[مانده در خط تسویه شده (کیلوگرم)]]</f>
        <v>27245</v>
      </c>
      <c r="AA1891" s="6">
        <f ca="1">SUBTOTAL(9,INDEX(Main[بدهی تسویه نشده (کیلوگرم)],1):Main[[#This Row],[بدهی تسویه نشده (کیلوگرم)]])</f>
        <v>0</v>
      </c>
      <c r="AB1891" s="6">
        <f ca="1">IF(Main[[#This Row],[مانده در خط تسویه نشده (کیلوگرم)]]&lt;&gt;0,Main[[#This Row],[تعداد کل روزهای بدهکار (روز)]],0)</f>
        <v>0</v>
      </c>
      <c r="AC1891" s="6">
        <f ca="1">Main[[#This Row],[تعداد روزهای بدهکار  تسویه نشده (روز)]]*Main[[#This Row],[مانده در خط تسویه نشده (کیلوگرم)]]</f>
        <v>0</v>
      </c>
      <c r="AD1891" s="6">
        <f ca="1">SUBTOTAL(9,INDEX(Main[بدهی سررسید شده (کیلوگرم)],1):Main[[#This Row],[بدهی سررسید شده (کیلوگرم)]])</f>
        <v>0</v>
      </c>
      <c r="AE1891" s="6">
        <f ca="1">IF(Main[[#This Row],[مانده در خط سررسید شده (کیلوگرم)]]&lt;&gt;0,Main[[#This Row],[تعداد کل روزهای بدهکار (روز)]],0)</f>
        <v>0</v>
      </c>
      <c r="AF1891" s="6">
        <f ca="1">Main[[#This Row],[تعداد روزهای بدهکار سررسید شده (روز)]]*Main[[#This Row],[مانده در خط سررسید شده (کیلوگرم)]]</f>
        <v>0</v>
      </c>
    </row>
    <row r="1892" spans="1:32" hidden="1" x14ac:dyDescent="0.35">
      <c r="A1892" s="5">
        <f>ROW()-ROW(INDEX(Main[ردیف],1))+1</f>
        <v>1890</v>
      </c>
      <c r="B1892" s="31">
        <f>SUBTOTAL(2,INDEX(Main[ردیف],1):Main[[#This Row],[ردیف]])</f>
        <v>168</v>
      </c>
      <c r="C1892" s="32" t="s">
        <v>733</v>
      </c>
      <c r="D1892" s="32" t="str">
        <f>_xlfn.CONCAT("14",Main[[#This Row],[تاريخ]])</f>
        <v>1400/07/26</v>
      </c>
      <c r="E1892" s="33">
        <v>44487</v>
      </c>
      <c r="F1892" s="32">
        <v>10084</v>
      </c>
      <c r="G1892" s="5" t="str">
        <f>INDEX(customer[عنوان],MATCH(Main[[#This Row],[کد ردیابی]],customer[کد],0))</f>
        <v xml:space="preserve">سیدحمید کاظمی </v>
      </c>
      <c r="H1892">
        <v>807</v>
      </c>
      <c r="I1892" s="6">
        <f ca="1">-Main[[#This Row],[بدهی تسویه شده (کیلوگرم)]]+Main[[#This Row],[بستانکار (کیلوگرم)]]</f>
        <v>807</v>
      </c>
      <c r="J1892" s="6">
        <f>IF(Main[[#This Row],[مقدار (کیلوگرم)]]&gt;0,Main[[#This Row],[مقدار (کیلوگرم)]],0)</f>
        <v>807</v>
      </c>
      <c r="K1892" s="6">
        <f>-IF(Main[[#This Row],[مقدار (کیلوگرم)]]&lt;0,Main[[#This Row],[مقدار (کیلوگرم)]],0)</f>
        <v>0</v>
      </c>
      <c r="L18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2" s="7">
        <f>-IF(AND(Main[[#This Row],[مقدار (کیلوگرم)]]&lt;0,Main[[#This Row],[تاريخ میلادی]]&gt;44276),Main[[#This Row],[مقدار (کیلوگرم)]],0)</f>
        <v>0</v>
      </c>
      <c r="N1892" s="6">
        <f ca="1">Main[[#This Row],[بدهکار (کیلوگرم)]]-Main[[#This Row],[بدهی تسویه نشده (کیلوگرم)]]</f>
        <v>0</v>
      </c>
      <c r="O1892" s="6">
        <f ca="1">Main[[#This Row],[تفکیک]]</f>
        <v>0</v>
      </c>
      <c r="P1892" s="6">
        <f ca="1">IF(Main[[#This Row],[تاخیر از سررسید]]&gt;0,Main[[#This Row],[بدهی تسویه نشده (کیلوگرم)]],0)</f>
        <v>0</v>
      </c>
      <c r="Q1892" s="6">
        <f ca="1">IF(Main[[#This Row],[بدهی تسویه نشده (کیلوگرم)]]&gt;0,'گزارش فردی'!$B$7-Main[[#This Row],[تاريخ میلادی]],0)</f>
        <v>0</v>
      </c>
      <c r="R1892" s="6">
        <f ca="1">IF(Main[[#This Row],[بدهی تسویه نشده (کیلوگرم)]]&gt;0,'گزارش فردی'!$B$7-Main[[#This Row],[تاريخ میلادی]]-'گزارش فردی'!$B$8,0)</f>
        <v>0</v>
      </c>
      <c r="S1892" s="6">
        <f ca="1">Main[[#This Row],[روز از ارسال سفارش]]*Main[[#This Row],[بدهی تسویه نشده (کیلوگرم)]]</f>
        <v>0</v>
      </c>
      <c r="T1892" s="6">
        <f ca="1">Main[[#This Row],[بدهی سررسید شده (کیلوگرم)]]*Main[[#This Row],[روز از ارسال سفارش]]</f>
        <v>0</v>
      </c>
      <c r="U1892" s="6">
        <f>-SUBTOTAL(9,INDEX(Main[مقدار (کیلوگرم)],1):Main[[#This Row],[مقدار (کیلوگرم)]])</f>
        <v>27245</v>
      </c>
      <c r="V18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92" s="6">
        <f>Main[[#This Row],[تعداد کل روزهای بدهکار (روز)]]*Main[[#This Row],[مانده در خط کل (کیلوگرم)]]</f>
        <v>27245</v>
      </c>
      <c r="X1892" s="6">
        <f ca="1">-SUBTOTAL(9,INDEX(Main[مقدار تسویه شده (کیلوگرم)],1):Main[[#This Row],[مقدار تسویه شده (کیلوگرم)]])</f>
        <v>27245</v>
      </c>
      <c r="Y1892" s="6">
        <f ca="1">IF(Main[[#This Row],[مانده در خط تسویه شده (کیلوگرم)]]&lt;&gt;0,Main[[#This Row],[تعداد کل روزهای بدهکار (روز)]],0)</f>
        <v>1</v>
      </c>
      <c r="Z1892" s="6">
        <f ca="1">Main[[#This Row],[تعداد روزهای بدهکار تسویه شده (روز)]]*Main[[#This Row],[مانده در خط تسویه شده (کیلوگرم)]]</f>
        <v>27245</v>
      </c>
      <c r="AA1892" s="6">
        <f ca="1">SUBTOTAL(9,INDEX(Main[بدهی تسویه نشده (کیلوگرم)],1):Main[[#This Row],[بدهی تسویه نشده (کیلوگرم)]])</f>
        <v>0</v>
      </c>
      <c r="AB1892" s="6">
        <f ca="1">IF(Main[[#This Row],[مانده در خط تسویه نشده (کیلوگرم)]]&lt;&gt;0,Main[[#This Row],[تعداد کل روزهای بدهکار (روز)]],0)</f>
        <v>0</v>
      </c>
      <c r="AC1892" s="6">
        <f ca="1">Main[[#This Row],[تعداد روزهای بدهکار  تسویه نشده (روز)]]*Main[[#This Row],[مانده در خط تسویه نشده (کیلوگرم)]]</f>
        <v>0</v>
      </c>
      <c r="AD1892" s="6">
        <f ca="1">SUBTOTAL(9,INDEX(Main[بدهی سررسید شده (کیلوگرم)],1):Main[[#This Row],[بدهی سررسید شده (کیلوگرم)]])</f>
        <v>0</v>
      </c>
      <c r="AE1892" s="6">
        <f ca="1">IF(Main[[#This Row],[مانده در خط سررسید شده (کیلوگرم)]]&lt;&gt;0,Main[[#This Row],[تعداد کل روزهای بدهکار (روز)]],0)</f>
        <v>0</v>
      </c>
      <c r="AF1892" s="6">
        <f ca="1">Main[[#This Row],[تعداد روزهای بدهکار سررسید شده (روز)]]*Main[[#This Row],[مانده در خط سررسید شده (کیلوگرم)]]</f>
        <v>0</v>
      </c>
    </row>
    <row r="1893" spans="1:32" hidden="1" x14ac:dyDescent="0.35">
      <c r="A1893" s="5">
        <f>ROW()-ROW(INDEX(Main[ردیف],1))+1</f>
        <v>1891</v>
      </c>
      <c r="B1893" s="31">
        <f>SUBTOTAL(2,INDEX(Main[ردیف],1):Main[[#This Row],[ردیف]])</f>
        <v>168</v>
      </c>
      <c r="C1893" s="32" t="s">
        <v>734</v>
      </c>
      <c r="D1893" s="32" t="str">
        <f>_xlfn.CONCAT("14",Main[[#This Row],[تاريخ]])</f>
        <v>1400/07/27</v>
      </c>
      <c r="E1893" s="33">
        <v>44488</v>
      </c>
      <c r="F1893" s="32">
        <v>30003</v>
      </c>
      <c r="G1893" s="5" t="str">
        <f>INDEX(customer[عنوان],MATCH(Main[[#This Row],[کد ردیابی]],customer[کد],0))</f>
        <v xml:space="preserve">شهاب گاز سوز </v>
      </c>
      <c r="H1893">
        <v>-1099</v>
      </c>
      <c r="I1893" s="6">
        <f ca="1">-Main[[#This Row],[بدهی تسویه شده (کیلوگرم)]]+Main[[#This Row],[بستانکار (کیلوگرم)]]</f>
        <v>-1099</v>
      </c>
      <c r="J1893" s="6">
        <f>IF(Main[[#This Row],[مقدار (کیلوگرم)]]&gt;0,Main[[#This Row],[مقدار (کیلوگرم)]],0)</f>
        <v>0</v>
      </c>
      <c r="K1893" s="6">
        <f>-IF(Main[[#This Row],[مقدار (کیلوگرم)]]&lt;0,Main[[#This Row],[مقدار (کیلوگرم)]],0)</f>
        <v>1099</v>
      </c>
      <c r="L18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3" s="7">
        <f>-IF(AND(Main[[#This Row],[مقدار (کیلوگرم)]]&lt;0,Main[[#This Row],[تاريخ میلادی]]&gt;44276),Main[[#This Row],[مقدار (کیلوگرم)]],0)</f>
        <v>1099</v>
      </c>
      <c r="N1893" s="6">
        <f ca="1">Main[[#This Row],[بدهکار (کیلوگرم)]]-Main[[#This Row],[بدهی تسویه نشده (کیلوگرم)]]</f>
        <v>1099</v>
      </c>
      <c r="O1893" s="6">
        <f ca="1">Main[[#This Row],[تفکیک]]</f>
        <v>0</v>
      </c>
      <c r="P1893" s="6">
        <f ca="1">IF(Main[[#This Row],[تاخیر از سررسید]]&gt;0,Main[[#This Row],[بدهی تسویه نشده (کیلوگرم)]],0)</f>
        <v>0</v>
      </c>
      <c r="Q1893" s="6">
        <f ca="1">IF(Main[[#This Row],[بدهی تسویه نشده (کیلوگرم)]]&gt;0,'گزارش فردی'!$B$7-Main[[#This Row],[تاريخ میلادی]],0)</f>
        <v>0</v>
      </c>
      <c r="R1893" s="6">
        <f ca="1">IF(Main[[#This Row],[بدهی تسویه نشده (کیلوگرم)]]&gt;0,'گزارش فردی'!$B$7-Main[[#This Row],[تاريخ میلادی]]-'گزارش فردی'!$B$8,0)</f>
        <v>0</v>
      </c>
      <c r="S1893" s="6">
        <f ca="1">Main[[#This Row],[روز از ارسال سفارش]]*Main[[#This Row],[بدهی تسویه نشده (کیلوگرم)]]</f>
        <v>0</v>
      </c>
      <c r="T1893" s="6">
        <f ca="1">Main[[#This Row],[بدهی سررسید شده (کیلوگرم)]]*Main[[#This Row],[روز از ارسال سفارش]]</f>
        <v>0</v>
      </c>
      <c r="U1893" s="6">
        <f>-SUBTOTAL(9,INDEX(Main[مقدار (کیلوگرم)],1):Main[[#This Row],[مقدار (کیلوگرم)]])</f>
        <v>27245</v>
      </c>
      <c r="V18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3" s="6">
        <f>Main[[#This Row],[تعداد کل روزهای بدهکار (روز)]]*Main[[#This Row],[مانده در خط کل (کیلوگرم)]]</f>
        <v>0</v>
      </c>
      <c r="X1893" s="6">
        <f ca="1">-SUBTOTAL(9,INDEX(Main[مقدار تسویه شده (کیلوگرم)],1):Main[[#This Row],[مقدار تسویه شده (کیلوگرم)]])</f>
        <v>27245</v>
      </c>
      <c r="Y1893" s="6">
        <f ca="1">IF(Main[[#This Row],[مانده در خط تسویه شده (کیلوگرم)]]&lt;&gt;0,Main[[#This Row],[تعداد کل روزهای بدهکار (روز)]],0)</f>
        <v>0</v>
      </c>
      <c r="Z1893" s="6">
        <f ca="1">Main[[#This Row],[تعداد روزهای بدهکار تسویه شده (روز)]]*Main[[#This Row],[مانده در خط تسویه شده (کیلوگرم)]]</f>
        <v>0</v>
      </c>
      <c r="AA1893" s="6">
        <f ca="1">SUBTOTAL(9,INDEX(Main[بدهی تسویه نشده (کیلوگرم)],1):Main[[#This Row],[بدهی تسویه نشده (کیلوگرم)]])</f>
        <v>0</v>
      </c>
      <c r="AB1893" s="6">
        <f ca="1">IF(Main[[#This Row],[مانده در خط تسویه نشده (کیلوگرم)]]&lt;&gt;0,Main[[#This Row],[تعداد کل روزهای بدهکار (روز)]],0)</f>
        <v>0</v>
      </c>
      <c r="AC1893" s="6">
        <f ca="1">Main[[#This Row],[تعداد روزهای بدهکار  تسویه نشده (روز)]]*Main[[#This Row],[مانده در خط تسویه نشده (کیلوگرم)]]</f>
        <v>0</v>
      </c>
      <c r="AD1893" s="6">
        <f ca="1">SUBTOTAL(9,INDEX(Main[بدهی سررسید شده (کیلوگرم)],1):Main[[#This Row],[بدهی سررسید شده (کیلوگرم)]])</f>
        <v>0</v>
      </c>
      <c r="AE1893" s="6">
        <f ca="1">IF(Main[[#This Row],[مانده در خط سررسید شده (کیلوگرم)]]&lt;&gt;0,Main[[#This Row],[تعداد کل روزهای بدهکار (روز)]],0)</f>
        <v>0</v>
      </c>
      <c r="AF1893" s="6">
        <f ca="1">Main[[#This Row],[تعداد روزهای بدهکار سررسید شده (روز)]]*Main[[#This Row],[مانده در خط سررسید شده (کیلوگرم)]]</f>
        <v>0</v>
      </c>
    </row>
    <row r="1894" spans="1:32" hidden="1" x14ac:dyDescent="0.35">
      <c r="A1894" s="5">
        <f>ROW()-ROW(INDEX(Main[ردیف],1))+1</f>
        <v>1892</v>
      </c>
      <c r="B1894" s="31">
        <f>SUBTOTAL(2,INDEX(Main[ردیف],1):Main[[#This Row],[ردیف]])</f>
        <v>168</v>
      </c>
      <c r="C1894" s="32" t="s">
        <v>734</v>
      </c>
      <c r="D1894" s="32" t="str">
        <f>_xlfn.CONCAT("14",Main[[#This Row],[تاريخ]])</f>
        <v>1400/07/27</v>
      </c>
      <c r="E1894" s="33">
        <v>44488</v>
      </c>
      <c r="F1894" s="32">
        <v>10119</v>
      </c>
      <c r="G1894" s="5" t="str">
        <f>INDEX(customer[عنوان],MATCH(Main[[#This Row],[کد ردیابی]],customer[کد],0))</f>
        <v>سیف الله اکبری</v>
      </c>
      <c r="H1894">
        <v>208</v>
      </c>
      <c r="I1894" s="6">
        <f ca="1">-Main[[#This Row],[بدهی تسویه شده (کیلوگرم)]]+Main[[#This Row],[بستانکار (کیلوگرم)]]</f>
        <v>208</v>
      </c>
      <c r="J1894" s="6">
        <f>IF(Main[[#This Row],[مقدار (کیلوگرم)]]&gt;0,Main[[#This Row],[مقدار (کیلوگرم)]],0)</f>
        <v>208</v>
      </c>
      <c r="K1894" s="6">
        <f>-IF(Main[[#This Row],[مقدار (کیلوگرم)]]&lt;0,Main[[#This Row],[مقدار (کیلوگرم)]],0)</f>
        <v>0</v>
      </c>
      <c r="L18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4" s="7">
        <f>-IF(AND(Main[[#This Row],[مقدار (کیلوگرم)]]&lt;0,Main[[#This Row],[تاريخ میلادی]]&gt;44276),Main[[#This Row],[مقدار (کیلوگرم)]],0)</f>
        <v>0</v>
      </c>
      <c r="N1894" s="6">
        <f ca="1">Main[[#This Row],[بدهکار (کیلوگرم)]]-Main[[#This Row],[بدهی تسویه نشده (کیلوگرم)]]</f>
        <v>0</v>
      </c>
      <c r="O1894" s="6">
        <f ca="1">Main[[#This Row],[تفکیک]]</f>
        <v>0</v>
      </c>
      <c r="P1894" s="6">
        <f ca="1">IF(Main[[#This Row],[تاخیر از سررسید]]&gt;0,Main[[#This Row],[بدهی تسویه نشده (کیلوگرم)]],0)</f>
        <v>0</v>
      </c>
      <c r="Q1894" s="6">
        <f ca="1">IF(Main[[#This Row],[بدهی تسویه نشده (کیلوگرم)]]&gt;0,'گزارش فردی'!$B$7-Main[[#This Row],[تاريخ میلادی]],0)</f>
        <v>0</v>
      </c>
      <c r="R1894" s="6">
        <f ca="1">IF(Main[[#This Row],[بدهی تسویه نشده (کیلوگرم)]]&gt;0,'گزارش فردی'!$B$7-Main[[#This Row],[تاريخ میلادی]]-'گزارش فردی'!$B$8,0)</f>
        <v>0</v>
      </c>
      <c r="S1894" s="6">
        <f ca="1">Main[[#This Row],[روز از ارسال سفارش]]*Main[[#This Row],[بدهی تسویه نشده (کیلوگرم)]]</f>
        <v>0</v>
      </c>
      <c r="T1894" s="6">
        <f ca="1">Main[[#This Row],[بدهی سررسید شده (کیلوگرم)]]*Main[[#This Row],[روز از ارسال سفارش]]</f>
        <v>0</v>
      </c>
      <c r="U1894" s="6">
        <f>-SUBTOTAL(9,INDEX(Main[مقدار (کیلوگرم)],1):Main[[#This Row],[مقدار (کیلوگرم)]])</f>
        <v>27245</v>
      </c>
      <c r="V18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4" s="6">
        <f>Main[[#This Row],[تعداد کل روزهای بدهکار (روز)]]*Main[[#This Row],[مانده در خط کل (کیلوگرم)]]</f>
        <v>0</v>
      </c>
      <c r="X1894" s="6">
        <f ca="1">-SUBTOTAL(9,INDEX(Main[مقدار تسویه شده (کیلوگرم)],1):Main[[#This Row],[مقدار تسویه شده (کیلوگرم)]])</f>
        <v>27245</v>
      </c>
      <c r="Y1894" s="6">
        <f ca="1">IF(Main[[#This Row],[مانده در خط تسویه شده (کیلوگرم)]]&lt;&gt;0,Main[[#This Row],[تعداد کل روزهای بدهکار (روز)]],0)</f>
        <v>0</v>
      </c>
      <c r="Z1894" s="6">
        <f ca="1">Main[[#This Row],[تعداد روزهای بدهکار تسویه شده (روز)]]*Main[[#This Row],[مانده در خط تسویه شده (کیلوگرم)]]</f>
        <v>0</v>
      </c>
      <c r="AA1894" s="6">
        <f ca="1">SUBTOTAL(9,INDEX(Main[بدهی تسویه نشده (کیلوگرم)],1):Main[[#This Row],[بدهی تسویه نشده (کیلوگرم)]])</f>
        <v>0</v>
      </c>
      <c r="AB1894" s="6">
        <f ca="1">IF(Main[[#This Row],[مانده در خط تسویه نشده (کیلوگرم)]]&lt;&gt;0,Main[[#This Row],[تعداد کل روزهای بدهکار (روز)]],0)</f>
        <v>0</v>
      </c>
      <c r="AC1894" s="6">
        <f ca="1">Main[[#This Row],[تعداد روزهای بدهکار  تسویه نشده (روز)]]*Main[[#This Row],[مانده در خط تسویه نشده (کیلوگرم)]]</f>
        <v>0</v>
      </c>
      <c r="AD1894" s="6">
        <f ca="1">SUBTOTAL(9,INDEX(Main[بدهی سررسید شده (کیلوگرم)],1):Main[[#This Row],[بدهی سررسید شده (کیلوگرم)]])</f>
        <v>0</v>
      </c>
      <c r="AE1894" s="6">
        <f ca="1">IF(Main[[#This Row],[مانده در خط سررسید شده (کیلوگرم)]]&lt;&gt;0,Main[[#This Row],[تعداد کل روزهای بدهکار (روز)]],0)</f>
        <v>0</v>
      </c>
      <c r="AF1894" s="6">
        <f ca="1">Main[[#This Row],[تعداد روزهای بدهکار سررسید شده (روز)]]*Main[[#This Row],[مانده در خط سررسید شده (کیلوگرم)]]</f>
        <v>0</v>
      </c>
    </row>
    <row r="1895" spans="1:32" hidden="1" x14ac:dyDescent="0.35">
      <c r="A1895" s="5">
        <f>ROW()-ROW(INDEX(Main[ردیف],1))+1</f>
        <v>1893</v>
      </c>
      <c r="B1895" s="31">
        <f>SUBTOTAL(2,INDEX(Main[ردیف],1):Main[[#This Row],[ردیف]])</f>
        <v>168</v>
      </c>
      <c r="C1895" s="32" t="s">
        <v>734</v>
      </c>
      <c r="D1895" s="32" t="str">
        <f>_xlfn.CONCAT("14",Main[[#This Row],[تاريخ]])</f>
        <v>1400/07/27</v>
      </c>
      <c r="E1895" s="33">
        <v>44488</v>
      </c>
      <c r="F1895" s="32">
        <v>30066</v>
      </c>
      <c r="G1895" s="5" t="str">
        <f>INDEX(customer[عنوان],MATCH(Main[[#This Row],[کد ردیابی]],customer[کد],0))</f>
        <v xml:space="preserve">شیر آلات بهداشتی قهرمان </v>
      </c>
      <c r="H1895">
        <v>-2265</v>
      </c>
      <c r="I1895" s="6">
        <f ca="1">-Main[[#This Row],[بدهی تسویه شده (کیلوگرم)]]+Main[[#This Row],[بستانکار (کیلوگرم)]]</f>
        <v>-2265</v>
      </c>
      <c r="J1895" s="6">
        <f>IF(Main[[#This Row],[مقدار (کیلوگرم)]]&gt;0,Main[[#This Row],[مقدار (کیلوگرم)]],0)</f>
        <v>0</v>
      </c>
      <c r="K1895" s="6">
        <f>-IF(Main[[#This Row],[مقدار (کیلوگرم)]]&lt;0,Main[[#This Row],[مقدار (کیلوگرم)]],0)</f>
        <v>2265</v>
      </c>
      <c r="L18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5" s="7">
        <f>-IF(AND(Main[[#This Row],[مقدار (کیلوگرم)]]&lt;0,Main[[#This Row],[تاريخ میلادی]]&gt;44276),Main[[#This Row],[مقدار (کیلوگرم)]],0)</f>
        <v>2265</v>
      </c>
      <c r="N1895" s="6">
        <f ca="1">Main[[#This Row],[بدهکار (کیلوگرم)]]-Main[[#This Row],[بدهی تسویه نشده (کیلوگرم)]]</f>
        <v>2265</v>
      </c>
      <c r="O1895" s="6">
        <f ca="1">Main[[#This Row],[تفکیک]]</f>
        <v>0</v>
      </c>
      <c r="P1895" s="6">
        <f ca="1">IF(Main[[#This Row],[تاخیر از سررسید]]&gt;0,Main[[#This Row],[بدهی تسویه نشده (کیلوگرم)]],0)</f>
        <v>0</v>
      </c>
      <c r="Q1895" s="6">
        <f ca="1">IF(Main[[#This Row],[بدهی تسویه نشده (کیلوگرم)]]&gt;0,'گزارش فردی'!$B$7-Main[[#This Row],[تاريخ میلادی]],0)</f>
        <v>0</v>
      </c>
      <c r="R1895" s="6">
        <f ca="1">IF(Main[[#This Row],[بدهی تسویه نشده (کیلوگرم)]]&gt;0,'گزارش فردی'!$B$7-Main[[#This Row],[تاريخ میلادی]]-'گزارش فردی'!$B$8,0)</f>
        <v>0</v>
      </c>
      <c r="S1895" s="6">
        <f ca="1">Main[[#This Row],[روز از ارسال سفارش]]*Main[[#This Row],[بدهی تسویه نشده (کیلوگرم)]]</f>
        <v>0</v>
      </c>
      <c r="T1895" s="6">
        <f ca="1">Main[[#This Row],[بدهی سررسید شده (کیلوگرم)]]*Main[[#This Row],[روز از ارسال سفارش]]</f>
        <v>0</v>
      </c>
      <c r="U1895" s="6">
        <f>-SUBTOTAL(9,INDEX(Main[مقدار (کیلوگرم)],1):Main[[#This Row],[مقدار (کیلوگرم)]])</f>
        <v>27245</v>
      </c>
      <c r="V18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5" s="6">
        <f>Main[[#This Row],[تعداد کل روزهای بدهکار (روز)]]*Main[[#This Row],[مانده در خط کل (کیلوگرم)]]</f>
        <v>0</v>
      </c>
      <c r="X1895" s="6">
        <f ca="1">-SUBTOTAL(9,INDEX(Main[مقدار تسویه شده (کیلوگرم)],1):Main[[#This Row],[مقدار تسویه شده (کیلوگرم)]])</f>
        <v>27245</v>
      </c>
      <c r="Y1895" s="6">
        <f ca="1">IF(Main[[#This Row],[مانده در خط تسویه شده (کیلوگرم)]]&lt;&gt;0,Main[[#This Row],[تعداد کل روزهای بدهکار (روز)]],0)</f>
        <v>0</v>
      </c>
      <c r="Z1895" s="6">
        <f ca="1">Main[[#This Row],[تعداد روزهای بدهکار تسویه شده (روز)]]*Main[[#This Row],[مانده در خط تسویه شده (کیلوگرم)]]</f>
        <v>0</v>
      </c>
      <c r="AA1895" s="6">
        <f ca="1">SUBTOTAL(9,INDEX(Main[بدهی تسویه نشده (کیلوگرم)],1):Main[[#This Row],[بدهی تسویه نشده (کیلوگرم)]])</f>
        <v>0</v>
      </c>
      <c r="AB1895" s="6">
        <f ca="1">IF(Main[[#This Row],[مانده در خط تسویه نشده (کیلوگرم)]]&lt;&gt;0,Main[[#This Row],[تعداد کل روزهای بدهکار (روز)]],0)</f>
        <v>0</v>
      </c>
      <c r="AC1895" s="6">
        <f ca="1">Main[[#This Row],[تعداد روزهای بدهکار  تسویه نشده (روز)]]*Main[[#This Row],[مانده در خط تسویه نشده (کیلوگرم)]]</f>
        <v>0</v>
      </c>
      <c r="AD1895" s="6">
        <f ca="1">SUBTOTAL(9,INDEX(Main[بدهی سررسید شده (کیلوگرم)],1):Main[[#This Row],[بدهی سررسید شده (کیلوگرم)]])</f>
        <v>0</v>
      </c>
      <c r="AE1895" s="6">
        <f ca="1">IF(Main[[#This Row],[مانده در خط سررسید شده (کیلوگرم)]]&lt;&gt;0,Main[[#This Row],[تعداد کل روزهای بدهکار (روز)]],0)</f>
        <v>0</v>
      </c>
      <c r="AF1895" s="6">
        <f ca="1">Main[[#This Row],[تعداد روزهای بدهکار سررسید شده (روز)]]*Main[[#This Row],[مانده در خط سررسید شده (کیلوگرم)]]</f>
        <v>0</v>
      </c>
    </row>
    <row r="1896" spans="1:32" hidden="1" x14ac:dyDescent="0.35">
      <c r="A1896" s="5">
        <f>ROW()-ROW(INDEX(Main[ردیف],1))+1</f>
        <v>1894</v>
      </c>
      <c r="B1896" s="31">
        <f>SUBTOTAL(2,INDEX(Main[ردیف],1):Main[[#This Row],[ردیف]])</f>
        <v>168</v>
      </c>
      <c r="C1896" s="32" t="s">
        <v>734</v>
      </c>
      <c r="D1896" s="32" t="str">
        <f>_xlfn.CONCAT("14",Main[[#This Row],[تاريخ]])</f>
        <v>1400/07/27</v>
      </c>
      <c r="E1896" s="33">
        <v>44488</v>
      </c>
      <c r="F1896" s="32">
        <v>10055</v>
      </c>
      <c r="G1896" s="5" t="str">
        <f>INDEX(customer[عنوان],MATCH(Main[[#This Row],[کد ردیابی]],customer[کد],0))</f>
        <v xml:space="preserve">مریم فیض آبادی  </v>
      </c>
      <c r="H1896">
        <v>7218</v>
      </c>
      <c r="I1896" s="6">
        <f ca="1">-Main[[#This Row],[بدهی تسویه شده (کیلوگرم)]]+Main[[#This Row],[بستانکار (کیلوگرم)]]</f>
        <v>7218</v>
      </c>
      <c r="J1896" s="6">
        <f>IF(Main[[#This Row],[مقدار (کیلوگرم)]]&gt;0,Main[[#This Row],[مقدار (کیلوگرم)]],0)</f>
        <v>7218</v>
      </c>
      <c r="K1896" s="6">
        <f>-IF(Main[[#This Row],[مقدار (کیلوگرم)]]&lt;0,Main[[#This Row],[مقدار (کیلوگرم)]],0)</f>
        <v>0</v>
      </c>
      <c r="L18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6" s="7">
        <f>-IF(AND(Main[[#This Row],[مقدار (کیلوگرم)]]&lt;0,Main[[#This Row],[تاريخ میلادی]]&gt;44276),Main[[#This Row],[مقدار (کیلوگرم)]],0)</f>
        <v>0</v>
      </c>
      <c r="N1896" s="6">
        <f ca="1">Main[[#This Row],[بدهکار (کیلوگرم)]]-Main[[#This Row],[بدهی تسویه نشده (کیلوگرم)]]</f>
        <v>0</v>
      </c>
      <c r="O1896" s="6">
        <f ca="1">Main[[#This Row],[تفکیک]]</f>
        <v>0</v>
      </c>
      <c r="P1896" s="6">
        <f ca="1">IF(Main[[#This Row],[تاخیر از سررسید]]&gt;0,Main[[#This Row],[بدهی تسویه نشده (کیلوگرم)]],0)</f>
        <v>0</v>
      </c>
      <c r="Q1896" s="6">
        <f ca="1">IF(Main[[#This Row],[بدهی تسویه نشده (کیلوگرم)]]&gt;0,'گزارش فردی'!$B$7-Main[[#This Row],[تاريخ میلادی]],0)</f>
        <v>0</v>
      </c>
      <c r="R1896" s="6">
        <f ca="1">IF(Main[[#This Row],[بدهی تسویه نشده (کیلوگرم)]]&gt;0,'گزارش فردی'!$B$7-Main[[#This Row],[تاريخ میلادی]]-'گزارش فردی'!$B$8,0)</f>
        <v>0</v>
      </c>
      <c r="S1896" s="6">
        <f ca="1">Main[[#This Row],[روز از ارسال سفارش]]*Main[[#This Row],[بدهی تسویه نشده (کیلوگرم)]]</f>
        <v>0</v>
      </c>
      <c r="T1896" s="6">
        <f ca="1">Main[[#This Row],[بدهی سررسید شده (کیلوگرم)]]*Main[[#This Row],[روز از ارسال سفارش]]</f>
        <v>0</v>
      </c>
      <c r="U1896" s="6">
        <f>-SUBTOTAL(9,INDEX(Main[مقدار (کیلوگرم)],1):Main[[#This Row],[مقدار (کیلوگرم)]])</f>
        <v>27245</v>
      </c>
      <c r="V18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6" s="6">
        <f>Main[[#This Row],[تعداد کل روزهای بدهکار (روز)]]*Main[[#This Row],[مانده در خط کل (کیلوگرم)]]</f>
        <v>0</v>
      </c>
      <c r="X1896" s="6">
        <f ca="1">-SUBTOTAL(9,INDEX(Main[مقدار تسویه شده (کیلوگرم)],1):Main[[#This Row],[مقدار تسویه شده (کیلوگرم)]])</f>
        <v>27245</v>
      </c>
      <c r="Y1896" s="6">
        <f ca="1">IF(Main[[#This Row],[مانده در خط تسویه شده (کیلوگرم)]]&lt;&gt;0,Main[[#This Row],[تعداد کل روزهای بدهکار (روز)]],0)</f>
        <v>0</v>
      </c>
      <c r="Z1896" s="6">
        <f ca="1">Main[[#This Row],[تعداد روزهای بدهکار تسویه شده (روز)]]*Main[[#This Row],[مانده در خط تسویه شده (کیلوگرم)]]</f>
        <v>0</v>
      </c>
      <c r="AA1896" s="6">
        <f ca="1">SUBTOTAL(9,INDEX(Main[بدهی تسویه نشده (کیلوگرم)],1):Main[[#This Row],[بدهی تسویه نشده (کیلوگرم)]])</f>
        <v>0</v>
      </c>
      <c r="AB1896" s="6">
        <f ca="1">IF(Main[[#This Row],[مانده در خط تسویه نشده (کیلوگرم)]]&lt;&gt;0,Main[[#This Row],[تعداد کل روزهای بدهکار (روز)]],0)</f>
        <v>0</v>
      </c>
      <c r="AC1896" s="6">
        <f ca="1">Main[[#This Row],[تعداد روزهای بدهکار  تسویه نشده (روز)]]*Main[[#This Row],[مانده در خط تسویه نشده (کیلوگرم)]]</f>
        <v>0</v>
      </c>
      <c r="AD1896" s="6">
        <f ca="1">SUBTOTAL(9,INDEX(Main[بدهی سررسید شده (کیلوگرم)],1):Main[[#This Row],[بدهی سررسید شده (کیلوگرم)]])</f>
        <v>0</v>
      </c>
      <c r="AE1896" s="6">
        <f ca="1">IF(Main[[#This Row],[مانده در خط سررسید شده (کیلوگرم)]]&lt;&gt;0,Main[[#This Row],[تعداد کل روزهای بدهکار (روز)]],0)</f>
        <v>0</v>
      </c>
      <c r="AF1896" s="6">
        <f ca="1">Main[[#This Row],[تعداد روزهای بدهکار سررسید شده (روز)]]*Main[[#This Row],[مانده در خط سررسید شده (کیلوگرم)]]</f>
        <v>0</v>
      </c>
    </row>
    <row r="1897" spans="1:32" hidden="1" x14ac:dyDescent="0.35">
      <c r="A1897" s="5">
        <f>ROW()-ROW(INDEX(Main[ردیف],1))+1</f>
        <v>1895</v>
      </c>
      <c r="B1897" s="31">
        <f>SUBTOTAL(2,INDEX(Main[ردیف],1):Main[[#This Row],[ردیف]])</f>
        <v>168</v>
      </c>
      <c r="C1897" s="32" t="s">
        <v>734</v>
      </c>
      <c r="D1897" s="32" t="str">
        <f>_xlfn.CONCAT("14",Main[[#This Row],[تاريخ]])</f>
        <v>1400/07/27</v>
      </c>
      <c r="E1897" s="33">
        <v>44488</v>
      </c>
      <c r="F1897" s="32">
        <v>30140</v>
      </c>
      <c r="G1897" s="5" t="str">
        <f>INDEX(customer[عنوان],MATCH(Main[[#This Row],[کد ردیابی]],customer[کد],0))</f>
        <v>شرکت سیتکو</v>
      </c>
      <c r="H1897">
        <v>-28</v>
      </c>
      <c r="I1897" s="6">
        <f ca="1">-Main[[#This Row],[بدهی تسویه شده (کیلوگرم)]]+Main[[#This Row],[بستانکار (کیلوگرم)]]</f>
        <v>-28</v>
      </c>
      <c r="J1897" s="6">
        <f>IF(Main[[#This Row],[مقدار (کیلوگرم)]]&gt;0,Main[[#This Row],[مقدار (کیلوگرم)]],0)</f>
        <v>0</v>
      </c>
      <c r="K1897" s="6">
        <f>-IF(Main[[#This Row],[مقدار (کیلوگرم)]]&lt;0,Main[[#This Row],[مقدار (کیلوگرم)]],0)</f>
        <v>28</v>
      </c>
      <c r="L18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7" s="7">
        <f>-IF(AND(Main[[#This Row],[مقدار (کیلوگرم)]]&lt;0,Main[[#This Row],[تاريخ میلادی]]&gt;44276),Main[[#This Row],[مقدار (کیلوگرم)]],0)</f>
        <v>28</v>
      </c>
      <c r="N1897" s="6">
        <f ca="1">Main[[#This Row],[بدهکار (کیلوگرم)]]-Main[[#This Row],[بدهی تسویه نشده (کیلوگرم)]]</f>
        <v>28</v>
      </c>
      <c r="O1897" s="6">
        <f ca="1">Main[[#This Row],[تفکیک]]</f>
        <v>0</v>
      </c>
      <c r="P1897" s="6">
        <f ca="1">IF(Main[[#This Row],[تاخیر از سررسید]]&gt;0,Main[[#This Row],[بدهی تسویه نشده (کیلوگرم)]],0)</f>
        <v>0</v>
      </c>
      <c r="Q1897" s="6">
        <f ca="1">IF(Main[[#This Row],[بدهی تسویه نشده (کیلوگرم)]]&gt;0,'گزارش فردی'!$B$7-Main[[#This Row],[تاريخ میلادی]],0)</f>
        <v>0</v>
      </c>
      <c r="R1897" s="6">
        <f ca="1">IF(Main[[#This Row],[بدهی تسویه نشده (کیلوگرم)]]&gt;0,'گزارش فردی'!$B$7-Main[[#This Row],[تاريخ میلادی]]-'گزارش فردی'!$B$8,0)</f>
        <v>0</v>
      </c>
      <c r="S1897" s="6">
        <f ca="1">Main[[#This Row],[روز از ارسال سفارش]]*Main[[#This Row],[بدهی تسویه نشده (کیلوگرم)]]</f>
        <v>0</v>
      </c>
      <c r="T1897" s="6">
        <f ca="1">Main[[#This Row],[بدهی سررسید شده (کیلوگرم)]]*Main[[#This Row],[روز از ارسال سفارش]]</f>
        <v>0</v>
      </c>
      <c r="U1897" s="6">
        <f>-SUBTOTAL(9,INDEX(Main[مقدار (کیلوگرم)],1):Main[[#This Row],[مقدار (کیلوگرم)]])</f>
        <v>27245</v>
      </c>
      <c r="V18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7" s="6">
        <f>Main[[#This Row],[تعداد کل روزهای بدهکار (روز)]]*Main[[#This Row],[مانده در خط کل (کیلوگرم)]]</f>
        <v>0</v>
      </c>
      <c r="X1897" s="6">
        <f ca="1">-SUBTOTAL(9,INDEX(Main[مقدار تسویه شده (کیلوگرم)],1):Main[[#This Row],[مقدار تسویه شده (کیلوگرم)]])</f>
        <v>27245</v>
      </c>
      <c r="Y1897" s="6">
        <f ca="1">IF(Main[[#This Row],[مانده در خط تسویه شده (کیلوگرم)]]&lt;&gt;0,Main[[#This Row],[تعداد کل روزهای بدهکار (روز)]],0)</f>
        <v>0</v>
      </c>
      <c r="Z1897" s="6">
        <f ca="1">Main[[#This Row],[تعداد روزهای بدهکار تسویه شده (روز)]]*Main[[#This Row],[مانده در خط تسویه شده (کیلوگرم)]]</f>
        <v>0</v>
      </c>
      <c r="AA1897" s="6">
        <f ca="1">SUBTOTAL(9,INDEX(Main[بدهی تسویه نشده (کیلوگرم)],1):Main[[#This Row],[بدهی تسویه نشده (کیلوگرم)]])</f>
        <v>0</v>
      </c>
      <c r="AB1897" s="6">
        <f ca="1">IF(Main[[#This Row],[مانده در خط تسویه نشده (کیلوگرم)]]&lt;&gt;0,Main[[#This Row],[تعداد کل روزهای بدهکار (روز)]],0)</f>
        <v>0</v>
      </c>
      <c r="AC1897" s="6">
        <f ca="1">Main[[#This Row],[تعداد روزهای بدهکار  تسویه نشده (روز)]]*Main[[#This Row],[مانده در خط تسویه نشده (کیلوگرم)]]</f>
        <v>0</v>
      </c>
      <c r="AD1897" s="6">
        <f ca="1">SUBTOTAL(9,INDEX(Main[بدهی سررسید شده (کیلوگرم)],1):Main[[#This Row],[بدهی سررسید شده (کیلوگرم)]])</f>
        <v>0</v>
      </c>
      <c r="AE1897" s="6">
        <f ca="1">IF(Main[[#This Row],[مانده در خط سررسید شده (کیلوگرم)]]&lt;&gt;0,Main[[#This Row],[تعداد کل روزهای بدهکار (روز)]],0)</f>
        <v>0</v>
      </c>
      <c r="AF1897" s="6">
        <f ca="1">Main[[#This Row],[تعداد روزهای بدهکار سررسید شده (روز)]]*Main[[#This Row],[مانده در خط سررسید شده (کیلوگرم)]]</f>
        <v>0</v>
      </c>
    </row>
    <row r="1898" spans="1:32" hidden="1" x14ac:dyDescent="0.35">
      <c r="A1898" s="5">
        <f>ROW()-ROW(INDEX(Main[ردیف],1))+1</f>
        <v>1896</v>
      </c>
      <c r="B1898" s="31">
        <f>SUBTOTAL(2,INDEX(Main[ردیف],1):Main[[#This Row],[ردیف]])</f>
        <v>168</v>
      </c>
      <c r="C1898" s="32" t="s">
        <v>734</v>
      </c>
      <c r="D1898" s="32" t="str">
        <f>_xlfn.CONCAT("14",Main[[#This Row],[تاريخ]])</f>
        <v>1400/07/27</v>
      </c>
      <c r="E1898" s="33">
        <v>44488</v>
      </c>
      <c r="F1898" s="32">
        <v>30003</v>
      </c>
      <c r="G1898" s="5" t="str">
        <f>INDEX(customer[عنوان],MATCH(Main[[#This Row],[کد ردیابی]],customer[کد],0))</f>
        <v xml:space="preserve">شهاب گاز سوز </v>
      </c>
      <c r="H1898">
        <v>1067</v>
      </c>
      <c r="I1898" s="6">
        <f ca="1">-Main[[#This Row],[بدهی تسویه شده (کیلوگرم)]]+Main[[#This Row],[بستانکار (کیلوگرم)]]</f>
        <v>1067</v>
      </c>
      <c r="J1898" s="6">
        <f>IF(Main[[#This Row],[مقدار (کیلوگرم)]]&gt;0,Main[[#This Row],[مقدار (کیلوگرم)]],0)</f>
        <v>1067</v>
      </c>
      <c r="K1898" s="6">
        <f>-IF(Main[[#This Row],[مقدار (کیلوگرم)]]&lt;0,Main[[#This Row],[مقدار (کیلوگرم)]],0)</f>
        <v>0</v>
      </c>
      <c r="L18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8" s="7">
        <f>-IF(AND(Main[[#This Row],[مقدار (کیلوگرم)]]&lt;0,Main[[#This Row],[تاريخ میلادی]]&gt;44276),Main[[#This Row],[مقدار (کیلوگرم)]],0)</f>
        <v>0</v>
      </c>
      <c r="N1898" s="6">
        <f ca="1">Main[[#This Row],[بدهکار (کیلوگرم)]]-Main[[#This Row],[بدهی تسویه نشده (کیلوگرم)]]</f>
        <v>0</v>
      </c>
      <c r="O1898" s="6">
        <f ca="1">Main[[#This Row],[تفکیک]]</f>
        <v>0</v>
      </c>
      <c r="P1898" s="6">
        <f ca="1">IF(Main[[#This Row],[تاخیر از سررسید]]&gt;0,Main[[#This Row],[بدهی تسویه نشده (کیلوگرم)]],0)</f>
        <v>0</v>
      </c>
      <c r="Q1898" s="6">
        <f ca="1">IF(Main[[#This Row],[بدهی تسویه نشده (کیلوگرم)]]&gt;0,'گزارش فردی'!$B$7-Main[[#This Row],[تاريخ میلادی]],0)</f>
        <v>0</v>
      </c>
      <c r="R1898" s="6">
        <f ca="1">IF(Main[[#This Row],[بدهی تسویه نشده (کیلوگرم)]]&gt;0,'گزارش فردی'!$B$7-Main[[#This Row],[تاريخ میلادی]]-'گزارش فردی'!$B$8,0)</f>
        <v>0</v>
      </c>
      <c r="S1898" s="6">
        <f ca="1">Main[[#This Row],[روز از ارسال سفارش]]*Main[[#This Row],[بدهی تسویه نشده (کیلوگرم)]]</f>
        <v>0</v>
      </c>
      <c r="T1898" s="6">
        <f ca="1">Main[[#This Row],[بدهی سررسید شده (کیلوگرم)]]*Main[[#This Row],[روز از ارسال سفارش]]</f>
        <v>0</v>
      </c>
      <c r="U1898" s="6">
        <f>-SUBTOTAL(9,INDEX(Main[مقدار (کیلوگرم)],1):Main[[#This Row],[مقدار (کیلوگرم)]])</f>
        <v>27245</v>
      </c>
      <c r="V18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8" s="6">
        <f>Main[[#This Row],[تعداد کل روزهای بدهکار (روز)]]*Main[[#This Row],[مانده در خط کل (کیلوگرم)]]</f>
        <v>0</v>
      </c>
      <c r="X1898" s="6">
        <f ca="1">-SUBTOTAL(9,INDEX(Main[مقدار تسویه شده (کیلوگرم)],1):Main[[#This Row],[مقدار تسویه شده (کیلوگرم)]])</f>
        <v>27245</v>
      </c>
      <c r="Y1898" s="6">
        <f ca="1">IF(Main[[#This Row],[مانده در خط تسویه شده (کیلوگرم)]]&lt;&gt;0,Main[[#This Row],[تعداد کل روزهای بدهکار (روز)]],0)</f>
        <v>0</v>
      </c>
      <c r="Z1898" s="6">
        <f ca="1">Main[[#This Row],[تعداد روزهای بدهکار تسویه شده (روز)]]*Main[[#This Row],[مانده در خط تسویه شده (کیلوگرم)]]</f>
        <v>0</v>
      </c>
      <c r="AA1898" s="6">
        <f ca="1">SUBTOTAL(9,INDEX(Main[بدهی تسویه نشده (کیلوگرم)],1):Main[[#This Row],[بدهی تسویه نشده (کیلوگرم)]])</f>
        <v>0</v>
      </c>
      <c r="AB1898" s="6">
        <f ca="1">IF(Main[[#This Row],[مانده در خط تسویه نشده (کیلوگرم)]]&lt;&gt;0,Main[[#This Row],[تعداد کل روزهای بدهکار (روز)]],0)</f>
        <v>0</v>
      </c>
      <c r="AC1898" s="6">
        <f ca="1">Main[[#This Row],[تعداد روزهای بدهکار  تسویه نشده (روز)]]*Main[[#This Row],[مانده در خط تسویه نشده (کیلوگرم)]]</f>
        <v>0</v>
      </c>
      <c r="AD1898" s="6">
        <f ca="1">SUBTOTAL(9,INDEX(Main[بدهی سررسید شده (کیلوگرم)],1):Main[[#This Row],[بدهی سررسید شده (کیلوگرم)]])</f>
        <v>0</v>
      </c>
      <c r="AE1898" s="6">
        <f ca="1">IF(Main[[#This Row],[مانده در خط سررسید شده (کیلوگرم)]]&lt;&gt;0,Main[[#This Row],[تعداد کل روزهای بدهکار (روز)]],0)</f>
        <v>0</v>
      </c>
      <c r="AF1898" s="6">
        <f ca="1">Main[[#This Row],[تعداد روزهای بدهکار سررسید شده (روز)]]*Main[[#This Row],[مانده در خط سررسید شده (کیلوگرم)]]</f>
        <v>0</v>
      </c>
    </row>
    <row r="1899" spans="1:32" hidden="1" x14ac:dyDescent="0.35">
      <c r="A1899" s="5">
        <f>ROW()-ROW(INDEX(Main[ردیف],1))+1</f>
        <v>1897</v>
      </c>
      <c r="B1899" s="31">
        <f>SUBTOTAL(2,INDEX(Main[ردیف],1):Main[[#This Row],[ردیف]])</f>
        <v>168</v>
      </c>
      <c r="C1899" s="32" t="s">
        <v>734</v>
      </c>
      <c r="D1899" s="32" t="str">
        <f>_xlfn.CONCAT("14",Main[[#This Row],[تاريخ]])</f>
        <v>1400/07/27</v>
      </c>
      <c r="E1899" s="33">
        <v>44488</v>
      </c>
      <c r="F1899" s="32">
        <v>10055</v>
      </c>
      <c r="G1899" s="5" t="str">
        <f>INDEX(customer[عنوان],MATCH(Main[[#This Row],[کد ردیابی]],customer[کد],0))</f>
        <v xml:space="preserve">مریم فیض آبادی  </v>
      </c>
      <c r="H1899">
        <v>-4516</v>
      </c>
      <c r="I1899" s="6">
        <f ca="1">-Main[[#This Row],[بدهی تسویه شده (کیلوگرم)]]+Main[[#This Row],[بستانکار (کیلوگرم)]]</f>
        <v>-4516</v>
      </c>
      <c r="J1899" s="6">
        <f>IF(Main[[#This Row],[مقدار (کیلوگرم)]]&gt;0,Main[[#This Row],[مقدار (کیلوگرم)]],0)</f>
        <v>0</v>
      </c>
      <c r="K1899" s="6">
        <f>-IF(Main[[#This Row],[مقدار (کیلوگرم)]]&lt;0,Main[[#This Row],[مقدار (کیلوگرم)]],0)</f>
        <v>4516</v>
      </c>
      <c r="L18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9" s="7">
        <f>-IF(AND(Main[[#This Row],[مقدار (کیلوگرم)]]&lt;0,Main[[#This Row],[تاريخ میلادی]]&gt;44276),Main[[#This Row],[مقدار (کیلوگرم)]],0)</f>
        <v>4516</v>
      </c>
      <c r="N1899" s="6">
        <f ca="1">Main[[#This Row],[بدهکار (کیلوگرم)]]-Main[[#This Row],[بدهی تسویه نشده (کیلوگرم)]]</f>
        <v>4516</v>
      </c>
      <c r="O1899" s="6">
        <f ca="1">Main[[#This Row],[تفکیک]]</f>
        <v>0</v>
      </c>
      <c r="P1899" s="6">
        <f ca="1">IF(Main[[#This Row],[تاخیر از سررسید]]&gt;0,Main[[#This Row],[بدهی تسویه نشده (کیلوگرم)]],0)</f>
        <v>0</v>
      </c>
      <c r="Q1899" s="6">
        <f ca="1">IF(Main[[#This Row],[بدهی تسویه نشده (کیلوگرم)]]&gt;0,'گزارش فردی'!$B$7-Main[[#This Row],[تاريخ میلادی]],0)</f>
        <v>0</v>
      </c>
      <c r="R1899" s="6">
        <f ca="1">IF(Main[[#This Row],[بدهی تسویه نشده (کیلوگرم)]]&gt;0,'گزارش فردی'!$B$7-Main[[#This Row],[تاريخ میلادی]]-'گزارش فردی'!$B$8,0)</f>
        <v>0</v>
      </c>
      <c r="S1899" s="6">
        <f ca="1">Main[[#This Row],[روز از ارسال سفارش]]*Main[[#This Row],[بدهی تسویه نشده (کیلوگرم)]]</f>
        <v>0</v>
      </c>
      <c r="T1899" s="6">
        <f ca="1">Main[[#This Row],[بدهی سررسید شده (کیلوگرم)]]*Main[[#This Row],[روز از ارسال سفارش]]</f>
        <v>0</v>
      </c>
      <c r="U1899" s="6">
        <f>-SUBTOTAL(9,INDEX(Main[مقدار (کیلوگرم)],1):Main[[#This Row],[مقدار (کیلوگرم)]])</f>
        <v>27245</v>
      </c>
      <c r="V18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9" s="6">
        <f>Main[[#This Row],[تعداد کل روزهای بدهکار (روز)]]*Main[[#This Row],[مانده در خط کل (کیلوگرم)]]</f>
        <v>0</v>
      </c>
      <c r="X1899" s="6">
        <f ca="1">-SUBTOTAL(9,INDEX(Main[مقدار تسویه شده (کیلوگرم)],1):Main[[#This Row],[مقدار تسویه شده (کیلوگرم)]])</f>
        <v>27245</v>
      </c>
      <c r="Y1899" s="6">
        <f ca="1">IF(Main[[#This Row],[مانده در خط تسویه شده (کیلوگرم)]]&lt;&gt;0,Main[[#This Row],[تعداد کل روزهای بدهکار (روز)]],0)</f>
        <v>0</v>
      </c>
      <c r="Z1899" s="6">
        <f ca="1">Main[[#This Row],[تعداد روزهای بدهکار تسویه شده (روز)]]*Main[[#This Row],[مانده در خط تسویه شده (کیلوگرم)]]</f>
        <v>0</v>
      </c>
      <c r="AA1899" s="6">
        <f ca="1">SUBTOTAL(9,INDEX(Main[بدهی تسویه نشده (کیلوگرم)],1):Main[[#This Row],[بدهی تسویه نشده (کیلوگرم)]])</f>
        <v>0</v>
      </c>
      <c r="AB1899" s="6">
        <f ca="1">IF(Main[[#This Row],[مانده در خط تسویه نشده (کیلوگرم)]]&lt;&gt;0,Main[[#This Row],[تعداد کل روزهای بدهکار (روز)]],0)</f>
        <v>0</v>
      </c>
      <c r="AC1899" s="6">
        <f ca="1">Main[[#This Row],[تعداد روزهای بدهکار  تسویه نشده (روز)]]*Main[[#This Row],[مانده در خط تسویه نشده (کیلوگرم)]]</f>
        <v>0</v>
      </c>
      <c r="AD1899" s="6">
        <f ca="1">SUBTOTAL(9,INDEX(Main[بدهی سررسید شده (کیلوگرم)],1):Main[[#This Row],[بدهی سررسید شده (کیلوگرم)]])</f>
        <v>0</v>
      </c>
      <c r="AE1899" s="6">
        <f ca="1">IF(Main[[#This Row],[مانده در خط سررسید شده (کیلوگرم)]]&lt;&gt;0,Main[[#This Row],[تعداد کل روزهای بدهکار (روز)]],0)</f>
        <v>0</v>
      </c>
      <c r="AF1899" s="6">
        <f ca="1">Main[[#This Row],[تعداد روزهای بدهکار سررسید شده (روز)]]*Main[[#This Row],[مانده در خط سررسید شده (کیلوگرم)]]</f>
        <v>0</v>
      </c>
    </row>
    <row r="1900" spans="1:32" hidden="1" x14ac:dyDescent="0.35">
      <c r="A1900" s="5">
        <f>ROW()-ROW(INDEX(Main[ردیف],1))+1</f>
        <v>1898</v>
      </c>
      <c r="B1900" s="31">
        <f>SUBTOTAL(2,INDEX(Main[ردیف],1):Main[[#This Row],[ردیف]])</f>
        <v>168</v>
      </c>
      <c r="C1900" s="32" t="s">
        <v>734</v>
      </c>
      <c r="D1900" s="32" t="str">
        <f>_xlfn.CONCAT("14",Main[[#This Row],[تاريخ]])</f>
        <v>1400/07/27</v>
      </c>
      <c r="E1900" s="33">
        <v>44488</v>
      </c>
      <c r="F1900" s="32">
        <v>30004</v>
      </c>
      <c r="G1900" s="5" t="str">
        <f>INDEX(customer[عنوان],MATCH(Main[[#This Row],[کد ردیابی]],customer[کد],0))</f>
        <v>تولیدی صنعتی صفاشیر پارس</v>
      </c>
      <c r="H1900">
        <v>1958</v>
      </c>
      <c r="I1900" s="6">
        <f ca="1">-Main[[#This Row],[بدهی تسویه شده (کیلوگرم)]]+Main[[#This Row],[بستانکار (کیلوگرم)]]</f>
        <v>1958</v>
      </c>
      <c r="J1900" s="6">
        <f>IF(Main[[#This Row],[مقدار (کیلوگرم)]]&gt;0,Main[[#This Row],[مقدار (کیلوگرم)]],0)</f>
        <v>1958</v>
      </c>
      <c r="K1900" s="6">
        <f>-IF(Main[[#This Row],[مقدار (کیلوگرم)]]&lt;0,Main[[#This Row],[مقدار (کیلوگرم)]],0)</f>
        <v>0</v>
      </c>
      <c r="L19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0" s="7">
        <f>-IF(AND(Main[[#This Row],[مقدار (کیلوگرم)]]&lt;0,Main[[#This Row],[تاريخ میلادی]]&gt;44276),Main[[#This Row],[مقدار (کیلوگرم)]],0)</f>
        <v>0</v>
      </c>
      <c r="N1900" s="6">
        <f ca="1">Main[[#This Row],[بدهکار (کیلوگرم)]]-Main[[#This Row],[بدهی تسویه نشده (کیلوگرم)]]</f>
        <v>0</v>
      </c>
      <c r="O1900" s="6">
        <f ca="1">Main[[#This Row],[تفکیک]]</f>
        <v>0</v>
      </c>
      <c r="P1900" s="6">
        <f ca="1">IF(Main[[#This Row],[تاخیر از سررسید]]&gt;0,Main[[#This Row],[بدهی تسویه نشده (کیلوگرم)]],0)</f>
        <v>0</v>
      </c>
      <c r="Q1900" s="6">
        <f ca="1">IF(Main[[#This Row],[بدهی تسویه نشده (کیلوگرم)]]&gt;0,'گزارش فردی'!$B$7-Main[[#This Row],[تاريخ میلادی]],0)</f>
        <v>0</v>
      </c>
      <c r="R1900" s="6">
        <f ca="1">IF(Main[[#This Row],[بدهی تسویه نشده (کیلوگرم)]]&gt;0,'گزارش فردی'!$B$7-Main[[#This Row],[تاريخ میلادی]]-'گزارش فردی'!$B$8,0)</f>
        <v>0</v>
      </c>
      <c r="S1900" s="6">
        <f ca="1">Main[[#This Row],[روز از ارسال سفارش]]*Main[[#This Row],[بدهی تسویه نشده (کیلوگرم)]]</f>
        <v>0</v>
      </c>
      <c r="T1900" s="6">
        <f ca="1">Main[[#This Row],[بدهی سررسید شده (کیلوگرم)]]*Main[[#This Row],[روز از ارسال سفارش]]</f>
        <v>0</v>
      </c>
      <c r="U1900" s="6">
        <f>-SUBTOTAL(9,INDEX(Main[مقدار (کیلوگرم)],1):Main[[#This Row],[مقدار (کیلوگرم)]])</f>
        <v>27245</v>
      </c>
      <c r="V19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00" s="6">
        <f>Main[[#This Row],[تعداد کل روزهای بدهکار (روز)]]*Main[[#This Row],[مانده در خط کل (کیلوگرم)]]</f>
        <v>0</v>
      </c>
      <c r="X1900" s="6">
        <f ca="1">-SUBTOTAL(9,INDEX(Main[مقدار تسویه شده (کیلوگرم)],1):Main[[#This Row],[مقدار تسویه شده (کیلوگرم)]])</f>
        <v>27245</v>
      </c>
      <c r="Y1900" s="6">
        <f ca="1">IF(Main[[#This Row],[مانده در خط تسویه شده (کیلوگرم)]]&lt;&gt;0,Main[[#This Row],[تعداد کل روزهای بدهکار (روز)]],0)</f>
        <v>0</v>
      </c>
      <c r="Z1900" s="6">
        <f ca="1">Main[[#This Row],[تعداد روزهای بدهکار تسویه شده (روز)]]*Main[[#This Row],[مانده در خط تسویه شده (کیلوگرم)]]</f>
        <v>0</v>
      </c>
      <c r="AA1900" s="6">
        <f ca="1">SUBTOTAL(9,INDEX(Main[بدهی تسویه نشده (کیلوگرم)],1):Main[[#This Row],[بدهی تسویه نشده (کیلوگرم)]])</f>
        <v>0</v>
      </c>
      <c r="AB1900" s="6">
        <f ca="1">IF(Main[[#This Row],[مانده در خط تسویه نشده (کیلوگرم)]]&lt;&gt;0,Main[[#This Row],[تعداد کل روزهای بدهکار (روز)]],0)</f>
        <v>0</v>
      </c>
      <c r="AC1900" s="6">
        <f ca="1">Main[[#This Row],[تعداد روزهای بدهکار  تسویه نشده (روز)]]*Main[[#This Row],[مانده در خط تسویه نشده (کیلوگرم)]]</f>
        <v>0</v>
      </c>
      <c r="AD1900" s="6">
        <f ca="1">SUBTOTAL(9,INDEX(Main[بدهی سررسید شده (کیلوگرم)],1):Main[[#This Row],[بدهی سررسید شده (کیلوگرم)]])</f>
        <v>0</v>
      </c>
      <c r="AE1900" s="6">
        <f ca="1">IF(Main[[#This Row],[مانده در خط سررسید شده (کیلوگرم)]]&lt;&gt;0,Main[[#This Row],[تعداد کل روزهای بدهکار (روز)]],0)</f>
        <v>0</v>
      </c>
      <c r="AF1900" s="6">
        <f ca="1">Main[[#This Row],[تعداد روزهای بدهکار سررسید شده (روز)]]*Main[[#This Row],[مانده در خط سررسید شده (کیلوگرم)]]</f>
        <v>0</v>
      </c>
    </row>
    <row r="1901" spans="1:32" x14ac:dyDescent="0.35">
      <c r="A1901" s="5">
        <f>ROW()-ROW(INDEX(Main[ردیف],1))+1</f>
        <v>1899</v>
      </c>
      <c r="B1901" s="31">
        <f>SUBTOTAL(2,INDEX(Main[ردیف],1):Main[[#This Row],[ردیف]])</f>
        <v>169</v>
      </c>
      <c r="C1901" s="32" t="s">
        <v>734</v>
      </c>
      <c r="D1901" s="32" t="str">
        <f>_xlfn.CONCAT("14",Main[[#This Row],[تاريخ]])</f>
        <v>1400/07/27</v>
      </c>
      <c r="E1901" s="33">
        <v>44488</v>
      </c>
      <c r="F1901" s="32">
        <v>10003</v>
      </c>
      <c r="G1901" s="5" t="str">
        <f>INDEX(customer[عنوان],MATCH(Main[[#This Row],[کد ردیابی]],customer[کد],0))</f>
        <v>اصغر نورعلی</v>
      </c>
      <c r="H1901">
        <v>-3924</v>
      </c>
      <c r="I1901" s="6">
        <f ca="1">-Main[[#This Row],[بدهی تسویه شده (کیلوگرم)]]+Main[[#This Row],[بستانکار (کیلوگرم)]]</f>
        <v>-3924</v>
      </c>
      <c r="J1901" s="6">
        <f>IF(Main[[#This Row],[مقدار (کیلوگرم)]]&gt;0,Main[[#This Row],[مقدار (کیلوگرم)]],0)</f>
        <v>0</v>
      </c>
      <c r="K1901" s="6">
        <f>-IF(Main[[#This Row],[مقدار (کیلوگرم)]]&lt;0,Main[[#This Row],[مقدار (کیلوگرم)]],0)</f>
        <v>3924</v>
      </c>
      <c r="L19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1" s="7">
        <f>-IF(AND(Main[[#This Row],[مقدار (کیلوگرم)]]&lt;0,Main[[#This Row],[تاريخ میلادی]]&gt;44276),Main[[#This Row],[مقدار (کیلوگرم)]],0)</f>
        <v>3924</v>
      </c>
      <c r="N1901" s="6">
        <f ca="1">Main[[#This Row],[بدهکار (کیلوگرم)]]-Main[[#This Row],[بدهی تسویه نشده (کیلوگرم)]]</f>
        <v>3924</v>
      </c>
      <c r="O1901" s="6">
        <f ca="1">Main[[#This Row],[تفکیک]]</f>
        <v>0</v>
      </c>
      <c r="P1901" s="6">
        <f ca="1">IF(Main[[#This Row],[تاخیر از سررسید]]&gt;0,Main[[#This Row],[بدهی تسویه نشده (کیلوگرم)]],0)</f>
        <v>0</v>
      </c>
      <c r="Q1901" s="6">
        <f ca="1">IF(Main[[#This Row],[بدهی تسویه نشده (کیلوگرم)]]&gt;0,'گزارش فردی'!$B$7-Main[[#This Row],[تاريخ میلادی]],0)</f>
        <v>0</v>
      </c>
      <c r="R1901" s="6">
        <f ca="1">IF(Main[[#This Row],[بدهی تسویه نشده (کیلوگرم)]]&gt;0,'گزارش فردی'!$B$7-Main[[#This Row],[تاريخ میلادی]]-'گزارش فردی'!$B$8,0)</f>
        <v>0</v>
      </c>
      <c r="S1901" s="6">
        <f ca="1">Main[[#This Row],[روز از ارسال سفارش]]*Main[[#This Row],[بدهی تسویه نشده (کیلوگرم)]]</f>
        <v>0</v>
      </c>
      <c r="T1901" s="6">
        <f ca="1">Main[[#This Row],[بدهی سررسید شده (کیلوگرم)]]*Main[[#This Row],[روز از ارسال سفارش]]</f>
        <v>0</v>
      </c>
      <c r="U1901" s="6">
        <f>-SUBTOTAL(9,INDEX(Main[مقدار (کیلوگرم)],1):Main[[#This Row],[مقدار (کیلوگرم)]])</f>
        <v>31169</v>
      </c>
      <c r="V1901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1" s="6">
        <f>Main[[#This Row],[تعداد کل روزهای بدهکار (روز)]]*Main[[#This Row],[مانده در خط کل (کیلوگرم)]]</f>
        <v>187014</v>
      </c>
      <c r="X1901" s="6">
        <f ca="1">-SUBTOTAL(9,INDEX(Main[مقدار تسویه شده (کیلوگرم)],1):Main[[#This Row],[مقدار تسویه شده (کیلوگرم)]])</f>
        <v>31169</v>
      </c>
      <c r="Y1901" s="6">
        <f ca="1">IF(Main[[#This Row],[مانده در خط تسویه شده (کیلوگرم)]]&lt;&gt;0,Main[[#This Row],[تعداد کل روزهای بدهکار (روز)]],0)</f>
        <v>6</v>
      </c>
      <c r="Z1901" s="6">
        <f ca="1">Main[[#This Row],[تعداد روزهای بدهکار تسویه شده (روز)]]*Main[[#This Row],[مانده در خط تسویه شده (کیلوگرم)]]</f>
        <v>187014</v>
      </c>
      <c r="AA1901" s="6">
        <f ca="1">SUBTOTAL(9,INDEX(Main[بدهی تسویه نشده (کیلوگرم)],1):Main[[#This Row],[بدهی تسویه نشده (کیلوگرم)]])</f>
        <v>0</v>
      </c>
      <c r="AB1901" s="6">
        <f ca="1">IF(Main[[#This Row],[مانده در خط تسویه نشده (کیلوگرم)]]&lt;&gt;0,Main[[#This Row],[تعداد کل روزهای بدهکار (روز)]],0)</f>
        <v>0</v>
      </c>
      <c r="AC1901" s="6">
        <f ca="1">Main[[#This Row],[تعداد روزهای بدهکار  تسویه نشده (روز)]]*Main[[#This Row],[مانده در خط تسویه نشده (کیلوگرم)]]</f>
        <v>0</v>
      </c>
      <c r="AD1901" s="6">
        <f ca="1">SUBTOTAL(9,INDEX(Main[بدهی سررسید شده (کیلوگرم)],1):Main[[#This Row],[بدهی سررسید شده (کیلوگرم)]])</f>
        <v>0</v>
      </c>
      <c r="AE1901" s="6">
        <f ca="1">IF(Main[[#This Row],[مانده در خط سررسید شده (کیلوگرم)]]&lt;&gt;0,Main[[#This Row],[تعداد کل روزهای بدهکار (روز)]],0)</f>
        <v>0</v>
      </c>
      <c r="AF1901" s="6">
        <f ca="1">Main[[#This Row],[تعداد روزهای بدهکار سررسید شده (روز)]]*Main[[#This Row],[مانده در خط سررسید شده (کیلوگرم)]]</f>
        <v>0</v>
      </c>
    </row>
    <row r="1902" spans="1:32" hidden="1" x14ac:dyDescent="0.35">
      <c r="A1902" s="5">
        <f>ROW()-ROW(INDEX(Main[ردیف],1))+1</f>
        <v>1900</v>
      </c>
      <c r="B1902" s="31">
        <f>SUBTOTAL(2,INDEX(Main[ردیف],1):Main[[#This Row],[ردیف]])</f>
        <v>169</v>
      </c>
      <c r="C1902" s="32" t="s">
        <v>734</v>
      </c>
      <c r="D1902" s="32" t="str">
        <f>_xlfn.CONCAT("14",Main[[#This Row],[تاريخ]])</f>
        <v>1400/07/27</v>
      </c>
      <c r="E1902" s="33">
        <v>44488</v>
      </c>
      <c r="F1902" s="32">
        <v>30127</v>
      </c>
      <c r="G1902" s="5" t="str">
        <f>INDEX(customer[عنوان],MATCH(Main[[#This Row],[کد ردیابی]],customer[کد],0))</f>
        <v>شیر گاز آذران</v>
      </c>
      <c r="H1902">
        <v>14794</v>
      </c>
      <c r="I1902" s="6">
        <f ca="1">-Main[[#This Row],[بدهی تسویه شده (کیلوگرم)]]+Main[[#This Row],[بستانکار (کیلوگرم)]]</f>
        <v>14794</v>
      </c>
      <c r="J1902" s="6">
        <f>IF(Main[[#This Row],[مقدار (کیلوگرم)]]&gt;0,Main[[#This Row],[مقدار (کیلوگرم)]],0)</f>
        <v>14794</v>
      </c>
      <c r="K1902" s="6">
        <f>-IF(Main[[#This Row],[مقدار (کیلوگرم)]]&lt;0,Main[[#This Row],[مقدار (کیلوگرم)]],0)</f>
        <v>0</v>
      </c>
      <c r="L19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2" s="7">
        <f>-IF(AND(Main[[#This Row],[مقدار (کیلوگرم)]]&lt;0,Main[[#This Row],[تاريخ میلادی]]&gt;44276),Main[[#This Row],[مقدار (کیلوگرم)]],0)</f>
        <v>0</v>
      </c>
      <c r="N1902" s="6">
        <f ca="1">Main[[#This Row],[بدهکار (کیلوگرم)]]-Main[[#This Row],[بدهی تسویه نشده (کیلوگرم)]]</f>
        <v>0</v>
      </c>
      <c r="O1902" s="6">
        <f ca="1">Main[[#This Row],[تفکیک]]</f>
        <v>0</v>
      </c>
      <c r="P1902" s="6">
        <f ca="1">IF(Main[[#This Row],[تاخیر از سررسید]]&gt;0,Main[[#This Row],[بدهی تسویه نشده (کیلوگرم)]],0)</f>
        <v>0</v>
      </c>
      <c r="Q1902" s="6">
        <f ca="1">IF(Main[[#This Row],[بدهی تسویه نشده (کیلوگرم)]]&gt;0,'گزارش فردی'!$B$7-Main[[#This Row],[تاريخ میلادی]],0)</f>
        <v>0</v>
      </c>
      <c r="R1902" s="6">
        <f ca="1">IF(Main[[#This Row],[بدهی تسویه نشده (کیلوگرم)]]&gt;0,'گزارش فردی'!$B$7-Main[[#This Row],[تاريخ میلادی]]-'گزارش فردی'!$B$8,0)</f>
        <v>0</v>
      </c>
      <c r="S1902" s="6">
        <f ca="1">Main[[#This Row],[روز از ارسال سفارش]]*Main[[#This Row],[بدهی تسویه نشده (کیلوگرم)]]</f>
        <v>0</v>
      </c>
      <c r="T1902" s="6">
        <f ca="1">Main[[#This Row],[بدهی سررسید شده (کیلوگرم)]]*Main[[#This Row],[روز از ارسال سفارش]]</f>
        <v>0</v>
      </c>
      <c r="U1902" s="6">
        <f>-SUBTOTAL(9,INDEX(Main[مقدار (کیلوگرم)],1):Main[[#This Row],[مقدار (کیلوگرم)]])</f>
        <v>31169</v>
      </c>
      <c r="V1902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2" s="6">
        <f>Main[[#This Row],[تعداد کل روزهای بدهکار (روز)]]*Main[[#This Row],[مانده در خط کل (کیلوگرم)]]</f>
        <v>187014</v>
      </c>
      <c r="X1902" s="6">
        <f ca="1">-SUBTOTAL(9,INDEX(Main[مقدار تسویه شده (کیلوگرم)],1):Main[[#This Row],[مقدار تسویه شده (کیلوگرم)]])</f>
        <v>31169</v>
      </c>
      <c r="Y1902" s="6">
        <f ca="1">IF(Main[[#This Row],[مانده در خط تسویه شده (کیلوگرم)]]&lt;&gt;0,Main[[#This Row],[تعداد کل روزهای بدهکار (روز)]],0)</f>
        <v>6</v>
      </c>
      <c r="Z1902" s="6">
        <f ca="1">Main[[#This Row],[تعداد روزهای بدهکار تسویه شده (روز)]]*Main[[#This Row],[مانده در خط تسویه شده (کیلوگرم)]]</f>
        <v>187014</v>
      </c>
      <c r="AA1902" s="6">
        <f ca="1">SUBTOTAL(9,INDEX(Main[بدهی تسویه نشده (کیلوگرم)],1):Main[[#This Row],[بدهی تسویه نشده (کیلوگرم)]])</f>
        <v>0</v>
      </c>
      <c r="AB1902" s="6">
        <f ca="1">IF(Main[[#This Row],[مانده در خط تسویه نشده (کیلوگرم)]]&lt;&gt;0,Main[[#This Row],[تعداد کل روزهای بدهکار (روز)]],0)</f>
        <v>0</v>
      </c>
      <c r="AC1902" s="6">
        <f ca="1">Main[[#This Row],[تعداد روزهای بدهکار  تسویه نشده (روز)]]*Main[[#This Row],[مانده در خط تسویه نشده (کیلوگرم)]]</f>
        <v>0</v>
      </c>
      <c r="AD1902" s="6">
        <f ca="1">SUBTOTAL(9,INDEX(Main[بدهی سررسید شده (کیلوگرم)],1):Main[[#This Row],[بدهی سررسید شده (کیلوگرم)]])</f>
        <v>0</v>
      </c>
      <c r="AE1902" s="6">
        <f ca="1">IF(Main[[#This Row],[مانده در خط سررسید شده (کیلوگرم)]]&lt;&gt;0,Main[[#This Row],[تعداد کل روزهای بدهکار (روز)]],0)</f>
        <v>0</v>
      </c>
      <c r="AF1902" s="6">
        <f ca="1">Main[[#This Row],[تعداد روزهای بدهکار سررسید شده (روز)]]*Main[[#This Row],[مانده در خط سررسید شده (کیلوگرم)]]</f>
        <v>0</v>
      </c>
    </row>
    <row r="1903" spans="1:32" hidden="1" x14ac:dyDescent="0.35">
      <c r="A1903" s="5">
        <f>ROW()-ROW(INDEX(Main[ردیف],1))+1</f>
        <v>1901</v>
      </c>
      <c r="B1903" s="31">
        <f>SUBTOTAL(2,INDEX(Main[ردیف],1):Main[[#This Row],[ردیف]])</f>
        <v>169</v>
      </c>
      <c r="C1903" s="32" t="s">
        <v>734</v>
      </c>
      <c r="D1903" s="32" t="str">
        <f>_xlfn.CONCAT("14",Main[[#This Row],[تاريخ]])</f>
        <v>1400/07/27</v>
      </c>
      <c r="E1903" s="33">
        <v>44488</v>
      </c>
      <c r="F1903" s="32">
        <v>10019</v>
      </c>
      <c r="G1903" s="5" t="str">
        <f>INDEX(customer[عنوان],MATCH(Main[[#This Row],[کد ردیابی]],customer[کد],0))</f>
        <v>قدرت اله اورنگی</v>
      </c>
      <c r="H1903">
        <v>-1727</v>
      </c>
      <c r="I1903" s="6">
        <f ca="1">-Main[[#This Row],[بدهی تسویه شده (کیلوگرم)]]+Main[[#This Row],[بستانکار (کیلوگرم)]]</f>
        <v>-1727</v>
      </c>
      <c r="J1903" s="6">
        <f>IF(Main[[#This Row],[مقدار (کیلوگرم)]]&gt;0,Main[[#This Row],[مقدار (کیلوگرم)]],0)</f>
        <v>0</v>
      </c>
      <c r="K1903" s="6">
        <f>-IF(Main[[#This Row],[مقدار (کیلوگرم)]]&lt;0,Main[[#This Row],[مقدار (کیلوگرم)]],0)</f>
        <v>1727</v>
      </c>
      <c r="L19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3" s="7">
        <f>-IF(AND(Main[[#This Row],[مقدار (کیلوگرم)]]&lt;0,Main[[#This Row],[تاريخ میلادی]]&gt;44276),Main[[#This Row],[مقدار (کیلوگرم)]],0)</f>
        <v>1727</v>
      </c>
      <c r="N1903" s="6">
        <f ca="1">Main[[#This Row],[بدهکار (کیلوگرم)]]-Main[[#This Row],[بدهی تسویه نشده (کیلوگرم)]]</f>
        <v>1727</v>
      </c>
      <c r="O1903" s="6">
        <f ca="1">Main[[#This Row],[تفکیک]]</f>
        <v>0</v>
      </c>
      <c r="P1903" s="6">
        <f ca="1">IF(Main[[#This Row],[تاخیر از سررسید]]&gt;0,Main[[#This Row],[بدهی تسویه نشده (کیلوگرم)]],0)</f>
        <v>0</v>
      </c>
      <c r="Q1903" s="6">
        <f ca="1">IF(Main[[#This Row],[بدهی تسویه نشده (کیلوگرم)]]&gt;0,'گزارش فردی'!$B$7-Main[[#This Row],[تاريخ میلادی]],0)</f>
        <v>0</v>
      </c>
      <c r="R1903" s="6">
        <f ca="1">IF(Main[[#This Row],[بدهی تسویه نشده (کیلوگرم)]]&gt;0,'گزارش فردی'!$B$7-Main[[#This Row],[تاريخ میلادی]]-'گزارش فردی'!$B$8,0)</f>
        <v>0</v>
      </c>
      <c r="S1903" s="6">
        <f ca="1">Main[[#This Row],[روز از ارسال سفارش]]*Main[[#This Row],[بدهی تسویه نشده (کیلوگرم)]]</f>
        <v>0</v>
      </c>
      <c r="T1903" s="6">
        <f ca="1">Main[[#This Row],[بدهی سررسید شده (کیلوگرم)]]*Main[[#This Row],[روز از ارسال سفارش]]</f>
        <v>0</v>
      </c>
      <c r="U1903" s="6">
        <f>-SUBTOTAL(9,INDEX(Main[مقدار (کیلوگرم)],1):Main[[#This Row],[مقدار (کیلوگرم)]])</f>
        <v>31169</v>
      </c>
      <c r="V1903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3" s="6">
        <f>Main[[#This Row],[تعداد کل روزهای بدهکار (روز)]]*Main[[#This Row],[مانده در خط کل (کیلوگرم)]]</f>
        <v>187014</v>
      </c>
      <c r="X1903" s="6">
        <f ca="1">-SUBTOTAL(9,INDEX(Main[مقدار تسویه شده (کیلوگرم)],1):Main[[#This Row],[مقدار تسویه شده (کیلوگرم)]])</f>
        <v>31169</v>
      </c>
      <c r="Y1903" s="6">
        <f ca="1">IF(Main[[#This Row],[مانده در خط تسویه شده (کیلوگرم)]]&lt;&gt;0,Main[[#This Row],[تعداد کل روزهای بدهکار (روز)]],0)</f>
        <v>6</v>
      </c>
      <c r="Z1903" s="6">
        <f ca="1">Main[[#This Row],[تعداد روزهای بدهکار تسویه شده (روز)]]*Main[[#This Row],[مانده در خط تسویه شده (کیلوگرم)]]</f>
        <v>187014</v>
      </c>
      <c r="AA1903" s="6">
        <f ca="1">SUBTOTAL(9,INDEX(Main[بدهی تسویه نشده (کیلوگرم)],1):Main[[#This Row],[بدهی تسویه نشده (کیلوگرم)]])</f>
        <v>0</v>
      </c>
      <c r="AB1903" s="6">
        <f ca="1">IF(Main[[#This Row],[مانده در خط تسویه نشده (کیلوگرم)]]&lt;&gt;0,Main[[#This Row],[تعداد کل روزهای بدهکار (روز)]],0)</f>
        <v>0</v>
      </c>
      <c r="AC1903" s="6">
        <f ca="1">Main[[#This Row],[تعداد روزهای بدهکار  تسویه نشده (روز)]]*Main[[#This Row],[مانده در خط تسویه نشده (کیلوگرم)]]</f>
        <v>0</v>
      </c>
      <c r="AD1903" s="6">
        <f ca="1">SUBTOTAL(9,INDEX(Main[بدهی سررسید شده (کیلوگرم)],1):Main[[#This Row],[بدهی سررسید شده (کیلوگرم)]])</f>
        <v>0</v>
      </c>
      <c r="AE1903" s="6">
        <f ca="1">IF(Main[[#This Row],[مانده در خط سررسید شده (کیلوگرم)]]&lt;&gt;0,Main[[#This Row],[تعداد کل روزهای بدهکار (روز)]],0)</f>
        <v>0</v>
      </c>
      <c r="AF1903" s="6">
        <f ca="1">Main[[#This Row],[تعداد روزهای بدهکار سررسید شده (روز)]]*Main[[#This Row],[مانده در خط سررسید شده (کیلوگرم)]]</f>
        <v>0</v>
      </c>
    </row>
    <row r="1904" spans="1:32" hidden="1" x14ac:dyDescent="0.35">
      <c r="A1904" s="5">
        <f>ROW()-ROW(INDEX(Main[ردیف],1))+1</f>
        <v>1902</v>
      </c>
      <c r="B1904" s="31">
        <f>SUBTOTAL(2,INDEX(Main[ردیف],1):Main[[#This Row],[ردیف]])</f>
        <v>169</v>
      </c>
      <c r="C1904" s="32" t="s">
        <v>734</v>
      </c>
      <c r="D1904" s="32" t="str">
        <f>_xlfn.CONCAT("14",Main[[#This Row],[تاريخ]])</f>
        <v>1400/07/27</v>
      </c>
      <c r="E1904" s="33">
        <v>44488</v>
      </c>
      <c r="F1904" s="32">
        <v>30003</v>
      </c>
      <c r="G1904" s="5" t="str">
        <f>INDEX(customer[عنوان],MATCH(Main[[#This Row],[کد ردیابی]],customer[کد],0))</f>
        <v xml:space="preserve">شهاب گاز سوز </v>
      </c>
      <c r="H1904">
        <v>104</v>
      </c>
      <c r="I1904" s="6">
        <f ca="1">-Main[[#This Row],[بدهی تسویه شده (کیلوگرم)]]+Main[[#This Row],[بستانکار (کیلوگرم)]]</f>
        <v>104</v>
      </c>
      <c r="J1904" s="6">
        <f>IF(Main[[#This Row],[مقدار (کیلوگرم)]]&gt;0,Main[[#This Row],[مقدار (کیلوگرم)]],0)</f>
        <v>104</v>
      </c>
      <c r="K1904" s="6">
        <f>-IF(Main[[#This Row],[مقدار (کیلوگرم)]]&lt;0,Main[[#This Row],[مقدار (کیلوگرم)]],0)</f>
        <v>0</v>
      </c>
      <c r="L19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4" s="7">
        <f>-IF(AND(Main[[#This Row],[مقدار (کیلوگرم)]]&lt;0,Main[[#This Row],[تاريخ میلادی]]&gt;44276),Main[[#This Row],[مقدار (کیلوگرم)]],0)</f>
        <v>0</v>
      </c>
      <c r="N1904" s="6">
        <f ca="1">Main[[#This Row],[بدهکار (کیلوگرم)]]-Main[[#This Row],[بدهی تسویه نشده (کیلوگرم)]]</f>
        <v>0</v>
      </c>
      <c r="O1904" s="6">
        <f ca="1">Main[[#This Row],[تفکیک]]</f>
        <v>0</v>
      </c>
      <c r="P1904" s="6">
        <f ca="1">IF(Main[[#This Row],[تاخیر از سررسید]]&gt;0,Main[[#This Row],[بدهی تسویه نشده (کیلوگرم)]],0)</f>
        <v>0</v>
      </c>
      <c r="Q1904" s="6">
        <f ca="1">IF(Main[[#This Row],[بدهی تسویه نشده (کیلوگرم)]]&gt;0,'گزارش فردی'!$B$7-Main[[#This Row],[تاريخ میلادی]],0)</f>
        <v>0</v>
      </c>
      <c r="R1904" s="6">
        <f ca="1">IF(Main[[#This Row],[بدهی تسویه نشده (کیلوگرم)]]&gt;0,'گزارش فردی'!$B$7-Main[[#This Row],[تاريخ میلادی]]-'گزارش فردی'!$B$8,0)</f>
        <v>0</v>
      </c>
      <c r="S1904" s="6">
        <f ca="1">Main[[#This Row],[روز از ارسال سفارش]]*Main[[#This Row],[بدهی تسویه نشده (کیلوگرم)]]</f>
        <v>0</v>
      </c>
      <c r="T1904" s="6">
        <f ca="1">Main[[#This Row],[بدهی سررسید شده (کیلوگرم)]]*Main[[#This Row],[روز از ارسال سفارش]]</f>
        <v>0</v>
      </c>
      <c r="U1904" s="6">
        <f>-SUBTOTAL(9,INDEX(Main[مقدار (کیلوگرم)],1):Main[[#This Row],[مقدار (کیلوگرم)]])</f>
        <v>31169</v>
      </c>
      <c r="V1904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4" s="6">
        <f>Main[[#This Row],[تعداد کل روزهای بدهکار (روز)]]*Main[[#This Row],[مانده در خط کل (کیلوگرم)]]</f>
        <v>187014</v>
      </c>
      <c r="X1904" s="6">
        <f ca="1">-SUBTOTAL(9,INDEX(Main[مقدار تسویه شده (کیلوگرم)],1):Main[[#This Row],[مقدار تسویه شده (کیلوگرم)]])</f>
        <v>31169</v>
      </c>
      <c r="Y1904" s="6">
        <f ca="1">IF(Main[[#This Row],[مانده در خط تسویه شده (کیلوگرم)]]&lt;&gt;0,Main[[#This Row],[تعداد کل روزهای بدهکار (روز)]],0)</f>
        <v>6</v>
      </c>
      <c r="Z1904" s="6">
        <f ca="1">Main[[#This Row],[تعداد روزهای بدهکار تسویه شده (روز)]]*Main[[#This Row],[مانده در خط تسویه شده (کیلوگرم)]]</f>
        <v>187014</v>
      </c>
      <c r="AA1904" s="6">
        <f ca="1">SUBTOTAL(9,INDEX(Main[بدهی تسویه نشده (کیلوگرم)],1):Main[[#This Row],[بدهی تسویه نشده (کیلوگرم)]])</f>
        <v>0</v>
      </c>
      <c r="AB1904" s="6">
        <f ca="1">IF(Main[[#This Row],[مانده در خط تسویه نشده (کیلوگرم)]]&lt;&gt;0,Main[[#This Row],[تعداد کل روزهای بدهکار (روز)]],0)</f>
        <v>0</v>
      </c>
      <c r="AC1904" s="6">
        <f ca="1">Main[[#This Row],[تعداد روزهای بدهکار  تسویه نشده (روز)]]*Main[[#This Row],[مانده در خط تسویه نشده (کیلوگرم)]]</f>
        <v>0</v>
      </c>
      <c r="AD1904" s="6">
        <f ca="1">SUBTOTAL(9,INDEX(Main[بدهی سررسید شده (کیلوگرم)],1):Main[[#This Row],[بدهی سررسید شده (کیلوگرم)]])</f>
        <v>0</v>
      </c>
      <c r="AE1904" s="6">
        <f ca="1">IF(Main[[#This Row],[مانده در خط سررسید شده (کیلوگرم)]]&lt;&gt;0,Main[[#This Row],[تعداد کل روزهای بدهکار (روز)]],0)</f>
        <v>0</v>
      </c>
      <c r="AF1904" s="6">
        <f ca="1">Main[[#This Row],[تعداد روزهای بدهکار سررسید شده (روز)]]*Main[[#This Row],[مانده در خط سررسید شده (کیلوگرم)]]</f>
        <v>0</v>
      </c>
    </row>
    <row r="1905" spans="1:32" hidden="1" x14ac:dyDescent="0.35">
      <c r="A1905" s="5">
        <f>ROW()-ROW(INDEX(Main[ردیف],1))+1</f>
        <v>1903</v>
      </c>
      <c r="B1905" s="31">
        <f>SUBTOTAL(2,INDEX(Main[ردیف],1):Main[[#This Row],[ردیف]])</f>
        <v>169</v>
      </c>
      <c r="C1905" s="32" t="s">
        <v>734</v>
      </c>
      <c r="D1905" s="32" t="str">
        <f>_xlfn.CONCAT("14",Main[[#This Row],[تاريخ]])</f>
        <v>1400/07/27</v>
      </c>
      <c r="E1905" s="33">
        <v>44488</v>
      </c>
      <c r="F1905" s="32">
        <v>10026</v>
      </c>
      <c r="G1905" s="5" t="str">
        <f>INDEX(customer[عنوان],MATCH(Main[[#This Row],[کد ردیابی]],customer[کد],0))</f>
        <v xml:space="preserve">محسن فیاض بخش </v>
      </c>
      <c r="H1905">
        <v>-2129</v>
      </c>
      <c r="I1905" s="6">
        <f ca="1">-Main[[#This Row],[بدهی تسویه شده (کیلوگرم)]]+Main[[#This Row],[بستانکار (کیلوگرم)]]</f>
        <v>-2129</v>
      </c>
      <c r="J1905" s="6">
        <f>IF(Main[[#This Row],[مقدار (کیلوگرم)]]&gt;0,Main[[#This Row],[مقدار (کیلوگرم)]],0)</f>
        <v>0</v>
      </c>
      <c r="K1905" s="6">
        <f>-IF(Main[[#This Row],[مقدار (کیلوگرم)]]&lt;0,Main[[#This Row],[مقدار (کیلوگرم)]],0)</f>
        <v>2129</v>
      </c>
      <c r="L19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5" s="7">
        <f>-IF(AND(Main[[#This Row],[مقدار (کیلوگرم)]]&lt;0,Main[[#This Row],[تاريخ میلادی]]&gt;44276),Main[[#This Row],[مقدار (کیلوگرم)]],0)</f>
        <v>2129</v>
      </c>
      <c r="N1905" s="6">
        <f ca="1">Main[[#This Row],[بدهکار (کیلوگرم)]]-Main[[#This Row],[بدهی تسویه نشده (کیلوگرم)]]</f>
        <v>2129</v>
      </c>
      <c r="O1905" s="6">
        <f ca="1">Main[[#This Row],[تفکیک]]</f>
        <v>0</v>
      </c>
      <c r="P1905" s="6">
        <f ca="1">IF(Main[[#This Row],[تاخیر از سررسید]]&gt;0,Main[[#This Row],[بدهی تسویه نشده (کیلوگرم)]],0)</f>
        <v>0</v>
      </c>
      <c r="Q1905" s="6">
        <f ca="1">IF(Main[[#This Row],[بدهی تسویه نشده (کیلوگرم)]]&gt;0,'گزارش فردی'!$B$7-Main[[#This Row],[تاريخ میلادی]],0)</f>
        <v>0</v>
      </c>
      <c r="R1905" s="6">
        <f ca="1">IF(Main[[#This Row],[بدهی تسویه نشده (کیلوگرم)]]&gt;0,'گزارش فردی'!$B$7-Main[[#This Row],[تاريخ میلادی]]-'گزارش فردی'!$B$8,0)</f>
        <v>0</v>
      </c>
      <c r="S1905" s="6">
        <f ca="1">Main[[#This Row],[روز از ارسال سفارش]]*Main[[#This Row],[بدهی تسویه نشده (کیلوگرم)]]</f>
        <v>0</v>
      </c>
      <c r="T1905" s="6">
        <f ca="1">Main[[#This Row],[بدهی سررسید شده (کیلوگرم)]]*Main[[#This Row],[روز از ارسال سفارش]]</f>
        <v>0</v>
      </c>
      <c r="U1905" s="6">
        <f>-SUBTOTAL(9,INDEX(Main[مقدار (کیلوگرم)],1):Main[[#This Row],[مقدار (کیلوگرم)]])</f>
        <v>31169</v>
      </c>
      <c r="V1905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5" s="6">
        <f>Main[[#This Row],[تعداد کل روزهای بدهکار (روز)]]*Main[[#This Row],[مانده در خط کل (کیلوگرم)]]</f>
        <v>187014</v>
      </c>
      <c r="X1905" s="6">
        <f ca="1">-SUBTOTAL(9,INDEX(Main[مقدار تسویه شده (کیلوگرم)],1):Main[[#This Row],[مقدار تسویه شده (کیلوگرم)]])</f>
        <v>31169</v>
      </c>
      <c r="Y1905" s="6">
        <f ca="1">IF(Main[[#This Row],[مانده در خط تسویه شده (کیلوگرم)]]&lt;&gt;0,Main[[#This Row],[تعداد کل روزهای بدهکار (روز)]],0)</f>
        <v>6</v>
      </c>
      <c r="Z1905" s="6">
        <f ca="1">Main[[#This Row],[تعداد روزهای بدهکار تسویه شده (روز)]]*Main[[#This Row],[مانده در خط تسویه شده (کیلوگرم)]]</f>
        <v>187014</v>
      </c>
      <c r="AA1905" s="6">
        <f ca="1">SUBTOTAL(9,INDEX(Main[بدهی تسویه نشده (کیلوگرم)],1):Main[[#This Row],[بدهی تسویه نشده (کیلوگرم)]])</f>
        <v>0</v>
      </c>
      <c r="AB1905" s="6">
        <f ca="1">IF(Main[[#This Row],[مانده در خط تسویه نشده (کیلوگرم)]]&lt;&gt;0,Main[[#This Row],[تعداد کل روزهای بدهکار (روز)]],0)</f>
        <v>0</v>
      </c>
      <c r="AC1905" s="6">
        <f ca="1">Main[[#This Row],[تعداد روزهای بدهکار  تسویه نشده (روز)]]*Main[[#This Row],[مانده در خط تسویه نشده (کیلوگرم)]]</f>
        <v>0</v>
      </c>
      <c r="AD1905" s="6">
        <f ca="1">SUBTOTAL(9,INDEX(Main[بدهی سررسید شده (کیلوگرم)],1):Main[[#This Row],[بدهی سررسید شده (کیلوگرم)]])</f>
        <v>0</v>
      </c>
      <c r="AE1905" s="6">
        <f ca="1">IF(Main[[#This Row],[مانده در خط سررسید شده (کیلوگرم)]]&lt;&gt;0,Main[[#This Row],[تعداد کل روزهای بدهکار (روز)]],0)</f>
        <v>0</v>
      </c>
      <c r="AF1905" s="6">
        <f ca="1">Main[[#This Row],[تعداد روزهای بدهکار سررسید شده (روز)]]*Main[[#This Row],[مانده در خط سررسید شده (کیلوگرم)]]</f>
        <v>0</v>
      </c>
    </row>
    <row r="1906" spans="1:32" hidden="1" x14ac:dyDescent="0.35">
      <c r="A1906" s="5">
        <f>ROW()-ROW(INDEX(Main[ردیف],1))+1</f>
        <v>1904</v>
      </c>
      <c r="B1906" s="31">
        <f>SUBTOTAL(2,INDEX(Main[ردیف],1):Main[[#This Row],[ردیف]])</f>
        <v>169</v>
      </c>
      <c r="C1906" s="32" t="s">
        <v>735</v>
      </c>
      <c r="D1906" s="32" t="str">
        <f>_xlfn.CONCAT("14",Main[[#This Row],[تاريخ]])</f>
        <v>1400/07/28</v>
      </c>
      <c r="E1906" s="33">
        <v>44489</v>
      </c>
      <c r="F1906" s="32">
        <v>50011</v>
      </c>
      <c r="G1906" s="5" t="str">
        <f>INDEX(customer[عنوان],MATCH(Main[[#This Row],[کد ردیابی]],customer[کد],0))</f>
        <v xml:space="preserve">جعفر هوشمند </v>
      </c>
      <c r="H1906">
        <v>1022</v>
      </c>
      <c r="I1906" s="6">
        <f ca="1">-Main[[#This Row],[بدهی تسویه شده (کیلوگرم)]]+Main[[#This Row],[بستانکار (کیلوگرم)]]</f>
        <v>1022</v>
      </c>
      <c r="J1906" s="6">
        <f>IF(Main[[#This Row],[مقدار (کیلوگرم)]]&gt;0,Main[[#This Row],[مقدار (کیلوگرم)]],0)</f>
        <v>1022</v>
      </c>
      <c r="K1906" s="6">
        <f>-IF(Main[[#This Row],[مقدار (کیلوگرم)]]&lt;0,Main[[#This Row],[مقدار (کیلوگرم)]],0)</f>
        <v>0</v>
      </c>
      <c r="L19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6" s="7">
        <f>-IF(AND(Main[[#This Row],[مقدار (کیلوگرم)]]&lt;0,Main[[#This Row],[تاريخ میلادی]]&gt;44276),Main[[#This Row],[مقدار (کیلوگرم)]],0)</f>
        <v>0</v>
      </c>
      <c r="N1906" s="6">
        <f ca="1">Main[[#This Row],[بدهکار (کیلوگرم)]]-Main[[#This Row],[بدهی تسویه نشده (کیلوگرم)]]</f>
        <v>0</v>
      </c>
      <c r="O1906" s="6">
        <f ca="1">Main[[#This Row],[تفکیک]]</f>
        <v>0</v>
      </c>
      <c r="P1906" s="6">
        <f ca="1">IF(Main[[#This Row],[تاخیر از سررسید]]&gt;0,Main[[#This Row],[بدهی تسویه نشده (کیلوگرم)]],0)</f>
        <v>0</v>
      </c>
      <c r="Q1906" s="6">
        <f ca="1">IF(Main[[#This Row],[بدهی تسویه نشده (کیلوگرم)]]&gt;0,'گزارش فردی'!$B$7-Main[[#This Row],[تاريخ میلادی]],0)</f>
        <v>0</v>
      </c>
      <c r="R1906" s="6">
        <f ca="1">IF(Main[[#This Row],[بدهی تسویه نشده (کیلوگرم)]]&gt;0,'گزارش فردی'!$B$7-Main[[#This Row],[تاريخ میلادی]]-'گزارش فردی'!$B$8,0)</f>
        <v>0</v>
      </c>
      <c r="S1906" s="6">
        <f ca="1">Main[[#This Row],[روز از ارسال سفارش]]*Main[[#This Row],[بدهی تسویه نشده (کیلوگرم)]]</f>
        <v>0</v>
      </c>
      <c r="T1906" s="6">
        <f ca="1">Main[[#This Row],[بدهی سررسید شده (کیلوگرم)]]*Main[[#This Row],[روز از ارسال سفارش]]</f>
        <v>0</v>
      </c>
      <c r="U1906" s="6">
        <f>-SUBTOTAL(9,INDEX(Main[مقدار (کیلوگرم)],1):Main[[#This Row],[مقدار (کیلوگرم)]])</f>
        <v>31169</v>
      </c>
      <c r="V1906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6" s="6">
        <f>Main[[#This Row],[تعداد کل روزهای بدهکار (روز)]]*Main[[#This Row],[مانده در خط کل (کیلوگرم)]]</f>
        <v>155845</v>
      </c>
      <c r="X1906" s="6">
        <f ca="1">-SUBTOTAL(9,INDEX(Main[مقدار تسویه شده (کیلوگرم)],1):Main[[#This Row],[مقدار تسویه شده (کیلوگرم)]])</f>
        <v>31169</v>
      </c>
      <c r="Y1906" s="6">
        <f ca="1">IF(Main[[#This Row],[مانده در خط تسویه شده (کیلوگرم)]]&lt;&gt;0,Main[[#This Row],[تعداد کل روزهای بدهکار (روز)]],0)</f>
        <v>5</v>
      </c>
      <c r="Z1906" s="6">
        <f ca="1">Main[[#This Row],[تعداد روزهای بدهکار تسویه شده (روز)]]*Main[[#This Row],[مانده در خط تسویه شده (کیلوگرم)]]</f>
        <v>155845</v>
      </c>
      <c r="AA1906" s="6">
        <f ca="1">SUBTOTAL(9,INDEX(Main[بدهی تسویه نشده (کیلوگرم)],1):Main[[#This Row],[بدهی تسویه نشده (کیلوگرم)]])</f>
        <v>0</v>
      </c>
      <c r="AB1906" s="6">
        <f ca="1">IF(Main[[#This Row],[مانده در خط تسویه نشده (کیلوگرم)]]&lt;&gt;0,Main[[#This Row],[تعداد کل روزهای بدهکار (روز)]],0)</f>
        <v>0</v>
      </c>
      <c r="AC1906" s="6">
        <f ca="1">Main[[#This Row],[تعداد روزهای بدهکار  تسویه نشده (روز)]]*Main[[#This Row],[مانده در خط تسویه نشده (کیلوگرم)]]</f>
        <v>0</v>
      </c>
      <c r="AD1906" s="6">
        <f ca="1">SUBTOTAL(9,INDEX(Main[بدهی سررسید شده (کیلوگرم)],1):Main[[#This Row],[بدهی سررسید شده (کیلوگرم)]])</f>
        <v>0</v>
      </c>
      <c r="AE1906" s="6">
        <f ca="1">IF(Main[[#This Row],[مانده در خط سررسید شده (کیلوگرم)]]&lt;&gt;0,Main[[#This Row],[تعداد کل روزهای بدهکار (روز)]],0)</f>
        <v>0</v>
      </c>
      <c r="AF1906" s="6">
        <f ca="1">Main[[#This Row],[تعداد روزهای بدهکار سررسید شده (روز)]]*Main[[#This Row],[مانده در خط سررسید شده (کیلوگرم)]]</f>
        <v>0</v>
      </c>
    </row>
    <row r="1907" spans="1:32" hidden="1" x14ac:dyDescent="0.35">
      <c r="A1907" s="5">
        <f>ROW()-ROW(INDEX(Main[ردیف],1))+1</f>
        <v>1905</v>
      </c>
      <c r="B1907" s="31">
        <f>SUBTOTAL(2,INDEX(Main[ردیف],1):Main[[#This Row],[ردیف]])</f>
        <v>169</v>
      </c>
      <c r="C1907" s="32" t="s">
        <v>735</v>
      </c>
      <c r="D1907" s="32" t="str">
        <f>_xlfn.CONCAT("14",Main[[#This Row],[تاريخ]])</f>
        <v>1400/07/28</v>
      </c>
      <c r="E1907" s="33">
        <v>44489</v>
      </c>
      <c r="F1907" s="32">
        <v>30187</v>
      </c>
      <c r="G1907" s="5" t="str">
        <f>INDEX(customer[عنوان],MATCH(Main[[#This Row],[کد ردیابی]],customer[کد],0))</f>
        <v>شرکت جام جم</v>
      </c>
      <c r="H1907">
        <v>-2155</v>
      </c>
      <c r="I1907" s="6">
        <f ca="1">-Main[[#This Row],[بدهی تسویه شده (کیلوگرم)]]+Main[[#This Row],[بستانکار (کیلوگرم)]]</f>
        <v>-2155</v>
      </c>
      <c r="J1907" s="6">
        <f>IF(Main[[#This Row],[مقدار (کیلوگرم)]]&gt;0,Main[[#This Row],[مقدار (کیلوگرم)]],0)</f>
        <v>0</v>
      </c>
      <c r="K1907" s="6">
        <f>-IF(Main[[#This Row],[مقدار (کیلوگرم)]]&lt;0,Main[[#This Row],[مقدار (کیلوگرم)]],0)</f>
        <v>2155</v>
      </c>
      <c r="L19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7" s="7">
        <f>-IF(AND(Main[[#This Row],[مقدار (کیلوگرم)]]&lt;0,Main[[#This Row],[تاريخ میلادی]]&gt;44276),Main[[#This Row],[مقدار (کیلوگرم)]],0)</f>
        <v>2155</v>
      </c>
      <c r="N1907" s="6">
        <f ca="1">Main[[#This Row],[بدهکار (کیلوگرم)]]-Main[[#This Row],[بدهی تسویه نشده (کیلوگرم)]]</f>
        <v>2155</v>
      </c>
      <c r="O1907" s="6">
        <f ca="1">Main[[#This Row],[تفکیک]]</f>
        <v>0</v>
      </c>
      <c r="P1907" s="6">
        <f ca="1">IF(Main[[#This Row],[تاخیر از سررسید]]&gt;0,Main[[#This Row],[بدهی تسویه نشده (کیلوگرم)]],0)</f>
        <v>0</v>
      </c>
      <c r="Q1907" s="6">
        <f ca="1">IF(Main[[#This Row],[بدهی تسویه نشده (کیلوگرم)]]&gt;0,'گزارش فردی'!$B$7-Main[[#This Row],[تاريخ میلادی]],0)</f>
        <v>0</v>
      </c>
      <c r="R1907" s="6">
        <f ca="1">IF(Main[[#This Row],[بدهی تسویه نشده (کیلوگرم)]]&gt;0,'گزارش فردی'!$B$7-Main[[#This Row],[تاريخ میلادی]]-'گزارش فردی'!$B$8,0)</f>
        <v>0</v>
      </c>
      <c r="S1907" s="6">
        <f ca="1">Main[[#This Row],[روز از ارسال سفارش]]*Main[[#This Row],[بدهی تسویه نشده (کیلوگرم)]]</f>
        <v>0</v>
      </c>
      <c r="T1907" s="6">
        <f ca="1">Main[[#This Row],[بدهی سررسید شده (کیلوگرم)]]*Main[[#This Row],[روز از ارسال سفارش]]</f>
        <v>0</v>
      </c>
      <c r="U1907" s="6">
        <f>-SUBTOTAL(9,INDEX(Main[مقدار (کیلوگرم)],1):Main[[#This Row],[مقدار (کیلوگرم)]])</f>
        <v>31169</v>
      </c>
      <c r="V1907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7" s="6">
        <f>Main[[#This Row],[تعداد کل روزهای بدهکار (روز)]]*Main[[#This Row],[مانده در خط کل (کیلوگرم)]]</f>
        <v>155845</v>
      </c>
      <c r="X1907" s="6">
        <f ca="1">-SUBTOTAL(9,INDEX(Main[مقدار تسویه شده (کیلوگرم)],1):Main[[#This Row],[مقدار تسویه شده (کیلوگرم)]])</f>
        <v>31169</v>
      </c>
      <c r="Y1907" s="6">
        <f ca="1">IF(Main[[#This Row],[مانده در خط تسویه شده (کیلوگرم)]]&lt;&gt;0,Main[[#This Row],[تعداد کل روزهای بدهکار (روز)]],0)</f>
        <v>5</v>
      </c>
      <c r="Z1907" s="6">
        <f ca="1">Main[[#This Row],[تعداد روزهای بدهکار تسویه شده (روز)]]*Main[[#This Row],[مانده در خط تسویه شده (کیلوگرم)]]</f>
        <v>155845</v>
      </c>
      <c r="AA1907" s="6">
        <f ca="1">SUBTOTAL(9,INDEX(Main[بدهی تسویه نشده (کیلوگرم)],1):Main[[#This Row],[بدهی تسویه نشده (کیلوگرم)]])</f>
        <v>0</v>
      </c>
      <c r="AB1907" s="6">
        <f ca="1">IF(Main[[#This Row],[مانده در خط تسویه نشده (کیلوگرم)]]&lt;&gt;0,Main[[#This Row],[تعداد کل روزهای بدهکار (روز)]],0)</f>
        <v>0</v>
      </c>
      <c r="AC1907" s="6">
        <f ca="1">Main[[#This Row],[تعداد روزهای بدهکار  تسویه نشده (روز)]]*Main[[#This Row],[مانده در خط تسویه نشده (کیلوگرم)]]</f>
        <v>0</v>
      </c>
      <c r="AD1907" s="6">
        <f ca="1">SUBTOTAL(9,INDEX(Main[بدهی سررسید شده (کیلوگرم)],1):Main[[#This Row],[بدهی سررسید شده (کیلوگرم)]])</f>
        <v>0</v>
      </c>
      <c r="AE1907" s="6">
        <f ca="1">IF(Main[[#This Row],[مانده در خط سررسید شده (کیلوگرم)]]&lt;&gt;0,Main[[#This Row],[تعداد کل روزهای بدهکار (روز)]],0)</f>
        <v>0</v>
      </c>
      <c r="AF1907" s="6">
        <f ca="1">Main[[#This Row],[تعداد روزهای بدهکار سررسید شده (روز)]]*Main[[#This Row],[مانده در خط سررسید شده (کیلوگرم)]]</f>
        <v>0</v>
      </c>
    </row>
    <row r="1908" spans="1:32" hidden="1" x14ac:dyDescent="0.35">
      <c r="A1908" s="5">
        <f>ROW()-ROW(INDEX(Main[ردیف],1))+1</f>
        <v>1906</v>
      </c>
      <c r="B1908" s="31">
        <f>SUBTOTAL(2,INDEX(Main[ردیف],1):Main[[#This Row],[ردیف]])</f>
        <v>169</v>
      </c>
      <c r="C1908" s="32" t="s">
        <v>735</v>
      </c>
      <c r="D1908" s="32" t="str">
        <f>_xlfn.CONCAT("14",Main[[#This Row],[تاريخ]])</f>
        <v>1400/07/28</v>
      </c>
      <c r="E1908" s="33">
        <v>44489</v>
      </c>
      <c r="F1908" s="32">
        <v>10004</v>
      </c>
      <c r="G1908" s="5" t="str">
        <f>INDEX(customer[عنوان],MATCH(Main[[#This Row],[کد ردیابی]],customer[کد],0))</f>
        <v xml:space="preserve">محمد عباسی </v>
      </c>
      <c r="H1908">
        <v>1332</v>
      </c>
      <c r="I1908" s="6">
        <f ca="1">-Main[[#This Row],[بدهی تسویه شده (کیلوگرم)]]+Main[[#This Row],[بستانکار (کیلوگرم)]]</f>
        <v>1332</v>
      </c>
      <c r="J1908" s="6">
        <f>IF(Main[[#This Row],[مقدار (کیلوگرم)]]&gt;0,Main[[#This Row],[مقدار (کیلوگرم)]],0)</f>
        <v>1332</v>
      </c>
      <c r="K1908" s="6">
        <f>-IF(Main[[#This Row],[مقدار (کیلوگرم)]]&lt;0,Main[[#This Row],[مقدار (کیلوگرم)]],0)</f>
        <v>0</v>
      </c>
      <c r="L19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8" s="7">
        <f>-IF(AND(Main[[#This Row],[مقدار (کیلوگرم)]]&lt;0,Main[[#This Row],[تاريخ میلادی]]&gt;44276),Main[[#This Row],[مقدار (کیلوگرم)]],0)</f>
        <v>0</v>
      </c>
      <c r="N1908" s="6">
        <f ca="1">Main[[#This Row],[بدهکار (کیلوگرم)]]-Main[[#This Row],[بدهی تسویه نشده (کیلوگرم)]]</f>
        <v>0</v>
      </c>
      <c r="O1908" s="6">
        <f ca="1">Main[[#This Row],[تفکیک]]</f>
        <v>0</v>
      </c>
      <c r="P1908" s="6">
        <f ca="1">IF(Main[[#This Row],[تاخیر از سررسید]]&gt;0,Main[[#This Row],[بدهی تسویه نشده (کیلوگرم)]],0)</f>
        <v>0</v>
      </c>
      <c r="Q1908" s="6">
        <f ca="1">IF(Main[[#This Row],[بدهی تسویه نشده (کیلوگرم)]]&gt;0,'گزارش فردی'!$B$7-Main[[#This Row],[تاريخ میلادی]],0)</f>
        <v>0</v>
      </c>
      <c r="R1908" s="6">
        <f ca="1">IF(Main[[#This Row],[بدهی تسویه نشده (کیلوگرم)]]&gt;0,'گزارش فردی'!$B$7-Main[[#This Row],[تاريخ میلادی]]-'گزارش فردی'!$B$8,0)</f>
        <v>0</v>
      </c>
      <c r="S1908" s="6">
        <f ca="1">Main[[#This Row],[روز از ارسال سفارش]]*Main[[#This Row],[بدهی تسویه نشده (کیلوگرم)]]</f>
        <v>0</v>
      </c>
      <c r="T1908" s="6">
        <f ca="1">Main[[#This Row],[بدهی سررسید شده (کیلوگرم)]]*Main[[#This Row],[روز از ارسال سفارش]]</f>
        <v>0</v>
      </c>
      <c r="U1908" s="6">
        <f>-SUBTOTAL(9,INDEX(Main[مقدار (کیلوگرم)],1):Main[[#This Row],[مقدار (کیلوگرم)]])</f>
        <v>31169</v>
      </c>
      <c r="V1908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8" s="6">
        <f>Main[[#This Row],[تعداد کل روزهای بدهکار (روز)]]*Main[[#This Row],[مانده در خط کل (کیلوگرم)]]</f>
        <v>155845</v>
      </c>
      <c r="X1908" s="6">
        <f ca="1">-SUBTOTAL(9,INDEX(Main[مقدار تسویه شده (کیلوگرم)],1):Main[[#This Row],[مقدار تسویه شده (کیلوگرم)]])</f>
        <v>31169</v>
      </c>
      <c r="Y1908" s="6">
        <f ca="1">IF(Main[[#This Row],[مانده در خط تسویه شده (کیلوگرم)]]&lt;&gt;0,Main[[#This Row],[تعداد کل روزهای بدهکار (روز)]],0)</f>
        <v>5</v>
      </c>
      <c r="Z1908" s="6">
        <f ca="1">Main[[#This Row],[تعداد روزهای بدهکار تسویه شده (روز)]]*Main[[#This Row],[مانده در خط تسویه شده (کیلوگرم)]]</f>
        <v>155845</v>
      </c>
      <c r="AA1908" s="6">
        <f ca="1">SUBTOTAL(9,INDEX(Main[بدهی تسویه نشده (کیلوگرم)],1):Main[[#This Row],[بدهی تسویه نشده (کیلوگرم)]])</f>
        <v>0</v>
      </c>
      <c r="AB1908" s="6">
        <f ca="1">IF(Main[[#This Row],[مانده در خط تسویه نشده (کیلوگرم)]]&lt;&gt;0,Main[[#This Row],[تعداد کل روزهای بدهکار (روز)]],0)</f>
        <v>0</v>
      </c>
      <c r="AC1908" s="6">
        <f ca="1">Main[[#This Row],[تعداد روزهای بدهکار  تسویه نشده (روز)]]*Main[[#This Row],[مانده در خط تسویه نشده (کیلوگرم)]]</f>
        <v>0</v>
      </c>
      <c r="AD1908" s="6">
        <f ca="1">SUBTOTAL(9,INDEX(Main[بدهی سررسید شده (کیلوگرم)],1):Main[[#This Row],[بدهی سررسید شده (کیلوگرم)]])</f>
        <v>0</v>
      </c>
      <c r="AE1908" s="6">
        <f ca="1">IF(Main[[#This Row],[مانده در خط سررسید شده (کیلوگرم)]]&lt;&gt;0,Main[[#This Row],[تعداد کل روزهای بدهکار (روز)]],0)</f>
        <v>0</v>
      </c>
      <c r="AF1908" s="6">
        <f ca="1">Main[[#This Row],[تعداد روزهای بدهکار سررسید شده (روز)]]*Main[[#This Row],[مانده در خط سررسید شده (کیلوگرم)]]</f>
        <v>0</v>
      </c>
    </row>
    <row r="1909" spans="1:32" hidden="1" x14ac:dyDescent="0.35">
      <c r="A1909" s="5">
        <f>ROW()-ROW(INDEX(Main[ردیف],1))+1</f>
        <v>1907</v>
      </c>
      <c r="B1909" s="31">
        <f>SUBTOTAL(2,INDEX(Main[ردیف],1):Main[[#This Row],[ردیف]])</f>
        <v>169</v>
      </c>
      <c r="C1909" s="32" t="s">
        <v>735</v>
      </c>
      <c r="D1909" s="32" t="str">
        <f>_xlfn.CONCAT("14",Main[[#This Row],[تاريخ]])</f>
        <v>1400/07/28</v>
      </c>
      <c r="E1909" s="33">
        <v>44489</v>
      </c>
      <c r="F1909" s="32">
        <v>30191</v>
      </c>
      <c r="G1909" s="5" t="str">
        <f>INDEX(customer[عنوان],MATCH(Main[[#This Row],[کد ردیابی]],customer[کد],0))</f>
        <v>ایران گرما</v>
      </c>
      <c r="H1909">
        <v>-1006</v>
      </c>
      <c r="I1909" s="6">
        <f ca="1">-Main[[#This Row],[بدهی تسویه شده (کیلوگرم)]]+Main[[#This Row],[بستانکار (کیلوگرم)]]</f>
        <v>-1006</v>
      </c>
      <c r="J1909" s="6">
        <f>IF(Main[[#This Row],[مقدار (کیلوگرم)]]&gt;0,Main[[#This Row],[مقدار (کیلوگرم)]],0)</f>
        <v>0</v>
      </c>
      <c r="K1909" s="6">
        <f>-IF(Main[[#This Row],[مقدار (کیلوگرم)]]&lt;0,Main[[#This Row],[مقدار (کیلوگرم)]],0)</f>
        <v>1006</v>
      </c>
      <c r="L19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9" s="7">
        <f>-IF(AND(Main[[#This Row],[مقدار (کیلوگرم)]]&lt;0,Main[[#This Row],[تاريخ میلادی]]&gt;44276),Main[[#This Row],[مقدار (کیلوگرم)]],0)</f>
        <v>1006</v>
      </c>
      <c r="N1909" s="6">
        <f ca="1">Main[[#This Row],[بدهکار (کیلوگرم)]]-Main[[#This Row],[بدهی تسویه نشده (کیلوگرم)]]</f>
        <v>1006</v>
      </c>
      <c r="O1909" s="6">
        <f ca="1">Main[[#This Row],[تفکیک]]</f>
        <v>0</v>
      </c>
      <c r="P1909" s="6">
        <f ca="1">IF(Main[[#This Row],[تاخیر از سررسید]]&gt;0,Main[[#This Row],[بدهی تسویه نشده (کیلوگرم)]],0)</f>
        <v>0</v>
      </c>
      <c r="Q1909" s="6">
        <f ca="1">IF(Main[[#This Row],[بدهی تسویه نشده (کیلوگرم)]]&gt;0,'گزارش فردی'!$B$7-Main[[#This Row],[تاريخ میلادی]],0)</f>
        <v>0</v>
      </c>
      <c r="R1909" s="6">
        <f ca="1">IF(Main[[#This Row],[بدهی تسویه نشده (کیلوگرم)]]&gt;0,'گزارش فردی'!$B$7-Main[[#This Row],[تاريخ میلادی]]-'گزارش فردی'!$B$8,0)</f>
        <v>0</v>
      </c>
      <c r="S1909" s="6">
        <f ca="1">Main[[#This Row],[روز از ارسال سفارش]]*Main[[#This Row],[بدهی تسویه نشده (کیلوگرم)]]</f>
        <v>0</v>
      </c>
      <c r="T1909" s="6">
        <f ca="1">Main[[#This Row],[بدهی سررسید شده (کیلوگرم)]]*Main[[#This Row],[روز از ارسال سفارش]]</f>
        <v>0</v>
      </c>
      <c r="U1909" s="6">
        <f>-SUBTOTAL(9,INDEX(Main[مقدار (کیلوگرم)],1):Main[[#This Row],[مقدار (کیلوگرم)]])</f>
        <v>31169</v>
      </c>
      <c r="V1909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9" s="6">
        <f>Main[[#This Row],[تعداد کل روزهای بدهکار (روز)]]*Main[[#This Row],[مانده در خط کل (کیلوگرم)]]</f>
        <v>155845</v>
      </c>
      <c r="X1909" s="6">
        <f ca="1">-SUBTOTAL(9,INDEX(Main[مقدار تسویه شده (کیلوگرم)],1):Main[[#This Row],[مقدار تسویه شده (کیلوگرم)]])</f>
        <v>31169</v>
      </c>
      <c r="Y1909" s="6">
        <f ca="1">IF(Main[[#This Row],[مانده در خط تسویه شده (کیلوگرم)]]&lt;&gt;0,Main[[#This Row],[تعداد کل روزهای بدهکار (روز)]],0)</f>
        <v>5</v>
      </c>
      <c r="Z1909" s="6">
        <f ca="1">Main[[#This Row],[تعداد روزهای بدهکار تسویه شده (روز)]]*Main[[#This Row],[مانده در خط تسویه شده (کیلوگرم)]]</f>
        <v>155845</v>
      </c>
      <c r="AA1909" s="6">
        <f ca="1">SUBTOTAL(9,INDEX(Main[بدهی تسویه نشده (کیلوگرم)],1):Main[[#This Row],[بدهی تسویه نشده (کیلوگرم)]])</f>
        <v>0</v>
      </c>
      <c r="AB1909" s="6">
        <f ca="1">IF(Main[[#This Row],[مانده در خط تسویه نشده (کیلوگرم)]]&lt;&gt;0,Main[[#This Row],[تعداد کل روزهای بدهکار (روز)]],0)</f>
        <v>0</v>
      </c>
      <c r="AC1909" s="6">
        <f ca="1">Main[[#This Row],[تعداد روزهای بدهکار  تسویه نشده (روز)]]*Main[[#This Row],[مانده در خط تسویه نشده (کیلوگرم)]]</f>
        <v>0</v>
      </c>
      <c r="AD1909" s="6">
        <f ca="1">SUBTOTAL(9,INDEX(Main[بدهی سررسید شده (کیلوگرم)],1):Main[[#This Row],[بدهی سررسید شده (کیلوگرم)]])</f>
        <v>0</v>
      </c>
      <c r="AE1909" s="6">
        <f ca="1">IF(Main[[#This Row],[مانده در خط سررسید شده (کیلوگرم)]]&lt;&gt;0,Main[[#This Row],[تعداد کل روزهای بدهکار (روز)]],0)</f>
        <v>0</v>
      </c>
      <c r="AF1909" s="6">
        <f ca="1">Main[[#This Row],[تعداد روزهای بدهکار سررسید شده (روز)]]*Main[[#This Row],[مانده در خط سررسید شده (کیلوگرم)]]</f>
        <v>0</v>
      </c>
    </row>
    <row r="1910" spans="1:32" hidden="1" x14ac:dyDescent="0.35">
      <c r="A1910" s="5">
        <f>ROW()-ROW(INDEX(Main[ردیف],1))+1</f>
        <v>1908</v>
      </c>
      <c r="B1910" s="31">
        <f>SUBTOTAL(2,INDEX(Main[ردیف],1):Main[[#This Row],[ردیف]])</f>
        <v>169</v>
      </c>
      <c r="C1910" s="32" t="s">
        <v>735</v>
      </c>
      <c r="D1910" s="32" t="str">
        <f>_xlfn.CONCAT("14",Main[[#This Row],[تاريخ]])</f>
        <v>1400/07/28</v>
      </c>
      <c r="E1910" s="33">
        <v>44489</v>
      </c>
      <c r="F1910" s="32">
        <v>30004</v>
      </c>
      <c r="G1910" s="5" t="str">
        <f>INDEX(customer[عنوان],MATCH(Main[[#This Row],[کد ردیابی]],customer[کد],0))</f>
        <v>تولیدی صنعتی صفاشیر پارس</v>
      </c>
      <c r="H1910">
        <v>1086</v>
      </c>
      <c r="I1910" s="6">
        <f ca="1">-Main[[#This Row],[بدهی تسویه شده (کیلوگرم)]]+Main[[#This Row],[بستانکار (کیلوگرم)]]</f>
        <v>1086</v>
      </c>
      <c r="J1910" s="6">
        <f>IF(Main[[#This Row],[مقدار (کیلوگرم)]]&gt;0,Main[[#This Row],[مقدار (کیلوگرم)]],0)</f>
        <v>1086</v>
      </c>
      <c r="K1910" s="6">
        <f>-IF(Main[[#This Row],[مقدار (کیلوگرم)]]&lt;0,Main[[#This Row],[مقدار (کیلوگرم)]],0)</f>
        <v>0</v>
      </c>
      <c r="L19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0" s="7">
        <f>-IF(AND(Main[[#This Row],[مقدار (کیلوگرم)]]&lt;0,Main[[#This Row],[تاريخ میلادی]]&gt;44276),Main[[#This Row],[مقدار (کیلوگرم)]],0)</f>
        <v>0</v>
      </c>
      <c r="N1910" s="6">
        <f ca="1">Main[[#This Row],[بدهکار (کیلوگرم)]]-Main[[#This Row],[بدهی تسویه نشده (کیلوگرم)]]</f>
        <v>0</v>
      </c>
      <c r="O1910" s="6">
        <f ca="1">Main[[#This Row],[تفکیک]]</f>
        <v>0</v>
      </c>
      <c r="P1910" s="6">
        <f ca="1">IF(Main[[#This Row],[تاخیر از سررسید]]&gt;0,Main[[#This Row],[بدهی تسویه نشده (کیلوگرم)]],0)</f>
        <v>0</v>
      </c>
      <c r="Q1910" s="6">
        <f ca="1">IF(Main[[#This Row],[بدهی تسویه نشده (کیلوگرم)]]&gt;0,'گزارش فردی'!$B$7-Main[[#This Row],[تاريخ میلادی]],0)</f>
        <v>0</v>
      </c>
      <c r="R1910" s="6">
        <f ca="1">IF(Main[[#This Row],[بدهی تسویه نشده (کیلوگرم)]]&gt;0,'گزارش فردی'!$B$7-Main[[#This Row],[تاريخ میلادی]]-'گزارش فردی'!$B$8,0)</f>
        <v>0</v>
      </c>
      <c r="S1910" s="6">
        <f ca="1">Main[[#This Row],[روز از ارسال سفارش]]*Main[[#This Row],[بدهی تسویه نشده (کیلوگرم)]]</f>
        <v>0</v>
      </c>
      <c r="T1910" s="6">
        <f ca="1">Main[[#This Row],[بدهی سررسید شده (کیلوگرم)]]*Main[[#This Row],[روز از ارسال سفارش]]</f>
        <v>0</v>
      </c>
      <c r="U1910" s="6">
        <f>-SUBTOTAL(9,INDEX(Main[مقدار (کیلوگرم)],1):Main[[#This Row],[مقدار (کیلوگرم)]])</f>
        <v>31169</v>
      </c>
      <c r="V1910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0" s="6">
        <f>Main[[#This Row],[تعداد کل روزهای بدهکار (روز)]]*Main[[#This Row],[مانده در خط کل (کیلوگرم)]]</f>
        <v>155845</v>
      </c>
      <c r="X1910" s="6">
        <f ca="1">-SUBTOTAL(9,INDEX(Main[مقدار تسویه شده (کیلوگرم)],1):Main[[#This Row],[مقدار تسویه شده (کیلوگرم)]])</f>
        <v>31169</v>
      </c>
      <c r="Y1910" s="6">
        <f ca="1">IF(Main[[#This Row],[مانده در خط تسویه شده (کیلوگرم)]]&lt;&gt;0,Main[[#This Row],[تعداد کل روزهای بدهکار (روز)]],0)</f>
        <v>5</v>
      </c>
      <c r="Z1910" s="6">
        <f ca="1">Main[[#This Row],[تعداد روزهای بدهکار تسویه شده (روز)]]*Main[[#This Row],[مانده در خط تسویه شده (کیلوگرم)]]</f>
        <v>155845</v>
      </c>
      <c r="AA1910" s="6">
        <f ca="1">SUBTOTAL(9,INDEX(Main[بدهی تسویه نشده (کیلوگرم)],1):Main[[#This Row],[بدهی تسویه نشده (کیلوگرم)]])</f>
        <v>0</v>
      </c>
      <c r="AB1910" s="6">
        <f ca="1">IF(Main[[#This Row],[مانده در خط تسویه نشده (کیلوگرم)]]&lt;&gt;0,Main[[#This Row],[تعداد کل روزهای بدهکار (روز)]],0)</f>
        <v>0</v>
      </c>
      <c r="AC1910" s="6">
        <f ca="1">Main[[#This Row],[تعداد روزهای بدهکار  تسویه نشده (روز)]]*Main[[#This Row],[مانده در خط تسویه نشده (کیلوگرم)]]</f>
        <v>0</v>
      </c>
      <c r="AD1910" s="6">
        <f ca="1">SUBTOTAL(9,INDEX(Main[بدهی سررسید شده (کیلوگرم)],1):Main[[#This Row],[بدهی سررسید شده (کیلوگرم)]])</f>
        <v>0</v>
      </c>
      <c r="AE1910" s="6">
        <f ca="1">IF(Main[[#This Row],[مانده در خط سررسید شده (کیلوگرم)]]&lt;&gt;0,Main[[#This Row],[تعداد کل روزهای بدهکار (روز)]],0)</f>
        <v>0</v>
      </c>
      <c r="AF1910" s="6">
        <f ca="1">Main[[#This Row],[تعداد روزهای بدهکار سررسید شده (روز)]]*Main[[#This Row],[مانده در خط سررسید شده (کیلوگرم)]]</f>
        <v>0</v>
      </c>
    </row>
    <row r="1911" spans="1:32" hidden="1" x14ac:dyDescent="0.35">
      <c r="A1911" s="5">
        <f>ROW()-ROW(INDEX(Main[ردیف],1))+1</f>
        <v>1909</v>
      </c>
      <c r="B1911" s="31">
        <f>SUBTOTAL(2,INDEX(Main[ردیف],1):Main[[#This Row],[ردیف]])</f>
        <v>169</v>
      </c>
      <c r="C1911" s="32" t="s">
        <v>735</v>
      </c>
      <c r="D1911" s="32" t="str">
        <f>_xlfn.CONCAT("14",Main[[#This Row],[تاريخ]])</f>
        <v>1400/07/28</v>
      </c>
      <c r="E1911" s="33">
        <v>44489</v>
      </c>
      <c r="F1911" s="32">
        <v>50011</v>
      </c>
      <c r="G1911" s="5" t="str">
        <f>INDEX(customer[عنوان],MATCH(Main[[#This Row],[کد ردیابی]],customer[کد],0))</f>
        <v xml:space="preserve">جعفر هوشمند </v>
      </c>
      <c r="H1911">
        <v>-2066</v>
      </c>
      <c r="I1911" s="6">
        <f ca="1">-Main[[#This Row],[بدهی تسویه شده (کیلوگرم)]]+Main[[#This Row],[بستانکار (کیلوگرم)]]</f>
        <v>-2066</v>
      </c>
      <c r="J1911" s="6">
        <f>IF(Main[[#This Row],[مقدار (کیلوگرم)]]&gt;0,Main[[#This Row],[مقدار (کیلوگرم)]],0)</f>
        <v>0</v>
      </c>
      <c r="K1911" s="6">
        <f>-IF(Main[[#This Row],[مقدار (کیلوگرم)]]&lt;0,Main[[#This Row],[مقدار (کیلوگرم)]],0)</f>
        <v>2066</v>
      </c>
      <c r="L19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1" s="7">
        <f>-IF(AND(Main[[#This Row],[مقدار (کیلوگرم)]]&lt;0,Main[[#This Row],[تاريخ میلادی]]&gt;44276),Main[[#This Row],[مقدار (کیلوگرم)]],0)</f>
        <v>2066</v>
      </c>
      <c r="N1911" s="6">
        <f ca="1">Main[[#This Row],[بدهکار (کیلوگرم)]]-Main[[#This Row],[بدهی تسویه نشده (کیلوگرم)]]</f>
        <v>2066</v>
      </c>
      <c r="O1911" s="6">
        <f ca="1">Main[[#This Row],[تفکیک]]</f>
        <v>0</v>
      </c>
      <c r="P1911" s="6">
        <f ca="1">IF(Main[[#This Row],[تاخیر از سررسید]]&gt;0,Main[[#This Row],[بدهی تسویه نشده (کیلوگرم)]],0)</f>
        <v>0</v>
      </c>
      <c r="Q1911" s="6">
        <f ca="1">IF(Main[[#This Row],[بدهی تسویه نشده (کیلوگرم)]]&gt;0,'گزارش فردی'!$B$7-Main[[#This Row],[تاريخ میلادی]],0)</f>
        <v>0</v>
      </c>
      <c r="R1911" s="6">
        <f ca="1">IF(Main[[#This Row],[بدهی تسویه نشده (کیلوگرم)]]&gt;0,'گزارش فردی'!$B$7-Main[[#This Row],[تاريخ میلادی]]-'گزارش فردی'!$B$8,0)</f>
        <v>0</v>
      </c>
      <c r="S1911" s="6">
        <f ca="1">Main[[#This Row],[روز از ارسال سفارش]]*Main[[#This Row],[بدهی تسویه نشده (کیلوگرم)]]</f>
        <v>0</v>
      </c>
      <c r="T1911" s="6">
        <f ca="1">Main[[#This Row],[بدهی سررسید شده (کیلوگرم)]]*Main[[#This Row],[روز از ارسال سفارش]]</f>
        <v>0</v>
      </c>
      <c r="U1911" s="6">
        <f>-SUBTOTAL(9,INDEX(Main[مقدار (کیلوگرم)],1):Main[[#This Row],[مقدار (کیلوگرم)]])</f>
        <v>31169</v>
      </c>
      <c r="V1911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1" s="6">
        <f>Main[[#This Row],[تعداد کل روزهای بدهکار (روز)]]*Main[[#This Row],[مانده در خط کل (کیلوگرم)]]</f>
        <v>155845</v>
      </c>
      <c r="X1911" s="6">
        <f ca="1">-SUBTOTAL(9,INDEX(Main[مقدار تسویه شده (کیلوگرم)],1):Main[[#This Row],[مقدار تسویه شده (کیلوگرم)]])</f>
        <v>31169</v>
      </c>
      <c r="Y1911" s="6">
        <f ca="1">IF(Main[[#This Row],[مانده در خط تسویه شده (کیلوگرم)]]&lt;&gt;0,Main[[#This Row],[تعداد کل روزهای بدهکار (روز)]],0)</f>
        <v>5</v>
      </c>
      <c r="Z1911" s="6">
        <f ca="1">Main[[#This Row],[تعداد روزهای بدهکار تسویه شده (روز)]]*Main[[#This Row],[مانده در خط تسویه شده (کیلوگرم)]]</f>
        <v>155845</v>
      </c>
      <c r="AA1911" s="6">
        <f ca="1">SUBTOTAL(9,INDEX(Main[بدهی تسویه نشده (کیلوگرم)],1):Main[[#This Row],[بدهی تسویه نشده (کیلوگرم)]])</f>
        <v>0</v>
      </c>
      <c r="AB1911" s="6">
        <f ca="1">IF(Main[[#This Row],[مانده در خط تسویه نشده (کیلوگرم)]]&lt;&gt;0,Main[[#This Row],[تعداد کل روزهای بدهکار (روز)]],0)</f>
        <v>0</v>
      </c>
      <c r="AC1911" s="6">
        <f ca="1">Main[[#This Row],[تعداد روزهای بدهکار  تسویه نشده (روز)]]*Main[[#This Row],[مانده در خط تسویه نشده (کیلوگرم)]]</f>
        <v>0</v>
      </c>
      <c r="AD1911" s="6">
        <f ca="1">SUBTOTAL(9,INDEX(Main[بدهی سررسید شده (کیلوگرم)],1):Main[[#This Row],[بدهی سررسید شده (کیلوگرم)]])</f>
        <v>0</v>
      </c>
      <c r="AE1911" s="6">
        <f ca="1">IF(Main[[#This Row],[مانده در خط سررسید شده (کیلوگرم)]]&lt;&gt;0,Main[[#This Row],[تعداد کل روزهای بدهکار (روز)]],0)</f>
        <v>0</v>
      </c>
      <c r="AF1911" s="6">
        <f ca="1">Main[[#This Row],[تعداد روزهای بدهکار سررسید شده (روز)]]*Main[[#This Row],[مانده در خط سررسید شده (کیلوگرم)]]</f>
        <v>0</v>
      </c>
    </row>
    <row r="1912" spans="1:32" hidden="1" x14ac:dyDescent="0.35">
      <c r="A1912" s="5">
        <f>ROW()-ROW(INDEX(Main[ردیف],1))+1</f>
        <v>1910</v>
      </c>
      <c r="B1912" s="31">
        <f>SUBTOTAL(2,INDEX(Main[ردیف],1):Main[[#This Row],[ردیف]])</f>
        <v>169</v>
      </c>
      <c r="C1912" s="32" t="s">
        <v>735</v>
      </c>
      <c r="D1912" s="32" t="str">
        <f>_xlfn.CONCAT("14",Main[[#This Row],[تاريخ]])</f>
        <v>1400/07/28</v>
      </c>
      <c r="E1912" s="33">
        <v>44489</v>
      </c>
      <c r="F1912" s="32">
        <v>30017</v>
      </c>
      <c r="G1912" s="5" t="str">
        <f>INDEX(customer[عنوان],MATCH(Main[[#This Row],[کد ردیابی]],customer[کد],0))</f>
        <v xml:space="preserve">البرز یدک </v>
      </c>
      <c r="H1912">
        <v>810</v>
      </c>
      <c r="I1912" s="6">
        <f ca="1">-Main[[#This Row],[بدهی تسویه شده (کیلوگرم)]]+Main[[#This Row],[بستانکار (کیلوگرم)]]</f>
        <v>810</v>
      </c>
      <c r="J1912" s="6">
        <f>IF(Main[[#This Row],[مقدار (کیلوگرم)]]&gt;0,Main[[#This Row],[مقدار (کیلوگرم)]],0)</f>
        <v>810</v>
      </c>
      <c r="K1912" s="6">
        <f>-IF(Main[[#This Row],[مقدار (کیلوگرم)]]&lt;0,Main[[#This Row],[مقدار (کیلوگرم)]],0)</f>
        <v>0</v>
      </c>
      <c r="L19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2" s="7">
        <f>-IF(AND(Main[[#This Row],[مقدار (کیلوگرم)]]&lt;0,Main[[#This Row],[تاريخ میلادی]]&gt;44276),Main[[#This Row],[مقدار (کیلوگرم)]],0)</f>
        <v>0</v>
      </c>
      <c r="N1912" s="6">
        <f ca="1">Main[[#This Row],[بدهکار (کیلوگرم)]]-Main[[#This Row],[بدهی تسویه نشده (کیلوگرم)]]</f>
        <v>0</v>
      </c>
      <c r="O1912" s="6">
        <f ca="1">Main[[#This Row],[تفکیک]]</f>
        <v>0</v>
      </c>
      <c r="P1912" s="6">
        <f ca="1">IF(Main[[#This Row],[تاخیر از سررسید]]&gt;0,Main[[#This Row],[بدهی تسویه نشده (کیلوگرم)]],0)</f>
        <v>0</v>
      </c>
      <c r="Q1912" s="6">
        <f ca="1">IF(Main[[#This Row],[بدهی تسویه نشده (کیلوگرم)]]&gt;0,'گزارش فردی'!$B$7-Main[[#This Row],[تاريخ میلادی]],0)</f>
        <v>0</v>
      </c>
      <c r="R1912" s="6">
        <f ca="1">IF(Main[[#This Row],[بدهی تسویه نشده (کیلوگرم)]]&gt;0,'گزارش فردی'!$B$7-Main[[#This Row],[تاريخ میلادی]]-'گزارش فردی'!$B$8,0)</f>
        <v>0</v>
      </c>
      <c r="S1912" s="6">
        <f ca="1">Main[[#This Row],[روز از ارسال سفارش]]*Main[[#This Row],[بدهی تسویه نشده (کیلوگرم)]]</f>
        <v>0</v>
      </c>
      <c r="T1912" s="6">
        <f ca="1">Main[[#This Row],[بدهی سررسید شده (کیلوگرم)]]*Main[[#This Row],[روز از ارسال سفارش]]</f>
        <v>0</v>
      </c>
      <c r="U1912" s="6">
        <f>-SUBTOTAL(9,INDEX(Main[مقدار (کیلوگرم)],1):Main[[#This Row],[مقدار (کیلوگرم)]])</f>
        <v>31169</v>
      </c>
      <c r="V1912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2" s="6">
        <f>Main[[#This Row],[تعداد کل روزهای بدهکار (روز)]]*Main[[#This Row],[مانده در خط کل (کیلوگرم)]]</f>
        <v>155845</v>
      </c>
      <c r="X1912" s="6">
        <f ca="1">-SUBTOTAL(9,INDEX(Main[مقدار تسویه شده (کیلوگرم)],1):Main[[#This Row],[مقدار تسویه شده (کیلوگرم)]])</f>
        <v>31169</v>
      </c>
      <c r="Y1912" s="6">
        <f ca="1">IF(Main[[#This Row],[مانده در خط تسویه شده (کیلوگرم)]]&lt;&gt;0,Main[[#This Row],[تعداد کل روزهای بدهکار (روز)]],0)</f>
        <v>5</v>
      </c>
      <c r="Z1912" s="6">
        <f ca="1">Main[[#This Row],[تعداد روزهای بدهکار تسویه شده (روز)]]*Main[[#This Row],[مانده در خط تسویه شده (کیلوگرم)]]</f>
        <v>155845</v>
      </c>
      <c r="AA1912" s="6">
        <f ca="1">SUBTOTAL(9,INDEX(Main[بدهی تسویه نشده (کیلوگرم)],1):Main[[#This Row],[بدهی تسویه نشده (کیلوگرم)]])</f>
        <v>0</v>
      </c>
      <c r="AB1912" s="6">
        <f ca="1">IF(Main[[#This Row],[مانده در خط تسویه نشده (کیلوگرم)]]&lt;&gt;0,Main[[#This Row],[تعداد کل روزهای بدهکار (روز)]],0)</f>
        <v>0</v>
      </c>
      <c r="AC1912" s="6">
        <f ca="1">Main[[#This Row],[تعداد روزهای بدهکار  تسویه نشده (روز)]]*Main[[#This Row],[مانده در خط تسویه نشده (کیلوگرم)]]</f>
        <v>0</v>
      </c>
      <c r="AD1912" s="6">
        <f ca="1">SUBTOTAL(9,INDEX(Main[بدهی سررسید شده (کیلوگرم)],1):Main[[#This Row],[بدهی سررسید شده (کیلوگرم)]])</f>
        <v>0</v>
      </c>
      <c r="AE1912" s="6">
        <f ca="1">IF(Main[[#This Row],[مانده در خط سررسید شده (کیلوگرم)]]&lt;&gt;0,Main[[#This Row],[تعداد کل روزهای بدهکار (روز)]],0)</f>
        <v>0</v>
      </c>
      <c r="AF1912" s="6">
        <f ca="1">Main[[#This Row],[تعداد روزهای بدهکار سررسید شده (روز)]]*Main[[#This Row],[مانده در خط سررسید شده (کیلوگرم)]]</f>
        <v>0</v>
      </c>
    </row>
    <row r="1913" spans="1:32" hidden="1" x14ac:dyDescent="0.35">
      <c r="A1913" s="5">
        <f>ROW()-ROW(INDEX(Main[ردیف],1))+1</f>
        <v>1911</v>
      </c>
      <c r="B1913" s="31">
        <f>SUBTOTAL(2,INDEX(Main[ردیف],1):Main[[#This Row],[ردیف]])</f>
        <v>169</v>
      </c>
      <c r="C1913" s="32" t="s">
        <v>735</v>
      </c>
      <c r="D1913" s="32" t="str">
        <f>_xlfn.CONCAT("14",Main[[#This Row],[تاريخ]])</f>
        <v>1400/07/28</v>
      </c>
      <c r="E1913" s="33">
        <v>44489</v>
      </c>
      <c r="F1913" s="32">
        <v>10004</v>
      </c>
      <c r="G1913" s="5" t="str">
        <f>INDEX(customer[عنوان],MATCH(Main[[#This Row],[کد ردیابی]],customer[کد],0))</f>
        <v xml:space="preserve">محمد عباسی </v>
      </c>
      <c r="H1913">
        <v>-999</v>
      </c>
      <c r="I1913" s="6">
        <f ca="1">-Main[[#This Row],[بدهی تسویه شده (کیلوگرم)]]+Main[[#This Row],[بستانکار (کیلوگرم)]]</f>
        <v>-999</v>
      </c>
      <c r="J1913" s="6">
        <f>IF(Main[[#This Row],[مقدار (کیلوگرم)]]&gt;0,Main[[#This Row],[مقدار (کیلوگرم)]],0)</f>
        <v>0</v>
      </c>
      <c r="K1913" s="6">
        <f>-IF(Main[[#This Row],[مقدار (کیلوگرم)]]&lt;0,Main[[#This Row],[مقدار (کیلوگرم)]],0)</f>
        <v>999</v>
      </c>
      <c r="L19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3" s="7">
        <f>-IF(AND(Main[[#This Row],[مقدار (کیلوگرم)]]&lt;0,Main[[#This Row],[تاريخ میلادی]]&gt;44276),Main[[#This Row],[مقدار (کیلوگرم)]],0)</f>
        <v>999</v>
      </c>
      <c r="N1913" s="6">
        <f ca="1">Main[[#This Row],[بدهکار (کیلوگرم)]]-Main[[#This Row],[بدهی تسویه نشده (کیلوگرم)]]</f>
        <v>999</v>
      </c>
      <c r="O1913" s="6">
        <f ca="1">Main[[#This Row],[تفکیک]]</f>
        <v>0</v>
      </c>
      <c r="P1913" s="6">
        <f ca="1">IF(Main[[#This Row],[تاخیر از سررسید]]&gt;0,Main[[#This Row],[بدهی تسویه نشده (کیلوگرم)]],0)</f>
        <v>0</v>
      </c>
      <c r="Q1913" s="6">
        <f ca="1">IF(Main[[#This Row],[بدهی تسویه نشده (کیلوگرم)]]&gt;0,'گزارش فردی'!$B$7-Main[[#This Row],[تاريخ میلادی]],0)</f>
        <v>0</v>
      </c>
      <c r="R1913" s="6">
        <f ca="1">IF(Main[[#This Row],[بدهی تسویه نشده (کیلوگرم)]]&gt;0,'گزارش فردی'!$B$7-Main[[#This Row],[تاريخ میلادی]]-'گزارش فردی'!$B$8,0)</f>
        <v>0</v>
      </c>
      <c r="S1913" s="6">
        <f ca="1">Main[[#This Row],[روز از ارسال سفارش]]*Main[[#This Row],[بدهی تسویه نشده (کیلوگرم)]]</f>
        <v>0</v>
      </c>
      <c r="T1913" s="6">
        <f ca="1">Main[[#This Row],[بدهی سررسید شده (کیلوگرم)]]*Main[[#This Row],[روز از ارسال سفارش]]</f>
        <v>0</v>
      </c>
      <c r="U1913" s="6">
        <f>-SUBTOTAL(9,INDEX(Main[مقدار (کیلوگرم)],1):Main[[#This Row],[مقدار (کیلوگرم)]])</f>
        <v>31169</v>
      </c>
      <c r="V1913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3" s="6">
        <f>Main[[#This Row],[تعداد کل روزهای بدهکار (روز)]]*Main[[#This Row],[مانده در خط کل (کیلوگرم)]]</f>
        <v>155845</v>
      </c>
      <c r="X1913" s="6">
        <f ca="1">-SUBTOTAL(9,INDEX(Main[مقدار تسویه شده (کیلوگرم)],1):Main[[#This Row],[مقدار تسویه شده (کیلوگرم)]])</f>
        <v>31169</v>
      </c>
      <c r="Y1913" s="6">
        <f ca="1">IF(Main[[#This Row],[مانده در خط تسویه شده (کیلوگرم)]]&lt;&gt;0,Main[[#This Row],[تعداد کل روزهای بدهکار (روز)]],0)</f>
        <v>5</v>
      </c>
      <c r="Z1913" s="6">
        <f ca="1">Main[[#This Row],[تعداد روزهای بدهکار تسویه شده (روز)]]*Main[[#This Row],[مانده در خط تسویه شده (کیلوگرم)]]</f>
        <v>155845</v>
      </c>
      <c r="AA1913" s="6">
        <f ca="1">SUBTOTAL(9,INDEX(Main[بدهی تسویه نشده (کیلوگرم)],1):Main[[#This Row],[بدهی تسویه نشده (کیلوگرم)]])</f>
        <v>0</v>
      </c>
      <c r="AB1913" s="6">
        <f ca="1">IF(Main[[#This Row],[مانده در خط تسویه نشده (کیلوگرم)]]&lt;&gt;0,Main[[#This Row],[تعداد کل روزهای بدهکار (روز)]],0)</f>
        <v>0</v>
      </c>
      <c r="AC1913" s="6">
        <f ca="1">Main[[#This Row],[تعداد روزهای بدهکار  تسویه نشده (روز)]]*Main[[#This Row],[مانده در خط تسویه نشده (کیلوگرم)]]</f>
        <v>0</v>
      </c>
      <c r="AD1913" s="6">
        <f ca="1">SUBTOTAL(9,INDEX(Main[بدهی سررسید شده (کیلوگرم)],1):Main[[#This Row],[بدهی سررسید شده (کیلوگرم)]])</f>
        <v>0</v>
      </c>
      <c r="AE1913" s="6">
        <f ca="1">IF(Main[[#This Row],[مانده در خط سررسید شده (کیلوگرم)]]&lt;&gt;0,Main[[#This Row],[تعداد کل روزهای بدهکار (روز)]],0)</f>
        <v>0</v>
      </c>
      <c r="AF1913" s="6">
        <f ca="1">Main[[#This Row],[تعداد روزهای بدهکار سررسید شده (روز)]]*Main[[#This Row],[مانده در خط سررسید شده (کیلوگرم)]]</f>
        <v>0</v>
      </c>
    </row>
    <row r="1914" spans="1:32" hidden="1" x14ac:dyDescent="0.35">
      <c r="A1914" s="5">
        <f>ROW()-ROW(INDEX(Main[ردیف],1))+1</f>
        <v>1912</v>
      </c>
      <c r="B1914" s="31">
        <f>SUBTOTAL(2,INDEX(Main[ردیف],1):Main[[#This Row],[ردیف]])</f>
        <v>169</v>
      </c>
      <c r="C1914" s="32" t="s">
        <v>735</v>
      </c>
      <c r="D1914" s="32" t="str">
        <f>_xlfn.CONCAT("14",Main[[#This Row],[تاريخ]])</f>
        <v>1400/07/28</v>
      </c>
      <c r="E1914" s="33">
        <v>44489</v>
      </c>
      <c r="F1914" s="32">
        <v>30017</v>
      </c>
      <c r="G1914" s="5" t="str">
        <f>INDEX(customer[عنوان],MATCH(Main[[#This Row],[کد ردیابی]],customer[کد],0))</f>
        <v xml:space="preserve">البرز یدک </v>
      </c>
      <c r="H1914">
        <v>1585</v>
      </c>
      <c r="I1914" s="6">
        <f ca="1">-Main[[#This Row],[بدهی تسویه شده (کیلوگرم)]]+Main[[#This Row],[بستانکار (کیلوگرم)]]</f>
        <v>1585</v>
      </c>
      <c r="J1914" s="6">
        <f>IF(Main[[#This Row],[مقدار (کیلوگرم)]]&gt;0,Main[[#This Row],[مقدار (کیلوگرم)]],0)</f>
        <v>1585</v>
      </c>
      <c r="K1914" s="6">
        <f>-IF(Main[[#This Row],[مقدار (کیلوگرم)]]&lt;0,Main[[#This Row],[مقدار (کیلوگرم)]],0)</f>
        <v>0</v>
      </c>
      <c r="L19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4" s="7">
        <f>-IF(AND(Main[[#This Row],[مقدار (کیلوگرم)]]&lt;0,Main[[#This Row],[تاريخ میلادی]]&gt;44276),Main[[#This Row],[مقدار (کیلوگرم)]],0)</f>
        <v>0</v>
      </c>
      <c r="N1914" s="6">
        <f ca="1">Main[[#This Row],[بدهکار (کیلوگرم)]]-Main[[#This Row],[بدهی تسویه نشده (کیلوگرم)]]</f>
        <v>0</v>
      </c>
      <c r="O1914" s="6">
        <f ca="1">Main[[#This Row],[تفکیک]]</f>
        <v>0</v>
      </c>
      <c r="P1914" s="6">
        <f ca="1">IF(Main[[#This Row],[تاخیر از سررسید]]&gt;0,Main[[#This Row],[بدهی تسویه نشده (کیلوگرم)]],0)</f>
        <v>0</v>
      </c>
      <c r="Q1914" s="6">
        <f ca="1">IF(Main[[#This Row],[بدهی تسویه نشده (کیلوگرم)]]&gt;0,'گزارش فردی'!$B$7-Main[[#This Row],[تاريخ میلادی]],0)</f>
        <v>0</v>
      </c>
      <c r="R1914" s="6">
        <f ca="1">IF(Main[[#This Row],[بدهی تسویه نشده (کیلوگرم)]]&gt;0,'گزارش فردی'!$B$7-Main[[#This Row],[تاريخ میلادی]]-'گزارش فردی'!$B$8,0)</f>
        <v>0</v>
      </c>
      <c r="S1914" s="6">
        <f ca="1">Main[[#This Row],[روز از ارسال سفارش]]*Main[[#This Row],[بدهی تسویه نشده (کیلوگرم)]]</f>
        <v>0</v>
      </c>
      <c r="T1914" s="6">
        <f ca="1">Main[[#This Row],[بدهی سررسید شده (کیلوگرم)]]*Main[[#This Row],[روز از ارسال سفارش]]</f>
        <v>0</v>
      </c>
      <c r="U1914" s="6">
        <f>-SUBTOTAL(9,INDEX(Main[مقدار (کیلوگرم)],1):Main[[#This Row],[مقدار (کیلوگرم)]])</f>
        <v>31169</v>
      </c>
      <c r="V1914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4" s="6">
        <f>Main[[#This Row],[تعداد کل روزهای بدهکار (روز)]]*Main[[#This Row],[مانده در خط کل (کیلوگرم)]]</f>
        <v>155845</v>
      </c>
      <c r="X1914" s="6">
        <f ca="1">-SUBTOTAL(9,INDEX(Main[مقدار تسویه شده (کیلوگرم)],1):Main[[#This Row],[مقدار تسویه شده (کیلوگرم)]])</f>
        <v>31169</v>
      </c>
      <c r="Y1914" s="6">
        <f ca="1">IF(Main[[#This Row],[مانده در خط تسویه شده (کیلوگرم)]]&lt;&gt;0,Main[[#This Row],[تعداد کل روزهای بدهکار (روز)]],0)</f>
        <v>5</v>
      </c>
      <c r="Z1914" s="6">
        <f ca="1">Main[[#This Row],[تعداد روزهای بدهکار تسویه شده (روز)]]*Main[[#This Row],[مانده در خط تسویه شده (کیلوگرم)]]</f>
        <v>155845</v>
      </c>
      <c r="AA1914" s="6">
        <f ca="1">SUBTOTAL(9,INDEX(Main[بدهی تسویه نشده (کیلوگرم)],1):Main[[#This Row],[بدهی تسویه نشده (کیلوگرم)]])</f>
        <v>0</v>
      </c>
      <c r="AB1914" s="6">
        <f ca="1">IF(Main[[#This Row],[مانده در خط تسویه نشده (کیلوگرم)]]&lt;&gt;0,Main[[#This Row],[تعداد کل روزهای بدهکار (روز)]],0)</f>
        <v>0</v>
      </c>
      <c r="AC1914" s="6">
        <f ca="1">Main[[#This Row],[تعداد روزهای بدهکار  تسویه نشده (روز)]]*Main[[#This Row],[مانده در خط تسویه نشده (کیلوگرم)]]</f>
        <v>0</v>
      </c>
      <c r="AD1914" s="6">
        <f ca="1">SUBTOTAL(9,INDEX(Main[بدهی سررسید شده (کیلوگرم)],1):Main[[#This Row],[بدهی سررسید شده (کیلوگرم)]])</f>
        <v>0</v>
      </c>
      <c r="AE1914" s="6">
        <f ca="1">IF(Main[[#This Row],[مانده در خط سررسید شده (کیلوگرم)]]&lt;&gt;0,Main[[#This Row],[تعداد کل روزهای بدهکار (روز)]],0)</f>
        <v>0</v>
      </c>
      <c r="AF1914" s="6">
        <f ca="1">Main[[#This Row],[تعداد روزهای بدهکار سررسید شده (روز)]]*Main[[#This Row],[مانده در خط سررسید شده (کیلوگرم)]]</f>
        <v>0</v>
      </c>
    </row>
    <row r="1915" spans="1:32" hidden="1" x14ac:dyDescent="0.35">
      <c r="A1915" s="5">
        <f>ROW()-ROW(INDEX(Main[ردیف],1))+1</f>
        <v>1913</v>
      </c>
      <c r="B1915" s="31">
        <f>SUBTOTAL(2,INDEX(Main[ردیف],1):Main[[#This Row],[ردیف]])</f>
        <v>169</v>
      </c>
      <c r="C1915" s="32" t="s">
        <v>735</v>
      </c>
      <c r="D1915" s="32" t="str">
        <f>_xlfn.CONCAT("14",Main[[#This Row],[تاريخ]])</f>
        <v>1400/07/28</v>
      </c>
      <c r="E1915" s="33">
        <v>44489</v>
      </c>
      <c r="F1915" s="32">
        <v>10026</v>
      </c>
      <c r="G1915" s="5" t="str">
        <f>INDEX(customer[عنوان],MATCH(Main[[#This Row],[کد ردیابی]],customer[کد],0))</f>
        <v xml:space="preserve">محسن فیاض بخش </v>
      </c>
      <c r="H1915">
        <v>-100</v>
      </c>
      <c r="I1915" s="6">
        <f ca="1">-Main[[#This Row],[بدهی تسویه شده (کیلوگرم)]]+Main[[#This Row],[بستانکار (کیلوگرم)]]</f>
        <v>-100</v>
      </c>
      <c r="J1915" s="6">
        <f>IF(Main[[#This Row],[مقدار (کیلوگرم)]]&gt;0,Main[[#This Row],[مقدار (کیلوگرم)]],0)</f>
        <v>0</v>
      </c>
      <c r="K1915" s="6">
        <f>-IF(Main[[#This Row],[مقدار (کیلوگرم)]]&lt;0,Main[[#This Row],[مقدار (کیلوگرم)]],0)</f>
        <v>100</v>
      </c>
      <c r="L19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5" s="7">
        <f>-IF(AND(Main[[#This Row],[مقدار (کیلوگرم)]]&lt;0,Main[[#This Row],[تاريخ میلادی]]&gt;44276),Main[[#This Row],[مقدار (کیلوگرم)]],0)</f>
        <v>100</v>
      </c>
      <c r="N1915" s="6">
        <f ca="1">Main[[#This Row],[بدهکار (کیلوگرم)]]-Main[[#This Row],[بدهی تسویه نشده (کیلوگرم)]]</f>
        <v>100</v>
      </c>
      <c r="O1915" s="6">
        <f ca="1">Main[[#This Row],[تفکیک]]</f>
        <v>0</v>
      </c>
      <c r="P1915" s="6">
        <f ca="1">IF(Main[[#This Row],[تاخیر از سررسید]]&gt;0,Main[[#This Row],[بدهی تسویه نشده (کیلوگرم)]],0)</f>
        <v>0</v>
      </c>
      <c r="Q1915" s="6">
        <f ca="1">IF(Main[[#This Row],[بدهی تسویه نشده (کیلوگرم)]]&gt;0,'گزارش فردی'!$B$7-Main[[#This Row],[تاريخ میلادی]],0)</f>
        <v>0</v>
      </c>
      <c r="R1915" s="6">
        <f ca="1">IF(Main[[#This Row],[بدهی تسویه نشده (کیلوگرم)]]&gt;0,'گزارش فردی'!$B$7-Main[[#This Row],[تاريخ میلادی]]-'گزارش فردی'!$B$8,0)</f>
        <v>0</v>
      </c>
      <c r="S1915" s="6">
        <f ca="1">Main[[#This Row],[روز از ارسال سفارش]]*Main[[#This Row],[بدهی تسویه نشده (کیلوگرم)]]</f>
        <v>0</v>
      </c>
      <c r="T1915" s="6">
        <f ca="1">Main[[#This Row],[بدهی سررسید شده (کیلوگرم)]]*Main[[#This Row],[روز از ارسال سفارش]]</f>
        <v>0</v>
      </c>
      <c r="U1915" s="6">
        <f>-SUBTOTAL(9,INDEX(Main[مقدار (کیلوگرم)],1):Main[[#This Row],[مقدار (کیلوگرم)]])</f>
        <v>31169</v>
      </c>
      <c r="V1915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5" s="6">
        <f>Main[[#This Row],[تعداد کل روزهای بدهکار (روز)]]*Main[[#This Row],[مانده در خط کل (کیلوگرم)]]</f>
        <v>155845</v>
      </c>
      <c r="X1915" s="6">
        <f ca="1">-SUBTOTAL(9,INDEX(Main[مقدار تسویه شده (کیلوگرم)],1):Main[[#This Row],[مقدار تسویه شده (کیلوگرم)]])</f>
        <v>31169</v>
      </c>
      <c r="Y1915" s="6">
        <f ca="1">IF(Main[[#This Row],[مانده در خط تسویه شده (کیلوگرم)]]&lt;&gt;0,Main[[#This Row],[تعداد کل روزهای بدهکار (روز)]],0)</f>
        <v>5</v>
      </c>
      <c r="Z1915" s="6">
        <f ca="1">Main[[#This Row],[تعداد روزهای بدهکار تسویه شده (روز)]]*Main[[#This Row],[مانده در خط تسویه شده (کیلوگرم)]]</f>
        <v>155845</v>
      </c>
      <c r="AA1915" s="6">
        <f ca="1">SUBTOTAL(9,INDEX(Main[بدهی تسویه نشده (کیلوگرم)],1):Main[[#This Row],[بدهی تسویه نشده (کیلوگرم)]])</f>
        <v>0</v>
      </c>
      <c r="AB1915" s="6">
        <f ca="1">IF(Main[[#This Row],[مانده در خط تسویه نشده (کیلوگرم)]]&lt;&gt;0,Main[[#This Row],[تعداد کل روزهای بدهکار (روز)]],0)</f>
        <v>0</v>
      </c>
      <c r="AC1915" s="6">
        <f ca="1">Main[[#This Row],[تعداد روزهای بدهکار  تسویه نشده (روز)]]*Main[[#This Row],[مانده در خط تسویه نشده (کیلوگرم)]]</f>
        <v>0</v>
      </c>
      <c r="AD1915" s="6">
        <f ca="1">SUBTOTAL(9,INDEX(Main[بدهی سررسید شده (کیلوگرم)],1):Main[[#This Row],[بدهی سررسید شده (کیلوگرم)]])</f>
        <v>0</v>
      </c>
      <c r="AE1915" s="6">
        <f ca="1">IF(Main[[#This Row],[مانده در خط سررسید شده (کیلوگرم)]]&lt;&gt;0,Main[[#This Row],[تعداد کل روزهای بدهکار (روز)]],0)</f>
        <v>0</v>
      </c>
      <c r="AF1915" s="6">
        <f ca="1">Main[[#This Row],[تعداد روزهای بدهکار سررسید شده (روز)]]*Main[[#This Row],[مانده در خط سررسید شده (کیلوگرم)]]</f>
        <v>0</v>
      </c>
    </row>
    <row r="1916" spans="1:32" hidden="1" x14ac:dyDescent="0.35">
      <c r="A1916" s="5">
        <f>ROW()-ROW(INDEX(Main[ردیف],1))+1</f>
        <v>1914</v>
      </c>
      <c r="B1916" s="31">
        <f>SUBTOTAL(2,INDEX(Main[ردیف],1):Main[[#This Row],[ردیف]])</f>
        <v>169</v>
      </c>
      <c r="C1916" s="32" t="s">
        <v>735</v>
      </c>
      <c r="D1916" s="32" t="str">
        <f>_xlfn.CONCAT("14",Main[[#This Row],[تاريخ]])</f>
        <v>1400/07/28</v>
      </c>
      <c r="E1916" s="33">
        <v>44489</v>
      </c>
      <c r="F1916" s="32">
        <v>30187</v>
      </c>
      <c r="G1916" s="5" t="str">
        <f>INDEX(customer[عنوان],MATCH(Main[[#This Row],[کد ردیابی]],customer[کد],0))</f>
        <v>شرکت جام جم</v>
      </c>
      <c r="H1916">
        <v>330</v>
      </c>
      <c r="I1916" s="6">
        <f ca="1">-Main[[#This Row],[بدهی تسویه شده (کیلوگرم)]]+Main[[#This Row],[بستانکار (کیلوگرم)]]</f>
        <v>330</v>
      </c>
      <c r="J1916" s="6">
        <f>IF(Main[[#This Row],[مقدار (کیلوگرم)]]&gt;0,Main[[#This Row],[مقدار (کیلوگرم)]],0)</f>
        <v>330</v>
      </c>
      <c r="K1916" s="6">
        <f>-IF(Main[[#This Row],[مقدار (کیلوگرم)]]&lt;0,Main[[#This Row],[مقدار (کیلوگرم)]],0)</f>
        <v>0</v>
      </c>
      <c r="L19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6" s="7">
        <f>-IF(AND(Main[[#This Row],[مقدار (کیلوگرم)]]&lt;0,Main[[#This Row],[تاريخ میلادی]]&gt;44276),Main[[#This Row],[مقدار (کیلوگرم)]],0)</f>
        <v>0</v>
      </c>
      <c r="N1916" s="6">
        <f ca="1">Main[[#This Row],[بدهکار (کیلوگرم)]]-Main[[#This Row],[بدهی تسویه نشده (کیلوگرم)]]</f>
        <v>0</v>
      </c>
      <c r="O1916" s="6">
        <f ca="1">Main[[#This Row],[تفکیک]]</f>
        <v>0</v>
      </c>
      <c r="P1916" s="6">
        <f ca="1">IF(Main[[#This Row],[تاخیر از سررسید]]&gt;0,Main[[#This Row],[بدهی تسویه نشده (کیلوگرم)]],0)</f>
        <v>0</v>
      </c>
      <c r="Q1916" s="6">
        <f ca="1">IF(Main[[#This Row],[بدهی تسویه نشده (کیلوگرم)]]&gt;0,'گزارش فردی'!$B$7-Main[[#This Row],[تاريخ میلادی]],0)</f>
        <v>0</v>
      </c>
      <c r="R1916" s="6">
        <f ca="1">IF(Main[[#This Row],[بدهی تسویه نشده (کیلوگرم)]]&gt;0,'گزارش فردی'!$B$7-Main[[#This Row],[تاريخ میلادی]]-'گزارش فردی'!$B$8,0)</f>
        <v>0</v>
      </c>
      <c r="S1916" s="6">
        <f ca="1">Main[[#This Row],[روز از ارسال سفارش]]*Main[[#This Row],[بدهی تسویه نشده (کیلوگرم)]]</f>
        <v>0</v>
      </c>
      <c r="T1916" s="6">
        <f ca="1">Main[[#This Row],[بدهی سررسید شده (کیلوگرم)]]*Main[[#This Row],[روز از ارسال سفارش]]</f>
        <v>0</v>
      </c>
      <c r="U1916" s="6">
        <f>-SUBTOTAL(9,INDEX(Main[مقدار (کیلوگرم)],1):Main[[#This Row],[مقدار (کیلوگرم)]])</f>
        <v>31169</v>
      </c>
      <c r="V1916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6" s="6">
        <f>Main[[#This Row],[تعداد کل روزهای بدهکار (روز)]]*Main[[#This Row],[مانده در خط کل (کیلوگرم)]]</f>
        <v>155845</v>
      </c>
      <c r="X1916" s="6">
        <f ca="1">-SUBTOTAL(9,INDEX(Main[مقدار تسویه شده (کیلوگرم)],1):Main[[#This Row],[مقدار تسویه شده (کیلوگرم)]])</f>
        <v>31169</v>
      </c>
      <c r="Y1916" s="6">
        <f ca="1">IF(Main[[#This Row],[مانده در خط تسویه شده (کیلوگرم)]]&lt;&gt;0,Main[[#This Row],[تعداد کل روزهای بدهکار (روز)]],0)</f>
        <v>5</v>
      </c>
      <c r="Z1916" s="6">
        <f ca="1">Main[[#This Row],[تعداد روزهای بدهکار تسویه شده (روز)]]*Main[[#This Row],[مانده در خط تسویه شده (کیلوگرم)]]</f>
        <v>155845</v>
      </c>
      <c r="AA1916" s="6">
        <f ca="1">SUBTOTAL(9,INDEX(Main[بدهی تسویه نشده (کیلوگرم)],1):Main[[#This Row],[بدهی تسویه نشده (کیلوگرم)]])</f>
        <v>0</v>
      </c>
      <c r="AB1916" s="6">
        <f ca="1">IF(Main[[#This Row],[مانده در خط تسویه نشده (کیلوگرم)]]&lt;&gt;0,Main[[#This Row],[تعداد کل روزهای بدهکار (روز)]],0)</f>
        <v>0</v>
      </c>
      <c r="AC1916" s="6">
        <f ca="1">Main[[#This Row],[تعداد روزهای بدهکار  تسویه نشده (روز)]]*Main[[#This Row],[مانده در خط تسویه نشده (کیلوگرم)]]</f>
        <v>0</v>
      </c>
      <c r="AD1916" s="6">
        <f ca="1">SUBTOTAL(9,INDEX(Main[بدهی سررسید شده (کیلوگرم)],1):Main[[#This Row],[بدهی سررسید شده (کیلوگرم)]])</f>
        <v>0</v>
      </c>
      <c r="AE1916" s="6">
        <f ca="1">IF(Main[[#This Row],[مانده در خط سررسید شده (کیلوگرم)]]&lt;&gt;0,Main[[#This Row],[تعداد کل روزهای بدهکار (روز)]],0)</f>
        <v>0</v>
      </c>
      <c r="AF1916" s="6">
        <f ca="1">Main[[#This Row],[تعداد روزهای بدهکار سررسید شده (روز)]]*Main[[#This Row],[مانده در خط سررسید شده (کیلوگرم)]]</f>
        <v>0</v>
      </c>
    </row>
    <row r="1917" spans="1:32" hidden="1" x14ac:dyDescent="0.35">
      <c r="A1917" s="5">
        <f>ROW()-ROW(INDEX(Main[ردیف],1))+1</f>
        <v>1915</v>
      </c>
      <c r="B1917" s="31">
        <f>SUBTOTAL(2,INDEX(Main[ردیف],1):Main[[#This Row],[ردیف]])</f>
        <v>169</v>
      </c>
      <c r="C1917" s="32" t="s">
        <v>735</v>
      </c>
      <c r="D1917" s="32" t="str">
        <f>_xlfn.CONCAT("14",Main[[#This Row],[تاريخ]])</f>
        <v>1400/07/28</v>
      </c>
      <c r="E1917" s="33">
        <v>44489</v>
      </c>
      <c r="F1917" s="32">
        <v>30017</v>
      </c>
      <c r="G1917" s="5" t="str">
        <f>INDEX(customer[عنوان],MATCH(Main[[#This Row],[کد ردیابی]],customer[کد],0))</f>
        <v xml:space="preserve">البرز یدک </v>
      </c>
      <c r="H1917">
        <v>-765</v>
      </c>
      <c r="I1917" s="6">
        <f ca="1">-Main[[#This Row],[بدهی تسویه شده (کیلوگرم)]]+Main[[#This Row],[بستانکار (کیلوگرم)]]</f>
        <v>-765</v>
      </c>
      <c r="J1917" s="6">
        <f>IF(Main[[#This Row],[مقدار (کیلوگرم)]]&gt;0,Main[[#This Row],[مقدار (کیلوگرم)]],0)</f>
        <v>0</v>
      </c>
      <c r="K1917" s="6">
        <f>-IF(Main[[#This Row],[مقدار (کیلوگرم)]]&lt;0,Main[[#This Row],[مقدار (کیلوگرم)]],0)</f>
        <v>765</v>
      </c>
      <c r="L19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7" s="7">
        <f>-IF(AND(Main[[#This Row],[مقدار (کیلوگرم)]]&lt;0,Main[[#This Row],[تاريخ میلادی]]&gt;44276),Main[[#This Row],[مقدار (کیلوگرم)]],0)</f>
        <v>765</v>
      </c>
      <c r="N1917" s="6">
        <f ca="1">Main[[#This Row],[بدهکار (کیلوگرم)]]-Main[[#This Row],[بدهی تسویه نشده (کیلوگرم)]]</f>
        <v>765</v>
      </c>
      <c r="O1917" s="6">
        <f ca="1">Main[[#This Row],[تفکیک]]</f>
        <v>0</v>
      </c>
      <c r="P1917" s="6">
        <f ca="1">IF(Main[[#This Row],[تاخیر از سررسید]]&gt;0,Main[[#This Row],[بدهی تسویه نشده (کیلوگرم)]],0)</f>
        <v>0</v>
      </c>
      <c r="Q1917" s="6">
        <f ca="1">IF(Main[[#This Row],[بدهی تسویه نشده (کیلوگرم)]]&gt;0,'گزارش فردی'!$B$7-Main[[#This Row],[تاريخ میلادی]],0)</f>
        <v>0</v>
      </c>
      <c r="R1917" s="6">
        <f ca="1">IF(Main[[#This Row],[بدهی تسویه نشده (کیلوگرم)]]&gt;0,'گزارش فردی'!$B$7-Main[[#This Row],[تاريخ میلادی]]-'گزارش فردی'!$B$8,0)</f>
        <v>0</v>
      </c>
      <c r="S1917" s="6">
        <f ca="1">Main[[#This Row],[روز از ارسال سفارش]]*Main[[#This Row],[بدهی تسویه نشده (کیلوگرم)]]</f>
        <v>0</v>
      </c>
      <c r="T1917" s="6">
        <f ca="1">Main[[#This Row],[بدهی سررسید شده (کیلوگرم)]]*Main[[#This Row],[روز از ارسال سفارش]]</f>
        <v>0</v>
      </c>
      <c r="U1917" s="6">
        <f>-SUBTOTAL(9,INDEX(Main[مقدار (کیلوگرم)],1):Main[[#This Row],[مقدار (کیلوگرم)]])</f>
        <v>31169</v>
      </c>
      <c r="V1917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7" s="6">
        <f>Main[[#This Row],[تعداد کل روزهای بدهکار (روز)]]*Main[[#This Row],[مانده در خط کل (کیلوگرم)]]</f>
        <v>155845</v>
      </c>
      <c r="X1917" s="6">
        <f ca="1">-SUBTOTAL(9,INDEX(Main[مقدار تسویه شده (کیلوگرم)],1):Main[[#This Row],[مقدار تسویه شده (کیلوگرم)]])</f>
        <v>31169</v>
      </c>
      <c r="Y1917" s="6">
        <f ca="1">IF(Main[[#This Row],[مانده در خط تسویه شده (کیلوگرم)]]&lt;&gt;0,Main[[#This Row],[تعداد کل روزهای بدهکار (روز)]],0)</f>
        <v>5</v>
      </c>
      <c r="Z1917" s="6">
        <f ca="1">Main[[#This Row],[تعداد روزهای بدهکار تسویه شده (روز)]]*Main[[#This Row],[مانده در خط تسویه شده (کیلوگرم)]]</f>
        <v>155845</v>
      </c>
      <c r="AA1917" s="6">
        <f ca="1">SUBTOTAL(9,INDEX(Main[بدهی تسویه نشده (کیلوگرم)],1):Main[[#This Row],[بدهی تسویه نشده (کیلوگرم)]])</f>
        <v>0</v>
      </c>
      <c r="AB1917" s="6">
        <f ca="1">IF(Main[[#This Row],[مانده در خط تسویه نشده (کیلوگرم)]]&lt;&gt;0,Main[[#This Row],[تعداد کل روزهای بدهکار (روز)]],0)</f>
        <v>0</v>
      </c>
      <c r="AC1917" s="6">
        <f ca="1">Main[[#This Row],[تعداد روزهای بدهکار  تسویه نشده (روز)]]*Main[[#This Row],[مانده در خط تسویه نشده (کیلوگرم)]]</f>
        <v>0</v>
      </c>
      <c r="AD1917" s="6">
        <f ca="1">SUBTOTAL(9,INDEX(Main[بدهی سررسید شده (کیلوگرم)],1):Main[[#This Row],[بدهی سررسید شده (کیلوگرم)]])</f>
        <v>0</v>
      </c>
      <c r="AE1917" s="6">
        <f ca="1">IF(Main[[#This Row],[مانده در خط سررسید شده (کیلوگرم)]]&lt;&gt;0,Main[[#This Row],[تعداد کل روزهای بدهکار (روز)]],0)</f>
        <v>0</v>
      </c>
      <c r="AF1917" s="6">
        <f ca="1">Main[[#This Row],[تعداد روزهای بدهکار سررسید شده (روز)]]*Main[[#This Row],[مانده در خط سررسید شده (کیلوگرم)]]</f>
        <v>0</v>
      </c>
    </row>
    <row r="1918" spans="1:32" hidden="1" x14ac:dyDescent="0.35">
      <c r="A1918" s="5">
        <f>ROW()-ROW(INDEX(Main[ردیف],1))+1</f>
        <v>1916</v>
      </c>
      <c r="B1918" s="31">
        <f>SUBTOTAL(2,INDEX(Main[ردیف],1):Main[[#This Row],[ردیف]])</f>
        <v>169</v>
      </c>
      <c r="C1918" s="32" t="s">
        <v>735</v>
      </c>
      <c r="D1918" s="32" t="str">
        <f>_xlfn.CONCAT("14",Main[[#This Row],[تاريخ]])</f>
        <v>1400/07/28</v>
      </c>
      <c r="E1918" s="33">
        <v>44489</v>
      </c>
      <c r="F1918" s="32">
        <v>30187</v>
      </c>
      <c r="G1918" s="5" t="str">
        <f>INDEX(customer[عنوان],MATCH(Main[[#This Row],[کد ردیابی]],customer[کد],0))</f>
        <v>شرکت جام جم</v>
      </c>
      <c r="H1918">
        <v>1021</v>
      </c>
      <c r="I1918" s="6">
        <f ca="1">-Main[[#This Row],[بدهی تسویه شده (کیلوگرم)]]+Main[[#This Row],[بستانکار (کیلوگرم)]]</f>
        <v>1021</v>
      </c>
      <c r="J1918" s="6">
        <f>IF(Main[[#This Row],[مقدار (کیلوگرم)]]&gt;0,Main[[#This Row],[مقدار (کیلوگرم)]],0)</f>
        <v>1021</v>
      </c>
      <c r="K1918" s="6">
        <f>-IF(Main[[#This Row],[مقدار (کیلوگرم)]]&lt;0,Main[[#This Row],[مقدار (کیلوگرم)]],0)</f>
        <v>0</v>
      </c>
      <c r="L19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8" s="7">
        <f>-IF(AND(Main[[#This Row],[مقدار (کیلوگرم)]]&lt;0,Main[[#This Row],[تاريخ میلادی]]&gt;44276),Main[[#This Row],[مقدار (کیلوگرم)]],0)</f>
        <v>0</v>
      </c>
      <c r="N1918" s="6">
        <f ca="1">Main[[#This Row],[بدهکار (کیلوگرم)]]-Main[[#This Row],[بدهی تسویه نشده (کیلوگرم)]]</f>
        <v>0</v>
      </c>
      <c r="O1918" s="6">
        <f ca="1">Main[[#This Row],[تفکیک]]</f>
        <v>0</v>
      </c>
      <c r="P1918" s="6">
        <f ca="1">IF(Main[[#This Row],[تاخیر از سررسید]]&gt;0,Main[[#This Row],[بدهی تسویه نشده (کیلوگرم)]],0)</f>
        <v>0</v>
      </c>
      <c r="Q1918" s="6">
        <f ca="1">IF(Main[[#This Row],[بدهی تسویه نشده (کیلوگرم)]]&gt;0,'گزارش فردی'!$B$7-Main[[#This Row],[تاريخ میلادی]],0)</f>
        <v>0</v>
      </c>
      <c r="R1918" s="6">
        <f ca="1">IF(Main[[#This Row],[بدهی تسویه نشده (کیلوگرم)]]&gt;0,'گزارش فردی'!$B$7-Main[[#This Row],[تاريخ میلادی]]-'گزارش فردی'!$B$8,0)</f>
        <v>0</v>
      </c>
      <c r="S1918" s="6">
        <f ca="1">Main[[#This Row],[روز از ارسال سفارش]]*Main[[#This Row],[بدهی تسویه نشده (کیلوگرم)]]</f>
        <v>0</v>
      </c>
      <c r="T1918" s="6">
        <f ca="1">Main[[#This Row],[بدهی سررسید شده (کیلوگرم)]]*Main[[#This Row],[روز از ارسال سفارش]]</f>
        <v>0</v>
      </c>
      <c r="U1918" s="6">
        <f>-SUBTOTAL(9,INDEX(Main[مقدار (کیلوگرم)],1):Main[[#This Row],[مقدار (کیلوگرم)]])</f>
        <v>31169</v>
      </c>
      <c r="V1918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8" s="6">
        <f>Main[[#This Row],[تعداد کل روزهای بدهکار (روز)]]*Main[[#This Row],[مانده در خط کل (کیلوگرم)]]</f>
        <v>155845</v>
      </c>
      <c r="X1918" s="6">
        <f ca="1">-SUBTOTAL(9,INDEX(Main[مقدار تسویه شده (کیلوگرم)],1):Main[[#This Row],[مقدار تسویه شده (کیلوگرم)]])</f>
        <v>31169</v>
      </c>
      <c r="Y1918" s="6">
        <f ca="1">IF(Main[[#This Row],[مانده در خط تسویه شده (کیلوگرم)]]&lt;&gt;0,Main[[#This Row],[تعداد کل روزهای بدهکار (روز)]],0)</f>
        <v>5</v>
      </c>
      <c r="Z1918" s="6">
        <f ca="1">Main[[#This Row],[تعداد روزهای بدهکار تسویه شده (روز)]]*Main[[#This Row],[مانده در خط تسویه شده (کیلوگرم)]]</f>
        <v>155845</v>
      </c>
      <c r="AA1918" s="6">
        <f ca="1">SUBTOTAL(9,INDEX(Main[بدهی تسویه نشده (کیلوگرم)],1):Main[[#This Row],[بدهی تسویه نشده (کیلوگرم)]])</f>
        <v>0</v>
      </c>
      <c r="AB1918" s="6">
        <f ca="1">IF(Main[[#This Row],[مانده در خط تسویه نشده (کیلوگرم)]]&lt;&gt;0,Main[[#This Row],[تعداد کل روزهای بدهکار (روز)]],0)</f>
        <v>0</v>
      </c>
      <c r="AC1918" s="6">
        <f ca="1">Main[[#This Row],[تعداد روزهای بدهکار  تسویه نشده (روز)]]*Main[[#This Row],[مانده در خط تسویه نشده (کیلوگرم)]]</f>
        <v>0</v>
      </c>
      <c r="AD1918" s="6">
        <f ca="1">SUBTOTAL(9,INDEX(Main[بدهی سررسید شده (کیلوگرم)],1):Main[[#This Row],[بدهی سررسید شده (کیلوگرم)]])</f>
        <v>0</v>
      </c>
      <c r="AE1918" s="6">
        <f ca="1">IF(Main[[#This Row],[مانده در خط سررسید شده (کیلوگرم)]]&lt;&gt;0,Main[[#This Row],[تعداد کل روزهای بدهکار (روز)]],0)</f>
        <v>0</v>
      </c>
      <c r="AF1918" s="6">
        <f ca="1">Main[[#This Row],[تعداد روزهای بدهکار سررسید شده (روز)]]*Main[[#This Row],[مانده در خط سررسید شده (کیلوگرم)]]</f>
        <v>0</v>
      </c>
    </row>
    <row r="1919" spans="1:32" hidden="1" x14ac:dyDescent="0.35">
      <c r="A1919" s="5">
        <f>ROW()-ROW(INDEX(Main[ردیف],1))+1</f>
        <v>1917</v>
      </c>
      <c r="B1919" s="31">
        <f>SUBTOTAL(2,INDEX(Main[ردیف],1):Main[[#This Row],[ردیف]])</f>
        <v>169</v>
      </c>
      <c r="C1919" s="32" t="s">
        <v>735</v>
      </c>
      <c r="D1919" s="32" t="str">
        <f>_xlfn.CONCAT("14",Main[[#This Row],[تاريخ]])</f>
        <v>1400/07/28</v>
      </c>
      <c r="E1919" s="33">
        <v>44489</v>
      </c>
      <c r="F1919" s="32">
        <v>30004</v>
      </c>
      <c r="G1919" s="5" t="str">
        <f>INDEX(customer[عنوان],MATCH(Main[[#This Row],[کد ردیابی]],customer[کد],0))</f>
        <v>تولیدی صنعتی صفاشیر پارس</v>
      </c>
      <c r="H1919">
        <v>756</v>
      </c>
      <c r="I1919" s="6">
        <f ca="1">-Main[[#This Row],[بدهی تسویه شده (کیلوگرم)]]+Main[[#This Row],[بستانکار (کیلوگرم)]]</f>
        <v>756</v>
      </c>
      <c r="J1919" s="6">
        <f>IF(Main[[#This Row],[مقدار (کیلوگرم)]]&gt;0,Main[[#This Row],[مقدار (کیلوگرم)]],0)</f>
        <v>756</v>
      </c>
      <c r="K1919" s="6">
        <f>-IF(Main[[#This Row],[مقدار (کیلوگرم)]]&lt;0,Main[[#This Row],[مقدار (کیلوگرم)]],0)</f>
        <v>0</v>
      </c>
      <c r="L19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9" s="7">
        <f>-IF(AND(Main[[#This Row],[مقدار (کیلوگرم)]]&lt;0,Main[[#This Row],[تاريخ میلادی]]&gt;44276),Main[[#This Row],[مقدار (کیلوگرم)]],0)</f>
        <v>0</v>
      </c>
      <c r="N1919" s="6">
        <f ca="1">Main[[#This Row],[بدهکار (کیلوگرم)]]-Main[[#This Row],[بدهی تسویه نشده (کیلوگرم)]]</f>
        <v>0</v>
      </c>
      <c r="O1919" s="6">
        <f ca="1">Main[[#This Row],[تفکیک]]</f>
        <v>0</v>
      </c>
      <c r="P1919" s="6">
        <f ca="1">IF(Main[[#This Row],[تاخیر از سررسید]]&gt;0,Main[[#This Row],[بدهی تسویه نشده (کیلوگرم)]],0)</f>
        <v>0</v>
      </c>
      <c r="Q1919" s="6">
        <f ca="1">IF(Main[[#This Row],[بدهی تسویه نشده (کیلوگرم)]]&gt;0,'گزارش فردی'!$B$7-Main[[#This Row],[تاريخ میلادی]],0)</f>
        <v>0</v>
      </c>
      <c r="R1919" s="6">
        <f ca="1">IF(Main[[#This Row],[بدهی تسویه نشده (کیلوگرم)]]&gt;0,'گزارش فردی'!$B$7-Main[[#This Row],[تاريخ میلادی]]-'گزارش فردی'!$B$8,0)</f>
        <v>0</v>
      </c>
      <c r="S1919" s="6">
        <f ca="1">Main[[#This Row],[روز از ارسال سفارش]]*Main[[#This Row],[بدهی تسویه نشده (کیلوگرم)]]</f>
        <v>0</v>
      </c>
      <c r="T1919" s="6">
        <f ca="1">Main[[#This Row],[بدهی سررسید شده (کیلوگرم)]]*Main[[#This Row],[روز از ارسال سفارش]]</f>
        <v>0</v>
      </c>
      <c r="U1919" s="6">
        <f>-SUBTOTAL(9,INDEX(Main[مقدار (کیلوگرم)],1):Main[[#This Row],[مقدار (کیلوگرم)]])</f>
        <v>31169</v>
      </c>
      <c r="V1919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9" s="6">
        <f>Main[[#This Row],[تعداد کل روزهای بدهکار (روز)]]*Main[[#This Row],[مانده در خط کل (کیلوگرم)]]</f>
        <v>155845</v>
      </c>
      <c r="X1919" s="6">
        <f ca="1">-SUBTOTAL(9,INDEX(Main[مقدار تسویه شده (کیلوگرم)],1):Main[[#This Row],[مقدار تسویه شده (کیلوگرم)]])</f>
        <v>31169</v>
      </c>
      <c r="Y1919" s="6">
        <f ca="1">IF(Main[[#This Row],[مانده در خط تسویه شده (کیلوگرم)]]&lt;&gt;0,Main[[#This Row],[تعداد کل روزهای بدهکار (روز)]],0)</f>
        <v>5</v>
      </c>
      <c r="Z1919" s="6">
        <f ca="1">Main[[#This Row],[تعداد روزهای بدهکار تسویه شده (روز)]]*Main[[#This Row],[مانده در خط تسویه شده (کیلوگرم)]]</f>
        <v>155845</v>
      </c>
      <c r="AA1919" s="6">
        <f ca="1">SUBTOTAL(9,INDEX(Main[بدهی تسویه نشده (کیلوگرم)],1):Main[[#This Row],[بدهی تسویه نشده (کیلوگرم)]])</f>
        <v>0</v>
      </c>
      <c r="AB1919" s="6">
        <f ca="1">IF(Main[[#This Row],[مانده در خط تسویه نشده (کیلوگرم)]]&lt;&gt;0,Main[[#This Row],[تعداد کل روزهای بدهکار (روز)]],0)</f>
        <v>0</v>
      </c>
      <c r="AC1919" s="6">
        <f ca="1">Main[[#This Row],[تعداد روزهای بدهکار  تسویه نشده (روز)]]*Main[[#This Row],[مانده در خط تسویه نشده (کیلوگرم)]]</f>
        <v>0</v>
      </c>
      <c r="AD1919" s="6">
        <f ca="1">SUBTOTAL(9,INDEX(Main[بدهی سررسید شده (کیلوگرم)],1):Main[[#This Row],[بدهی سررسید شده (کیلوگرم)]])</f>
        <v>0</v>
      </c>
      <c r="AE1919" s="6">
        <f ca="1">IF(Main[[#This Row],[مانده در خط سررسید شده (کیلوگرم)]]&lt;&gt;0,Main[[#This Row],[تعداد کل روزهای بدهکار (روز)]],0)</f>
        <v>0</v>
      </c>
      <c r="AF1919" s="6">
        <f ca="1">Main[[#This Row],[تعداد روزهای بدهکار سررسید شده (روز)]]*Main[[#This Row],[مانده در خط سررسید شده (کیلوگرم)]]</f>
        <v>0</v>
      </c>
    </row>
    <row r="1920" spans="1:32" hidden="1" x14ac:dyDescent="0.35">
      <c r="A1920" s="5">
        <f>ROW()-ROW(INDEX(Main[ردیف],1))+1</f>
        <v>1918</v>
      </c>
      <c r="B1920" s="31">
        <f>SUBTOTAL(2,INDEX(Main[ردیف],1):Main[[#This Row],[ردیف]])</f>
        <v>169</v>
      </c>
      <c r="C1920" s="32" t="s">
        <v>735</v>
      </c>
      <c r="D1920" s="32" t="str">
        <f>_xlfn.CONCAT("14",Main[[#This Row],[تاريخ]])</f>
        <v>1400/07/28</v>
      </c>
      <c r="E1920" s="33">
        <v>44489</v>
      </c>
      <c r="F1920" s="32">
        <v>10126</v>
      </c>
      <c r="G1920" s="5" t="str">
        <f>INDEX(customer[عنوان],MATCH(Main[[#This Row],[کد ردیابی]],customer[کد],0))</f>
        <v xml:space="preserve">کریم اسمعیلی </v>
      </c>
      <c r="H1920">
        <v>242</v>
      </c>
      <c r="I1920" s="6">
        <f ca="1">-Main[[#This Row],[بدهی تسویه شده (کیلوگرم)]]+Main[[#This Row],[بستانکار (کیلوگرم)]]</f>
        <v>242</v>
      </c>
      <c r="J1920" s="6">
        <f>IF(Main[[#This Row],[مقدار (کیلوگرم)]]&gt;0,Main[[#This Row],[مقدار (کیلوگرم)]],0)</f>
        <v>242</v>
      </c>
      <c r="K1920" s="6">
        <f>-IF(Main[[#This Row],[مقدار (کیلوگرم)]]&lt;0,Main[[#This Row],[مقدار (کیلوگرم)]],0)</f>
        <v>0</v>
      </c>
      <c r="L19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0" s="7">
        <f>-IF(AND(Main[[#This Row],[مقدار (کیلوگرم)]]&lt;0,Main[[#This Row],[تاريخ میلادی]]&gt;44276),Main[[#This Row],[مقدار (کیلوگرم)]],0)</f>
        <v>0</v>
      </c>
      <c r="N1920" s="6">
        <f ca="1">Main[[#This Row],[بدهکار (کیلوگرم)]]-Main[[#This Row],[بدهی تسویه نشده (کیلوگرم)]]</f>
        <v>0</v>
      </c>
      <c r="O1920" s="6">
        <f ca="1">Main[[#This Row],[تفکیک]]</f>
        <v>0</v>
      </c>
      <c r="P1920" s="6">
        <f ca="1">IF(Main[[#This Row],[تاخیر از سررسید]]&gt;0,Main[[#This Row],[بدهی تسویه نشده (کیلوگرم)]],0)</f>
        <v>0</v>
      </c>
      <c r="Q1920" s="6">
        <f ca="1">IF(Main[[#This Row],[بدهی تسویه نشده (کیلوگرم)]]&gt;0,'گزارش فردی'!$B$7-Main[[#This Row],[تاريخ میلادی]],0)</f>
        <v>0</v>
      </c>
      <c r="R1920" s="6">
        <f ca="1">IF(Main[[#This Row],[بدهی تسویه نشده (کیلوگرم)]]&gt;0,'گزارش فردی'!$B$7-Main[[#This Row],[تاريخ میلادی]]-'گزارش فردی'!$B$8,0)</f>
        <v>0</v>
      </c>
      <c r="S1920" s="6">
        <f ca="1">Main[[#This Row],[روز از ارسال سفارش]]*Main[[#This Row],[بدهی تسویه نشده (کیلوگرم)]]</f>
        <v>0</v>
      </c>
      <c r="T1920" s="6">
        <f ca="1">Main[[#This Row],[بدهی سررسید شده (کیلوگرم)]]*Main[[#This Row],[روز از ارسال سفارش]]</f>
        <v>0</v>
      </c>
      <c r="U1920" s="6">
        <f>-SUBTOTAL(9,INDEX(Main[مقدار (کیلوگرم)],1):Main[[#This Row],[مقدار (کیلوگرم)]])</f>
        <v>31169</v>
      </c>
      <c r="V1920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20" s="6">
        <f>Main[[#This Row],[تعداد کل روزهای بدهکار (روز)]]*Main[[#This Row],[مانده در خط کل (کیلوگرم)]]</f>
        <v>155845</v>
      </c>
      <c r="X1920" s="6">
        <f ca="1">-SUBTOTAL(9,INDEX(Main[مقدار تسویه شده (کیلوگرم)],1):Main[[#This Row],[مقدار تسویه شده (کیلوگرم)]])</f>
        <v>31169</v>
      </c>
      <c r="Y1920" s="6">
        <f ca="1">IF(Main[[#This Row],[مانده در خط تسویه شده (کیلوگرم)]]&lt;&gt;0,Main[[#This Row],[تعداد کل روزهای بدهکار (روز)]],0)</f>
        <v>5</v>
      </c>
      <c r="Z1920" s="6">
        <f ca="1">Main[[#This Row],[تعداد روزهای بدهکار تسویه شده (روز)]]*Main[[#This Row],[مانده در خط تسویه شده (کیلوگرم)]]</f>
        <v>155845</v>
      </c>
      <c r="AA1920" s="6">
        <f ca="1">SUBTOTAL(9,INDEX(Main[بدهی تسویه نشده (کیلوگرم)],1):Main[[#This Row],[بدهی تسویه نشده (کیلوگرم)]])</f>
        <v>0</v>
      </c>
      <c r="AB1920" s="6">
        <f ca="1">IF(Main[[#This Row],[مانده در خط تسویه نشده (کیلوگرم)]]&lt;&gt;0,Main[[#This Row],[تعداد کل روزهای بدهکار (روز)]],0)</f>
        <v>0</v>
      </c>
      <c r="AC1920" s="6">
        <f ca="1">Main[[#This Row],[تعداد روزهای بدهکار  تسویه نشده (روز)]]*Main[[#This Row],[مانده در خط تسویه نشده (کیلوگرم)]]</f>
        <v>0</v>
      </c>
      <c r="AD1920" s="6">
        <f ca="1">SUBTOTAL(9,INDEX(Main[بدهی سررسید شده (کیلوگرم)],1):Main[[#This Row],[بدهی سررسید شده (کیلوگرم)]])</f>
        <v>0</v>
      </c>
      <c r="AE1920" s="6">
        <f ca="1">IF(Main[[#This Row],[مانده در خط سررسید شده (کیلوگرم)]]&lt;&gt;0,Main[[#This Row],[تعداد کل روزهای بدهکار (روز)]],0)</f>
        <v>0</v>
      </c>
      <c r="AF1920" s="6">
        <f ca="1">Main[[#This Row],[تعداد روزهای بدهکار سررسید شده (روز)]]*Main[[#This Row],[مانده در خط سررسید شده (کیلوگرم)]]</f>
        <v>0</v>
      </c>
    </row>
    <row r="1921" spans="1:32" hidden="1" x14ac:dyDescent="0.35">
      <c r="A1921" s="5">
        <f>ROW()-ROW(INDEX(Main[ردیف],1))+1</f>
        <v>1919</v>
      </c>
      <c r="B1921" s="31">
        <f>SUBTOTAL(2,INDEX(Main[ردیف],1):Main[[#This Row],[ردیف]])</f>
        <v>169</v>
      </c>
      <c r="C1921" s="32" t="s">
        <v>735</v>
      </c>
      <c r="D1921" s="32" t="str">
        <f>_xlfn.CONCAT("14",Main[[#This Row],[تاريخ]])</f>
        <v>1400/07/28</v>
      </c>
      <c r="E1921" s="33">
        <v>44489</v>
      </c>
      <c r="F1921" s="32">
        <v>10126</v>
      </c>
      <c r="G1921" s="5" t="str">
        <f>INDEX(customer[عنوان],MATCH(Main[[#This Row],[کد ردیابی]],customer[کد],0))</f>
        <v xml:space="preserve">کریم اسمعیلی </v>
      </c>
      <c r="H1921">
        <v>682</v>
      </c>
      <c r="I1921" s="6">
        <f ca="1">-Main[[#This Row],[بدهی تسویه شده (کیلوگرم)]]+Main[[#This Row],[بستانکار (کیلوگرم)]]</f>
        <v>682</v>
      </c>
      <c r="J1921" s="6">
        <f>IF(Main[[#This Row],[مقدار (کیلوگرم)]]&gt;0,Main[[#This Row],[مقدار (کیلوگرم)]],0)</f>
        <v>682</v>
      </c>
      <c r="K1921" s="6">
        <f>-IF(Main[[#This Row],[مقدار (کیلوگرم)]]&lt;0,Main[[#This Row],[مقدار (کیلوگرم)]],0)</f>
        <v>0</v>
      </c>
      <c r="L19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1" s="7">
        <f>-IF(AND(Main[[#This Row],[مقدار (کیلوگرم)]]&lt;0,Main[[#This Row],[تاريخ میلادی]]&gt;44276),Main[[#This Row],[مقدار (کیلوگرم)]],0)</f>
        <v>0</v>
      </c>
      <c r="N1921" s="6">
        <f ca="1">Main[[#This Row],[بدهکار (کیلوگرم)]]-Main[[#This Row],[بدهی تسویه نشده (کیلوگرم)]]</f>
        <v>0</v>
      </c>
      <c r="O1921" s="6">
        <f ca="1">Main[[#This Row],[تفکیک]]</f>
        <v>0</v>
      </c>
      <c r="P1921" s="6">
        <f ca="1">IF(Main[[#This Row],[تاخیر از سررسید]]&gt;0,Main[[#This Row],[بدهی تسویه نشده (کیلوگرم)]],0)</f>
        <v>0</v>
      </c>
      <c r="Q1921" s="6">
        <f ca="1">IF(Main[[#This Row],[بدهی تسویه نشده (کیلوگرم)]]&gt;0,'گزارش فردی'!$B$7-Main[[#This Row],[تاريخ میلادی]],0)</f>
        <v>0</v>
      </c>
      <c r="R1921" s="6">
        <f ca="1">IF(Main[[#This Row],[بدهی تسویه نشده (کیلوگرم)]]&gt;0,'گزارش فردی'!$B$7-Main[[#This Row],[تاريخ میلادی]]-'گزارش فردی'!$B$8,0)</f>
        <v>0</v>
      </c>
      <c r="S1921" s="6">
        <f ca="1">Main[[#This Row],[روز از ارسال سفارش]]*Main[[#This Row],[بدهی تسویه نشده (کیلوگرم)]]</f>
        <v>0</v>
      </c>
      <c r="T1921" s="6">
        <f ca="1">Main[[#This Row],[بدهی سررسید شده (کیلوگرم)]]*Main[[#This Row],[روز از ارسال سفارش]]</f>
        <v>0</v>
      </c>
      <c r="U1921" s="6">
        <f>-SUBTOTAL(9,INDEX(Main[مقدار (کیلوگرم)],1):Main[[#This Row],[مقدار (کیلوگرم)]])</f>
        <v>31169</v>
      </c>
      <c r="V1921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21" s="6">
        <f>Main[[#This Row],[تعداد کل روزهای بدهکار (روز)]]*Main[[#This Row],[مانده در خط کل (کیلوگرم)]]</f>
        <v>155845</v>
      </c>
      <c r="X1921" s="6">
        <f ca="1">-SUBTOTAL(9,INDEX(Main[مقدار تسویه شده (کیلوگرم)],1):Main[[#This Row],[مقدار تسویه شده (کیلوگرم)]])</f>
        <v>31169</v>
      </c>
      <c r="Y1921" s="6">
        <f ca="1">IF(Main[[#This Row],[مانده در خط تسویه شده (کیلوگرم)]]&lt;&gt;0,Main[[#This Row],[تعداد کل روزهای بدهکار (روز)]],0)</f>
        <v>5</v>
      </c>
      <c r="Z1921" s="6">
        <f ca="1">Main[[#This Row],[تعداد روزهای بدهکار تسویه شده (روز)]]*Main[[#This Row],[مانده در خط تسویه شده (کیلوگرم)]]</f>
        <v>155845</v>
      </c>
      <c r="AA1921" s="6">
        <f ca="1">SUBTOTAL(9,INDEX(Main[بدهی تسویه نشده (کیلوگرم)],1):Main[[#This Row],[بدهی تسویه نشده (کیلوگرم)]])</f>
        <v>0</v>
      </c>
      <c r="AB1921" s="6">
        <f ca="1">IF(Main[[#This Row],[مانده در خط تسویه نشده (کیلوگرم)]]&lt;&gt;0,Main[[#This Row],[تعداد کل روزهای بدهکار (روز)]],0)</f>
        <v>0</v>
      </c>
      <c r="AC1921" s="6">
        <f ca="1">Main[[#This Row],[تعداد روزهای بدهکار  تسویه نشده (روز)]]*Main[[#This Row],[مانده در خط تسویه نشده (کیلوگرم)]]</f>
        <v>0</v>
      </c>
      <c r="AD1921" s="6">
        <f ca="1">SUBTOTAL(9,INDEX(Main[بدهی سررسید شده (کیلوگرم)],1):Main[[#This Row],[بدهی سررسید شده (کیلوگرم)]])</f>
        <v>0</v>
      </c>
      <c r="AE1921" s="6">
        <f ca="1">IF(Main[[#This Row],[مانده در خط سررسید شده (کیلوگرم)]]&lt;&gt;0,Main[[#This Row],[تعداد کل روزهای بدهکار (روز)]],0)</f>
        <v>0</v>
      </c>
      <c r="AF1921" s="6">
        <f ca="1">Main[[#This Row],[تعداد روزهای بدهکار سررسید شده (روز)]]*Main[[#This Row],[مانده در خط سررسید شده (کیلوگرم)]]</f>
        <v>0</v>
      </c>
    </row>
    <row r="1922" spans="1:32" hidden="1" x14ac:dyDescent="0.35">
      <c r="A1922" s="5">
        <f>ROW()-ROW(INDEX(Main[ردیف],1))+1</f>
        <v>1920</v>
      </c>
      <c r="B1922" s="31">
        <f>SUBTOTAL(2,INDEX(Main[ردیف],1):Main[[#This Row],[ردیف]])</f>
        <v>169</v>
      </c>
      <c r="C1922" s="32" t="s">
        <v>736</v>
      </c>
      <c r="D1922" s="32" t="str">
        <f>_xlfn.CONCAT("14",Main[[#This Row],[تاريخ]])</f>
        <v>1400/07/29</v>
      </c>
      <c r="E1922" s="33">
        <v>44490</v>
      </c>
      <c r="F1922" s="32">
        <v>30140</v>
      </c>
      <c r="G1922" s="5" t="str">
        <f>INDEX(customer[عنوان],MATCH(Main[[#This Row],[کد ردیابی]],customer[کد],0))</f>
        <v>شرکت سیتکو</v>
      </c>
      <c r="H1922">
        <v>-2048</v>
      </c>
      <c r="I1922" s="6">
        <f ca="1">-Main[[#This Row],[بدهی تسویه شده (کیلوگرم)]]+Main[[#This Row],[بستانکار (کیلوگرم)]]</f>
        <v>-2048</v>
      </c>
      <c r="J1922" s="6">
        <f>IF(Main[[#This Row],[مقدار (کیلوگرم)]]&gt;0,Main[[#This Row],[مقدار (کیلوگرم)]],0)</f>
        <v>0</v>
      </c>
      <c r="K1922" s="6">
        <f>-IF(Main[[#This Row],[مقدار (کیلوگرم)]]&lt;0,Main[[#This Row],[مقدار (کیلوگرم)]],0)</f>
        <v>2048</v>
      </c>
      <c r="L19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2" s="7">
        <f>-IF(AND(Main[[#This Row],[مقدار (کیلوگرم)]]&lt;0,Main[[#This Row],[تاريخ میلادی]]&gt;44276),Main[[#This Row],[مقدار (کیلوگرم)]],0)</f>
        <v>2048</v>
      </c>
      <c r="N1922" s="6">
        <f ca="1">Main[[#This Row],[بدهکار (کیلوگرم)]]-Main[[#This Row],[بدهی تسویه نشده (کیلوگرم)]]</f>
        <v>2048</v>
      </c>
      <c r="O1922" s="6">
        <f ca="1">Main[[#This Row],[تفکیک]]</f>
        <v>0</v>
      </c>
      <c r="P1922" s="6">
        <f ca="1">IF(Main[[#This Row],[تاخیر از سررسید]]&gt;0,Main[[#This Row],[بدهی تسویه نشده (کیلوگرم)]],0)</f>
        <v>0</v>
      </c>
      <c r="Q1922" s="6">
        <f ca="1">IF(Main[[#This Row],[بدهی تسویه نشده (کیلوگرم)]]&gt;0,'گزارش فردی'!$B$7-Main[[#This Row],[تاريخ میلادی]],0)</f>
        <v>0</v>
      </c>
      <c r="R1922" s="6">
        <f ca="1">IF(Main[[#This Row],[بدهی تسویه نشده (کیلوگرم)]]&gt;0,'گزارش فردی'!$B$7-Main[[#This Row],[تاريخ میلادی]]-'گزارش فردی'!$B$8,0)</f>
        <v>0</v>
      </c>
      <c r="S1922" s="6">
        <f ca="1">Main[[#This Row],[روز از ارسال سفارش]]*Main[[#This Row],[بدهی تسویه نشده (کیلوگرم)]]</f>
        <v>0</v>
      </c>
      <c r="T1922" s="6">
        <f ca="1">Main[[#This Row],[بدهی سررسید شده (کیلوگرم)]]*Main[[#This Row],[روز از ارسال سفارش]]</f>
        <v>0</v>
      </c>
      <c r="U1922" s="6">
        <f>-SUBTOTAL(9,INDEX(Main[مقدار (کیلوگرم)],1):Main[[#This Row],[مقدار (کیلوگرم)]])</f>
        <v>31169</v>
      </c>
      <c r="V192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2" s="6">
        <f>Main[[#This Row],[تعداد کل روزهای بدهکار (روز)]]*Main[[#This Row],[مانده در خط کل (کیلوگرم)]]</f>
        <v>124676</v>
      </c>
      <c r="X1922" s="6">
        <f ca="1">-SUBTOTAL(9,INDEX(Main[مقدار تسویه شده (کیلوگرم)],1):Main[[#This Row],[مقدار تسویه شده (کیلوگرم)]])</f>
        <v>31169</v>
      </c>
      <c r="Y1922" s="6">
        <f ca="1">IF(Main[[#This Row],[مانده در خط تسویه شده (کیلوگرم)]]&lt;&gt;0,Main[[#This Row],[تعداد کل روزهای بدهکار (روز)]],0)</f>
        <v>4</v>
      </c>
      <c r="Z1922" s="6">
        <f ca="1">Main[[#This Row],[تعداد روزهای بدهکار تسویه شده (روز)]]*Main[[#This Row],[مانده در خط تسویه شده (کیلوگرم)]]</f>
        <v>124676</v>
      </c>
      <c r="AA1922" s="6">
        <f ca="1">SUBTOTAL(9,INDEX(Main[بدهی تسویه نشده (کیلوگرم)],1):Main[[#This Row],[بدهی تسویه نشده (کیلوگرم)]])</f>
        <v>0</v>
      </c>
      <c r="AB1922" s="6">
        <f ca="1">IF(Main[[#This Row],[مانده در خط تسویه نشده (کیلوگرم)]]&lt;&gt;0,Main[[#This Row],[تعداد کل روزهای بدهکار (روز)]],0)</f>
        <v>0</v>
      </c>
      <c r="AC1922" s="6">
        <f ca="1">Main[[#This Row],[تعداد روزهای بدهکار  تسویه نشده (روز)]]*Main[[#This Row],[مانده در خط تسویه نشده (کیلوگرم)]]</f>
        <v>0</v>
      </c>
      <c r="AD1922" s="6">
        <f ca="1">SUBTOTAL(9,INDEX(Main[بدهی سررسید شده (کیلوگرم)],1):Main[[#This Row],[بدهی سررسید شده (کیلوگرم)]])</f>
        <v>0</v>
      </c>
      <c r="AE1922" s="6">
        <f ca="1">IF(Main[[#This Row],[مانده در خط سررسید شده (کیلوگرم)]]&lt;&gt;0,Main[[#This Row],[تعداد کل روزهای بدهکار (روز)]],0)</f>
        <v>0</v>
      </c>
      <c r="AF1922" s="6">
        <f ca="1">Main[[#This Row],[تعداد روزهای بدهکار سررسید شده (روز)]]*Main[[#This Row],[مانده در خط سررسید شده (کیلوگرم)]]</f>
        <v>0</v>
      </c>
    </row>
    <row r="1923" spans="1:32" hidden="1" x14ac:dyDescent="0.35">
      <c r="A1923" s="5">
        <f>ROW()-ROW(INDEX(Main[ردیف],1))+1</f>
        <v>1921</v>
      </c>
      <c r="B1923" s="31">
        <f>SUBTOTAL(2,INDEX(Main[ردیف],1):Main[[#This Row],[ردیف]])</f>
        <v>169</v>
      </c>
      <c r="C1923" s="32" t="s">
        <v>736</v>
      </c>
      <c r="D1923" s="32" t="str">
        <f>_xlfn.CONCAT("14",Main[[#This Row],[تاريخ]])</f>
        <v>1400/07/29</v>
      </c>
      <c r="E1923" s="33">
        <v>44490</v>
      </c>
      <c r="F1923" s="32">
        <v>30101</v>
      </c>
      <c r="G1923" s="5" t="str">
        <f>INDEX(customer[عنوان],MATCH(Main[[#This Row],[کد ردیابی]],customer[کد],0))</f>
        <v>شرکت قاره سبز</v>
      </c>
      <c r="H1923">
        <v>498</v>
      </c>
      <c r="I1923" s="6">
        <f ca="1">-Main[[#This Row],[بدهی تسویه شده (کیلوگرم)]]+Main[[#This Row],[بستانکار (کیلوگرم)]]</f>
        <v>498</v>
      </c>
      <c r="J1923" s="6">
        <f>IF(Main[[#This Row],[مقدار (کیلوگرم)]]&gt;0,Main[[#This Row],[مقدار (کیلوگرم)]],0)</f>
        <v>498</v>
      </c>
      <c r="K1923" s="6">
        <f>-IF(Main[[#This Row],[مقدار (کیلوگرم)]]&lt;0,Main[[#This Row],[مقدار (کیلوگرم)]],0)</f>
        <v>0</v>
      </c>
      <c r="L19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3" s="7">
        <f>-IF(AND(Main[[#This Row],[مقدار (کیلوگرم)]]&lt;0,Main[[#This Row],[تاريخ میلادی]]&gt;44276),Main[[#This Row],[مقدار (کیلوگرم)]],0)</f>
        <v>0</v>
      </c>
      <c r="N1923" s="6">
        <f ca="1">Main[[#This Row],[بدهکار (کیلوگرم)]]-Main[[#This Row],[بدهی تسویه نشده (کیلوگرم)]]</f>
        <v>0</v>
      </c>
      <c r="O1923" s="6">
        <f ca="1">Main[[#This Row],[تفکیک]]</f>
        <v>0</v>
      </c>
      <c r="P1923" s="6">
        <f ca="1">IF(Main[[#This Row],[تاخیر از سررسید]]&gt;0,Main[[#This Row],[بدهی تسویه نشده (کیلوگرم)]],0)</f>
        <v>0</v>
      </c>
      <c r="Q1923" s="6">
        <f ca="1">IF(Main[[#This Row],[بدهی تسویه نشده (کیلوگرم)]]&gt;0,'گزارش فردی'!$B$7-Main[[#This Row],[تاريخ میلادی]],0)</f>
        <v>0</v>
      </c>
      <c r="R1923" s="6">
        <f ca="1">IF(Main[[#This Row],[بدهی تسویه نشده (کیلوگرم)]]&gt;0,'گزارش فردی'!$B$7-Main[[#This Row],[تاريخ میلادی]]-'گزارش فردی'!$B$8,0)</f>
        <v>0</v>
      </c>
      <c r="S1923" s="6">
        <f ca="1">Main[[#This Row],[روز از ارسال سفارش]]*Main[[#This Row],[بدهی تسویه نشده (کیلوگرم)]]</f>
        <v>0</v>
      </c>
      <c r="T1923" s="6">
        <f ca="1">Main[[#This Row],[بدهی سررسید شده (کیلوگرم)]]*Main[[#This Row],[روز از ارسال سفارش]]</f>
        <v>0</v>
      </c>
      <c r="U1923" s="6">
        <f>-SUBTOTAL(9,INDEX(Main[مقدار (کیلوگرم)],1):Main[[#This Row],[مقدار (کیلوگرم)]])</f>
        <v>31169</v>
      </c>
      <c r="V1923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3" s="6">
        <f>Main[[#This Row],[تعداد کل روزهای بدهکار (روز)]]*Main[[#This Row],[مانده در خط کل (کیلوگرم)]]</f>
        <v>124676</v>
      </c>
      <c r="X1923" s="6">
        <f ca="1">-SUBTOTAL(9,INDEX(Main[مقدار تسویه شده (کیلوگرم)],1):Main[[#This Row],[مقدار تسویه شده (کیلوگرم)]])</f>
        <v>31169</v>
      </c>
      <c r="Y1923" s="6">
        <f ca="1">IF(Main[[#This Row],[مانده در خط تسویه شده (کیلوگرم)]]&lt;&gt;0,Main[[#This Row],[تعداد کل روزهای بدهکار (روز)]],0)</f>
        <v>4</v>
      </c>
      <c r="Z1923" s="6">
        <f ca="1">Main[[#This Row],[تعداد روزهای بدهکار تسویه شده (روز)]]*Main[[#This Row],[مانده در خط تسویه شده (کیلوگرم)]]</f>
        <v>124676</v>
      </c>
      <c r="AA1923" s="6">
        <f ca="1">SUBTOTAL(9,INDEX(Main[بدهی تسویه نشده (کیلوگرم)],1):Main[[#This Row],[بدهی تسویه نشده (کیلوگرم)]])</f>
        <v>0</v>
      </c>
      <c r="AB1923" s="6">
        <f ca="1">IF(Main[[#This Row],[مانده در خط تسویه نشده (کیلوگرم)]]&lt;&gt;0,Main[[#This Row],[تعداد کل روزهای بدهکار (روز)]],0)</f>
        <v>0</v>
      </c>
      <c r="AC1923" s="6">
        <f ca="1">Main[[#This Row],[تعداد روزهای بدهکار  تسویه نشده (روز)]]*Main[[#This Row],[مانده در خط تسویه نشده (کیلوگرم)]]</f>
        <v>0</v>
      </c>
      <c r="AD1923" s="6">
        <f ca="1">SUBTOTAL(9,INDEX(Main[بدهی سررسید شده (کیلوگرم)],1):Main[[#This Row],[بدهی سررسید شده (کیلوگرم)]])</f>
        <v>0</v>
      </c>
      <c r="AE1923" s="6">
        <f ca="1">IF(Main[[#This Row],[مانده در خط سررسید شده (کیلوگرم)]]&lt;&gt;0,Main[[#This Row],[تعداد کل روزهای بدهکار (روز)]],0)</f>
        <v>0</v>
      </c>
      <c r="AF1923" s="6">
        <f ca="1">Main[[#This Row],[تعداد روزهای بدهکار سررسید شده (روز)]]*Main[[#This Row],[مانده در خط سررسید شده (کیلوگرم)]]</f>
        <v>0</v>
      </c>
    </row>
    <row r="1924" spans="1:32" hidden="1" x14ac:dyDescent="0.35">
      <c r="A1924" s="5">
        <f>ROW()-ROW(INDEX(Main[ردیف],1))+1</f>
        <v>1922</v>
      </c>
      <c r="B1924" s="31">
        <f>SUBTOTAL(2,INDEX(Main[ردیف],1):Main[[#This Row],[ردیف]])</f>
        <v>169</v>
      </c>
      <c r="C1924" s="32" t="s">
        <v>736</v>
      </c>
      <c r="D1924" s="32" t="str">
        <f>_xlfn.CONCAT("14",Main[[#This Row],[تاريخ]])</f>
        <v>1400/07/29</v>
      </c>
      <c r="E1924" s="33">
        <v>44490</v>
      </c>
      <c r="F1924" s="32">
        <v>10027</v>
      </c>
      <c r="G1924" s="5" t="str">
        <f>INDEX(customer[عنوان],MATCH(Main[[#This Row],[کد ردیابی]],customer[کد],0))</f>
        <v xml:space="preserve">مصطفی نورعلی </v>
      </c>
      <c r="H1924">
        <v>2441</v>
      </c>
      <c r="I1924" s="6">
        <f ca="1">-Main[[#This Row],[بدهی تسویه شده (کیلوگرم)]]+Main[[#This Row],[بستانکار (کیلوگرم)]]</f>
        <v>2441</v>
      </c>
      <c r="J1924" s="6">
        <f>IF(Main[[#This Row],[مقدار (کیلوگرم)]]&gt;0,Main[[#This Row],[مقدار (کیلوگرم)]],0)</f>
        <v>2441</v>
      </c>
      <c r="K1924" s="6">
        <f>-IF(Main[[#This Row],[مقدار (کیلوگرم)]]&lt;0,Main[[#This Row],[مقدار (کیلوگرم)]],0)</f>
        <v>0</v>
      </c>
      <c r="L19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4" s="7">
        <f>-IF(AND(Main[[#This Row],[مقدار (کیلوگرم)]]&lt;0,Main[[#This Row],[تاريخ میلادی]]&gt;44276),Main[[#This Row],[مقدار (کیلوگرم)]],0)</f>
        <v>0</v>
      </c>
      <c r="N1924" s="6">
        <f ca="1">Main[[#This Row],[بدهکار (کیلوگرم)]]-Main[[#This Row],[بدهی تسویه نشده (کیلوگرم)]]</f>
        <v>0</v>
      </c>
      <c r="O1924" s="6">
        <f ca="1">Main[[#This Row],[تفکیک]]</f>
        <v>0</v>
      </c>
      <c r="P1924" s="6">
        <f ca="1">IF(Main[[#This Row],[تاخیر از سررسید]]&gt;0,Main[[#This Row],[بدهی تسویه نشده (کیلوگرم)]],0)</f>
        <v>0</v>
      </c>
      <c r="Q1924" s="6">
        <f ca="1">IF(Main[[#This Row],[بدهی تسویه نشده (کیلوگرم)]]&gt;0,'گزارش فردی'!$B$7-Main[[#This Row],[تاريخ میلادی]],0)</f>
        <v>0</v>
      </c>
      <c r="R1924" s="6">
        <f ca="1">IF(Main[[#This Row],[بدهی تسویه نشده (کیلوگرم)]]&gt;0,'گزارش فردی'!$B$7-Main[[#This Row],[تاريخ میلادی]]-'گزارش فردی'!$B$8,0)</f>
        <v>0</v>
      </c>
      <c r="S1924" s="6">
        <f ca="1">Main[[#This Row],[روز از ارسال سفارش]]*Main[[#This Row],[بدهی تسویه نشده (کیلوگرم)]]</f>
        <v>0</v>
      </c>
      <c r="T1924" s="6">
        <f ca="1">Main[[#This Row],[بدهی سررسید شده (کیلوگرم)]]*Main[[#This Row],[روز از ارسال سفارش]]</f>
        <v>0</v>
      </c>
      <c r="U1924" s="6">
        <f>-SUBTOTAL(9,INDEX(Main[مقدار (کیلوگرم)],1):Main[[#This Row],[مقدار (کیلوگرم)]])</f>
        <v>31169</v>
      </c>
      <c r="V192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4" s="6">
        <f>Main[[#This Row],[تعداد کل روزهای بدهکار (روز)]]*Main[[#This Row],[مانده در خط کل (کیلوگرم)]]</f>
        <v>124676</v>
      </c>
      <c r="X1924" s="6">
        <f ca="1">-SUBTOTAL(9,INDEX(Main[مقدار تسویه شده (کیلوگرم)],1):Main[[#This Row],[مقدار تسویه شده (کیلوگرم)]])</f>
        <v>31169</v>
      </c>
      <c r="Y1924" s="6">
        <f ca="1">IF(Main[[#This Row],[مانده در خط تسویه شده (کیلوگرم)]]&lt;&gt;0,Main[[#This Row],[تعداد کل روزهای بدهکار (روز)]],0)</f>
        <v>4</v>
      </c>
      <c r="Z1924" s="6">
        <f ca="1">Main[[#This Row],[تعداد روزهای بدهکار تسویه شده (روز)]]*Main[[#This Row],[مانده در خط تسویه شده (کیلوگرم)]]</f>
        <v>124676</v>
      </c>
      <c r="AA1924" s="6">
        <f ca="1">SUBTOTAL(9,INDEX(Main[بدهی تسویه نشده (کیلوگرم)],1):Main[[#This Row],[بدهی تسویه نشده (کیلوگرم)]])</f>
        <v>0</v>
      </c>
      <c r="AB1924" s="6">
        <f ca="1">IF(Main[[#This Row],[مانده در خط تسویه نشده (کیلوگرم)]]&lt;&gt;0,Main[[#This Row],[تعداد کل روزهای بدهکار (روز)]],0)</f>
        <v>0</v>
      </c>
      <c r="AC1924" s="6">
        <f ca="1">Main[[#This Row],[تعداد روزهای بدهکار  تسویه نشده (روز)]]*Main[[#This Row],[مانده در خط تسویه نشده (کیلوگرم)]]</f>
        <v>0</v>
      </c>
      <c r="AD1924" s="6">
        <f ca="1">SUBTOTAL(9,INDEX(Main[بدهی سررسید شده (کیلوگرم)],1):Main[[#This Row],[بدهی سررسید شده (کیلوگرم)]])</f>
        <v>0</v>
      </c>
      <c r="AE1924" s="6">
        <f ca="1">IF(Main[[#This Row],[مانده در خط سررسید شده (کیلوگرم)]]&lt;&gt;0,Main[[#This Row],[تعداد کل روزهای بدهکار (روز)]],0)</f>
        <v>0</v>
      </c>
      <c r="AF1924" s="6">
        <f ca="1">Main[[#This Row],[تعداد روزهای بدهکار سررسید شده (روز)]]*Main[[#This Row],[مانده در خط سررسید شده (کیلوگرم)]]</f>
        <v>0</v>
      </c>
    </row>
    <row r="1925" spans="1:32" hidden="1" x14ac:dyDescent="0.35">
      <c r="A1925" s="5">
        <f>ROW()-ROW(INDEX(Main[ردیف],1))+1</f>
        <v>1923</v>
      </c>
      <c r="B1925" s="31">
        <f>SUBTOTAL(2,INDEX(Main[ردیف],1):Main[[#This Row],[ردیف]])</f>
        <v>169</v>
      </c>
      <c r="C1925" s="32" t="s">
        <v>736</v>
      </c>
      <c r="D1925" s="32" t="str">
        <f>_xlfn.CONCAT("14",Main[[#This Row],[تاريخ]])</f>
        <v>1400/07/29</v>
      </c>
      <c r="E1925" s="33">
        <v>44490</v>
      </c>
      <c r="F1925" s="32">
        <v>30191</v>
      </c>
      <c r="G1925" s="5" t="str">
        <f>INDEX(customer[عنوان],MATCH(Main[[#This Row],[کد ردیابی]],customer[کد],0))</f>
        <v>ایران گرما</v>
      </c>
      <c r="H1925">
        <v>877</v>
      </c>
      <c r="I1925" s="6">
        <f ca="1">-Main[[#This Row],[بدهی تسویه شده (کیلوگرم)]]+Main[[#This Row],[بستانکار (کیلوگرم)]]</f>
        <v>877</v>
      </c>
      <c r="J1925" s="6">
        <f>IF(Main[[#This Row],[مقدار (کیلوگرم)]]&gt;0,Main[[#This Row],[مقدار (کیلوگرم)]],0)</f>
        <v>877</v>
      </c>
      <c r="K1925" s="6">
        <f>-IF(Main[[#This Row],[مقدار (کیلوگرم)]]&lt;0,Main[[#This Row],[مقدار (کیلوگرم)]],0)</f>
        <v>0</v>
      </c>
      <c r="L19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5" s="7">
        <f>-IF(AND(Main[[#This Row],[مقدار (کیلوگرم)]]&lt;0,Main[[#This Row],[تاريخ میلادی]]&gt;44276),Main[[#This Row],[مقدار (کیلوگرم)]],0)</f>
        <v>0</v>
      </c>
      <c r="N1925" s="6">
        <f ca="1">Main[[#This Row],[بدهکار (کیلوگرم)]]-Main[[#This Row],[بدهی تسویه نشده (کیلوگرم)]]</f>
        <v>0</v>
      </c>
      <c r="O1925" s="6">
        <f ca="1">Main[[#This Row],[تفکیک]]</f>
        <v>0</v>
      </c>
      <c r="P1925" s="6">
        <f ca="1">IF(Main[[#This Row],[تاخیر از سررسید]]&gt;0,Main[[#This Row],[بدهی تسویه نشده (کیلوگرم)]],0)</f>
        <v>0</v>
      </c>
      <c r="Q1925" s="6">
        <f ca="1">IF(Main[[#This Row],[بدهی تسویه نشده (کیلوگرم)]]&gt;0,'گزارش فردی'!$B$7-Main[[#This Row],[تاريخ میلادی]],0)</f>
        <v>0</v>
      </c>
      <c r="R1925" s="6">
        <f ca="1">IF(Main[[#This Row],[بدهی تسویه نشده (کیلوگرم)]]&gt;0,'گزارش فردی'!$B$7-Main[[#This Row],[تاريخ میلادی]]-'گزارش فردی'!$B$8,0)</f>
        <v>0</v>
      </c>
      <c r="S1925" s="6">
        <f ca="1">Main[[#This Row],[روز از ارسال سفارش]]*Main[[#This Row],[بدهی تسویه نشده (کیلوگرم)]]</f>
        <v>0</v>
      </c>
      <c r="T1925" s="6">
        <f ca="1">Main[[#This Row],[بدهی سررسید شده (کیلوگرم)]]*Main[[#This Row],[روز از ارسال سفارش]]</f>
        <v>0</v>
      </c>
      <c r="U1925" s="6">
        <f>-SUBTOTAL(9,INDEX(Main[مقدار (کیلوگرم)],1):Main[[#This Row],[مقدار (کیلوگرم)]])</f>
        <v>31169</v>
      </c>
      <c r="V1925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5" s="6">
        <f>Main[[#This Row],[تعداد کل روزهای بدهکار (روز)]]*Main[[#This Row],[مانده در خط کل (کیلوگرم)]]</f>
        <v>124676</v>
      </c>
      <c r="X1925" s="6">
        <f ca="1">-SUBTOTAL(9,INDEX(Main[مقدار تسویه شده (کیلوگرم)],1):Main[[#This Row],[مقدار تسویه شده (کیلوگرم)]])</f>
        <v>31169</v>
      </c>
      <c r="Y1925" s="6">
        <f ca="1">IF(Main[[#This Row],[مانده در خط تسویه شده (کیلوگرم)]]&lt;&gt;0,Main[[#This Row],[تعداد کل روزهای بدهکار (روز)]],0)</f>
        <v>4</v>
      </c>
      <c r="Z1925" s="6">
        <f ca="1">Main[[#This Row],[تعداد روزهای بدهکار تسویه شده (روز)]]*Main[[#This Row],[مانده در خط تسویه شده (کیلوگرم)]]</f>
        <v>124676</v>
      </c>
      <c r="AA1925" s="6">
        <f ca="1">SUBTOTAL(9,INDEX(Main[بدهی تسویه نشده (کیلوگرم)],1):Main[[#This Row],[بدهی تسویه نشده (کیلوگرم)]])</f>
        <v>0</v>
      </c>
      <c r="AB1925" s="6">
        <f ca="1">IF(Main[[#This Row],[مانده در خط تسویه نشده (کیلوگرم)]]&lt;&gt;0,Main[[#This Row],[تعداد کل روزهای بدهکار (روز)]],0)</f>
        <v>0</v>
      </c>
      <c r="AC1925" s="6">
        <f ca="1">Main[[#This Row],[تعداد روزهای بدهکار  تسویه نشده (روز)]]*Main[[#This Row],[مانده در خط تسویه نشده (کیلوگرم)]]</f>
        <v>0</v>
      </c>
      <c r="AD1925" s="6">
        <f ca="1">SUBTOTAL(9,INDEX(Main[بدهی سررسید شده (کیلوگرم)],1):Main[[#This Row],[بدهی سررسید شده (کیلوگرم)]])</f>
        <v>0</v>
      </c>
      <c r="AE1925" s="6">
        <f ca="1">IF(Main[[#This Row],[مانده در خط سررسید شده (کیلوگرم)]]&lt;&gt;0,Main[[#This Row],[تعداد کل روزهای بدهکار (روز)]],0)</f>
        <v>0</v>
      </c>
      <c r="AF1925" s="6">
        <f ca="1">Main[[#This Row],[تعداد روزهای بدهکار سررسید شده (روز)]]*Main[[#This Row],[مانده در خط سررسید شده (کیلوگرم)]]</f>
        <v>0</v>
      </c>
    </row>
    <row r="1926" spans="1:32" hidden="1" x14ac:dyDescent="0.35">
      <c r="A1926" s="5">
        <f>ROW()-ROW(INDEX(Main[ردیف],1))+1</f>
        <v>1924</v>
      </c>
      <c r="B1926" s="31">
        <f>SUBTOTAL(2,INDEX(Main[ردیف],1):Main[[#This Row],[ردیف]])</f>
        <v>169</v>
      </c>
      <c r="C1926" s="32" t="s">
        <v>736</v>
      </c>
      <c r="D1926" s="32" t="str">
        <f>_xlfn.CONCAT("14",Main[[#This Row],[تاريخ]])</f>
        <v>1400/07/29</v>
      </c>
      <c r="E1926" s="33">
        <v>44490</v>
      </c>
      <c r="F1926" s="32">
        <v>30004</v>
      </c>
      <c r="G1926" s="5" t="str">
        <f>INDEX(customer[عنوان],MATCH(Main[[#This Row],[کد ردیابی]],customer[کد],0))</f>
        <v>تولیدی صنعتی صفاشیر پارس</v>
      </c>
      <c r="H1926">
        <v>4207</v>
      </c>
      <c r="I1926" s="6">
        <f ca="1">-Main[[#This Row],[بدهی تسویه شده (کیلوگرم)]]+Main[[#This Row],[بستانکار (کیلوگرم)]]</f>
        <v>4207</v>
      </c>
      <c r="J1926" s="6">
        <f>IF(Main[[#This Row],[مقدار (کیلوگرم)]]&gt;0,Main[[#This Row],[مقدار (کیلوگرم)]],0)</f>
        <v>4207</v>
      </c>
      <c r="K1926" s="6">
        <f>-IF(Main[[#This Row],[مقدار (کیلوگرم)]]&lt;0,Main[[#This Row],[مقدار (کیلوگرم)]],0)</f>
        <v>0</v>
      </c>
      <c r="L19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6" s="7">
        <f>-IF(AND(Main[[#This Row],[مقدار (کیلوگرم)]]&lt;0,Main[[#This Row],[تاريخ میلادی]]&gt;44276),Main[[#This Row],[مقدار (کیلوگرم)]],0)</f>
        <v>0</v>
      </c>
      <c r="N1926" s="6">
        <f ca="1">Main[[#This Row],[بدهکار (کیلوگرم)]]-Main[[#This Row],[بدهی تسویه نشده (کیلوگرم)]]</f>
        <v>0</v>
      </c>
      <c r="O1926" s="6">
        <f ca="1">Main[[#This Row],[تفکیک]]</f>
        <v>0</v>
      </c>
      <c r="P1926" s="6">
        <f ca="1">IF(Main[[#This Row],[تاخیر از سررسید]]&gt;0,Main[[#This Row],[بدهی تسویه نشده (کیلوگرم)]],0)</f>
        <v>0</v>
      </c>
      <c r="Q1926" s="6">
        <f ca="1">IF(Main[[#This Row],[بدهی تسویه نشده (کیلوگرم)]]&gt;0,'گزارش فردی'!$B$7-Main[[#This Row],[تاريخ میلادی]],0)</f>
        <v>0</v>
      </c>
      <c r="R1926" s="6">
        <f ca="1">IF(Main[[#This Row],[بدهی تسویه نشده (کیلوگرم)]]&gt;0,'گزارش فردی'!$B$7-Main[[#This Row],[تاريخ میلادی]]-'گزارش فردی'!$B$8,0)</f>
        <v>0</v>
      </c>
      <c r="S1926" s="6">
        <f ca="1">Main[[#This Row],[روز از ارسال سفارش]]*Main[[#This Row],[بدهی تسویه نشده (کیلوگرم)]]</f>
        <v>0</v>
      </c>
      <c r="T1926" s="6">
        <f ca="1">Main[[#This Row],[بدهی سررسید شده (کیلوگرم)]]*Main[[#This Row],[روز از ارسال سفارش]]</f>
        <v>0</v>
      </c>
      <c r="U1926" s="6">
        <f>-SUBTOTAL(9,INDEX(Main[مقدار (کیلوگرم)],1):Main[[#This Row],[مقدار (کیلوگرم)]])</f>
        <v>31169</v>
      </c>
      <c r="V1926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6" s="6">
        <f>Main[[#This Row],[تعداد کل روزهای بدهکار (روز)]]*Main[[#This Row],[مانده در خط کل (کیلوگرم)]]</f>
        <v>124676</v>
      </c>
      <c r="X1926" s="6">
        <f ca="1">-SUBTOTAL(9,INDEX(Main[مقدار تسویه شده (کیلوگرم)],1):Main[[#This Row],[مقدار تسویه شده (کیلوگرم)]])</f>
        <v>31169</v>
      </c>
      <c r="Y1926" s="6">
        <f ca="1">IF(Main[[#This Row],[مانده در خط تسویه شده (کیلوگرم)]]&lt;&gt;0,Main[[#This Row],[تعداد کل روزهای بدهکار (روز)]],0)</f>
        <v>4</v>
      </c>
      <c r="Z1926" s="6">
        <f ca="1">Main[[#This Row],[تعداد روزهای بدهکار تسویه شده (روز)]]*Main[[#This Row],[مانده در خط تسویه شده (کیلوگرم)]]</f>
        <v>124676</v>
      </c>
      <c r="AA1926" s="6">
        <f ca="1">SUBTOTAL(9,INDEX(Main[بدهی تسویه نشده (کیلوگرم)],1):Main[[#This Row],[بدهی تسویه نشده (کیلوگرم)]])</f>
        <v>0</v>
      </c>
      <c r="AB1926" s="6">
        <f ca="1">IF(Main[[#This Row],[مانده در خط تسویه نشده (کیلوگرم)]]&lt;&gt;0,Main[[#This Row],[تعداد کل روزهای بدهکار (روز)]],0)</f>
        <v>0</v>
      </c>
      <c r="AC1926" s="6">
        <f ca="1">Main[[#This Row],[تعداد روزهای بدهکار  تسویه نشده (روز)]]*Main[[#This Row],[مانده در خط تسویه نشده (کیلوگرم)]]</f>
        <v>0</v>
      </c>
      <c r="AD1926" s="6">
        <f ca="1">SUBTOTAL(9,INDEX(Main[بدهی سررسید شده (کیلوگرم)],1):Main[[#This Row],[بدهی سررسید شده (کیلوگرم)]])</f>
        <v>0</v>
      </c>
      <c r="AE1926" s="6">
        <f ca="1">IF(Main[[#This Row],[مانده در خط سررسید شده (کیلوگرم)]]&lt;&gt;0,Main[[#This Row],[تعداد کل روزهای بدهکار (روز)]],0)</f>
        <v>0</v>
      </c>
      <c r="AF1926" s="6">
        <f ca="1">Main[[#This Row],[تعداد روزهای بدهکار سررسید شده (روز)]]*Main[[#This Row],[مانده در خط سررسید شده (کیلوگرم)]]</f>
        <v>0</v>
      </c>
    </row>
    <row r="1927" spans="1:32" hidden="1" x14ac:dyDescent="0.35">
      <c r="A1927" s="5">
        <f>ROW()-ROW(INDEX(Main[ردیف],1))+1</f>
        <v>1925</v>
      </c>
      <c r="B1927" s="31">
        <f>SUBTOTAL(2,INDEX(Main[ردیف],1):Main[[#This Row],[ردیف]])</f>
        <v>169</v>
      </c>
      <c r="C1927" s="32" t="s">
        <v>737</v>
      </c>
      <c r="D1927" s="32" t="str">
        <f>_xlfn.CONCAT("14",Main[[#This Row],[تاريخ]])</f>
        <v>1400/07/30</v>
      </c>
      <c r="E1927" s="33">
        <v>44491</v>
      </c>
      <c r="F1927" s="32">
        <v>30004</v>
      </c>
      <c r="G1927" s="5" t="str">
        <f>INDEX(customer[عنوان],MATCH(Main[[#This Row],[کد ردیابی]],customer[کد],0))</f>
        <v>تولیدی صنعتی صفاشیر پارس</v>
      </c>
      <c r="H1927">
        <v>3141</v>
      </c>
      <c r="I1927" s="6">
        <f ca="1">-Main[[#This Row],[بدهی تسویه شده (کیلوگرم)]]+Main[[#This Row],[بستانکار (کیلوگرم)]]</f>
        <v>3141</v>
      </c>
      <c r="J1927" s="6">
        <f>IF(Main[[#This Row],[مقدار (کیلوگرم)]]&gt;0,Main[[#This Row],[مقدار (کیلوگرم)]],0)</f>
        <v>3141</v>
      </c>
      <c r="K1927" s="6">
        <f>-IF(Main[[#This Row],[مقدار (کیلوگرم)]]&lt;0,Main[[#This Row],[مقدار (کیلوگرم)]],0)</f>
        <v>0</v>
      </c>
      <c r="L19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7" s="7">
        <f>-IF(AND(Main[[#This Row],[مقدار (کیلوگرم)]]&lt;0,Main[[#This Row],[تاريخ میلادی]]&gt;44276),Main[[#This Row],[مقدار (کیلوگرم)]],0)</f>
        <v>0</v>
      </c>
      <c r="N1927" s="6">
        <f ca="1">Main[[#This Row],[بدهکار (کیلوگرم)]]-Main[[#This Row],[بدهی تسویه نشده (کیلوگرم)]]</f>
        <v>0</v>
      </c>
      <c r="O1927" s="6">
        <f ca="1">Main[[#This Row],[تفکیک]]</f>
        <v>0</v>
      </c>
      <c r="P1927" s="6">
        <f ca="1">IF(Main[[#This Row],[تاخیر از سررسید]]&gt;0,Main[[#This Row],[بدهی تسویه نشده (کیلوگرم)]],0)</f>
        <v>0</v>
      </c>
      <c r="Q1927" s="6">
        <f ca="1">IF(Main[[#This Row],[بدهی تسویه نشده (کیلوگرم)]]&gt;0,'گزارش فردی'!$B$7-Main[[#This Row],[تاريخ میلادی]],0)</f>
        <v>0</v>
      </c>
      <c r="R1927" s="6">
        <f ca="1">IF(Main[[#This Row],[بدهی تسویه نشده (کیلوگرم)]]&gt;0,'گزارش فردی'!$B$7-Main[[#This Row],[تاريخ میلادی]]-'گزارش فردی'!$B$8,0)</f>
        <v>0</v>
      </c>
      <c r="S1927" s="6">
        <f ca="1">Main[[#This Row],[روز از ارسال سفارش]]*Main[[#This Row],[بدهی تسویه نشده (کیلوگرم)]]</f>
        <v>0</v>
      </c>
      <c r="T1927" s="6">
        <f ca="1">Main[[#This Row],[بدهی سررسید شده (کیلوگرم)]]*Main[[#This Row],[روز از ارسال سفارش]]</f>
        <v>0</v>
      </c>
      <c r="U1927" s="6">
        <f>-SUBTOTAL(9,INDEX(Main[مقدار (کیلوگرم)],1):Main[[#This Row],[مقدار (کیلوگرم)]])</f>
        <v>31169</v>
      </c>
      <c r="V192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927" s="6">
        <f>Main[[#This Row],[تعداد کل روزهای بدهکار (روز)]]*Main[[#This Row],[مانده در خط کل (کیلوگرم)]]</f>
        <v>93507</v>
      </c>
      <c r="X1927" s="6">
        <f ca="1">-SUBTOTAL(9,INDEX(Main[مقدار تسویه شده (کیلوگرم)],1):Main[[#This Row],[مقدار تسویه شده (کیلوگرم)]])</f>
        <v>31169</v>
      </c>
      <c r="Y1927" s="6">
        <f ca="1">IF(Main[[#This Row],[مانده در خط تسویه شده (کیلوگرم)]]&lt;&gt;0,Main[[#This Row],[تعداد کل روزهای بدهکار (روز)]],0)</f>
        <v>3</v>
      </c>
      <c r="Z1927" s="6">
        <f ca="1">Main[[#This Row],[تعداد روزهای بدهکار تسویه شده (روز)]]*Main[[#This Row],[مانده در خط تسویه شده (کیلوگرم)]]</f>
        <v>93507</v>
      </c>
      <c r="AA1927" s="6">
        <f ca="1">SUBTOTAL(9,INDEX(Main[بدهی تسویه نشده (کیلوگرم)],1):Main[[#This Row],[بدهی تسویه نشده (کیلوگرم)]])</f>
        <v>0</v>
      </c>
      <c r="AB1927" s="6">
        <f ca="1">IF(Main[[#This Row],[مانده در خط تسویه نشده (کیلوگرم)]]&lt;&gt;0,Main[[#This Row],[تعداد کل روزهای بدهکار (روز)]],0)</f>
        <v>0</v>
      </c>
      <c r="AC1927" s="6">
        <f ca="1">Main[[#This Row],[تعداد روزهای بدهکار  تسویه نشده (روز)]]*Main[[#This Row],[مانده در خط تسویه نشده (کیلوگرم)]]</f>
        <v>0</v>
      </c>
      <c r="AD1927" s="6">
        <f ca="1">SUBTOTAL(9,INDEX(Main[بدهی سررسید شده (کیلوگرم)],1):Main[[#This Row],[بدهی سررسید شده (کیلوگرم)]])</f>
        <v>0</v>
      </c>
      <c r="AE1927" s="6">
        <f ca="1">IF(Main[[#This Row],[مانده در خط سررسید شده (کیلوگرم)]]&lt;&gt;0,Main[[#This Row],[تعداد کل روزهای بدهکار (روز)]],0)</f>
        <v>0</v>
      </c>
      <c r="AF1927" s="6">
        <f ca="1">Main[[#This Row],[تعداد روزهای بدهکار سررسید شده (روز)]]*Main[[#This Row],[مانده در خط سررسید شده (کیلوگرم)]]</f>
        <v>0</v>
      </c>
    </row>
    <row r="1928" spans="1:32" hidden="1" x14ac:dyDescent="0.35">
      <c r="A1928" s="5">
        <f>ROW()-ROW(INDEX(Main[ردیف],1))+1</f>
        <v>1926</v>
      </c>
      <c r="B1928" s="31">
        <f>SUBTOTAL(2,INDEX(Main[ردیف],1):Main[[#This Row],[ردیف]])</f>
        <v>169</v>
      </c>
      <c r="C1928" s="32" t="s">
        <v>738</v>
      </c>
      <c r="D1928" s="32" t="str">
        <f>_xlfn.CONCAT("14",Main[[#This Row],[تاريخ]])</f>
        <v>1400/08/01</v>
      </c>
      <c r="E1928" s="33">
        <v>44492</v>
      </c>
      <c r="F1928" s="32">
        <v>30066</v>
      </c>
      <c r="G1928" s="5" t="str">
        <f>INDEX(customer[عنوان],MATCH(Main[[#This Row],[کد ردیابی]],customer[کد],0))</f>
        <v xml:space="preserve">شیر آلات بهداشتی قهرمان </v>
      </c>
      <c r="H1928">
        <v>-622</v>
      </c>
      <c r="I1928" s="6">
        <f ca="1">-Main[[#This Row],[بدهی تسویه شده (کیلوگرم)]]+Main[[#This Row],[بستانکار (کیلوگرم)]]</f>
        <v>-622</v>
      </c>
      <c r="J1928" s="6">
        <f>IF(Main[[#This Row],[مقدار (کیلوگرم)]]&gt;0,Main[[#This Row],[مقدار (کیلوگرم)]],0)</f>
        <v>0</v>
      </c>
      <c r="K1928" s="6">
        <f>-IF(Main[[#This Row],[مقدار (کیلوگرم)]]&lt;0,Main[[#This Row],[مقدار (کیلوگرم)]],0)</f>
        <v>622</v>
      </c>
      <c r="L19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8" s="7">
        <f>-IF(AND(Main[[#This Row],[مقدار (کیلوگرم)]]&lt;0,Main[[#This Row],[تاريخ میلادی]]&gt;44276),Main[[#This Row],[مقدار (کیلوگرم)]],0)</f>
        <v>622</v>
      </c>
      <c r="N1928" s="6">
        <f ca="1">Main[[#This Row],[بدهکار (کیلوگرم)]]-Main[[#This Row],[بدهی تسویه نشده (کیلوگرم)]]</f>
        <v>622</v>
      </c>
      <c r="O1928" s="6">
        <f ca="1">Main[[#This Row],[تفکیک]]</f>
        <v>0</v>
      </c>
      <c r="P1928" s="6">
        <f ca="1">IF(Main[[#This Row],[تاخیر از سررسید]]&gt;0,Main[[#This Row],[بدهی تسویه نشده (کیلوگرم)]],0)</f>
        <v>0</v>
      </c>
      <c r="Q1928" s="6">
        <f ca="1">IF(Main[[#This Row],[بدهی تسویه نشده (کیلوگرم)]]&gt;0,'گزارش فردی'!$B$7-Main[[#This Row],[تاريخ میلادی]],0)</f>
        <v>0</v>
      </c>
      <c r="R1928" s="6">
        <f ca="1">IF(Main[[#This Row],[بدهی تسویه نشده (کیلوگرم)]]&gt;0,'گزارش فردی'!$B$7-Main[[#This Row],[تاريخ میلادی]]-'گزارش فردی'!$B$8,0)</f>
        <v>0</v>
      </c>
      <c r="S1928" s="6">
        <f ca="1">Main[[#This Row],[روز از ارسال سفارش]]*Main[[#This Row],[بدهی تسویه نشده (کیلوگرم)]]</f>
        <v>0</v>
      </c>
      <c r="T1928" s="6">
        <f ca="1">Main[[#This Row],[بدهی سررسید شده (کیلوگرم)]]*Main[[#This Row],[روز از ارسال سفارش]]</f>
        <v>0</v>
      </c>
      <c r="U1928" s="6">
        <f>-SUBTOTAL(9,INDEX(Main[مقدار (کیلوگرم)],1):Main[[#This Row],[مقدار (کیلوگرم)]])</f>
        <v>31169</v>
      </c>
      <c r="V19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28" s="6">
        <f>Main[[#This Row],[تعداد کل روزهای بدهکار (روز)]]*Main[[#This Row],[مانده در خط کل (کیلوگرم)]]</f>
        <v>62338</v>
      </c>
      <c r="X1928" s="6">
        <f ca="1">-SUBTOTAL(9,INDEX(Main[مقدار تسویه شده (کیلوگرم)],1):Main[[#This Row],[مقدار تسویه شده (کیلوگرم)]])</f>
        <v>31169</v>
      </c>
      <c r="Y1928" s="6">
        <f ca="1">IF(Main[[#This Row],[مانده در خط تسویه شده (کیلوگرم)]]&lt;&gt;0,Main[[#This Row],[تعداد کل روزهای بدهکار (روز)]],0)</f>
        <v>2</v>
      </c>
      <c r="Z1928" s="6">
        <f ca="1">Main[[#This Row],[تعداد روزهای بدهکار تسویه شده (روز)]]*Main[[#This Row],[مانده در خط تسویه شده (کیلوگرم)]]</f>
        <v>62338</v>
      </c>
      <c r="AA1928" s="6">
        <f ca="1">SUBTOTAL(9,INDEX(Main[بدهی تسویه نشده (کیلوگرم)],1):Main[[#This Row],[بدهی تسویه نشده (کیلوگرم)]])</f>
        <v>0</v>
      </c>
      <c r="AB1928" s="6">
        <f ca="1">IF(Main[[#This Row],[مانده در خط تسویه نشده (کیلوگرم)]]&lt;&gt;0,Main[[#This Row],[تعداد کل روزهای بدهکار (روز)]],0)</f>
        <v>0</v>
      </c>
      <c r="AC1928" s="6">
        <f ca="1">Main[[#This Row],[تعداد روزهای بدهکار  تسویه نشده (روز)]]*Main[[#This Row],[مانده در خط تسویه نشده (کیلوگرم)]]</f>
        <v>0</v>
      </c>
      <c r="AD1928" s="6">
        <f ca="1">SUBTOTAL(9,INDEX(Main[بدهی سررسید شده (کیلوگرم)],1):Main[[#This Row],[بدهی سررسید شده (کیلوگرم)]])</f>
        <v>0</v>
      </c>
      <c r="AE1928" s="6">
        <f ca="1">IF(Main[[#This Row],[مانده در خط سررسید شده (کیلوگرم)]]&lt;&gt;0,Main[[#This Row],[تعداد کل روزهای بدهکار (روز)]],0)</f>
        <v>0</v>
      </c>
      <c r="AF1928" s="6">
        <f ca="1">Main[[#This Row],[تعداد روزهای بدهکار سررسید شده (روز)]]*Main[[#This Row],[مانده در خط سررسید شده (کیلوگرم)]]</f>
        <v>0</v>
      </c>
    </row>
    <row r="1929" spans="1:32" hidden="1" x14ac:dyDescent="0.35">
      <c r="A1929" s="5">
        <f>ROW()-ROW(INDEX(Main[ردیف],1))+1</f>
        <v>1927</v>
      </c>
      <c r="B1929" s="31">
        <f>SUBTOTAL(2,INDEX(Main[ردیف],1):Main[[#This Row],[ردیف]])</f>
        <v>169</v>
      </c>
      <c r="C1929" s="32" t="s">
        <v>738</v>
      </c>
      <c r="D1929" s="32" t="str">
        <f>_xlfn.CONCAT("14",Main[[#This Row],[تاريخ]])</f>
        <v>1400/08/01</v>
      </c>
      <c r="E1929" s="33">
        <v>44492</v>
      </c>
      <c r="F1929" s="32">
        <v>10026</v>
      </c>
      <c r="G1929" s="5" t="str">
        <f>INDEX(customer[عنوان],MATCH(Main[[#This Row],[کد ردیابی]],customer[کد],0))</f>
        <v xml:space="preserve">محسن فیاض بخش </v>
      </c>
      <c r="H1929">
        <v>3218</v>
      </c>
      <c r="I1929" s="6">
        <f ca="1">-Main[[#This Row],[بدهی تسویه شده (کیلوگرم)]]+Main[[#This Row],[بستانکار (کیلوگرم)]]</f>
        <v>3218</v>
      </c>
      <c r="J1929" s="6">
        <f>IF(Main[[#This Row],[مقدار (کیلوگرم)]]&gt;0,Main[[#This Row],[مقدار (کیلوگرم)]],0)</f>
        <v>3218</v>
      </c>
      <c r="K1929" s="6">
        <f>-IF(Main[[#This Row],[مقدار (کیلوگرم)]]&lt;0,Main[[#This Row],[مقدار (کیلوگرم)]],0)</f>
        <v>0</v>
      </c>
      <c r="L19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9" s="7">
        <f>-IF(AND(Main[[#This Row],[مقدار (کیلوگرم)]]&lt;0,Main[[#This Row],[تاريخ میلادی]]&gt;44276),Main[[#This Row],[مقدار (کیلوگرم)]],0)</f>
        <v>0</v>
      </c>
      <c r="N1929" s="6">
        <f ca="1">Main[[#This Row],[بدهکار (کیلوگرم)]]-Main[[#This Row],[بدهی تسویه نشده (کیلوگرم)]]</f>
        <v>0</v>
      </c>
      <c r="O1929" s="6">
        <f ca="1">Main[[#This Row],[تفکیک]]</f>
        <v>0</v>
      </c>
      <c r="P1929" s="6">
        <f ca="1">IF(Main[[#This Row],[تاخیر از سررسید]]&gt;0,Main[[#This Row],[بدهی تسویه نشده (کیلوگرم)]],0)</f>
        <v>0</v>
      </c>
      <c r="Q1929" s="6">
        <f ca="1">IF(Main[[#This Row],[بدهی تسویه نشده (کیلوگرم)]]&gt;0,'گزارش فردی'!$B$7-Main[[#This Row],[تاريخ میلادی]],0)</f>
        <v>0</v>
      </c>
      <c r="R1929" s="6">
        <f ca="1">IF(Main[[#This Row],[بدهی تسویه نشده (کیلوگرم)]]&gt;0,'گزارش فردی'!$B$7-Main[[#This Row],[تاريخ میلادی]]-'گزارش فردی'!$B$8,0)</f>
        <v>0</v>
      </c>
      <c r="S1929" s="6">
        <f ca="1">Main[[#This Row],[روز از ارسال سفارش]]*Main[[#This Row],[بدهی تسویه نشده (کیلوگرم)]]</f>
        <v>0</v>
      </c>
      <c r="T1929" s="6">
        <f ca="1">Main[[#This Row],[بدهی سررسید شده (کیلوگرم)]]*Main[[#This Row],[روز از ارسال سفارش]]</f>
        <v>0</v>
      </c>
      <c r="U1929" s="6">
        <f>-SUBTOTAL(9,INDEX(Main[مقدار (کیلوگرم)],1):Main[[#This Row],[مقدار (کیلوگرم)]])</f>
        <v>31169</v>
      </c>
      <c r="V19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29" s="6">
        <f>Main[[#This Row],[تعداد کل روزهای بدهکار (روز)]]*Main[[#This Row],[مانده در خط کل (کیلوگرم)]]</f>
        <v>62338</v>
      </c>
      <c r="X1929" s="6">
        <f ca="1">-SUBTOTAL(9,INDEX(Main[مقدار تسویه شده (کیلوگرم)],1):Main[[#This Row],[مقدار تسویه شده (کیلوگرم)]])</f>
        <v>31169</v>
      </c>
      <c r="Y1929" s="6">
        <f ca="1">IF(Main[[#This Row],[مانده در خط تسویه شده (کیلوگرم)]]&lt;&gt;0,Main[[#This Row],[تعداد کل روزهای بدهکار (روز)]],0)</f>
        <v>2</v>
      </c>
      <c r="Z1929" s="6">
        <f ca="1">Main[[#This Row],[تعداد روزهای بدهکار تسویه شده (روز)]]*Main[[#This Row],[مانده در خط تسویه شده (کیلوگرم)]]</f>
        <v>62338</v>
      </c>
      <c r="AA1929" s="6">
        <f ca="1">SUBTOTAL(9,INDEX(Main[بدهی تسویه نشده (کیلوگرم)],1):Main[[#This Row],[بدهی تسویه نشده (کیلوگرم)]])</f>
        <v>0</v>
      </c>
      <c r="AB1929" s="6">
        <f ca="1">IF(Main[[#This Row],[مانده در خط تسویه نشده (کیلوگرم)]]&lt;&gt;0,Main[[#This Row],[تعداد کل روزهای بدهکار (روز)]],0)</f>
        <v>0</v>
      </c>
      <c r="AC1929" s="6">
        <f ca="1">Main[[#This Row],[تعداد روزهای بدهکار  تسویه نشده (روز)]]*Main[[#This Row],[مانده در خط تسویه نشده (کیلوگرم)]]</f>
        <v>0</v>
      </c>
      <c r="AD1929" s="6">
        <f ca="1">SUBTOTAL(9,INDEX(Main[بدهی سررسید شده (کیلوگرم)],1):Main[[#This Row],[بدهی سررسید شده (کیلوگرم)]])</f>
        <v>0</v>
      </c>
      <c r="AE1929" s="6">
        <f ca="1">IF(Main[[#This Row],[مانده در خط سررسید شده (کیلوگرم)]]&lt;&gt;0,Main[[#This Row],[تعداد کل روزهای بدهکار (روز)]],0)</f>
        <v>0</v>
      </c>
      <c r="AF1929" s="6">
        <f ca="1">Main[[#This Row],[تعداد روزهای بدهکار سررسید شده (روز)]]*Main[[#This Row],[مانده در خط سررسید شده (کیلوگرم)]]</f>
        <v>0</v>
      </c>
    </row>
    <row r="1930" spans="1:32" hidden="1" x14ac:dyDescent="0.35">
      <c r="A1930" s="5">
        <f>ROW()-ROW(INDEX(Main[ردیف],1))+1</f>
        <v>1928</v>
      </c>
      <c r="B1930" s="31">
        <f>SUBTOTAL(2,INDEX(Main[ردیف],1):Main[[#This Row],[ردیف]])</f>
        <v>169</v>
      </c>
      <c r="C1930" s="32" t="s">
        <v>738</v>
      </c>
      <c r="D1930" s="32" t="str">
        <f>_xlfn.CONCAT("14",Main[[#This Row],[تاريخ]])</f>
        <v>1400/08/01</v>
      </c>
      <c r="E1930" s="33">
        <v>44492</v>
      </c>
      <c r="F1930" s="32">
        <v>30140</v>
      </c>
      <c r="G1930" s="5" t="str">
        <f>INDEX(customer[عنوان],MATCH(Main[[#This Row],[کد ردیابی]],customer[کد],0))</f>
        <v>شرکت سیتکو</v>
      </c>
      <c r="H1930">
        <v>-1009</v>
      </c>
      <c r="I1930" s="6">
        <f ca="1">-Main[[#This Row],[بدهی تسویه شده (کیلوگرم)]]+Main[[#This Row],[بستانکار (کیلوگرم)]]</f>
        <v>-1009</v>
      </c>
      <c r="J1930" s="6">
        <f>IF(Main[[#This Row],[مقدار (کیلوگرم)]]&gt;0,Main[[#This Row],[مقدار (کیلوگرم)]],0)</f>
        <v>0</v>
      </c>
      <c r="K1930" s="6">
        <f>-IF(Main[[#This Row],[مقدار (کیلوگرم)]]&lt;0,Main[[#This Row],[مقدار (کیلوگرم)]],0)</f>
        <v>1009</v>
      </c>
      <c r="L19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0" s="7">
        <f>-IF(AND(Main[[#This Row],[مقدار (کیلوگرم)]]&lt;0,Main[[#This Row],[تاريخ میلادی]]&gt;44276),Main[[#This Row],[مقدار (کیلوگرم)]],0)</f>
        <v>1009</v>
      </c>
      <c r="N1930" s="6">
        <f ca="1">Main[[#This Row],[بدهکار (کیلوگرم)]]-Main[[#This Row],[بدهی تسویه نشده (کیلوگرم)]]</f>
        <v>1009</v>
      </c>
      <c r="O1930" s="6">
        <f ca="1">Main[[#This Row],[تفکیک]]</f>
        <v>0</v>
      </c>
      <c r="P1930" s="6">
        <f ca="1">IF(Main[[#This Row],[تاخیر از سررسید]]&gt;0,Main[[#This Row],[بدهی تسویه نشده (کیلوگرم)]],0)</f>
        <v>0</v>
      </c>
      <c r="Q1930" s="6">
        <f ca="1">IF(Main[[#This Row],[بدهی تسویه نشده (کیلوگرم)]]&gt;0,'گزارش فردی'!$B$7-Main[[#This Row],[تاريخ میلادی]],0)</f>
        <v>0</v>
      </c>
      <c r="R1930" s="6">
        <f ca="1">IF(Main[[#This Row],[بدهی تسویه نشده (کیلوگرم)]]&gt;0,'گزارش فردی'!$B$7-Main[[#This Row],[تاريخ میلادی]]-'گزارش فردی'!$B$8,0)</f>
        <v>0</v>
      </c>
      <c r="S1930" s="6">
        <f ca="1">Main[[#This Row],[روز از ارسال سفارش]]*Main[[#This Row],[بدهی تسویه نشده (کیلوگرم)]]</f>
        <v>0</v>
      </c>
      <c r="T1930" s="6">
        <f ca="1">Main[[#This Row],[بدهی سررسید شده (کیلوگرم)]]*Main[[#This Row],[روز از ارسال سفارش]]</f>
        <v>0</v>
      </c>
      <c r="U1930" s="6">
        <f>-SUBTOTAL(9,INDEX(Main[مقدار (کیلوگرم)],1):Main[[#This Row],[مقدار (کیلوگرم)]])</f>
        <v>31169</v>
      </c>
      <c r="V19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0" s="6">
        <f>Main[[#This Row],[تعداد کل روزهای بدهکار (روز)]]*Main[[#This Row],[مانده در خط کل (کیلوگرم)]]</f>
        <v>62338</v>
      </c>
      <c r="X1930" s="6">
        <f ca="1">-SUBTOTAL(9,INDEX(Main[مقدار تسویه شده (کیلوگرم)],1):Main[[#This Row],[مقدار تسویه شده (کیلوگرم)]])</f>
        <v>31169</v>
      </c>
      <c r="Y1930" s="6">
        <f ca="1">IF(Main[[#This Row],[مانده در خط تسویه شده (کیلوگرم)]]&lt;&gt;0,Main[[#This Row],[تعداد کل روزهای بدهکار (روز)]],0)</f>
        <v>2</v>
      </c>
      <c r="Z1930" s="6">
        <f ca="1">Main[[#This Row],[تعداد روزهای بدهکار تسویه شده (روز)]]*Main[[#This Row],[مانده در خط تسویه شده (کیلوگرم)]]</f>
        <v>62338</v>
      </c>
      <c r="AA1930" s="6">
        <f ca="1">SUBTOTAL(9,INDEX(Main[بدهی تسویه نشده (کیلوگرم)],1):Main[[#This Row],[بدهی تسویه نشده (کیلوگرم)]])</f>
        <v>0</v>
      </c>
      <c r="AB1930" s="6">
        <f ca="1">IF(Main[[#This Row],[مانده در خط تسویه نشده (کیلوگرم)]]&lt;&gt;0,Main[[#This Row],[تعداد کل روزهای بدهکار (روز)]],0)</f>
        <v>0</v>
      </c>
      <c r="AC1930" s="6">
        <f ca="1">Main[[#This Row],[تعداد روزهای بدهکار  تسویه نشده (روز)]]*Main[[#This Row],[مانده در خط تسویه نشده (کیلوگرم)]]</f>
        <v>0</v>
      </c>
      <c r="AD1930" s="6">
        <f ca="1">SUBTOTAL(9,INDEX(Main[بدهی سررسید شده (کیلوگرم)],1):Main[[#This Row],[بدهی سررسید شده (کیلوگرم)]])</f>
        <v>0</v>
      </c>
      <c r="AE1930" s="6">
        <f ca="1">IF(Main[[#This Row],[مانده در خط سررسید شده (کیلوگرم)]]&lt;&gt;0,Main[[#This Row],[تعداد کل روزهای بدهکار (روز)]],0)</f>
        <v>0</v>
      </c>
      <c r="AF1930" s="6">
        <f ca="1">Main[[#This Row],[تعداد روزهای بدهکار سررسید شده (روز)]]*Main[[#This Row],[مانده در خط سررسید شده (کیلوگرم)]]</f>
        <v>0</v>
      </c>
    </row>
    <row r="1931" spans="1:32" hidden="1" x14ac:dyDescent="0.35">
      <c r="A1931" s="5">
        <f>ROW()-ROW(INDEX(Main[ردیف],1))+1</f>
        <v>1929</v>
      </c>
      <c r="B1931" s="31">
        <f>SUBTOTAL(2,INDEX(Main[ردیف],1):Main[[#This Row],[ردیف]])</f>
        <v>169</v>
      </c>
      <c r="C1931" s="32" t="s">
        <v>738</v>
      </c>
      <c r="D1931" s="32" t="str">
        <f>_xlfn.CONCAT("14",Main[[#This Row],[تاريخ]])</f>
        <v>1400/08/01</v>
      </c>
      <c r="E1931" s="33">
        <v>44492</v>
      </c>
      <c r="F1931" s="32">
        <v>10084</v>
      </c>
      <c r="G1931" s="5" t="str">
        <f>INDEX(customer[عنوان],MATCH(Main[[#This Row],[کد ردیابی]],customer[کد],0))</f>
        <v xml:space="preserve">سیدحمید کاظمی </v>
      </c>
      <c r="H1931">
        <v>221</v>
      </c>
      <c r="I1931" s="6">
        <f ca="1">-Main[[#This Row],[بدهی تسویه شده (کیلوگرم)]]+Main[[#This Row],[بستانکار (کیلوگرم)]]</f>
        <v>221</v>
      </c>
      <c r="J1931" s="6">
        <f>IF(Main[[#This Row],[مقدار (کیلوگرم)]]&gt;0,Main[[#This Row],[مقدار (کیلوگرم)]],0)</f>
        <v>221</v>
      </c>
      <c r="K1931" s="6">
        <f>-IF(Main[[#This Row],[مقدار (کیلوگرم)]]&lt;0,Main[[#This Row],[مقدار (کیلوگرم)]],0)</f>
        <v>0</v>
      </c>
      <c r="L19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1" s="7">
        <f>-IF(AND(Main[[#This Row],[مقدار (کیلوگرم)]]&lt;0,Main[[#This Row],[تاريخ میلادی]]&gt;44276),Main[[#This Row],[مقدار (کیلوگرم)]],0)</f>
        <v>0</v>
      </c>
      <c r="N1931" s="6">
        <f ca="1">Main[[#This Row],[بدهکار (کیلوگرم)]]-Main[[#This Row],[بدهی تسویه نشده (کیلوگرم)]]</f>
        <v>0</v>
      </c>
      <c r="O1931" s="6">
        <f ca="1">Main[[#This Row],[تفکیک]]</f>
        <v>0</v>
      </c>
      <c r="P1931" s="6">
        <f ca="1">IF(Main[[#This Row],[تاخیر از سررسید]]&gt;0,Main[[#This Row],[بدهی تسویه نشده (کیلوگرم)]],0)</f>
        <v>0</v>
      </c>
      <c r="Q1931" s="6">
        <f ca="1">IF(Main[[#This Row],[بدهی تسویه نشده (کیلوگرم)]]&gt;0,'گزارش فردی'!$B$7-Main[[#This Row],[تاريخ میلادی]],0)</f>
        <v>0</v>
      </c>
      <c r="R1931" s="6">
        <f ca="1">IF(Main[[#This Row],[بدهی تسویه نشده (کیلوگرم)]]&gt;0,'گزارش فردی'!$B$7-Main[[#This Row],[تاريخ میلادی]]-'گزارش فردی'!$B$8,0)</f>
        <v>0</v>
      </c>
      <c r="S1931" s="6">
        <f ca="1">Main[[#This Row],[روز از ارسال سفارش]]*Main[[#This Row],[بدهی تسویه نشده (کیلوگرم)]]</f>
        <v>0</v>
      </c>
      <c r="T1931" s="6">
        <f ca="1">Main[[#This Row],[بدهی سررسید شده (کیلوگرم)]]*Main[[#This Row],[روز از ارسال سفارش]]</f>
        <v>0</v>
      </c>
      <c r="U1931" s="6">
        <f>-SUBTOTAL(9,INDEX(Main[مقدار (کیلوگرم)],1):Main[[#This Row],[مقدار (کیلوگرم)]])</f>
        <v>31169</v>
      </c>
      <c r="V193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1" s="6">
        <f>Main[[#This Row],[تعداد کل روزهای بدهکار (روز)]]*Main[[#This Row],[مانده در خط کل (کیلوگرم)]]</f>
        <v>62338</v>
      </c>
      <c r="X1931" s="6">
        <f ca="1">-SUBTOTAL(9,INDEX(Main[مقدار تسویه شده (کیلوگرم)],1):Main[[#This Row],[مقدار تسویه شده (کیلوگرم)]])</f>
        <v>31169</v>
      </c>
      <c r="Y1931" s="6">
        <f ca="1">IF(Main[[#This Row],[مانده در خط تسویه شده (کیلوگرم)]]&lt;&gt;0,Main[[#This Row],[تعداد کل روزهای بدهکار (روز)]],0)</f>
        <v>2</v>
      </c>
      <c r="Z1931" s="6">
        <f ca="1">Main[[#This Row],[تعداد روزهای بدهکار تسویه شده (روز)]]*Main[[#This Row],[مانده در خط تسویه شده (کیلوگرم)]]</f>
        <v>62338</v>
      </c>
      <c r="AA1931" s="6">
        <f ca="1">SUBTOTAL(9,INDEX(Main[بدهی تسویه نشده (کیلوگرم)],1):Main[[#This Row],[بدهی تسویه نشده (کیلوگرم)]])</f>
        <v>0</v>
      </c>
      <c r="AB1931" s="6">
        <f ca="1">IF(Main[[#This Row],[مانده در خط تسویه نشده (کیلوگرم)]]&lt;&gt;0,Main[[#This Row],[تعداد کل روزهای بدهکار (روز)]],0)</f>
        <v>0</v>
      </c>
      <c r="AC1931" s="6">
        <f ca="1">Main[[#This Row],[تعداد روزهای بدهکار  تسویه نشده (روز)]]*Main[[#This Row],[مانده در خط تسویه نشده (کیلوگرم)]]</f>
        <v>0</v>
      </c>
      <c r="AD1931" s="6">
        <f ca="1">SUBTOTAL(9,INDEX(Main[بدهی سررسید شده (کیلوگرم)],1):Main[[#This Row],[بدهی سررسید شده (کیلوگرم)]])</f>
        <v>0</v>
      </c>
      <c r="AE1931" s="6">
        <f ca="1">IF(Main[[#This Row],[مانده در خط سررسید شده (کیلوگرم)]]&lt;&gt;0,Main[[#This Row],[تعداد کل روزهای بدهکار (روز)]],0)</f>
        <v>0</v>
      </c>
      <c r="AF1931" s="6">
        <f ca="1">Main[[#This Row],[تعداد روزهای بدهکار سررسید شده (روز)]]*Main[[#This Row],[مانده در خط سررسید شده (کیلوگرم)]]</f>
        <v>0</v>
      </c>
    </row>
    <row r="1932" spans="1:32" hidden="1" x14ac:dyDescent="0.35">
      <c r="A1932" s="5">
        <f>ROW()-ROW(INDEX(Main[ردیف],1))+1</f>
        <v>1930</v>
      </c>
      <c r="B1932" s="31">
        <f>SUBTOTAL(2,INDEX(Main[ردیف],1):Main[[#This Row],[ردیف]])</f>
        <v>169</v>
      </c>
      <c r="C1932" s="32" t="s">
        <v>738</v>
      </c>
      <c r="D1932" s="32" t="str">
        <f>_xlfn.CONCAT("14",Main[[#This Row],[تاريخ]])</f>
        <v>1400/08/01</v>
      </c>
      <c r="E1932" s="33">
        <v>44492</v>
      </c>
      <c r="F1932" s="32">
        <v>30004</v>
      </c>
      <c r="G1932" s="5" t="str">
        <f>INDEX(customer[عنوان],MATCH(Main[[#This Row],[کد ردیابی]],customer[کد],0))</f>
        <v>تولیدی صنعتی صفاشیر پارس</v>
      </c>
      <c r="H1932">
        <v>-4607</v>
      </c>
      <c r="I1932" s="6">
        <f ca="1">-Main[[#This Row],[بدهی تسویه شده (کیلوگرم)]]+Main[[#This Row],[بستانکار (کیلوگرم)]]</f>
        <v>-4607</v>
      </c>
      <c r="J1932" s="6">
        <f>IF(Main[[#This Row],[مقدار (کیلوگرم)]]&gt;0,Main[[#This Row],[مقدار (کیلوگرم)]],0)</f>
        <v>0</v>
      </c>
      <c r="K1932" s="6">
        <f>-IF(Main[[#This Row],[مقدار (کیلوگرم)]]&lt;0,Main[[#This Row],[مقدار (کیلوگرم)]],0)</f>
        <v>4607</v>
      </c>
      <c r="L19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2" s="7">
        <f>-IF(AND(Main[[#This Row],[مقدار (کیلوگرم)]]&lt;0,Main[[#This Row],[تاريخ میلادی]]&gt;44276),Main[[#This Row],[مقدار (کیلوگرم)]],0)</f>
        <v>4607</v>
      </c>
      <c r="N1932" s="6">
        <f ca="1">Main[[#This Row],[بدهکار (کیلوگرم)]]-Main[[#This Row],[بدهی تسویه نشده (کیلوگرم)]]</f>
        <v>4607</v>
      </c>
      <c r="O1932" s="6">
        <f ca="1">Main[[#This Row],[تفکیک]]</f>
        <v>0</v>
      </c>
      <c r="P1932" s="6">
        <f ca="1">IF(Main[[#This Row],[تاخیر از سررسید]]&gt;0,Main[[#This Row],[بدهی تسویه نشده (کیلوگرم)]],0)</f>
        <v>0</v>
      </c>
      <c r="Q1932" s="6">
        <f ca="1">IF(Main[[#This Row],[بدهی تسویه نشده (کیلوگرم)]]&gt;0,'گزارش فردی'!$B$7-Main[[#This Row],[تاريخ میلادی]],0)</f>
        <v>0</v>
      </c>
      <c r="R1932" s="6">
        <f ca="1">IF(Main[[#This Row],[بدهی تسویه نشده (کیلوگرم)]]&gt;0,'گزارش فردی'!$B$7-Main[[#This Row],[تاريخ میلادی]]-'گزارش فردی'!$B$8,0)</f>
        <v>0</v>
      </c>
      <c r="S1932" s="6">
        <f ca="1">Main[[#This Row],[روز از ارسال سفارش]]*Main[[#This Row],[بدهی تسویه نشده (کیلوگرم)]]</f>
        <v>0</v>
      </c>
      <c r="T1932" s="6">
        <f ca="1">Main[[#This Row],[بدهی سررسید شده (کیلوگرم)]]*Main[[#This Row],[روز از ارسال سفارش]]</f>
        <v>0</v>
      </c>
      <c r="U1932" s="6">
        <f>-SUBTOTAL(9,INDEX(Main[مقدار (کیلوگرم)],1):Main[[#This Row],[مقدار (کیلوگرم)]])</f>
        <v>31169</v>
      </c>
      <c r="V193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2" s="6">
        <f>Main[[#This Row],[تعداد کل روزهای بدهکار (روز)]]*Main[[#This Row],[مانده در خط کل (کیلوگرم)]]</f>
        <v>62338</v>
      </c>
      <c r="X1932" s="6">
        <f ca="1">-SUBTOTAL(9,INDEX(Main[مقدار تسویه شده (کیلوگرم)],1):Main[[#This Row],[مقدار تسویه شده (کیلوگرم)]])</f>
        <v>31169</v>
      </c>
      <c r="Y1932" s="6">
        <f ca="1">IF(Main[[#This Row],[مانده در خط تسویه شده (کیلوگرم)]]&lt;&gt;0,Main[[#This Row],[تعداد کل روزهای بدهکار (روز)]],0)</f>
        <v>2</v>
      </c>
      <c r="Z1932" s="6">
        <f ca="1">Main[[#This Row],[تعداد روزهای بدهکار تسویه شده (روز)]]*Main[[#This Row],[مانده در خط تسویه شده (کیلوگرم)]]</f>
        <v>62338</v>
      </c>
      <c r="AA1932" s="6">
        <f ca="1">SUBTOTAL(9,INDEX(Main[بدهی تسویه نشده (کیلوگرم)],1):Main[[#This Row],[بدهی تسویه نشده (کیلوگرم)]])</f>
        <v>0</v>
      </c>
      <c r="AB1932" s="6">
        <f ca="1">IF(Main[[#This Row],[مانده در خط تسویه نشده (کیلوگرم)]]&lt;&gt;0,Main[[#This Row],[تعداد کل روزهای بدهکار (روز)]],0)</f>
        <v>0</v>
      </c>
      <c r="AC1932" s="6">
        <f ca="1">Main[[#This Row],[تعداد روزهای بدهکار  تسویه نشده (روز)]]*Main[[#This Row],[مانده در خط تسویه نشده (کیلوگرم)]]</f>
        <v>0</v>
      </c>
      <c r="AD1932" s="6">
        <f ca="1">SUBTOTAL(9,INDEX(Main[بدهی سررسید شده (کیلوگرم)],1):Main[[#This Row],[بدهی سررسید شده (کیلوگرم)]])</f>
        <v>0</v>
      </c>
      <c r="AE1932" s="6">
        <f ca="1">IF(Main[[#This Row],[مانده در خط سررسید شده (کیلوگرم)]]&lt;&gt;0,Main[[#This Row],[تعداد کل روزهای بدهکار (روز)]],0)</f>
        <v>0</v>
      </c>
      <c r="AF1932" s="6">
        <f ca="1">Main[[#This Row],[تعداد روزهای بدهکار سررسید شده (روز)]]*Main[[#This Row],[مانده در خط سررسید شده (کیلوگرم)]]</f>
        <v>0</v>
      </c>
    </row>
    <row r="1933" spans="1:32" hidden="1" x14ac:dyDescent="0.35">
      <c r="A1933" s="5">
        <f>ROW()-ROW(INDEX(Main[ردیف],1))+1</f>
        <v>1931</v>
      </c>
      <c r="B1933" s="31">
        <f>SUBTOTAL(2,INDEX(Main[ردیف],1):Main[[#This Row],[ردیف]])</f>
        <v>169</v>
      </c>
      <c r="C1933" s="32" t="s">
        <v>738</v>
      </c>
      <c r="D1933" s="32" t="str">
        <f>_xlfn.CONCAT("14",Main[[#This Row],[تاريخ]])</f>
        <v>1400/08/01</v>
      </c>
      <c r="E1933" s="33">
        <v>44492</v>
      </c>
      <c r="F1933" s="32">
        <v>30009</v>
      </c>
      <c r="G1933" s="5" t="str">
        <f>INDEX(customer[عنوان],MATCH(Main[[#This Row],[کد ردیابی]],customer[کد],0))</f>
        <v>شرکت ایمن تک پیشرو</v>
      </c>
      <c r="H1933">
        <v>-2389</v>
      </c>
      <c r="I1933" s="6">
        <f ca="1">-Main[[#This Row],[بدهی تسویه شده (کیلوگرم)]]+Main[[#This Row],[بستانکار (کیلوگرم)]]</f>
        <v>-2389</v>
      </c>
      <c r="J1933" s="6">
        <f>IF(Main[[#This Row],[مقدار (کیلوگرم)]]&gt;0,Main[[#This Row],[مقدار (کیلوگرم)]],0)</f>
        <v>0</v>
      </c>
      <c r="K1933" s="6">
        <f>-IF(Main[[#This Row],[مقدار (کیلوگرم)]]&lt;0,Main[[#This Row],[مقدار (کیلوگرم)]],0)</f>
        <v>2389</v>
      </c>
      <c r="L19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3" s="7">
        <f>-IF(AND(Main[[#This Row],[مقدار (کیلوگرم)]]&lt;0,Main[[#This Row],[تاريخ میلادی]]&gt;44276),Main[[#This Row],[مقدار (کیلوگرم)]],0)</f>
        <v>2389</v>
      </c>
      <c r="N1933" s="6">
        <f ca="1">Main[[#This Row],[بدهکار (کیلوگرم)]]-Main[[#This Row],[بدهی تسویه نشده (کیلوگرم)]]</f>
        <v>2389</v>
      </c>
      <c r="O1933" s="6">
        <f ca="1">Main[[#This Row],[تفکیک]]</f>
        <v>0</v>
      </c>
      <c r="P1933" s="6">
        <f ca="1">IF(Main[[#This Row],[تاخیر از سررسید]]&gt;0,Main[[#This Row],[بدهی تسویه نشده (کیلوگرم)]],0)</f>
        <v>0</v>
      </c>
      <c r="Q1933" s="6">
        <f ca="1">IF(Main[[#This Row],[بدهی تسویه نشده (کیلوگرم)]]&gt;0,'گزارش فردی'!$B$7-Main[[#This Row],[تاريخ میلادی]],0)</f>
        <v>0</v>
      </c>
      <c r="R1933" s="6">
        <f ca="1">IF(Main[[#This Row],[بدهی تسویه نشده (کیلوگرم)]]&gt;0,'گزارش فردی'!$B$7-Main[[#This Row],[تاريخ میلادی]]-'گزارش فردی'!$B$8,0)</f>
        <v>0</v>
      </c>
      <c r="S1933" s="6">
        <f ca="1">Main[[#This Row],[روز از ارسال سفارش]]*Main[[#This Row],[بدهی تسویه نشده (کیلوگرم)]]</f>
        <v>0</v>
      </c>
      <c r="T1933" s="6">
        <f ca="1">Main[[#This Row],[بدهی سررسید شده (کیلوگرم)]]*Main[[#This Row],[روز از ارسال سفارش]]</f>
        <v>0</v>
      </c>
      <c r="U1933" s="6">
        <f>-SUBTOTAL(9,INDEX(Main[مقدار (کیلوگرم)],1):Main[[#This Row],[مقدار (کیلوگرم)]])</f>
        <v>31169</v>
      </c>
      <c r="V193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3" s="6">
        <f>Main[[#This Row],[تعداد کل روزهای بدهکار (روز)]]*Main[[#This Row],[مانده در خط کل (کیلوگرم)]]</f>
        <v>62338</v>
      </c>
      <c r="X1933" s="6">
        <f ca="1">-SUBTOTAL(9,INDEX(Main[مقدار تسویه شده (کیلوگرم)],1):Main[[#This Row],[مقدار تسویه شده (کیلوگرم)]])</f>
        <v>31169</v>
      </c>
      <c r="Y1933" s="6">
        <f ca="1">IF(Main[[#This Row],[مانده در خط تسویه شده (کیلوگرم)]]&lt;&gt;0,Main[[#This Row],[تعداد کل روزهای بدهکار (روز)]],0)</f>
        <v>2</v>
      </c>
      <c r="Z1933" s="6">
        <f ca="1">Main[[#This Row],[تعداد روزهای بدهکار تسویه شده (روز)]]*Main[[#This Row],[مانده در خط تسویه شده (کیلوگرم)]]</f>
        <v>62338</v>
      </c>
      <c r="AA1933" s="6">
        <f ca="1">SUBTOTAL(9,INDEX(Main[بدهی تسویه نشده (کیلوگرم)],1):Main[[#This Row],[بدهی تسویه نشده (کیلوگرم)]])</f>
        <v>0</v>
      </c>
      <c r="AB1933" s="6">
        <f ca="1">IF(Main[[#This Row],[مانده در خط تسویه نشده (کیلوگرم)]]&lt;&gt;0,Main[[#This Row],[تعداد کل روزهای بدهکار (روز)]],0)</f>
        <v>0</v>
      </c>
      <c r="AC1933" s="6">
        <f ca="1">Main[[#This Row],[تعداد روزهای بدهکار  تسویه نشده (روز)]]*Main[[#This Row],[مانده در خط تسویه نشده (کیلوگرم)]]</f>
        <v>0</v>
      </c>
      <c r="AD1933" s="6">
        <f ca="1">SUBTOTAL(9,INDEX(Main[بدهی سررسید شده (کیلوگرم)],1):Main[[#This Row],[بدهی سررسید شده (کیلوگرم)]])</f>
        <v>0</v>
      </c>
      <c r="AE1933" s="6">
        <f ca="1">IF(Main[[#This Row],[مانده در خط سررسید شده (کیلوگرم)]]&lt;&gt;0,Main[[#This Row],[تعداد کل روزهای بدهکار (روز)]],0)</f>
        <v>0</v>
      </c>
      <c r="AF1933" s="6">
        <f ca="1">Main[[#This Row],[تعداد روزهای بدهکار سررسید شده (روز)]]*Main[[#This Row],[مانده در خط سررسید شده (کیلوگرم)]]</f>
        <v>0</v>
      </c>
    </row>
    <row r="1934" spans="1:32" x14ac:dyDescent="0.35">
      <c r="A1934" s="5">
        <f>ROW()-ROW(INDEX(Main[ردیف],1))+1</f>
        <v>1932</v>
      </c>
      <c r="B1934" s="31">
        <f>SUBTOTAL(2,INDEX(Main[ردیف],1):Main[[#This Row],[ردیف]])</f>
        <v>170</v>
      </c>
      <c r="C1934" s="32" t="s">
        <v>739</v>
      </c>
      <c r="D1934" s="32" t="str">
        <f>_xlfn.CONCAT("14",Main[[#This Row],[تاريخ]])</f>
        <v>1400/08/03</v>
      </c>
      <c r="E1934" s="33">
        <v>44494</v>
      </c>
      <c r="F1934" s="32">
        <v>10003</v>
      </c>
      <c r="G1934" s="5" t="str">
        <f>INDEX(customer[عنوان],MATCH(Main[[#This Row],[کد ردیابی]],customer[کد],0))</f>
        <v>اصغر نورعلی</v>
      </c>
      <c r="H1934">
        <v>3122</v>
      </c>
      <c r="I1934" s="6">
        <f ca="1">-Main[[#This Row],[بدهی تسویه شده (کیلوگرم)]]+Main[[#This Row],[بستانکار (کیلوگرم)]]</f>
        <v>3122</v>
      </c>
      <c r="J1934" s="6">
        <f>IF(Main[[#This Row],[مقدار (کیلوگرم)]]&gt;0,Main[[#This Row],[مقدار (کیلوگرم)]],0)</f>
        <v>3122</v>
      </c>
      <c r="K1934" s="6">
        <f>-IF(Main[[#This Row],[مقدار (کیلوگرم)]]&lt;0,Main[[#This Row],[مقدار (کیلوگرم)]],0)</f>
        <v>0</v>
      </c>
      <c r="L19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4" s="7">
        <f>-IF(AND(Main[[#This Row],[مقدار (کیلوگرم)]]&lt;0,Main[[#This Row],[تاريخ میلادی]]&gt;44276),Main[[#This Row],[مقدار (کیلوگرم)]],0)</f>
        <v>0</v>
      </c>
      <c r="N1934" s="6">
        <f ca="1">Main[[#This Row],[بدهکار (کیلوگرم)]]-Main[[#This Row],[بدهی تسویه نشده (کیلوگرم)]]</f>
        <v>0</v>
      </c>
      <c r="O1934" s="6">
        <f ca="1">Main[[#This Row],[تفکیک]]</f>
        <v>0</v>
      </c>
      <c r="P1934" s="6">
        <f ca="1">IF(Main[[#This Row],[تاخیر از سررسید]]&gt;0,Main[[#This Row],[بدهی تسویه نشده (کیلوگرم)]],0)</f>
        <v>0</v>
      </c>
      <c r="Q1934" s="6">
        <f ca="1">IF(Main[[#This Row],[بدهی تسویه نشده (کیلوگرم)]]&gt;0,'گزارش فردی'!$B$7-Main[[#This Row],[تاريخ میلادی]],0)</f>
        <v>0</v>
      </c>
      <c r="R1934" s="6">
        <f ca="1">IF(Main[[#This Row],[بدهی تسویه نشده (کیلوگرم)]]&gt;0,'گزارش فردی'!$B$7-Main[[#This Row],[تاريخ میلادی]]-'گزارش فردی'!$B$8,0)</f>
        <v>0</v>
      </c>
      <c r="S1934" s="6">
        <f ca="1">Main[[#This Row],[روز از ارسال سفارش]]*Main[[#This Row],[بدهی تسویه نشده (کیلوگرم)]]</f>
        <v>0</v>
      </c>
      <c r="T1934" s="6">
        <f ca="1">Main[[#This Row],[بدهی سررسید شده (کیلوگرم)]]*Main[[#This Row],[روز از ارسال سفارش]]</f>
        <v>0</v>
      </c>
      <c r="U1934" s="6">
        <f>-SUBTOTAL(9,INDEX(Main[مقدار (کیلوگرم)],1):Main[[#This Row],[مقدار (کیلوگرم)]])</f>
        <v>28047</v>
      </c>
      <c r="V19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4" s="6">
        <f>Main[[#This Row],[تعداد کل روزهای بدهکار (روز)]]*Main[[#This Row],[مانده در خط کل (کیلوگرم)]]</f>
        <v>0</v>
      </c>
      <c r="X1934" s="6">
        <f ca="1">-SUBTOTAL(9,INDEX(Main[مقدار تسویه شده (کیلوگرم)],1):Main[[#This Row],[مقدار تسویه شده (کیلوگرم)]])</f>
        <v>28047</v>
      </c>
      <c r="Y1934" s="6">
        <f ca="1">IF(Main[[#This Row],[مانده در خط تسویه شده (کیلوگرم)]]&lt;&gt;0,Main[[#This Row],[تعداد کل روزهای بدهکار (روز)]],0)</f>
        <v>0</v>
      </c>
      <c r="Z1934" s="6">
        <f ca="1">Main[[#This Row],[تعداد روزهای بدهکار تسویه شده (روز)]]*Main[[#This Row],[مانده در خط تسویه شده (کیلوگرم)]]</f>
        <v>0</v>
      </c>
      <c r="AA1934" s="6">
        <f ca="1">SUBTOTAL(9,INDEX(Main[بدهی تسویه نشده (کیلوگرم)],1):Main[[#This Row],[بدهی تسویه نشده (کیلوگرم)]])</f>
        <v>0</v>
      </c>
      <c r="AB1934" s="6">
        <f ca="1">IF(Main[[#This Row],[مانده در خط تسویه نشده (کیلوگرم)]]&lt;&gt;0,Main[[#This Row],[تعداد کل روزهای بدهکار (روز)]],0)</f>
        <v>0</v>
      </c>
      <c r="AC1934" s="6">
        <f ca="1">Main[[#This Row],[تعداد روزهای بدهکار  تسویه نشده (روز)]]*Main[[#This Row],[مانده در خط تسویه نشده (کیلوگرم)]]</f>
        <v>0</v>
      </c>
      <c r="AD1934" s="6">
        <f ca="1">SUBTOTAL(9,INDEX(Main[بدهی سررسید شده (کیلوگرم)],1):Main[[#This Row],[بدهی سررسید شده (کیلوگرم)]])</f>
        <v>0</v>
      </c>
      <c r="AE1934" s="6">
        <f ca="1">IF(Main[[#This Row],[مانده در خط سررسید شده (کیلوگرم)]]&lt;&gt;0,Main[[#This Row],[تعداد کل روزهای بدهکار (روز)]],0)</f>
        <v>0</v>
      </c>
      <c r="AF1934" s="6">
        <f ca="1">Main[[#This Row],[تعداد روزهای بدهکار سررسید شده (روز)]]*Main[[#This Row],[مانده در خط سررسید شده (کیلوگرم)]]</f>
        <v>0</v>
      </c>
    </row>
    <row r="1935" spans="1:32" hidden="1" x14ac:dyDescent="0.35">
      <c r="A1935" s="5">
        <f>ROW()-ROW(INDEX(Main[ردیف],1))+1</f>
        <v>1933</v>
      </c>
      <c r="B1935" s="31">
        <f>SUBTOTAL(2,INDEX(Main[ردیف],1):Main[[#This Row],[ردیف]])</f>
        <v>170</v>
      </c>
      <c r="C1935" s="32" t="s">
        <v>739</v>
      </c>
      <c r="D1935" s="32" t="str">
        <f>_xlfn.CONCAT("14",Main[[#This Row],[تاريخ]])</f>
        <v>1400/08/03</v>
      </c>
      <c r="E1935" s="33">
        <v>44494</v>
      </c>
      <c r="F1935" s="32">
        <v>30009</v>
      </c>
      <c r="G1935" s="5" t="str">
        <f>INDEX(customer[عنوان],MATCH(Main[[#This Row],[کد ردیابی]],customer[کد],0))</f>
        <v>شرکت ایمن تک پیشرو</v>
      </c>
      <c r="H1935">
        <v>-2069</v>
      </c>
      <c r="I1935" s="6">
        <f ca="1">-Main[[#This Row],[بدهی تسویه شده (کیلوگرم)]]+Main[[#This Row],[بستانکار (کیلوگرم)]]</f>
        <v>-2069</v>
      </c>
      <c r="J1935" s="6">
        <f>IF(Main[[#This Row],[مقدار (کیلوگرم)]]&gt;0,Main[[#This Row],[مقدار (کیلوگرم)]],0)</f>
        <v>0</v>
      </c>
      <c r="K1935" s="6">
        <f>-IF(Main[[#This Row],[مقدار (کیلوگرم)]]&lt;0,Main[[#This Row],[مقدار (کیلوگرم)]],0)</f>
        <v>2069</v>
      </c>
      <c r="L19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5" s="7">
        <f>-IF(AND(Main[[#This Row],[مقدار (کیلوگرم)]]&lt;0,Main[[#This Row],[تاريخ میلادی]]&gt;44276),Main[[#This Row],[مقدار (کیلوگرم)]],0)</f>
        <v>2069</v>
      </c>
      <c r="N1935" s="6">
        <f ca="1">Main[[#This Row],[بدهکار (کیلوگرم)]]-Main[[#This Row],[بدهی تسویه نشده (کیلوگرم)]]</f>
        <v>2069</v>
      </c>
      <c r="O1935" s="6">
        <f ca="1">Main[[#This Row],[تفکیک]]</f>
        <v>0</v>
      </c>
      <c r="P1935" s="6">
        <f ca="1">IF(Main[[#This Row],[تاخیر از سررسید]]&gt;0,Main[[#This Row],[بدهی تسویه نشده (کیلوگرم)]],0)</f>
        <v>0</v>
      </c>
      <c r="Q1935" s="6">
        <f ca="1">IF(Main[[#This Row],[بدهی تسویه نشده (کیلوگرم)]]&gt;0,'گزارش فردی'!$B$7-Main[[#This Row],[تاريخ میلادی]],0)</f>
        <v>0</v>
      </c>
      <c r="R1935" s="6">
        <f ca="1">IF(Main[[#This Row],[بدهی تسویه نشده (کیلوگرم)]]&gt;0,'گزارش فردی'!$B$7-Main[[#This Row],[تاريخ میلادی]]-'گزارش فردی'!$B$8,0)</f>
        <v>0</v>
      </c>
      <c r="S1935" s="6">
        <f ca="1">Main[[#This Row],[روز از ارسال سفارش]]*Main[[#This Row],[بدهی تسویه نشده (کیلوگرم)]]</f>
        <v>0</v>
      </c>
      <c r="T1935" s="6">
        <f ca="1">Main[[#This Row],[بدهی سررسید شده (کیلوگرم)]]*Main[[#This Row],[روز از ارسال سفارش]]</f>
        <v>0</v>
      </c>
      <c r="U1935" s="6">
        <f>-SUBTOTAL(9,INDEX(Main[مقدار (کیلوگرم)],1):Main[[#This Row],[مقدار (کیلوگرم)]])</f>
        <v>28047</v>
      </c>
      <c r="V19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5" s="6">
        <f>Main[[#This Row],[تعداد کل روزهای بدهکار (روز)]]*Main[[#This Row],[مانده در خط کل (کیلوگرم)]]</f>
        <v>0</v>
      </c>
      <c r="X1935" s="6">
        <f ca="1">-SUBTOTAL(9,INDEX(Main[مقدار تسویه شده (کیلوگرم)],1):Main[[#This Row],[مقدار تسویه شده (کیلوگرم)]])</f>
        <v>28047</v>
      </c>
      <c r="Y1935" s="6">
        <f ca="1">IF(Main[[#This Row],[مانده در خط تسویه شده (کیلوگرم)]]&lt;&gt;0,Main[[#This Row],[تعداد کل روزهای بدهکار (روز)]],0)</f>
        <v>0</v>
      </c>
      <c r="Z1935" s="6">
        <f ca="1">Main[[#This Row],[تعداد روزهای بدهکار تسویه شده (روز)]]*Main[[#This Row],[مانده در خط تسویه شده (کیلوگرم)]]</f>
        <v>0</v>
      </c>
      <c r="AA1935" s="6">
        <f ca="1">SUBTOTAL(9,INDEX(Main[بدهی تسویه نشده (کیلوگرم)],1):Main[[#This Row],[بدهی تسویه نشده (کیلوگرم)]])</f>
        <v>0</v>
      </c>
      <c r="AB1935" s="6">
        <f ca="1">IF(Main[[#This Row],[مانده در خط تسویه نشده (کیلوگرم)]]&lt;&gt;0,Main[[#This Row],[تعداد کل روزهای بدهکار (روز)]],0)</f>
        <v>0</v>
      </c>
      <c r="AC1935" s="6">
        <f ca="1">Main[[#This Row],[تعداد روزهای بدهکار  تسویه نشده (روز)]]*Main[[#This Row],[مانده در خط تسویه نشده (کیلوگرم)]]</f>
        <v>0</v>
      </c>
      <c r="AD1935" s="6">
        <f ca="1">SUBTOTAL(9,INDEX(Main[بدهی سررسید شده (کیلوگرم)],1):Main[[#This Row],[بدهی سررسید شده (کیلوگرم)]])</f>
        <v>0</v>
      </c>
      <c r="AE1935" s="6">
        <f ca="1">IF(Main[[#This Row],[مانده در خط سررسید شده (کیلوگرم)]]&lt;&gt;0,Main[[#This Row],[تعداد کل روزهای بدهکار (روز)]],0)</f>
        <v>0</v>
      </c>
      <c r="AF1935" s="6">
        <f ca="1">Main[[#This Row],[تعداد روزهای بدهکار سررسید شده (روز)]]*Main[[#This Row],[مانده در خط سررسید شده (کیلوگرم)]]</f>
        <v>0</v>
      </c>
    </row>
    <row r="1936" spans="1:32" hidden="1" x14ac:dyDescent="0.35">
      <c r="A1936" s="5">
        <f>ROW()-ROW(INDEX(Main[ردیف],1))+1</f>
        <v>1934</v>
      </c>
      <c r="B1936" s="31">
        <f>SUBTOTAL(2,INDEX(Main[ردیف],1):Main[[#This Row],[ردیف]])</f>
        <v>170</v>
      </c>
      <c r="C1936" s="32" t="s">
        <v>739</v>
      </c>
      <c r="D1936" s="32" t="str">
        <f>_xlfn.CONCAT("14",Main[[#This Row],[تاريخ]])</f>
        <v>1400/08/03</v>
      </c>
      <c r="E1936" s="33">
        <v>44494</v>
      </c>
      <c r="F1936" s="32">
        <v>30066</v>
      </c>
      <c r="G1936" s="5" t="str">
        <f>INDEX(customer[عنوان],MATCH(Main[[#This Row],[کد ردیابی]],customer[کد],0))</f>
        <v xml:space="preserve">شیر آلات بهداشتی قهرمان </v>
      </c>
      <c r="H1936">
        <v>3500</v>
      </c>
      <c r="I1936" s="6">
        <f ca="1">-Main[[#This Row],[بدهی تسویه شده (کیلوگرم)]]+Main[[#This Row],[بستانکار (کیلوگرم)]]</f>
        <v>3500</v>
      </c>
      <c r="J1936" s="6">
        <f>IF(Main[[#This Row],[مقدار (کیلوگرم)]]&gt;0,Main[[#This Row],[مقدار (کیلوگرم)]],0)</f>
        <v>3500</v>
      </c>
      <c r="K1936" s="6">
        <f>-IF(Main[[#This Row],[مقدار (کیلوگرم)]]&lt;0,Main[[#This Row],[مقدار (کیلوگرم)]],0)</f>
        <v>0</v>
      </c>
      <c r="L19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6" s="7">
        <f>-IF(AND(Main[[#This Row],[مقدار (کیلوگرم)]]&lt;0,Main[[#This Row],[تاريخ میلادی]]&gt;44276),Main[[#This Row],[مقدار (کیلوگرم)]],0)</f>
        <v>0</v>
      </c>
      <c r="N1936" s="6">
        <f ca="1">Main[[#This Row],[بدهکار (کیلوگرم)]]-Main[[#This Row],[بدهی تسویه نشده (کیلوگرم)]]</f>
        <v>0</v>
      </c>
      <c r="O1936" s="6">
        <f ca="1">Main[[#This Row],[تفکیک]]</f>
        <v>0</v>
      </c>
      <c r="P1936" s="6">
        <f ca="1">IF(Main[[#This Row],[تاخیر از سررسید]]&gt;0,Main[[#This Row],[بدهی تسویه نشده (کیلوگرم)]],0)</f>
        <v>0</v>
      </c>
      <c r="Q1936" s="6">
        <f ca="1">IF(Main[[#This Row],[بدهی تسویه نشده (کیلوگرم)]]&gt;0,'گزارش فردی'!$B$7-Main[[#This Row],[تاريخ میلادی]],0)</f>
        <v>0</v>
      </c>
      <c r="R1936" s="6">
        <f ca="1">IF(Main[[#This Row],[بدهی تسویه نشده (کیلوگرم)]]&gt;0,'گزارش فردی'!$B$7-Main[[#This Row],[تاريخ میلادی]]-'گزارش فردی'!$B$8,0)</f>
        <v>0</v>
      </c>
      <c r="S1936" s="6">
        <f ca="1">Main[[#This Row],[روز از ارسال سفارش]]*Main[[#This Row],[بدهی تسویه نشده (کیلوگرم)]]</f>
        <v>0</v>
      </c>
      <c r="T1936" s="6">
        <f ca="1">Main[[#This Row],[بدهی سررسید شده (کیلوگرم)]]*Main[[#This Row],[روز از ارسال سفارش]]</f>
        <v>0</v>
      </c>
      <c r="U1936" s="6">
        <f>-SUBTOTAL(9,INDEX(Main[مقدار (کیلوگرم)],1):Main[[#This Row],[مقدار (کیلوگرم)]])</f>
        <v>28047</v>
      </c>
      <c r="V19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6" s="6">
        <f>Main[[#This Row],[تعداد کل روزهای بدهکار (روز)]]*Main[[#This Row],[مانده در خط کل (کیلوگرم)]]</f>
        <v>0</v>
      </c>
      <c r="X1936" s="6">
        <f ca="1">-SUBTOTAL(9,INDEX(Main[مقدار تسویه شده (کیلوگرم)],1):Main[[#This Row],[مقدار تسویه شده (کیلوگرم)]])</f>
        <v>28047</v>
      </c>
      <c r="Y1936" s="6">
        <f ca="1">IF(Main[[#This Row],[مانده در خط تسویه شده (کیلوگرم)]]&lt;&gt;0,Main[[#This Row],[تعداد کل روزهای بدهکار (روز)]],0)</f>
        <v>0</v>
      </c>
      <c r="Z1936" s="6">
        <f ca="1">Main[[#This Row],[تعداد روزهای بدهکار تسویه شده (روز)]]*Main[[#This Row],[مانده در خط تسویه شده (کیلوگرم)]]</f>
        <v>0</v>
      </c>
      <c r="AA1936" s="6">
        <f ca="1">SUBTOTAL(9,INDEX(Main[بدهی تسویه نشده (کیلوگرم)],1):Main[[#This Row],[بدهی تسویه نشده (کیلوگرم)]])</f>
        <v>0</v>
      </c>
      <c r="AB1936" s="6">
        <f ca="1">IF(Main[[#This Row],[مانده در خط تسویه نشده (کیلوگرم)]]&lt;&gt;0,Main[[#This Row],[تعداد کل روزهای بدهکار (روز)]],0)</f>
        <v>0</v>
      </c>
      <c r="AC1936" s="6">
        <f ca="1">Main[[#This Row],[تعداد روزهای بدهکار  تسویه نشده (روز)]]*Main[[#This Row],[مانده در خط تسویه نشده (کیلوگرم)]]</f>
        <v>0</v>
      </c>
      <c r="AD1936" s="6">
        <f ca="1">SUBTOTAL(9,INDEX(Main[بدهی سررسید شده (کیلوگرم)],1):Main[[#This Row],[بدهی سررسید شده (کیلوگرم)]])</f>
        <v>0</v>
      </c>
      <c r="AE1936" s="6">
        <f ca="1">IF(Main[[#This Row],[مانده در خط سررسید شده (کیلوگرم)]]&lt;&gt;0,Main[[#This Row],[تعداد کل روزهای بدهکار (روز)]],0)</f>
        <v>0</v>
      </c>
      <c r="AF1936" s="6">
        <f ca="1">Main[[#This Row],[تعداد روزهای بدهکار سررسید شده (روز)]]*Main[[#This Row],[مانده در خط سررسید شده (کیلوگرم)]]</f>
        <v>0</v>
      </c>
    </row>
    <row r="1937" spans="1:32" hidden="1" x14ac:dyDescent="0.35">
      <c r="A1937" s="5">
        <f>ROW()-ROW(INDEX(Main[ردیف],1))+1</f>
        <v>1935</v>
      </c>
      <c r="B1937" s="31">
        <f>SUBTOTAL(2,INDEX(Main[ردیف],1):Main[[#This Row],[ردیف]])</f>
        <v>170</v>
      </c>
      <c r="C1937" s="32" t="s">
        <v>739</v>
      </c>
      <c r="D1937" s="32" t="str">
        <f>_xlfn.CONCAT("14",Main[[#This Row],[تاريخ]])</f>
        <v>1400/08/03</v>
      </c>
      <c r="E1937" s="33">
        <v>44494</v>
      </c>
      <c r="F1937" s="32">
        <v>10128</v>
      </c>
      <c r="G1937" s="5" t="str">
        <f>INDEX(customer[عنوان],MATCH(Main[[#This Row],[کد ردیابی]],customer[کد],0))</f>
        <v xml:space="preserve">رویا اصلانی </v>
      </c>
      <c r="H1937">
        <v>-8</v>
      </c>
      <c r="I1937" s="6">
        <f ca="1">-Main[[#This Row],[بدهی تسویه شده (کیلوگرم)]]+Main[[#This Row],[بستانکار (کیلوگرم)]]</f>
        <v>-8</v>
      </c>
      <c r="J1937" s="6">
        <f>IF(Main[[#This Row],[مقدار (کیلوگرم)]]&gt;0,Main[[#This Row],[مقدار (کیلوگرم)]],0)</f>
        <v>0</v>
      </c>
      <c r="K1937" s="6">
        <f>-IF(Main[[#This Row],[مقدار (کیلوگرم)]]&lt;0,Main[[#This Row],[مقدار (کیلوگرم)]],0)</f>
        <v>8</v>
      </c>
      <c r="L19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7" s="7">
        <f>-IF(AND(Main[[#This Row],[مقدار (کیلوگرم)]]&lt;0,Main[[#This Row],[تاريخ میلادی]]&gt;44276),Main[[#This Row],[مقدار (کیلوگرم)]],0)</f>
        <v>8</v>
      </c>
      <c r="N1937" s="6">
        <f ca="1">Main[[#This Row],[بدهکار (کیلوگرم)]]-Main[[#This Row],[بدهی تسویه نشده (کیلوگرم)]]</f>
        <v>8</v>
      </c>
      <c r="O1937" s="6">
        <f ca="1">Main[[#This Row],[تفکیک]]</f>
        <v>0</v>
      </c>
      <c r="P1937" s="6">
        <f ca="1">IF(Main[[#This Row],[تاخیر از سررسید]]&gt;0,Main[[#This Row],[بدهی تسویه نشده (کیلوگرم)]],0)</f>
        <v>0</v>
      </c>
      <c r="Q1937" s="6">
        <f ca="1">IF(Main[[#This Row],[بدهی تسویه نشده (کیلوگرم)]]&gt;0,'گزارش فردی'!$B$7-Main[[#This Row],[تاريخ میلادی]],0)</f>
        <v>0</v>
      </c>
      <c r="R1937" s="6">
        <f ca="1">IF(Main[[#This Row],[بدهی تسویه نشده (کیلوگرم)]]&gt;0,'گزارش فردی'!$B$7-Main[[#This Row],[تاريخ میلادی]]-'گزارش فردی'!$B$8,0)</f>
        <v>0</v>
      </c>
      <c r="S1937" s="6">
        <f ca="1">Main[[#This Row],[روز از ارسال سفارش]]*Main[[#This Row],[بدهی تسویه نشده (کیلوگرم)]]</f>
        <v>0</v>
      </c>
      <c r="T1937" s="6">
        <f ca="1">Main[[#This Row],[بدهی سررسید شده (کیلوگرم)]]*Main[[#This Row],[روز از ارسال سفارش]]</f>
        <v>0</v>
      </c>
      <c r="U1937" s="6">
        <f>-SUBTOTAL(9,INDEX(Main[مقدار (کیلوگرم)],1):Main[[#This Row],[مقدار (کیلوگرم)]])</f>
        <v>28047</v>
      </c>
      <c r="V19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7" s="6">
        <f>Main[[#This Row],[تعداد کل روزهای بدهکار (روز)]]*Main[[#This Row],[مانده در خط کل (کیلوگرم)]]</f>
        <v>0</v>
      </c>
      <c r="X1937" s="6">
        <f ca="1">-SUBTOTAL(9,INDEX(Main[مقدار تسویه شده (کیلوگرم)],1):Main[[#This Row],[مقدار تسویه شده (کیلوگرم)]])</f>
        <v>28047</v>
      </c>
      <c r="Y1937" s="6">
        <f ca="1">IF(Main[[#This Row],[مانده در خط تسویه شده (کیلوگرم)]]&lt;&gt;0,Main[[#This Row],[تعداد کل روزهای بدهکار (روز)]],0)</f>
        <v>0</v>
      </c>
      <c r="Z1937" s="6">
        <f ca="1">Main[[#This Row],[تعداد روزهای بدهکار تسویه شده (روز)]]*Main[[#This Row],[مانده در خط تسویه شده (کیلوگرم)]]</f>
        <v>0</v>
      </c>
      <c r="AA1937" s="6">
        <f ca="1">SUBTOTAL(9,INDEX(Main[بدهی تسویه نشده (کیلوگرم)],1):Main[[#This Row],[بدهی تسویه نشده (کیلوگرم)]])</f>
        <v>0</v>
      </c>
      <c r="AB1937" s="6">
        <f ca="1">IF(Main[[#This Row],[مانده در خط تسویه نشده (کیلوگرم)]]&lt;&gt;0,Main[[#This Row],[تعداد کل روزهای بدهکار (روز)]],0)</f>
        <v>0</v>
      </c>
      <c r="AC1937" s="6">
        <f ca="1">Main[[#This Row],[تعداد روزهای بدهکار  تسویه نشده (روز)]]*Main[[#This Row],[مانده در خط تسویه نشده (کیلوگرم)]]</f>
        <v>0</v>
      </c>
      <c r="AD1937" s="6">
        <f ca="1">SUBTOTAL(9,INDEX(Main[بدهی سررسید شده (کیلوگرم)],1):Main[[#This Row],[بدهی سررسید شده (کیلوگرم)]])</f>
        <v>0</v>
      </c>
      <c r="AE1937" s="6">
        <f ca="1">IF(Main[[#This Row],[مانده در خط سررسید شده (کیلوگرم)]]&lt;&gt;0,Main[[#This Row],[تعداد کل روزهای بدهکار (روز)]],0)</f>
        <v>0</v>
      </c>
      <c r="AF1937" s="6">
        <f ca="1">Main[[#This Row],[تعداد روزهای بدهکار سررسید شده (روز)]]*Main[[#This Row],[مانده در خط سررسید شده (کیلوگرم)]]</f>
        <v>0</v>
      </c>
    </row>
    <row r="1938" spans="1:32" hidden="1" x14ac:dyDescent="0.35">
      <c r="A1938" s="5">
        <f>ROW()-ROW(INDEX(Main[ردیف],1))+1</f>
        <v>1936</v>
      </c>
      <c r="B1938" s="31">
        <f>SUBTOTAL(2,INDEX(Main[ردیف],1):Main[[#This Row],[ردیف]])</f>
        <v>170</v>
      </c>
      <c r="C1938" s="32" t="s">
        <v>739</v>
      </c>
      <c r="D1938" s="32" t="str">
        <f>_xlfn.CONCAT("14",Main[[#This Row],[تاريخ]])</f>
        <v>1400/08/03</v>
      </c>
      <c r="E1938" s="33">
        <v>44494</v>
      </c>
      <c r="F1938" s="32">
        <v>10128</v>
      </c>
      <c r="G1938" s="5" t="str">
        <f>INDEX(customer[عنوان],MATCH(Main[[#This Row],[کد ردیابی]],customer[کد],0))</f>
        <v xml:space="preserve">رویا اصلانی </v>
      </c>
      <c r="H1938">
        <v>-154</v>
      </c>
      <c r="I1938" s="6">
        <f ca="1">-Main[[#This Row],[بدهی تسویه شده (کیلوگرم)]]+Main[[#This Row],[بستانکار (کیلوگرم)]]</f>
        <v>-154</v>
      </c>
      <c r="J1938" s="6">
        <f>IF(Main[[#This Row],[مقدار (کیلوگرم)]]&gt;0,Main[[#This Row],[مقدار (کیلوگرم)]],0)</f>
        <v>0</v>
      </c>
      <c r="K1938" s="6">
        <f>-IF(Main[[#This Row],[مقدار (کیلوگرم)]]&lt;0,Main[[#This Row],[مقدار (کیلوگرم)]],0)</f>
        <v>154</v>
      </c>
      <c r="L19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8" s="7">
        <f>-IF(AND(Main[[#This Row],[مقدار (کیلوگرم)]]&lt;0,Main[[#This Row],[تاريخ میلادی]]&gt;44276),Main[[#This Row],[مقدار (کیلوگرم)]],0)</f>
        <v>154</v>
      </c>
      <c r="N1938" s="6">
        <f ca="1">Main[[#This Row],[بدهکار (کیلوگرم)]]-Main[[#This Row],[بدهی تسویه نشده (کیلوگرم)]]</f>
        <v>154</v>
      </c>
      <c r="O1938" s="6">
        <f ca="1">Main[[#This Row],[تفکیک]]</f>
        <v>0</v>
      </c>
      <c r="P1938" s="6">
        <f ca="1">IF(Main[[#This Row],[تاخیر از سررسید]]&gt;0,Main[[#This Row],[بدهی تسویه نشده (کیلوگرم)]],0)</f>
        <v>0</v>
      </c>
      <c r="Q1938" s="6">
        <f ca="1">IF(Main[[#This Row],[بدهی تسویه نشده (کیلوگرم)]]&gt;0,'گزارش فردی'!$B$7-Main[[#This Row],[تاريخ میلادی]],0)</f>
        <v>0</v>
      </c>
      <c r="R1938" s="6">
        <f ca="1">IF(Main[[#This Row],[بدهی تسویه نشده (کیلوگرم)]]&gt;0,'گزارش فردی'!$B$7-Main[[#This Row],[تاريخ میلادی]]-'گزارش فردی'!$B$8,0)</f>
        <v>0</v>
      </c>
      <c r="S1938" s="6">
        <f ca="1">Main[[#This Row],[روز از ارسال سفارش]]*Main[[#This Row],[بدهی تسویه نشده (کیلوگرم)]]</f>
        <v>0</v>
      </c>
      <c r="T1938" s="6">
        <f ca="1">Main[[#This Row],[بدهی سررسید شده (کیلوگرم)]]*Main[[#This Row],[روز از ارسال سفارش]]</f>
        <v>0</v>
      </c>
      <c r="U1938" s="6">
        <f>-SUBTOTAL(9,INDEX(Main[مقدار (کیلوگرم)],1):Main[[#This Row],[مقدار (کیلوگرم)]])</f>
        <v>28047</v>
      </c>
      <c r="V19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8" s="6">
        <f>Main[[#This Row],[تعداد کل روزهای بدهکار (روز)]]*Main[[#This Row],[مانده در خط کل (کیلوگرم)]]</f>
        <v>0</v>
      </c>
      <c r="X1938" s="6">
        <f ca="1">-SUBTOTAL(9,INDEX(Main[مقدار تسویه شده (کیلوگرم)],1):Main[[#This Row],[مقدار تسویه شده (کیلوگرم)]])</f>
        <v>28047</v>
      </c>
      <c r="Y1938" s="6">
        <f ca="1">IF(Main[[#This Row],[مانده در خط تسویه شده (کیلوگرم)]]&lt;&gt;0,Main[[#This Row],[تعداد کل روزهای بدهکار (روز)]],0)</f>
        <v>0</v>
      </c>
      <c r="Z1938" s="6">
        <f ca="1">Main[[#This Row],[تعداد روزهای بدهکار تسویه شده (روز)]]*Main[[#This Row],[مانده در خط تسویه شده (کیلوگرم)]]</f>
        <v>0</v>
      </c>
      <c r="AA1938" s="6">
        <f ca="1">SUBTOTAL(9,INDEX(Main[بدهی تسویه نشده (کیلوگرم)],1):Main[[#This Row],[بدهی تسویه نشده (کیلوگرم)]])</f>
        <v>0</v>
      </c>
      <c r="AB1938" s="6">
        <f ca="1">IF(Main[[#This Row],[مانده در خط تسویه نشده (کیلوگرم)]]&lt;&gt;0,Main[[#This Row],[تعداد کل روزهای بدهکار (روز)]],0)</f>
        <v>0</v>
      </c>
      <c r="AC1938" s="6">
        <f ca="1">Main[[#This Row],[تعداد روزهای بدهکار  تسویه نشده (روز)]]*Main[[#This Row],[مانده در خط تسویه نشده (کیلوگرم)]]</f>
        <v>0</v>
      </c>
      <c r="AD1938" s="6">
        <f ca="1">SUBTOTAL(9,INDEX(Main[بدهی سررسید شده (کیلوگرم)],1):Main[[#This Row],[بدهی سررسید شده (کیلوگرم)]])</f>
        <v>0</v>
      </c>
      <c r="AE1938" s="6">
        <f ca="1">IF(Main[[#This Row],[مانده در خط سررسید شده (کیلوگرم)]]&lt;&gt;0,Main[[#This Row],[تعداد کل روزهای بدهکار (روز)]],0)</f>
        <v>0</v>
      </c>
      <c r="AF1938" s="6">
        <f ca="1">Main[[#This Row],[تعداد روزهای بدهکار سررسید شده (روز)]]*Main[[#This Row],[مانده در خط سررسید شده (کیلوگرم)]]</f>
        <v>0</v>
      </c>
    </row>
    <row r="1939" spans="1:32" x14ac:dyDescent="0.35">
      <c r="A1939" s="5">
        <f>ROW()-ROW(INDEX(Main[ردیف],1))+1</f>
        <v>1937</v>
      </c>
      <c r="B1939" s="31">
        <f>SUBTOTAL(2,INDEX(Main[ردیف],1):Main[[#This Row],[ردیف]])</f>
        <v>171</v>
      </c>
      <c r="C1939" s="32" t="s">
        <v>739</v>
      </c>
      <c r="D1939" s="32" t="str">
        <f>_xlfn.CONCAT("14",Main[[#This Row],[تاريخ]])</f>
        <v>1400/08/03</v>
      </c>
      <c r="E1939" s="33">
        <v>44494</v>
      </c>
      <c r="F1939" s="32">
        <v>10003</v>
      </c>
      <c r="G1939" s="5" t="str">
        <f>INDEX(customer[عنوان],MATCH(Main[[#This Row],[کد ردیابی]],customer[کد],0))</f>
        <v>اصغر نورعلی</v>
      </c>
      <c r="H1939">
        <v>-3413</v>
      </c>
      <c r="I1939" s="6">
        <f ca="1">-Main[[#This Row],[بدهی تسویه شده (کیلوگرم)]]+Main[[#This Row],[بستانکار (کیلوگرم)]]</f>
        <v>-3413</v>
      </c>
      <c r="J1939" s="6">
        <f>IF(Main[[#This Row],[مقدار (کیلوگرم)]]&gt;0,Main[[#This Row],[مقدار (کیلوگرم)]],0)</f>
        <v>0</v>
      </c>
      <c r="K1939" s="6">
        <f>-IF(Main[[#This Row],[مقدار (کیلوگرم)]]&lt;0,Main[[#This Row],[مقدار (کیلوگرم)]],0)</f>
        <v>3413</v>
      </c>
      <c r="L19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9" s="7">
        <f>-IF(AND(Main[[#This Row],[مقدار (کیلوگرم)]]&lt;0,Main[[#This Row],[تاريخ میلادی]]&gt;44276),Main[[#This Row],[مقدار (کیلوگرم)]],0)</f>
        <v>3413</v>
      </c>
      <c r="N1939" s="6">
        <f ca="1">Main[[#This Row],[بدهکار (کیلوگرم)]]-Main[[#This Row],[بدهی تسویه نشده (کیلوگرم)]]</f>
        <v>3413</v>
      </c>
      <c r="O1939" s="6">
        <f ca="1">Main[[#This Row],[تفکیک]]</f>
        <v>0</v>
      </c>
      <c r="P1939" s="6">
        <f ca="1">IF(Main[[#This Row],[تاخیر از سررسید]]&gt;0,Main[[#This Row],[بدهی تسویه نشده (کیلوگرم)]],0)</f>
        <v>0</v>
      </c>
      <c r="Q1939" s="6">
        <f ca="1">IF(Main[[#This Row],[بدهی تسویه نشده (کیلوگرم)]]&gt;0,'گزارش فردی'!$B$7-Main[[#This Row],[تاريخ میلادی]],0)</f>
        <v>0</v>
      </c>
      <c r="R1939" s="6">
        <f ca="1">IF(Main[[#This Row],[بدهی تسویه نشده (کیلوگرم)]]&gt;0,'گزارش فردی'!$B$7-Main[[#This Row],[تاريخ میلادی]]-'گزارش فردی'!$B$8,0)</f>
        <v>0</v>
      </c>
      <c r="S1939" s="6">
        <f ca="1">Main[[#This Row],[روز از ارسال سفارش]]*Main[[#This Row],[بدهی تسویه نشده (کیلوگرم)]]</f>
        <v>0</v>
      </c>
      <c r="T1939" s="6">
        <f ca="1">Main[[#This Row],[بدهی سررسید شده (کیلوگرم)]]*Main[[#This Row],[روز از ارسال سفارش]]</f>
        <v>0</v>
      </c>
      <c r="U1939" s="6">
        <f>-SUBTOTAL(9,INDEX(Main[مقدار (کیلوگرم)],1):Main[[#This Row],[مقدار (کیلوگرم)]])</f>
        <v>31460</v>
      </c>
      <c r="V19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39" s="6">
        <f>Main[[#This Row],[تعداد کل روزهای بدهکار (روز)]]*Main[[#This Row],[مانده در خط کل (کیلوگرم)]]</f>
        <v>31460</v>
      </c>
      <c r="X1939" s="6">
        <f ca="1">-SUBTOTAL(9,INDEX(Main[مقدار تسویه شده (کیلوگرم)],1):Main[[#This Row],[مقدار تسویه شده (کیلوگرم)]])</f>
        <v>31460</v>
      </c>
      <c r="Y1939" s="6">
        <f ca="1">IF(Main[[#This Row],[مانده در خط تسویه شده (کیلوگرم)]]&lt;&gt;0,Main[[#This Row],[تعداد کل روزهای بدهکار (روز)]],0)</f>
        <v>1</v>
      </c>
      <c r="Z1939" s="6">
        <f ca="1">Main[[#This Row],[تعداد روزهای بدهکار تسویه شده (روز)]]*Main[[#This Row],[مانده در خط تسویه شده (کیلوگرم)]]</f>
        <v>31460</v>
      </c>
      <c r="AA1939" s="6">
        <f ca="1">SUBTOTAL(9,INDEX(Main[بدهی تسویه نشده (کیلوگرم)],1):Main[[#This Row],[بدهی تسویه نشده (کیلوگرم)]])</f>
        <v>0</v>
      </c>
      <c r="AB1939" s="6">
        <f ca="1">IF(Main[[#This Row],[مانده در خط تسویه نشده (کیلوگرم)]]&lt;&gt;0,Main[[#This Row],[تعداد کل روزهای بدهکار (روز)]],0)</f>
        <v>0</v>
      </c>
      <c r="AC1939" s="6">
        <f ca="1">Main[[#This Row],[تعداد روزهای بدهکار  تسویه نشده (روز)]]*Main[[#This Row],[مانده در خط تسویه نشده (کیلوگرم)]]</f>
        <v>0</v>
      </c>
      <c r="AD1939" s="6">
        <f ca="1">SUBTOTAL(9,INDEX(Main[بدهی سررسید شده (کیلوگرم)],1):Main[[#This Row],[بدهی سررسید شده (کیلوگرم)]])</f>
        <v>0</v>
      </c>
      <c r="AE1939" s="6">
        <f ca="1">IF(Main[[#This Row],[مانده در خط سررسید شده (کیلوگرم)]]&lt;&gt;0,Main[[#This Row],[تعداد کل روزهای بدهکار (روز)]],0)</f>
        <v>0</v>
      </c>
      <c r="AF1939" s="6">
        <f ca="1">Main[[#This Row],[تعداد روزهای بدهکار سررسید شده (روز)]]*Main[[#This Row],[مانده در خط سررسید شده (کیلوگرم)]]</f>
        <v>0</v>
      </c>
    </row>
    <row r="1940" spans="1:32" hidden="1" x14ac:dyDescent="0.35">
      <c r="A1940" s="5">
        <f>ROW()-ROW(INDEX(Main[ردیف],1))+1</f>
        <v>1938</v>
      </c>
      <c r="B1940" s="31">
        <f>SUBTOTAL(2,INDEX(Main[ردیف],1):Main[[#This Row],[ردیف]])</f>
        <v>171</v>
      </c>
      <c r="C1940" s="32" t="s">
        <v>739</v>
      </c>
      <c r="D1940" s="32" t="str">
        <f>_xlfn.CONCAT("14",Main[[#This Row],[تاريخ]])</f>
        <v>1400/08/03</v>
      </c>
      <c r="E1940" s="33">
        <v>44494</v>
      </c>
      <c r="F1940" s="32">
        <v>10029</v>
      </c>
      <c r="G1940" s="5" t="str">
        <f>INDEX(customer[عنوان],MATCH(Main[[#This Row],[کد ردیابی]],customer[کد],0))</f>
        <v>رضا شریعتی</v>
      </c>
      <c r="H1940">
        <v>-312</v>
      </c>
      <c r="I1940" s="6">
        <f ca="1">-Main[[#This Row],[بدهی تسویه شده (کیلوگرم)]]+Main[[#This Row],[بستانکار (کیلوگرم)]]</f>
        <v>-312</v>
      </c>
      <c r="J1940" s="6">
        <f>IF(Main[[#This Row],[مقدار (کیلوگرم)]]&gt;0,Main[[#This Row],[مقدار (کیلوگرم)]],0)</f>
        <v>0</v>
      </c>
      <c r="K1940" s="6">
        <f>-IF(Main[[#This Row],[مقدار (کیلوگرم)]]&lt;0,Main[[#This Row],[مقدار (کیلوگرم)]],0)</f>
        <v>312</v>
      </c>
      <c r="L19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0" s="7">
        <f>-IF(AND(Main[[#This Row],[مقدار (کیلوگرم)]]&lt;0,Main[[#This Row],[تاريخ میلادی]]&gt;44276),Main[[#This Row],[مقدار (کیلوگرم)]],0)</f>
        <v>312</v>
      </c>
      <c r="N1940" s="6">
        <f ca="1">Main[[#This Row],[بدهکار (کیلوگرم)]]-Main[[#This Row],[بدهی تسویه نشده (کیلوگرم)]]</f>
        <v>312</v>
      </c>
      <c r="O1940" s="6">
        <f ca="1">Main[[#This Row],[تفکیک]]</f>
        <v>0</v>
      </c>
      <c r="P1940" s="6">
        <f ca="1">IF(Main[[#This Row],[تاخیر از سررسید]]&gt;0,Main[[#This Row],[بدهی تسویه نشده (کیلوگرم)]],0)</f>
        <v>0</v>
      </c>
      <c r="Q1940" s="6">
        <f ca="1">IF(Main[[#This Row],[بدهی تسویه نشده (کیلوگرم)]]&gt;0,'گزارش فردی'!$B$7-Main[[#This Row],[تاريخ میلادی]],0)</f>
        <v>0</v>
      </c>
      <c r="R1940" s="6">
        <f ca="1">IF(Main[[#This Row],[بدهی تسویه نشده (کیلوگرم)]]&gt;0,'گزارش فردی'!$B$7-Main[[#This Row],[تاريخ میلادی]]-'گزارش فردی'!$B$8,0)</f>
        <v>0</v>
      </c>
      <c r="S1940" s="6">
        <f ca="1">Main[[#This Row],[روز از ارسال سفارش]]*Main[[#This Row],[بدهی تسویه نشده (کیلوگرم)]]</f>
        <v>0</v>
      </c>
      <c r="T1940" s="6">
        <f ca="1">Main[[#This Row],[بدهی سررسید شده (کیلوگرم)]]*Main[[#This Row],[روز از ارسال سفارش]]</f>
        <v>0</v>
      </c>
      <c r="U1940" s="6">
        <f>-SUBTOTAL(9,INDEX(Main[مقدار (کیلوگرم)],1):Main[[#This Row],[مقدار (کیلوگرم)]])</f>
        <v>31460</v>
      </c>
      <c r="V19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40" s="6">
        <f>Main[[#This Row],[تعداد کل روزهای بدهکار (روز)]]*Main[[#This Row],[مانده در خط کل (کیلوگرم)]]</f>
        <v>31460</v>
      </c>
      <c r="X1940" s="6">
        <f ca="1">-SUBTOTAL(9,INDEX(Main[مقدار تسویه شده (کیلوگرم)],1):Main[[#This Row],[مقدار تسویه شده (کیلوگرم)]])</f>
        <v>31460</v>
      </c>
      <c r="Y1940" s="6">
        <f ca="1">IF(Main[[#This Row],[مانده در خط تسویه شده (کیلوگرم)]]&lt;&gt;0,Main[[#This Row],[تعداد کل روزهای بدهکار (روز)]],0)</f>
        <v>1</v>
      </c>
      <c r="Z1940" s="6">
        <f ca="1">Main[[#This Row],[تعداد روزهای بدهکار تسویه شده (روز)]]*Main[[#This Row],[مانده در خط تسویه شده (کیلوگرم)]]</f>
        <v>31460</v>
      </c>
      <c r="AA1940" s="6">
        <f ca="1">SUBTOTAL(9,INDEX(Main[بدهی تسویه نشده (کیلوگرم)],1):Main[[#This Row],[بدهی تسویه نشده (کیلوگرم)]])</f>
        <v>0</v>
      </c>
      <c r="AB1940" s="6">
        <f ca="1">IF(Main[[#This Row],[مانده در خط تسویه نشده (کیلوگرم)]]&lt;&gt;0,Main[[#This Row],[تعداد کل روزهای بدهکار (روز)]],0)</f>
        <v>0</v>
      </c>
      <c r="AC1940" s="6">
        <f ca="1">Main[[#This Row],[تعداد روزهای بدهکار  تسویه نشده (روز)]]*Main[[#This Row],[مانده در خط تسویه نشده (کیلوگرم)]]</f>
        <v>0</v>
      </c>
      <c r="AD1940" s="6">
        <f ca="1">SUBTOTAL(9,INDEX(Main[بدهی سررسید شده (کیلوگرم)],1):Main[[#This Row],[بدهی سررسید شده (کیلوگرم)]])</f>
        <v>0</v>
      </c>
      <c r="AE1940" s="6">
        <f ca="1">IF(Main[[#This Row],[مانده در خط سررسید شده (کیلوگرم)]]&lt;&gt;0,Main[[#This Row],[تعداد کل روزهای بدهکار (روز)]],0)</f>
        <v>0</v>
      </c>
      <c r="AF1940" s="6">
        <f ca="1">Main[[#This Row],[تعداد روزهای بدهکار سررسید شده (روز)]]*Main[[#This Row],[مانده در خط سررسید شده (کیلوگرم)]]</f>
        <v>0</v>
      </c>
    </row>
    <row r="1941" spans="1:32" hidden="1" x14ac:dyDescent="0.35">
      <c r="A1941" s="5">
        <f>ROW()-ROW(INDEX(Main[ردیف],1))+1</f>
        <v>1939</v>
      </c>
      <c r="B1941" s="31">
        <f>SUBTOTAL(2,INDEX(Main[ردیف],1):Main[[#This Row],[ردیف]])</f>
        <v>171</v>
      </c>
      <c r="C1941" s="32" t="s">
        <v>740</v>
      </c>
      <c r="D1941" s="32" t="str">
        <f>_xlfn.CONCAT("14",Main[[#This Row],[تاريخ]])</f>
        <v>1400/08/04</v>
      </c>
      <c r="E1941" s="33">
        <v>44495</v>
      </c>
      <c r="F1941" s="32">
        <v>30009</v>
      </c>
      <c r="G1941" s="5" t="str">
        <f>INDEX(customer[عنوان],MATCH(Main[[#This Row],[کد ردیابی]],customer[کد],0))</f>
        <v>شرکت ایمن تک پیشرو</v>
      </c>
      <c r="H1941">
        <v>1811</v>
      </c>
      <c r="I1941" s="6">
        <f ca="1">-Main[[#This Row],[بدهی تسویه شده (کیلوگرم)]]+Main[[#This Row],[بستانکار (کیلوگرم)]]</f>
        <v>1811</v>
      </c>
      <c r="J1941" s="6">
        <f>IF(Main[[#This Row],[مقدار (کیلوگرم)]]&gt;0,Main[[#This Row],[مقدار (کیلوگرم)]],0)</f>
        <v>1811</v>
      </c>
      <c r="K1941" s="6">
        <f>-IF(Main[[#This Row],[مقدار (کیلوگرم)]]&lt;0,Main[[#This Row],[مقدار (کیلوگرم)]],0)</f>
        <v>0</v>
      </c>
      <c r="L19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1" s="7">
        <f>-IF(AND(Main[[#This Row],[مقدار (کیلوگرم)]]&lt;0,Main[[#This Row],[تاريخ میلادی]]&gt;44276),Main[[#This Row],[مقدار (کیلوگرم)]],0)</f>
        <v>0</v>
      </c>
      <c r="N1941" s="6">
        <f ca="1">Main[[#This Row],[بدهکار (کیلوگرم)]]-Main[[#This Row],[بدهی تسویه نشده (کیلوگرم)]]</f>
        <v>0</v>
      </c>
      <c r="O1941" s="6">
        <f ca="1">Main[[#This Row],[تفکیک]]</f>
        <v>0</v>
      </c>
      <c r="P1941" s="6">
        <f ca="1">IF(Main[[#This Row],[تاخیر از سررسید]]&gt;0,Main[[#This Row],[بدهی تسویه نشده (کیلوگرم)]],0)</f>
        <v>0</v>
      </c>
      <c r="Q1941" s="6">
        <f ca="1">IF(Main[[#This Row],[بدهی تسویه نشده (کیلوگرم)]]&gt;0,'گزارش فردی'!$B$7-Main[[#This Row],[تاريخ میلادی]],0)</f>
        <v>0</v>
      </c>
      <c r="R1941" s="6">
        <f ca="1">IF(Main[[#This Row],[بدهی تسویه نشده (کیلوگرم)]]&gt;0,'گزارش فردی'!$B$7-Main[[#This Row],[تاريخ میلادی]]-'گزارش فردی'!$B$8,0)</f>
        <v>0</v>
      </c>
      <c r="S1941" s="6">
        <f ca="1">Main[[#This Row],[روز از ارسال سفارش]]*Main[[#This Row],[بدهی تسویه نشده (کیلوگرم)]]</f>
        <v>0</v>
      </c>
      <c r="T1941" s="6">
        <f ca="1">Main[[#This Row],[بدهی سررسید شده (کیلوگرم)]]*Main[[#This Row],[روز از ارسال سفارش]]</f>
        <v>0</v>
      </c>
      <c r="U1941" s="6">
        <f>-SUBTOTAL(9,INDEX(Main[مقدار (کیلوگرم)],1):Main[[#This Row],[مقدار (کیلوگرم)]])</f>
        <v>31460</v>
      </c>
      <c r="V19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1" s="6">
        <f>Main[[#This Row],[تعداد کل روزهای بدهکار (روز)]]*Main[[#This Row],[مانده در خط کل (کیلوگرم)]]</f>
        <v>0</v>
      </c>
      <c r="X1941" s="6">
        <f ca="1">-SUBTOTAL(9,INDEX(Main[مقدار تسویه شده (کیلوگرم)],1):Main[[#This Row],[مقدار تسویه شده (کیلوگرم)]])</f>
        <v>31460</v>
      </c>
      <c r="Y1941" s="6">
        <f ca="1">IF(Main[[#This Row],[مانده در خط تسویه شده (کیلوگرم)]]&lt;&gt;0,Main[[#This Row],[تعداد کل روزهای بدهکار (روز)]],0)</f>
        <v>0</v>
      </c>
      <c r="Z1941" s="6">
        <f ca="1">Main[[#This Row],[تعداد روزهای بدهکار تسویه شده (روز)]]*Main[[#This Row],[مانده در خط تسویه شده (کیلوگرم)]]</f>
        <v>0</v>
      </c>
      <c r="AA1941" s="6">
        <f ca="1">SUBTOTAL(9,INDEX(Main[بدهی تسویه نشده (کیلوگرم)],1):Main[[#This Row],[بدهی تسویه نشده (کیلوگرم)]])</f>
        <v>0</v>
      </c>
      <c r="AB1941" s="6">
        <f ca="1">IF(Main[[#This Row],[مانده در خط تسویه نشده (کیلوگرم)]]&lt;&gt;0,Main[[#This Row],[تعداد کل روزهای بدهکار (روز)]],0)</f>
        <v>0</v>
      </c>
      <c r="AC1941" s="6">
        <f ca="1">Main[[#This Row],[تعداد روزهای بدهکار  تسویه نشده (روز)]]*Main[[#This Row],[مانده در خط تسویه نشده (کیلوگرم)]]</f>
        <v>0</v>
      </c>
      <c r="AD1941" s="6">
        <f ca="1">SUBTOTAL(9,INDEX(Main[بدهی سررسید شده (کیلوگرم)],1):Main[[#This Row],[بدهی سررسید شده (کیلوگرم)]])</f>
        <v>0</v>
      </c>
      <c r="AE1941" s="6">
        <f ca="1">IF(Main[[#This Row],[مانده در خط سررسید شده (کیلوگرم)]]&lt;&gt;0,Main[[#This Row],[تعداد کل روزهای بدهکار (روز)]],0)</f>
        <v>0</v>
      </c>
      <c r="AF1941" s="6">
        <f ca="1">Main[[#This Row],[تعداد روزهای بدهکار سررسید شده (روز)]]*Main[[#This Row],[مانده در خط سررسید شده (کیلوگرم)]]</f>
        <v>0</v>
      </c>
    </row>
    <row r="1942" spans="1:32" hidden="1" x14ac:dyDescent="0.35">
      <c r="A1942" s="5">
        <f>ROW()-ROW(INDEX(Main[ردیف],1))+1</f>
        <v>1940</v>
      </c>
      <c r="B1942" s="31">
        <f>SUBTOTAL(2,INDEX(Main[ردیف],1):Main[[#This Row],[ردیف]])</f>
        <v>171</v>
      </c>
      <c r="C1942" s="32" t="s">
        <v>740</v>
      </c>
      <c r="D1942" s="32" t="str">
        <f>_xlfn.CONCAT("14",Main[[#This Row],[تاريخ]])</f>
        <v>1400/08/04</v>
      </c>
      <c r="E1942" s="33">
        <v>44495</v>
      </c>
      <c r="F1942" s="32">
        <v>30009</v>
      </c>
      <c r="G1942" s="5" t="str">
        <f>INDEX(customer[عنوان],MATCH(Main[[#This Row],[کد ردیابی]],customer[کد],0))</f>
        <v>شرکت ایمن تک پیشرو</v>
      </c>
      <c r="H1942">
        <v>-4468</v>
      </c>
      <c r="I1942" s="6">
        <f ca="1">-Main[[#This Row],[بدهی تسویه شده (کیلوگرم)]]+Main[[#This Row],[بستانکار (کیلوگرم)]]</f>
        <v>-4468</v>
      </c>
      <c r="J1942" s="6">
        <f>IF(Main[[#This Row],[مقدار (کیلوگرم)]]&gt;0,Main[[#This Row],[مقدار (کیلوگرم)]],0)</f>
        <v>0</v>
      </c>
      <c r="K1942" s="6">
        <f>-IF(Main[[#This Row],[مقدار (کیلوگرم)]]&lt;0,Main[[#This Row],[مقدار (کیلوگرم)]],0)</f>
        <v>4468</v>
      </c>
      <c r="L19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2" s="7">
        <f>-IF(AND(Main[[#This Row],[مقدار (کیلوگرم)]]&lt;0,Main[[#This Row],[تاريخ میلادی]]&gt;44276),Main[[#This Row],[مقدار (کیلوگرم)]],0)</f>
        <v>4468</v>
      </c>
      <c r="N1942" s="6">
        <f ca="1">Main[[#This Row],[بدهکار (کیلوگرم)]]-Main[[#This Row],[بدهی تسویه نشده (کیلوگرم)]]</f>
        <v>4468</v>
      </c>
      <c r="O1942" s="6">
        <f ca="1">Main[[#This Row],[تفکیک]]</f>
        <v>0</v>
      </c>
      <c r="P1942" s="6">
        <f ca="1">IF(Main[[#This Row],[تاخیر از سررسید]]&gt;0,Main[[#This Row],[بدهی تسویه نشده (کیلوگرم)]],0)</f>
        <v>0</v>
      </c>
      <c r="Q1942" s="6">
        <f ca="1">IF(Main[[#This Row],[بدهی تسویه نشده (کیلوگرم)]]&gt;0,'گزارش فردی'!$B$7-Main[[#This Row],[تاريخ میلادی]],0)</f>
        <v>0</v>
      </c>
      <c r="R1942" s="6">
        <f ca="1">IF(Main[[#This Row],[بدهی تسویه نشده (کیلوگرم)]]&gt;0,'گزارش فردی'!$B$7-Main[[#This Row],[تاريخ میلادی]]-'گزارش فردی'!$B$8,0)</f>
        <v>0</v>
      </c>
      <c r="S1942" s="6">
        <f ca="1">Main[[#This Row],[روز از ارسال سفارش]]*Main[[#This Row],[بدهی تسویه نشده (کیلوگرم)]]</f>
        <v>0</v>
      </c>
      <c r="T1942" s="6">
        <f ca="1">Main[[#This Row],[بدهی سررسید شده (کیلوگرم)]]*Main[[#This Row],[روز از ارسال سفارش]]</f>
        <v>0</v>
      </c>
      <c r="U1942" s="6">
        <f>-SUBTOTAL(9,INDEX(Main[مقدار (کیلوگرم)],1):Main[[#This Row],[مقدار (کیلوگرم)]])</f>
        <v>31460</v>
      </c>
      <c r="V19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2" s="6">
        <f>Main[[#This Row],[تعداد کل روزهای بدهکار (روز)]]*Main[[#This Row],[مانده در خط کل (کیلوگرم)]]</f>
        <v>0</v>
      </c>
      <c r="X1942" s="6">
        <f ca="1">-SUBTOTAL(9,INDEX(Main[مقدار تسویه شده (کیلوگرم)],1):Main[[#This Row],[مقدار تسویه شده (کیلوگرم)]])</f>
        <v>31460</v>
      </c>
      <c r="Y1942" s="6">
        <f ca="1">IF(Main[[#This Row],[مانده در خط تسویه شده (کیلوگرم)]]&lt;&gt;0,Main[[#This Row],[تعداد کل روزهای بدهکار (روز)]],0)</f>
        <v>0</v>
      </c>
      <c r="Z1942" s="6">
        <f ca="1">Main[[#This Row],[تعداد روزهای بدهکار تسویه شده (روز)]]*Main[[#This Row],[مانده در خط تسویه شده (کیلوگرم)]]</f>
        <v>0</v>
      </c>
      <c r="AA1942" s="6">
        <f ca="1">SUBTOTAL(9,INDEX(Main[بدهی تسویه نشده (کیلوگرم)],1):Main[[#This Row],[بدهی تسویه نشده (کیلوگرم)]])</f>
        <v>0</v>
      </c>
      <c r="AB1942" s="6">
        <f ca="1">IF(Main[[#This Row],[مانده در خط تسویه نشده (کیلوگرم)]]&lt;&gt;0,Main[[#This Row],[تعداد کل روزهای بدهکار (روز)]],0)</f>
        <v>0</v>
      </c>
      <c r="AC1942" s="6">
        <f ca="1">Main[[#This Row],[تعداد روزهای بدهکار  تسویه نشده (روز)]]*Main[[#This Row],[مانده در خط تسویه نشده (کیلوگرم)]]</f>
        <v>0</v>
      </c>
      <c r="AD1942" s="6">
        <f ca="1">SUBTOTAL(9,INDEX(Main[بدهی سررسید شده (کیلوگرم)],1):Main[[#This Row],[بدهی سررسید شده (کیلوگرم)]])</f>
        <v>0</v>
      </c>
      <c r="AE1942" s="6">
        <f ca="1">IF(Main[[#This Row],[مانده در خط سررسید شده (کیلوگرم)]]&lt;&gt;0,Main[[#This Row],[تعداد کل روزهای بدهکار (روز)]],0)</f>
        <v>0</v>
      </c>
      <c r="AF1942" s="6">
        <f ca="1">Main[[#This Row],[تعداد روزهای بدهکار سررسید شده (روز)]]*Main[[#This Row],[مانده در خط سررسید شده (کیلوگرم)]]</f>
        <v>0</v>
      </c>
    </row>
    <row r="1943" spans="1:32" hidden="1" x14ac:dyDescent="0.35">
      <c r="A1943" s="5">
        <f>ROW()-ROW(INDEX(Main[ردیف],1))+1</f>
        <v>1941</v>
      </c>
      <c r="B1943" s="31">
        <f>SUBTOTAL(2,INDEX(Main[ردیف],1):Main[[#This Row],[ردیف]])</f>
        <v>171</v>
      </c>
      <c r="C1943" s="32" t="s">
        <v>740</v>
      </c>
      <c r="D1943" s="32" t="str">
        <f>_xlfn.CONCAT("14",Main[[#This Row],[تاريخ]])</f>
        <v>1400/08/04</v>
      </c>
      <c r="E1943" s="33">
        <v>44495</v>
      </c>
      <c r="F1943" s="32">
        <v>10070</v>
      </c>
      <c r="G1943" s="5" t="str">
        <f>INDEX(customer[عنوان],MATCH(Main[[#This Row],[کد ردیابی]],customer[کد],0))</f>
        <v xml:space="preserve">حمیدرضا شفیعی </v>
      </c>
      <c r="H1943">
        <v>2180</v>
      </c>
      <c r="I1943" s="6">
        <f ca="1">-Main[[#This Row],[بدهی تسویه شده (کیلوگرم)]]+Main[[#This Row],[بستانکار (کیلوگرم)]]</f>
        <v>2180</v>
      </c>
      <c r="J1943" s="6">
        <f>IF(Main[[#This Row],[مقدار (کیلوگرم)]]&gt;0,Main[[#This Row],[مقدار (کیلوگرم)]],0)</f>
        <v>2180</v>
      </c>
      <c r="K1943" s="6">
        <f>-IF(Main[[#This Row],[مقدار (کیلوگرم)]]&lt;0,Main[[#This Row],[مقدار (کیلوگرم)]],0)</f>
        <v>0</v>
      </c>
      <c r="L19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3" s="7">
        <f>-IF(AND(Main[[#This Row],[مقدار (کیلوگرم)]]&lt;0,Main[[#This Row],[تاريخ میلادی]]&gt;44276),Main[[#This Row],[مقدار (کیلوگرم)]],0)</f>
        <v>0</v>
      </c>
      <c r="N1943" s="6">
        <f ca="1">Main[[#This Row],[بدهکار (کیلوگرم)]]-Main[[#This Row],[بدهی تسویه نشده (کیلوگرم)]]</f>
        <v>0</v>
      </c>
      <c r="O1943" s="6">
        <f ca="1">Main[[#This Row],[تفکیک]]</f>
        <v>0</v>
      </c>
      <c r="P1943" s="6">
        <f ca="1">IF(Main[[#This Row],[تاخیر از سررسید]]&gt;0,Main[[#This Row],[بدهی تسویه نشده (کیلوگرم)]],0)</f>
        <v>0</v>
      </c>
      <c r="Q1943" s="6">
        <f ca="1">IF(Main[[#This Row],[بدهی تسویه نشده (کیلوگرم)]]&gt;0,'گزارش فردی'!$B$7-Main[[#This Row],[تاريخ میلادی]],0)</f>
        <v>0</v>
      </c>
      <c r="R1943" s="6">
        <f ca="1">IF(Main[[#This Row],[بدهی تسویه نشده (کیلوگرم)]]&gt;0,'گزارش فردی'!$B$7-Main[[#This Row],[تاريخ میلادی]]-'گزارش فردی'!$B$8,0)</f>
        <v>0</v>
      </c>
      <c r="S1943" s="6">
        <f ca="1">Main[[#This Row],[روز از ارسال سفارش]]*Main[[#This Row],[بدهی تسویه نشده (کیلوگرم)]]</f>
        <v>0</v>
      </c>
      <c r="T1943" s="6">
        <f ca="1">Main[[#This Row],[بدهی سررسید شده (کیلوگرم)]]*Main[[#This Row],[روز از ارسال سفارش]]</f>
        <v>0</v>
      </c>
      <c r="U1943" s="6">
        <f>-SUBTOTAL(9,INDEX(Main[مقدار (کیلوگرم)],1):Main[[#This Row],[مقدار (کیلوگرم)]])</f>
        <v>31460</v>
      </c>
      <c r="V19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3" s="6">
        <f>Main[[#This Row],[تعداد کل روزهای بدهکار (روز)]]*Main[[#This Row],[مانده در خط کل (کیلوگرم)]]</f>
        <v>0</v>
      </c>
      <c r="X1943" s="6">
        <f ca="1">-SUBTOTAL(9,INDEX(Main[مقدار تسویه شده (کیلوگرم)],1):Main[[#This Row],[مقدار تسویه شده (کیلوگرم)]])</f>
        <v>31460</v>
      </c>
      <c r="Y1943" s="6">
        <f ca="1">IF(Main[[#This Row],[مانده در خط تسویه شده (کیلوگرم)]]&lt;&gt;0,Main[[#This Row],[تعداد کل روزهای بدهکار (روز)]],0)</f>
        <v>0</v>
      </c>
      <c r="Z1943" s="6">
        <f ca="1">Main[[#This Row],[تعداد روزهای بدهکار تسویه شده (روز)]]*Main[[#This Row],[مانده در خط تسویه شده (کیلوگرم)]]</f>
        <v>0</v>
      </c>
      <c r="AA1943" s="6">
        <f ca="1">SUBTOTAL(9,INDEX(Main[بدهی تسویه نشده (کیلوگرم)],1):Main[[#This Row],[بدهی تسویه نشده (کیلوگرم)]])</f>
        <v>0</v>
      </c>
      <c r="AB1943" s="6">
        <f ca="1">IF(Main[[#This Row],[مانده در خط تسویه نشده (کیلوگرم)]]&lt;&gt;0,Main[[#This Row],[تعداد کل روزهای بدهکار (روز)]],0)</f>
        <v>0</v>
      </c>
      <c r="AC1943" s="6">
        <f ca="1">Main[[#This Row],[تعداد روزهای بدهکار  تسویه نشده (روز)]]*Main[[#This Row],[مانده در خط تسویه نشده (کیلوگرم)]]</f>
        <v>0</v>
      </c>
      <c r="AD1943" s="6">
        <f ca="1">SUBTOTAL(9,INDEX(Main[بدهی سررسید شده (کیلوگرم)],1):Main[[#This Row],[بدهی سررسید شده (کیلوگرم)]])</f>
        <v>0</v>
      </c>
      <c r="AE1943" s="6">
        <f ca="1">IF(Main[[#This Row],[مانده در خط سررسید شده (کیلوگرم)]]&lt;&gt;0,Main[[#This Row],[تعداد کل روزهای بدهکار (روز)]],0)</f>
        <v>0</v>
      </c>
      <c r="AF1943" s="6">
        <f ca="1">Main[[#This Row],[تعداد روزهای بدهکار سررسید شده (روز)]]*Main[[#This Row],[مانده در خط سررسید شده (کیلوگرم)]]</f>
        <v>0</v>
      </c>
    </row>
    <row r="1944" spans="1:32" hidden="1" x14ac:dyDescent="0.35">
      <c r="A1944" s="5">
        <f>ROW()-ROW(INDEX(Main[ردیف],1))+1</f>
        <v>1942</v>
      </c>
      <c r="B1944" s="31">
        <f>SUBTOTAL(2,INDEX(Main[ردیف],1):Main[[#This Row],[ردیف]])</f>
        <v>171</v>
      </c>
      <c r="C1944" s="32" t="s">
        <v>740</v>
      </c>
      <c r="D1944" s="32" t="str">
        <f>_xlfn.CONCAT("14",Main[[#This Row],[تاريخ]])</f>
        <v>1400/08/04</v>
      </c>
      <c r="E1944" s="33">
        <v>44495</v>
      </c>
      <c r="F1944" s="32">
        <v>30081</v>
      </c>
      <c r="G1944" s="5" t="str">
        <f>INDEX(customer[عنوان],MATCH(Main[[#This Row],[کد ردیابی]],customer[کد],0))</f>
        <v xml:space="preserve">شیرآلات بهداشتی راسان </v>
      </c>
      <c r="H1944">
        <v>-1947</v>
      </c>
      <c r="I1944" s="6">
        <f ca="1">-Main[[#This Row],[بدهی تسویه شده (کیلوگرم)]]+Main[[#This Row],[بستانکار (کیلوگرم)]]</f>
        <v>-1947</v>
      </c>
      <c r="J1944" s="6">
        <f>IF(Main[[#This Row],[مقدار (کیلوگرم)]]&gt;0,Main[[#This Row],[مقدار (کیلوگرم)]],0)</f>
        <v>0</v>
      </c>
      <c r="K1944" s="6">
        <f>-IF(Main[[#This Row],[مقدار (کیلوگرم)]]&lt;0,Main[[#This Row],[مقدار (کیلوگرم)]],0)</f>
        <v>1947</v>
      </c>
      <c r="L19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4" s="7">
        <f>-IF(AND(Main[[#This Row],[مقدار (کیلوگرم)]]&lt;0,Main[[#This Row],[تاريخ میلادی]]&gt;44276),Main[[#This Row],[مقدار (کیلوگرم)]],0)</f>
        <v>1947</v>
      </c>
      <c r="N1944" s="6">
        <f ca="1">Main[[#This Row],[بدهکار (کیلوگرم)]]-Main[[#This Row],[بدهی تسویه نشده (کیلوگرم)]]</f>
        <v>1947</v>
      </c>
      <c r="O1944" s="6">
        <f ca="1">Main[[#This Row],[تفکیک]]</f>
        <v>0</v>
      </c>
      <c r="P1944" s="6">
        <f ca="1">IF(Main[[#This Row],[تاخیر از سررسید]]&gt;0,Main[[#This Row],[بدهی تسویه نشده (کیلوگرم)]],0)</f>
        <v>0</v>
      </c>
      <c r="Q1944" s="6">
        <f ca="1">IF(Main[[#This Row],[بدهی تسویه نشده (کیلوگرم)]]&gt;0,'گزارش فردی'!$B$7-Main[[#This Row],[تاريخ میلادی]],0)</f>
        <v>0</v>
      </c>
      <c r="R1944" s="6">
        <f ca="1">IF(Main[[#This Row],[بدهی تسویه نشده (کیلوگرم)]]&gt;0,'گزارش فردی'!$B$7-Main[[#This Row],[تاريخ میلادی]]-'گزارش فردی'!$B$8,0)</f>
        <v>0</v>
      </c>
      <c r="S1944" s="6">
        <f ca="1">Main[[#This Row],[روز از ارسال سفارش]]*Main[[#This Row],[بدهی تسویه نشده (کیلوگرم)]]</f>
        <v>0</v>
      </c>
      <c r="T1944" s="6">
        <f ca="1">Main[[#This Row],[بدهی سررسید شده (کیلوگرم)]]*Main[[#This Row],[روز از ارسال سفارش]]</f>
        <v>0</v>
      </c>
      <c r="U1944" s="6">
        <f>-SUBTOTAL(9,INDEX(Main[مقدار (کیلوگرم)],1):Main[[#This Row],[مقدار (کیلوگرم)]])</f>
        <v>31460</v>
      </c>
      <c r="V19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4" s="6">
        <f>Main[[#This Row],[تعداد کل روزهای بدهکار (روز)]]*Main[[#This Row],[مانده در خط کل (کیلوگرم)]]</f>
        <v>0</v>
      </c>
      <c r="X1944" s="6">
        <f ca="1">-SUBTOTAL(9,INDEX(Main[مقدار تسویه شده (کیلوگرم)],1):Main[[#This Row],[مقدار تسویه شده (کیلوگرم)]])</f>
        <v>31460</v>
      </c>
      <c r="Y1944" s="6">
        <f ca="1">IF(Main[[#This Row],[مانده در خط تسویه شده (کیلوگرم)]]&lt;&gt;0,Main[[#This Row],[تعداد کل روزهای بدهکار (روز)]],0)</f>
        <v>0</v>
      </c>
      <c r="Z1944" s="6">
        <f ca="1">Main[[#This Row],[تعداد روزهای بدهکار تسویه شده (روز)]]*Main[[#This Row],[مانده در خط تسویه شده (کیلوگرم)]]</f>
        <v>0</v>
      </c>
      <c r="AA1944" s="6">
        <f ca="1">SUBTOTAL(9,INDEX(Main[بدهی تسویه نشده (کیلوگرم)],1):Main[[#This Row],[بدهی تسویه نشده (کیلوگرم)]])</f>
        <v>0</v>
      </c>
      <c r="AB1944" s="6">
        <f ca="1">IF(Main[[#This Row],[مانده در خط تسویه نشده (کیلوگرم)]]&lt;&gt;0,Main[[#This Row],[تعداد کل روزهای بدهکار (روز)]],0)</f>
        <v>0</v>
      </c>
      <c r="AC1944" s="6">
        <f ca="1">Main[[#This Row],[تعداد روزهای بدهکار  تسویه نشده (روز)]]*Main[[#This Row],[مانده در خط تسویه نشده (کیلوگرم)]]</f>
        <v>0</v>
      </c>
      <c r="AD1944" s="6">
        <f ca="1">SUBTOTAL(9,INDEX(Main[بدهی سررسید شده (کیلوگرم)],1):Main[[#This Row],[بدهی سررسید شده (کیلوگرم)]])</f>
        <v>0</v>
      </c>
      <c r="AE1944" s="6">
        <f ca="1">IF(Main[[#This Row],[مانده در خط سررسید شده (کیلوگرم)]]&lt;&gt;0,Main[[#This Row],[تعداد کل روزهای بدهکار (روز)]],0)</f>
        <v>0</v>
      </c>
      <c r="AF1944" s="6">
        <f ca="1">Main[[#This Row],[تعداد روزهای بدهکار سررسید شده (روز)]]*Main[[#This Row],[مانده در خط سررسید شده (کیلوگرم)]]</f>
        <v>0</v>
      </c>
    </row>
    <row r="1945" spans="1:32" hidden="1" x14ac:dyDescent="0.35">
      <c r="A1945" s="5">
        <f>ROW()-ROW(INDEX(Main[ردیف],1))+1</f>
        <v>1943</v>
      </c>
      <c r="B1945" s="31">
        <f>SUBTOTAL(2,INDEX(Main[ردیف],1):Main[[#This Row],[ردیف]])</f>
        <v>171</v>
      </c>
      <c r="C1945" s="32" t="s">
        <v>740</v>
      </c>
      <c r="D1945" s="32" t="str">
        <f>_xlfn.CONCAT("14",Main[[#This Row],[تاريخ]])</f>
        <v>1400/08/04</v>
      </c>
      <c r="E1945" s="33">
        <v>44495</v>
      </c>
      <c r="F1945" s="32">
        <v>30127</v>
      </c>
      <c r="G1945" s="5" t="str">
        <f>INDEX(customer[عنوان],MATCH(Main[[#This Row],[کد ردیابی]],customer[کد],0))</f>
        <v>شیر گاز آذران</v>
      </c>
      <c r="H1945">
        <v>15626</v>
      </c>
      <c r="I1945" s="6">
        <f ca="1">-Main[[#This Row],[بدهی تسویه شده (کیلوگرم)]]+Main[[#This Row],[بستانکار (کیلوگرم)]]</f>
        <v>15626</v>
      </c>
      <c r="J1945" s="6">
        <f>IF(Main[[#This Row],[مقدار (کیلوگرم)]]&gt;0,Main[[#This Row],[مقدار (کیلوگرم)]],0)</f>
        <v>15626</v>
      </c>
      <c r="K1945" s="6">
        <f>-IF(Main[[#This Row],[مقدار (کیلوگرم)]]&lt;0,Main[[#This Row],[مقدار (کیلوگرم)]],0)</f>
        <v>0</v>
      </c>
      <c r="L19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5" s="7">
        <f>-IF(AND(Main[[#This Row],[مقدار (کیلوگرم)]]&lt;0,Main[[#This Row],[تاريخ میلادی]]&gt;44276),Main[[#This Row],[مقدار (کیلوگرم)]],0)</f>
        <v>0</v>
      </c>
      <c r="N1945" s="6">
        <f ca="1">Main[[#This Row],[بدهکار (کیلوگرم)]]-Main[[#This Row],[بدهی تسویه نشده (کیلوگرم)]]</f>
        <v>0</v>
      </c>
      <c r="O1945" s="6">
        <f ca="1">Main[[#This Row],[تفکیک]]</f>
        <v>0</v>
      </c>
      <c r="P1945" s="6">
        <f ca="1">IF(Main[[#This Row],[تاخیر از سررسید]]&gt;0,Main[[#This Row],[بدهی تسویه نشده (کیلوگرم)]],0)</f>
        <v>0</v>
      </c>
      <c r="Q1945" s="6">
        <f ca="1">IF(Main[[#This Row],[بدهی تسویه نشده (کیلوگرم)]]&gt;0,'گزارش فردی'!$B$7-Main[[#This Row],[تاريخ میلادی]],0)</f>
        <v>0</v>
      </c>
      <c r="R1945" s="6">
        <f ca="1">IF(Main[[#This Row],[بدهی تسویه نشده (کیلوگرم)]]&gt;0,'گزارش فردی'!$B$7-Main[[#This Row],[تاريخ میلادی]]-'گزارش فردی'!$B$8,0)</f>
        <v>0</v>
      </c>
      <c r="S1945" s="6">
        <f ca="1">Main[[#This Row],[روز از ارسال سفارش]]*Main[[#This Row],[بدهی تسویه نشده (کیلوگرم)]]</f>
        <v>0</v>
      </c>
      <c r="T1945" s="6">
        <f ca="1">Main[[#This Row],[بدهی سررسید شده (کیلوگرم)]]*Main[[#This Row],[روز از ارسال سفارش]]</f>
        <v>0</v>
      </c>
      <c r="U1945" s="6">
        <f>-SUBTOTAL(9,INDEX(Main[مقدار (کیلوگرم)],1):Main[[#This Row],[مقدار (کیلوگرم)]])</f>
        <v>31460</v>
      </c>
      <c r="V19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5" s="6">
        <f>Main[[#This Row],[تعداد کل روزهای بدهکار (روز)]]*Main[[#This Row],[مانده در خط کل (کیلوگرم)]]</f>
        <v>0</v>
      </c>
      <c r="X1945" s="6">
        <f ca="1">-SUBTOTAL(9,INDEX(Main[مقدار تسویه شده (کیلوگرم)],1):Main[[#This Row],[مقدار تسویه شده (کیلوگرم)]])</f>
        <v>31460</v>
      </c>
      <c r="Y1945" s="6">
        <f ca="1">IF(Main[[#This Row],[مانده در خط تسویه شده (کیلوگرم)]]&lt;&gt;0,Main[[#This Row],[تعداد کل روزهای بدهکار (روز)]],0)</f>
        <v>0</v>
      </c>
      <c r="Z1945" s="6">
        <f ca="1">Main[[#This Row],[تعداد روزهای بدهکار تسویه شده (روز)]]*Main[[#This Row],[مانده در خط تسویه شده (کیلوگرم)]]</f>
        <v>0</v>
      </c>
      <c r="AA1945" s="6">
        <f ca="1">SUBTOTAL(9,INDEX(Main[بدهی تسویه نشده (کیلوگرم)],1):Main[[#This Row],[بدهی تسویه نشده (کیلوگرم)]])</f>
        <v>0</v>
      </c>
      <c r="AB1945" s="6">
        <f ca="1">IF(Main[[#This Row],[مانده در خط تسویه نشده (کیلوگرم)]]&lt;&gt;0,Main[[#This Row],[تعداد کل روزهای بدهکار (روز)]],0)</f>
        <v>0</v>
      </c>
      <c r="AC1945" s="6">
        <f ca="1">Main[[#This Row],[تعداد روزهای بدهکار  تسویه نشده (روز)]]*Main[[#This Row],[مانده در خط تسویه نشده (کیلوگرم)]]</f>
        <v>0</v>
      </c>
      <c r="AD1945" s="6">
        <f ca="1">SUBTOTAL(9,INDEX(Main[بدهی سررسید شده (کیلوگرم)],1):Main[[#This Row],[بدهی سررسید شده (کیلوگرم)]])</f>
        <v>0</v>
      </c>
      <c r="AE1945" s="6">
        <f ca="1">IF(Main[[#This Row],[مانده در خط سررسید شده (کیلوگرم)]]&lt;&gt;0,Main[[#This Row],[تعداد کل روزهای بدهکار (روز)]],0)</f>
        <v>0</v>
      </c>
      <c r="AF1945" s="6">
        <f ca="1">Main[[#This Row],[تعداد روزهای بدهکار سررسید شده (روز)]]*Main[[#This Row],[مانده در خط سررسید شده (کیلوگرم)]]</f>
        <v>0</v>
      </c>
    </row>
    <row r="1946" spans="1:32" hidden="1" x14ac:dyDescent="0.35">
      <c r="A1946" s="5">
        <f>ROW()-ROW(INDEX(Main[ردیف],1))+1</f>
        <v>1944</v>
      </c>
      <c r="B1946" s="31">
        <f>SUBTOTAL(2,INDEX(Main[ردیف],1):Main[[#This Row],[ردیف]])</f>
        <v>171</v>
      </c>
      <c r="C1946" s="32" t="s">
        <v>740</v>
      </c>
      <c r="D1946" s="32" t="str">
        <f>_xlfn.CONCAT("14",Main[[#This Row],[تاريخ]])</f>
        <v>1400/08/04</v>
      </c>
      <c r="E1946" s="33">
        <v>44495</v>
      </c>
      <c r="F1946" s="32">
        <v>30127</v>
      </c>
      <c r="G1946" s="5" t="str">
        <f>INDEX(customer[عنوان],MATCH(Main[[#This Row],[کد ردیابی]],customer[کد],0))</f>
        <v>شیر گاز آذران</v>
      </c>
      <c r="H1946">
        <v>-15337</v>
      </c>
      <c r="I1946" s="6">
        <f ca="1">-Main[[#This Row],[بدهی تسویه شده (کیلوگرم)]]+Main[[#This Row],[بستانکار (کیلوگرم)]]</f>
        <v>-15337</v>
      </c>
      <c r="J1946" s="6">
        <f>IF(Main[[#This Row],[مقدار (کیلوگرم)]]&gt;0,Main[[#This Row],[مقدار (کیلوگرم)]],0)</f>
        <v>0</v>
      </c>
      <c r="K1946" s="6">
        <f>-IF(Main[[#This Row],[مقدار (کیلوگرم)]]&lt;0,Main[[#This Row],[مقدار (کیلوگرم)]],0)</f>
        <v>15337</v>
      </c>
      <c r="L19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6" s="7">
        <f>-IF(AND(Main[[#This Row],[مقدار (کیلوگرم)]]&lt;0,Main[[#This Row],[تاريخ میلادی]]&gt;44276),Main[[#This Row],[مقدار (کیلوگرم)]],0)</f>
        <v>15337</v>
      </c>
      <c r="N1946" s="6">
        <f ca="1">Main[[#This Row],[بدهکار (کیلوگرم)]]-Main[[#This Row],[بدهی تسویه نشده (کیلوگرم)]]</f>
        <v>15337</v>
      </c>
      <c r="O1946" s="6">
        <f ca="1">Main[[#This Row],[تفکیک]]</f>
        <v>0</v>
      </c>
      <c r="P1946" s="6">
        <f ca="1">IF(Main[[#This Row],[تاخیر از سررسید]]&gt;0,Main[[#This Row],[بدهی تسویه نشده (کیلوگرم)]],0)</f>
        <v>0</v>
      </c>
      <c r="Q1946" s="6">
        <f ca="1">IF(Main[[#This Row],[بدهی تسویه نشده (کیلوگرم)]]&gt;0,'گزارش فردی'!$B$7-Main[[#This Row],[تاريخ میلادی]],0)</f>
        <v>0</v>
      </c>
      <c r="R1946" s="6">
        <f ca="1">IF(Main[[#This Row],[بدهی تسویه نشده (کیلوگرم)]]&gt;0,'گزارش فردی'!$B$7-Main[[#This Row],[تاريخ میلادی]]-'گزارش فردی'!$B$8,0)</f>
        <v>0</v>
      </c>
      <c r="S1946" s="6">
        <f ca="1">Main[[#This Row],[روز از ارسال سفارش]]*Main[[#This Row],[بدهی تسویه نشده (کیلوگرم)]]</f>
        <v>0</v>
      </c>
      <c r="T1946" s="6">
        <f ca="1">Main[[#This Row],[بدهی سررسید شده (کیلوگرم)]]*Main[[#This Row],[روز از ارسال سفارش]]</f>
        <v>0</v>
      </c>
      <c r="U1946" s="6">
        <f>-SUBTOTAL(9,INDEX(Main[مقدار (کیلوگرم)],1):Main[[#This Row],[مقدار (کیلوگرم)]])</f>
        <v>31460</v>
      </c>
      <c r="V19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6" s="6">
        <f>Main[[#This Row],[تعداد کل روزهای بدهکار (روز)]]*Main[[#This Row],[مانده در خط کل (کیلوگرم)]]</f>
        <v>0</v>
      </c>
      <c r="X1946" s="6">
        <f ca="1">-SUBTOTAL(9,INDEX(Main[مقدار تسویه شده (کیلوگرم)],1):Main[[#This Row],[مقدار تسویه شده (کیلوگرم)]])</f>
        <v>31460</v>
      </c>
      <c r="Y1946" s="6">
        <f ca="1">IF(Main[[#This Row],[مانده در خط تسویه شده (کیلوگرم)]]&lt;&gt;0,Main[[#This Row],[تعداد کل روزهای بدهکار (روز)]],0)</f>
        <v>0</v>
      </c>
      <c r="Z1946" s="6">
        <f ca="1">Main[[#This Row],[تعداد روزهای بدهکار تسویه شده (روز)]]*Main[[#This Row],[مانده در خط تسویه شده (کیلوگرم)]]</f>
        <v>0</v>
      </c>
      <c r="AA1946" s="6">
        <f ca="1">SUBTOTAL(9,INDEX(Main[بدهی تسویه نشده (کیلوگرم)],1):Main[[#This Row],[بدهی تسویه نشده (کیلوگرم)]])</f>
        <v>0</v>
      </c>
      <c r="AB1946" s="6">
        <f ca="1">IF(Main[[#This Row],[مانده در خط تسویه نشده (کیلوگرم)]]&lt;&gt;0,Main[[#This Row],[تعداد کل روزهای بدهکار (روز)]],0)</f>
        <v>0</v>
      </c>
      <c r="AC1946" s="6">
        <f ca="1">Main[[#This Row],[تعداد روزهای بدهکار  تسویه نشده (روز)]]*Main[[#This Row],[مانده در خط تسویه نشده (کیلوگرم)]]</f>
        <v>0</v>
      </c>
      <c r="AD1946" s="6">
        <f ca="1">SUBTOTAL(9,INDEX(Main[بدهی سررسید شده (کیلوگرم)],1):Main[[#This Row],[بدهی سررسید شده (کیلوگرم)]])</f>
        <v>0</v>
      </c>
      <c r="AE1946" s="6">
        <f ca="1">IF(Main[[#This Row],[مانده در خط سررسید شده (کیلوگرم)]]&lt;&gt;0,Main[[#This Row],[تعداد کل روزهای بدهکار (روز)]],0)</f>
        <v>0</v>
      </c>
      <c r="AF1946" s="6">
        <f ca="1">Main[[#This Row],[تعداد روزهای بدهکار سررسید شده (روز)]]*Main[[#This Row],[مانده در خط سررسید شده (کیلوگرم)]]</f>
        <v>0</v>
      </c>
    </row>
    <row r="1947" spans="1:32" hidden="1" x14ac:dyDescent="0.35">
      <c r="A1947" s="5">
        <f>ROW()-ROW(INDEX(Main[ردیف],1))+1</f>
        <v>1945</v>
      </c>
      <c r="B1947" s="31">
        <f>SUBTOTAL(2,INDEX(Main[ردیف],1):Main[[#This Row],[ردیف]])</f>
        <v>171</v>
      </c>
      <c r="C1947" s="32" t="s">
        <v>740</v>
      </c>
      <c r="D1947" s="32" t="str">
        <f>_xlfn.CONCAT("14",Main[[#This Row],[تاريخ]])</f>
        <v>1400/08/04</v>
      </c>
      <c r="E1947" s="33">
        <v>44495</v>
      </c>
      <c r="F1947" s="32">
        <v>10127</v>
      </c>
      <c r="G1947" s="5" t="str">
        <f>INDEX(customer[عنوان],MATCH(Main[[#This Row],[کد ردیابی]],customer[کد],0))</f>
        <v xml:space="preserve">عماد هاشمی </v>
      </c>
      <c r="H1947">
        <v>2110</v>
      </c>
      <c r="I1947" s="6">
        <f ca="1">-Main[[#This Row],[بدهی تسویه شده (کیلوگرم)]]+Main[[#This Row],[بستانکار (کیلوگرم)]]</f>
        <v>2110</v>
      </c>
      <c r="J1947" s="6">
        <f>IF(Main[[#This Row],[مقدار (کیلوگرم)]]&gt;0,Main[[#This Row],[مقدار (کیلوگرم)]],0)</f>
        <v>2110</v>
      </c>
      <c r="K1947" s="6">
        <f>-IF(Main[[#This Row],[مقدار (کیلوگرم)]]&lt;0,Main[[#This Row],[مقدار (کیلوگرم)]],0)</f>
        <v>0</v>
      </c>
      <c r="L19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7" s="7">
        <f>-IF(AND(Main[[#This Row],[مقدار (کیلوگرم)]]&lt;0,Main[[#This Row],[تاريخ میلادی]]&gt;44276),Main[[#This Row],[مقدار (کیلوگرم)]],0)</f>
        <v>0</v>
      </c>
      <c r="N1947" s="6">
        <f ca="1">Main[[#This Row],[بدهکار (کیلوگرم)]]-Main[[#This Row],[بدهی تسویه نشده (کیلوگرم)]]</f>
        <v>0</v>
      </c>
      <c r="O1947" s="6">
        <f ca="1">Main[[#This Row],[تفکیک]]</f>
        <v>0</v>
      </c>
      <c r="P1947" s="6">
        <f ca="1">IF(Main[[#This Row],[تاخیر از سررسید]]&gt;0,Main[[#This Row],[بدهی تسویه نشده (کیلوگرم)]],0)</f>
        <v>0</v>
      </c>
      <c r="Q1947" s="6">
        <f ca="1">IF(Main[[#This Row],[بدهی تسویه نشده (کیلوگرم)]]&gt;0,'گزارش فردی'!$B$7-Main[[#This Row],[تاريخ میلادی]],0)</f>
        <v>0</v>
      </c>
      <c r="R1947" s="6">
        <f ca="1">IF(Main[[#This Row],[بدهی تسویه نشده (کیلوگرم)]]&gt;0,'گزارش فردی'!$B$7-Main[[#This Row],[تاريخ میلادی]]-'گزارش فردی'!$B$8,0)</f>
        <v>0</v>
      </c>
      <c r="S1947" s="6">
        <f ca="1">Main[[#This Row],[روز از ارسال سفارش]]*Main[[#This Row],[بدهی تسویه نشده (کیلوگرم)]]</f>
        <v>0</v>
      </c>
      <c r="T1947" s="6">
        <f ca="1">Main[[#This Row],[بدهی سررسید شده (کیلوگرم)]]*Main[[#This Row],[روز از ارسال سفارش]]</f>
        <v>0</v>
      </c>
      <c r="U1947" s="6">
        <f>-SUBTOTAL(9,INDEX(Main[مقدار (کیلوگرم)],1):Main[[#This Row],[مقدار (کیلوگرم)]])</f>
        <v>31460</v>
      </c>
      <c r="V19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7" s="6">
        <f>Main[[#This Row],[تعداد کل روزهای بدهکار (روز)]]*Main[[#This Row],[مانده در خط کل (کیلوگرم)]]</f>
        <v>0</v>
      </c>
      <c r="X1947" s="6">
        <f ca="1">-SUBTOTAL(9,INDEX(Main[مقدار تسویه شده (کیلوگرم)],1):Main[[#This Row],[مقدار تسویه شده (کیلوگرم)]])</f>
        <v>31460</v>
      </c>
      <c r="Y1947" s="6">
        <f ca="1">IF(Main[[#This Row],[مانده در خط تسویه شده (کیلوگرم)]]&lt;&gt;0,Main[[#This Row],[تعداد کل روزهای بدهکار (روز)]],0)</f>
        <v>0</v>
      </c>
      <c r="Z1947" s="6">
        <f ca="1">Main[[#This Row],[تعداد روزهای بدهکار تسویه شده (روز)]]*Main[[#This Row],[مانده در خط تسویه شده (کیلوگرم)]]</f>
        <v>0</v>
      </c>
      <c r="AA1947" s="6">
        <f ca="1">SUBTOTAL(9,INDEX(Main[بدهی تسویه نشده (کیلوگرم)],1):Main[[#This Row],[بدهی تسویه نشده (کیلوگرم)]])</f>
        <v>0</v>
      </c>
      <c r="AB1947" s="6">
        <f ca="1">IF(Main[[#This Row],[مانده در خط تسویه نشده (کیلوگرم)]]&lt;&gt;0,Main[[#This Row],[تعداد کل روزهای بدهکار (روز)]],0)</f>
        <v>0</v>
      </c>
      <c r="AC1947" s="6">
        <f ca="1">Main[[#This Row],[تعداد روزهای بدهکار  تسویه نشده (روز)]]*Main[[#This Row],[مانده در خط تسویه نشده (کیلوگرم)]]</f>
        <v>0</v>
      </c>
      <c r="AD1947" s="6">
        <f ca="1">SUBTOTAL(9,INDEX(Main[بدهی سررسید شده (کیلوگرم)],1):Main[[#This Row],[بدهی سررسید شده (کیلوگرم)]])</f>
        <v>0</v>
      </c>
      <c r="AE1947" s="6">
        <f ca="1">IF(Main[[#This Row],[مانده در خط سررسید شده (کیلوگرم)]]&lt;&gt;0,Main[[#This Row],[تعداد کل روزهای بدهکار (روز)]],0)</f>
        <v>0</v>
      </c>
      <c r="AF1947" s="6">
        <f ca="1">Main[[#This Row],[تعداد روزهای بدهکار سررسید شده (روز)]]*Main[[#This Row],[مانده در خط سررسید شده (کیلوگرم)]]</f>
        <v>0</v>
      </c>
    </row>
    <row r="1948" spans="1:32" hidden="1" x14ac:dyDescent="0.35">
      <c r="A1948" s="5">
        <f>ROW()-ROW(INDEX(Main[ردیف],1))+1</f>
        <v>1946</v>
      </c>
      <c r="B1948" s="31">
        <f>SUBTOTAL(2,INDEX(Main[ردیف],1):Main[[#This Row],[ردیف]])</f>
        <v>171</v>
      </c>
      <c r="C1948" s="32" t="s">
        <v>740</v>
      </c>
      <c r="D1948" s="32" t="str">
        <f>_xlfn.CONCAT("14",Main[[#This Row],[تاريخ]])</f>
        <v>1400/08/04</v>
      </c>
      <c r="E1948" s="33">
        <v>44495</v>
      </c>
      <c r="F1948" s="32">
        <v>10070</v>
      </c>
      <c r="G1948" s="5" t="str">
        <f>INDEX(customer[عنوان],MATCH(Main[[#This Row],[کد ردیابی]],customer[کد],0))</f>
        <v xml:space="preserve">حمیدرضا شفیعی </v>
      </c>
      <c r="H1948">
        <v>-98</v>
      </c>
      <c r="I1948" s="6">
        <f ca="1">-Main[[#This Row],[بدهی تسویه شده (کیلوگرم)]]+Main[[#This Row],[بستانکار (کیلوگرم)]]</f>
        <v>-98</v>
      </c>
      <c r="J1948" s="6">
        <f>IF(Main[[#This Row],[مقدار (کیلوگرم)]]&gt;0,Main[[#This Row],[مقدار (کیلوگرم)]],0)</f>
        <v>0</v>
      </c>
      <c r="K1948" s="6">
        <f>-IF(Main[[#This Row],[مقدار (کیلوگرم)]]&lt;0,Main[[#This Row],[مقدار (کیلوگرم)]],0)</f>
        <v>98</v>
      </c>
      <c r="L19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8" s="7">
        <f>-IF(AND(Main[[#This Row],[مقدار (کیلوگرم)]]&lt;0,Main[[#This Row],[تاريخ میلادی]]&gt;44276),Main[[#This Row],[مقدار (کیلوگرم)]],0)</f>
        <v>98</v>
      </c>
      <c r="N1948" s="6">
        <f ca="1">Main[[#This Row],[بدهکار (کیلوگرم)]]-Main[[#This Row],[بدهی تسویه نشده (کیلوگرم)]]</f>
        <v>98</v>
      </c>
      <c r="O1948" s="6">
        <f ca="1">Main[[#This Row],[تفکیک]]</f>
        <v>0</v>
      </c>
      <c r="P1948" s="6">
        <f ca="1">IF(Main[[#This Row],[تاخیر از سررسید]]&gt;0,Main[[#This Row],[بدهی تسویه نشده (کیلوگرم)]],0)</f>
        <v>0</v>
      </c>
      <c r="Q1948" s="6">
        <f ca="1">IF(Main[[#This Row],[بدهی تسویه نشده (کیلوگرم)]]&gt;0,'گزارش فردی'!$B$7-Main[[#This Row],[تاريخ میلادی]],0)</f>
        <v>0</v>
      </c>
      <c r="R1948" s="6">
        <f ca="1">IF(Main[[#This Row],[بدهی تسویه نشده (کیلوگرم)]]&gt;0,'گزارش فردی'!$B$7-Main[[#This Row],[تاريخ میلادی]]-'گزارش فردی'!$B$8,0)</f>
        <v>0</v>
      </c>
      <c r="S1948" s="6">
        <f ca="1">Main[[#This Row],[روز از ارسال سفارش]]*Main[[#This Row],[بدهی تسویه نشده (کیلوگرم)]]</f>
        <v>0</v>
      </c>
      <c r="T1948" s="6">
        <f ca="1">Main[[#This Row],[بدهی سررسید شده (کیلوگرم)]]*Main[[#This Row],[روز از ارسال سفارش]]</f>
        <v>0</v>
      </c>
      <c r="U1948" s="6">
        <f>-SUBTOTAL(9,INDEX(Main[مقدار (کیلوگرم)],1):Main[[#This Row],[مقدار (کیلوگرم)]])</f>
        <v>31460</v>
      </c>
      <c r="V19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8" s="6">
        <f>Main[[#This Row],[تعداد کل روزهای بدهکار (روز)]]*Main[[#This Row],[مانده در خط کل (کیلوگرم)]]</f>
        <v>0</v>
      </c>
      <c r="X1948" s="6">
        <f ca="1">-SUBTOTAL(9,INDEX(Main[مقدار تسویه شده (کیلوگرم)],1):Main[[#This Row],[مقدار تسویه شده (کیلوگرم)]])</f>
        <v>31460</v>
      </c>
      <c r="Y1948" s="6">
        <f ca="1">IF(Main[[#This Row],[مانده در خط تسویه شده (کیلوگرم)]]&lt;&gt;0,Main[[#This Row],[تعداد کل روزهای بدهکار (روز)]],0)</f>
        <v>0</v>
      </c>
      <c r="Z1948" s="6">
        <f ca="1">Main[[#This Row],[تعداد روزهای بدهکار تسویه شده (روز)]]*Main[[#This Row],[مانده در خط تسویه شده (کیلوگرم)]]</f>
        <v>0</v>
      </c>
      <c r="AA1948" s="6">
        <f ca="1">SUBTOTAL(9,INDEX(Main[بدهی تسویه نشده (کیلوگرم)],1):Main[[#This Row],[بدهی تسویه نشده (کیلوگرم)]])</f>
        <v>0</v>
      </c>
      <c r="AB1948" s="6">
        <f ca="1">IF(Main[[#This Row],[مانده در خط تسویه نشده (کیلوگرم)]]&lt;&gt;0,Main[[#This Row],[تعداد کل روزهای بدهکار (روز)]],0)</f>
        <v>0</v>
      </c>
      <c r="AC1948" s="6">
        <f ca="1">Main[[#This Row],[تعداد روزهای بدهکار  تسویه نشده (روز)]]*Main[[#This Row],[مانده در خط تسویه نشده (کیلوگرم)]]</f>
        <v>0</v>
      </c>
      <c r="AD1948" s="6">
        <f ca="1">SUBTOTAL(9,INDEX(Main[بدهی سررسید شده (کیلوگرم)],1):Main[[#This Row],[بدهی سررسید شده (کیلوگرم)]])</f>
        <v>0</v>
      </c>
      <c r="AE1948" s="6">
        <f ca="1">IF(Main[[#This Row],[مانده در خط سررسید شده (کیلوگرم)]]&lt;&gt;0,Main[[#This Row],[تعداد کل روزهای بدهکار (روز)]],0)</f>
        <v>0</v>
      </c>
      <c r="AF1948" s="6">
        <f ca="1">Main[[#This Row],[تعداد روزهای بدهکار سررسید شده (روز)]]*Main[[#This Row],[مانده در خط سررسید شده (کیلوگرم)]]</f>
        <v>0</v>
      </c>
    </row>
    <row r="1949" spans="1:32" hidden="1" x14ac:dyDescent="0.35">
      <c r="A1949" s="5">
        <f>ROW()-ROW(INDEX(Main[ردیف],1))+1</f>
        <v>1947</v>
      </c>
      <c r="B1949" s="31">
        <f>SUBTOTAL(2,INDEX(Main[ردیف],1):Main[[#This Row],[ردیف]])</f>
        <v>171</v>
      </c>
      <c r="C1949" s="32" t="s">
        <v>740</v>
      </c>
      <c r="D1949" s="32" t="str">
        <f>_xlfn.CONCAT("14",Main[[#This Row],[تاريخ]])</f>
        <v>1400/08/04</v>
      </c>
      <c r="E1949" s="33">
        <v>44495</v>
      </c>
      <c r="F1949" s="32">
        <v>10104</v>
      </c>
      <c r="G1949" s="5" t="str">
        <f>INDEX(customer[عنوان],MATCH(Main[[#This Row],[کد ردیابی]],customer[کد],0))</f>
        <v>بهزادی فر اصغر</v>
      </c>
      <c r="H1949">
        <v>116</v>
      </c>
      <c r="I1949" s="6">
        <f ca="1">-Main[[#This Row],[بدهی تسویه شده (کیلوگرم)]]+Main[[#This Row],[بستانکار (کیلوگرم)]]</f>
        <v>116</v>
      </c>
      <c r="J1949" s="6">
        <f>IF(Main[[#This Row],[مقدار (کیلوگرم)]]&gt;0,Main[[#This Row],[مقدار (کیلوگرم)]],0)</f>
        <v>116</v>
      </c>
      <c r="K1949" s="6">
        <f>-IF(Main[[#This Row],[مقدار (کیلوگرم)]]&lt;0,Main[[#This Row],[مقدار (کیلوگرم)]],0)</f>
        <v>0</v>
      </c>
      <c r="L19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9" s="7">
        <f>-IF(AND(Main[[#This Row],[مقدار (کیلوگرم)]]&lt;0,Main[[#This Row],[تاريخ میلادی]]&gt;44276),Main[[#This Row],[مقدار (کیلوگرم)]],0)</f>
        <v>0</v>
      </c>
      <c r="N1949" s="6">
        <f ca="1">Main[[#This Row],[بدهکار (کیلوگرم)]]-Main[[#This Row],[بدهی تسویه نشده (کیلوگرم)]]</f>
        <v>0</v>
      </c>
      <c r="O1949" s="6">
        <f ca="1">Main[[#This Row],[تفکیک]]</f>
        <v>0</v>
      </c>
      <c r="P1949" s="6">
        <f ca="1">IF(Main[[#This Row],[تاخیر از سررسید]]&gt;0,Main[[#This Row],[بدهی تسویه نشده (کیلوگرم)]],0)</f>
        <v>0</v>
      </c>
      <c r="Q1949" s="6">
        <f ca="1">IF(Main[[#This Row],[بدهی تسویه نشده (کیلوگرم)]]&gt;0,'گزارش فردی'!$B$7-Main[[#This Row],[تاريخ میلادی]],0)</f>
        <v>0</v>
      </c>
      <c r="R1949" s="6">
        <f ca="1">IF(Main[[#This Row],[بدهی تسویه نشده (کیلوگرم)]]&gt;0,'گزارش فردی'!$B$7-Main[[#This Row],[تاريخ میلادی]]-'گزارش فردی'!$B$8,0)</f>
        <v>0</v>
      </c>
      <c r="S1949" s="6">
        <f ca="1">Main[[#This Row],[روز از ارسال سفارش]]*Main[[#This Row],[بدهی تسویه نشده (کیلوگرم)]]</f>
        <v>0</v>
      </c>
      <c r="T1949" s="6">
        <f ca="1">Main[[#This Row],[بدهی سررسید شده (کیلوگرم)]]*Main[[#This Row],[روز از ارسال سفارش]]</f>
        <v>0</v>
      </c>
      <c r="U1949" s="6">
        <f>-SUBTOTAL(9,INDEX(Main[مقدار (کیلوگرم)],1):Main[[#This Row],[مقدار (کیلوگرم)]])</f>
        <v>31460</v>
      </c>
      <c r="V19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9" s="6">
        <f>Main[[#This Row],[تعداد کل روزهای بدهکار (روز)]]*Main[[#This Row],[مانده در خط کل (کیلوگرم)]]</f>
        <v>0</v>
      </c>
      <c r="X1949" s="6">
        <f ca="1">-SUBTOTAL(9,INDEX(Main[مقدار تسویه شده (کیلوگرم)],1):Main[[#This Row],[مقدار تسویه شده (کیلوگرم)]])</f>
        <v>31460</v>
      </c>
      <c r="Y1949" s="6">
        <f ca="1">IF(Main[[#This Row],[مانده در خط تسویه شده (کیلوگرم)]]&lt;&gt;0,Main[[#This Row],[تعداد کل روزهای بدهکار (روز)]],0)</f>
        <v>0</v>
      </c>
      <c r="Z1949" s="6">
        <f ca="1">Main[[#This Row],[تعداد روزهای بدهکار تسویه شده (روز)]]*Main[[#This Row],[مانده در خط تسویه شده (کیلوگرم)]]</f>
        <v>0</v>
      </c>
      <c r="AA1949" s="6">
        <f ca="1">SUBTOTAL(9,INDEX(Main[بدهی تسویه نشده (کیلوگرم)],1):Main[[#This Row],[بدهی تسویه نشده (کیلوگرم)]])</f>
        <v>0</v>
      </c>
      <c r="AB1949" s="6">
        <f ca="1">IF(Main[[#This Row],[مانده در خط تسویه نشده (کیلوگرم)]]&lt;&gt;0,Main[[#This Row],[تعداد کل روزهای بدهکار (روز)]],0)</f>
        <v>0</v>
      </c>
      <c r="AC1949" s="6">
        <f ca="1">Main[[#This Row],[تعداد روزهای بدهکار  تسویه نشده (روز)]]*Main[[#This Row],[مانده در خط تسویه نشده (کیلوگرم)]]</f>
        <v>0</v>
      </c>
      <c r="AD1949" s="6">
        <f ca="1">SUBTOTAL(9,INDEX(Main[بدهی سررسید شده (کیلوگرم)],1):Main[[#This Row],[بدهی سررسید شده (کیلوگرم)]])</f>
        <v>0</v>
      </c>
      <c r="AE1949" s="6">
        <f ca="1">IF(Main[[#This Row],[مانده در خط سررسید شده (کیلوگرم)]]&lt;&gt;0,Main[[#This Row],[تعداد کل روزهای بدهکار (روز)]],0)</f>
        <v>0</v>
      </c>
      <c r="AF1949" s="6">
        <f ca="1">Main[[#This Row],[تعداد روزهای بدهکار سررسید شده (روز)]]*Main[[#This Row],[مانده در خط سررسید شده (کیلوگرم)]]</f>
        <v>0</v>
      </c>
    </row>
    <row r="1950" spans="1:32" x14ac:dyDescent="0.35">
      <c r="A1950" s="5">
        <f>ROW()-ROW(INDEX(Main[ردیف],1))+1</f>
        <v>1948</v>
      </c>
      <c r="B1950" s="31">
        <f>SUBTOTAL(2,INDEX(Main[ردیف],1):Main[[#This Row],[ردیف]])</f>
        <v>172</v>
      </c>
      <c r="C1950" s="32" t="s">
        <v>740</v>
      </c>
      <c r="D1950" s="32" t="str">
        <f>_xlfn.CONCAT("14",Main[[#This Row],[تاريخ]])</f>
        <v>1400/08/04</v>
      </c>
      <c r="E1950" s="33">
        <v>44495</v>
      </c>
      <c r="F1950" s="32">
        <v>10003</v>
      </c>
      <c r="G1950" s="5" t="str">
        <f>INDEX(customer[عنوان],MATCH(Main[[#This Row],[کد ردیابی]],customer[کد],0))</f>
        <v>اصغر نورعلی</v>
      </c>
      <c r="H1950">
        <v>-1151</v>
      </c>
      <c r="I1950" s="6">
        <f ca="1">-Main[[#This Row],[بدهی تسویه شده (کیلوگرم)]]+Main[[#This Row],[بستانکار (کیلوگرم)]]</f>
        <v>-1151</v>
      </c>
      <c r="J1950" s="6">
        <f>IF(Main[[#This Row],[مقدار (کیلوگرم)]]&gt;0,Main[[#This Row],[مقدار (کیلوگرم)]],0)</f>
        <v>0</v>
      </c>
      <c r="K1950" s="6">
        <f>-IF(Main[[#This Row],[مقدار (کیلوگرم)]]&lt;0,Main[[#This Row],[مقدار (کیلوگرم)]],0)</f>
        <v>1151</v>
      </c>
      <c r="L19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0" s="7">
        <f>-IF(AND(Main[[#This Row],[مقدار (کیلوگرم)]]&lt;0,Main[[#This Row],[تاريخ میلادی]]&gt;44276),Main[[#This Row],[مقدار (کیلوگرم)]],0)</f>
        <v>1151</v>
      </c>
      <c r="N1950" s="6">
        <f ca="1">Main[[#This Row],[بدهکار (کیلوگرم)]]-Main[[#This Row],[بدهی تسویه نشده (کیلوگرم)]]</f>
        <v>1151</v>
      </c>
      <c r="O1950" s="6">
        <f ca="1">Main[[#This Row],[تفکیک]]</f>
        <v>0</v>
      </c>
      <c r="P1950" s="6">
        <f ca="1">IF(Main[[#This Row],[تاخیر از سررسید]]&gt;0,Main[[#This Row],[بدهی تسویه نشده (کیلوگرم)]],0)</f>
        <v>0</v>
      </c>
      <c r="Q1950" s="6">
        <f ca="1">IF(Main[[#This Row],[بدهی تسویه نشده (کیلوگرم)]]&gt;0,'گزارش فردی'!$B$7-Main[[#This Row],[تاريخ میلادی]],0)</f>
        <v>0</v>
      </c>
      <c r="R1950" s="6">
        <f ca="1">IF(Main[[#This Row],[بدهی تسویه نشده (کیلوگرم)]]&gt;0,'گزارش فردی'!$B$7-Main[[#This Row],[تاريخ میلادی]]-'گزارش فردی'!$B$8,0)</f>
        <v>0</v>
      </c>
      <c r="S1950" s="6">
        <f ca="1">Main[[#This Row],[روز از ارسال سفارش]]*Main[[#This Row],[بدهی تسویه نشده (کیلوگرم)]]</f>
        <v>0</v>
      </c>
      <c r="T1950" s="6">
        <f ca="1">Main[[#This Row],[بدهی سررسید شده (کیلوگرم)]]*Main[[#This Row],[روز از ارسال سفارش]]</f>
        <v>0</v>
      </c>
      <c r="U1950" s="6">
        <f>-SUBTOTAL(9,INDEX(Main[مقدار (کیلوگرم)],1):Main[[#This Row],[مقدار (کیلوگرم)]])</f>
        <v>32611</v>
      </c>
      <c r="V19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0" s="6">
        <f>Main[[#This Row],[تعداد کل روزهای بدهکار (روز)]]*Main[[#This Row],[مانده در خط کل (کیلوگرم)]]</f>
        <v>32611</v>
      </c>
      <c r="X1950" s="6">
        <f ca="1">-SUBTOTAL(9,INDEX(Main[مقدار تسویه شده (کیلوگرم)],1):Main[[#This Row],[مقدار تسویه شده (کیلوگرم)]])</f>
        <v>32611</v>
      </c>
      <c r="Y1950" s="6">
        <f ca="1">IF(Main[[#This Row],[مانده در خط تسویه شده (کیلوگرم)]]&lt;&gt;0,Main[[#This Row],[تعداد کل روزهای بدهکار (روز)]],0)</f>
        <v>1</v>
      </c>
      <c r="Z1950" s="6">
        <f ca="1">Main[[#This Row],[تعداد روزهای بدهکار تسویه شده (روز)]]*Main[[#This Row],[مانده در خط تسویه شده (کیلوگرم)]]</f>
        <v>32611</v>
      </c>
      <c r="AA1950" s="6">
        <f ca="1">SUBTOTAL(9,INDEX(Main[بدهی تسویه نشده (کیلوگرم)],1):Main[[#This Row],[بدهی تسویه نشده (کیلوگرم)]])</f>
        <v>0</v>
      </c>
      <c r="AB1950" s="6">
        <f ca="1">IF(Main[[#This Row],[مانده در خط تسویه نشده (کیلوگرم)]]&lt;&gt;0,Main[[#This Row],[تعداد کل روزهای بدهکار (روز)]],0)</f>
        <v>0</v>
      </c>
      <c r="AC1950" s="6">
        <f ca="1">Main[[#This Row],[تعداد روزهای بدهکار  تسویه نشده (روز)]]*Main[[#This Row],[مانده در خط تسویه نشده (کیلوگرم)]]</f>
        <v>0</v>
      </c>
      <c r="AD1950" s="6">
        <f ca="1">SUBTOTAL(9,INDEX(Main[بدهی سررسید شده (کیلوگرم)],1):Main[[#This Row],[بدهی سررسید شده (کیلوگرم)]])</f>
        <v>0</v>
      </c>
      <c r="AE1950" s="6">
        <f ca="1">IF(Main[[#This Row],[مانده در خط سررسید شده (کیلوگرم)]]&lt;&gt;0,Main[[#This Row],[تعداد کل روزهای بدهکار (روز)]],0)</f>
        <v>0</v>
      </c>
      <c r="AF1950" s="6">
        <f ca="1">Main[[#This Row],[تعداد روزهای بدهکار سررسید شده (روز)]]*Main[[#This Row],[مانده در خط سررسید شده (کیلوگرم)]]</f>
        <v>0</v>
      </c>
    </row>
    <row r="1951" spans="1:32" hidden="1" x14ac:dyDescent="0.35">
      <c r="A1951" s="5">
        <f>ROW()-ROW(INDEX(Main[ردیف],1))+1</f>
        <v>1949</v>
      </c>
      <c r="B1951" s="31">
        <f>SUBTOTAL(2,INDEX(Main[ردیف],1):Main[[#This Row],[ردیف]])</f>
        <v>172</v>
      </c>
      <c r="C1951" s="32" t="s">
        <v>740</v>
      </c>
      <c r="D1951" s="32" t="str">
        <f>_xlfn.CONCAT("14",Main[[#This Row],[تاريخ]])</f>
        <v>1400/08/04</v>
      </c>
      <c r="E1951" s="33">
        <v>44495</v>
      </c>
      <c r="F1951" s="32">
        <v>10104</v>
      </c>
      <c r="G1951" s="5" t="str">
        <f>INDEX(customer[عنوان],MATCH(Main[[#This Row],[کد ردیابی]],customer[کد],0))</f>
        <v>بهزادی فر اصغر</v>
      </c>
      <c r="H1951">
        <v>456</v>
      </c>
      <c r="I1951" s="6">
        <f ca="1">-Main[[#This Row],[بدهی تسویه شده (کیلوگرم)]]+Main[[#This Row],[بستانکار (کیلوگرم)]]</f>
        <v>456</v>
      </c>
      <c r="J1951" s="6">
        <f>IF(Main[[#This Row],[مقدار (کیلوگرم)]]&gt;0,Main[[#This Row],[مقدار (کیلوگرم)]],0)</f>
        <v>456</v>
      </c>
      <c r="K1951" s="6">
        <f>-IF(Main[[#This Row],[مقدار (کیلوگرم)]]&lt;0,Main[[#This Row],[مقدار (کیلوگرم)]],0)</f>
        <v>0</v>
      </c>
      <c r="L19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1" s="7">
        <f>-IF(AND(Main[[#This Row],[مقدار (کیلوگرم)]]&lt;0,Main[[#This Row],[تاريخ میلادی]]&gt;44276),Main[[#This Row],[مقدار (کیلوگرم)]],0)</f>
        <v>0</v>
      </c>
      <c r="N1951" s="6">
        <f ca="1">Main[[#This Row],[بدهکار (کیلوگرم)]]-Main[[#This Row],[بدهی تسویه نشده (کیلوگرم)]]</f>
        <v>0</v>
      </c>
      <c r="O1951" s="6">
        <f ca="1">Main[[#This Row],[تفکیک]]</f>
        <v>0</v>
      </c>
      <c r="P1951" s="6">
        <f ca="1">IF(Main[[#This Row],[تاخیر از سررسید]]&gt;0,Main[[#This Row],[بدهی تسویه نشده (کیلوگرم)]],0)</f>
        <v>0</v>
      </c>
      <c r="Q1951" s="6">
        <f ca="1">IF(Main[[#This Row],[بدهی تسویه نشده (کیلوگرم)]]&gt;0,'گزارش فردی'!$B$7-Main[[#This Row],[تاريخ میلادی]],0)</f>
        <v>0</v>
      </c>
      <c r="R1951" s="6">
        <f ca="1">IF(Main[[#This Row],[بدهی تسویه نشده (کیلوگرم)]]&gt;0,'گزارش فردی'!$B$7-Main[[#This Row],[تاريخ میلادی]]-'گزارش فردی'!$B$8,0)</f>
        <v>0</v>
      </c>
      <c r="S1951" s="6">
        <f ca="1">Main[[#This Row],[روز از ارسال سفارش]]*Main[[#This Row],[بدهی تسویه نشده (کیلوگرم)]]</f>
        <v>0</v>
      </c>
      <c r="T1951" s="6">
        <f ca="1">Main[[#This Row],[بدهی سررسید شده (کیلوگرم)]]*Main[[#This Row],[روز از ارسال سفارش]]</f>
        <v>0</v>
      </c>
      <c r="U1951" s="6">
        <f>-SUBTOTAL(9,INDEX(Main[مقدار (کیلوگرم)],1):Main[[#This Row],[مقدار (کیلوگرم)]])</f>
        <v>32611</v>
      </c>
      <c r="V19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1" s="6">
        <f>Main[[#This Row],[تعداد کل روزهای بدهکار (روز)]]*Main[[#This Row],[مانده در خط کل (کیلوگرم)]]</f>
        <v>32611</v>
      </c>
      <c r="X1951" s="6">
        <f ca="1">-SUBTOTAL(9,INDEX(Main[مقدار تسویه شده (کیلوگرم)],1):Main[[#This Row],[مقدار تسویه شده (کیلوگرم)]])</f>
        <v>32611</v>
      </c>
      <c r="Y1951" s="6">
        <f ca="1">IF(Main[[#This Row],[مانده در خط تسویه شده (کیلوگرم)]]&lt;&gt;0,Main[[#This Row],[تعداد کل روزهای بدهکار (روز)]],0)</f>
        <v>1</v>
      </c>
      <c r="Z1951" s="6">
        <f ca="1">Main[[#This Row],[تعداد روزهای بدهکار تسویه شده (روز)]]*Main[[#This Row],[مانده در خط تسویه شده (کیلوگرم)]]</f>
        <v>32611</v>
      </c>
      <c r="AA1951" s="6">
        <f ca="1">SUBTOTAL(9,INDEX(Main[بدهی تسویه نشده (کیلوگرم)],1):Main[[#This Row],[بدهی تسویه نشده (کیلوگرم)]])</f>
        <v>0</v>
      </c>
      <c r="AB1951" s="6">
        <f ca="1">IF(Main[[#This Row],[مانده در خط تسویه نشده (کیلوگرم)]]&lt;&gt;0,Main[[#This Row],[تعداد کل روزهای بدهکار (روز)]],0)</f>
        <v>0</v>
      </c>
      <c r="AC1951" s="6">
        <f ca="1">Main[[#This Row],[تعداد روزهای بدهکار  تسویه نشده (روز)]]*Main[[#This Row],[مانده در خط تسویه نشده (کیلوگرم)]]</f>
        <v>0</v>
      </c>
      <c r="AD1951" s="6">
        <f ca="1">SUBTOTAL(9,INDEX(Main[بدهی سررسید شده (کیلوگرم)],1):Main[[#This Row],[بدهی سررسید شده (کیلوگرم)]])</f>
        <v>0</v>
      </c>
      <c r="AE1951" s="6">
        <f ca="1">IF(Main[[#This Row],[مانده در خط سررسید شده (کیلوگرم)]]&lt;&gt;0,Main[[#This Row],[تعداد کل روزهای بدهکار (روز)]],0)</f>
        <v>0</v>
      </c>
      <c r="AF1951" s="6">
        <f ca="1">Main[[#This Row],[تعداد روزهای بدهکار سررسید شده (روز)]]*Main[[#This Row],[مانده در خط سررسید شده (کیلوگرم)]]</f>
        <v>0</v>
      </c>
    </row>
    <row r="1952" spans="1:32" hidden="1" x14ac:dyDescent="0.35">
      <c r="A1952" s="5">
        <f>ROW()-ROW(INDEX(Main[ردیف],1))+1</f>
        <v>1950</v>
      </c>
      <c r="B1952" s="31">
        <f>SUBTOTAL(2,INDEX(Main[ردیف],1):Main[[#This Row],[ردیف]])</f>
        <v>172</v>
      </c>
      <c r="C1952" s="32" t="s">
        <v>740</v>
      </c>
      <c r="D1952" s="32" t="str">
        <f>_xlfn.CONCAT("14",Main[[#This Row],[تاريخ]])</f>
        <v>1400/08/04</v>
      </c>
      <c r="E1952" s="33">
        <v>44495</v>
      </c>
      <c r="F1952" s="32">
        <v>30004</v>
      </c>
      <c r="G1952" s="5" t="str">
        <f>INDEX(customer[عنوان],MATCH(Main[[#This Row],[کد ردیابی]],customer[کد],0))</f>
        <v>تولیدی صنعتی صفاشیر پارس</v>
      </c>
      <c r="H1952">
        <v>-2829</v>
      </c>
      <c r="I1952" s="6">
        <f ca="1">-Main[[#This Row],[بدهی تسویه شده (کیلوگرم)]]+Main[[#This Row],[بستانکار (کیلوگرم)]]</f>
        <v>-2829</v>
      </c>
      <c r="J1952" s="6">
        <f>IF(Main[[#This Row],[مقدار (کیلوگرم)]]&gt;0,Main[[#This Row],[مقدار (کیلوگرم)]],0)</f>
        <v>0</v>
      </c>
      <c r="K1952" s="6">
        <f>-IF(Main[[#This Row],[مقدار (کیلوگرم)]]&lt;0,Main[[#This Row],[مقدار (کیلوگرم)]],0)</f>
        <v>2829</v>
      </c>
      <c r="L19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2" s="7">
        <f>-IF(AND(Main[[#This Row],[مقدار (کیلوگرم)]]&lt;0,Main[[#This Row],[تاريخ میلادی]]&gt;44276),Main[[#This Row],[مقدار (کیلوگرم)]],0)</f>
        <v>2829</v>
      </c>
      <c r="N1952" s="6">
        <f ca="1">Main[[#This Row],[بدهکار (کیلوگرم)]]-Main[[#This Row],[بدهی تسویه نشده (کیلوگرم)]]</f>
        <v>2829</v>
      </c>
      <c r="O1952" s="6">
        <f ca="1">Main[[#This Row],[تفکیک]]</f>
        <v>0</v>
      </c>
      <c r="P1952" s="6">
        <f ca="1">IF(Main[[#This Row],[تاخیر از سررسید]]&gt;0,Main[[#This Row],[بدهی تسویه نشده (کیلوگرم)]],0)</f>
        <v>0</v>
      </c>
      <c r="Q1952" s="6">
        <f ca="1">IF(Main[[#This Row],[بدهی تسویه نشده (کیلوگرم)]]&gt;0,'گزارش فردی'!$B$7-Main[[#This Row],[تاريخ میلادی]],0)</f>
        <v>0</v>
      </c>
      <c r="R1952" s="6">
        <f ca="1">IF(Main[[#This Row],[بدهی تسویه نشده (کیلوگرم)]]&gt;0,'گزارش فردی'!$B$7-Main[[#This Row],[تاريخ میلادی]]-'گزارش فردی'!$B$8,0)</f>
        <v>0</v>
      </c>
      <c r="S1952" s="6">
        <f ca="1">Main[[#This Row],[روز از ارسال سفارش]]*Main[[#This Row],[بدهی تسویه نشده (کیلوگرم)]]</f>
        <v>0</v>
      </c>
      <c r="T1952" s="6">
        <f ca="1">Main[[#This Row],[بدهی سررسید شده (کیلوگرم)]]*Main[[#This Row],[روز از ارسال سفارش]]</f>
        <v>0</v>
      </c>
      <c r="U1952" s="6">
        <f>-SUBTOTAL(9,INDEX(Main[مقدار (کیلوگرم)],1):Main[[#This Row],[مقدار (کیلوگرم)]])</f>
        <v>32611</v>
      </c>
      <c r="V19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2" s="6">
        <f>Main[[#This Row],[تعداد کل روزهای بدهکار (روز)]]*Main[[#This Row],[مانده در خط کل (کیلوگرم)]]</f>
        <v>32611</v>
      </c>
      <c r="X1952" s="6">
        <f ca="1">-SUBTOTAL(9,INDEX(Main[مقدار تسویه شده (کیلوگرم)],1):Main[[#This Row],[مقدار تسویه شده (کیلوگرم)]])</f>
        <v>32611</v>
      </c>
      <c r="Y1952" s="6">
        <f ca="1">IF(Main[[#This Row],[مانده در خط تسویه شده (کیلوگرم)]]&lt;&gt;0,Main[[#This Row],[تعداد کل روزهای بدهکار (روز)]],0)</f>
        <v>1</v>
      </c>
      <c r="Z1952" s="6">
        <f ca="1">Main[[#This Row],[تعداد روزهای بدهکار تسویه شده (روز)]]*Main[[#This Row],[مانده در خط تسویه شده (کیلوگرم)]]</f>
        <v>32611</v>
      </c>
      <c r="AA1952" s="6">
        <f ca="1">SUBTOTAL(9,INDEX(Main[بدهی تسویه نشده (کیلوگرم)],1):Main[[#This Row],[بدهی تسویه نشده (کیلوگرم)]])</f>
        <v>0</v>
      </c>
      <c r="AB1952" s="6">
        <f ca="1">IF(Main[[#This Row],[مانده در خط تسویه نشده (کیلوگرم)]]&lt;&gt;0,Main[[#This Row],[تعداد کل روزهای بدهکار (روز)]],0)</f>
        <v>0</v>
      </c>
      <c r="AC1952" s="6">
        <f ca="1">Main[[#This Row],[تعداد روزهای بدهکار  تسویه نشده (روز)]]*Main[[#This Row],[مانده در خط تسویه نشده (کیلوگرم)]]</f>
        <v>0</v>
      </c>
      <c r="AD1952" s="6">
        <f ca="1">SUBTOTAL(9,INDEX(Main[بدهی سررسید شده (کیلوگرم)],1):Main[[#This Row],[بدهی سررسید شده (کیلوگرم)]])</f>
        <v>0</v>
      </c>
      <c r="AE1952" s="6">
        <f ca="1">IF(Main[[#This Row],[مانده در خط سررسید شده (کیلوگرم)]]&lt;&gt;0,Main[[#This Row],[تعداد کل روزهای بدهکار (روز)]],0)</f>
        <v>0</v>
      </c>
      <c r="AF1952" s="6">
        <f ca="1">Main[[#This Row],[تعداد روزهای بدهکار سررسید شده (روز)]]*Main[[#This Row],[مانده در خط سررسید شده (کیلوگرم)]]</f>
        <v>0</v>
      </c>
    </row>
    <row r="1953" spans="1:32" hidden="1" x14ac:dyDescent="0.35">
      <c r="A1953" s="5">
        <f>ROW()-ROW(INDEX(Main[ردیف],1))+1</f>
        <v>1951</v>
      </c>
      <c r="B1953" s="31">
        <f>SUBTOTAL(2,INDEX(Main[ردیف],1):Main[[#This Row],[ردیف]])</f>
        <v>172</v>
      </c>
      <c r="C1953" s="32" t="s">
        <v>740</v>
      </c>
      <c r="D1953" s="32" t="str">
        <f>_xlfn.CONCAT("14",Main[[#This Row],[تاريخ]])</f>
        <v>1400/08/04</v>
      </c>
      <c r="E1953" s="33">
        <v>44495</v>
      </c>
      <c r="F1953" s="32">
        <v>10127</v>
      </c>
      <c r="G1953" s="5" t="str">
        <f>INDEX(customer[عنوان],MATCH(Main[[#This Row],[کد ردیابی]],customer[کد],0))</f>
        <v xml:space="preserve">عماد هاشمی </v>
      </c>
      <c r="H1953">
        <v>-2015</v>
      </c>
      <c r="I1953" s="6">
        <f ca="1">-Main[[#This Row],[بدهی تسویه شده (کیلوگرم)]]+Main[[#This Row],[بستانکار (کیلوگرم)]]</f>
        <v>-2015</v>
      </c>
      <c r="J1953" s="6">
        <f>IF(Main[[#This Row],[مقدار (کیلوگرم)]]&gt;0,Main[[#This Row],[مقدار (کیلوگرم)]],0)</f>
        <v>0</v>
      </c>
      <c r="K1953" s="6">
        <f>-IF(Main[[#This Row],[مقدار (کیلوگرم)]]&lt;0,Main[[#This Row],[مقدار (کیلوگرم)]],0)</f>
        <v>2015</v>
      </c>
      <c r="L19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3" s="7">
        <f>-IF(AND(Main[[#This Row],[مقدار (کیلوگرم)]]&lt;0,Main[[#This Row],[تاريخ میلادی]]&gt;44276),Main[[#This Row],[مقدار (کیلوگرم)]],0)</f>
        <v>2015</v>
      </c>
      <c r="N1953" s="6">
        <f ca="1">Main[[#This Row],[بدهکار (کیلوگرم)]]-Main[[#This Row],[بدهی تسویه نشده (کیلوگرم)]]</f>
        <v>2015</v>
      </c>
      <c r="O1953" s="6">
        <f ca="1">Main[[#This Row],[تفکیک]]</f>
        <v>0</v>
      </c>
      <c r="P1953" s="6">
        <f ca="1">IF(Main[[#This Row],[تاخیر از سررسید]]&gt;0,Main[[#This Row],[بدهی تسویه نشده (کیلوگرم)]],0)</f>
        <v>0</v>
      </c>
      <c r="Q1953" s="6">
        <f ca="1">IF(Main[[#This Row],[بدهی تسویه نشده (کیلوگرم)]]&gt;0,'گزارش فردی'!$B$7-Main[[#This Row],[تاريخ میلادی]],0)</f>
        <v>0</v>
      </c>
      <c r="R1953" s="6">
        <f ca="1">IF(Main[[#This Row],[بدهی تسویه نشده (کیلوگرم)]]&gt;0,'گزارش فردی'!$B$7-Main[[#This Row],[تاريخ میلادی]]-'گزارش فردی'!$B$8,0)</f>
        <v>0</v>
      </c>
      <c r="S1953" s="6">
        <f ca="1">Main[[#This Row],[روز از ارسال سفارش]]*Main[[#This Row],[بدهی تسویه نشده (کیلوگرم)]]</f>
        <v>0</v>
      </c>
      <c r="T1953" s="6">
        <f ca="1">Main[[#This Row],[بدهی سررسید شده (کیلوگرم)]]*Main[[#This Row],[روز از ارسال سفارش]]</f>
        <v>0</v>
      </c>
      <c r="U1953" s="6">
        <f>-SUBTOTAL(9,INDEX(Main[مقدار (کیلوگرم)],1):Main[[#This Row],[مقدار (کیلوگرم)]])</f>
        <v>32611</v>
      </c>
      <c r="V19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3" s="6">
        <f>Main[[#This Row],[تعداد کل روزهای بدهکار (روز)]]*Main[[#This Row],[مانده در خط کل (کیلوگرم)]]</f>
        <v>32611</v>
      </c>
      <c r="X1953" s="6">
        <f ca="1">-SUBTOTAL(9,INDEX(Main[مقدار تسویه شده (کیلوگرم)],1):Main[[#This Row],[مقدار تسویه شده (کیلوگرم)]])</f>
        <v>32611</v>
      </c>
      <c r="Y1953" s="6">
        <f ca="1">IF(Main[[#This Row],[مانده در خط تسویه شده (کیلوگرم)]]&lt;&gt;0,Main[[#This Row],[تعداد کل روزهای بدهکار (روز)]],0)</f>
        <v>1</v>
      </c>
      <c r="Z1953" s="6">
        <f ca="1">Main[[#This Row],[تعداد روزهای بدهکار تسویه شده (روز)]]*Main[[#This Row],[مانده در خط تسویه شده (کیلوگرم)]]</f>
        <v>32611</v>
      </c>
      <c r="AA1953" s="6">
        <f ca="1">SUBTOTAL(9,INDEX(Main[بدهی تسویه نشده (کیلوگرم)],1):Main[[#This Row],[بدهی تسویه نشده (کیلوگرم)]])</f>
        <v>0</v>
      </c>
      <c r="AB1953" s="6">
        <f ca="1">IF(Main[[#This Row],[مانده در خط تسویه نشده (کیلوگرم)]]&lt;&gt;0,Main[[#This Row],[تعداد کل روزهای بدهکار (روز)]],0)</f>
        <v>0</v>
      </c>
      <c r="AC1953" s="6">
        <f ca="1">Main[[#This Row],[تعداد روزهای بدهکار  تسویه نشده (روز)]]*Main[[#This Row],[مانده در خط تسویه نشده (کیلوگرم)]]</f>
        <v>0</v>
      </c>
      <c r="AD1953" s="6">
        <f ca="1">SUBTOTAL(9,INDEX(Main[بدهی سررسید شده (کیلوگرم)],1):Main[[#This Row],[بدهی سررسید شده (کیلوگرم)]])</f>
        <v>0</v>
      </c>
      <c r="AE1953" s="6">
        <f ca="1">IF(Main[[#This Row],[مانده در خط سررسید شده (کیلوگرم)]]&lt;&gt;0,Main[[#This Row],[تعداد کل روزهای بدهکار (روز)]],0)</f>
        <v>0</v>
      </c>
      <c r="AF1953" s="6">
        <f ca="1">Main[[#This Row],[تعداد روزهای بدهکار سررسید شده (روز)]]*Main[[#This Row],[مانده در خط سررسید شده (کیلوگرم)]]</f>
        <v>0</v>
      </c>
    </row>
    <row r="1954" spans="1:32" hidden="1" x14ac:dyDescent="0.35">
      <c r="A1954" s="5">
        <f>ROW()-ROW(INDEX(Main[ردیف],1))+1</f>
        <v>1952</v>
      </c>
      <c r="B1954" s="31">
        <f>SUBTOTAL(2,INDEX(Main[ردیف],1):Main[[#This Row],[ردیف]])</f>
        <v>172</v>
      </c>
      <c r="C1954" s="32" t="s">
        <v>741</v>
      </c>
      <c r="D1954" s="32" t="str">
        <f>_xlfn.CONCAT("14",Main[[#This Row],[تاريخ]])</f>
        <v>1400/08/05</v>
      </c>
      <c r="E1954" s="33">
        <v>44496</v>
      </c>
      <c r="F1954" s="32">
        <v>30017</v>
      </c>
      <c r="G1954" s="5" t="str">
        <f>INDEX(customer[عنوان],MATCH(Main[[#This Row],[کد ردیابی]],customer[کد],0))</f>
        <v xml:space="preserve">البرز یدک </v>
      </c>
      <c r="H1954">
        <v>456</v>
      </c>
      <c r="I1954" s="6">
        <f ca="1">-Main[[#This Row],[بدهی تسویه شده (کیلوگرم)]]+Main[[#This Row],[بستانکار (کیلوگرم)]]</f>
        <v>456</v>
      </c>
      <c r="J1954" s="6">
        <f>IF(Main[[#This Row],[مقدار (کیلوگرم)]]&gt;0,Main[[#This Row],[مقدار (کیلوگرم)]],0)</f>
        <v>456</v>
      </c>
      <c r="K1954" s="6">
        <f>-IF(Main[[#This Row],[مقدار (کیلوگرم)]]&lt;0,Main[[#This Row],[مقدار (کیلوگرم)]],0)</f>
        <v>0</v>
      </c>
      <c r="L19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4" s="7">
        <f>-IF(AND(Main[[#This Row],[مقدار (کیلوگرم)]]&lt;0,Main[[#This Row],[تاريخ میلادی]]&gt;44276),Main[[#This Row],[مقدار (کیلوگرم)]],0)</f>
        <v>0</v>
      </c>
      <c r="N1954" s="6">
        <f ca="1">Main[[#This Row],[بدهکار (کیلوگرم)]]-Main[[#This Row],[بدهی تسویه نشده (کیلوگرم)]]</f>
        <v>0</v>
      </c>
      <c r="O1954" s="6">
        <f ca="1">Main[[#This Row],[تفکیک]]</f>
        <v>0</v>
      </c>
      <c r="P1954" s="6">
        <f ca="1">IF(Main[[#This Row],[تاخیر از سررسید]]&gt;0,Main[[#This Row],[بدهی تسویه نشده (کیلوگرم)]],0)</f>
        <v>0</v>
      </c>
      <c r="Q1954" s="6">
        <f ca="1">IF(Main[[#This Row],[بدهی تسویه نشده (کیلوگرم)]]&gt;0,'گزارش فردی'!$B$7-Main[[#This Row],[تاريخ میلادی]],0)</f>
        <v>0</v>
      </c>
      <c r="R1954" s="6">
        <f ca="1">IF(Main[[#This Row],[بدهی تسویه نشده (کیلوگرم)]]&gt;0,'گزارش فردی'!$B$7-Main[[#This Row],[تاريخ میلادی]]-'گزارش فردی'!$B$8,0)</f>
        <v>0</v>
      </c>
      <c r="S1954" s="6">
        <f ca="1">Main[[#This Row],[روز از ارسال سفارش]]*Main[[#This Row],[بدهی تسویه نشده (کیلوگرم)]]</f>
        <v>0</v>
      </c>
      <c r="T1954" s="6">
        <f ca="1">Main[[#This Row],[بدهی سررسید شده (کیلوگرم)]]*Main[[#This Row],[روز از ارسال سفارش]]</f>
        <v>0</v>
      </c>
      <c r="U1954" s="6">
        <f>-SUBTOTAL(9,INDEX(Main[مقدار (کیلوگرم)],1):Main[[#This Row],[مقدار (کیلوگرم)]])</f>
        <v>32611</v>
      </c>
      <c r="V19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4" s="6">
        <f>Main[[#This Row],[تعداد کل روزهای بدهکار (روز)]]*Main[[#This Row],[مانده در خط کل (کیلوگرم)]]</f>
        <v>0</v>
      </c>
      <c r="X1954" s="6">
        <f ca="1">-SUBTOTAL(9,INDEX(Main[مقدار تسویه شده (کیلوگرم)],1):Main[[#This Row],[مقدار تسویه شده (کیلوگرم)]])</f>
        <v>32611</v>
      </c>
      <c r="Y1954" s="6">
        <f ca="1">IF(Main[[#This Row],[مانده در خط تسویه شده (کیلوگرم)]]&lt;&gt;0,Main[[#This Row],[تعداد کل روزهای بدهکار (روز)]],0)</f>
        <v>0</v>
      </c>
      <c r="Z1954" s="6">
        <f ca="1">Main[[#This Row],[تعداد روزهای بدهکار تسویه شده (روز)]]*Main[[#This Row],[مانده در خط تسویه شده (کیلوگرم)]]</f>
        <v>0</v>
      </c>
      <c r="AA1954" s="6">
        <f ca="1">SUBTOTAL(9,INDEX(Main[بدهی تسویه نشده (کیلوگرم)],1):Main[[#This Row],[بدهی تسویه نشده (کیلوگرم)]])</f>
        <v>0</v>
      </c>
      <c r="AB1954" s="6">
        <f ca="1">IF(Main[[#This Row],[مانده در خط تسویه نشده (کیلوگرم)]]&lt;&gt;0,Main[[#This Row],[تعداد کل روزهای بدهکار (روز)]],0)</f>
        <v>0</v>
      </c>
      <c r="AC1954" s="6">
        <f ca="1">Main[[#This Row],[تعداد روزهای بدهکار  تسویه نشده (روز)]]*Main[[#This Row],[مانده در خط تسویه نشده (کیلوگرم)]]</f>
        <v>0</v>
      </c>
      <c r="AD1954" s="6">
        <f ca="1">SUBTOTAL(9,INDEX(Main[بدهی سررسید شده (کیلوگرم)],1):Main[[#This Row],[بدهی سررسید شده (کیلوگرم)]])</f>
        <v>0</v>
      </c>
      <c r="AE1954" s="6">
        <f ca="1">IF(Main[[#This Row],[مانده در خط سررسید شده (کیلوگرم)]]&lt;&gt;0,Main[[#This Row],[تعداد کل روزهای بدهکار (روز)]],0)</f>
        <v>0</v>
      </c>
      <c r="AF1954" s="6">
        <f ca="1">Main[[#This Row],[تعداد روزهای بدهکار سررسید شده (روز)]]*Main[[#This Row],[مانده در خط سررسید شده (کیلوگرم)]]</f>
        <v>0</v>
      </c>
    </row>
    <row r="1955" spans="1:32" hidden="1" x14ac:dyDescent="0.35">
      <c r="A1955" s="5">
        <f>ROW()-ROW(INDEX(Main[ردیف],1))+1</f>
        <v>1953</v>
      </c>
      <c r="B1955" s="31">
        <f>SUBTOTAL(2,INDEX(Main[ردیف],1):Main[[#This Row],[ردیف]])</f>
        <v>172</v>
      </c>
      <c r="C1955" s="32" t="s">
        <v>741</v>
      </c>
      <c r="D1955" s="32" t="str">
        <f>_xlfn.CONCAT("14",Main[[#This Row],[تاريخ]])</f>
        <v>1400/08/05</v>
      </c>
      <c r="E1955" s="33">
        <v>44496</v>
      </c>
      <c r="F1955" s="32">
        <v>30137</v>
      </c>
      <c r="G1955" s="5" t="str">
        <f>INDEX(customer[عنوان],MATCH(Main[[#This Row],[کد ردیابی]],customer[کد],0))</f>
        <v>شرکت آفتابگردان</v>
      </c>
      <c r="H1955">
        <v>-1016</v>
      </c>
      <c r="I1955" s="6">
        <f ca="1">-Main[[#This Row],[بدهی تسویه شده (کیلوگرم)]]+Main[[#This Row],[بستانکار (کیلوگرم)]]</f>
        <v>-1016</v>
      </c>
      <c r="J1955" s="6">
        <f>IF(Main[[#This Row],[مقدار (کیلوگرم)]]&gt;0,Main[[#This Row],[مقدار (کیلوگرم)]],0)</f>
        <v>0</v>
      </c>
      <c r="K1955" s="6">
        <f>-IF(Main[[#This Row],[مقدار (کیلوگرم)]]&lt;0,Main[[#This Row],[مقدار (کیلوگرم)]],0)</f>
        <v>1016</v>
      </c>
      <c r="L19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5" s="7">
        <f>-IF(AND(Main[[#This Row],[مقدار (کیلوگرم)]]&lt;0,Main[[#This Row],[تاريخ میلادی]]&gt;44276),Main[[#This Row],[مقدار (کیلوگرم)]],0)</f>
        <v>1016</v>
      </c>
      <c r="N1955" s="6">
        <f ca="1">Main[[#This Row],[بدهکار (کیلوگرم)]]-Main[[#This Row],[بدهی تسویه نشده (کیلوگرم)]]</f>
        <v>1016</v>
      </c>
      <c r="O1955" s="6">
        <f ca="1">Main[[#This Row],[تفکیک]]</f>
        <v>0</v>
      </c>
      <c r="P1955" s="6">
        <f ca="1">IF(Main[[#This Row],[تاخیر از سررسید]]&gt;0,Main[[#This Row],[بدهی تسویه نشده (کیلوگرم)]],0)</f>
        <v>0</v>
      </c>
      <c r="Q1955" s="6">
        <f ca="1">IF(Main[[#This Row],[بدهی تسویه نشده (کیلوگرم)]]&gt;0,'گزارش فردی'!$B$7-Main[[#This Row],[تاريخ میلادی]],0)</f>
        <v>0</v>
      </c>
      <c r="R1955" s="6">
        <f ca="1">IF(Main[[#This Row],[بدهی تسویه نشده (کیلوگرم)]]&gt;0,'گزارش فردی'!$B$7-Main[[#This Row],[تاريخ میلادی]]-'گزارش فردی'!$B$8,0)</f>
        <v>0</v>
      </c>
      <c r="S1955" s="6">
        <f ca="1">Main[[#This Row],[روز از ارسال سفارش]]*Main[[#This Row],[بدهی تسویه نشده (کیلوگرم)]]</f>
        <v>0</v>
      </c>
      <c r="T1955" s="6">
        <f ca="1">Main[[#This Row],[بدهی سررسید شده (کیلوگرم)]]*Main[[#This Row],[روز از ارسال سفارش]]</f>
        <v>0</v>
      </c>
      <c r="U1955" s="6">
        <f>-SUBTOTAL(9,INDEX(Main[مقدار (کیلوگرم)],1):Main[[#This Row],[مقدار (کیلوگرم)]])</f>
        <v>32611</v>
      </c>
      <c r="V19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5" s="6">
        <f>Main[[#This Row],[تعداد کل روزهای بدهکار (روز)]]*Main[[#This Row],[مانده در خط کل (کیلوگرم)]]</f>
        <v>0</v>
      </c>
      <c r="X1955" s="6">
        <f ca="1">-SUBTOTAL(9,INDEX(Main[مقدار تسویه شده (کیلوگرم)],1):Main[[#This Row],[مقدار تسویه شده (کیلوگرم)]])</f>
        <v>32611</v>
      </c>
      <c r="Y1955" s="6">
        <f ca="1">IF(Main[[#This Row],[مانده در خط تسویه شده (کیلوگرم)]]&lt;&gt;0,Main[[#This Row],[تعداد کل روزهای بدهکار (روز)]],0)</f>
        <v>0</v>
      </c>
      <c r="Z1955" s="6">
        <f ca="1">Main[[#This Row],[تعداد روزهای بدهکار تسویه شده (روز)]]*Main[[#This Row],[مانده در خط تسویه شده (کیلوگرم)]]</f>
        <v>0</v>
      </c>
      <c r="AA1955" s="6">
        <f ca="1">SUBTOTAL(9,INDEX(Main[بدهی تسویه نشده (کیلوگرم)],1):Main[[#This Row],[بدهی تسویه نشده (کیلوگرم)]])</f>
        <v>0</v>
      </c>
      <c r="AB1955" s="6">
        <f ca="1">IF(Main[[#This Row],[مانده در خط تسویه نشده (کیلوگرم)]]&lt;&gt;0,Main[[#This Row],[تعداد کل روزهای بدهکار (روز)]],0)</f>
        <v>0</v>
      </c>
      <c r="AC1955" s="6">
        <f ca="1">Main[[#This Row],[تعداد روزهای بدهکار  تسویه نشده (روز)]]*Main[[#This Row],[مانده در خط تسویه نشده (کیلوگرم)]]</f>
        <v>0</v>
      </c>
      <c r="AD1955" s="6">
        <f ca="1">SUBTOTAL(9,INDEX(Main[بدهی سررسید شده (کیلوگرم)],1):Main[[#This Row],[بدهی سررسید شده (کیلوگرم)]])</f>
        <v>0</v>
      </c>
      <c r="AE1955" s="6">
        <f ca="1">IF(Main[[#This Row],[مانده در خط سررسید شده (کیلوگرم)]]&lt;&gt;0,Main[[#This Row],[تعداد کل روزهای بدهکار (روز)]],0)</f>
        <v>0</v>
      </c>
      <c r="AF1955" s="6">
        <f ca="1">Main[[#This Row],[تعداد روزهای بدهکار سررسید شده (روز)]]*Main[[#This Row],[مانده در خط سررسید شده (کیلوگرم)]]</f>
        <v>0</v>
      </c>
    </row>
    <row r="1956" spans="1:32" hidden="1" x14ac:dyDescent="0.35">
      <c r="A1956" s="5">
        <f>ROW()-ROW(INDEX(Main[ردیف],1))+1</f>
        <v>1954</v>
      </c>
      <c r="B1956" s="31">
        <f>SUBTOTAL(2,INDEX(Main[ردیف],1):Main[[#This Row],[ردیف]])</f>
        <v>172</v>
      </c>
      <c r="C1956" s="32" t="s">
        <v>741</v>
      </c>
      <c r="D1956" s="32" t="str">
        <f>_xlfn.CONCAT("14",Main[[#This Row],[تاريخ]])</f>
        <v>1400/08/05</v>
      </c>
      <c r="E1956" s="33">
        <v>44496</v>
      </c>
      <c r="F1956" s="32">
        <v>30009</v>
      </c>
      <c r="G1956" s="5" t="str">
        <f>INDEX(customer[عنوان],MATCH(Main[[#This Row],[کد ردیابی]],customer[کد],0))</f>
        <v>شرکت ایمن تک پیشرو</v>
      </c>
      <c r="H1956">
        <v>1629</v>
      </c>
      <c r="I1956" s="6">
        <f ca="1">-Main[[#This Row],[بدهی تسویه شده (کیلوگرم)]]+Main[[#This Row],[بستانکار (کیلوگرم)]]</f>
        <v>1629</v>
      </c>
      <c r="J1956" s="6">
        <f>IF(Main[[#This Row],[مقدار (کیلوگرم)]]&gt;0,Main[[#This Row],[مقدار (کیلوگرم)]],0)</f>
        <v>1629</v>
      </c>
      <c r="K1956" s="6">
        <f>-IF(Main[[#This Row],[مقدار (کیلوگرم)]]&lt;0,Main[[#This Row],[مقدار (کیلوگرم)]],0)</f>
        <v>0</v>
      </c>
      <c r="L19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6" s="7">
        <f>-IF(AND(Main[[#This Row],[مقدار (کیلوگرم)]]&lt;0,Main[[#This Row],[تاريخ میلادی]]&gt;44276),Main[[#This Row],[مقدار (کیلوگرم)]],0)</f>
        <v>0</v>
      </c>
      <c r="N1956" s="6">
        <f ca="1">Main[[#This Row],[بدهکار (کیلوگرم)]]-Main[[#This Row],[بدهی تسویه نشده (کیلوگرم)]]</f>
        <v>0</v>
      </c>
      <c r="O1956" s="6">
        <f ca="1">Main[[#This Row],[تفکیک]]</f>
        <v>0</v>
      </c>
      <c r="P1956" s="6">
        <f ca="1">IF(Main[[#This Row],[تاخیر از سررسید]]&gt;0,Main[[#This Row],[بدهی تسویه نشده (کیلوگرم)]],0)</f>
        <v>0</v>
      </c>
      <c r="Q1956" s="6">
        <f ca="1">IF(Main[[#This Row],[بدهی تسویه نشده (کیلوگرم)]]&gt;0,'گزارش فردی'!$B$7-Main[[#This Row],[تاريخ میلادی]],0)</f>
        <v>0</v>
      </c>
      <c r="R1956" s="6">
        <f ca="1">IF(Main[[#This Row],[بدهی تسویه نشده (کیلوگرم)]]&gt;0,'گزارش فردی'!$B$7-Main[[#This Row],[تاريخ میلادی]]-'گزارش فردی'!$B$8,0)</f>
        <v>0</v>
      </c>
      <c r="S1956" s="6">
        <f ca="1">Main[[#This Row],[روز از ارسال سفارش]]*Main[[#This Row],[بدهی تسویه نشده (کیلوگرم)]]</f>
        <v>0</v>
      </c>
      <c r="T1956" s="6">
        <f ca="1">Main[[#This Row],[بدهی سررسید شده (کیلوگرم)]]*Main[[#This Row],[روز از ارسال سفارش]]</f>
        <v>0</v>
      </c>
      <c r="U1956" s="6">
        <f>-SUBTOTAL(9,INDEX(Main[مقدار (کیلوگرم)],1):Main[[#This Row],[مقدار (کیلوگرم)]])</f>
        <v>32611</v>
      </c>
      <c r="V19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6" s="6">
        <f>Main[[#This Row],[تعداد کل روزهای بدهکار (روز)]]*Main[[#This Row],[مانده در خط کل (کیلوگرم)]]</f>
        <v>0</v>
      </c>
      <c r="X1956" s="6">
        <f ca="1">-SUBTOTAL(9,INDEX(Main[مقدار تسویه شده (کیلوگرم)],1):Main[[#This Row],[مقدار تسویه شده (کیلوگرم)]])</f>
        <v>32611</v>
      </c>
      <c r="Y1956" s="6">
        <f ca="1">IF(Main[[#This Row],[مانده در خط تسویه شده (کیلوگرم)]]&lt;&gt;0,Main[[#This Row],[تعداد کل روزهای بدهکار (روز)]],0)</f>
        <v>0</v>
      </c>
      <c r="Z1956" s="6">
        <f ca="1">Main[[#This Row],[تعداد روزهای بدهکار تسویه شده (روز)]]*Main[[#This Row],[مانده در خط تسویه شده (کیلوگرم)]]</f>
        <v>0</v>
      </c>
      <c r="AA1956" s="6">
        <f ca="1">SUBTOTAL(9,INDEX(Main[بدهی تسویه نشده (کیلوگرم)],1):Main[[#This Row],[بدهی تسویه نشده (کیلوگرم)]])</f>
        <v>0</v>
      </c>
      <c r="AB1956" s="6">
        <f ca="1">IF(Main[[#This Row],[مانده در خط تسویه نشده (کیلوگرم)]]&lt;&gt;0,Main[[#This Row],[تعداد کل روزهای بدهکار (روز)]],0)</f>
        <v>0</v>
      </c>
      <c r="AC1956" s="6">
        <f ca="1">Main[[#This Row],[تعداد روزهای بدهکار  تسویه نشده (روز)]]*Main[[#This Row],[مانده در خط تسویه نشده (کیلوگرم)]]</f>
        <v>0</v>
      </c>
      <c r="AD1956" s="6">
        <f ca="1">SUBTOTAL(9,INDEX(Main[بدهی سررسید شده (کیلوگرم)],1):Main[[#This Row],[بدهی سررسید شده (کیلوگرم)]])</f>
        <v>0</v>
      </c>
      <c r="AE1956" s="6">
        <f ca="1">IF(Main[[#This Row],[مانده در خط سررسید شده (کیلوگرم)]]&lt;&gt;0,Main[[#This Row],[تعداد کل روزهای بدهکار (روز)]],0)</f>
        <v>0</v>
      </c>
      <c r="AF1956" s="6">
        <f ca="1">Main[[#This Row],[تعداد روزهای بدهکار سررسید شده (روز)]]*Main[[#This Row],[مانده در خط سررسید شده (کیلوگرم)]]</f>
        <v>0</v>
      </c>
    </row>
    <row r="1957" spans="1:32" hidden="1" x14ac:dyDescent="0.35">
      <c r="A1957" s="5">
        <f>ROW()-ROW(INDEX(Main[ردیف],1))+1</f>
        <v>1955</v>
      </c>
      <c r="B1957" s="31">
        <f>SUBTOTAL(2,INDEX(Main[ردیف],1):Main[[#This Row],[ردیف]])</f>
        <v>172</v>
      </c>
      <c r="C1957" s="32" t="s">
        <v>741</v>
      </c>
      <c r="D1957" s="32" t="str">
        <f>_xlfn.CONCAT("14",Main[[#This Row],[تاريخ]])</f>
        <v>1400/08/05</v>
      </c>
      <c r="E1957" s="33">
        <v>44496</v>
      </c>
      <c r="F1957" s="32">
        <v>50016</v>
      </c>
      <c r="G1957" s="5" t="str">
        <f>INDEX(customer[عنوان],MATCH(Main[[#This Row],[کد ردیابی]],customer[کد],0))</f>
        <v xml:space="preserve">مهدی یوسفی  </v>
      </c>
      <c r="H1957">
        <v>-2573</v>
      </c>
      <c r="I1957" s="6">
        <f ca="1">-Main[[#This Row],[بدهی تسویه شده (کیلوگرم)]]+Main[[#This Row],[بستانکار (کیلوگرم)]]</f>
        <v>-2573</v>
      </c>
      <c r="J1957" s="6">
        <f>IF(Main[[#This Row],[مقدار (کیلوگرم)]]&gt;0,Main[[#This Row],[مقدار (کیلوگرم)]],0)</f>
        <v>0</v>
      </c>
      <c r="K1957" s="6">
        <f>-IF(Main[[#This Row],[مقدار (کیلوگرم)]]&lt;0,Main[[#This Row],[مقدار (کیلوگرم)]],0)</f>
        <v>2573</v>
      </c>
      <c r="L19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7" s="7">
        <f>-IF(AND(Main[[#This Row],[مقدار (کیلوگرم)]]&lt;0,Main[[#This Row],[تاريخ میلادی]]&gt;44276),Main[[#This Row],[مقدار (کیلوگرم)]],0)</f>
        <v>2573</v>
      </c>
      <c r="N1957" s="6">
        <f ca="1">Main[[#This Row],[بدهکار (کیلوگرم)]]-Main[[#This Row],[بدهی تسویه نشده (کیلوگرم)]]</f>
        <v>2573</v>
      </c>
      <c r="O1957" s="6">
        <f ca="1">Main[[#This Row],[تفکیک]]</f>
        <v>0</v>
      </c>
      <c r="P1957" s="6">
        <f ca="1">IF(Main[[#This Row],[تاخیر از سررسید]]&gt;0,Main[[#This Row],[بدهی تسویه نشده (کیلوگرم)]],0)</f>
        <v>0</v>
      </c>
      <c r="Q1957" s="6">
        <f ca="1">IF(Main[[#This Row],[بدهی تسویه نشده (کیلوگرم)]]&gt;0,'گزارش فردی'!$B$7-Main[[#This Row],[تاريخ میلادی]],0)</f>
        <v>0</v>
      </c>
      <c r="R1957" s="6">
        <f ca="1">IF(Main[[#This Row],[بدهی تسویه نشده (کیلوگرم)]]&gt;0,'گزارش فردی'!$B$7-Main[[#This Row],[تاريخ میلادی]]-'گزارش فردی'!$B$8,0)</f>
        <v>0</v>
      </c>
      <c r="S1957" s="6">
        <f ca="1">Main[[#This Row],[روز از ارسال سفارش]]*Main[[#This Row],[بدهی تسویه نشده (کیلوگرم)]]</f>
        <v>0</v>
      </c>
      <c r="T1957" s="6">
        <f ca="1">Main[[#This Row],[بدهی سررسید شده (کیلوگرم)]]*Main[[#This Row],[روز از ارسال سفارش]]</f>
        <v>0</v>
      </c>
      <c r="U1957" s="6">
        <f>-SUBTOTAL(9,INDEX(Main[مقدار (کیلوگرم)],1):Main[[#This Row],[مقدار (کیلوگرم)]])</f>
        <v>32611</v>
      </c>
      <c r="V19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7" s="6">
        <f>Main[[#This Row],[تعداد کل روزهای بدهکار (روز)]]*Main[[#This Row],[مانده در خط کل (کیلوگرم)]]</f>
        <v>0</v>
      </c>
      <c r="X1957" s="6">
        <f ca="1">-SUBTOTAL(9,INDEX(Main[مقدار تسویه شده (کیلوگرم)],1):Main[[#This Row],[مقدار تسویه شده (کیلوگرم)]])</f>
        <v>32611</v>
      </c>
      <c r="Y1957" s="6">
        <f ca="1">IF(Main[[#This Row],[مانده در خط تسویه شده (کیلوگرم)]]&lt;&gt;0,Main[[#This Row],[تعداد کل روزهای بدهکار (روز)]],0)</f>
        <v>0</v>
      </c>
      <c r="Z1957" s="6">
        <f ca="1">Main[[#This Row],[تعداد روزهای بدهکار تسویه شده (روز)]]*Main[[#This Row],[مانده در خط تسویه شده (کیلوگرم)]]</f>
        <v>0</v>
      </c>
      <c r="AA1957" s="6">
        <f ca="1">SUBTOTAL(9,INDEX(Main[بدهی تسویه نشده (کیلوگرم)],1):Main[[#This Row],[بدهی تسویه نشده (کیلوگرم)]])</f>
        <v>0</v>
      </c>
      <c r="AB1957" s="6">
        <f ca="1">IF(Main[[#This Row],[مانده در خط تسویه نشده (کیلوگرم)]]&lt;&gt;0,Main[[#This Row],[تعداد کل روزهای بدهکار (روز)]],0)</f>
        <v>0</v>
      </c>
      <c r="AC1957" s="6">
        <f ca="1">Main[[#This Row],[تعداد روزهای بدهکار  تسویه نشده (روز)]]*Main[[#This Row],[مانده در خط تسویه نشده (کیلوگرم)]]</f>
        <v>0</v>
      </c>
      <c r="AD1957" s="6">
        <f ca="1">SUBTOTAL(9,INDEX(Main[بدهی سررسید شده (کیلوگرم)],1):Main[[#This Row],[بدهی سررسید شده (کیلوگرم)]])</f>
        <v>0</v>
      </c>
      <c r="AE1957" s="6">
        <f ca="1">IF(Main[[#This Row],[مانده در خط سررسید شده (کیلوگرم)]]&lt;&gt;0,Main[[#This Row],[تعداد کل روزهای بدهکار (روز)]],0)</f>
        <v>0</v>
      </c>
      <c r="AF1957" s="6">
        <f ca="1">Main[[#This Row],[تعداد روزهای بدهکار سررسید شده (روز)]]*Main[[#This Row],[مانده در خط سررسید شده (کیلوگرم)]]</f>
        <v>0</v>
      </c>
    </row>
    <row r="1958" spans="1:32" x14ac:dyDescent="0.35">
      <c r="A1958" s="5">
        <f>ROW()-ROW(INDEX(Main[ردیف],1))+1</f>
        <v>1956</v>
      </c>
      <c r="B1958" s="31">
        <f>SUBTOTAL(2,INDEX(Main[ردیف],1):Main[[#This Row],[ردیف]])</f>
        <v>173</v>
      </c>
      <c r="C1958" s="32" t="s">
        <v>741</v>
      </c>
      <c r="D1958" s="32" t="str">
        <f>_xlfn.CONCAT("14",Main[[#This Row],[تاريخ]])</f>
        <v>1400/08/05</v>
      </c>
      <c r="E1958" s="33">
        <v>44496</v>
      </c>
      <c r="F1958" s="32">
        <v>10003</v>
      </c>
      <c r="G1958" s="5" t="str">
        <f>INDEX(customer[عنوان],MATCH(Main[[#This Row],[کد ردیابی]],customer[کد],0))</f>
        <v>اصغر نورعلی</v>
      </c>
      <c r="H1958">
        <v>2284</v>
      </c>
      <c r="I1958" s="6">
        <f ca="1">-Main[[#This Row],[بدهی تسویه شده (کیلوگرم)]]+Main[[#This Row],[بستانکار (کیلوگرم)]]</f>
        <v>2284</v>
      </c>
      <c r="J1958" s="6">
        <f>IF(Main[[#This Row],[مقدار (کیلوگرم)]]&gt;0,Main[[#This Row],[مقدار (کیلوگرم)]],0)</f>
        <v>2284</v>
      </c>
      <c r="K1958" s="6">
        <f>-IF(Main[[#This Row],[مقدار (کیلوگرم)]]&lt;0,Main[[#This Row],[مقدار (کیلوگرم)]],0)</f>
        <v>0</v>
      </c>
      <c r="L19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8" s="7">
        <f>-IF(AND(Main[[#This Row],[مقدار (کیلوگرم)]]&lt;0,Main[[#This Row],[تاريخ میلادی]]&gt;44276),Main[[#This Row],[مقدار (کیلوگرم)]],0)</f>
        <v>0</v>
      </c>
      <c r="N1958" s="6">
        <f ca="1">Main[[#This Row],[بدهکار (کیلوگرم)]]-Main[[#This Row],[بدهی تسویه نشده (کیلوگرم)]]</f>
        <v>0</v>
      </c>
      <c r="O1958" s="6">
        <f ca="1">Main[[#This Row],[تفکیک]]</f>
        <v>0</v>
      </c>
      <c r="P1958" s="6">
        <f ca="1">IF(Main[[#This Row],[تاخیر از سررسید]]&gt;0,Main[[#This Row],[بدهی تسویه نشده (کیلوگرم)]],0)</f>
        <v>0</v>
      </c>
      <c r="Q1958" s="6">
        <f ca="1">IF(Main[[#This Row],[بدهی تسویه نشده (کیلوگرم)]]&gt;0,'گزارش فردی'!$B$7-Main[[#This Row],[تاريخ میلادی]],0)</f>
        <v>0</v>
      </c>
      <c r="R1958" s="6">
        <f ca="1">IF(Main[[#This Row],[بدهی تسویه نشده (کیلوگرم)]]&gt;0,'گزارش فردی'!$B$7-Main[[#This Row],[تاريخ میلادی]]-'گزارش فردی'!$B$8,0)</f>
        <v>0</v>
      </c>
      <c r="S1958" s="6">
        <f ca="1">Main[[#This Row],[روز از ارسال سفارش]]*Main[[#This Row],[بدهی تسویه نشده (کیلوگرم)]]</f>
        <v>0</v>
      </c>
      <c r="T1958" s="6">
        <f ca="1">Main[[#This Row],[بدهی سررسید شده (کیلوگرم)]]*Main[[#This Row],[روز از ارسال سفارش]]</f>
        <v>0</v>
      </c>
      <c r="U1958" s="6">
        <f>-SUBTOTAL(9,INDEX(Main[مقدار (کیلوگرم)],1):Main[[#This Row],[مقدار (کیلوگرم)]])</f>
        <v>30327</v>
      </c>
      <c r="V19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8" s="6">
        <f>Main[[#This Row],[تعداد کل روزهای بدهکار (روز)]]*Main[[#This Row],[مانده در خط کل (کیلوگرم)]]</f>
        <v>30327</v>
      </c>
      <c r="X1958" s="6">
        <f ca="1">-SUBTOTAL(9,INDEX(Main[مقدار تسویه شده (کیلوگرم)],1):Main[[#This Row],[مقدار تسویه شده (کیلوگرم)]])</f>
        <v>30327</v>
      </c>
      <c r="Y1958" s="6">
        <f ca="1">IF(Main[[#This Row],[مانده در خط تسویه شده (کیلوگرم)]]&lt;&gt;0,Main[[#This Row],[تعداد کل روزهای بدهکار (روز)]],0)</f>
        <v>1</v>
      </c>
      <c r="Z1958" s="6">
        <f ca="1">Main[[#This Row],[تعداد روزهای بدهکار تسویه شده (روز)]]*Main[[#This Row],[مانده در خط تسویه شده (کیلوگرم)]]</f>
        <v>30327</v>
      </c>
      <c r="AA1958" s="6">
        <f ca="1">SUBTOTAL(9,INDEX(Main[بدهی تسویه نشده (کیلوگرم)],1):Main[[#This Row],[بدهی تسویه نشده (کیلوگرم)]])</f>
        <v>0</v>
      </c>
      <c r="AB1958" s="6">
        <f ca="1">IF(Main[[#This Row],[مانده در خط تسویه نشده (کیلوگرم)]]&lt;&gt;0,Main[[#This Row],[تعداد کل روزهای بدهکار (روز)]],0)</f>
        <v>0</v>
      </c>
      <c r="AC1958" s="6">
        <f ca="1">Main[[#This Row],[تعداد روزهای بدهکار  تسویه نشده (روز)]]*Main[[#This Row],[مانده در خط تسویه نشده (کیلوگرم)]]</f>
        <v>0</v>
      </c>
      <c r="AD1958" s="6">
        <f ca="1">SUBTOTAL(9,INDEX(Main[بدهی سررسید شده (کیلوگرم)],1):Main[[#This Row],[بدهی سررسید شده (کیلوگرم)]])</f>
        <v>0</v>
      </c>
      <c r="AE1958" s="6">
        <f ca="1">IF(Main[[#This Row],[مانده در خط سررسید شده (کیلوگرم)]]&lt;&gt;0,Main[[#This Row],[تعداد کل روزهای بدهکار (روز)]],0)</f>
        <v>0</v>
      </c>
      <c r="AF1958" s="6">
        <f ca="1">Main[[#This Row],[تعداد روزهای بدهکار سررسید شده (روز)]]*Main[[#This Row],[مانده در خط سررسید شده (کیلوگرم)]]</f>
        <v>0</v>
      </c>
    </row>
    <row r="1959" spans="1:32" hidden="1" x14ac:dyDescent="0.35">
      <c r="A1959" s="5">
        <f>ROW()-ROW(INDEX(Main[ردیف],1))+1</f>
        <v>1957</v>
      </c>
      <c r="B1959" s="31">
        <f>SUBTOTAL(2,INDEX(Main[ردیف],1):Main[[#This Row],[ردیف]])</f>
        <v>173</v>
      </c>
      <c r="C1959" s="32" t="s">
        <v>741</v>
      </c>
      <c r="D1959" s="32" t="str">
        <f>_xlfn.CONCAT("14",Main[[#This Row],[تاريخ]])</f>
        <v>1400/08/05</v>
      </c>
      <c r="E1959" s="33">
        <v>44496</v>
      </c>
      <c r="F1959" s="32">
        <v>10027</v>
      </c>
      <c r="G1959" s="5" t="str">
        <f>INDEX(customer[عنوان],MATCH(Main[[#This Row],[کد ردیابی]],customer[کد],0))</f>
        <v xml:space="preserve">مصطفی نورعلی </v>
      </c>
      <c r="H1959">
        <v>-2742</v>
      </c>
      <c r="I1959" s="6">
        <f ca="1">-Main[[#This Row],[بدهی تسویه شده (کیلوگرم)]]+Main[[#This Row],[بستانکار (کیلوگرم)]]</f>
        <v>-2742</v>
      </c>
      <c r="J1959" s="6">
        <f>IF(Main[[#This Row],[مقدار (کیلوگرم)]]&gt;0,Main[[#This Row],[مقدار (کیلوگرم)]],0)</f>
        <v>0</v>
      </c>
      <c r="K1959" s="6">
        <f>-IF(Main[[#This Row],[مقدار (کیلوگرم)]]&lt;0,Main[[#This Row],[مقدار (کیلوگرم)]],0)</f>
        <v>2742</v>
      </c>
      <c r="L19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9" s="7">
        <f>-IF(AND(Main[[#This Row],[مقدار (کیلوگرم)]]&lt;0,Main[[#This Row],[تاريخ میلادی]]&gt;44276),Main[[#This Row],[مقدار (کیلوگرم)]],0)</f>
        <v>2742</v>
      </c>
      <c r="N1959" s="6">
        <f ca="1">Main[[#This Row],[بدهکار (کیلوگرم)]]-Main[[#This Row],[بدهی تسویه نشده (کیلوگرم)]]</f>
        <v>2742</v>
      </c>
      <c r="O1959" s="6">
        <f ca="1">Main[[#This Row],[تفکیک]]</f>
        <v>0</v>
      </c>
      <c r="P1959" s="6">
        <f ca="1">IF(Main[[#This Row],[تاخیر از سررسید]]&gt;0,Main[[#This Row],[بدهی تسویه نشده (کیلوگرم)]],0)</f>
        <v>0</v>
      </c>
      <c r="Q1959" s="6">
        <f ca="1">IF(Main[[#This Row],[بدهی تسویه نشده (کیلوگرم)]]&gt;0,'گزارش فردی'!$B$7-Main[[#This Row],[تاريخ میلادی]],0)</f>
        <v>0</v>
      </c>
      <c r="R1959" s="6">
        <f ca="1">IF(Main[[#This Row],[بدهی تسویه نشده (کیلوگرم)]]&gt;0,'گزارش فردی'!$B$7-Main[[#This Row],[تاريخ میلادی]]-'گزارش فردی'!$B$8,0)</f>
        <v>0</v>
      </c>
      <c r="S1959" s="6">
        <f ca="1">Main[[#This Row],[روز از ارسال سفارش]]*Main[[#This Row],[بدهی تسویه نشده (کیلوگرم)]]</f>
        <v>0</v>
      </c>
      <c r="T1959" s="6">
        <f ca="1">Main[[#This Row],[بدهی سررسید شده (کیلوگرم)]]*Main[[#This Row],[روز از ارسال سفارش]]</f>
        <v>0</v>
      </c>
      <c r="U1959" s="6">
        <f>-SUBTOTAL(9,INDEX(Main[مقدار (کیلوگرم)],1):Main[[#This Row],[مقدار (کیلوگرم)]])</f>
        <v>30327</v>
      </c>
      <c r="V19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9" s="6">
        <f>Main[[#This Row],[تعداد کل روزهای بدهکار (روز)]]*Main[[#This Row],[مانده در خط کل (کیلوگرم)]]</f>
        <v>30327</v>
      </c>
      <c r="X1959" s="6">
        <f ca="1">-SUBTOTAL(9,INDEX(Main[مقدار تسویه شده (کیلوگرم)],1):Main[[#This Row],[مقدار تسویه شده (کیلوگرم)]])</f>
        <v>30327</v>
      </c>
      <c r="Y1959" s="6">
        <f ca="1">IF(Main[[#This Row],[مانده در خط تسویه شده (کیلوگرم)]]&lt;&gt;0,Main[[#This Row],[تعداد کل روزهای بدهکار (روز)]],0)</f>
        <v>1</v>
      </c>
      <c r="Z1959" s="6">
        <f ca="1">Main[[#This Row],[تعداد روزهای بدهکار تسویه شده (روز)]]*Main[[#This Row],[مانده در خط تسویه شده (کیلوگرم)]]</f>
        <v>30327</v>
      </c>
      <c r="AA1959" s="6">
        <f ca="1">SUBTOTAL(9,INDEX(Main[بدهی تسویه نشده (کیلوگرم)],1):Main[[#This Row],[بدهی تسویه نشده (کیلوگرم)]])</f>
        <v>0</v>
      </c>
      <c r="AB1959" s="6">
        <f ca="1">IF(Main[[#This Row],[مانده در خط تسویه نشده (کیلوگرم)]]&lt;&gt;0,Main[[#This Row],[تعداد کل روزهای بدهکار (روز)]],0)</f>
        <v>0</v>
      </c>
      <c r="AC1959" s="6">
        <f ca="1">Main[[#This Row],[تعداد روزهای بدهکار  تسویه نشده (روز)]]*Main[[#This Row],[مانده در خط تسویه نشده (کیلوگرم)]]</f>
        <v>0</v>
      </c>
      <c r="AD1959" s="6">
        <f ca="1">SUBTOTAL(9,INDEX(Main[بدهی سررسید شده (کیلوگرم)],1):Main[[#This Row],[بدهی سررسید شده (کیلوگرم)]])</f>
        <v>0</v>
      </c>
      <c r="AE1959" s="6">
        <f ca="1">IF(Main[[#This Row],[مانده در خط سررسید شده (کیلوگرم)]]&lt;&gt;0,Main[[#This Row],[تعداد کل روزهای بدهکار (روز)]],0)</f>
        <v>0</v>
      </c>
      <c r="AF1959" s="6">
        <f ca="1">Main[[#This Row],[تعداد روزهای بدهکار سررسید شده (روز)]]*Main[[#This Row],[مانده در خط سررسید شده (کیلوگرم)]]</f>
        <v>0</v>
      </c>
    </row>
    <row r="1960" spans="1:32" hidden="1" x14ac:dyDescent="0.35">
      <c r="A1960" s="5">
        <f>ROW()-ROW(INDEX(Main[ردیف],1))+1</f>
        <v>1958</v>
      </c>
      <c r="B1960" s="31">
        <f>SUBTOTAL(2,INDEX(Main[ردیف],1):Main[[#This Row],[ردیف]])</f>
        <v>173</v>
      </c>
      <c r="C1960" s="32" t="s">
        <v>741</v>
      </c>
      <c r="D1960" s="32" t="str">
        <f>_xlfn.CONCAT("14",Main[[#This Row],[تاريخ]])</f>
        <v>1400/08/05</v>
      </c>
      <c r="E1960" s="33">
        <v>44496</v>
      </c>
      <c r="F1960" s="32">
        <v>30017</v>
      </c>
      <c r="G1960" s="5" t="str">
        <f>INDEX(customer[عنوان],MATCH(Main[[#This Row],[کد ردیابی]],customer[کد],0))</f>
        <v xml:space="preserve">البرز یدک </v>
      </c>
      <c r="H1960">
        <v>1579</v>
      </c>
      <c r="I1960" s="6">
        <f ca="1">-Main[[#This Row],[بدهی تسویه شده (کیلوگرم)]]+Main[[#This Row],[بستانکار (کیلوگرم)]]</f>
        <v>1579</v>
      </c>
      <c r="J1960" s="6">
        <f>IF(Main[[#This Row],[مقدار (کیلوگرم)]]&gt;0,Main[[#This Row],[مقدار (کیلوگرم)]],0)</f>
        <v>1579</v>
      </c>
      <c r="K1960" s="6">
        <f>-IF(Main[[#This Row],[مقدار (کیلوگرم)]]&lt;0,Main[[#This Row],[مقدار (کیلوگرم)]],0)</f>
        <v>0</v>
      </c>
      <c r="L19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0" s="7">
        <f>-IF(AND(Main[[#This Row],[مقدار (کیلوگرم)]]&lt;0,Main[[#This Row],[تاريخ میلادی]]&gt;44276),Main[[#This Row],[مقدار (کیلوگرم)]],0)</f>
        <v>0</v>
      </c>
      <c r="N1960" s="6">
        <f ca="1">Main[[#This Row],[بدهکار (کیلوگرم)]]-Main[[#This Row],[بدهی تسویه نشده (کیلوگرم)]]</f>
        <v>0</v>
      </c>
      <c r="O1960" s="6">
        <f ca="1">Main[[#This Row],[تفکیک]]</f>
        <v>0</v>
      </c>
      <c r="P1960" s="6">
        <f ca="1">IF(Main[[#This Row],[تاخیر از سررسید]]&gt;0,Main[[#This Row],[بدهی تسویه نشده (کیلوگرم)]],0)</f>
        <v>0</v>
      </c>
      <c r="Q1960" s="6">
        <f ca="1">IF(Main[[#This Row],[بدهی تسویه نشده (کیلوگرم)]]&gt;0,'گزارش فردی'!$B$7-Main[[#This Row],[تاريخ میلادی]],0)</f>
        <v>0</v>
      </c>
      <c r="R1960" s="6">
        <f ca="1">IF(Main[[#This Row],[بدهی تسویه نشده (کیلوگرم)]]&gt;0,'گزارش فردی'!$B$7-Main[[#This Row],[تاريخ میلادی]]-'گزارش فردی'!$B$8,0)</f>
        <v>0</v>
      </c>
      <c r="S1960" s="6">
        <f ca="1">Main[[#This Row],[روز از ارسال سفارش]]*Main[[#This Row],[بدهی تسویه نشده (کیلوگرم)]]</f>
        <v>0</v>
      </c>
      <c r="T1960" s="6">
        <f ca="1">Main[[#This Row],[بدهی سررسید شده (کیلوگرم)]]*Main[[#This Row],[روز از ارسال سفارش]]</f>
        <v>0</v>
      </c>
      <c r="U1960" s="6">
        <f>-SUBTOTAL(9,INDEX(Main[مقدار (کیلوگرم)],1):Main[[#This Row],[مقدار (کیلوگرم)]])</f>
        <v>30327</v>
      </c>
      <c r="V19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60" s="6">
        <f>Main[[#This Row],[تعداد کل روزهای بدهکار (روز)]]*Main[[#This Row],[مانده در خط کل (کیلوگرم)]]</f>
        <v>30327</v>
      </c>
      <c r="X1960" s="6">
        <f ca="1">-SUBTOTAL(9,INDEX(Main[مقدار تسویه شده (کیلوگرم)],1):Main[[#This Row],[مقدار تسویه شده (کیلوگرم)]])</f>
        <v>30327</v>
      </c>
      <c r="Y1960" s="6">
        <f ca="1">IF(Main[[#This Row],[مانده در خط تسویه شده (کیلوگرم)]]&lt;&gt;0,Main[[#This Row],[تعداد کل روزهای بدهکار (روز)]],0)</f>
        <v>1</v>
      </c>
      <c r="Z1960" s="6">
        <f ca="1">Main[[#This Row],[تعداد روزهای بدهکار تسویه شده (روز)]]*Main[[#This Row],[مانده در خط تسویه شده (کیلوگرم)]]</f>
        <v>30327</v>
      </c>
      <c r="AA1960" s="6">
        <f ca="1">SUBTOTAL(9,INDEX(Main[بدهی تسویه نشده (کیلوگرم)],1):Main[[#This Row],[بدهی تسویه نشده (کیلوگرم)]])</f>
        <v>0</v>
      </c>
      <c r="AB1960" s="6">
        <f ca="1">IF(Main[[#This Row],[مانده در خط تسویه نشده (کیلوگرم)]]&lt;&gt;0,Main[[#This Row],[تعداد کل روزهای بدهکار (روز)]],0)</f>
        <v>0</v>
      </c>
      <c r="AC1960" s="6">
        <f ca="1">Main[[#This Row],[تعداد روزهای بدهکار  تسویه نشده (روز)]]*Main[[#This Row],[مانده در خط تسویه نشده (کیلوگرم)]]</f>
        <v>0</v>
      </c>
      <c r="AD1960" s="6">
        <f ca="1">SUBTOTAL(9,INDEX(Main[بدهی سررسید شده (کیلوگرم)],1):Main[[#This Row],[بدهی سررسید شده (کیلوگرم)]])</f>
        <v>0</v>
      </c>
      <c r="AE1960" s="6">
        <f ca="1">IF(Main[[#This Row],[مانده در خط سررسید شده (کیلوگرم)]]&lt;&gt;0,Main[[#This Row],[تعداد کل روزهای بدهکار (روز)]],0)</f>
        <v>0</v>
      </c>
      <c r="AF1960" s="6">
        <f ca="1">Main[[#This Row],[تعداد روزهای بدهکار سررسید شده (روز)]]*Main[[#This Row],[مانده در خط سررسید شده (کیلوگرم)]]</f>
        <v>0</v>
      </c>
    </row>
    <row r="1961" spans="1:32" hidden="1" x14ac:dyDescent="0.35">
      <c r="A1961" s="5">
        <f>ROW()-ROW(INDEX(Main[ردیف],1))+1</f>
        <v>1959</v>
      </c>
      <c r="B1961" s="31">
        <f>SUBTOTAL(2,INDEX(Main[ردیف],1):Main[[#This Row],[ردیف]])</f>
        <v>173</v>
      </c>
      <c r="C1961" s="32" t="s">
        <v>741</v>
      </c>
      <c r="D1961" s="32" t="str">
        <f>_xlfn.CONCAT("14",Main[[#This Row],[تاريخ]])</f>
        <v>1400/08/05</v>
      </c>
      <c r="E1961" s="33">
        <v>44496</v>
      </c>
      <c r="F1961" s="32">
        <v>10048</v>
      </c>
      <c r="G1961" s="5" t="str">
        <f>INDEX(customer[عنوان],MATCH(Main[[#This Row],[کد ردیابی]],customer[کد],0))</f>
        <v xml:space="preserve">حسام کریمان  </v>
      </c>
      <c r="H1961">
        <v>-203</v>
      </c>
      <c r="I1961" s="6">
        <f ca="1">-Main[[#This Row],[بدهی تسویه شده (کیلوگرم)]]+Main[[#This Row],[بستانکار (کیلوگرم)]]</f>
        <v>-203</v>
      </c>
      <c r="J1961" s="6">
        <f>IF(Main[[#This Row],[مقدار (کیلوگرم)]]&gt;0,Main[[#This Row],[مقدار (کیلوگرم)]],0)</f>
        <v>0</v>
      </c>
      <c r="K1961" s="6">
        <f>-IF(Main[[#This Row],[مقدار (کیلوگرم)]]&lt;0,Main[[#This Row],[مقدار (کیلوگرم)]],0)</f>
        <v>203</v>
      </c>
      <c r="L19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1" s="7">
        <f>-IF(AND(Main[[#This Row],[مقدار (کیلوگرم)]]&lt;0,Main[[#This Row],[تاريخ میلادی]]&gt;44276),Main[[#This Row],[مقدار (کیلوگرم)]],0)</f>
        <v>203</v>
      </c>
      <c r="N1961" s="6">
        <f ca="1">Main[[#This Row],[بدهکار (کیلوگرم)]]-Main[[#This Row],[بدهی تسویه نشده (کیلوگرم)]]</f>
        <v>203</v>
      </c>
      <c r="O1961" s="6">
        <f ca="1">Main[[#This Row],[تفکیک]]</f>
        <v>0</v>
      </c>
      <c r="P1961" s="6">
        <f ca="1">IF(Main[[#This Row],[تاخیر از سررسید]]&gt;0,Main[[#This Row],[بدهی تسویه نشده (کیلوگرم)]],0)</f>
        <v>0</v>
      </c>
      <c r="Q1961" s="6">
        <f ca="1">IF(Main[[#This Row],[بدهی تسویه نشده (کیلوگرم)]]&gt;0,'گزارش فردی'!$B$7-Main[[#This Row],[تاريخ میلادی]],0)</f>
        <v>0</v>
      </c>
      <c r="R1961" s="6">
        <f ca="1">IF(Main[[#This Row],[بدهی تسویه نشده (کیلوگرم)]]&gt;0,'گزارش فردی'!$B$7-Main[[#This Row],[تاريخ میلادی]]-'گزارش فردی'!$B$8,0)</f>
        <v>0</v>
      </c>
      <c r="S1961" s="6">
        <f ca="1">Main[[#This Row],[روز از ارسال سفارش]]*Main[[#This Row],[بدهی تسویه نشده (کیلوگرم)]]</f>
        <v>0</v>
      </c>
      <c r="T1961" s="6">
        <f ca="1">Main[[#This Row],[بدهی سررسید شده (کیلوگرم)]]*Main[[#This Row],[روز از ارسال سفارش]]</f>
        <v>0</v>
      </c>
      <c r="U1961" s="6">
        <f>-SUBTOTAL(9,INDEX(Main[مقدار (کیلوگرم)],1):Main[[#This Row],[مقدار (کیلوگرم)]])</f>
        <v>30327</v>
      </c>
      <c r="V19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61" s="6">
        <f>Main[[#This Row],[تعداد کل روزهای بدهکار (روز)]]*Main[[#This Row],[مانده در خط کل (کیلوگرم)]]</f>
        <v>30327</v>
      </c>
      <c r="X1961" s="6">
        <f ca="1">-SUBTOTAL(9,INDEX(Main[مقدار تسویه شده (کیلوگرم)],1):Main[[#This Row],[مقدار تسویه شده (کیلوگرم)]])</f>
        <v>30327</v>
      </c>
      <c r="Y1961" s="6">
        <f ca="1">IF(Main[[#This Row],[مانده در خط تسویه شده (کیلوگرم)]]&lt;&gt;0,Main[[#This Row],[تعداد کل روزهای بدهکار (روز)]],0)</f>
        <v>1</v>
      </c>
      <c r="Z1961" s="6">
        <f ca="1">Main[[#This Row],[تعداد روزهای بدهکار تسویه شده (روز)]]*Main[[#This Row],[مانده در خط تسویه شده (کیلوگرم)]]</f>
        <v>30327</v>
      </c>
      <c r="AA1961" s="6">
        <f ca="1">SUBTOTAL(9,INDEX(Main[بدهی تسویه نشده (کیلوگرم)],1):Main[[#This Row],[بدهی تسویه نشده (کیلوگرم)]])</f>
        <v>0</v>
      </c>
      <c r="AB1961" s="6">
        <f ca="1">IF(Main[[#This Row],[مانده در خط تسویه نشده (کیلوگرم)]]&lt;&gt;0,Main[[#This Row],[تعداد کل روزهای بدهکار (روز)]],0)</f>
        <v>0</v>
      </c>
      <c r="AC1961" s="6">
        <f ca="1">Main[[#This Row],[تعداد روزهای بدهکار  تسویه نشده (روز)]]*Main[[#This Row],[مانده در خط تسویه نشده (کیلوگرم)]]</f>
        <v>0</v>
      </c>
      <c r="AD1961" s="6">
        <f ca="1">SUBTOTAL(9,INDEX(Main[بدهی سررسید شده (کیلوگرم)],1):Main[[#This Row],[بدهی سررسید شده (کیلوگرم)]])</f>
        <v>0</v>
      </c>
      <c r="AE1961" s="6">
        <f ca="1">IF(Main[[#This Row],[مانده در خط سررسید شده (کیلوگرم)]]&lt;&gt;0,Main[[#This Row],[تعداد کل روزهای بدهکار (روز)]],0)</f>
        <v>0</v>
      </c>
      <c r="AF1961" s="6">
        <f ca="1">Main[[#This Row],[تعداد روزهای بدهکار سررسید شده (روز)]]*Main[[#This Row],[مانده در خط سررسید شده (کیلوگرم)]]</f>
        <v>0</v>
      </c>
    </row>
    <row r="1962" spans="1:32" hidden="1" x14ac:dyDescent="0.35">
      <c r="A1962" s="5">
        <f>ROW()-ROW(INDEX(Main[ردیف],1))+1</f>
        <v>1960</v>
      </c>
      <c r="B1962" s="31">
        <f>SUBTOTAL(2,INDEX(Main[ردیف],1):Main[[#This Row],[ردیف]])</f>
        <v>173</v>
      </c>
      <c r="C1962" s="32" t="s">
        <v>741</v>
      </c>
      <c r="D1962" s="32" t="str">
        <f>_xlfn.CONCAT("14",Main[[#This Row],[تاريخ]])</f>
        <v>1400/08/05</v>
      </c>
      <c r="E1962" s="33">
        <v>44496</v>
      </c>
      <c r="F1962" s="32">
        <v>30017</v>
      </c>
      <c r="G1962" s="5" t="str">
        <f>INDEX(customer[عنوان],MATCH(Main[[#This Row],[کد ردیابی]],customer[کد],0))</f>
        <v xml:space="preserve">البرز یدک </v>
      </c>
      <c r="H1962">
        <v>337</v>
      </c>
      <c r="I1962" s="6">
        <f ca="1">-Main[[#This Row],[بدهی تسویه شده (کیلوگرم)]]+Main[[#This Row],[بستانکار (کیلوگرم)]]</f>
        <v>337</v>
      </c>
      <c r="J1962" s="6">
        <f>IF(Main[[#This Row],[مقدار (کیلوگرم)]]&gt;0,Main[[#This Row],[مقدار (کیلوگرم)]],0)</f>
        <v>337</v>
      </c>
      <c r="K1962" s="6">
        <f>-IF(Main[[#This Row],[مقدار (کیلوگرم)]]&lt;0,Main[[#This Row],[مقدار (کیلوگرم)]],0)</f>
        <v>0</v>
      </c>
      <c r="L19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2" s="7">
        <f>-IF(AND(Main[[#This Row],[مقدار (کیلوگرم)]]&lt;0,Main[[#This Row],[تاريخ میلادی]]&gt;44276),Main[[#This Row],[مقدار (کیلوگرم)]],0)</f>
        <v>0</v>
      </c>
      <c r="N1962" s="6">
        <f ca="1">Main[[#This Row],[بدهکار (کیلوگرم)]]-Main[[#This Row],[بدهی تسویه نشده (کیلوگرم)]]</f>
        <v>0</v>
      </c>
      <c r="O1962" s="6">
        <f ca="1">Main[[#This Row],[تفکیک]]</f>
        <v>0</v>
      </c>
      <c r="P1962" s="6">
        <f ca="1">IF(Main[[#This Row],[تاخیر از سررسید]]&gt;0,Main[[#This Row],[بدهی تسویه نشده (کیلوگرم)]],0)</f>
        <v>0</v>
      </c>
      <c r="Q1962" s="6">
        <f ca="1">IF(Main[[#This Row],[بدهی تسویه نشده (کیلوگرم)]]&gt;0,'گزارش فردی'!$B$7-Main[[#This Row],[تاريخ میلادی]],0)</f>
        <v>0</v>
      </c>
      <c r="R1962" s="6">
        <f ca="1">IF(Main[[#This Row],[بدهی تسویه نشده (کیلوگرم)]]&gt;0,'گزارش فردی'!$B$7-Main[[#This Row],[تاريخ میلادی]]-'گزارش فردی'!$B$8,0)</f>
        <v>0</v>
      </c>
      <c r="S1962" s="6">
        <f ca="1">Main[[#This Row],[روز از ارسال سفارش]]*Main[[#This Row],[بدهی تسویه نشده (کیلوگرم)]]</f>
        <v>0</v>
      </c>
      <c r="T1962" s="6">
        <f ca="1">Main[[#This Row],[بدهی سررسید شده (کیلوگرم)]]*Main[[#This Row],[روز از ارسال سفارش]]</f>
        <v>0</v>
      </c>
      <c r="U1962" s="6">
        <f>-SUBTOTAL(9,INDEX(Main[مقدار (کیلوگرم)],1):Main[[#This Row],[مقدار (کیلوگرم)]])</f>
        <v>30327</v>
      </c>
      <c r="V19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62" s="6">
        <f>Main[[#This Row],[تعداد کل روزهای بدهکار (روز)]]*Main[[#This Row],[مانده در خط کل (کیلوگرم)]]</f>
        <v>30327</v>
      </c>
      <c r="X1962" s="6">
        <f ca="1">-SUBTOTAL(9,INDEX(Main[مقدار تسویه شده (کیلوگرم)],1):Main[[#This Row],[مقدار تسویه شده (کیلوگرم)]])</f>
        <v>30327</v>
      </c>
      <c r="Y1962" s="6">
        <f ca="1">IF(Main[[#This Row],[مانده در خط تسویه شده (کیلوگرم)]]&lt;&gt;0,Main[[#This Row],[تعداد کل روزهای بدهکار (روز)]],0)</f>
        <v>1</v>
      </c>
      <c r="Z1962" s="6">
        <f ca="1">Main[[#This Row],[تعداد روزهای بدهکار تسویه شده (روز)]]*Main[[#This Row],[مانده در خط تسویه شده (کیلوگرم)]]</f>
        <v>30327</v>
      </c>
      <c r="AA1962" s="6">
        <f ca="1">SUBTOTAL(9,INDEX(Main[بدهی تسویه نشده (کیلوگرم)],1):Main[[#This Row],[بدهی تسویه نشده (کیلوگرم)]])</f>
        <v>0</v>
      </c>
      <c r="AB1962" s="6">
        <f ca="1">IF(Main[[#This Row],[مانده در خط تسویه نشده (کیلوگرم)]]&lt;&gt;0,Main[[#This Row],[تعداد کل روزهای بدهکار (روز)]],0)</f>
        <v>0</v>
      </c>
      <c r="AC1962" s="6">
        <f ca="1">Main[[#This Row],[تعداد روزهای بدهکار  تسویه نشده (روز)]]*Main[[#This Row],[مانده در خط تسویه نشده (کیلوگرم)]]</f>
        <v>0</v>
      </c>
      <c r="AD1962" s="6">
        <f ca="1">SUBTOTAL(9,INDEX(Main[بدهی سررسید شده (کیلوگرم)],1):Main[[#This Row],[بدهی سررسید شده (کیلوگرم)]])</f>
        <v>0</v>
      </c>
      <c r="AE1962" s="6">
        <f ca="1">IF(Main[[#This Row],[مانده در خط سررسید شده (کیلوگرم)]]&lt;&gt;0,Main[[#This Row],[تعداد کل روزهای بدهکار (روز)]],0)</f>
        <v>0</v>
      </c>
      <c r="AF1962" s="6">
        <f ca="1">Main[[#This Row],[تعداد روزهای بدهکار سررسید شده (روز)]]*Main[[#This Row],[مانده در خط سررسید شده (کیلوگرم)]]</f>
        <v>0</v>
      </c>
    </row>
    <row r="1963" spans="1:32" x14ac:dyDescent="0.35">
      <c r="A1963" s="5">
        <f>ROW()-ROW(INDEX(Main[ردیف],1))+1</f>
        <v>1961</v>
      </c>
      <c r="B1963" s="31">
        <f>SUBTOTAL(2,INDEX(Main[ردیف],1):Main[[#This Row],[ردیف]])</f>
        <v>174</v>
      </c>
      <c r="C1963" s="32" t="s">
        <v>742</v>
      </c>
      <c r="D1963" s="32" t="str">
        <f>_xlfn.CONCAT("14",Main[[#This Row],[تاريخ]])</f>
        <v>1400/08/06</v>
      </c>
      <c r="E1963" s="33">
        <v>44497</v>
      </c>
      <c r="F1963" s="32">
        <v>10003</v>
      </c>
      <c r="G1963" s="5" t="str">
        <f>INDEX(customer[عنوان],MATCH(Main[[#This Row],[کد ردیابی]],customer[کد],0))</f>
        <v>اصغر نورعلی</v>
      </c>
      <c r="H1963">
        <v>-2940</v>
      </c>
      <c r="I1963" s="6">
        <f ca="1">-Main[[#This Row],[بدهی تسویه شده (کیلوگرم)]]+Main[[#This Row],[بستانکار (کیلوگرم)]]</f>
        <v>-2940</v>
      </c>
      <c r="J1963" s="6">
        <f>IF(Main[[#This Row],[مقدار (کیلوگرم)]]&gt;0,Main[[#This Row],[مقدار (کیلوگرم)]],0)</f>
        <v>0</v>
      </c>
      <c r="K1963" s="6">
        <f>-IF(Main[[#This Row],[مقدار (کیلوگرم)]]&lt;0,Main[[#This Row],[مقدار (کیلوگرم)]],0)</f>
        <v>2940</v>
      </c>
      <c r="L19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3" s="7">
        <f>-IF(AND(Main[[#This Row],[مقدار (کیلوگرم)]]&lt;0,Main[[#This Row],[تاريخ میلادی]]&gt;44276),Main[[#This Row],[مقدار (کیلوگرم)]],0)</f>
        <v>2940</v>
      </c>
      <c r="N1963" s="6">
        <f ca="1">Main[[#This Row],[بدهکار (کیلوگرم)]]-Main[[#This Row],[بدهی تسویه نشده (کیلوگرم)]]</f>
        <v>2940</v>
      </c>
      <c r="O1963" s="6">
        <f ca="1">Main[[#This Row],[تفکیک]]</f>
        <v>0</v>
      </c>
      <c r="P1963" s="6">
        <f ca="1">IF(Main[[#This Row],[تاخیر از سررسید]]&gt;0,Main[[#This Row],[بدهی تسویه نشده (کیلوگرم)]],0)</f>
        <v>0</v>
      </c>
      <c r="Q1963" s="6">
        <f ca="1">IF(Main[[#This Row],[بدهی تسویه نشده (کیلوگرم)]]&gt;0,'گزارش فردی'!$B$7-Main[[#This Row],[تاريخ میلادی]],0)</f>
        <v>0</v>
      </c>
      <c r="R1963" s="6">
        <f ca="1">IF(Main[[#This Row],[بدهی تسویه نشده (کیلوگرم)]]&gt;0,'گزارش فردی'!$B$7-Main[[#This Row],[تاريخ میلادی]]-'گزارش فردی'!$B$8,0)</f>
        <v>0</v>
      </c>
      <c r="S1963" s="6">
        <f ca="1">Main[[#This Row],[روز از ارسال سفارش]]*Main[[#This Row],[بدهی تسویه نشده (کیلوگرم)]]</f>
        <v>0</v>
      </c>
      <c r="T1963" s="6">
        <f ca="1">Main[[#This Row],[بدهی سررسید شده (کیلوگرم)]]*Main[[#This Row],[روز از ارسال سفارش]]</f>
        <v>0</v>
      </c>
      <c r="U1963" s="6">
        <f>-SUBTOTAL(9,INDEX(Main[مقدار (کیلوگرم)],1):Main[[#This Row],[مقدار (کیلوگرم)]])</f>
        <v>33267</v>
      </c>
      <c r="V19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3" s="6">
        <f>Main[[#This Row],[تعداد کل روزهای بدهکار (روز)]]*Main[[#This Row],[مانده در خط کل (کیلوگرم)]]</f>
        <v>66534</v>
      </c>
      <c r="X1963" s="6">
        <f ca="1">-SUBTOTAL(9,INDEX(Main[مقدار تسویه شده (کیلوگرم)],1):Main[[#This Row],[مقدار تسویه شده (کیلوگرم)]])</f>
        <v>33267</v>
      </c>
      <c r="Y1963" s="6">
        <f ca="1">IF(Main[[#This Row],[مانده در خط تسویه شده (کیلوگرم)]]&lt;&gt;0,Main[[#This Row],[تعداد کل روزهای بدهکار (روز)]],0)</f>
        <v>2</v>
      </c>
      <c r="Z1963" s="6">
        <f ca="1">Main[[#This Row],[تعداد روزهای بدهکار تسویه شده (روز)]]*Main[[#This Row],[مانده در خط تسویه شده (کیلوگرم)]]</f>
        <v>66534</v>
      </c>
      <c r="AA1963" s="6">
        <f ca="1">SUBTOTAL(9,INDEX(Main[بدهی تسویه نشده (کیلوگرم)],1):Main[[#This Row],[بدهی تسویه نشده (کیلوگرم)]])</f>
        <v>0</v>
      </c>
      <c r="AB1963" s="6">
        <f ca="1">IF(Main[[#This Row],[مانده در خط تسویه نشده (کیلوگرم)]]&lt;&gt;0,Main[[#This Row],[تعداد کل روزهای بدهکار (روز)]],0)</f>
        <v>0</v>
      </c>
      <c r="AC1963" s="6">
        <f ca="1">Main[[#This Row],[تعداد روزهای بدهکار  تسویه نشده (روز)]]*Main[[#This Row],[مانده در خط تسویه نشده (کیلوگرم)]]</f>
        <v>0</v>
      </c>
      <c r="AD1963" s="6">
        <f ca="1">SUBTOTAL(9,INDEX(Main[بدهی سررسید شده (کیلوگرم)],1):Main[[#This Row],[بدهی سررسید شده (کیلوگرم)]])</f>
        <v>0</v>
      </c>
      <c r="AE1963" s="6">
        <f ca="1">IF(Main[[#This Row],[مانده در خط سررسید شده (کیلوگرم)]]&lt;&gt;0,Main[[#This Row],[تعداد کل روزهای بدهکار (روز)]],0)</f>
        <v>0</v>
      </c>
      <c r="AF1963" s="6">
        <f ca="1">Main[[#This Row],[تعداد روزهای بدهکار سررسید شده (روز)]]*Main[[#This Row],[مانده در خط سررسید شده (کیلوگرم)]]</f>
        <v>0</v>
      </c>
    </row>
    <row r="1964" spans="1:32" hidden="1" x14ac:dyDescent="0.35">
      <c r="A1964" s="5">
        <f>ROW()-ROW(INDEX(Main[ردیف],1))+1</f>
        <v>1962</v>
      </c>
      <c r="B1964" s="31">
        <f>SUBTOTAL(2,INDEX(Main[ردیف],1):Main[[#This Row],[ردیف]])</f>
        <v>174</v>
      </c>
      <c r="C1964" s="32" t="s">
        <v>742</v>
      </c>
      <c r="D1964" s="32" t="str">
        <f>_xlfn.CONCAT("14",Main[[#This Row],[تاريخ]])</f>
        <v>1400/08/06</v>
      </c>
      <c r="E1964" s="33">
        <v>44497</v>
      </c>
      <c r="F1964" s="32">
        <v>10026</v>
      </c>
      <c r="G1964" s="5" t="str">
        <f>INDEX(customer[عنوان],MATCH(Main[[#This Row],[کد ردیابی]],customer[کد],0))</f>
        <v xml:space="preserve">محسن فیاض بخش </v>
      </c>
      <c r="H1964">
        <v>3081</v>
      </c>
      <c r="I1964" s="6">
        <f ca="1">-Main[[#This Row],[بدهی تسویه شده (کیلوگرم)]]+Main[[#This Row],[بستانکار (کیلوگرم)]]</f>
        <v>3081</v>
      </c>
      <c r="J1964" s="6">
        <f>IF(Main[[#This Row],[مقدار (کیلوگرم)]]&gt;0,Main[[#This Row],[مقدار (کیلوگرم)]],0)</f>
        <v>3081</v>
      </c>
      <c r="K1964" s="6">
        <f>-IF(Main[[#This Row],[مقدار (کیلوگرم)]]&lt;0,Main[[#This Row],[مقدار (کیلوگرم)]],0)</f>
        <v>0</v>
      </c>
      <c r="L19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4" s="7">
        <f>-IF(AND(Main[[#This Row],[مقدار (کیلوگرم)]]&lt;0,Main[[#This Row],[تاريخ میلادی]]&gt;44276),Main[[#This Row],[مقدار (کیلوگرم)]],0)</f>
        <v>0</v>
      </c>
      <c r="N1964" s="6">
        <f ca="1">Main[[#This Row],[بدهکار (کیلوگرم)]]-Main[[#This Row],[بدهی تسویه نشده (کیلوگرم)]]</f>
        <v>0</v>
      </c>
      <c r="O1964" s="6">
        <f ca="1">Main[[#This Row],[تفکیک]]</f>
        <v>0</v>
      </c>
      <c r="P1964" s="6">
        <f ca="1">IF(Main[[#This Row],[تاخیر از سررسید]]&gt;0,Main[[#This Row],[بدهی تسویه نشده (کیلوگرم)]],0)</f>
        <v>0</v>
      </c>
      <c r="Q1964" s="6">
        <f ca="1">IF(Main[[#This Row],[بدهی تسویه نشده (کیلوگرم)]]&gt;0,'گزارش فردی'!$B$7-Main[[#This Row],[تاريخ میلادی]],0)</f>
        <v>0</v>
      </c>
      <c r="R1964" s="6">
        <f ca="1">IF(Main[[#This Row],[بدهی تسویه نشده (کیلوگرم)]]&gt;0,'گزارش فردی'!$B$7-Main[[#This Row],[تاريخ میلادی]]-'گزارش فردی'!$B$8,0)</f>
        <v>0</v>
      </c>
      <c r="S1964" s="6">
        <f ca="1">Main[[#This Row],[روز از ارسال سفارش]]*Main[[#This Row],[بدهی تسویه نشده (کیلوگرم)]]</f>
        <v>0</v>
      </c>
      <c r="T1964" s="6">
        <f ca="1">Main[[#This Row],[بدهی سررسید شده (کیلوگرم)]]*Main[[#This Row],[روز از ارسال سفارش]]</f>
        <v>0</v>
      </c>
      <c r="U1964" s="6">
        <f>-SUBTOTAL(9,INDEX(Main[مقدار (کیلوگرم)],1):Main[[#This Row],[مقدار (کیلوگرم)]])</f>
        <v>33267</v>
      </c>
      <c r="V19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4" s="6">
        <f>Main[[#This Row],[تعداد کل روزهای بدهکار (روز)]]*Main[[#This Row],[مانده در خط کل (کیلوگرم)]]</f>
        <v>66534</v>
      </c>
      <c r="X1964" s="6">
        <f ca="1">-SUBTOTAL(9,INDEX(Main[مقدار تسویه شده (کیلوگرم)],1):Main[[#This Row],[مقدار تسویه شده (کیلوگرم)]])</f>
        <v>33267</v>
      </c>
      <c r="Y1964" s="6">
        <f ca="1">IF(Main[[#This Row],[مانده در خط تسویه شده (کیلوگرم)]]&lt;&gt;0,Main[[#This Row],[تعداد کل روزهای بدهکار (روز)]],0)</f>
        <v>2</v>
      </c>
      <c r="Z1964" s="6">
        <f ca="1">Main[[#This Row],[تعداد روزهای بدهکار تسویه شده (روز)]]*Main[[#This Row],[مانده در خط تسویه شده (کیلوگرم)]]</f>
        <v>66534</v>
      </c>
      <c r="AA1964" s="6">
        <f ca="1">SUBTOTAL(9,INDEX(Main[بدهی تسویه نشده (کیلوگرم)],1):Main[[#This Row],[بدهی تسویه نشده (کیلوگرم)]])</f>
        <v>0</v>
      </c>
      <c r="AB1964" s="6">
        <f ca="1">IF(Main[[#This Row],[مانده در خط تسویه نشده (کیلوگرم)]]&lt;&gt;0,Main[[#This Row],[تعداد کل روزهای بدهکار (روز)]],0)</f>
        <v>0</v>
      </c>
      <c r="AC1964" s="6">
        <f ca="1">Main[[#This Row],[تعداد روزهای بدهکار  تسویه نشده (روز)]]*Main[[#This Row],[مانده در خط تسویه نشده (کیلوگرم)]]</f>
        <v>0</v>
      </c>
      <c r="AD1964" s="6">
        <f ca="1">SUBTOTAL(9,INDEX(Main[بدهی سررسید شده (کیلوگرم)],1):Main[[#This Row],[بدهی سررسید شده (کیلوگرم)]])</f>
        <v>0</v>
      </c>
      <c r="AE1964" s="6">
        <f ca="1">IF(Main[[#This Row],[مانده در خط سررسید شده (کیلوگرم)]]&lt;&gt;0,Main[[#This Row],[تعداد کل روزهای بدهکار (روز)]],0)</f>
        <v>0</v>
      </c>
      <c r="AF1964" s="6">
        <f ca="1">Main[[#This Row],[تعداد روزهای بدهکار سررسید شده (روز)]]*Main[[#This Row],[مانده در خط سررسید شده (کیلوگرم)]]</f>
        <v>0</v>
      </c>
    </row>
    <row r="1965" spans="1:32" hidden="1" x14ac:dyDescent="0.35">
      <c r="A1965" s="5">
        <f>ROW()-ROW(INDEX(Main[ردیف],1))+1</f>
        <v>1963</v>
      </c>
      <c r="B1965" s="31">
        <f>SUBTOTAL(2,INDEX(Main[ردیف],1):Main[[#This Row],[ردیف]])</f>
        <v>174</v>
      </c>
      <c r="C1965" s="32" t="s">
        <v>742</v>
      </c>
      <c r="D1965" s="32" t="str">
        <f>_xlfn.CONCAT("14",Main[[#This Row],[تاريخ]])</f>
        <v>1400/08/06</v>
      </c>
      <c r="E1965" s="33">
        <v>44497</v>
      </c>
      <c r="F1965" s="32">
        <v>30012</v>
      </c>
      <c r="G1965" s="5" t="str">
        <f>INDEX(customer[عنوان],MATCH(Main[[#This Row],[کد ردیابی]],customer[کد],0))</f>
        <v xml:space="preserve">پارس قفل </v>
      </c>
      <c r="H1965">
        <v>1032</v>
      </c>
      <c r="I1965" s="6">
        <f ca="1">-Main[[#This Row],[بدهی تسویه شده (کیلوگرم)]]+Main[[#This Row],[بستانکار (کیلوگرم)]]</f>
        <v>1032</v>
      </c>
      <c r="J1965" s="6">
        <f>IF(Main[[#This Row],[مقدار (کیلوگرم)]]&gt;0,Main[[#This Row],[مقدار (کیلوگرم)]],0)</f>
        <v>1032</v>
      </c>
      <c r="K1965" s="6">
        <f>-IF(Main[[#This Row],[مقدار (کیلوگرم)]]&lt;0,Main[[#This Row],[مقدار (کیلوگرم)]],0)</f>
        <v>0</v>
      </c>
      <c r="L19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5" s="7">
        <f>-IF(AND(Main[[#This Row],[مقدار (کیلوگرم)]]&lt;0,Main[[#This Row],[تاريخ میلادی]]&gt;44276),Main[[#This Row],[مقدار (کیلوگرم)]],0)</f>
        <v>0</v>
      </c>
      <c r="N1965" s="6">
        <f ca="1">Main[[#This Row],[بدهکار (کیلوگرم)]]-Main[[#This Row],[بدهی تسویه نشده (کیلوگرم)]]</f>
        <v>0</v>
      </c>
      <c r="O1965" s="6">
        <f ca="1">Main[[#This Row],[تفکیک]]</f>
        <v>0</v>
      </c>
      <c r="P1965" s="6">
        <f ca="1">IF(Main[[#This Row],[تاخیر از سررسید]]&gt;0,Main[[#This Row],[بدهی تسویه نشده (کیلوگرم)]],0)</f>
        <v>0</v>
      </c>
      <c r="Q1965" s="6">
        <f ca="1">IF(Main[[#This Row],[بدهی تسویه نشده (کیلوگرم)]]&gt;0,'گزارش فردی'!$B$7-Main[[#This Row],[تاريخ میلادی]],0)</f>
        <v>0</v>
      </c>
      <c r="R1965" s="6">
        <f ca="1">IF(Main[[#This Row],[بدهی تسویه نشده (کیلوگرم)]]&gt;0,'گزارش فردی'!$B$7-Main[[#This Row],[تاريخ میلادی]]-'گزارش فردی'!$B$8,0)</f>
        <v>0</v>
      </c>
      <c r="S1965" s="6">
        <f ca="1">Main[[#This Row],[روز از ارسال سفارش]]*Main[[#This Row],[بدهی تسویه نشده (کیلوگرم)]]</f>
        <v>0</v>
      </c>
      <c r="T1965" s="6">
        <f ca="1">Main[[#This Row],[بدهی سررسید شده (کیلوگرم)]]*Main[[#This Row],[روز از ارسال سفارش]]</f>
        <v>0</v>
      </c>
      <c r="U1965" s="6">
        <f>-SUBTOTAL(9,INDEX(Main[مقدار (کیلوگرم)],1):Main[[#This Row],[مقدار (کیلوگرم)]])</f>
        <v>33267</v>
      </c>
      <c r="V19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5" s="6">
        <f>Main[[#This Row],[تعداد کل روزهای بدهکار (روز)]]*Main[[#This Row],[مانده در خط کل (کیلوگرم)]]</f>
        <v>66534</v>
      </c>
      <c r="X1965" s="6">
        <f ca="1">-SUBTOTAL(9,INDEX(Main[مقدار تسویه شده (کیلوگرم)],1):Main[[#This Row],[مقدار تسویه شده (کیلوگرم)]])</f>
        <v>33267</v>
      </c>
      <c r="Y1965" s="6">
        <f ca="1">IF(Main[[#This Row],[مانده در خط تسویه شده (کیلوگرم)]]&lt;&gt;0,Main[[#This Row],[تعداد کل روزهای بدهکار (روز)]],0)</f>
        <v>2</v>
      </c>
      <c r="Z1965" s="6">
        <f ca="1">Main[[#This Row],[تعداد روزهای بدهکار تسویه شده (روز)]]*Main[[#This Row],[مانده در خط تسویه شده (کیلوگرم)]]</f>
        <v>66534</v>
      </c>
      <c r="AA1965" s="6">
        <f ca="1">SUBTOTAL(9,INDEX(Main[بدهی تسویه نشده (کیلوگرم)],1):Main[[#This Row],[بدهی تسویه نشده (کیلوگرم)]])</f>
        <v>0</v>
      </c>
      <c r="AB1965" s="6">
        <f ca="1">IF(Main[[#This Row],[مانده در خط تسویه نشده (کیلوگرم)]]&lt;&gt;0,Main[[#This Row],[تعداد کل روزهای بدهکار (روز)]],0)</f>
        <v>0</v>
      </c>
      <c r="AC1965" s="6">
        <f ca="1">Main[[#This Row],[تعداد روزهای بدهکار  تسویه نشده (روز)]]*Main[[#This Row],[مانده در خط تسویه نشده (کیلوگرم)]]</f>
        <v>0</v>
      </c>
      <c r="AD1965" s="6">
        <f ca="1">SUBTOTAL(9,INDEX(Main[بدهی سررسید شده (کیلوگرم)],1):Main[[#This Row],[بدهی سررسید شده (کیلوگرم)]])</f>
        <v>0</v>
      </c>
      <c r="AE1965" s="6">
        <f ca="1">IF(Main[[#This Row],[مانده در خط سررسید شده (کیلوگرم)]]&lt;&gt;0,Main[[#This Row],[تعداد کل روزهای بدهکار (روز)]],0)</f>
        <v>0</v>
      </c>
      <c r="AF1965" s="6">
        <f ca="1">Main[[#This Row],[تعداد روزهای بدهکار سررسید شده (روز)]]*Main[[#This Row],[مانده در خط سررسید شده (کیلوگرم)]]</f>
        <v>0</v>
      </c>
    </row>
    <row r="1966" spans="1:32" hidden="1" x14ac:dyDescent="0.35">
      <c r="A1966" s="5">
        <f>ROW()-ROW(INDEX(Main[ردیف],1))+1</f>
        <v>1964</v>
      </c>
      <c r="B1966" s="31">
        <f>SUBTOTAL(2,INDEX(Main[ردیف],1):Main[[#This Row],[ردیف]])</f>
        <v>174</v>
      </c>
      <c r="C1966" s="32" t="s">
        <v>742</v>
      </c>
      <c r="D1966" s="32" t="str">
        <f>_xlfn.CONCAT("14",Main[[#This Row],[تاريخ]])</f>
        <v>1400/08/06</v>
      </c>
      <c r="E1966" s="33">
        <v>44497</v>
      </c>
      <c r="F1966" s="32">
        <v>30009</v>
      </c>
      <c r="G1966" s="5" t="str">
        <f>INDEX(customer[عنوان],MATCH(Main[[#This Row],[کد ردیابی]],customer[کد],0))</f>
        <v>شرکت ایمن تک پیشرو</v>
      </c>
      <c r="H1966">
        <v>998</v>
      </c>
      <c r="I1966" s="6">
        <f ca="1">-Main[[#This Row],[بدهی تسویه شده (کیلوگرم)]]+Main[[#This Row],[بستانکار (کیلوگرم)]]</f>
        <v>998</v>
      </c>
      <c r="J1966" s="6">
        <f>IF(Main[[#This Row],[مقدار (کیلوگرم)]]&gt;0,Main[[#This Row],[مقدار (کیلوگرم)]],0)</f>
        <v>998</v>
      </c>
      <c r="K1966" s="6">
        <f>-IF(Main[[#This Row],[مقدار (کیلوگرم)]]&lt;0,Main[[#This Row],[مقدار (کیلوگرم)]],0)</f>
        <v>0</v>
      </c>
      <c r="L19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6" s="7">
        <f>-IF(AND(Main[[#This Row],[مقدار (کیلوگرم)]]&lt;0,Main[[#This Row],[تاريخ میلادی]]&gt;44276),Main[[#This Row],[مقدار (کیلوگرم)]],0)</f>
        <v>0</v>
      </c>
      <c r="N1966" s="6">
        <f ca="1">Main[[#This Row],[بدهکار (کیلوگرم)]]-Main[[#This Row],[بدهی تسویه نشده (کیلوگرم)]]</f>
        <v>0</v>
      </c>
      <c r="O1966" s="6">
        <f ca="1">Main[[#This Row],[تفکیک]]</f>
        <v>0</v>
      </c>
      <c r="P1966" s="6">
        <f ca="1">IF(Main[[#This Row],[تاخیر از سررسید]]&gt;0,Main[[#This Row],[بدهی تسویه نشده (کیلوگرم)]],0)</f>
        <v>0</v>
      </c>
      <c r="Q1966" s="6">
        <f ca="1">IF(Main[[#This Row],[بدهی تسویه نشده (کیلوگرم)]]&gt;0,'گزارش فردی'!$B$7-Main[[#This Row],[تاريخ میلادی]],0)</f>
        <v>0</v>
      </c>
      <c r="R1966" s="6">
        <f ca="1">IF(Main[[#This Row],[بدهی تسویه نشده (کیلوگرم)]]&gt;0,'گزارش فردی'!$B$7-Main[[#This Row],[تاريخ میلادی]]-'گزارش فردی'!$B$8,0)</f>
        <v>0</v>
      </c>
      <c r="S1966" s="6">
        <f ca="1">Main[[#This Row],[روز از ارسال سفارش]]*Main[[#This Row],[بدهی تسویه نشده (کیلوگرم)]]</f>
        <v>0</v>
      </c>
      <c r="T1966" s="6">
        <f ca="1">Main[[#This Row],[بدهی سررسید شده (کیلوگرم)]]*Main[[#This Row],[روز از ارسال سفارش]]</f>
        <v>0</v>
      </c>
      <c r="U1966" s="6">
        <f>-SUBTOTAL(9,INDEX(Main[مقدار (کیلوگرم)],1):Main[[#This Row],[مقدار (کیلوگرم)]])</f>
        <v>33267</v>
      </c>
      <c r="V196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6" s="6">
        <f>Main[[#This Row],[تعداد کل روزهای بدهکار (روز)]]*Main[[#This Row],[مانده در خط کل (کیلوگرم)]]</f>
        <v>66534</v>
      </c>
      <c r="X1966" s="6">
        <f ca="1">-SUBTOTAL(9,INDEX(Main[مقدار تسویه شده (کیلوگرم)],1):Main[[#This Row],[مقدار تسویه شده (کیلوگرم)]])</f>
        <v>33267</v>
      </c>
      <c r="Y1966" s="6">
        <f ca="1">IF(Main[[#This Row],[مانده در خط تسویه شده (کیلوگرم)]]&lt;&gt;0,Main[[#This Row],[تعداد کل روزهای بدهکار (روز)]],0)</f>
        <v>2</v>
      </c>
      <c r="Z1966" s="6">
        <f ca="1">Main[[#This Row],[تعداد روزهای بدهکار تسویه شده (روز)]]*Main[[#This Row],[مانده در خط تسویه شده (کیلوگرم)]]</f>
        <v>66534</v>
      </c>
      <c r="AA1966" s="6">
        <f ca="1">SUBTOTAL(9,INDEX(Main[بدهی تسویه نشده (کیلوگرم)],1):Main[[#This Row],[بدهی تسویه نشده (کیلوگرم)]])</f>
        <v>0</v>
      </c>
      <c r="AB1966" s="6">
        <f ca="1">IF(Main[[#This Row],[مانده در خط تسویه نشده (کیلوگرم)]]&lt;&gt;0,Main[[#This Row],[تعداد کل روزهای بدهکار (روز)]],0)</f>
        <v>0</v>
      </c>
      <c r="AC1966" s="6">
        <f ca="1">Main[[#This Row],[تعداد روزهای بدهکار  تسویه نشده (روز)]]*Main[[#This Row],[مانده در خط تسویه نشده (کیلوگرم)]]</f>
        <v>0</v>
      </c>
      <c r="AD1966" s="6">
        <f ca="1">SUBTOTAL(9,INDEX(Main[بدهی سررسید شده (کیلوگرم)],1):Main[[#This Row],[بدهی سررسید شده (کیلوگرم)]])</f>
        <v>0</v>
      </c>
      <c r="AE1966" s="6">
        <f ca="1">IF(Main[[#This Row],[مانده در خط سررسید شده (کیلوگرم)]]&lt;&gt;0,Main[[#This Row],[تعداد کل روزهای بدهکار (روز)]],0)</f>
        <v>0</v>
      </c>
      <c r="AF1966" s="6">
        <f ca="1">Main[[#This Row],[تعداد روزهای بدهکار سررسید شده (روز)]]*Main[[#This Row],[مانده در خط سررسید شده (کیلوگرم)]]</f>
        <v>0</v>
      </c>
    </row>
    <row r="1967" spans="1:32" hidden="1" x14ac:dyDescent="0.35">
      <c r="A1967" s="5">
        <f>ROW()-ROW(INDEX(Main[ردیف],1))+1</f>
        <v>1965</v>
      </c>
      <c r="B1967" s="31">
        <f>SUBTOTAL(2,INDEX(Main[ردیف],1):Main[[#This Row],[ردیف]])</f>
        <v>174</v>
      </c>
      <c r="C1967" s="32" t="s">
        <v>742</v>
      </c>
      <c r="D1967" s="32" t="str">
        <f>_xlfn.CONCAT("14",Main[[#This Row],[تاريخ]])</f>
        <v>1400/08/06</v>
      </c>
      <c r="E1967" s="33">
        <v>44497</v>
      </c>
      <c r="F1967" s="32">
        <v>30012</v>
      </c>
      <c r="G1967" s="5" t="str">
        <f>INDEX(customer[عنوان],MATCH(Main[[#This Row],[کد ردیابی]],customer[کد],0))</f>
        <v xml:space="preserve">پارس قفل </v>
      </c>
      <c r="H1967">
        <v>1886</v>
      </c>
      <c r="I1967" s="6">
        <f ca="1">-Main[[#This Row],[بدهی تسویه شده (کیلوگرم)]]+Main[[#This Row],[بستانکار (کیلوگرم)]]</f>
        <v>1886</v>
      </c>
      <c r="J1967" s="6">
        <f>IF(Main[[#This Row],[مقدار (کیلوگرم)]]&gt;0,Main[[#This Row],[مقدار (کیلوگرم)]],0)</f>
        <v>1886</v>
      </c>
      <c r="K1967" s="6">
        <f>-IF(Main[[#This Row],[مقدار (کیلوگرم)]]&lt;0,Main[[#This Row],[مقدار (کیلوگرم)]],0)</f>
        <v>0</v>
      </c>
      <c r="L19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7" s="7">
        <f>-IF(AND(Main[[#This Row],[مقدار (کیلوگرم)]]&lt;0,Main[[#This Row],[تاريخ میلادی]]&gt;44276),Main[[#This Row],[مقدار (کیلوگرم)]],0)</f>
        <v>0</v>
      </c>
      <c r="N1967" s="6">
        <f ca="1">Main[[#This Row],[بدهکار (کیلوگرم)]]-Main[[#This Row],[بدهی تسویه نشده (کیلوگرم)]]</f>
        <v>0</v>
      </c>
      <c r="O1967" s="6">
        <f ca="1">Main[[#This Row],[تفکیک]]</f>
        <v>0</v>
      </c>
      <c r="P1967" s="6">
        <f ca="1">IF(Main[[#This Row],[تاخیر از سررسید]]&gt;0,Main[[#This Row],[بدهی تسویه نشده (کیلوگرم)]],0)</f>
        <v>0</v>
      </c>
      <c r="Q1967" s="6">
        <f ca="1">IF(Main[[#This Row],[بدهی تسویه نشده (کیلوگرم)]]&gt;0,'گزارش فردی'!$B$7-Main[[#This Row],[تاريخ میلادی]],0)</f>
        <v>0</v>
      </c>
      <c r="R1967" s="6">
        <f ca="1">IF(Main[[#This Row],[بدهی تسویه نشده (کیلوگرم)]]&gt;0,'گزارش فردی'!$B$7-Main[[#This Row],[تاريخ میلادی]]-'گزارش فردی'!$B$8,0)</f>
        <v>0</v>
      </c>
      <c r="S1967" s="6">
        <f ca="1">Main[[#This Row],[روز از ارسال سفارش]]*Main[[#This Row],[بدهی تسویه نشده (کیلوگرم)]]</f>
        <v>0</v>
      </c>
      <c r="T1967" s="6">
        <f ca="1">Main[[#This Row],[بدهی سررسید شده (کیلوگرم)]]*Main[[#This Row],[روز از ارسال سفارش]]</f>
        <v>0</v>
      </c>
      <c r="U1967" s="6">
        <f>-SUBTOTAL(9,INDEX(Main[مقدار (کیلوگرم)],1):Main[[#This Row],[مقدار (کیلوگرم)]])</f>
        <v>33267</v>
      </c>
      <c r="V19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7" s="6">
        <f>Main[[#This Row],[تعداد کل روزهای بدهکار (روز)]]*Main[[#This Row],[مانده در خط کل (کیلوگرم)]]</f>
        <v>66534</v>
      </c>
      <c r="X1967" s="6">
        <f ca="1">-SUBTOTAL(9,INDEX(Main[مقدار تسویه شده (کیلوگرم)],1):Main[[#This Row],[مقدار تسویه شده (کیلوگرم)]])</f>
        <v>33267</v>
      </c>
      <c r="Y1967" s="6">
        <f ca="1">IF(Main[[#This Row],[مانده در خط تسویه شده (کیلوگرم)]]&lt;&gt;0,Main[[#This Row],[تعداد کل روزهای بدهکار (روز)]],0)</f>
        <v>2</v>
      </c>
      <c r="Z1967" s="6">
        <f ca="1">Main[[#This Row],[تعداد روزهای بدهکار تسویه شده (روز)]]*Main[[#This Row],[مانده در خط تسویه شده (کیلوگرم)]]</f>
        <v>66534</v>
      </c>
      <c r="AA1967" s="6">
        <f ca="1">SUBTOTAL(9,INDEX(Main[بدهی تسویه نشده (کیلوگرم)],1):Main[[#This Row],[بدهی تسویه نشده (کیلوگرم)]])</f>
        <v>0</v>
      </c>
      <c r="AB1967" s="6">
        <f ca="1">IF(Main[[#This Row],[مانده در خط تسویه نشده (کیلوگرم)]]&lt;&gt;0,Main[[#This Row],[تعداد کل روزهای بدهکار (روز)]],0)</f>
        <v>0</v>
      </c>
      <c r="AC1967" s="6">
        <f ca="1">Main[[#This Row],[تعداد روزهای بدهکار  تسویه نشده (روز)]]*Main[[#This Row],[مانده در خط تسویه نشده (کیلوگرم)]]</f>
        <v>0</v>
      </c>
      <c r="AD1967" s="6">
        <f ca="1">SUBTOTAL(9,INDEX(Main[بدهی سررسید شده (کیلوگرم)],1):Main[[#This Row],[بدهی سررسید شده (کیلوگرم)]])</f>
        <v>0</v>
      </c>
      <c r="AE1967" s="6">
        <f ca="1">IF(Main[[#This Row],[مانده در خط سررسید شده (کیلوگرم)]]&lt;&gt;0,Main[[#This Row],[تعداد کل روزهای بدهکار (روز)]],0)</f>
        <v>0</v>
      </c>
      <c r="AF1967" s="6">
        <f ca="1">Main[[#This Row],[تعداد روزهای بدهکار سررسید شده (روز)]]*Main[[#This Row],[مانده در خط سررسید شده (کیلوگرم)]]</f>
        <v>0</v>
      </c>
    </row>
    <row r="1968" spans="1:32" hidden="1" x14ac:dyDescent="0.35">
      <c r="A1968" s="5">
        <f>ROW()-ROW(INDEX(Main[ردیف],1))+1</f>
        <v>1966</v>
      </c>
      <c r="B1968" s="31">
        <f>SUBTOTAL(2,INDEX(Main[ردیف],1):Main[[#This Row],[ردیف]])</f>
        <v>174</v>
      </c>
      <c r="C1968" s="32" t="s">
        <v>743</v>
      </c>
      <c r="D1968" s="32" t="str">
        <f>_xlfn.CONCAT("14",Main[[#This Row],[تاريخ]])</f>
        <v>1400/08/08</v>
      </c>
      <c r="E1968" s="33">
        <v>44499</v>
      </c>
      <c r="F1968" s="32">
        <v>30124</v>
      </c>
      <c r="G1968" s="5" t="str">
        <f>INDEX(customer[عنوان],MATCH(Main[[#This Row],[کد ردیابی]],customer[کد],0))</f>
        <v>شرکت لنگرمرواریدسبز</v>
      </c>
      <c r="H1968">
        <v>-944</v>
      </c>
      <c r="I1968" s="6">
        <f ca="1">-Main[[#This Row],[بدهی تسویه شده (کیلوگرم)]]+Main[[#This Row],[بستانکار (کیلوگرم)]]</f>
        <v>-944</v>
      </c>
      <c r="J1968" s="6">
        <f>IF(Main[[#This Row],[مقدار (کیلوگرم)]]&gt;0,Main[[#This Row],[مقدار (کیلوگرم)]],0)</f>
        <v>0</v>
      </c>
      <c r="K1968" s="6">
        <f>-IF(Main[[#This Row],[مقدار (کیلوگرم)]]&lt;0,Main[[#This Row],[مقدار (کیلوگرم)]],0)</f>
        <v>944</v>
      </c>
      <c r="L19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8" s="7">
        <f>-IF(AND(Main[[#This Row],[مقدار (کیلوگرم)]]&lt;0,Main[[#This Row],[تاريخ میلادی]]&gt;44276),Main[[#This Row],[مقدار (کیلوگرم)]],0)</f>
        <v>944</v>
      </c>
      <c r="N1968" s="6">
        <f ca="1">Main[[#This Row],[بدهکار (کیلوگرم)]]-Main[[#This Row],[بدهی تسویه نشده (کیلوگرم)]]</f>
        <v>944</v>
      </c>
      <c r="O1968" s="6">
        <f ca="1">Main[[#This Row],[تفکیک]]</f>
        <v>0</v>
      </c>
      <c r="P1968" s="6">
        <f ca="1">IF(Main[[#This Row],[تاخیر از سررسید]]&gt;0,Main[[#This Row],[بدهی تسویه نشده (کیلوگرم)]],0)</f>
        <v>0</v>
      </c>
      <c r="Q1968" s="6">
        <f ca="1">IF(Main[[#This Row],[بدهی تسویه نشده (کیلوگرم)]]&gt;0,'گزارش فردی'!$B$7-Main[[#This Row],[تاريخ میلادی]],0)</f>
        <v>0</v>
      </c>
      <c r="R1968" s="6">
        <f ca="1">IF(Main[[#This Row],[بدهی تسویه نشده (کیلوگرم)]]&gt;0,'گزارش فردی'!$B$7-Main[[#This Row],[تاريخ میلادی]]-'گزارش فردی'!$B$8,0)</f>
        <v>0</v>
      </c>
      <c r="S1968" s="6">
        <f ca="1">Main[[#This Row],[روز از ارسال سفارش]]*Main[[#This Row],[بدهی تسویه نشده (کیلوگرم)]]</f>
        <v>0</v>
      </c>
      <c r="T1968" s="6">
        <f ca="1">Main[[#This Row],[بدهی سررسید شده (کیلوگرم)]]*Main[[#This Row],[روز از ارسال سفارش]]</f>
        <v>0</v>
      </c>
      <c r="U1968" s="6">
        <f>-SUBTOTAL(9,INDEX(Main[مقدار (کیلوگرم)],1):Main[[#This Row],[مقدار (کیلوگرم)]])</f>
        <v>33267</v>
      </c>
      <c r="V19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68" s="6">
        <f>Main[[#This Row],[تعداد کل روزهای بدهکار (روز)]]*Main[[#This Row],[مانده در خط کل (کیلوگرم)]]</f>
        <v>0</v>
      </c>
      <c r="X1968" s="6">
        <f ca="1">-SUBTOTAL(9,INDEX(Main[مقدار تسویه شده (کیلوگرم)],1):Main[[#This Row],[مقدار تسویه شده (کیلوگرم)]])</f>
        <v>33267</v>
      </c>
      <c r="Y1968" s="6">
        <f ca="1">IF(Main[[#This Row],[مانده در خط تسویه شده (کیلوگرم)]]&lt;&gt;0,Main[[#This Row],[تعداد کل روزهای بدهکار (روز)]],0)</f>
        <v>0</v>
      </c>
      <c r="Z1968" s="6">
        <f ca="1">Main[[#This Row],[تعداد روزهای بدهکار تسویه شده (روز)]]*Main[[#This Row],[مانده در خط تسویه شده (کیلوگرم)]]</f>
        <v>0</v>
      </c>
      <c r="AA1968" s="6">
        <f ca="1">SUBTOTAL(9,INDEX(Main[بدهی تسویه نشده (کیلوگرم)],1):Main[[#This Row],[بدهی تسویه نشده (کیلوگرم)]])</f>
        <v>0</v>
      </c>
      <c r="AB1968" s="6">
        <f ca="1">IF(Main[[#This Row],[مانده در خط تسویه نشده (کیلوگرم)]]&lt;&gt;0,Main[[#This Row],[تعداد کل روزهای بدهکار (روز)]],0)</f>
        <v>0</v>
      </c>
      <c r="AC1968" s="6">
        <f ca="1">Main[[#This Row],[تعداد روزهای بدهکار  تسویه نشده (روز)]]*Main[[#This Row],[مانده در خط تسویه نشده (کیلوگرم)]]</f>
        <v>0</v>
      </c>
      <c r="AD1968" s="6">
        <f ca="1">SUBTOTAL(9,INDEX(Main[بدهی سررسید شده (کیلوگرم)],1):Main[[#This Row],[بدهی سررسید شده (کیلوگرم)]])</f>
        <v>0</v>
      </c>
      <c r="AE1968" s="6">
        <f ca="1">IF(Main[[#This Row],[مانده در خط سررسید شده (کیلوگرم)]]&lt;&gt;0,Main[[#This Row],[تعداد کل روزهای بدهکار (روز)]],0)</f>
        <v>0</v>
      </c>
      <c r="AF1968" s="6">
        <f ca="1">Main[[#This Row],[تعداد روزهای بدهکار سررسید شده (روز)]]*Main[[#This Row],[مانده در خط سررسید شده (کیلوگرم)]]</f>
        <v>0</v>
      </c>
    </row>
    <row r="1969" spans="1:32" hidden="1" x14ac:dyDescent="0.35">
      <c r="A1969" s="5">
        <f>ROW()-ROW(INDEX(Main[ردیف],1))+1</f>
        <v>1967</v>
      </c>
      <c r="B1969" s="31">
        <f>SUBTOTAL(2,INDEX(Main[ردیف],1):Main[[#This Row],[ردیف]])</f>
        <v>174</v>
      </c>
      <c r="C1969" s="32" t="s">
        <v>743</v>
      </c>
      <c r="D1969" s="32" t="str">
        <f>_xlfn.CONCAT("14",Main[[#This Row],[تاريخ]])</f>
        <v>1400/08/08</v>
      </c>
      <c r="E1969" s="33">
        <v>44499</v>
      </c>
      <c r="F1969" s="32">
        <v>30009</v>
      </c>
      <c r="G1969" s="5" t="str">
        <f>INDEX(customer[عنوان],MATCH(Main[[#This Row],[کد ردیابی]],customer[کد],0))</f>
        <v>شرکت ایمن تک پیشرو</v>
      </c>
      <c r="H1969">
        <v>1602</v>
      </c>
      <c r="I1969" s="6">
        <f ca="1">-Main[[#This Row],[بدهی تسویه شده (کیلوگرم)]]+Main[[#This Row],[بستانکار (کیلوگرم)]]</f>
        <v>1602</v>
      </c>
      <c r="J1969" s="6">
        <f>IF(Main[[#This Row],[مقدار (کیلوگرم)]]&gt;0,Main[[#This Row],[مقدار (کیلوگرم)]],0)</f>
        <v>1602</v>
      </c>
      <c r="K1969" s="6">
        <f>-IF(Main[[#This Row],[مقدار (کیلوگرم)]]&lt;0,Main[[#This Row],[مقدار (کیلوگرم)]],0)</f>
        <v>0</v>
      </c>
      <c r="L19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9" s="7">
        <f>-IF(AND(Main[[#This Row],[مقدار (کیلوگرم)]]&lt;0,Main[[#This Row],[تاريخ میلادی]]&gt;44276),Main[[#This Row],[مقدار (کیلوگرم)]],0)</f>
        <v>0</v>
      </c>
      <c r="N1969" s="6">
        <f ca="1">Main[[#This Row],[بدهکار (کیلوگرم)]]-Main[[#This Row],[بدهی تسویه نشده (کیلوگرم)]]</f>
        <v>0</v>
      </c>
      <c r="O1969" s="6">
        <f ca="1">Main[[#This Row],[تفکیک]]</f>
        <v>0</v>
      </c>
      <c r="P1969" s="6">
        <f ca="1">IF(Main[[#This Row],[تاخیر از سررسید]]&gt;0,Main[[#This Row],[بدهی تسویه نشده (کیلوگرم)]],0)</f>
        <v>0</v>
      </c>
      <c r="Q1969" s="6">
        <f ca="1">IF(Main[[#This Row],[بدهی تسویه نشده (کیلوگرم)]]&gt;0,'گزارش فردی'!$B$7-Main[[#This Row],[تاريخ میلادی]],0)</f>
        <v>0</v>
      </c>
      <c r="R1969" s="6">
        <f ca="1">IF(Main[[#This Row],[بدهی تسویه نشده (کیلوگرم)]]&gt;0,'گزارش فردی'!$B$7-Main[[#This Row],[تاريخ میلادی]]-'گزارش فردی'!$B$8,0)</f>
        <v>0</v>
      </c>
      <c r="S1969" s="6">
        <f ca="1">Main[[#This Row],[روز از ارسال سفارش]]*Main[[#This Row],[بدهی تسویه نشده (کیلوگرم)]]</f>
        <v>0</v>
      </c>
      <c r="T1969" s="6">
        <f ca="1">Main[[#This Row],[بدهی سررسید شده (کیلوگرم)]]*Main[[#This Row],[روز از ارسال سفارش]]</f>
        <v>0</v>
      </c>
      <c r="U1969" s="6">
        <f>-SUBTOTAL(9,INDEX(Main[مقدار (کیلوگرم)],1):Main[[#This Row],[مقدار (کیلوگرم)]])</f>
        <v>33267</v>
      </c>
      <c r="V19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69" s="6">
        <f>Main[[#This Row],[تعداد کل روزهای بدهکار (روز)]]*Main[[#This Row],[مانده در خط کل (کیلوگرم)]]</f>
        <v>0</v>
      </c>
      <c r="X1969" s="6">
        <f ca="1">-SUBTOTAL(9,INDEX(Main[مقدار تسویه شده (کیلوگرم)],1):Main[[#This Row],[مقدار تسویه شده (کیلوگرم)]])</f>
        <v>33267</v>
      </c>
      <c r="Y1969" s="6">
        <f ca="1">IF(Main[[#This Row],[مانده در خط تسویه شده (کیلوگرم)]]&lt;&gt;0,Main[[#This Row],[تعداد کل روزهای بدهکار (روز)]],0)</f>
        <v>0</v>
      </c>
      <c r="Z1969" s="6">
        <f ca="1">Main[[#This Row],[تعداد روزهای بدهکار تسویه شده (روز)]]*Main[[#This Row],[مانده در خط تسویه شده (کیلوگرم)]]</f>
        <v>0</v>
      </c>
      <c r="AA1969" s="6">
        <f ca="1">SUBTOTAL(9,INDEX(Main[بدهی تسویه نشده (کیلوگرم)],1):Main[[#This Row],[بدهی تسویه نشده (کیلوگرم)]])</f>
        <v>0</v>
      </c>
      <c r="AB1969" s="6">
        <f ca="1">IF(Main[[#This Row],[مانده در خط تسویه نشده (کیلوگرم)]]&lt;&gt;0,Main[[#This Row],[تعداد کل روزهای بدهکار (روز)]],0)</f>
        <v>0</v>
      </c>
      <c r="AC1969" s="6">
        <f ca="1">Main[[#This Row],[تعداد روزهای بدهکار  تسویه نشده (روز)]]*Main[[#This Row],[مانده در خط تسویه نشده (کیلوگرم)]]</f>
        <v>0</v>
      </c>
      <c r="AD1969" s="6">
        <f ca="1">SUBTOTAL(9,INDEX(Main[بدهی سررسید شده (کیلوگرم)],1):Main[[#This Row],[بدهی سررسید شده (کیلوگرم)]])</f>
        <v>0</v>
      </c>
      <c r="AE1969" s="6">
        <f ca="1">IF(Main[[#This Row],[مانده در خط سررسید شده (کیلوگرم)]]&lt;&gt;0,Main[[#This Row],[تعداد کل روزهای بدهکار (روز)]],0)</f>
        <v>0</v>
      </c>
      <c r="AF1969" s="6">
        <f ca="1">Main[[#This Row],[تعداد روزهای بدهکار سررسید شده (روز)]]*Main[[#This Row],[مانده در خط سررسید شده (کیلوگرم)]]</f>
        <v>0</v>
      </c>
    </row>
    <row r="1970" spans="1:32" hidden="1" x14ac:dyDescent="0.35">
      <c r="A1970" s="5">
        <f>ROW()-ROW(INDEX(Main[ردیف],1))+1</f>
        <v>1968</v>
      </c>
      <c r="B1970" s="31">
        <f>SUBTOTAL(2,INDEX(Main[ردیف],1):Main[[#This Row],[ردیف]])</f>
        <v>174</v>
      </c>
      <c r="C1970" s="32" t="s">
        <v>743</v>
      </c>
      <c r="D1970" s="32" t="str">
        <f>_xlfn.CONCAT("14",Main[[#This Row],[تاريخ]])</f>
        <v>1400/08/08</v>
      </c>
      <c r="E1970" s="33">
        <v>44499</v>
      </c>
      <c r="F1970" s="32">
        <v>30022</v>
      </c>
      <c r="G1970" s="5" t="str">
        <f>INDEX(customer[عنوان],MATCH(Main[[#This Row],[کد ردیابی]],customer[کد],0))</f>
        <v xml:space="preserve">کلار پویا </v>
      </c>
      <c r="H1970">
        <v>-4777</v>
      </c>
      <c r="I1970" s="6">
        <f ca="1">-Main[[#This Row],[بدهی تسویه شده (کیلوگرم)]]+Main[[#This Row],[بستانکار (کیلوگرم)]]</f>
        <v>-4777</v>
      </c>
      <c r="J1970" s="6">
        <f>IF(Main[[#This Row],[مقدار (کیلوگرم)]]&gt;0,Main[[#This Row],[مقدار (کیلوگرم)]],0)</f>
        <v>0</v>
      </c>
      <c r="K1970" s="6">
        <f>-IF(Main[[#This Row],[مقدار (کیلوگرم)]]&lt;0,Main[[#This Row],[مقدار (کیلوگرم)]],0)</f>
        <v>4777</v>
      </c>
      <c r="L19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0" s="7">
        <f>-IF(AND(Main[[#This Row],[مقدار (کیلوگرم)]]&lt;0,Main[[#This Row],[تاريخ میلادی]]&gt;44276),Main[[#This Row],[مقدار (کیلوگرم)]],0)</f>
        <v>4777</v>
      </c>
      <c r="N1970" s="6">
        <f ca="1">Main[[#This Row],[بدهکار (کیلوگرم)]]-Main[[#This Row],[بدهی تسویه نشده (کیلوگرم)]]</f>
        <v>4777</v>
      </c>
      <c r="O1970" s="6">
        <f ca="1">Main[[#This Row],[تفکیک]]</f>
        <v>0</v>
      </c>
      <c r="P1970" s="6">
        <f ca="1">IF(Main[[#This Row],[تاخیر از سررسید]]&gt;0,Main[[#This Row],[بدهی تسویه نشده (کیلوگرم)]],0)</f>
        <v>0</v>
      </c>
      <c r="Q1970" s="6">
        <f ca="1">IF(Main[[#This Row],[بدهی تسویه نشده (کیلوگرم)]]&gt;0,'گزارش فردی'!$B$7-Main[[#This Row],[تاريخ میلادی]],0)</f>
        <v>0</v>
      </c>
      <c r="R1970" s="6">
        <f ca="1">IF(Main[[#This Row],[بدهی تسویه نشده (کیلوگرم)]]&gt;0,'گزارش فردی'!$B$7-Main[[#This Row],[تاريخ میلادی]]-'گزارش فردی'!$B$8,0)</f>
        <v>0</v>
      </c>
      <c r="S1970" s="6">
        <f ca="1">Main[[#This Row],[روز از ارسال سفارش]]*Main[[#This Row],[بدهی تسویه نشده (کیلوگرم)]]</f>
        <v>0</v>
      </c>
      <c r="T1970" s="6">
        <f ca="1">Main[[#This Row],[بدهی سررسید شده (کیلوگرم)]]*Main[[#This Row],[روز از ارسال سفارش]]</f>
        <v>0</v>
      </c>
      <c r="U1970" s="6">
        <f>-SUBTOTAL(9,INDEX(Main[مقدار (کیلوگرم)],1):Main[[#This Row],[مقدار (کیلوگرم)]])</f>
        <v>33267</v>
      </c>
      <c r="V19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0" s="6">
        <f>Main[[#This Row],[تعداد کل روزهای بدهکار (روز)]]*Main[[#This Row],[مانده در خط کل (کیلوگرم)]]</f>
        <v>0</v>
      </c>
      <c r="X1970" s="6">
        <f ca="1">-SUBTOTAL(9,INDEX(Main[مقدار تسویه شده (کیلوگرم)],1):Main[[#This Row],[مقدار تسویه شده (کیلوگرم)]])</f>
        <v>33267</v>
      </c>
      <c r="Y1970" s="6">
        <f ca="1">IF(Main[[#This Row],[مانده در خط تسویه شده (کیلوگرم)]]&lt;&gt;0,Main[[#This Row],[تعداد کل روزهای بدهکار (روز)]],0)</f>
        <v>0</v>
      </c>
      <c r="Z1970" s="6">
        <f ca="1">Main[[#This Row],[تعداد روزهای بدهکار تسویه شده (روز)]]*Main[[#This Row],[مانده در خط تسویه شده (کیلوگرم)]]</f>
        <v>0</v>
      </c>
      <c r="AA1970" s="6">
        <f ca="1">SUBTOTAL(9,INDEX(Main[بدهی تسویه نشده (کیلوگرم)],1):Main[[#This Row],[بدهی تسویه نشده (کیلوگرم)]])</f>
        <v>0</v>
      </c>
      <c r="AB1970" s="6">
        <f ca="1">IF(Main[[#This Row],[مانده در خط تسویه نشده (کیلوگرم)]]&lt;&gt;0,Main[[#This Row],[تعداد کل روزهای بدهکار (روز)]],0)</f>
        <v>0</v>
      </c>
      <c r="AC1970" s="6">
        <f ca="1">Main[[#This Row],[تعداد روزهای بدهکار  تسویه نشده (روز)]]*Main[[#This Row],[مانده در خط تسویه نشده (کیلوگرم)]]</f>
        <v>0</v>
      </c>
      <c r="AD1970" s="6">
        <f ca="1">SUBTOTAL(9,INDEX(Main[بدهی سررسید شده (کیلوگرم)],1):Main[[#This Row],[بدهی سررسید شده (کیلوگرم)]])</f>
        <v>0</v>
      </c>
      <c r="AE1970" s="6">
        <f ca="1">IF(Main[[#This Row],[مانده در خط سررسید شده (کیلوگرم)]]&lt;&gt;0,Main[[#This Row],[تعداد کل روزهای بدهکار (روز)]],0)</f>
        <v>0</v>
      </c>
      <c r="AF1970" s="6">
        <f ca="1">Main[[#This Row],[تعداد روزهای بدهکار سررسید شده (روز)]]*Main[[#This Row],[مانده در خط سررسید شده (کیلوگرم)]]</f>
        <v>0</v>
      </c>
    </row>
    <row r="1971" spans="1:32" hidden="1" x14ac:dyDescent="0.35">
      <c r="A1971" s="5">
        <f>ROW()-ROW(INDEX(Main[ردیف],1))+1</f>
        <v>1969</v>
      </c>
      <c r="B1971" s="31">
        <f>SUBTOTAL(2,INDEX(Main[ردیف],1):Main[[#This Row],[ردیف]])</f>
        <v>174</v>
      </c>
      <c r="C1971" s="32" t="s">
        <v>743</v>
      </c>
      <c r="D1971" s="32" t="str">
        <f>_xlfn.CONCAT("14",Main[[#This Row],[تاريخ]])</f>
        <v>1400/08/08</v>
      </c>
      <c r="E1971" s="33">
        <v>44499</v>
      </c>
      <c r="F1971" s="32">
        <v>30022</v>
      </c>
      <c r="G1971" s="5" t="str">
        <f>INDEX(customer[عنوان],MATCH(Main[[#This Row],[کد ردیابی]],customer[کد],0))</f>
        <v xml:space="preserve">کلار پویا </v>
      </c>
      <c r="H1971">
        <v>4905</v>
      </c>
      <c r="I1971" s="6">
        <f ca="1">-Main[[#This Row],[بدهی تسویه شده (کیلوگرم)]]+Main[[#This Row],[بستانکار (کیلوگرم)]]</f>
        <v>4905</v>
      </c>
      <c r="J1971" s="6">
        <f>IF(Main[[#This Row],[مقدار (کیلوگرم)]]&gt;0,Main[[#This Row],[مقدار (کیلوگرم)]],0)</f>
        <v>4905</v>
      </c>
      <c r="K1971" s="6">
        <f>-IF(Main[[#This Row],[مقدار (کیلوگرم)]]&lt;0,Main[[#This Row],[مقدار (کیلوگرم)]],0)</f>
        <v>0</v>
      </c>
      <c r="L19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1" s="7">
        <f>-IF(AND(Main[[#This Row],[مقدار (کیلوگرم)]]&lt;0,Main[[#This Row],[تاريخ میلادی]]&gt;44276),Main[[#This Row],[مقدار (کیلوگرم)]],0)</f>
        <v>0</v>
      </c>
      <c r="N1971" s="6">
        <f ca="1">Main[[#This Row],[بدهکار (کیلوگرم)]]-Main[[#This Row],[بدهی تسویه نشده (کیلوگرم)]]</f>
        <v>0</v>
      </c>
      <c r="O1971" s="6">
        <f ca="1">Main[[#This Row],[تفکیک]]</f>
        <v>0</v>
      </c>
      <c r="P1971" s="6">
        <f ca="1">IF(Main[[#This Row],[تاخیر از سررسید]]&gt;0,Main[[#This Row],[بدهی تسویه نشده (کیلوگرم)]],0)</f>
        <v>0</v>
      </c>
      <c r="Q1971" s="6">
        <f ca="1">IF(Main[[#This Row],[بدهی تسویه نشده (کیلوگرم)]]&gt;0,'گزارش فردی'!$B$7-Main[[#This Row],[تاريخ میلادی]],0)</f>
        <v>0</v>
      </c>
      <c r="R1971" s="6">
        <f ca="1">IF(Main[[#This Row],[بدهی تسویه نشده (کیلوگرم)]]&gt;0,'گزارش فردی'!$B$7-Main[[#This Row],[تاريخ میلادی]]-'گزارش فردی'!$B$8,0)</f>
        <v>0</v>
      </c>
      <c r="S1971" s="6">
        <f ca="1">Main[[#This Row],[روز از ارسال سفارش]]*Main[[#This Row],[بدهی تسویه نشده (کیلوگرم)]]</f>
        <v>0</v>
      </c>
      <c r="T1971" s="6">
        <f ca="1">Main[[#This Row],[بدهی سررسید شده (کیلوگرم)]]*Main[[#This Row],[روز از ارسال سفارش]]</f>
        <v>0</v>
      </c>
      <c r="U1971" s="6">
        <f>-SUBTOTAL(9,INDEX(Main[مقدار (کیلوگرم)],1):Main[[#This Row],[مقدار (کیلوگرم)]])</f>
        <v>33267</v>
      </c>
      <c r="V19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1" s="6">
        <f>Main[[#This Row],[تعداد کل روزهای بدهکار (روز)]]*Main[[#This Row],[مانده در خط کل (کیلوگرم)]]</f>
        <v>0</v>
      </c>
      <c r="X1971" s="6">
        <f ca="1">-SUBTOTAL(9,INDEX(Main[مقدار تسویه شده (کیلوگرم)],1):Main[[#This Row],[مقدار تسویه شده (کیلوگرم)]])</f>
        <v>33267</v>
      </c>
      <c r="Y1971" s="6">
        <f ca="1">IF(Main[[#This Row],[مانده در خط تسویه شده (کیلوگرم)]]&lt;&gt;0,Main[[#This Row],[تعداد کل روزهای بدهکار (روز)]],0)</f>
        <v>0</v>
      </c>
      <c r="Z1971" s="6">
        <f ca="1">Main[[#This Row],[تعداد روزهای بدهکار تسویه شده (روز)]]*Main[[#This Row],[مانده در خط تسویه شده (کیلوگرم)]]</f>
        <v>0</v>
      </c>
      <c r="AA1971" s="6">
        <f ca="1">SUBTOTAL(9,INDEX(Main[بدهی تسویه نشده (کیلوگرم)],1):Main[[#This Row],[بدهی تسویه نشده (کیلوگرم)]])</f>
        <v>0</v>
      </c>
      <c r="AB1971" s="6">
        <f ca="1">IF(Main[[#This Row],[مانده در خط تسویه نشده (کیلوگرم)]]&lt;&gt;0,Main[[#This Row],[تعداد کل روزهای بدهکار (روز)]],0)</f>
        <v>0</v>
      </c>
      <c r="AC1971" s="6">
        <f ca="1">Main[[#This Row],[تعداد روزهای بدهکار  تسویه نشده (روز)]]*Main[[#This Row],[مانده در خط تسویه نشده (کیلوگرم)]]</f>
        <v>0</v>
      </c>
      <c r="AD1971" s="6">
        <f ca="1">SUBTOTAL(9,INDEX(Main[بدهی سررسید شده (کیلوگرم)],1):Main[[#This Row],[بدهی سررسید شده (کیلوگرم)]])</f>
        <v>0</v>
      </c>
      <c r="AE1971" s="6">
        <f ca="1">IF(Main[[#This Row],[مانده در خط سررسید شده (کیلوگرم)]]&lt;&gt;0,Main[[#This Row],[تعداد کل روزهای بدهکار (روز)]],0)</f>
        <v>0</v>
      </c>
      <c r="AF1971" s="6">
        <f ca="1">Main[[#This Row],[تعداد روزهای بدهکار سررسید شده (روز)]]*Main[[#This Row],[مانده در خط سررسید شده (کیلوگرم)]]</f>
        <v>0</v>
      </c>
    </row>
    <row r="1972" spans="1:32" hidden="1" x14ac:dyDescent="0.35">
      <c r="A1972" s="5">
        <f>ROW()-ROW(INDEX(Main[ردیف],1))+1</f>
        <v>1970</v>
      </c>
      <c r="B1972" s="31">
        <f>SUBTOTAL(2,INDEX(Main[ردیف],1):Main[[#This Row],[ردیف]])</f>
        <v>174</v>
      </c>
      <c r="C1972" s="32" t="s">
        <v>743</v>
      </c>
      <c r="D1972" s="32" t="str">
        <f>_xlfn.CONCAT("14",Main[[#This Row],[تاريخ]])</f>
        <v>1400/08/08</v>
      </c>
      <c r="E1972" s="33">
        <v>44499</v>
      </c>
      <c r="F1972" s="32">
        <v>30160</v>
      </c>
      <c r="G1972" s="5" t="str">
        <f>INDEX(customer[عنوان],MATCH(Main[[#This Row],[کد ردیابی]],customer[کد],0))</f>
        <v>کیان صنعت</v>
      </c>
      <c r="H1972">
        <v>-267</v>
      </c>
      <c r="I1972" s="6">
        <f ca="1">-Main[[#This Row],[بدهی تسویه شده (کیلوگرم)]]+Main[[#This Row],[بستانکار (کیلوگرم)]]</f>
        <v>-267</v>
      </c>
      <c r="J1972" s="6">
        <f>IF(Main[[#This Row],[مقدار (کیلوگرم)]]&gt;0,Main[[#This Row],[مقدار (کیلوگرم)]],0)</f>
        <v>0</v>
      </c>
      <c r="K1972" s="6">
        <f>-IF(Main[[#This Row],[مقدار (کیلوگرم)]]&lt;0,Main[[#This Row],[مقدار (کیلوگرم)]],0)</f>
        <v>267</v>
      </c>
      <c r="L19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2" s="7">
        <f>-IF(AND(Main[[#This Row],[مقدار (کیلوگرم)]]&lt;0,Main[[#This Row],[تاريخ میلادی]]&gt;44276),Main[[#This Row],[مقدار (کیلوگرم)]],0)</f>
        <v>267</v>
      </c>
      <c r="N1972" s="6">
        <f ca="1">Main[[#This Row],[بدهکار (کیلوگرم)]]-Main[[#This Row],[بدهی تسویه نشده (کیلوگرم)]]</f>
        <v>267</v>
      </c>
      <c r="O1972" s="6">
        <f ca="1">Main[[#This Row],[تفکیک]]</f>
        <v>0</v>
      </c>
      <c r="P1972" s="6">
        <f ca="1">IF(Main[[#This Row],[تاخیر از سررسید]]&gt;0,Main[[#This Row],[بدهی تسویه نشده (کیلوگرم)]],0)</f>
        <v>0</v>
      </c>
      <c r="Q1972" s="6">
        <f ca="1">IF(Main[[#This Row],[بدهی تسویه نشده (کیلوگرم)]]&gt;0,'گزارش فردی'!$B$7-Main[[#This Row],[تاريخ میلادی]],0)</f>
        <v>0</v>
      </c>
      <c r="R1972" s="6">
        <f ca="1">IF(Main[[#This Row],[بدهی تسویه نشده (کیلوگرم)]]&gt;0,'گزارش فردی'!$B$7-Main[[#This Row],[تاريخ میلادی]]-'گزارش فردی'!$B$8,0)</f>
        <v>0</v>
      </c>
      <c r="S1972" s="6">
        <f ca="1">Main[[#This Row],[روز از ارسال سفارش]]*Main[[#This Row],[بدهی تسویه نشده (کیلوگرم)]]</f>
        <v>0</v>
      </c>
      <c r="T1972" s="6">
        <f ca="1">Main[[#This Row],[بدهی سررسید شده (کیلوگرم)]]*Main[[#This Row],[روز از ارسال سفارش]]</f>
        <v>0</v>
      </c>
      <c r="U1972" s="6">
        <f>-SUBTOTAL(9,INDEX(Main[مقدار (کیلوگرم)],1):Main[[#This Row],[مقدار (کیلوگرم)]])</f>
        <v>33267</v>
      </c>
      <c r="V19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2" s="6">
        <f>Main[[#This Row],[تعداد کل روزهای بدهکار (روز)]]*Main[[#This Row],[مانده در خط کل (کیلوگرم)]]</f>
        <v>0</v>
      </c>
      <c r="X1972" s="6">
        <f ca="1">-SUBTOTAL(9,INDEX(Main[مقدار تسویه شده (کیلوگرم)],1):Main[[#This Row],[مقدار تسویه شده (کیلوگرم)]])</f>
        <v>33267</v>
      </c>
      <c r="Y1972" s="6">
        <f ca="1">IF(Main[[#This Row],[مانده در خط تسویه شده (کیلوگرم)]]&lt;&gt;0,Main[[#This Row],[تعداد کل روزهای بدهکار (روز)]],0)</f>
        <v>0</v>
      </c>
      <c r="Z1972" s="6">
        <f ca="1">Main[[#This Row],[تعداد روزهای بدهکار تسویه شده (روز)]]*Main[[#This Row],[مانده در خط تسویه شده (کیلوگرم)]]</f>
        <v>0</v>
      </c>
      <c r="AA1972" s="6">
        <f ca="1">SUBTOTAL(9,INDEX(Main[بدهی تسویه نشده (کیلوگرم)],1):Main[[#This Row],[بدهی تسویه نشده (کیلوگرم)]])</f>
        <v>0</v>
      </c>
      <c r="AB1972" s="6">
        <f ca="1">IF(Main[[#This Row],[مانده در خط تسویه نشده (کیلوگرم)]]&lt;&gt;0,Main[[#This Row],[تعداد کل روزهای بدهکار (روز)]],0)</f>
        <v>0</v>
      </c>
      <c r="AC1972" s="6">
        <f ca="1">Main[[#This Row],[تعداد روزهای بدهکار  تسویه نشده (روز)]]*Main[[#This Row],[مانده در خط تسویه نشده (کیلوگرم)]]</f>
        <v>0</v>
      </c>
      <c r="AD1972" s="6">
        <f ca="1">SUBTOTAL(9,INDEX(Main[بدهی سررسید شده (کیلوگرم)],1):Main[[#This Row],[بدهی سررسید شده (کیلوگرم)]])</f>
        <v>0</v>
      </c>
      <c r="AE1972" s="6">
        <f ca="1">IF(Main[[#This Row],[مانده در خط سررسید شده (کیلوگرم)]]&lt;&gt;0,Main[[#This Row],[تعداد کل روزهای بدهکار (روز)]],0)</f>
        <v>0</v>
      </c>
      <c r="AF1972" s="6">
        <f ca="1">Main[[#This Row],[تعداد روزهای بدهکار سررسید شده (روز)]]*Main[[#This Row],[مانده در خط سررسید شده (کیلوگرم)]]</f>
        <v>0</v>
      </c>
    </row>
    <row r="1973" spans="1:32" hidden="1" x14ac:dyDescent="0.35">
      <c r="A1973" s="5">
        <f>ROW()-ROW(INDEX(Main[ردیف],1))+1</f>
        <v>1971</v>
      </c>
      <c r="B1973" s="31">
        <f>SUBTOTAL(2,INDEX(Main[ردیف],1):Main[[#This Row],[ردیف]])</f>
        <v>174</v>
      </c>
      <c r="C1973" s="32" t="s">
        <v>743</v>
      </c>
      <c r="D1973" s="32" t="str">
        <f>_xlfn.CONCAT("14",Main[[#This Row],[تاريخ]])</f>
        <v>1400/08/08</v>
      </c>
      <c r="E1973" s="33">
        <v>44499</v>
      </c>
      <c r="F1973" s="32">
        <v>30124</v>
      </c>
      <c r="G1973" s="5" t="str">
        <f>INDEX(customer[عنوان],MATCH(Main[[#This Row],[کد ردیابی]],customer[کد],0))</f>
        <v>شرکت لنگرمرواریدسبز</v>
      </c>
      <c r="H1973">
        <v>945</v>
      </c>
      <c r="I1973" s="6">
        <f ca="1">-Main[[#This Row],[بدهی تسویه شده (کیلوگرم)]]+Main[[#This Row],[بستانکار (کیلوگرم)]]</f>
        <v>945</v>
      </c>
      <c r="J1973" s="6">
        <f>IF(Main[[#This Row],[مقدار (کیلوگرم)]]&gt;0,Main[[#This Row],[مقدار (کیلوگرم)]],0)</f>
        <v>945</v>
      </c>
      <c r="K1973" s="6">
        <f>-IF(Main[[#This Row],[مقدار (کیلوگرم)]]&lt;0,Main[[#This Row],[مقدار (کیلوگرم)]],0)</f>
        <v>0</v>
      </c>
      <c r="L19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3" s="7">
        <f>-IF(AND(Main[[#This Row],[مقدار (کیلوگرم)]]&lt;0,Main[[#This Row],[تاريخ میلادی]]&gt;44276),Main[[#This Row],[مقدار (کیلوگرم)]],0)</f>
        <v>0</v>
      </c>
      <c r="N1973" s="6">
        <f ca="1">Main[[#This Row],[بدهکار (کیلوگرم)]]-Main[[#This Row],[بدهی تسویه نشده (کیلوگرم)]]</f>
        <v>0</v>
      </c>
      <c r="O1973" s="6">
        <f ca="1">Main[[#This Row],[تفکیک]]</f>
        <v>0</v>
      </c>
      <c r="P1973" s="6">
        <f ca="1">IF(Main[[#This Row],[تاخیر از سررسید]]&gt;0,Main[[#This Row],[بدهی تسویه نشده (کیلوگرم)]],0)</f>
        <v>0</v>
      </c>
      <c r="Q1973" s="6">
        <f ca="1">IF(Main[[#This Row],[بدهی تسویه نشده (کیلوگرم)]]&gt;0,'گزارش فردی'!$B$7-Main[[#This Row],[تاريخ میلادی]],0)</f>
        <v>0</v>
      </c>
      <c r="R1973" s="6">
        <f ca="1">IF(Main[[#This Row],[بدهی تسویه نشده (کیلوگرم)]]&gt;0,'گزارش فردی'!$B$7-Main[[#This Row],[تاريخ میلادی]]-'گزارش فردی'!$B$8,0)</f>
        <v>0</v>
      </c>
      <c r="S1973" s="6">
        <f ca="1">Main[[#This Row],[روز از ارسال سفارش]]*Main[[#This Row],[بدهی تسویه نشده (کیلوگرم)]]</f>
        <v>0</v>
      </c>
      <c r="T1973" s="6">
        <f ca="1">Main[[#This Row],[بدهی سررسید شده (کیلوگرم)]]*Main[[#This Row],[روز از ارسال سفارش]]</f>
        <v>0</v>
      </c>
      <c r="U1973" s="6">
        <f>-SUBTOTAL(9,INDEX(Main[مقدار (کیلوگرم)],1):Main[[#This Row],[مقدار (کیلوگرم)]])</f>
        <v>33267</v>
      </c>
      <c r="V19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3" s="6">
        <f>Main[[#This Row],[تعداد کل روزهای بدهکار (روز)]]*Main[[#This Row],[مانده در خط کل (کیلوگرم)]]</f>
        <v>0</v>
      </c>
      <c r="X1973" s="6">
        <f ca="1">-SUBTOTAL(9,INDEX(Main[مقدار تسویه شده (کیلوگرم)],1):Main[[#This Row],[مقدار تسویه شده (کیلوگرم)]])</f>
        <v>33267</v>
      </c>
      <c r="Y1973" s="6">
        <f ca="1">IF(Main[[#This Row],[مانده در خط تسویه شده (کیلوگرم)]]&lt;&gt;0,Main[[#This Row],[تعداد کل روزهای بدهکار (روز)]],0)</f>
        <v>0</v>
      </c>
      <c r="Z1973" s="6">
        <f ca="1">Main[[#This Row],[تعداد روزهای بدهکار تسویه شده (روز)]]*Main[[#This Row],[مانده در خط تسویه شده (کیلوگرم)]]</f>
        <v>0</v>
      </c>
      <c r="AA1973" s="6">
        <f ca="1">SUBTOTAL(9,INDEX(Main[بدهی تسویه نشده (کیلوگرم)],1):Main[[#This Row],[بدهی تسویه نشده (کیلوگرم)]])</f>
        <v>0</v>
      </c>
      <c r="AB1973" s="6">
        <f ca="1">IF(Main[[#This Row],[مانده در خط تسویه نشده (کیلوگرم)]]&lt;&gt;0,Main[[#This Row],[تعداد کل روزهای بدهکار (روز)]],0)</f>
        <v>0</v>
      </c>
      <c r="AC1973" s="6">
        <f ca="1">Main[[#This Row],[تعداد روزهای بدهکار  تسویه نشده (روز)]]*Main[[#This Row],[مانده در خط تسویه نشده (کیلوگرم)]]</f>
        <v>0</v>
      </c>
      <c r="AD1973" s="6">
        <f ca="1">SUBTOTAL(9,INDEX(Main[بدهی سررسید شده (کیلوگرم)],1):Main[[#This Row],[بدهی سررسید شده (کیلوگرم)]])</f>
        <v>0</v>
      </c>
      <c r="AE1973" s="6">
        <f ca="1">IF(Main[[#This Row],[مانده در خط سررسید شده (کیلوگرم)]]&lt;&gt;0,Main[[#This Row],[تعداد کل روزهای بدهکار (روز)]],0)</f>
        <v>0</v>
      </c>
      <c r="AF1973" s="6">
        <f ca="1">Main[[#This Row],[تعداد روزهای بدهکار سررسید شده (روز)]]*Main[[#This Row],[مانده در خط سررسید شده (کیلوگرم)]]</f>
        <v>0</v>
      </c>
    </row>
    <row r="1974" spans="1:32" hidden="1" x14ac:dyDescent="0.35">
      <c r="A1974" s="5">
        <f>ROW()-ROW(INDEX(Main[ردیف],1))+1</f>
        <v>1972</v>
      </c>
      <c r="B1974" s="31">
        <f>SUBTOTAL(2,INDEX(Main[ردیف],1):Main[[#This Row],[ردیف]])</f>
        <v>174</v>
      </c>
      <c r="C1974" s="32" t="s">
        <v>743</v>
      </c>
      <c r="D1974" s="32" t="str">
        <f>_xlfn.CONCAT("14",Main[[#This Row],[تاريخ]])</f>
        <v>1400/08/08</v>
      </c>
      <c r="E1974" s="33">
        <v>44499</v>
      </c>
      <c r="F1974" s="32">
        <v>30140</v>
      </c>
      <c r="G1974" s="5" t="str">
        <f>INDEX(customer[عنوان],MATCH(Main[[#This Row],[کد ردیابی]],customer[کد],0))</f>
        <v>شرکت سیتکو</v>
      </c>
      <c r="H1974">
        <v>-1990</v>
      </c>
      <c r="I1974" s="6">
        <f ca="1">-Main[[#This Row],[بدهی تسویه شده (کیلوگرم)]]+Main[[#This Row],[بستانکار (کیلوگرم)]]</f>
        <v>-1990</v>
      </c>
      <c r="J1974" s="6">
        <f>IF(Main[[#This Row],[مقدار (کیلوگرم)]]&gt;0,Main[[#This Row],[مقدار (کیلوگرم)]],0)</f>
        <v>0</v>
      </c>
      <c r="K1974" s="6">
        <f>-IF(Main[[#This Row],[مقدار (کیلوگرم)]]&lt;0,Main[[#This Row],[مقدار (کیلوگرم)]],0)</f>
        <v>1990</v>
      </c>
      <c r="L19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4" s="7">
        <f>-IF(AND(Main[[#This Row],[مقدار (کیلوگرم)]]&lt;0,Main[[#This Row],[تاريخ میلادی]]&gt;44276),Main[[#This Row],[مقدار (کیلوگرم)]],0)</f>
        <v>1990</v>
      </c>
      <c r="N1974" s="6">
        <f ca="1">Main[[#This Row],[بدهکار (کیلوگرم)]]-Main[[#This Row],[بدهی تسویه نشده (کیلوگرم)]]</f>
        <v>1990</v>
      </c>
      <c r="O1974" s="6">
        <f ca="1">Main[[#This Row],[تفکیک]]</f>
        <v>0</v>
      </c>
      <c r="P1974" s="6">
        <f ca="1">IF(Main[[#This Row],[تاخیر از سررسید]]&gt;0,Main[[#This Row],[بدهی تسویه نشده (کیلوگرم)]],0)</f>
        <v>0</v>
      </c>
      <c r="Q1974" s="6">
        <f ca="1">IF(Main[[#This Row],[بدهی تسویه نشده (کیلوگرم)]]&gt;0,'گزارش فردی'!$B$7-Main[[#This Row],[تاريخ میلادی]],0)</f>
        <v>0</v>
      </c>
      <c r="R1974" s="6">
        <f ca="1">IF(Main[[#This Row],[بدهی تسویه نشده (کیلوگرم)]]&gt;0,'گزارش فردی'!$B$7-Main[[#This Row],[تاريخ میلادی]]-'گزارش فردی'!$B$8,0)</f>
        <v>0</v>
      </c>
      <c r="S1974" s="6">
        <f ca="1">Main[[#This Row],[روز از ارسال سفارش]]*Main[[#This Row],[بدهی تسویه نشده (کیلوگرم)]]</f>
        <v>0</v>
      </c>
      <c r="T1974" s="6">
        <f ca="1">Main[[#This Row],[بدهی سررسید شده (کیلوگرم)]]*Main[[#This Row],[روز از ارسال سفارش]]</f>
        <v>0</v>
      </c>
      <c r="U1974" s="6">
        <f>-SUBTOTAL(9,INDEX(Main[مقدار (کیلوگرم)],1):Main[[#This Row],[مقدار (کیلوگرم)]])</f>
        <v>33267</v>
      </c>
      <c r="V19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4" s="6">
        <f>Main[[#This Row],[تعداد کل روزهای بدهکار (روز)]]*Main[[#This Row],[مانده در خط کل (کیلوگرم)]]</f>
        <v>0</v>
      </c>
      <c r="X1974" s="6">
        <f ca="1">-SUBTOTAL(9,INDEX(Main[مقدار تسویه شده (کیلوگرم)],1):Main[[#This Row],[مقدار تسویه شده (کیلوگرم)]])</f>
        <v>33267</v>
      </c>
      <c r="Y1974" s="6">
        <f ca="1">IF(Main[[#This Row],[مانده در خط تسویه شده (کیلوگرم)]]&lt;&gt;0,Main[[#This Row],[تعداد کل روزهای بدهکار (روز)]],0)</f>
        <v>0</v>
      </c>
      <c r="Z1974" s="6">
        <f ca="1">Main[[#This Row],[تعداد روزهای بدهکار تسویه شده (روز)]]*Main[[#This Row],[مانده در خط تسویه شده (کیلوگرم)]]</f>
        <v>0</v>
      </c>
      <c r="AA1974" s="6">
        <f ca="1">SUBTOTAL(9,INDEX(Main[بدهی تسویه نشده (کیلوگرم)],1):Main[[#This Row],[بدهی تسویه نشده (کیلوگرم)]])</f>
        <v>0</v>
      </c>
      <c r="AB1974" s="6">
        <f ca="1">IF(Main[[#This Row],[مانده در خط تسویه نشده (کیلوگرم)]]&lt;&gt;0,Main[[#This Row],[تعداد کل روزهای بدهکار (روز)]],0)</f>
        <v>0</v>
      </c>
      <c r="AC1974" s="6">
        <f ca="1">Main[[#This Row],[تعداد روزهای بدهکار  تسویه نشده (روز)]]*Main[[#This Row],[مانده در خط تسویه نشده (کیلوگرم)]]</f>
        <v>0</v>
      </c>
      <c r="AD1974" s="6">
        <f ca="1">SUBTOTAL(9,INDEX(Main[بدهی سررسید شده (کیلوگرم)],1):Main[[#This Row],[بدهی سررسید شده (کیلوگرم)]])</f>
        <v>0</v>
      </c>
      <c r="AE1974" s="6">
        <f ca="1">IF(Main[[#This Row],[مانده در خط سررسید شده (کیلوگرم)]]&lt;&gt;0,Main[[#This Row],[تعداد کل روزهای بدهکار (روز)]],0)</f>
        <v>0</v>
      </c>
      <c r="AF1974" s="6">
        <f ca="1">Main[[#This Row],[تعداد روزهای بدهکار سررسید شده (روز)]]*Main[[#This Row],[مانده در خط سررسید شده (کیلوگرم)]]</f>
        <v>0</v>
      </c>
    </row>
    <row r="1975" spans="1:32" hidden="1" x14ac:dyDescent="0.35">
      <c r="A1975" s="5">
        <f>ROW()-ROW(INDEX(Main[ردیف],1))+1</f>
        <v>1973</v>
      </c>
      <c r="B1975" s="31">
        <f>SUBTOTAL(2,INDEX(Main[ردیف],1):Main[[#This Row],[ردیف]])</f>
        <v>174</v>
      </c>
      <c r="C1975" s="32" t="s">
        <v>743</v>
      </c>
      <c r="D1975" s="32" t="str">
        <f>_xlfn.CONCAT("14",Main[[#This Row],[تاريخ]])</f>
        <v>1400/08/08</v>
      </c>
      <c r="E1975" s="33">
        <v>44499</v>
      </c>
      <c r="F1975" s="32">
        <v>30160</v>
      </c>
      <c r="G1975" s="5" t="str">
        <f>INDEX(customer[عنوان],MATCH(Main[[#This Row],[کد ردیابی]],customer[کد],0))</f>
        <v>کیان صنعت</v>
      </c>
      <c r="H1975">
        <v>26</v>
      </c>
      <c r="I1975" s="6">
        <f ca="1">-Main[[#This Row],[بدهی تسویه شده (کیلوگرم)]]+Main[[#This Row],[بستانکار (کیلوگرم)]]</f>
        <v>26</v>
      </c>
      <c r="J1975" s="6">
        <f>IF(Main[[#This Row],[مقدار (کیلوگرم)]]&gt;0,Main[[#This Row],[مقدار (کیلوگرم)]],0)</f>
        <v>26</v>
      </c>
      <c r="K1975" s="6">
        <f>-IF(Main[[#This Row],[مقدار (کیلوگرم)]]&lt;0,Main[[#This Row],[مقدار (کیلوگرم)]],0)</f>
        <v>0</v>
      </c>
      <c r="L19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5" s="7">
        <f>-IF(AND(Main[[#This Row],[مقدار (کیلوگرم)]]&lt;0,Main[[#This Row],[تاريخ میلادی]]&gt;44276),Main[[#This Row],[مقدار (کیلوگرم)]],0)</f>
        <v>0</v>
      </c>
      <c r="N1975" s="6">
        <f ca="1">Main[[#This Row],[بدهکار (کیلوگرم)]]-Main[[#This Row],[بدهی تسویه نشده (کیلوگرم)]]</f>
        <v>0</v>
      </c>
      <c r="O1975" s="6">
        <f ca="1">Main[[#This Row],[تفکیک]]</f>
        <v>0</v>
      </c>
      <c r="P1975" s="6">
        <f ca="1">IF(Main[[#This Row],[تاخیر از سررسید]]&gt;0,Main[[#This Row],[بدهی تسویه نشده (کیلوگرم)]],0)</f>
        <v>0</v>
      </c>
      <c r="Q1975" s="6">
        <f ca="1">IF(Main[[#This Row],[بدهی تسویه نشده (کیلوگرم)]]&gt;0,'گزارش فردی'!$B$7-Main[[#This Row],[تاريخ میلادی]],0)</f>
        <v>0</v>
      </c>
      <c r="R1975" s="6">
        <f ca="1">IF(Main[[#This Row],[بدهی تسویه نشده (کیلوگرم)]]&gt;0,'گزارش فردی'!$B$7-Main[[#This Row],[تاريخ میلادی]]-'گزارش فردی'!$B$8,0)</f>
        <v>0</v>
      </c>
      <c r="S1975" s="6">
        <f ca="1">Main[[#This Row],[روز از ارسال سفارش]]*Main[[#This Row],[بدهی تسویه نشده (کیلوگرم)]]</f>
        <v>0</v>
      </c>
      <c r="T1975" s="6">
        <f ca="1">Main[[#This Row],[بدهی سررسید شده (کیلوگرم)]]*Main[[#This Row],[روز از ارسال سفارش]]</f>
        <v>0</v>
      </c>
      <c r="U1975" s="6">
        <f>-SUBTOTAL(9,INDEX(Main[مقدار (کیلوگرم)],1):Main[[#This Row],[مقدار (کیلوگرم)]])</f>
        <v>33267</v>
      </c>
      <c r="V19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5" s="6">
        <f>Main[[#This Row],[تعداد کل روزهای بدهکار (روز)]]*Main[[#This Row],[مانده در خط کل (کیلوگرم)]]</f>
        <v>0</v>
      </c>
      <c r="X1975" s="6">
        <f ca="1">-SUBTOTAL(9,INDEX(Main[مقدار تسویه شده (کیلوگرم)],1):Main[[#This Row],[مقدار تسویه شده (کیلوگرم)]])</f>
        <v>33267</v>
      </c>
      <c r="Y1975" s="6">
        <f ca="1">IF(Main[[#This Row],[مانده در خط تسویه شده (کیلوگرم)]]&lt;&gt;0,Main[[#This Row],[تعداد کل روزهای بدهکار (روز)]],0)</f>
        <v>0</v>
      </c>
      <c r="Z1975" s="6">
        <f ca="1">Main[[#This Row],[تعداد روزهای بدهکار تسویه شده (روز)]]*Main[[#This Row],[مانده در خط تسویه شده (کیلوگرم)]]</f>
        <v>0</v>
      </c>
      <c r="AA1975" s="6">
        <f ca="1">SUBTOTAL(9,INDEX(Main[بدهی تسویه نشده (کیلوگرم)],1):Main[[#This Row],[بدهی تسویه نشده (کیلوگرم)]])</f>
        <v>0</v>
      </c>
      <c r="AB1975" s="6">
        <f ca="1">IF(Main[[#This Row],[مانده در خط تسویه نشده (کیلوگرم)]]&lt;&gt;0,Main[[#This Row],[تعداد کل روزهای بدهکار (روز)]],0)</f>
        <v>0</v>
      </c>
      <c r="AC1975" s="6">
        <f ca="1">Main[[#This Row],[تعداد روزهای بدهکار  تسویه نشده (روز)]]*Main[[#This Row],[مانده در خط تسویه نشده (کیلوگرم)]]</f>
        <v>0</v>
      </c>
      <c r="AD1975" s="6">
        <f ca="1">SUBTOTAL(9,INDEX(Main[بدهی سررسید شده (کیلوگرم)],1):Main[[#This Row],[بدهی سررسید شده (کیلوگرم)]])</f>
        <v>0</v>
      </c>
      <c r="AE1975" s="6">
        <f ca="1">IF(Main[[#This Row],[مانده در خط سررسید شده (کیلوگرم)]]&lt;&gt;0,Main[[#This Row],[تعداد کل روزهای بدهکار (روز)]],0)</f>
        <v>0</v>
      </c>
      <c r="AF1975" s="6">
        <f ca="1">Main[[#This Row],[تعداد روزهای بدهکار سررسید شده (روز)]]*Main[[#This Row],[مانده در خط سررسید شده (کیلوگرم)]]</f>
        <v>0</v>
      </c>
    </row>
    <row r="1976" spans="1:32" hidden="1" x14ac:dyDescent="0.35">
      <c r="A1976" s="5">
        <f>ROW()-ROW(INDEX(Main[ردیف],1))+1</f>
        <v>1974</v>
      </c>
      <c r="B1976" s="31">
        <f>SUBTOTAL(2,INDEX(Main[ردیف],1):Main[[#This Row],[ردیف]])</f>
        <v>174</v>
      </c>
      <c r="C1976" s="32" t="s">
        <v>743</v>
      </c>
      <c r="D1976" s="32" t="str">
        <f>_xlfn.CONCAT("14",Main[[#This Row],[تاريخ]])</f>
        <v>1400/08/08</v>
      </c>
      <c r="E1976" s="33">
        <v>44499</v>
      </c>
      <c r="F1976" s="32">
        <v>10119</v>
      </c>
      <c r="G1976" s="5" t="str">
        <f>INDEX(customer[عنوان],MATCH(Main[[#This Row],[کد ردیابی]],customer[کد],0))</f>
        <v>سیف الله اکبری</v>
      </c>
      <c r="H1976">
        <v>-303</v>
      </c>
      <c r="I1976" s="6">
        <f ca="1">-Main[[#This Row],[بدهی تسویه شده (کیلوگرم)]]+Main[[#This Row],[بستانکار (کیلوگرم)]]</f>
        <v>-303</v>
      </c>
      <c r="J1976" s="6">
        <f>IF(Main[[#This Row],[مقدار (کیلوگرم)]]&gt;0,Main[[#This Row],[مقدار (کیلوگرم)]],0)</f>
        <v>0</v>
      </c>
      <c r="K1976" s="6">
        <f>-IF(Main[[#This Row],[مقدار (کیلوگرم)]]&lt;0,Main[[#This Row],[مقدار (کیلوگرم)]],0)</f>
        <v>303</v>
      </c>
      <c r="L19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6" s="7">
        <f>-IF(AND(Main[[#This Row],[مقدار (کیلوگرم)]]&lt;0,Main[[#This Row],[تاريخ میلادی]]&gt;44276),Main[[#This Row],[مقدار (کیلوگرم)]],0)</f>
        <v>303</v>
      </c>
      <c r="N1976" s="6">
        <f ca="1">Main[[#This Row],[بدهکار (کیلوگرم)]]-Main[[#This Row],[بدهی تسویه نشده (کیلوگرم)]]</f>
        <v>303</v>
      </c>
      <c r="O1976" s="6">
        <f ca="1">Main[[#This Row],[تفکیک]]</f>
        <v>0</v>
      </c>
      <c r="P1976" s="6">
        <f ca="1">IF(Main[[#This Row],[تاخیر از سررسید]]&gt;0,Main[[#This Row],[بدهی تسویه نشده (کیلوگرم)]],0)</f>
        <v>0</v>
      </c>
      <c r="Q1976" s="6">
        <f ca="1">IF(Main[[#This Row],[بدهی تسویه نشده (کیلوگرم)]]&gt;0,'گزارش فردی'!$B$7-Main[[#This Row],[تاريخ میلادی]],0)</f>
        <v>0</v>
      </c>
      <c r="R1976" s="6">
        <f ca="1">IF(Main[[#This Row],[بدهی تسویه نشده (کیلوگرم)]]&gt;0,'گزارش فردی'!$B$7-Main[[#This Row],[تاريخ میلادی]]-'گزارش فردی'!$B$8,0)</f>
        <v>0</v>
      </c>
      <c r="S1976" s="6">
        <f ca="1">Main[[#This Row],[روز از ارسال سفارش]]*Main[[#This Row],[بدهی تسویه نشده (کیلوگرم)]]</f>
        <v>0</v>
      </c>
      <c r="T1976" s="6">
        <f ca="1">Main[[#This Row],[بدهی سررسید شده (کیلوگرم)]]*Main[[#This Row],[روز از ارسال سفارش]]</f>
        <v>0</v>
      </c>
      <c r="U1976" s="6">
        <f>-SUBTOTAL(9,INDEX(Main[مقدار (کیلوگرم)],1):Main[[#This Row],[مقدار (کیلوگرم)]])</f>
        <v>33267</v>
      </c>
      <c r="V19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6" s="6">
        <f>Main[[#This Row],[تعداد کل روزهای بدهکار (روز)]]*Main[[#This Row],[مانده در خط کل (کیلوگرم)]]</f>
        <v>0</v>
      </c>
      <c r="X1976" s="6">
        <f ca="1">-SUBTOTAL(9,INDEX(Main[مقدار تسویه شده (کیلوگرم)],1):Main[[#This Row],[مقدار تسویه شده (کیلوگرم)]])</f>
        <v>33267</v>
      </c>
      <c r="Y1976" s="6">
        <f ca="1">IF(Main[[#This Row],[مانده در خط تسویه شده (کیلوگرم)]]&lt;&gt;0,Main[[#This Row],[تعداد کل روزهای بدهکار (روز)]],0)</f>
        <v>0</v>
      </c>
      <c r="Z1976" s="6">
        <f ca="1">Main[[#This Row],[تعداد روزهای بدهکار تسویه شده (روز)]]*Main[[#This Row],[مانده در خط تسویه شده (کیلوگرم)]]</f>
        <v>0</v>
      </c>
      <c r="AA1976" s="6">
        <f ca="1">SUBTOTAL(9,INDEX(Main[بدهی تسویه نشده (کیلوگرم)],1):Main[[#This Row],[بدهی تسویه نشده (کیلوگرم)]])</f>
        <v>0</v>
      </c>
      <c r="AB1976" s="6">
        <f ca="1">IF(Main[[#This Row],[مانده در خط تسویه نشده (کیلوگرم)]]&lt;&gt;0,Main[[#This Row],[تعداد کل روزهای بدهکار (روز)]],0)</f>
        <v>0</v>
      </c>
      <c r="AC1976" s="6">
        <f ca="1">Main[[#This Row],[تعداد روزهای بدهکار  تسویه نشده (روز)]]*Main[[#This Row],[مانده در خط تسویه نشده (کیلوگرم)]]</f>
        <v>0</v>
      </c>
      <c r="AD1976" s="6">
        <f ca="1">SUBTOTAL(9,INDEX(Main[بدهی سررسید شده (کیلوگرم)],1):Main[[#This Row],[بدهی سررسید شده (کیلوگرم)]])</f>
        <v>0</v>
      </c>
      <c r="AE1976" s="6">
        <f ca="1">IF(Main[[#This Row],[مانده در خط سررسید شده (کیلوگرم)]]&lt;&gt;0,Main[[#This Row],[تعداد کل روزهای بدهکار (روز)]],0)</f>
        <v>0</v>
      </c>
      <c r="AF1976" s="6">
        <f ca="1">Main[[#This Row],[تعداد روزهای بدهکار سررسید شده (روز)]]*Main[[#This Row],[مانده در خط سررسید شده (کیلوگرم)]]</f>
        <v>0</v>
      </c>
    </row>
    <row r="1977" spans="1:32" hidden="1" x14ac:dyDescent="0.35">
      <c r="A1977" s="5">
        <f>ROW()-ROW(INDEX(Main[ردیف],1))+1</f>
        <v>1975</v>
      </c>
      <c r="B1977" s="31">
        <f>SUBTOTAL(2,INDEX(Main[ردیف],1):Main[[#This Row],[ردیف]])</f>
        <v>174</v>
      </c>
      <c r="C1977" s="32" t="s">
        <v>743</v>
      </c>
      <c r="D1977" s="32" t="str">
        <f>_xlfn.CONCAT("14",Main[[#This Row],[تاريخ]])</f>
        <v>1400/08/08</v>
      </c>
      <c r="E1977" s="33">
        <v>44499</v>
      </c>
      <c r="F1977" s="32">
        <v>30055</v>
      </c>
      <c r="G1977" s="5" t="str">
        <f>INDEX(customer[عنوان],MATCH(Main[[#This Row],[کد ردیابی]],customer[کد],0))</f>
        <v xml:space="preserve">تکنو کار </v>
      </c>
      <c r="H1977">
        <v>12</v>
      </c>
      <c r="I1977" s="6">
        <f ca="1">-Main[[#This Row],[بدهی تسویه شده (کیلوگرم)]]+Main[[#This Row],[بستانکار (کیلوگرم)]]</f>
        <v>12</v>
      </c>
      <c r="J1977" s="6">
        <f>IF(Main[[#This Row],[مقدار (کیلوگرم)]]&gt;0,Main[[#This Row],[مقدار (کیلوگرم)]],0)</f>
        <v>12</v>
      </c>
      <c r="K1977" s="6">
        <f>-IF(Main[[#This Row],[مقدار (کیلوگرم)]]&lt;0,Main[[#This Row],[مقدار (کیلوگرم)]],0)</f>
        <v>0</v>
      </c>
      <c r="L19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7" s="7">
        <f>-IF(AND(Main[[#This Row],[مقدار (کیلوگرم)]]&lt;0,Main[[#This Row],[تاريخ میلادی]]&gt;44276),Main[[#This Row],[مقدار (کیلوگرم)]],0)</f>
        <v>0</v>
      </c>
      <c r="N1977" s="6">
        <f ca="1">Main[[#This Row],[بدهکار (کیلوگرم)]]-Main[[#This Row],[بدهی تسویه نشده (کیلوگرم)]]</f>
        <v>0</v>
      </c>
      <c r="O1977" s="6">
        <f ca="1">Main[[#This Row],[تفکیک]]</f>
        <v>0</v>
      </c>
      <c r="P1977" s="6">
        <f ca="1">IF(Main[[#This Row],[تاخیر از سررسید]]&gt;0,Main[[#This Row],[بدهی تسویه نشده (کیلوگرم)]],0)</f>
        <v>0</v>
      </c>
      <c r="Q1977" s="6">
        <f ca="1">IF(Main[[#This Row],[بدهی تسویه نشده (کیلوگرم)]]&gt;0,'گزارش فردی'!$B$7-Main[[#This Row],[تاريخ میلادی]],0)</f>
        <v>0</v>
      </c>
      <c r="R1977" s="6">
        <f ca="1">IF(Main[[#This Row],[بدهی تسویه نشده (کیلوگرم)]]&gt;0,'گزارش فردی'!$B$7-Main[[#This Row],[تاريخ میلادی]]-'گزارش فردی'!$B$8,0)</f>
        <v>0</v>
      </c>
      <c r="S1977" s="6">
        <f ca="1">Main[[#This Row],[روز از ارسال سفارش]]*Main[[#This Row],[بدهی تسویه نشده (کیلوگرم)]]</f>
        <v>0</v>
      </c>
      <c r="T1977" s="6">
        <f ca="1">Main[[#This Row],[بدهی سررسید شده (کیلوگرم)]]*Main[[#This Row],[روز از ارسال سفارش]]</f>
        <v>0</v>
      </c>
      <c r="U1977" s="6">
        <f>-SUBTOTAL(9,INDEX(Main[مقدار (کیلوگرم)],1):Main[[#This Row],[مقدار (کیلوگرم)]])</f>
        <v>33267</v>
      </c>
      <c r="V19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7" s="6">
        <f>Main[[#This Row],[تعداد کل روزهای بدهکار (روز)]]*Main[[#This Row],[مانده در خط کل (کیلوگرم)]]</f>
        <v>0</v>
      </c>
      <c r="X1977" s="6">
        <f ca="1">-SUBTOTAL(9,INDEX(Main[مقدار تسویه شده (کیلوگرم)],1):Main[[#This Row],[مقدار تسویه شده (کیلوگرم)]])</f>
        <v>33267</v>
      </c>
      <c r="Y1977" s="6">
        <f ca="1">IF(Main[[#This Row],[مانده در خط تسویه شده (کیلوگرم)]]&lt;&gt;0,Main[[#This Row],[تعداد کل روزهای بدهکار (روز)]],0)</f>
        <v>0</v>
      </c>
      <c r="Z1977" s="6">
        <f ca="1">Main[[#This Row],[تعداد روزهای بدهکار تسویه شده (روز)]]*Main[[#This Row],[مانده در خط تسویه شده (کیلوگرم)]]</f>
        <v>0</v>
      </c>
      <c r="AA1977" s="6">
        <f ca="1">SUBTOTAL(9,INDEX(Main[بدهی تسویه نشده (کیلوگرم)],1):Main[[#This Row],[بدهی تسویه نشده (کیلوگرم)]])</f>
        <v>0</v>
      </c>
      <c r="AB1977" s="6">
        <f ca="1">IF(Main[[#This Row],[مانده در خط تسویه نشده (کیلوگرم)]]&lt;&gt;0,Main[[#This Row],[تعداد کل روزهای بدهکار (روز)]],0)</f>
        <v>0</v>
      </c>
      <c r="AC1977" s="6">
        <f ca="1">Main[[#This Row],[تعداد روزهای بدهکار  تسویه نشده (روز)]]*Main[[#This Row],[مانده در خط تسویه نشده (کیلوگرم)]]</f>
        <v>0</v>
      </c>
      <c r="AD1977" s="6">
        <f ca="1">SUBTOTAL(9,INDEX(Main[بدهی سررسید شده (کیلوگرم)],1):Main[[#This Row],[بدهی سررسید شده (کیلوگرم)]])</f>
        <v>0</v>
      </c>
      <c r="AE1977" s="6">
        <f ca="1">IF(Main[[#This Row],[مانده در خط سررسید شده (کیلوگرم)]]&lt;&gt;0,Main[[#This Row],[تعداد کل روزهای بدهکار (روز)]],0)</f>
        <v>0</v>
      </c>
      <c r="AF1977" s="6">
        <f ca="1">Main[[#This Row],[تعداد روزهای بدهکار سررسید شده (روز)]]*Main[[#This Row],[مانده در خط سررسید شده (کیلوگرم)]]</f>
        <v>0</v>
      </c>
    </row>
    <row r="1978" spans="1:32" hidden="1" x14ac:dyDescent="0.35">
      <c r="A1978" s="5">
        <f>ROW()-ROW(INDEX(Main[ردیف],1))+1</f>
        <v>1976</v>
      </c>
      <c r="B1978" s="31">
        <f>SUBTOTAL(2,INDEX(Main[ردیف],1):Main[[#This Row],[ردیف]])</f>
        <v>174</v>
      </c>
      <c r="C1978" s="32" t="s">
        <v>743</v>
      </c>
      <c r="D1978" s="32" t="str">
        <f>_xlfn.CONCAT("14",Main[[#This Row],[تاريخ]])</f>
        <v>1400/08/08</v>
      </c>
      <c r="E1978" s="33">
        <v>44499</v>
      </c>
      <c r="F1978" s="32">
        <v>10020</v>
      </c>
      <c r="G1978" s="5" t="str">
        <f>INDEX(customer[عنوان],MATCH(Main[[#This Row],[کد ردیابی]],customer[کد],0))</f>
        <v>فرزاد اسماعیل زاده</v>
      </c>
      <c r="H1978">
        <v>-262</v>
      </c>
      <c r="I1978" s="6">
        <f ca="1">-Main[[#This Row],[بدهی تسویه شده (کیلوگرم)]]+Main[[#This Row],[بستانکار (کیلوگرم)]]</f>
        <v>-262</v>
      </c>
      <c r="J1978" s="6">
        <f>IF(Main[[#This Row],[مقدار (کیلوگرم)]]&gt;0,Main[[#This Row],[مقدار (کیلوگرم)]],0)</f>
        <v>0</v>
      </c>
      <c r="K1978" s="6">
        <f>-IF(Main[[#This Row],[مقدار (کیلوگرم)]]&lt;0,Main[[#This Row],[مقدار (کیلوگرم)]],0)</f>
        <v>262</v>
      </c>
      <c r="L19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8" s="7">
        <f>-IF(AND(Main[[#This Row],[مقدار (کیلوگرم)]]&lt;0,Main[[#This Row],[تاريخ میلادی]]&gt;44276),Main[[#This Row],[مقدار (کیلوگرم)]],0)</f>
        <v>262</v>
      </c>
      <c r="N1978" s="6">
        <f ca="1">Main[[#This Row],[بدهکار (کیلوگرم)]]-Main[[#This Row],[بدهی تسویه نشده (کیلوگرم)]]</f>
        <v>262</v>
      </c>
      <c r="O1978" s="6">
        <f ca="1">Main[[#This Row],[تفکیک]]</f>
        <v>0</v>
      </c>
      <c r="P1978" s="6">
        <f ca="1">IF(Main[[#This Row],[تاخیر از سررسید]]&gt;0,Main[[#This Row],[بدهی تسویه نشده (کیلوگرم)]],0)</f>
        <v>0</v>
      </c>
      <c r="Q1978" s="6">
        <f ca="1">IF(Main[[#This Row],[بدهی تسویه نشده (کیلوگرم)]]&gt;0,'گزارش فردی'!$B$7-Main[[#This Row],[تاريخ میلادی]],0)</f>
        <v>0</v>
      </c>
      <c r="R1978" s="6">
        <f ca="1">IF(Main[[#This Row],[بدهی تسویه نشده (کیلوگرم)]]&gt;0,'گزارش فردی'!$B$7-Main[[#This Row],[تاريخ میلادی]]-'گزارش فردی'!$B$8,0)</f>
        <v>0</v>
      </c>
      <c r="S1978" s="6">
        <f ca="1">Main[[#This Row],[روز از ارسال سفارش]]*Main[[#This Row],[بدهی تسویه نشده (کیلوگرم)]]</f>
        <v>0</v>
      </c>
      <c r="T1978" s="6">
        <f ca="1">Main[[#This Row],[بدهی سررسید شده (کیلوگرم)]]*Main[[#This Row],[روز از ارسال سفارش]]</f>
        <v>0</v>
      </c>
      <c r="U1978" s="6">
        <f>-SUBTOTAL(9,INDEX(Main[مقدار (کیلوگرم)],1):Main[[#This Row],[مقدار (کیلوگرم)]])</f>
        <v>33267</v>
      </c>
      <c r="V19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8" s="6">
        <f>Main[[#This Row],[تعداد کل روزهای بدهکار (روز)]]*Main[[#This Row],[مانده در خط کل (کیلوگرم)]]</f>
        <v>0</v>
      </c>
      <c r="X1978" s="6">
        <f ca="1">-SUBTOTAL(9,INDEX(Main[مقدار تسویه شده (کیلوگرم)],1):Main[[#This Row],[مقدار تسویه شده (کیلوگرم)]])</f>
        <v>33267</v>
      </c>
      <c r="Y1978" s="6">
        <f ca="1">IF(Main[[#This Row],[مانده در خط تسویه شده (کیلوگرم)]]&lt;&gt;0,Main[[#This Row],[تعداد کل روزهای بدهکار (روز)]],0)</f>
        <v>0</v>
      </c>
      <c r="Z1978" s="6">
        <f ca="1">Main[[#This Row],[تعداد روزهای بدهکار تسویه شده (روز)]]*Main[[#This Row],[مانده در خط تسویه شده (کیلوگرم)]]</f>
        <v>0</v>
      </c>
      <c r="AA1978" s="6">
        <f ca="1">SUBTOTAL(9,INDEX(Main[بدهی تسویه نشده (کیلوگرم)],1):Main[[#This Row],[بدهی تسویه نشده (کیلوگرم)]])</f>
        <v>0</v>
      </c>
      <c r="AB1978" s="6">
        <f ca="1">IF(Main[[#This Row],[مانده در خط تسویه نشده (کیلوگرم)]]&lt;&gt;0,Main[[#This Row],[تعداد کل روزهای بدهکار (روز)]],0)</f>
        <v>0</v>
      </c>
      <c r="AC1978" s="6">
        <f ca="1">Main[[#This Row],[تعداد روزهای بدهکار  تسویه نشده (روز)]]*Main[[#This Row],[مانده در خط تسویه نشده (کیلوگرم)]]</f>
        <v>0</v>
      </c>
      <c r="AD1978" s="6">
        <f ca="1">SUBTOTAL(9,INDEX(Main[بدهی سررسید شده (کیلوگرم)],1):Main[[#This Row],[بدهی سررسید شده (کیلوگرم)]])</f>
        <v>0</v>
      </c>
      <c r="AE1978" s="6">
        <f ca="1">IF(Main[[#This Row],[مانده در خط سررسید شده (کیلوگرم)]]&lt;&gt;0,Main[[#This Row],[تعداد کل روزهای بدهکار (روز)]],0)</f>
        <v>0</v>
      </c>
      <c r="AF1978" s="6">
        <f ca="1">Main[[#This Row],[تعداد روزهای بدهکار سررسید شده (روز)]]*Main[[#This Row],[مانده در خط سررسید شده (کیلوگرم)]]</f>
        <v>0</v>
      </c>
    </row>
    <row r="1979" spans="1:32" hidden="1" x14ac:dyDescent="0.35">
      <c r="A1979" s="5">
        <f>ROW()-ROW(INDEX(Main[ردیف],1))+1</f>
        <v>1977</v>
      </c>
      <c r="B1979" s="31">
        <f>SUBTOTAL(2,INDEX(Main[ردیف],1):Main[[#This Row],[ردیف]])</f>
        <v>174</v>
      </c>
      <c r="C1979" s="32" t="s">
        <v>743</v>
      </c>
      <c r="D1979" s="32" t="str">
        <f>_xlfn.CONCAT("14",Main[[#This Row],[تاريخ]])</f>
        <v>1400/08/08</v>
      </c>
      <c r="E1979" s="33">
        <v>44499</v>
      </c>
      <c r="F1979" s="32">
        <v>10119</v>
      </c>
      <c r="G1979" s="5" t="str">
        <f>INDEX(customer[عنوان],MATCH(Main[[#This Row],[کد ردیابی]],customer[کد],0))</f>
        <v>سیف الله اکبری</v>
      </c>
      <c r="H1979">
        <v>288</v>
      </c>
      <c r="I1979" s="6">
        <f ca="1">-Main[[#This Row],[بدهی تسویه شده (کیلوگرم)]]+Main[[#This Row],[بستانکار (کیلوگرم)]]</f>
        <v>288</v>
      </c>
      <c r="J1979" s="6">
        <f>IF(Main[[#This Row],[مقدار (کیلوگرم)]]&gt;0,Main[[#This Row],[مقدار (کیلوگرم)]],0)</f>
        <v>288</v>
      </c>
      <c r="K1979" s="6">
        <f>-IF(Main[[#This Row],[مقدار (کیلوگرم)]]&lt;0,Main[[#This Row],[مقدار (کیلوگرم)]],0)</f>
        <v>0</v>
      </c>
      <c r="L19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9" s="7">
        <f>-IF(AND(Main[[#This Row],[مقدار (کیلوگرم)]]&lt;0,Main[[#This Row],[تاريخ میلادی]]&gt;44276),Main[[#This Row],[مقدار (کیلوگرم)]],0)</f>
        <v>0</v>
      </c>
      <c r="N1979" s="6">
        <f ca="1">Main[[#This Row],[بدهکار (کیلوگرم)]]-Main[[#This Row],[بدهی تسویه نشده (کیلوگرم)]]</f>
        <v>0</v>
      </c>
      <c r="O1979" s="6">
        <f ca="1">Main[[#This Row],[تفکیک]]</f>
        <v>0</v>
      </c>
      <c r="P1979" s="6">
        <f ca="1">IF(Main[[#This Row],[تاخیر از سررسید]]&gt;0,Main[[#This Row],[بدهی تسویه نشده (کیلوگرم)]],0)</f>
        <v>0</v>
      </c>
      <c r="Q1979" s="6">
        <f ca="1">IF(Main[[#This Row],[بدهی تسویه نشده (کیلوگرم)]]&gt;0,'گزارش فردی'!$B$7-Main[[#This Row],[تاريخ میلادی]],0)</f>
        <v>0</v>
      </c>
      <c r="R1979" s="6">
        <f ca="1">IF(Main[[#This Row],[بدهی تسویه نشده (کیلوگرم)]]&gt;0,'گزارش فردی'!$B$7-Main[[#This Row],[تاريخ میلادی]]-'گزارش فردی'!$B$8,0)</f>
        <v>0</v>
      </c>
      <c r="S1979" s="6">
        <f ca="1">Main[[#This Row],[روز از ارسال سفارش]]*Main[[#This Row],[بدهی تسویه نشده (کیلوگرم)]]</f>
        <v>0</v>
      </c>
      <c r="T1979" s="6">
        <f ca="1">Main[[#This Row],[بدهی سررسید شده (کیلوگرم)]]*Main[[#This Row],[روز از ارسال سفارش]]</f>
        <v>0</v>
      </c>
      <c r="U1979" s="6">
        <f>-SUBTOTAL(9,INDEX(Main[مقدار (کیلوگرم)],1):Main[[#This Row],[مقدار (کیلوگرم)]])</f>
        <v>33267</v>
      </c>
      <c r="V19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9" s="6">
        <f>Main[[#This Row],[تعداد کل روزهای بدهکار (روز)]]*Main[[#This Row],[مانده در خط کل (کیلوگرم)]]</f>
        <v>0</v>
      </c>
      <c r="X1979" s="6">
        <f ca="1">-SUBTOTAL(9,INDEX(Main[مقدار تسویه شده (کیلوگرم)],1):Main[[#This Row],[مقدار تسویه شده (کیلوگرم)]])</f>
        <v>33267</v>
      </c>
      <c r="Y1979" s="6">
        <f ca="1">IF(Main[[#This Row],[مانده در خط تسویه شده (کیلوگرم)]]&lt;&gt;0,Main[[#This Row],[تعداد کل روزهای بدهکار (روز)]],0)</f>
        <v>0</v>
      </c>
      <c r="Z1979" s="6">
        <f ca="1">Main[[#This Row],[تعداد روزهای بدهکار تسویه شده (روز)]]*Main[[#This Row],[مانده در خط تسویه شده (کیلوگرم)]]</f>
        <v>0</v>
      </c>
      <c r="AA1979" s="6">
        <f ca="1">SUBTOTAL(9,INDEX(Main[بدهی تسویه نشده (کیلوگرم)],1):Main[[#This Row],[بدهی تسویه نشده (کیلوگرم)]])</f>
        <v>0</v>
      </c>
      <c r="AB1979" s="6">
        <f ca="1">IF(Main[[#This Row],[مانده در خط تسویه نشده (کیلوگرم)]]&lt;&gt;0,Main[[#This Row],[تعداد کل روزهای بدهکار (روز)]],0)</f>
        <v>0</v>
      </c>
      <c r="AC1979" s="6">
        <f ca="1">Main[[#This Row],[تعداد روزهای بدهکار  تسویه نشده (روز)]]*Main[[#This Row],[مانده در خط تسویه نشده (کیلوگرم)]]</f>
        <v>0</v>
      </c>
      <c r="AD1979" s="6">
        <f ca="1">SUBTOTAL(9,INDEX(Main[بدهی سررسید شده (کیلوگرم)],1):Main[[#This Row],[بدهی سررسید شده (کیلوگرم)]])</f>
        <v>0</v>
      </c>
      <c r="AE1979" s="6">
        <f ca="1">IF(Main[[#This Row],[مانده در خط سررسید شده (کیلوگرم)]]&lt;&gt;0,Main[[#This Row],[تعداد کل روزهای بدهکار (روز)]],0)</f>
        <v>0</v>
      </c>
      <c r="AF1979" s="6">
        <f ca="1">Main[[#This Row],[تعداد روزهای بدهکار سررسید شده (روز)]]*Main[[#This Row],[مانده در خط سررسید شده (کیلوگرم)]]</f>
        <v>0</v>
      </c>
    </row>
    <row r="1980" spans="1:32" x14ac:dyDescent="0.35">
      <c r="A1980" s="5">
        <f>ROW()-ROW(INDEX(Main[ردیف],1))+1</f>
        <v>1978</v>
      </c>
      <c r="B1980" s="31">
        <f>SUBTOTAL(2,INDEX(Main[ردیف],1):Main[[#This Row],[ردیف]])</f>
        <v>175</v>
      </c>
      <c r="C1980" s="32" t="s">
        <v>743</v>
      </c>
      <c r="D1980" s="32" t="str">
        <f>_xlfn.CONCAT("14",Main[[#This Row],[تاريخ]])</f>
        <v>1400/08/08</v>
      </c>
      <c r="E1980" s="33">
        <v>44499</v>
      </c>
      <c r="F1980" s="32">
        <v>10003</v>
      </c>
      <c r="G1980" s="5" t="str">
        <f>INDEX(customer[عنوان],MATCH(Main[[#This Row],[کد ردیابی]],customer[کد],0))</f>
        <v>اصغر نورعلی</v>
      </c>
      <c r="H1980">
        <v>-2142</v>
      </c>
      <c r="I1980" s="6">
        <f ca="1">-Main[[#This Row],[بدهی تسویه شده (کیلوگرم)]]+Main[[#This Row],[بستانکار (کیلوگرم)]]</f>
        <v>-2142</v>
      </c>
      <c r="J1980" s="6">
        <f>IF(Main[[#This Row],[مقدار (کیلوگرم)]]&gt;0,Main[[#This Row],[مقدار (کیلوگرم)]],0)</f>
        <v>0</v>
      </c>
      <c r="K1980" s="6">
        <f>-IF(Main[[#This Row],[مقدار (کیلوگرم)]]&lt;0,Main[[#This Row],[مقدار (کیلوگرم)]],0)</f>
        <v>2142</v>
      </c>
      <c r="L19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0" s="7">
        <f>-IF(AND(Main[[#This Row],[مقدار (کیلوگرم)]]&lt;0,Main[[#This Row],[تاريخ میلادی]]&gt;44276),Main[[#This Row],[مقدار (کیلوگرم)]],0)</f>
        <v>2142</v>
      </c>
      <c r="N1980" s="6">
        <f ca="1">Main[[#This Row],[بدهکار (کیلوگرم)]]-Main[[#This Row],[بدهی تسویه نشده (کیلوگرم)]]</f>
        <v>2142</v>
      </c>
      <c r="O1980" s="6">
        <f ca="1">Main[[#This Row],[تفکیک]]</f>
        <v>0</v>
      </c>
      <c r="P1980" s="6">
        <f ca="1">IF(Main[[#This Row],[تاخیر از سررسید]]&gt;0,Main[[#This Row],[بدهی تسویه نشده (کیلوگرم)]],0)</f>
        <v>0</v>
      </c>
      <c r="Q1980" s="6">
        <f ca="1">IF(Main[[#This Row],[بدهی تسویه نشده (کیلوگرم)]]&gt;0,'گزارش فردی'!$B$7-Main[[#This Row],[تاريخ میلادی]],0)</f>
        <v>0</v>
      </c>
      <c r="R1980" s="6">
        <f ca="1">IF(Main[[#This Row],[بدهی تسویه نشده (کیلوگرم)]]&gt;0,'گزارش فردی'!$B$7-Main[[#This Row],[تاريخ میلادی]]-'گزارش فردی'!$B$8,0)</f>
        <v>0</v>
      </c>
      <c r="S1980" s="6">
        <f ca="1">Main[[#This Row],[روز از ارسال سفارش]]*Main[[#This Row],[بدهی تسویه نشده (کیلوگرم)]]</f>
        <v>0</v>
      </c>
      <c r="T1980" s="6">
        <f ca="1">Main[[#This Row],[بدهی سررسید شده (کیلوگرم)]]*Main[[#This Row],[روز از ارسال سفارش]]</f>
        <v>0</v>
      </c>
      <c r="U1980" s="6">
        <f>-SUBTOTAL(9,INDEX(Main[مقدار (کیلوگرم)],1):Main[[#This Row],[مقدار (کیلوگرم)]])</f>
        <v>35409</v>
      </c>
      <c r="V19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0" s="6">
        <f>Main[[#This Row],[تعداد کل روزهای بدهکار (روز)]]*Main[[#This Row],[مانده در خط کل (کیلوگرم)]]</f>
        <v>35409</v>
      </c>
      <c r="X1980" s="6">
        <f ca="1">-SUBTOTAL(9,INDEX(Main[مقدار تسویه شده (کیلوگرم)],1):Main[[#This Row],[مقدار تسویه شده (کیلوگرم)]])</f>
        <v>35409</v>
      </c>
      <c r="Y1980" s="6">
        <f ca="1">IF(Main[[#This Row],[مانده در خط تسویه شده (کیلوگرم)]]&lt;&gt;0,Main[[#This Row],[تعداد کل روزهای بدهکار (روز)]],0)</f>
        <v>1</v>
      </c>
      <c r="Z1980" s="6">
        <f ca="1">Main[[#This Row],[تعداد روزهای بدهکار تسویه شده (روز)]]*Main[[#This Row],[مانده در خط تسویه شده (کیلوگرم)]]</f>
        <v>35409</v>
      </c>
      <c r="AA1980" s="6">
        <f ca="1">SUBTOTAL(9,INDEX(Main[بدهی تسویه نشده (کیلوگرم)],1):Main[[#This Row],[بدهی تسویه نشده (کیلوگرم)]])</f>
        <v>0</v>
      </c>
      <c r="AB1980" s="6">
        <f ca="1">IF(Main[[#This Row],[مانده در خط تسویه نشده (کیلوگرم)]]&lt;&gt;0,Main[[#This Row],[تعداد کل روزهای بدهکار (روز)]],0)</f>
        <v>0</v>
      </c>
      <c r="AC1980" s="6">
        <f ca="1">Main[[#This Row],[تعداد روزهای بدهکار  تسویه نشده (روز)]]*Main[[#This Row],[مانده در خط تسویه نشده (کیلوگرم)]]</f>
        <v>0</v>
      </c>
      <c r="AD1980" s="6">
        <f ca="1">SUBTOTAL(9,INDEX(Main[بدهی سررسید شده (کیلوگرم)],1):Main[[#This Row],[بدهی سررسید شده (کیلوگرم)]])</f>
        <v>0</v>
      </c>
      <c r="AE1980" s="6">
        <f ca="1">IF(Main[[#This Row],[مانده در خط سررسید شده (کیلوگرم)]]&lt;&gt;0,Main[[#This Row],[تعداد کل روزهای بدهکار (روز)]],0)</f>
        <v>0</v>
      </c>
      <c r="AF1980" s="6">
        <f ca="1">Main[[#This Row],[تعداد روزهای بدهکار سررسید شده (روز)]]*Main[[#This Row],[مانده در خط سررسید شده (کیلوگرم)]]</f>
        <v>0</v>
      </c>
    </row>
    <row r="1981" spans="1:32" hidden="1" x14ac:dyDescent="0.35">
      <c r="A1981" s="5">
        <f>ROW()-ROW(INDEX(Main[ردیف],1))+1</f>
        <v>1979</v>
      </c>
      <c r="B1981" s="31">
        <f>SUBTOTAL(2,INDEX(Main[ردیف],1):Main[[#This Row],[ردیف]])</f>
        <v>175</v>
      </c>
      <c r="C1981" s="32" t="s">
        <v>743</v>
      </c>
      <c r="D1981" s="32" t="str">
        <f>_xlfn.CONCAT("14",Main[[#This Row],[تاريخ]])</f>
        <v>1400/08/08</v>
      </c>
      <c r="E1981" s="33">
        <v>44499</v>
      </c>
      <c r="F1981" s="32">
        <v>30160</v>
      </c>
      <c r="G1981" s="5" t="str">
        <f>INDEX(customer[عنوان],MATCH(Main[[#This Row],[کد ردیابی]],customer[کد],0))</f>
        <v>کیان صنعت</v>
      </c>
      <c r="H1981">
        <v>112</v>
      </c>
      <c r="I1981" s="6">
        <f ca="1">-Main[[#This Row],[بدهی تسویه شده (کیلوگرم)]]+Main[[#This Row],[بستانکار (کیلوگرم)]]</f>
        <v>112</v>
      </c>
      <c r="J1981" s="6">
        <f>IF(Main[[#This Row],[مقدار (کیلوگرم)]]&gt;0,Main[[#This Row],[مقدار (کیلوگرم)]],0)</f>
        <v>112</v>
      </c>
      <c r="K1981" s="6">
        <f>-IF(Main[[#This Row],[مقدار (کیلوگرم)]]&lt;0,Main[[#This Row],[مقدار (کیلوگرم)]],0)</f>
        <v>0</v>
      </c>
      <c r="L19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1" s="7">
        <f>-IF(AND(Main[[#This Row],[مقدار (کیلوگرم)]]&lt;0,Main[[#This Row],[تاريخ میلادی]]&gt;44276),Main[[#This Row],[مقدار (کیلوگرم)]],0)</f>
        <v>0</v>
      </c>
      <c r="N1981" s="6">
        <f ca="1">Main[[#This Row],[بدهکار (کیلوگرم)]]-Main[[#This Row],[بدهی تسویه نشده (کیلوگرم)]]</f>
        <v>0</v>
      </c>
      <c r="O1981" s="6">
        <f ca="1">Main[[#This Row],[تفکیک]]</f>
        <v>0</v>
      </c>
      <c r="P1981" s="6">
        <f ca="1">IF(Main[[#This Row],[تاخیر از سررسید]]&gt;0,Main[[#This Row],[بدهی تسویه نشده (کیلوگرم)]],0)</f>
        <v>0</v>
      </c>
      <c r="Q1981" s="6">
        <f ca="1">IF(Main[[#This Row],[بدهی تسویه نشده (کیلوگرم)]]&gt;0,'گزارش فردی'!$B$7-Main[[#This Row],[تاريخ میلادی]],0)</f>
        <v>0</v>
      </c>
      <c r="R1981" s="6">
        <f ca="1">IF(Main[[#This Row],[بدهی تسویه نشده (کیلوگرم)]]&gt;0,'گزارش فردی'!$B$7-Main[[#This Row],[تاريخ میلادی]]-'گزارش فردی'!$B$8,0)</f>
        <v>0</v>
      </c>
      <c r="S1981" s="6">
        <f ca="1">Main[[#This Row],[روز از ارسال سفارش]]*Main[[#This Row],[بدهی تسویه نشده (کیلوگرم)]]</f>
        <v>0</v>
      </c>
      <c r="T1981" s="6">
        <f ca="1">Main[[#This Row],[بدهی سررسید شده (کیلوگرم)]]*Main[[#This Row],[روز از ارسال سفارش]]</f>
        <v>0</v>
      </c>
      <c r="U1981" s="6">
        <f>-SUBTOTAL(9,INDEX(Main[مقدار (کیلوگرم)],1):Main[[#This Row],[مقدار (کیلوگرم)]])</f>
        <v>35409</v>
      </c>
      <c r="V19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1" s="6">
        <f>Main[[#This Row],[تعداد کل روزهای بدهکار (روز)]]*Main[[#This Row],[مانده در خط کل (کیلوگرم)]]</f>
        <v>35409</v>
      </c>
      <c r="X1981" s="6">
        <f ca="1">-SUBTOTAL(9,INDEX(Main[مقدار تسویه شده (کیلوگرم)],1):Main[[#This Row],[مقدار تسویه شده (کیلوگرم)]])</f>
        <v>35409</v>
      </c>
      <c r="Y1981" s="6">
        <f ca="1">IF(Main[[#This Row],[مانده در خط تسویه شده (کیلوگرم)]]&lt;&gt;0,Main[[#This Row],[تعداد کل روزهای بدهکار (روز)]],0)</f>
        <v>1</v>
      </c>
      <c r="Z1981" s="6">
        <f ca="1">Main[[#This Row],[تعداد روزهای بدهکار تسویه شده (روز)]]*Main[[#This Row],[مانده در خط تسویه شده (کیلوگرم)]]</f>
        <v>35409</v>
      </c>
      <c r="AA1981" s="6">
        <f ca="1">SUBTOTAL(9,INDEX(Main[بدهی تسویه نشده (کیلوگرم)],1):Main[[#This Row],[بدهی تسویه نشده (کیلوگرم)]])</f>
        <v>0</v>
      </c>
      <c r="AB1981" s="6">
        <f ca="1">IF(Main[[#This Row],[مانده در خط تسویه نشده (کیلوگرم)]]&lt;&gt;0,Main[[#This Row],[تعداد کل روزهای بدهکار (روز)]],0)</f>
        <v>0</v>
      </c>
      <c r="AC1981" s="6">
        <f ca="1">Main[[#This Row],[تعداد روزهای بدهکار  تسویه نشده (روز)]]*Main[[#This Row],[مانده در خط تسویه نشده (کیلوگرم)]]</f>
        <v>0</v>
      </c>
      <c r="AD1981" s="6">
        <f ca="1">SUBTOTAL(9,INDEX(Main[بدهی سررسید شده (کیلوگرم)],1):Main[[#This Row],[بدهی سررسید شده (کیلوگرم)]])</f>
        <v>0</v>
      </c>
      <c r="AE1981" s="6">
        <f ca="1">IF(Main[[#This Row],[مانده در خط سررسید شده (کیلوگرم)]]&lt;&gt;0,Main[[#This Row],[تعداد کل روزهای بدهکار (روز)]],0)</f>
        <v>0</v>
      </c>
      <c r="AF1981" s="6">
        <f ca="1">Main[[#This Row],[تعداد روزهای بدهکار سررسید شده (روز)]]*Main[[#This Row],[مانده در خط سررسید شده (کیلوگرم)]]</f>
        <v>0</v>
      </c>
    </row>
    <row r="1982" spans="1:32" hidden="1" x14ac:dyDescent="0.35">
      <c r="A1982" s="5">
        <f>ROW()-ROW(INDEX(Main[ردیف],1))+1</f>
        <v>1980</v>
      </c>
      <c r="B1982" s="31">
        <f>SUBTOTAL(2,INDEX(Main[ردیف],1):Main[[#This Row],[ردیف]])</f>
        <v>175</v>
      </c>
      <c r="C1982" s="32" t="s">
        <v>743</v>
      </c>
      <c r="D1982" s="32" t="str">
        <f>_xlfn.CONCAT("14",Main[[#This Row],[تاريخ]])</f>
        <v>1400/08/08</v>
      </c>
      <c r="E1982" s="33">
        <v>44499</v>
      </c>
      <c r="F1982" s="32">
        <v>10055</v>
      </c>
      <c r="G1982" s="5" t="str">
        <f>INDEX(customer[عنوان],MATCH(Main[[#This Row],[کد ردیابی]],customer[کد],0))</f>
        <v xml:space="preserve">مریم فیض آبادی  </v>
      </c>
      <c r="H1982">
        <v>-5033</v>
      </c>
      <c r="I1982" s="6">
        <f ca="1">-Main[[#This Row],[بدهی تسویه شده (کیلوگرم)]]+Main[[#This Row],[بستانکار (کیلوگرم)]]</f>
        <v>-5033</v>
      </c>
      <c r="J1982" s="6">
        <f>IF(Main[[#This Row],[مقدار (کیلوگرم)]]&gt;0,Main[[#This Row],[مقدار (کیلوگرم)]],0)</f>
        <v>0</v>
      </c>
      <c r="K1982" s="6">
        <f>-IF(Main[[#This Row],[مقدار (کیلوگرم)]]&lt;0,Main[[#This Row],[مقدار (کیلوگرم)]],0)</f>
        <v>5033</v>
      </c>
      <c r="L19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2" s="7">
        <f>-IF(AND(Main[[#This Row],[مقدار (کیلوگرم)]]&lt;0,Main[[#This Row],[تاريخ میلادی]]&gt;44276),Main[[#This Row],[مقدار (کیلوگرم)]],0)</f>
        <v>5033</v>
      </c>
      <c r="N1982" s="6">
        <f ca="1">Main[[#This Row],[بدهکار (کیلوگرم)]]-Main[[#This Row],[بدهی تسویه نشده (کیلوگرم)]]</f>
        <v>5033</v>
      </c>
      <c r="O1982" s="6">
        <f ca="1">Main[[#This Row],[تفکیک]]</f>
        <v>0</v>
      </c>
      <c r="P1982" s="6">
        <f ca="1">IF(Main[[#This Row],[تاخیر از سررسید]]&gt;0,Main[[#This Row],[بدهی تسویه نشده (کیلوگرم)]],0)</f>
        <v>0</v>
      </c>
      <c r="Q1982" s="6">
        <f ca="1">IF(Main[[#This Row],[بدهی تسویه نشده (کیلوگرم)]]&gt;0,'گزارش فردی'!$B$7-Main[[#This Row],[تاريخ میلادی]],0)</f>
        <v>0</v>
      </c>
      <c r="R1982" s="6">
        <f ca="1">IF(Main[[#This Row],[بدهی تسویه نشده (کیلوگرم)]]&gt;0,'گزارش فردی'!$B$7-Main[[#This Row],[تاريخ میلادی]]-'گزارش فردی'!$B$8,0)</f>
        <v>0</v>
      </c>
      <c r="S1982" s="6">
        <f ca="1">Main[[#This Row],[روز از ارسال سفارش]]*Main[[#This Row],[بدهی تسویه نشده (کیلوگرم)]]</f>
        <v>0</v>
      </c>
      <c r="T1982" s="6">
        <f ca="1">Main[[#This Row],[بدهی سررسید شده (کیلوگرم)]]*Main[[#This Row],[روز از ارسال سفارش]]</f>
        <v>0</v>
      </c>
      <c r="U1982" s="6">
        <f>-SUBTOTAL(9,INDEX(Main[مقدار (کیلوگرم)],1):Main[[#This Row],[مقدار (کیلوگرم)]])</f>
        <v>35409</v>
      </c>
      <c r="V198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2" s="6">
        <f>Main[[#This Row],[تعداد کل روزهای بدهکار (روز)]]*Main[[#This Row],[مانده در خط کل (کیلوگرم)]]</f>
        <v>35409</v>
      </c>
      <c r="X1982" s="6">
        <f ca="1">-SUBTOTAL(9,INDEX(Main[مقدار تسویه شده (کیلوگرم)],1):Main[[#This Row],[مقدار تسویه شده (کیلوگرم)]])</f>
        <v>35409</v>
      </c>
      <c r="Y1982" s="6">
        <f ca="1">IF(Main[[#This Row],[مانده در خط تسویه شده (کیلوگرم)]]&lt;&gt;0,Main[[#This Row],[تعداد کل روزهای بدهکار (روز)]],0)</f>
        <v>1</v>
      </c>
      <c r="Z1982" s="6">
        <f ca="1">Main[[#This Row],[تعداد روزهای بدهکار تسویه شده (روز)]]*Main[[#This Row],[مانده در خط تسویه شده (کیلوگرم)]]</f>
        <v>35409</v>
      </c>
      <c r="AA1982" s="6">
        <f ca="1">SUBTOTAL(9,INDEX(Main[بدهی تسویه نشده (کیلوگرم)],1):Main[[#This Row],[بدهی تسویه نشده (کیلوگرم)]])</f>
        <v>0</v>
      </c>
      <c r="AB1982" s="6">
        <f ca="1">IF(Main[[#This Row],[مانده در خط تسویه نشده (کیلوگرم)]]&lt;&gt;0,Main[[#This Row],[تعداد کل روزهای بدهکار (روز)]],0)</f>
        <v>0</v>
      </c>
      <c r="AC1982" s="6">
        <f ca="1">Main[[#This Row],[تعداد روزهای بدهکار  تسویه نشده (روز)]]*Main[[#This Row],[مانده در خط تسویه نشده (کیلوگرم)]]</f>
        <v>0</v>
      </c>
      <c r="AD1982" s="6">
        <f ca="1">SUBTOTAL(9,INDEX(Main[بدهی سررسید شده (کیلوگرم)],1):Main[[#This Row],[بدهی سررسید شده (کیلوگرم)]])</f>
        <v>0</v>
      </c>
      <c r="AE1982" s="6">
        <f ca="1">IF(Main[[#This Row],[مانده در خط سررسید شده (کیلوگرم)]]&lt;&gt;0,Main[[#This Row],[تعداد کل روزهای بدهکار (روز)]],0)</f>
        <v>0</v>
      </c>
      <c r="AF1982" s="6">
        <f ca="1">Main[[#This Row],[تعداد روزهای بدهکار سررسید شده (روز)]]*Main[[#This Row],[مانده در خط سررسید شده (کیلوگرم)]]</f>
        <v>0</v>
      </c>
    </row>
    <row r="1983" spans="1:32" hidden="1" x14ac:dyDescent="0.35">
      <c r="A1983" s="5">
        <f>ROW()-ROW(INDEX(Main[ردیف],1))+1</f>
        <v>1981</v>
      </c>
      <c r="B1983" s="31">
        <f>SUBTOTAL(2,INDEX(Main[ردیف],1):Main[[#This Row],[ردیف]])</f>
        <v>175</v>
      </c>
      <c r="C1983" s="32" t="s">
        <v>743</v>
      </c>
      <c r="D1983" s="32" t="str">
        <f>_xlfn.CONCAT("14",Main[[#This Row],[تاريخ]])</f>
        <v>1400/08/08</v>
      </c>
      <c r="E1983" s="33">
        <v>44499</v>
      </c>
      <c r="F1983" s="32">
        <v>10048</v>
      </c>
      <c r="G1983" s="5" t="str">
        <f>INDEX(customer[عنوان],MATCH(Main[[#This Row],[کد ردیابی]],customer[کد],0))</f>
        <v xml:space="preserve">حسام کریمان  </v>
      </c>
      <c r="H1983">
        <v>102</v>
      </c>
      <c r="I1983" s="6">
        <f ca="1">-Main[[#This Row],[بدهی تسویه شده (کیلوگرم)]]+Main[[#This Row],[بستانکار (کیلوگرم)]]</f>
        <v>102</v>
      </c>
      <c r="J1983" s="6">
        <f>IF(Main[[#This Row],[مقدار (کیلوگرم)]]&gt;0,Main[[#This Row],[مقدار (کیلوگرم)]],0)</f>
        <v>102</v>
      </c>
      <c r="K1983" s="6">
        <f>-IF(Main[[#This Row],[مقدار (کیلوگرم)]]&lt;0,Main[[#This Row],[مقدار (کیلوگرم)]],0)</f>
        <v>0</v>
      </c>
      <c r="L19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3" s="7">
        <f>-IF(AND(Main[[#This Row],[مقدار (کیلوگرم)]]&lt;0,Main[[#This Row],[تاريخ میلادی]]&gt;44276),Main[[#This Row],[مقدار (کیلوگرم)]],0)</f>
        <v>0</v>
      </c>
      <c r="N1983" s="6">
        <f ca="1">Main[[#This Row],[بدهکار (کیلوگرم)]]-Main[[#This Row],[بدهی تسویه نشده (کیلوگرم)]]</f>
        <v>0</v>
      </c>
      <c r="O1983" s="6">
        <f ca="1">Main[[#This Row],[تفکیک]]</f>
        <v>0</v>
      </c>
      <c r="P1983" s="6">
        <f ca="1">IF(Main[[#This Row],[تاخیر از سررسید]]&gt;0,Main[[#This Row],[بدهی تسویه نشده (کیلوگرم)]],0)</f>
        <v>0</v>
      </c>
      <c r="Q1983" s="6">
        <f ca="1">IF(Main[[#This Row],[بدهی تسویه نشده (کیلوگرم)]]&gt;0,'گزارش فردی'!$B$7-Main[[#This Row],[تاريخ میلادی]],0)</f>
        <v>0</v>
      </c>
      <c r="R1983" s="6">
        <f ca="1">IF(Main[[#This Row],[بدهی تسویه نشده (کیلوگرم)]]&gt;0,'گزارش فردی'!$B$7-Main[[#This Row],[تاريخ میلادی]]-'گزارش فردی'!$B$8,0)</f>
        <v>0</v>
      </c>
      <c r="S1983" s="6">
        <f ca="1">Main[[#This Row],[روز از ارسال سفارش]]*Main[[#This Row],[بدهی تسویه نشده (کیلوگرم)]]</f>
        <v>0</v>
      </c>
      <c r="T1983" s="6">
        <f ca="1">Main[[#This Row],[بدهی سررسید شده (کیلوگرم)]]*Main[[#This Row],[روز از ارسال سفارش]]</f>
        <v>0</v>
      </c>
      <c r="U1983" s="6">
        <f>-SUBTOTAL(9,INDEX(Main[مقدار (کیلوگرم)],1):Main[[#This Row],[مقدار (کیلوگرم)]])</f>
        <v>35409</v>
      </c>
      <c r="V19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3" s="6">
        <f>Main[[#This Row],[تعداد کل روزهای بدهکار (روز)]]*Main[[#This Row],[مانده در خط کل (کیلوگرم)]]</f>
        <v>35409</v>
      </c>
      <c r="X1983" s="6">
        <f ca="1">-SUBTOTAL(9,INDEX(Main[مقدار تسویه شده (کیلوگرم)],1):Main[[#This Row],[مقدار تسویه شده (کیلوگرم)]])</f>
        <v>35409</v>
      </c>
      <c r="Y1983" s="6">
        <f ca="1">IF(Main[[#This Row],[مانده در خط تسویه شده (کیلوگرم)]]&lt;&gt;0,Main[[#This Row],[تعداد کل روزهای بدهکار (روز)]],0)</f>
        <v>1</v>
      </c>
      <c r="Z1983" s="6">
        <f ca="1">Main[[#This Row],[تعداد روزهای بدهکار تسویه شده (روز)]]*Main[[#This Row],[مانده در خط تسویه شده (کیلوگرم)]]</f>
        <v>35409</v>
      </c>
      <c r="AA1983" s="6">
        <f ca="1">SUBTOTAL(9,INDEX(Main[بدهی تسویه نشده (کیلوگرم)],1):Main[[#This Row],[بدهی تسویه نشده (کیلوگرم)]])</f>
        <v>0</v>
      </c>
      <c r="AB1983" s="6">
        <f ca="1">IF(Main[[#This Row],[مانده در خط تسویه نشده (کیلوگرم)]]&lt;&gt;0,Main[[#This Row],[تعداد کل روزهای بدهکار (روز)]],0)</f>
        <v>0</v>
      </c>
      <c r="AC1983" s="6">
        <f ca="1">Main[[#This Row],[تعداد روزهای بدهکار  تسویه نشده (روز)]]*Main[[#This Row],[مانده در خط تسویه نشده (کیلوگرم)]]</f>
        <v>0</v>
      </c>
      <c r="AD1983" s="6">
        <f ca="1">SUBTOTAL(9,INDEX(Main[بدهی سررسید شده (کیلوگرم)],1):Main[[#This Row],[بدهی سررسید شده (کیلوگرم)]])</f>
        <v>0</v>
      </c>
      <c r="AE1983" s="6">
        <f ca="1">IF(Main[[#This Row],[مانده در خط سررسید شده (کیلوگرم)]]&lt;&gt;0,Main[[#This Row],[تعداد کل روزهای بدهکار (روز)]],0)</f>
        <v>0</v>
      </c>
      <c r="AF1983" s="6">
        <f ca="1">Main[[#This Row],[تعداد روزهای بدهکار سررسید شده (روز)]]*Main[[#This Row],[مانده در خط سررسید شده (کیلوگرم)]]</f>
        <v>0</v>
      </c>
    </row>
    <row r="1984" spans="1:32" hidden="1" x14ac:dyDescent="0.35">
      <c r="A1984" s="5">
        <f>ROW()-ROW(INDEX(Main[ردیف],1))+1</f>
        <v>1982</v>
      </c>
      <c r="B1984" s="31">
        <f>SUBTOTAL(2,INDEX(Main[ردیف],1):Main[[#This Row],[ردیف]])</f>
        <v>175</v>
      </c>
      <c r="C1984" s="32" t="s">
        <v>743</v>
      </c>
      <c r="D1984" s="32" t="str">
        <f>_xlfn.CONCAT("14",Main[[#This Row],[تاريخ]])</f>
        <v>1400/08/08</v>
      </c>
      <c r="E1984" s="33">
        <v>44499</v>
      </c>
      <c r="F1984" s="32">
        <v>10026</v>
      </c>
      <c r="G1984" s="5" t="str">
        <f>INDEX(customer[عنوان],MATCH(Main[[#This Row],[کد ردیابی]],customer[کد],0))</f>
        <v xml:space="preserve">محسن فیاض بخش </v>
      </c>
      <c r="H1984">
        <v>-2056</v>
      </c>
      <c r="I1984" s="6">
        <f ca="1">-Main[[#This Row],[بدهی تسویه شده (کیلوگرم)]]+Main[[#This Row],[بستانکار (کیلوگرم)]]</f>
        <v>-2056</v>
      </c>
      <c r="J1984" s="6">
        <f>IF(Main[[#This Row],[مقدار (کیلوگرم)]]&gt;0,Main[[#This Row],[مقدار (کیلوگرم)]],0)</f>
        <v>0</v>
      </c>
      <c r="K1984" s="6">
        <f>-IF(Main[[#This Row],[مقدار (کیلوگرم)]]&lt;0,Main[[#This Row],[مقدار (کیلوگرم)]],0)</f>
        <v>2056</v>
      </c>
      <c r="L19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4" s="7">
        <f>-IF(AND(Main[[#This Row],[مقدار (کیلوگرم)]]&lt;0,Main[[#This Row],[تاريخ میلادی]]&gt;44276),Main[[#This Row],[مقدار (کیلوگرم)]],0)</f>
        <v>2056</v>
      </c>
      <c r="N1984" s="6">
        <f ca="1">Main[[#This Row],[بدهکار (کیلوگرم)]]-Main[[#This Row],[بدهی تسویه نشده (کیلوگرم)]]</f>
        <v>2056</v>
      </c>
      <c r="O1984" s="6">
        <f ca="1">Main[[#This Row],[تفکیک]]</f>
        <v>0</v>
      </c>
      <c r="P1984" s="6">
        <f ca="1">IF(Main[[#This Row],[تاخیر از سررسید]]&gt;0,Main[[#This Row],[بدهی تسویه نشده (کیلوگرم)]],0)</f>
        <v>0</v>
      </c>
      <c r="Q1984" s="6">
        <f ca="1">IF(Main[[#This Row],[بدهی تسویه نشده (کیلوگرم)]]&gt;0,'گزارش فردی'!$B$7-Main[[#This Row],[تاريخ میلادی]],0)</f>
        <v>0</v>
      </c>
      <c r="R1984" s="6">
        <f ca="1">IF(Main[[#This Row],[بدهی تسویه نشده (کیلوگرم)]]&gt;0,'گزارش فردی'!$B$7-Main[[#This Row],[تاريخ میلادی]]-'گزارش فردی'!$B$8,0)</f>
        <v>0</v>
      </c>
      <c r="S1984" s="6">
        <f ca="1">Main[[#This Row],[روز از ارسال سفارش]]*Main[[#This Row],[بدهی تسویه نشده (کیلوگرم)]]</f>
        <v>0</v>
      </c>
      <c r="T1984" s="6">
        <f ca="1">Main[[#This Row],[بدهی سررسید شده (کیلوگرم)]]*Main[[#This Row],[روز از ارسال سفارش]]</f>
        <v>0</v>
      </c>
      <c r="U1984" s="6">
        <f>-SUBTOTAL(9,INDEX(Main[مقدار (کیلوگرم)],1):Main[[#This Row],[مقدار (کیلوگرم)]])</f>
        <v>35409</v>
      </c>
      <c r="V19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4" s="6">
        <f>Main[[#This Row],[تعداد کل روزهای بدهکار (روز)]]*Main[[#This Row],[مانده در خط کل (کیلوگرم)]]</f>
        <v>35409</v>
      </c>
      <c r="X1984" s="6">
        <f ca="1">-SUBTOTAL(9,INDEX(Main[مقدار تسویه شده (کیلوگرم)],1):Main[[#This Row],[مقدار تسویه شده (کیلوگرم)]])</f>
        <v>35409</v>
      </c>
      <c r="Y1984" s="6">
        <f ca="1">IF(Main[[#This Row],[مانده در خط تسویه شده (کیلوگرم)]]&lt;&gt;0,Main[[#This Row],[تعداد کل روزهای بدهکار (روز)]],0)</f>
        <v>1</v>
      </c>
      <c r="Z1984" s="6">
        <f ca="1">Main[[#This Row],[تعداد روزهای بدهکار تسویه شده (روز)]]*Main[[#This Row],[مانده در خط تسویه شده (کیلوگرم)]]</f>
        <v>35409</v>
      </c>
      <c r="AA1984" s="6">
        <f ca="1">SUBTOTAL(9,INDEX(Main[بدهی تسویه نشده (کیلوگرم)],1):Main[[#This Row],[بدهی تسویه نشده (کیلوگرم)]])</f>
        <v>0</v>
      </c>
      <c r="AB1984" s="6">
        <f ca="1">IF(Main[[#This Row],[مانده در خط تسویه نشده (کیلوگرم)]]&lt;&gt;0,Main[[#This Row],[تعداد کل روزهای بدهکار (روز)]],0)</f>
        <v>0</v>
      </c>
      <c r="AC1984" s="6">
        <f ca="1">Main[[#This Row],[تعداد روزهای بدهکار  تسویه نشده (روز)]]*Main[[#This Row],[مانده در خط تسویه نشده (کیلوگرم)]]</f>
        <v>0</v>
      </c>
      <c r="AD1984" s="6">
        <f ca="1">SUBTOTAL(9,INDEX(Main[بدهی سررسید شده (کیلوگرم)],1):Main[[#This Row],[بدهی سررسید شده (کیلوگرم)]])</f>
        <v>0</v>
      </c>
      <c r="AE1984" s="6">
        <f ca="1">IF(Main[[#This Row],[مانده در خط سررسید شده (کیلوگرم)]]&lt;&gt;0,Main[[#This Row],[تعداد کل روزهای بدهکار (روز)]],0)</f>
        <v>0</v>
      </c>
      <c r="AF1984" s="6">
        <f ca="1">Main[[#This Row],[تعداد روزهای بدهکار سررسید شده (روز)]]*Main[[#This Row],[مانده در خط سررسید شده (کیلوگرم)]]</f>
        <v>0</v>
      </c>
    </row>
    <row r="1985" spans="1:32" hidden="1" x14ac:dyDescent="0.35">
      <c r="A1985" s="5">
        <f>ROW()-ROW(INDEX(Main[ردیف],1))+1</f>
        <v>1983</v>
      </c>
      <c r="B1985" s="31">
        <f>SUBTOTAL(2,INDEX(Main[ردیف],1):Main[[#This Row],[ردیف]])</f>
        <v>175</v>
      </c>
      <c r="C1985" s="32" t="s">
        <v>744</v>
      </c>
      <c r="D1985" s="32" t="str">
        <f>_xlfn.CONCAT("14",Main[[#This Row],[تاريخ]])</f>
        <v>1400/08/09</v>
      </c>
      <c r="E1985" s="33">
        <v>44500</v>
      </c>
      <c r="F1985" s="32">
        <v>10009</v>
      </c>
      <c r="G1985" s="5" t="str">
        <f>INDEX(customer[عنوان],MATCH(Main[[#This Row],[کد ردیابی]],customer[کد],0))</f>
        <v>محمد نمازی</v>
      </c>
      <c r="H1985">
        <v>240</v>
      </c>
      <c r="I1985" s="6">
        <f ca="1">-Main[[#This Row],[بدهی تسویه شده (کیلوگرم)]]+Main[[#This Row],[بستانکار (کیلوگرم)]]</f>
        <v>240</v>
      </c>
      <c r="J1985" s="6">
        <f>IF(Main[[#This Row],[مقدار (کیلوگرم)]]&gt;0,Main[[#This Row],[مقدار (کیلوگرم)]],0)</f>
        <v>240</v>
      </c>
      <c r="K1985" s="6">
        <f>-IF(Main[[#This Row],[مقدار (کیلوگرم)]]&lt;0,Main[[#This Row],[مقدار (کیلوگرم)]],0)</f>
        <v>0</v>
      </c>
      <c r="L19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5" s="7">
        <f>-IF(AND(Main[[#This Row],[مقدار (کیلوگرم)]]&lt;0,Main[[#This Row],[تاريخ میلادی]]&gt;44276),Main[[#This Row],[مقدار (کیلوگرم)]],0)</f>
        <v>0</v>
      </c>
      <c r="N1985" s="6">
        <f ca="1">Main[[#This Row],[بدهکار (کیلوگرم)]]-Main[[#This Row],[بدهی تسویه نشده (کیلوگرم)]]</f>
        <v>0</v>
      </c>
      <c r="O1985" s="6">
        <f ca="1">Main[[#This Row],[تفکیک]]</f>
        <v>0</v>
      </c>
      <c r="P1985" s="6">
        <f ca="1">IF(Main[[#This Row],[تاخیر از سررسید]]&gt;0,Main[[#This Row],[بدهی تسویه نشده (کیلوگرم)]],0)</f>
        <v>0</v>
      </c>
      <c r="Q1985" s="6">
        <f ca="1">IF(Main[[#This Row],[بدهی تسویه نشده (کیلوگرم)]]&gt;0,'گزارش فردی'!$B$7-Main[[#This Row],[تاريخ میلادی]],0)</f>
        <v>0</v>
      </c>
      <c r="R1985" s="6">
        <f ca="1">IF(Main[[#This Row],[بدهی تسویه نشده (کیلوگرم)]]&gt;0,'گزارش فردی'!$B$7-Main[[#This Row],[تاريخ میلادی]]-'گزارش فردی'!$B$8,0)</f>
        <v>0</v>
      </c>
      <c r="S1985" s="6">
        <f ca="1">Main[[#This Row],[روز از ارسال سفارش]]*Main[[#This Row],[بدهی تسویه نشده (کیلوگرم)]]</f>
        <v>0</v>
      </c>
      <c r="T1985" s="6">
        <f ca="1">Main[[#This Row],[بدهی سررسید شده (کیلوگرم)]]*Main[[#This Row],[روز از ارسال سفارش]]</f>
        <v>0</v>
      </c>
      <c r="U1985" s="6">
        <f>-SUBTOTAL(9,INDEX(Main[مقدار (کیلوگرم)],1):Main[[#This Row],[مقدار (کیلوگرم)]])</f>
        <v>35409</v>
      </c>
      <c r="V19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5" s="6">
        <f>Main[[#This Row],[تعداد کل روزهای بدهکار (روز)]]*Main[[#This Row],[مانده در خط کل (کیلوگرم)]]</f>
        <v>0</v>
      </c>
      <c r="X1985" s="6">
        <f ca="1">-SUBTOTAL(9,INDEX(Main[مقدار تسویه شده (کیلوگرم)],1):Main[[#This Row],[مقدار تسویه شده (کیلوگرم)]])</f>
        <v>35409</v>
      </c>
      <c r="Y1985" s="6">
        <f ca="1">IF(Main[[#This Row],[مانده در خط تسویه شده (کیلوگرم)]]&lt;&gt;0,Main[[#This Row],[تعداد کل روزهای بدهکار (روز)]],0)</f>
        <v>0</v>
      </c>
      <c r="Z1985" s="6">
        <f ca="1">Main[[#This Row],[تعداد روزهای بدهکار تسویه شده (روز)]]*Main[[#This Row],[مانده در خط تسویه شده (کیلوگرم)]]</f>
        <v>0</v>
      </c>
      <c r="AA1985" s="6">
        <f ca="1">SUBTOTAL(9,INDEX(Main[بدهی تسویه نشده (کیلوگرم)],1):Main[[#This Row],[بدهی تسویه نشده (کیلوگرم)]])</f>
        <v>0</v>
      </c>
      <c r="AB1985" s="6">
        <f ca="1">IF(Main[[#This Row],[مانده در خط تسویه نشده (کیلوگرم)]]&lt;&gt;0,Main[[#This Row],[تعداد کل روزهای بدهکار (روز)]],0)</f>
        <v>0</v>
      </c>
      <c r="AC1985" s="6">
        <f ca="1">Main[[#This Row],[تعداد روزهای بدهکار  تسویه نشده (روز)]]*Main[[#This Row],[مانده در خط تسویه نشده (کیلوگرم)]]</f>
        <v>0</v>
      </c>
      <c r="AD1985" s="6">
        <f ca="1">SUBTOTAL(9,INDEX(Main[بدهی سررسید شده (کیلوگرم)],1):Main[[#This Row],[بدهی سررسید شده (کیلوگرم)]])</f>
        <v>0</v>
      </c>
      <c r="AE1985" s="6">
        <f ca="1">IF(Main[[#This Row],[مانده در خط سررسید شده (کیلوگرم)]]&lt;&gt;0,Main[[#This Row],[تعداد کل روزهای بدهکار (روز)]],0)</f>
        <v>0</v>
      </c>
      <c r="AF1985" s="6">
        <f ca="1">Main[[#This Row],[تعداد روزهای بدهکار سررسید شده (روز)]]*Main[[#This Row],[مانده در خط سررسید شده (کیلوگرم)]]</f>
        <v>0</v>
      </c>
    </row>
    <row r="1986" spans="1:32" hidden="1" x14ac:dyDescent="0.35">
      <c r="A1986" s="5">
        <f>ROW()-ROW(INDEX(Main[ردیف],1))+1</f>
        <v>1984</v>
      </c>
      <c r="B1986" s="31">
        <f>SUBTOTAL(2,INDEX(Main[ردیف],1):Main[[#This Row],[ردیف]])</f>
        <v>175</v>
      </c>
      <c r="C1986" s="32" t="s">
        <v>744</v>
      </c>
      <c r="D1986" s="32" t="str">
        <f>_xlfn.CONCAT("14",Main[[#This Row],[تاريخ]])</f>
        <v>1400/08/09</v>
      </c>
      <c r="E1986" s="33">
        <v>44500</v>
      </c>
      <c r="F1986" s="32">
        <v>30140</v>
      </c>
      <c r="G1986" s="5" t="str">
        <f>INDEX(customer[عنوان],MATCH(Main[[#This Row],[کد ردیابی]],customer[کد],0))</f>
        <v>شرکت سیتکو</v>
      </c>
      <c r="H1986">
        <v>-874</v>
      </c>
      <c r="I1986" s="6">
        <f ca="1">-Main[[#This Row],[بدهی تسویه شده (کیلوگرم)]]+Main[[#This Row],[بستانکار (کیلوگرم)]]</f>
        <v>-874</v>
      </c>
      <c r="J1986" s="6">
        <f>IF(Main[[#This Row],[مقدار (کیلوگرم)]]&gt;0,Main[[#This Row],[مقدار (کیلوگرم)]],0)</f>
        <v>0</v>
      </c>
      <c r="K1986" s="6">
        <f>-IF(Main[[#This Row],[مقدار (کیلوگرم)]]&lt;0,Main[[#This Row],[مقدار (کیلوگرم)]],0)</f>
        <v>874</v>
      </c>
      <c r="L19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6" s="7">
        <f>-IF(AND(Main[[#This Row],[مقدار (کیلوگرم)]]&lt;0,Main[[#This Row],[تاريخ میلادی]]&gt;44276),Main[[#This Row],[مقدار (کیلوگرم)]],0)</f>
        <v>874</v>
      </c>
      <c r="N1986" s="6">
        <f ca="1">Main[[#This Row],[بدهکار (کیلوگرم)]]-Main[[#This Row],[بدهی تسویه نشده (کیلوگرم)]]</f>
        <v>874</v>
      </c>
      <c r="O1986" s="6">
        <f ca="1">Main[[#This Row],[تفکیک]]</f>
        <v>0</v>
      </c>
      <c r="P1986" s="6">
        <f ca="1">IF(Main[[#This Row],[تاخیر از سررسید]]&gt;0,Main[[#This Row],[بدهی تسویه نشده (کیلوگرم)]],0)</f>
        <v>0</v>
      </c>
      <c r="Q1986" s="6">
        <f ca="1">IF(Main[[#This Row],[بدهی تسویه نشده (کیلوگرم)]]&gt;0,'گزارش فردی'!$B$7-Main[[#This Row],[تاريخ میلادی]],0)</f>
        <v>0</v>
      </c>
      <c r="R1986" s="6">
        <f ca="1">IF(Main[[#This Row],[بدهی تسویه نشده (کیلوگرم)]]&gt;0,'گزارش فردی'!$B$7-Main[[#This Row],[تاريخ میلادی]]-'گزارش فردی'!$B$8,0)</f>
        <v>0</v>
      </c>
      <c r="S1986" s="6">
        <f ca="1">Main[[#This Row],[روز از ارسال سفارش]]*Main[[#This Row],[بدهی تسویه نشده (کیلوگرم)]]</f>
        <v>0</v>
      </c>
      <c r="T1986" s="6">
        <f ca="1">Main[[#This Row],[بدهی سررسید شده (کیلوگرم)]]*Main[[#This Row],[روز از ارسال سفارش]]</f>
        <v>0</v>
      </c>
      <c r="U1986" s="6">
        <f>-SUBTOTAL(9,INDEX(Main[مقدار (کیلوگرم)],1):Main[[#This Row],[مقدار (کیلوگرم)]])</f>
        <v>35409</v>
      </c>
      <c r="V19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6" s="6">
        <f>Main[[#This Row],[تعداد کل روزهای بدهکار (روز)]]*Main[[#This Row],[مانده در خط کل (کیلوگرم)]]</f>
        <v>0</v>
      </c>
      <c r="X1986" s="6">
        <f ca="1">-SUBTOTAL(9,INDEX(Main[مقدار تسویه شده (کیلوگرم)],1):Main[[#This Row],[مقدار تسویه شده (کیلوگرم)]])</f>
        <v>35409</v>
      </c>
      <c r="Y1986" s="6">
        <f ca="1">IF(Main[[#This Row],[مانده در خط تسویه شده (کیلوگرم)]]&lt;&gt;0,Main[[#This Row],[تعداد کل روزهای بدهکار (روز)]],0)</f>
        <v>0</v>
      </c>
      <c r="Z1986" s="6">
        <f ca="1">Main[[#This Row],[تعداد روزهای بدهکار تسویه شده (روز)]]*Main[[#This Row],[مانده در خط تسویه شده (کیلوگرم)]]</f>
        <v>0</v>
      </c>
      <c r="AA1986" s="6">
        <f ca="1">SUBTOTAL(9,INDEX(Main[بدهی تسویه نشده (کیلوگرم)],1):Main[[#This Row],[بدهی تسویه نشده (کیلوگرم)]])</f>
        <v>0</v>
      </c>
      <c r="AB1986" s="6">
        <f ca="1">IF(Main[[#This Row],[مانده در خط تسویه نشده (کیلوگرم)]]&lt;&gt;0,Main[[#This Row],[تعداد کل روزهای بدهکار (روز)]],0)</f>
        <v>0</v>
      </c>
      <c r="AC1986" s="6">
        <f ca="1">Main[[#This Row],[تعداد روزهای بدهکار  تسویه نشده (روز)]]*Main[[#This Row],[مانده در خط تسویه نشده (کیلوگرم)]]</f>
        <v>0</v>
      </c>
      <c r="AD1986" s="6">
        <f ca="1">SUBTOTAL(9,INDEX(Main[بدهی سررسید شده (کیلوگرم)],1):Main[[#This Row],[بدهی سررسید شده (کیلوگرم)]])</f>
        <v>0</v>
      </c>
      <c r="AE1986" s="6">
        <f ca="1">IF(Main[[#This Row],[مانده در خط سررسید شده (کیلوگرم)]]&lt;&gt;0,Main[[#This Row],[تعداد کل روزهای بدهکار (روز)]],0)</f>
        <v>0</v>
      </c>
      <c r="AF1986" s="6">
        <f ca="1">Main[[#This Row],[تعداد روزهای بدهکار سررسید شده (روز)]]*Main[[#This Row],[مانده در خط سررسید شده (کیلوگرم)]]</f>
        <v>0</v>
      </c>
    </row>
    <row r="1987" spans="1:32" hidden="1" x14ac:dyDescent="0.35">
      <c r="A1987" s="5">
        <f>ROW()-ROW(INDEX(Main[ردیف],1))+1</f>
        <v>1985</v>
      </c>
      <c r="B1987" s="31">
        <f>SUBTOTAL(2,INDEX(Main[ردیف],1):Main[[#This Row],[ردیف]])</f>
        <v>175</v>
      </c>
      <c r="C1987" s="32" t="s">
        <v>744</v>
      </c>
      <c r="D1987" s="32" t="str">
        <f>_xlfn.CONCAT("14",Main[[#This Row],[تاريخ]])</f>
        <v>1400/08/09</v>
      </c>
      <c r="E1987" s="33">
        <v>44500</v>
      </c>
      <c r="F1987" s="32">
        <v>30198</v>
      </c>
      <c r="G1987" s="5" t="str">
        <f>INDEX(customer[عنوان],MATCH(Main[[#This Row],[کد ردیابی]],customer[کد],0))</f>
        <v>ابزار صنعت میلاد</v>
      </c>
      <c r="H1987">
        <v>560</v>
      </c>
      <c r="I1987" s="6">
        <f ca="1">-Main[[#This Row],[بدهی تسویه شده (کیلوگرم)]]+Main[[#This Row],[بستانکار (کیلوگرم)]]</f>
        <v>560</v>
      </c>
      <c r="J1987" s="6">
        <f>IF(Main[[#This Row],[مقدار (کیلوگرم)]]&gt;0,Main[[#This Row],[مقدار (کیلوگرم)]],0)</f>
        <v>560</v>
      </c>
      <c r="K1987" s="6">
        <f>-IF(Main[[#This Row],[مقدار (کیلوگرم)]]&lt;0,Main[[#This Row],[مقدار (کیلوگرم)]],0)</f>
        <v>0</v>
      </c>
      <c r="L19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7" s="7">
        <f>-IF(AND(Main[[#This Row],[مقدار (کیلوگرم)]]&lt;0,Main[[#This Row],[تاريخ میلادی]]&gt;44276),Main[[#This Row],[مقدار (کیلوگرم)]],0)</f>
        <v>0</v>
      </c>
      <c r="N1987" s="6">
        <f ca="1">Main[[#This Row],[بدهکار (کیلوگرم)]]-Main[[#This Row],[بدهی تسویه نشده (کیلوگرم)]]</f>
        <v>0</v>
      </c>
      <c r="O1987" s="6">
        <f ca="1">Main[[#This Row],[تفکیک]]</f>
        <v>0</v>
      </c>
      <c r="P1987" s="6">
        <f ca="1">IF(Main[[#This Row],[تاخیر از سررسید]]&gt;0,Main[[#This Row],[بدهی تسویه نشده (کیلوگرم)]],0)</f>
        <v>0</v>
      </c>
      <c r="Q1987" s="6">
        <f ca="1">IF(Main[[#This Row],[بدهی تسویه نشده (کیلوگرم)]]&gt;0,'گزارش فردی'!$B$7-Main[[#This Row],[تاريخ میلادی]],0)</f>
        <v>0</v>
      </c>
      <c r="R1987" s="6">
        <f ca="1">IF(Main[[#This Row],[بدهی تسویه نشده (کیلوگرم)]]&gt;0,'گزارش فردی'!$B$7-Main[[#This Row],[تاريخ میلادی]]-'گزارش فردی'!$B$8,0)</f>
        <v>0</v>
      </c>
      <c r="S1987" s="6">
        <f ca="1">Main[[#This Row],[روز از ارسال سفارش]]*Main[[#This Row],[بدهی تسویه نشده (کیلوگرم)]]</f>
        <v>0</v>
      </c>
      <c r="T1987" s="6">
        <f ca="1">Main[[#This Row],[بدهی سررسید شده (کیلوگرم)]]*Main[[#This Row],[روز از ارسال سفارش]]</f>
        <v>0</v>
      </c>
      <c r="U1987" s="6">
        <f>-SUBTOTAL(9,INDEX(Main[مقدار (کیلوگرم)],1):Main[[#This Row],[مقدار (کیلوگرم)]])</f>
        <v>35409</v>
      </c>
      <c r="V19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7" s="6">
        <f>Main[[#This Row],[تعداد کل روزهای بدهکار (روز)]]*Main[[#This Row],[مانده در خط کل (کیلوگرم)]]</f>
        <v>0</v>
      </c>
      <c r="X1987" s="6">
        <f ca="1">-SUBTOTAL(9,INDEX(Main[مقدار تسویه شده (کیلوگرم)],1):Main[[#This Row],[مقدار تسویه شده (کیلوگرم)]])</f>
        <v>35409</v>
      </c>
      <c r="Y1987" s="6">
        <f ca="1">IF(Main[[#This Row],[مانده در خط تسویه شده (کیلوگرم)]]&lt;&gt;0,Main[[#This Row],[تعداد کل روزهای بدهکار (روز)]],0)</f>
        <v>0</v>
      </c>
      <c r="Z1987" s="6">
        <f ca="1">Main[[#This Row],[تعداد روزهای بدهکار تسویه شده (روز)]]*Main[[#This Row],[مانده در خط تسویه شده (کیلوگرم)]]</f>
        <v>0</v>
      </c>
      <c r="AA1987" s="6">
        <f ca="1">SUBTOTAL(9,INDEX(Main[بدهی تسویه نشده (کیلوگرم)],1):Main[[#This Row],[بدهی تسویه نشده (کیلوگرم)]])</f>
        <v>0</v>
      </c>
      <c r="AB1987" s="6">
        <f ca="1">IF(Main[[#This Row],[مانده در خط تسویه نشده (کیلوگرم)]]&lt;&gt;0,Main[[#This Row],[تعداد کل روزهای بدهکار (روز)]],0)</f>
        <v>0</v>
      </c>
      <c r="AC1987" s="6">
        <f ca="1">Main[[#This Row],[تعداد روزهای بدهکار  تسویه نشده (روز)]]*Main[[#This Row],[مانده در خط تسویه نشده (کیلوگرم)]]</f>
        <v>0</v>
      </c>
      <c r="AD1987" s="6">
        <f ca="1">SUBTOTAL(9,INDEX(Main[بدهی سررسید شده (کیلوگرم)],1):Main[[#This Row],[بدهی سررسید شده (کیلوگرم)]])</f>
        <v>0</v>
      </c>
      <c r="AE1987" s="6">
        <f ca="1">IF(Main[[#This Row],[مانده در خط سررسید شده (کیلوگرم)]]&lt;&gt;0,Main[[#This Row],[تعداد کل روزهای بدهکار (روز)]],0)</f>
        <v>0</v>
      </c>
      <c r="AF1987" s="6">
        <f ca="1">Main[[#This Row],[تعداد روزهای بدهکار سررسید شده (روز)]]*Main[[#This Row],[مانده در خط سررسید شده (کیلوگرم)]]</f>
        <v>0</v>
      </c>
    </row>
    <row r="1988" spans="1:32" hidden="1" x14ac:dyDescent="0.35">
      <c r="A1988" s="5">
        <f>ROW()-ROW(INDEX(Main[ردیف],1))+1</f>
        <v>1986</v>
      </c>
      <c r="B1988" s="31">
        <f>SUBTOTAL(2,INDEX(Main[ردیف],1):Main[[#This Row],[ردیف]])</f>
        <v>175</v>
      </c>
      <c r="C1988" s="32" t="s">
        <v>744</v>
      </c>
      <c r="D1988" s="32" t="str">
        <f>_xlfn.CONCAT("14",Main[[#This Row],[تاريخ]])</f>
        <v>1400/08/09</v>
      </c>
      <c r="E1988" s="33">
        <v>44500</v>
      </c>
      <c r="F1988" s="32">
        <v>30018</v>
      </c>
      <c r="G1988" s="5" t="str">
        <f>INDEX(customer[عنوان],MATCH(Main[[#This Row],[کد ردیابی]],customer[کد],0))</f>
        <v xml:space="preserve">تولیدی شیر سازی غریب پویا </v>
      </c>
      <c r="H1988">
        <v>-2184</v>
      </c>
      <c r="I1988" s="6">
        <f ca="1">-Main[[#This Row],[بدهی تسویه شده (کیلوگرم)]]+Main[[#This Row],[بستانکار (کیلوگرم)]]</f>
        <v>-2184</v>
      </c>
      <c r="J1988" s="6">
        <f>IF(Main[[#This Row],[مقدار (کیلوگرم)]]&gt;0,Main[[#This Row],[مقدار (کیلوگرم)]],0)</f>
        <v>0</v>
      </c>
      <c r="K1988" s="6">
        <f>-IF(Main[[#This Row],[مقدار (کیلوگرم)]]&lt;0,Main[[#This Row],[مقدار (کیلوگرم)]],0)</f>
        <v>2184</v>
      </c>
      <c r="L19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8" s="7">
        <f>-IF(AND(Main[[#This Row],[مقدار (کیلوگرم)]]&lt;0,Main[[#This Row],[تاريخ میلادی]]&gt;44276),Main[[#This Row],[مقدار (کیلوگرم)]],0)</f>
        <v>2184</v>
      </c>
      <c r="N1988" s="6">
        <f ca="1">Main[[#This Row],[بدهکار (کیلوگرم)]]-Main[[#This Row],[بدهی تسویه نشده (کیلوگرم)]]</f>
        <v>2184</v>
      </c>
      <c r="O1988" s="6">
        <f ca="1">Main[[#This Row],[تفکیک]]</f>
        <v>0</v>
      </c>
      <c r="P1988" s="6">
        <f ca="1">IF(Main[[#This Row],[تاخیر از سررسید]]&gt;0,Main[[#This Row],[بدهی تسویه نشده (کیلوگرم)]],0)</f>
        <v>0</v>
      </c>
      <c r="Q1988" s="6">
        <f ca="1">IF(Main[[#This Row],[بدهی تسویه نشده (کیلوگرم)]]&gt;0,'گزارش فردی'!$B$7-Main[[#This Row],[تاريخ میلادی]],0)</f>
        <v>0</v>
      </c>
      <c r="R1988" s="6">
        <f ca="1">IF(Main[[#This Row],[بدهی تسویه نشده (کیلوگرم)]]&gt;0,'گزارش فردی'!$B$7-Main[[#This Row],[تاريخ میلادی]]-'گزارش فردی'!$B$8,0)</f>
        <v>0</v>
      </c>
      <c r="S1988" s="6">
        <f ca="1">Main[[#This Row],[روز از ارسال سفارش]]*Main[[#This Row],[بدهی تسویه نشده (کیلوگرم)]]</f>
        <v>0</v>
      </c>
      <c r="T1988" s="6">
        <f ca="1">Main[[#This Row],[بدهی سررسید شده (کیلوگرم)]]*Main[[#This Row],[روز از ارسال سفارش]]</f>
        <v>0</v>
      </c>
      <c r="U1988" s="6">
        <f>-SUBTOTAL(9,INDEX(Main[مقدار (کیلوگرم)],1):Main[[#This Row],[مقدار (کیلوگرم)]])</f>
        <v>35409</v>
      </c>
      <c r="V19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8" s="6">
        <f>Main[[#This Row],[تعداد کل روزهای بدهکار (روز)]]*Main[[#This Row],[مانده در خط کل (کیلوگرم)]]</f>
        <v>0</v>
      </c>
      <c r="X1988" s="6">
        <f ca="1">-SUBTOTAL(9,INDEX(Main[مقدار تسویه شده (کیلوگرم)],1):Main[[#This Row],[مقدار تسویه شده (کیلوگرم)]])</f>
        <v>35409</v>
      </c>
      <c r="Y1988" s="6">
        <f ca="1">IF(Main[[#This Row],[مانده در خط تسویه شده (کیلوگرم)]]&lt;&gt;0,Main[[#This Row],[تعداد کل روزهای بدهکار (روز)]],0)</f>
        <v>0</v>
      </c>
      <c r="Z1988" s="6">
        <f ca="1">Main[[#This Row],[تعداد روزهای بدهکار تسویه شده (روز)]]*Main[[#This Row],[مانده در خط تسویه شده (کیلوگرم)]]</f>
        <v>0</v>
      </c>
      <c r="AA1988" s="6">
        <f ca="1">SUBTOTAL(9,INDEX(Main[بدهی تسویه نشده (کیلوگرم)],1):Main[[#This Row],[بدهی تسویه نشده (کیلوگرم)]])</f>
        <v>0</v>
      </c>
      <c r="AB1988" s="6">
        <f ca="1">IF(Main[[#This Row],[مانده در خط تسویه نشده (کیلوگرم)]]&lt;&gt;0,Main[[#This Row],[تعداد کل روزهای بدهکار (روز)]],0)</f>
        <v>0</v>
      </c>
      <c r="AC1988" s="6">
        <f ca="1">Main[[#This Row],[تعداد روزهای بدهکار  تسویه نشده (روز)]]*Main[[#This Row],[مانده در خط تسویه نشده (کیلوگرم)]]</f>
        <v>0</v>
      </c>
      <c r="AD1988" s="6">
        <f ca="1">SUBTOTAL(9,INDEX(Main[بدهی سررسید شده (کیلوگرم)],1):Main[[#This Row],[بدهی سررسید شده (کیلوگرم)]])</f>
        <v>0</v>
      </c>
      <c r="AE1988" s="6">
        <f ca="1">IF(Main[[#This Row],[مانده در خط سررسید شده (کیلوگرم)]]&lt;&gt;0,Main[[#This Row],[تعداد کل روزهای بدهکار (روز)]],0)</f>
        <v>0</v>
      </c>
      <c r="AF1988" s="6">
        <f ca="1">Main[[#This Row],[تعداد روزهای بدهکار سررسید شده (روز)]]*Main[[#This Row],[مانده در خط سررسید شده (کیلوگرم)]]</f>
        <v>0</v>
      </c>
    </row>
    <row r="1989" spans="1:32" hidden="1" x14ac:dyDescent="0.35">
      <c r="A1989" s="5">
        <f>ROW()-ROW(INDEX(Main[ردیف],1))+1</f>
        <v>1987</v>
      </c>
      <c r="B1989" s="31">
        <f>SUBTOTAL(2,INDEX(Main[ردیف],1):Main[[#This Row],[ردیف]])</f>
        <v>175</v>
      </c>
      <c r="C1989" s="32" t="s">
        <v>744</v>
      </c>
      <c r="D1989" s="32" t="str">
        <f>_xlfn.CONCAT("14",Main[[#This Row],[تاريخ]])</f>
        <v>1400/08/09</v>
      </c>
      <c r="E1989" s="33">
        <v>44500</v>
      </c>
      <c r="F1989" s="32">
        <v>10069</v>
      </c>
      <c r="G1989" s="5" t="str">
        <f>INDEX(customer[عنوان],MATCH(Main[[#This Row],[کد ردیابی]],customer[کد],0))</f>
        <v xml:space="preserve">جواد عرب </v>
      </c>
      <c r="H1989">
        <v>683</v>
      </c>
      <c r="I1989" s="6">
        <f ca="1">-Main[[#This Row],[بدهی تسویه شده (کیلوگرم)]]+Main[[#This Row],[بستانکار (کیلوگرم)]]</f>
        <v>683</v>
      </c>
      <c r="J1989" s="6">
        <f>IF(Main[[#This Row],[مقدار (کیلوگرم)]]&gt;0,Main[[#This Row],[مقدار (کیلوگرم)]],0)</f>
        <v>683</v>
      </c>
      <c r="K1989" s="6">
        <f>-IF(Main[[#This Row],[مقدار (کیلوگرم)]]&lt;0,Main[[#This Row],[مقدار (کیلوگرم)]],0)</f>
        <v>0</v>
      </c>
      <c r="L19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9" s="7">
        <f>-IF(AND(Main[[#This Row],[مقدار (کیلوگرم)]]&lt;0,Main[[#This Row],[تاريخ میلادی]]&gt;44276),Main[[#This Row],[مقدار (کیلوگرم)]],0)</f>
        <v>0</v>
      </c>
      <c r="N1989" s="6">
        <f ca="1">Main[[#This Row],[بدهکار (کیلوگرم)]]-Main[[#This Row],[بدهی تسویه نشده (کیلوگرم)]]</f>
        <v>0</v>
      </c>
      <c r="O1989" s="6">
        <f ca="1">Main[[#This Row],[تفکیک]]</f>
        <v>0</v>
      </c>
      <c r="P1989" s="6">
        <f ca="1">IF(Main[[#This Row],[تاخیر از سررسید]]&gt;0,Main[[#This Row],[بدهی تسویه نشده (کیلوگرم)]],0)</f>
        <v>0</v>
      </c>
      <c r="Q1989" s="6">
        <f ca="1">IF(Main[[#This Row],[بدهی تسویه نشده (کیلوگرم)]]&gt;0,'گزارش فردی'!$B$7-Main[[#This Row],[تاريخ میلادی]],0)</f>
        <v>0</v>
      </c>
      <c r="R1989" s="6">
        <f ca="1">IF(Main[[#This Row],[بدهی تسویه نشده (کیلوگرم)]]&gt;0,'گزارش فردی'!$B$7-Main[[#This Row],[تاريخ میلادی]]-'گزارش فردی'!$B$8,0)</f>
        <v>0</v>
      </c>
      <c r="S1989" s="6">
        <f ca="1">Main[[#This Row],[روز از ارسال سفارش]]*Main[[#This Row],[بدهی تسویه نشده (کیلوگرم)]]</f>
        <v>0</v>
      </c>
      <c r="T1989" s="6">
        <f ca="1">Main[[#This Row],[بدهی سررسید شده (کیلوگرم)]]*Main[[#This Row],[روز از ارسال سفارش]]</f>
        <v>0</v>
      </c>
      <c r="U1989" s="6">
        <f>-SUBTOTAL(9,INDEX(Main[مقدار (کیلوگرم)],1):Main[[#This Row],[مقدار (کیلوگرم)]])</f>
        <v>35409</v>
      </c>
      <c r="V19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9" s="6">
        <f>Main[[#This Row],[تعداد کل روزهای بدهکار (روز)]]*Main[[#This Row],[مانده در خط کل (کیلوگرم)]]</f>
        <v>0</v>
      </c>
      <c r="X1989" s="6">
        <f ca="1">-SUBTOTAL(9,INDEX(Main[مقدار تسویه شده (کیلوگرم)],1):Main[[#This Row],[مقدار تسویه شده (کیلوگرم)]])</f>
        <v>35409</v>
      </c>
      <c r="Y1989" s="6">
        <f ca="1">IF(Main[[#This Row],[مانده در خط تسویه شده (کیلوگرم)]]&lt;&gt;0,Main[[#This Row],[تعداد کل روزهای بدهکار (روز)]],0)</f>
        <v>0</v>
      </c>
      <c r="Z1989" s="6">
        <f ca="1">Main[[#This Row],[تعداد روزهای بدهکار تسویه شده (روز)]]*Main[[#This Row],[مانده در خط تسویه شده (کیلوگرم)]]</f>
        <v>0</v>
      </c>
      <c r="AA1989" s="6">
        <f ca="1">SUBTOTAL(9,INDEX(Main[بدهی تسویه نشده (کیلوگرم)],1):Main[[#This Row],[بدهی تسویه نشده (کیلوگرم)]])</f>
        <v>0</v>
      </c>
      <c r="AB1989" s="6">
        <f ca="1">IF(Main[[#This Row],[مانده در خط تسویه نشده (کیلوگرم)]]&lt;&gt;0,Main[[#This Row],[تعداد کل روزهای بدهکار (روز)]],0)</f>
        <v>0</v>
      </c>
      <c r="AC1989" s="6">
        <f ca="1">Main[[#This Row],[تعداد روزهای بدهکار  تسویه نشده (روز)]]*Main[[#This Row],[مانده در خط تسویه نشده (کیلوگرم)]]</f>
        <v>0</v>
      </c>
      <c r="AD1989" s="6">
        <f ca="1">SUBTOTAL(9,INDEX(Main[بدهی سررسید شده (کیلوگرم)],1):Main[[#This Row],[بدهی سررسید شده (کیلوگرم)]])</f>
        <v>0</v>
      </c>
      <c r="AE1989" s="6">
        <f ca="1">IF(Main[[#This Row],[مانده در خط سررسید شده (کیلوگرم)]]&lt;&gt;0,Main[[#This Row],[تعداد کل روزهای بدهکار (روز)]],0)</f>
        <v>0</v>
      </c>
      <c r="AF1989" s="6">
        <f ca="1">Main[[#This Row],[تعداد روزهای بدهکار سررسید شده (روز)]]*Main[[#This Row],[مانده در خط سررسید شده (کیلوگرم)]]</f>
        <v>0</v>
      </c>
    </row>
    <row r="1990" spans="1:32" hidden="1" x14ac:dyDescent="0.35">
      <c r="A1990" s="5">
        <f>ROW()-ROW(INDEX(Main[ردیف],1))+1</f>
        <v>1988</v>
      </c>
      <c r="B1990" s="31">
        <f>SUBTOTAL(2,INDEX(Main[ردیف],1):Main[[#This Row],[ردیف]])</f>
        <v>175</v>
      </c>
      <c r="C1990" s="32" t="s">
        <v>744</v>
      </c>
      <c r="D1990" s="32" t="str">
        <f>_xlfn.CONCAT("14",Main[[#This Row],[تاريخ]])</f>
        <v>1400/08/09</v>
      </c>
      <c r="E1990" s="33">
        <v>44500</v>
      </c>
      <c r="F1990" s="32">
        <v>50016</v>
      </c>
      <c r="G1990" s="5" t="str">
        <f>INDEX(customer[عنوان],MATCH(Main[[#This Row],[کد ردیابی]],customer[کد],0))</f>
        <v xml:space="preserve">مهدی یوسفی  </v>
      </c>
      <c r="H1990">
        <v>-2471</v>
      </c>
      <c r="I1990" s="6">
        <f ca="1">-Main[[#This Row],[بدهی تسویه شده (کیلوگرم)]]+Main[[#This Row],[بستانکار (کیلوگرم)]]</f>
        <v>-2471</v>
      </c>
      <c r="J1990" s="6">
        <f>IF(Main[[#This Row],[مقدار (کیلوگرم)]]&gt;0,Main[[#This Row],[مقدار (کیلوگرم)]],0)</f>
        <v>0</v>
      </c>
      <c r="K1990" s="6">
        <f>-IF(Main[[#This Row],[مقدار (کیلوگرم)]]&lt;0,Main[[#This Row],[مقدار (کیلوگرم)]],0)</f>
        <v>2471</v>
      </c>
      <c r="L19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0" s="7">
        <f>-IF(AND(Main[[#This Row],[مقدار (کیلوگرم)]]&lt;0,Main[[#This Row],[تاريخ میلادی]]&gt;44276),Main[[#This Row],[مقدار (کیلوگرم)]],0)</f>
        <v>2471</v>
      </c>
      <c r="N1990" s="6">
        <f ca="1">Main[[#This Row],[بدهکار (کیلوگرم)]]-Main[[#This Row],[بدهی تسویه نشده (کیلوگرم)]]</f>
        <v>2471</v>
      </c>
      <c r="O1990" s="6">
        <f ca="1">Main[[#This Row],[تفکیک]]</f>
        <v>0</v>
      </c>
      <c r="P1990" s="6">
        <f ca="1">IF(Main[[#This Row],[تاخیر از سررسید]]&gt;0,Main[[#This Row],[بدهی تسویه نشده (کیلوگرم)]],0)</f>
        <v>0</v>
      </c>
      <c r="Q1990" s="6">
        <f ca="1">IF(Main[[#This Row],[بدهی تسویه نشده (کیلوگرم)]]&gt;0,'گزارش فردی'!$B$7-Main[[#This Row],[تاريخ میلادی]],0)</f>
        <v>0</v>
      </c>
      <c r="R1990" s="6">
        <f ca="1">IF(Main[[#This Row],[بدهی تسویه نشده (کیلوگرم)]]&gt;0,'گزارش فردی'!$B$7-Main[[#This Row],[تاريخ میلادی]]-'گزارش فردی'!$B$8,0)</f>
        <v>0</v>
      </c>
      <c r="S1990" s="6">
        <f ca="1">Main[[#This Row],[روز از ارسال سفارش]]*Main[[#This Row],[بدهی تسویه نشده (کیلوگرم)]]</f>
        <v>0</v>
      </c>
      <c r="T1990" s="6">
        <f ca="1">Main[[#This Row],[بدهی سررسید شده (کیلوگرم)]]*Main[[#This Row],[روز از ارسال سفارش]]</f>
        <v>0</v>
      </c>
      <c r="U1990" s="6">
        <f>-SUBTOTAL(9,INDEX(Main[مقدار (کیلوگرم)],1):Main[[#This Row],[مقدار (کیلوگرم)]])</f>
        <v>35409</v>
      </c>
      <c r="V19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0" s="6">
        <f>Main[[#This Row],[تعداد کل روزهای بدهکار (روز)]]*Main[[#This Row],[مانده در خط کل (کیلوگرم)]]</f>
        <v>0</v>
      </c>
      <c r="X1990" s="6">
        <f ca="1">-SUBTOTAL(9,INDEX(Main[مقدار تسویه شده (کیلوگرم)],1):Main[[#This Row],[مقدار تسویه شده (کیلوگرم)]])</f>
        <v>35409</v>
      </c>
      <c r="Y1990" s="6">
        <f ca="1">IF(Main[[#This Row],[مانده در خط تسویه شده (کیلوگرم)]]&lt;&gt;0,Main[[#This Row],[تعداد کل روزهای بدهکار (روز)]],0)</f>
        <v>0</v>
      </c>
      <c r="Z1990" s="6">
        <f ca="1">Main[[#This Row],[تعداد روزهای بدهکار تسویه شده (روز)]]*Main[[#This Row],[مانده در خط تسویه شده (کیلوگرم)]]</f>
        <v>0</v>
      </c>
      <c r="AA1990" s="6">
        <f ca="1">SUBTOTAL(9,INDEX(Main[بدهی تسویه نشده (کیلوگرم)],1):Main[[#This Row],[بدهی تسویه نشده (کیلوگرم)]])</f>
        <v>0</v>
      </c>
      <c r="AB1990" s="6">
        <f ca="1">IF(Main[[#This Row],[مانده در خط تسویه نشده (کیلوگرم)]]&lt;&gt;0,Main[[#This Row],[تعداد کل روزهای بدهکار (روز)]],0)</f>
        <v>0</v>
      </c>
      <c r="AC1990" s="6">
        <f ca="1">Main[[#This Row],[تعداد روزهای بدهکار  تسویه نشده (روز)]]*Main[[#This Row],[مانده در خط تسویه نشده (کیلوگرم)]]</f>
        <v>0</v>
      </c>
      <c r="AD1990" s="6">
        <f ca="1">SUBTOTAL(9,INDEX(Main[بدهی سررسید شده (کیلوگرم)],1):Main[[#This Row],[بدهی سررسید شده (کیلوگرم)]])</f>
        <v>0</v>
      </c>
      <c r="AE1990" s="6">
        <f ca="1">IF(Main[[#This Row],[مانده در خط سررسید شده (کیلوگرم)]]&lt;&gt;0,Main[[#This Row],[تعداد کل روزهای بدهکار (روز)]],0)</f>
        <v>0</v>
      </c>
      <c r="AF1990" s="6">
        <f ca="1">Main[[#This Row],[تعداد روزهای بدهکار سررسید شده (روز)]]*Main[[#This Row],[مانده در خط سررسید شده (کیلوگرم)]]</f>
        <v>0</v>
      </c>
    </row>
    <row r="1991" spans="1:32" hidden="1" x14ac:dyDescent="0.35">
      <c r="A1991" s="5">
        <f>ROW()-ROW(INDEX(Main[ردیف],1))+1</f>
        <v>1989</v>
      </c>
      <c r="B1991" s="31">
        <f>SUBTOTAL(2,INDEX(Main[ردیف],1):Main[[#This Row],[ردیف]])</f>
        <v>175</v>
      </c>
      <c r="C1991" s="32" t="s">
        <v>744</v>
      </c>
      <c r="D1991" s="32" t="str">
        <f>_xlfn.CONCAT("14",Main[[#This Row],[تاريخ]])</f>
        <v>1400/08/09</v>
      </c>
      <c r="E1991" s="33">
        <v>44500</v>
      </c>
      <c r="F1991" s="32">
        <v>10009</v>
      </c>
      <c r="G1991" s="5" t="str">
        <f>INDEX(customer[عنوان],MATCH(Main[[#This Row],[کد ردیابی]],customer[کد],0))</f>
        <v>محمد نمازی</v>
      </c>
      <c r="H1991">
        <v>1942</v>
      </c>
      <c r="I1991" s="6">
        <f ca="1">-Main[[#This Row],[بدهی تسویه شده (کیلوگرم)]]+Main[[#This Row],[بستانکار (کیلوگرم)]]</f>
        <v>1942</v>
      </c>
      <c r="J1991" s="6">
        <f>IF(Main[[#This Row],[مقدار (کیلوگرم)]]&gt;0,Main[[#This Row],[مقدار (کیلوگرم)]],0)</f>
        <v>1942</v>
      </c>
      <c r="K1991" s="6">
        <f>-IF(Main[[#This Row],[مقدار (کیلوگرم)]]&lt;0,Main[[#This Row],[مقدار (کیلوگرم)]],0)</f>
        <v>0</v>
      </c>
      <c r="L19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1" s="7">
        <f>-IF(AND(Main[[#This Row],[مقدار (کیلوگرم)]]&lt;0,Main[[#This Row],[تاريخ میلادی]]&gt;44276),Main[[#This Row],[مقدار (کیلوگرم)]],0)</f>
        <v>0</v>
      </c>
      <c r="N1991" s="6">
        <f ca="1">Main[[#This Row],[بدهکار (کیلوگرم)]]-Main[[#This Row],[بدهی تسویه نشده (کیلوگرم)]]</f>
        <v>0</v>
      </c>
      <c r="O1991" s="6">
        <f ca="1">Main[[#This Row],[تفکیک]]</f>
        <v>0</v>
      </c>
      <c r="P1991" s="6">
        <f ca="1">IF(Main[[#This Row],[تاخیر از سررسید]]&gt;0,Main[[#This Row],[بدهی تسویه نشده (کیلوگرم)]],0)</f>
        <v>0</v>
      </c>
      <c r="Q1991" s="6">
        <f ca="1">IF(Main[[#This Row],[بدهی تسویه نشده (کیلوگرم)]]&gt;0,'گزارش فردی'!$B$7-Main[[#This Row],[تاريخ میلادی]],0)</f>
        <v>0</v>
      </c>
      <c r="R1991" s="6">
        <f ca="1">IF(Main[[#This Row],[بدهی تسویه نشده (کیلوگرم)]]&gt;0,'گزارش فردی'!$B$7-Main[[#This Row],[تاريخ میلادی]]-'گزارش فردی'!$B$8,0)</f>
        <v>0</v>
      </c>
      <c r="S1991" s="6">
        <f ca="1">Main[[#This Row],[روز از ارسال سفارش]]*Main[[#This Row],[بدهی تسویه نشده (کیلوگرم)]]</f>
        <v>0</v>
      </c>
      <c r="T1991" s="6">
        <f ca="1">Main[[#This Row],[بدهی سررسید شده (کیلوگرم)]]*Main[[#This Row],[روز از ارسال سفارش]]</f>
        <v>0</v>
      </c>
      <c r="U1991" s="6">
        <f>-SUBTOTAL(9,INDEX(Main[مقدار (کیلوگرم)],1):Main[[#This Row],[مقدار (کیلوگرم)]])</f>
        <v>35409</v>
      </c>
      <c r="V19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1" s="6">
        <f>Main[[#This Row],[تعداد کل روزهای بدهکار (روز)]]*Main[[#This Row],[مانده در خط کل (کیلوگرم)]]</f>
        <v>0</v>
      </c>
      <c r="X1991" s="6">
        <f ca="1">-SUBTOTAL(9,INDEX(Main[مقدار تسویه شده (کیلوگرم)],1):Main[[#This Row],[مقدار تسویه شده (کیلوگرم)]])</f>
        <v>35409</v>
      </c>
      <c r="Y1991" s="6">
        <f ca="1">IF(Main[[#This Row],[مانده در خط تسویه شده (کیلوگرم)]]&lt;&gt;0,Main[[#This Row],[تعداد کل روزهای بدهکار (روز)]],0)</f>
        <v>0</v>
      </c>
      <c r="Z1991" s="6">
        <f ca="1">Main[[#This Row],[تعداد روزهای بدهکار تسویه شده (روز)]]*Main[[#This Row],[مانده در خط تسویه شده (کیلوگرم)]]</f>
        <v>0</v>
      </c>
      <c r="AA1991" s="6">
        <f ca="1">SUBTOTAL(9,INDEX(Main[بدهی تسویه نشده (کیلوگرم)],1):Main[[#This Row],[بدهی تسویه نشده (کیلوگرم)]])</f>
        <v>0</v>
      </c>
      <c r="AB1991" s="6">
        <f ca="1">IF(Main[[#This Row],[مانده در خط تسویه نشده (کیلوگرم)]]&lt;&gt;0,Main[[#This Row],[تعداد کل روزهای بدهکار (روز)]],0)</f>
        <v>0</v>
      </c>
      <c r="AC1991" s="6">
        <f ca="1">Main[[#This Row],[تعداد روزهای بدهکار  تسویه نشده (روز)]]*Main[[#This Row],[مانده در خط تسویه نشده (کیلوگرم)]]</f>
        <v>0</v>
      </c>
      <c r="AD1991" s="6">
        <f ca="1">SUBTOTAL(9,INDEX(Main[بدهی سررسید شده (کیلوگرم)],1):Main[[#This Row],[بدهی سررسید شده (کیلوگرم)]])</f>
        <v>0</v>
      </c>
      <c r="AE1991" s="6">
        <f ca="1">IF(Main[[#This Row],[مانده در خط سررسید شده (کیلوگرم)]]&lt;&gt;0,Main[[#This Row],[تعداد کل روزهای بدهکار (روز)]],0)</f>
        <v>0</v>
      </c>
      <c r="AF1991" s="6">
        <f ca="1">Main[[#This Row],[تعداد روزهای بدهکار سررسید شده (روز)]]*Main[[#This Row],[مانده در خط سررسید شده (کیلوگرم)]]</f>
        <v>0</v>
      </c>
    </row>
    <row r="1992" spans="1:32" hidden="1" x14ac:dyDescent="0.35">
      <c r="A1992" s="5">
        <f>ROW()-ROW(INDEX(Main[ردیف],1))+1</f>
        <v>1990</v>
      </c>
      <c r="B1992" s="31">
        <f>SUBTOTAL(2,INDEX(Main[ردیف],1):Main[[#This Row],[ردیف]])</f>
        <v>175</v>
      </c>
      <c r="C1992" s="32" t="s">
        <v>744</v>
      </c>
      <c r="D1992" s="32" t="str">
        <f>_xlfn.CONCAT("14",Main[[#This Row],[تاريخ]])</f>
        <v>1400/08/09</v>
      </c>
      <c r="E1992" s="33">
        <v>44500</v>
      </c>
      <c r="F1992" s="32">
        <v>30186</v>
      </c>
      <c r="G1992" s="5" t="str">
        <f>INDEX(customer[عنوان],MATCH(Main[[#This Row],[کد ردیابی]],customer[کد],0))</f>
        <v>سارا گاز</v>
      </c>
      <c r="H1992">
        <v>-882</v>
      </c>
      <c r="I1992" s="6">
        <f ca="1">-Main[[#This Row],[بدهی تسویه شده (کیلوگرم)]]+Main[[#This Row],[بستانکار (کیلوگرم)]]</f>
        <v>-882</v>
      </c>
      <c r="J1992" s="6">
        <f>IF(Main[[#This Row],[مقدار (کیلوگرم)]]&gt;0,Main[[#This Row],[مقدار (کیلوگرم)]],0)</f>
        <v>0</v>
      </c>
      <c r="K1992" s="6">
        <f>-IF(Main[[#This Row],[مقدار (کیلوگرم)]]&lt;0,Main[[#This Row],[مقدار (کیلوگرم)]],0)</f>
        <v>882</v>
      </c>
      <c r="L19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2" s="7">
        <f>-IF(AND(Main[[#This Row],[مقدار (کیلوگرم)]]&lt;0,Main[[#This Row],[تاريخ میلادی]]&gt;44276),Main[[#This Row],[مقدار (کیلوگرم)]],0)</f>
        <v>882</v>
      </c>
      <c r="N1992" s="6">
        <f ca="1">Main[[#This Row],[بدهکار (کیلوگرم)]]-Main[[#This Row],[بدهی تسویه نشده (کیلوگرم)]]</f>
        <v>882</v>
      </c>
      <c r="O1992" s="6">
        <f ca="1">Main[[#This Row],[تفکیک]]</f>
        <v>0</v>
      </c>
      <c r="P1992" s="6">
        <f ca="1">IF(Main[[#This Row],[تاخیر از سررسید]]&gt;0,Main[[#This Row],[بدهی تسویه نشده (کیلوگرم)]],0)</f>
        <v>0</v>
      </c>
      <c r="Q1992" s="6">
        <f ca="1">IF(Main[[#This Row],[بدهی تسویه نشده (کیلوگرم)]]&gt;0,'گزارش فردی'!$B$7-Main[[#This Row],[تاريخ میلادی]],0)</f>
        <v>0</v>
      </c>
      <c r="R1992" s="6">
        <f ca="1">IF(Main[[#This Row],[بدهی تسویه نشده (کیلوگرم)]]&gt;0,'گزارش فردی'!$B$7-Main[[#This Row],[تاريخ میلادی]]-'گزارش فردی'!$B$8,0)</f>
        <v>0</v>
      </c>
      <c r="S1992" s="6">
        <f ca="1">Main[[#This Row],[روز از ارسال سفارش]]*Main[[#This Row],[بدهی تسویه نشده (کیلوگرم)]]</f>
        <v>0</v>
      </c>
      <c r="T1992" s="6">
        <f ca="1">Main[[#This Row],[بدهی سررسید شده (کیلوگرم)]]*Main[[#This Row],[روز از ارسال سفارش]]</f>
        <v>0</v>
      </c>
      <c r="U1992" s="6">
        <f>-SUBTOTAL(9,INDEX(Main[مقدار (کیلوگرم)],1):Main[[#This Row],[مقدار (کیلوگرم)]])</f>
        <v>35409</v>
      </c>
      <c r="V19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2" s="6">
        <f>Main[[#This Row],[تعداد کل روزهای بدهکار (روز)]]*Main[[#This Row],[مانده در خط کل (کیلوگرم)]]</f>
        <v>0</v>
      </c>
      <c r="X1992" s="6">
        <f ca="1">-SUBTOTAL(9,INDEX(Main[مقدار تسویه شده (کیلوگرم)],1):Main[[#This Row],[مقدار تسویه شده (کیلوگرم)]])</f>
        <v>35409</v>
      </c>
      <c r="Y1992" s="6">
        <f ca="1">IF(Main[[#This Row],[مانده در خط تسویه شده (کیلوگرم)]]&lt;&gt;0,Main[[#This Row],[تعداد کل روزهای بدهکار (روز)]],0)</f>
        <v>0</v>
      </c>
      <c r="Z1992" s="6">
        <f ca="1">Main[[#This Row],[تعداد روزهای بدهکار تسویه شده (روز)]]*Main[[#This Row],[مانده در خط تسویه شده (کیلوگرم)]]</f>
        <v>0</v>
      </c>
      <c r="AA1992" s="6">
        <f ca="1">SUBTOTAL(9,INDEX(Main[بدهی تسویه نشده (کیلوگرم)],1):Main[[#This Row],[بدهی تسویه نشده (کیلوگرم)]])</f>
        <v>0</v>
      </c>
      <c r="AB1992" s="6">
        <f ca="1">IF(Main[[#This Row],[مانده در خط تسویه نشده (کیلوگرم)]]&lt;&gt;0,Main[[#This Row],[تعداد کل روزهای بدهکار (روز)]],0)</f>
        <v>0</v>
      </c>
      <c r="AC1992" s="6">
        <f ca="1">Main[[#This Row],[تعداد روزهای بدهکار  تسویه نشده (روز)]]*Main[[#This Row],[مانده در خط تسویه نشده (کیلوگرم)]]</f>
        <v>0</v>
      </c>
      <c r="AD1992" s="6">
        <f ca="1">SUBTOTAL(9,INDEX(Main[بدهی سررسید شده (کیلوگرم)],1):Main[[#This Row],[بدهی سررسید شده (کیلوگرم)]])</f>
        <v>0</v>
      </c>
      <c r="AE1992" s="6">
        <f ca="1">IF(Main[[#This Row],[مانده در خط سررسید شده (کیلوگرم)]]&lt;&gt;0,Main[[#This Row],[تعداد کل روزهای بدهکار (روز)]],0)</f>
        <v>0</v>
      </c>
      <c r="AF1992" s="6">
        <f ca="1">Main[[#This Row],[تعداد روزهای بدهکار سررسید شده (روز)]]*Main[[#This Row],[مانده در خط سررسید شده (کیلوگرم)]]</f>
        <v>0</v>
      </c>
    </row>
    <row r="1993" spans="1:32" x14ac:dyDescent="0.35">
      <c r="A1993" s="5">
        <f>ROW()-ROW(INDEX(Main[ردیف],1))+1</f>
        <v>1991</v>
      </c>
      <c r="B1993" s="31">
        <f>SUBTOTAL(2,INDEX(Main[ردیف],1):Main[[#This Row],[ردیف]])</f>
        <v>176</v>
      </c>
      <c r="C1993" s="32" t="s">
        <v>744</v>
      </c>
      <c r="D1993" s="32" t="str">
        <f>_xlfn.CONCAT("14",Main[[#This Row],[تاريخ]])</f>
        <v>1400/08/09</v>
      </c>
      <c r="E1993" s="33">
        <v>44500</v>
      </c>
      <c r="F1993" s="32">
        <v>10003</v>
      </c>
      <c r="G1993" s="5" t="str">
        <f>INDEX(customer[عنوان],MATCH(Main[[#This Row],[کد ردیابی]],customer[کد],0))</f>
        <v>اصغر نورعلی</v>
      </c>
      <c r="H1993">
        <v>2854</v>
      </c>
      <c r="I1993" s="6">
        <f ca="1">-Main[[#This Row],[بدهی تسویه شده (کیلوگرم)]]+Main[[#This Row],[بستانکار (کیلوگرم)]]</f>
        <v>2854</v>
      </c>
      <c r="J1993" s="6">
        <f>IF(Main[[#This Row],[مقدار (کیلوگرم)]]&gt;0,Main[[#This Row],[مقدار (کیلوگرم)]],0)</f>
        <v>2854</v>
      </c>
      <c r="K1993" s="6">
        <f>-IF(Main[[#This Row],[مقدار (کیلوگرم)]]&lt;0,Main[[#This Row],[مقدار (کیلوگرم)]],0)</f>
        <v>0</v>
      </c>
      <c r="L19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3" s="7">
        <f>-IF(AND(Main[[#This Row],[مقدار (کیلوگرم)]]&lt;0,Main[[#This Row],[تاريخ میلادی]]&gt;44276),Main[[#This Row],[مقدار (کیلوگرم)]],0)</f>
        <v>0</v>
      </c>
      <c r="N1993" s="6">
        <f ca="1">Main[[#This Row],[بدهکار (کیلوگرم)]]-Main[[#This Row],[بدهی تسویه نشده (کیلوگرم)]]</f>
        <v>0</v>
      </c>
      <c r="O1993" s="6">
        <f ca="1">Main[[#This Row],[تفکیک]]</f>
        <v>0</v>
      </c>
      <c r="P1993" s="6">
        <f ca="1">IF(Main[[#This Row],[تاخیر از سررسید]]&gt;0,Main[[#This Row],[بدهی تسویه نشده (کیلوگرم)]],0)</f>
        <v>0</v>
      </c>
      <c r="Q1993" s="6">
        <f ca="1">IF(Main[[#This Row],[بدهی تسویه نشده (کیلوگرم)]]&gt;0,'گزارش فردی'!$B$7-Main[[#This Row],[تاريخ میلادی]],0)</f>
        <v>0</v>
      </c>
      <c r="R1993" s="6">
        <f ca="1">IF(Main[[#This Row],[بدهی تسویه نشده (کیلوگرم)]]&gt;0,'گزارش فردی'!$B$7-Main[[#This Row],[تاريخ میلادی]]-'گزارش فردی'!$B$8,0)</f>
        <v>0</v>
      </c>
      <c r="S1993" s="6">
        <f ca="1">Main[[#This Row],[روز از ارسال سفارش]]*Main[[#This Row],[بدهی تسویه نشده (کیلوگرم)]]</f>
        <v>0</v>
      </c>
      <c r="T1993" s="6">
        <f ca="1">Main[[#This Row],[بدهی سررسید شده (کیلوگرم)]]*Main[[#This Row],[روز از ارسال سفارش]]</f>
        <v>0</v>
      </c>
      <c r="U1993" s="6">
        <f>-SUBTOTAL(9,INDEX(Main[مقدار (کیلوگرم)],1):Main[[#This Row],[مقدار (کیلوگرم)]])</f>
        <v>32555</v>
      </c>
      <c r="V19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3" s="6">
        <f>Main[[#This Row],[تعداد کل روزهای بدهکار (روز)]]*Main[[#This Row],[مانده در خط کل (کیلوگرم)]]</f>
        <v>0</v>
      </c>
      <c r="X1993" s="6">
        <f ca="1">-SUBTOTAL(9,INDEX(Main[مقدار تسویه شده (کیلوگرم)],1):Main[[#This Row],[مقدار تسویه شده (کیلوگرم)]])</f>
        <v>32555</v>
      </c>
      <c r="Y1993" s="6">
        <f ca="1">IF(Main[[#This Row],[مانده در خط تسویه شده (کیلوگرم)]]&lt;&gt;0,Main[[#This Row],[تعداد کل روزهای بدهکار (روز)]],0)</f>
        <v>0</v>
      </c>
      <c r="Z1993" s="6">
        <f ca="1">Main[[#This Row],[تعداد روزهای بدهکار تسویه شده (روز)]]*Main[[#This Row],[مانده در خط تسویه شده (کیلوگرم)]]</f>
        <v>0</v>
      </c>
      <c r="AA1993" s="6">
        <f ca="1">SUBTOTAL(9,INDEX(Main[بدهی تسویه نشده (کیلوگرم)],1):Main[[#This Row],[بدهی تسویه نشده (کیلوگرم)]])</f>
        <v>0</v>
      </c>
      <c r="AB1993" s="6">
        <f ca="1">IF(Main[[#This Row],[مانده در خط تسویه نشده (کیلوگرم)]]&lt;&gt;0,Main[[#This Row],[تعداد کل روزهای بدهکار (روز)]],0)</f>
        <v>0</v>
      </c>
      <c r="AC1993" s="6">
        <f ca="1">Main[[#This Row],[تعداد روزهای بدهکار  تسویه نشده (روز)]]*Main[[#This Row],[مانده در خط تسویه نشده (کیلوگرم)]]</f>
        <v>0</v>
      </c>
      <c r="AD1993" s="6">
        <f ca="1">SUBTOTAL(9,INDEX(Main[بدهی سررسید شده (کیلوگرم)],1):Main[[#This Row],[بدهی سررسید شده (کیلوگرم)]])</f>
        <v>0</v>
      </c>
      <c r="AE1993" s="6">
        <f ca="1">IF(Main[[#This Row],[مانده در خط سررسید شده (کیلوگرم)]]&lt;&gt;0,Main[[#This Row],[تعداد کل روزهای بدهکار (روز)]],0)</f>
        <v>0</v>
      </c>
      <c r="AF1993" s="6">
        <f ca="1">Main[[#This Row],[تعداد روزهای بدهکار سررسید شده (روز)]]*Main[[#This Row],[مانده در خط سررسید شده (کیلوگرم)]]</f>
        <v>0</v>
      </c>
    </row>
    <row r="1994" spans="1:32" hidden="1" x14ac:dyDescent="0.35">
      <c r="A1994" s="5">
        <f>ROW()-ROW(INDEX(Main[ردیف],1))+1</f>
        <v>1992</v>
      </c>
      <c r="B1994" s="31">
        <f>SUBTOTAL(2,INDEX(Main[ردیف],1):Main[[#This Row],[ردیف]])</f>
        <v>176</v>
      </c>
      <c r="C1994" s="32" t="s">
        <v>744</v>
      </c>
      <c r="D1994" s="32" t="str">
        <f>_xlfn.CONCAT("14",Main[[#This Row],[تاريخ]])</f>
        <v>1400/08/09</v>
      </c>
      <c r="E1994" s="33">
        <v>44500</v>
      </c>
      <c r="F1994" s="32">
        <v>10018</v>
      </c>
      <c r="G1994" s="5" t="str">
        <f>INDEX(customer[عنوان],MATCH(Main[[#This Row],[کد ردیابی]],customer[کد],0))</f>
        <v xml:space="preserve">کوهی </v>
      </c>
      <c r="H1994">
        <v>-398</v>
      </c>
      <c r="I1994" s="6">
        <f ca="1">-Main[[#This Row],[بدهی تسویه شده (کیلوگرم)]]+Main[[#This Row],[بستانکار (کیلوگرم)]]</f>
        <v>-398</v>
      </c>
      <c r="J1994" s="6">
        <f>IF(Main[[#This Row],[مقدار (کیلوگرم)]]&gt;0,Main[[#This Row],[مقدار (کیلوگرم)]],0)</f>
        <v>0</v>
      </c>
      <c r="K1994" s="6">
        <f>-IF(Main[[#This Row],[مقدار (کیلوگرم)]]&lt;0,Main[[#This Row],[مقدار (کیلوگرم)]],0)</f>
        <v>398</v>
      </c>
      <c r="L19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4" s="7">
        <f>-IF(AND(Main[[#This Row],[مقدار (کیلوگرم)]]&lt;0,Main[[#This Row],[تاريخ میلادی]]&gt;44276),Main[[#This Row],[مقدار (کیلوگرم)]],0)</f>
        <v>398</v>
      </c>
      <c r="N1994" s="6">
        <f ca="1">Main[[#This Row],[بدهکار (کیلوگرم)]]-Main[[#This Row],[بدهی تسویه نشده (کیلوگرم)]]</f>
        <v>398</v>
      </c>
      <c r="O1994" s="6">
        <f ca="1">Main[[#This Row],[تفکیک]]</f>
        <v>0</v>
      </c>
      <c r="P1994" s="6">
        <f ca="1">IF(Main[[#This Row],[تاخیر از سررسید]]&gt;0,Main[[#This Row],[بدهی تسویه نشده (کیلوگرم)]],0)</f>
        <v>0</v>
      </c>
      <c r="Q1994" s="6">
        <f ca="1">IF(Main[[#This Row],[بدهی تسویه نشده (کیلوگرم)]]&gt;0,'گزارش فردی'!$B$7-Main[[#This Row],[تاريخ میلادی]],0)</f>
        <v>0</v>
      </c>
      <c r="R1994" s="6">
        <f ca="1">IF(Main[[#This Row],[بدهی تسویه نشده (کیلوگرم)]]&gt;0,'گزارش فردی'!$B$7-Main[[#This Row],[تاريخ میلادی]]-'گزارش فردی'!$B$8,0)</f>
        <v>0</v>
      </c>
      <c r="S1994" s="6">
        <f ca="1">Main[[#This Row],[روز از ارسال سفارش]]*Main[[#This Row],[بدهی تسویه نشده (کیلوگرم)]]</f>
        <v>0</v>
      </c>
      <c r="T1994" s="6">
        <f ca="1">Main[[#This Row],[بدهی سررسید شده (کیلوگرم)]]*Main[[#This Row],[روز از ارسال سفارش]]</f>
        <v>0</v>
      </c>
      <c r="U1994" s="6">
        <f>-SUBTOTAL(9,INDEX(Main[مقدار (کیلوگرم)],1):Main[[#This Row],[مقدار (کیلوگرم)]])</f>
        <v>32555</v>
      </c>
      <c r="V19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4" s="6">
        <f>Main[[#This Row],[تعداد کل روزهای بدهکار (روز)]]*Main[[#This Row],[مانده در خط کل (کیلوگرم)]]</f>
        <v>0</v>
      </c>
      <c r="X1994" s="6">
        <f ca="1">-SUBTOTAL(9,INDEX(Main[مقدار تسویه شده (کیلوگرم)],1):Main[[#This Row],[مقدار تسویه شده (کیلوگرم)]])</f>
        <v>32555</v>
      </c>
      <c r="Y1994" s="6">
        <f ca="1">IF(Main[[#This Row],[مانده در خط تسویه شده (کیلوگرم)]]&lt;&gt;0,Main[[#This Row],[تعداد کل روزهای بدهکار (روز)]],0)</f>
        <v>0</v>
      </c>
      <c r="Z1994" s="6">
        <f ca="1">Main[[#This Row],[تعداد روزهای بدهکار تسویه شده (روز)]]*Main[[#This Row],[مانده در خط تسویه شده (کیلوگرم)]]</f>
        <v>0</v>
      </c>
      <c r="AA1994" s="6">
        <f ca="1">SUBTOTAL(9,INDEX(Main[بدهی تسویه نشده (کیلوگرم)],1):Main[[#This Row],[بدهی تسویه نشده (کیلوگرم)]])</f>
        <v>0</v>
      </c>
      <c r="AB1994" s="6">
        <f ca="1">IF(Main[[#This Row],[مانده در خط تسویه نشده (کیلوگرم)]]&lt;&gt;0,Main[[#This Row],[تعداد کل روزهای بدهکار (روز)]],0)</f>
        <v>0</v>
      </c>
      <c r="AC1994" s="6">
        <f ca="1">Main[[#This Row],[تعداد روزهای بدهکار  تسویه نشده (روز)]]*Main[[#This Row],[مانده در خط تسویه نشده (کیلوگرم)]]</f>
        <v>0</v>
      </c>
      <c r="AD1994" s="6">
        <f ca="1">SUBTOTAL(9,INDEX(Main[بدهی سررسید شده (کیلوگرم)],1):Main[[#This Row],[بدهی سررسید شده (کیلوگرم)]])</f>
        <v>0</v>
      </c>
      <c r="AE1994" s="6">
        <f ca="1">IF(Main[[#This Row],[مانده در خط سررسید شده (کیلوگرم)]]&lt;&gt;0,Main[[#This Row],[تعداد کل روزهای بدهکار (روز)]],0)</f>
        <v>0</v>
      </c>
      <c r="AF1994" s="6">
        <f ca="1">Main[[#This Row],[تعداد روزهای بدهکار سررسید شده (روز)]]*Main[[#This Row],[مانده در خط سررسید شده (کیلوگرم)]]</f>
        <v>0</v>
      </c>
    </row>
    <row r="1995" spans="1:32" x14ac:dyDescent="0.35">
      <c r="A1995" s="5">
        <f>ROW()-ROW(INDEX(Main[ردیف],1))+1</f>
        <v>1993</v>
      </c>
      <c r="B1995" s="31">
        <f>SUBTOTAL(2,INDEX(Main[ردیف],1):Main[[#This Row],[ردیف]])</f>
        <v>177</v>
      </c>
      <c r="C1995" s="32" t="s">
        <v>744</v>
      </c>
      <c r="D1995" s="32" t="str">
        <f>_xlfn.CONCAT("14",Main[[#This Row],[تاريخ]])</f>
        <v>1400/08/09</v>
      </c>
      <c r="E1995" s="33">
        <v>44500</v>
      </c>
      <c r="F1995" s="32">
        <v>10003</v>
      </c>
      <c r="G1995" s="5" t="str">
        <f>INDEX(customer[عنوان],MATCH(Main[[#This Row],[کد ردیابی]],customer[کد],0))</f>
        <v>اصغر نورعلی</v>
      </c>
      <c r="H1995">
        <v>2135</v>
      </c>
      <c r="I1995" s="6">
        <f ca="1">-Main[[#This Row],[بدهی تسویه شده (کیلوگرم)]]+Main[[#This Row],[بستانکار (کیلوگرم)]]</f>
        <v>2135</v>
      </c>
      <c r="J1995" s="6">
        <f>IF(Main[[#This Row],[مقدار (کیلوگرم)]]&gt;0,Main[[#This Row],[مقدار (کیلوگرم)]],0)</f>
        <v>2135</v>
      </c>
      <c r="K1995" s="6">
        <f>-IF(Main[[#This Row],[مقدار (کیلوگرم)]]&lt;0,Main[[#This Row],[مقدار (کیلوگرم)]],0)</f>
        <v>0</v>
      </c>
      <c r="L19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5" s="7">
        <f>-IF(AND(Main[[#This Row],[مقدار (کیلوگرم)]]&lt;0,Main[[#This Row],[تاريخ میلادی]]&gt;44276),Main[[#This Row],[مقدار (کیلوگرم)]],0)</f>
        <v>0</v>
      </c>
      <c r="N1995" s="6">
        <f ca="1">Main[[#This Row],[بدهکار (کیلوگرم)]]-Main[[#This Row],[بدهی تسویه نشده (کیلوگرم)]]</f>
        <v>0</v>
      </c>
      <c r="O1995" s="6">
        <f ca="1">Main[[#This Row],[تفکیک]]</f>
        <v>0</v>
      </c>
      <c r="P1995" s="6">
        <f ca="1">IF(Main[[#This Row],[تاخیر از سررسید]]&gt;0,Main[[#This Row],[بدهی تسویه نشده (کیلوگرم)]],0)</f>
        <v>0</v>
      </c>
      <c r="Q1995" s="6">
        <f ca="1">IF(Main[[#This Row],[بدهی تسویه نشده (کیلوگرم)]]&gt;0,'گزارش فردی'!$B$7-Main[[#This Row],[تاريخ میلادی]],0)</f>
        <v>0</v>
      </c>
      <c r="R1995" s="6">
        <f ca="1">IF(Main[[#This Row],[بدهی تسویه نشده (کیلوگرم)]]&gt;0,'گزارش فردی'!$B$7-Main[[#This Row],[تاريخ میلادی]]-'گزارش فردی'!$B$8,0)</f>
        <v>0</v>
      </c>
      <c r="S1995" s="6">
        <f ca="1">Main[[#This Row],[روز از ارسال سفارش]]*Main[[#This Row],[بدهی تسویه نشده (کیلوگرم)]]</f>
        <v>0</v>
      </c>
      <c r="T1995" s="6">
        <f ca="1">Main[[#This Row],[بدهی سررسید شده (کیلوگرم)]]*Main[[#This Row],[روز از ارسال سفارش]]</f>
        <v>0</v>
      </c>
      <c r="U1995" s="6">
        <f>-SUBTOTAL(9,INDEX(Main[مقدار (کیلوگرم)],1):Main[[#This Row],[مقدار (کیلوگرم)]])</f>
        <v>30420</v>
      </c>
      <c r="V19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5" s="6">
        <f>Main[[#This Row],[تعداد کل روزهای بدهکار (روز)]]*Main[[#This Row],[مانده در خط کل (کیلوگرم)]]</f>
        <v>0</v>
      </c>
      <c r="X1995" s="6">
        <f ca="1">-SUBTOTAL(9,INDEX(Main[مقدار تسویه شده (کیلوگرم)],1):Main[[#This Row],[مقدار تسویه شده (کیلوگرم)]])</f>
        <v>30420</v>
      </c>
      <c r="Y1995" s="6">
        <f ca="1">IF(Main[[#This Row],[مانده در خط تسویه شده (کیلوگرم)]]&lt;&gt;0,Main[[#This Row],[تعداد کل روزهای بدهکار (روز)]],0)</f>
        <v>0</v>
      </c>
      <c r="Z1995" s="6">
        <f ca="1">Main[[#This Row],[تعداد روزهای بدهکار تسویه شده (روز)]]*Main[[#This Row],[مانده در خط تسویه شده (کیلوگرم)]]</f>
        <v>0</v>
      </c>
      <c r="AA1995" s="6">
        <f ca="1">SUBTOTAL(9,INDEX(Main[بدهی تسویه نشده (کیلوگرم)],1):Main[[#This Row],[بدهی تسویه نشده (کیلوگرم)]])</f>
        <v>0</v>
      </c>
      <c r="AB1995" s="6">
        <f ca="1">IF(Main[[#This Row],[مانده در خط تسویه نشده (کیلوگرم)]]&lt;&gt;0,Main[[#This Row],[تعداد کل روزهای بدهکار (روز)]],0)</f>
        <v>0</v>
      </c>
      <c r="AC1995" s="6">
        <f ca="1">Main[[#This Row],[تعداد روزهای بدهکار  تسویه نشده (روز)]]*Main[[#This Row],[مانده در خط تسویه نشده (کیلوگرم)]]</f>
        <v>0</v>
      </c>
      <c r="AD1995" s="6">
        <f ca="1">SUBTOTAL(9,INDEX(Main[بدهی سررسید شده (کیلوگرم)],1):Main[[#This Row],[بدهی سررسید شده (کیلوگرم)]])</f>
        <v>0</v>
      </c>
      <c r="AE1995" s="6">
        <f ca="1">IF(Main[[#This Row],[مانده در خط سررسید شده (کیلوگرم)]]&lt;&gt;0,Main[[#This Row],[تعداد کل روزهای بدهکار (روز)]],0)</f>
        <v>0</v>
      </c>
      <c r="AF1995" s="6">
        <f ca="1">Main[[#This Row],[تعداد روزهای بدهکار سررسید شده (روز)]]*Main[[#This Row],[مانده در خط سررسید شده (کیلوگرم)]]</f>
        <v>0</v>
      </c>
    </row>
    <row r="1996" spans="1:32" x14ac:dyDescent="0.35">
      <c r="A1996" s="5">
        <f>ROW()-ROW(INDEX(Main[ردیف],1))+1</f>
        <v>1994</v>
      </c>
      <c r="B1996" s="31">
        <f>SUBTOTAL(2,INDEX(Main[ردیف],1):Main[[#This Row],[ردیف]])</f>
        <v>178</v>
      </c>
      <c r="C1996" s="32" t="s">
        <v>744</v>
      </c>
      <c r="D1996" s="32" t="str">
        <f>_xlfn.CONCAT("14",Main[[#This Row],[تاريخ]])</f>
        <v>1400/08/09</v>
      </c>
      <c r="E1996" s="33">
        <v>44500</v>
      </c>
      <c r="F1996" s="32">
        <v>10003</v>
      </c>
      <c r="G1996" s="5" t="str">
        <f>INDEX(customer[عنوان],MATCH(Main[[#This Row],[کد ردیابی]],customer[کد],0))</f>
        <v>اصغر نورعلی</v>
      </c>
      <c r="H1996">
        <v>-2108</v>
      </c>
      <c r="I1996" s="6">
        <f ca="1">-Main[[#This Row],[بدهی تسویه شده (کیلوگرم)]]+Main[[#This Row],[بستانکار (کیلوگرم)]]</f>
        <v>-2108</v>
      </c>
      <c r="J1996" s="6">
        <f>IF(Main[[#This Row],[مقدار (کیلوگرم)]]&gt;0,Main[[#This Row],[مقدار (کیلوگرم)]],0)</f>
        <v>0</v>
      </c>
      <c r="K1996" s="6">
        <f>-IF(Main[[#This Row],[مقدار (کیلوگرم)]]&lt;0,Main[[#This Row],[مقدار (کیلوگرم)]],0)</f>
        <v>2108</v>
      </c>
      <c r="L19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6" s="7">
        <f>-IF(AND(Main[[#This Row],[مقدار (کیلوگرم)]]&lt;0,Main[[#This Row],[تاريخ میلادی]]&gt;44276),Main[[#This Row],[مقدار (کیلوگرم)]],0)</f>
        <v>2108</v>
      </c>
      <c r="N1996" s="6">
        <f ca="1">Main[[#This Row],[بدهکار (کیلوگرم)]]-Main[[#This Row],[بدهی تسویه نشده (کیلوگرم)]]</f>
        <v>2108</v>
      </c>
      <c r="O1996" s="6">
        <f ca="1">Main[[#This Row],[تفکیک]]</f>
        <v>0</v>
      </c>
      <c r="P1996" s="6">
        <f ca="1">IF(Main[[#This Row],[تاخیر از سررسید]]&gt;0,Main[[#This Row],[بدهی تسویه نشده (کیلوگرم)]],0)</f>
        <v>0</v>
      </c>
      <c r="Q1996" s="6">
        <f ca="1">IF(Main[[#This Row],[بدهی تسویه نشده (کیلوگرم)]]&gt;0,'گزارش فردی'!$B$7-Main[[#This Row],[تاريخ میلادی]],0)</f>
        <v>0</v>
      </c>
      <c r="R1996" s="6">
        <f ca="1">IF(Main[[#This Row],[بدهی تسویه نشده (کیلوگرم)]]&gt;0,'گزارش فردی'!$B$7-Main[[#This Row],[تاريخ میلادی]]-'گزارش فردی'!$B$8,0)</f>
        <v>0</v>
      </c>
      <c r="S1996" s="6">
        <f ca="1">Main[[#This Row],[روز از ارسال سفارش]]*Main[[#This Row],[بدهی تسویه نشده (کیلوگرم)]]</f>
        <v>0</v>
      </c>
      <c r="T1996" s="6">
        <f ca="1">Main[[#This Row],[بدهی سررسید شده (کیلوگرم)]]*Main[[#This Row],[روز از ارسال سفارش]]</f>
        <v>0</v>
      </c>
      <c r="U1996" s="6">
        <f>-SUBTOTAL(9,INDEX(Main[مقدار (کیلوگرم)],1):Main[[#This Row],[مقدار (کیلوگرم)]])</f>
        <v>32528</v>
      </c>
      <c r="V19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6" s="6">
        <f>Main[[#This Row],[تعداد کل روزهای بدهکار (روز)]]*Main[[#This Row],[مانده در خط کل (کیلوگرم)]]</f>
        <v>32528</v>
      </c>
      <c r="X1996" s="6">
        <f ca="1">-SUBTOTAL(9,INDEX(Main[مقدار تسویه شده (کیلوگرم)],1):Main[[#This Row],[مقدار تسویه شده (کیلوگرم)]])</f>
        <v>32528</v>
      </c>
      <c r="Y1996" s="6">
        <f ca="1">IF(Main[[#This Row],[مانده در خط تسویه شده (کیلوگرم)]]&lt;&gt;0,Main[[#This Row],[تعداد کل روزهای بدهکار (روز)]],0)</f>
        <v>1</v>
      </c>
      <c r="Z1996" s="6">
        <f ca="1">Main[[#This Row],[تعداد روزهای بدهکار تسویه شده (روز)]]*Main[[#This Row],[مانده در خط تسویه شده (کیلوگرم)]]</f>
        <v>32528</v>
      </c>
      <c r="AA1996" s="6">
        <f ca="1">SUBTOTAL(9,INDEX(Main[بدهی تسویه نشده (کیلوگرم)],1):Main[[#This Row],[بدهی تسویه نشده (کیلوگرم)]])</f>
        <v>0</v>
      </c>
      <c r="AB1996" s="6">
        <f ca="1">IF(Main[[#This Row],[مانده در خط تسویه نشده (کیلوگرم)]]&lt;&gt;0,Main[[#This Row],[تعداد کل روزهای بدهکار (روز)]],0)</f>
        <v>0</v>
      </c>
      <c r="AC1996" s="6">
        <f ca="1">Main[[#This Row],[تعداد روزهای بدهکار  تسویه نشده (روز)]]*Main[[#This Row],[مانده در خط تسویه نشده (کیلوگرم)]]</f>
        <v>0</v>
      </c>
      <c r="AD1996" s="6">
        <f ca="1">SUBTOTAL(9,INDEX(Main[بدهی سررسید شده (کیلوگرم)],1):Main[[#This Row],[بدهی سررسید شده (کیلوگرم)]])</f>
        <v>0</v>
      </c>
      <c r="AE1996" s="6">
        <f ca="1">IF(Main[[#This Row],[مانده در خط سررسید شده (کیلوگرم)]]&lt;&gt;0,Main[[#This Row],[تعداد کل روزهای بدهکار (روز)]],0)</f>
        <v>0</v>
      </c>
      <c r="AF1996" s="6">
        <f ca="1">Main[[#This Row],[تعداد روزهای بدهکار سررسید شده (روز)]]*Main[[#This Row],[مانده در خط سررسید شده (کیلوگرم)]]</f>
        <v>0</v>
      </c>
    </row>
    <row r="1997" spans="1:32" hidden="1" x14ac:dyDescent="0.35">
      <c r="A1997" s="5">
        <f>ROW()-ROW(INDEX(Main[ردیف],1))+1</f>
        <v>1995</v>
      </c>
      <c r="B1997" s="31">
        <f>SUBTOTAL(2,INDEX(Main[ردیف],1):Main[[#This Row],[ردیف]])</f>
        <v>178</v>
      </c>
      <c r="C1997" s="32" t="s">
        <v>744</v>
      </c>
      <c r="D1997" s="32" t="str">
        <f>_xlfn.CONCAT("14",Main[[#This Row],[تاريخ]])</f>
        <v>1400/08/09</v>
      </c>
      <c r="E1997" s="33">
        <v>44500</v>
      </c>
      <c r="F1997" s="32">
        <v>10018</v>
      </c>
      <c r="G1997" s="5" t="str">
        <f>INDEX(customer[عنوان],MATCH(Main[[#This Row],[کد ردیابی]],customer[کد],0))</f>
        <v xml:space="preserve">کوهی </v>
      </c>
      <c r="H1997">
        <v>434</v>
      </c>
      <c r="I1997" s="6">
        <f ca="1">-Main[[#This Row],[بدهی تسویه شده (کیلوگرم)]]+Main[[#This Row],[بستانکار (کیلوگرم)]]</f>
        <v>434</v>
      </c>
      <c r="J1997" s="6">
        <f>IF(Main[[#This Row],[مقدار (کیلوگرم)]]&gt;0,Main[[#This Row],[مقدار (کیلوگرم)]],0)</f>
        <v>434</v>
      </c>
      <c r="K1997" s="6">
        <f>-IF(Main[[#This Row],[مقدار (کیلوگرم)]]&lt;0,Main[[#This Row],[مقدار (کیلوگرم)]],0)</f>
        <v>0</v>
      </c>
      <c r="L19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7" s="7">
        <f>-IF(AND(Main[[#This Row],[مقدار (کیلوگرم)]]&lt;0,Main[[#This Row],[تاريخ میلادی]]&gt;44276),Main[[#This Row],[مقدار (کیلوگرم)]],0)</f>
        <v>0</v>
      </c>
      <c r="N1997" s="6">
        <f ca="1">Main[[#This Row],[بدهکار (کیلوگرم)]]-Main[[#This Row],[بدهی تسویه نشده (کیلوگرم)]]</f>
        <v>0</v>
      </c>
      <c r="O1997" s="6">
        <f ca="1">Main[[#This Row],[تفکیک]]</f>
        <v>0</v>
      </c>
      <c r="P1997" s="6">
        <f ca="1">IF(Main[[#This Row],[تاخیر از سررسید]]&gt;0,Main[[#This Row],[بدهی تسویه نشده (کیلوگرم)]],0)</f>
        <v>0</v>
      </c>
      <c r="Q1997" s="6">
        <f ca="1">IF(Main[[#This Row],[بدهی تسویه نشده (کیلوگرم)]]&gt;0,'گزارش فردی'!$B$7-Main[[#This Row],[تاريخ میلادی]],0)</f>
        <v>0</v>
      </c>
      <c r="R1997" s="6">
        <f ca="1">IF(Main[[#This Row],[بدهی تسویه نشده (کیلوگرم)]]&gt;0,'گزارش فردی'!$B$7-Main[[#This Row],[تاريخ میلادی]]-'گزارش فردی'!$B$8,0)</f>
        <v>0</v>
      </c>
      <c r="S1997" s="6">
        <f ca="1">Main[[#This Row],[روز از ارسال سفارش]]*Main[[#This Row],[بدهی تسویه نشده (کیلوگرم)]]</f>
        <v>0</v>
      </c>
      <c r="T1997" s="6">
        <f ca="1">Main[[#This Row],[بدهی سررسید شده (کیلوگرم)]]*Main[[#This Row],[روز از ارسال سفارش]]</f>
        <v>0</v>
      </c>
      <c r="U1997" s="6">
        <f>-SUBTOTAL(9,INDEX(Main[مقدار (کیلوگرم)],1):Main[[#This Row],[مقدار (کیلوگرم)]])</f>
        <v>32528</v>
      </c>
      <c r="V19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7" s="6">
        <f>Main[[#This Row],[تعداد کل روزهای بدهکار (روز)]]*Main[[#This Row],[مانده در خط کل (کیلوگرم)]]</f>
        <v>32528</v>
      </c>
      <c r="X1997" s="6">
        <f ca="1">-SUBTOTAL(9,INDEX(Main[مقدار تسویه شده (کیلوگرم)],1):Main[[#This Row],[مقدار تسویه شده (کیلوگرم)]])</f>
        <v>32528</v>
      </c>
      <c r="Y1997" s="6">
        <f ca="1">IF(Main[[#This Row],[مانده در خط تسویه شده (کیلوگرم)]]&lt;&gt;0,Main[[#This Row],[تعداد کل روزهای بدهکار (روز)]],0)</f>
        <v>1</v>
      </c>
      <c r="Z1997" s="6">
        <f ca="1">Main[[#This Row],[تعداد روزهای بدهکار تسویه شده (روز)]]*Main[[#This Row],[مانده در خط تسویه شده (کیلوگرم)]]</f>
        <v>32528</v>
      </c>
      <c r="AA1997" s="6">
        <f ca="1">SUBTOTAL(9,INDEX(Main[بدهی تسویه نشده (کیلوگرم)],1):Main[[#This Row],[بدهی تسویه نشده (کیلوگرم)]])</f>
        <v>0</v>
      </c>
      <c r="AB1997" s="6">
        <f ca="1">IF(Main[[#This Row],[مانده در خط تسویه نشده (کیلوگرم)]]&lt;&gt;0,Main[[#This Row],[تعداد کل روزهای بدهکار (روز)]],0)</f>
        <v>0</v>
      </c>
      <c r="AC1997" s="6">
        <f ca="1">Main[[#This Row],[تعداد روزهای بدهکار  تسویه نشده (روز)]]*Main[[#This Row],[مانده در خط تسویه نشده (کیلوگرم)]]</f>
        <v>0</v>
      </c>
      <c r="AD1997" s="6">
        <f ca="1">SUBTOTAL(9,INDEX(Main[بدهی سررسید شده (کیلوگرم)],1):Main[[#This Row],[بدهی سررسید شده (کیلوگرم)]])</f>
        <v>0</v>
      </c>
      <c r="AE1997" s="6">
        <f ca="1">IF(Main[[#This Row],[مانده در خط سررسید شده (کیلوگرم)]]&lt;&gt;0,Main[[#This Row],[تعداد کل روزهای بدهکار (روز)]],0)</f>
        <v>0</v>
      </c>
      <c r="AF1997" s="6">
        <f ca="1">Main[[#This Row],[تعداد روزهای بدهکار سررسید شده (روز)]]*Main[[#This Row],[مانده در خط سررسید شده (کیلوگرم)]]</f>
        <v>0</v>
      </c>
    </row>
    <row r="1998" spans="1:32" hidden="1" x14ac:dyDescent="0.35">
      <c r="A1998" s="5">
        <f>ROW()-ROW(INDEX(Main[ردیف],1))+1</f>
        <v>1996</v>
      </c>
      <c r="B1998" s="31">
        <f>SUBTOTAL(2,INDEX(Main[ردیف],1):Main[[#This Row],[ردیف]])</f>
        <v>178</v>
      </c>
      <c r="C1998" s="32" t="s">
        <v>744</v>
      </c>
      <c r="D1998" s="32" t="str">
        <f>_xlfn.CONCAT("14",Main[[#This Row],[تاريخ]])</f>
        <v>1400/08/09</v>
      </c>
      <c r="E1998" s="33">
        <v>44500</v>
      </c>
      <c r="F1998" s="32">
        <v>30009</v>
      </c>
      <c r="G1998" s="5" t="str">
        <f>INDEX(customer[عنوان],MATCH(Main[[#This Row],[کد ردیابی]],customer[کد],0))</f>
        <v>شرکت ایمن تک پیشرو</v>
      </c>
      <c r="H1998">
        <v>-100</v>
      </c>
      <c r="I1998" s="6">
        <f ca="1">-Main[[#This Row],[بدهی تسویه شده (کیلوگرم)]]+Main[[#This Row],[بستانکار (کیلوگرم)]]</f>
        <v>-100</v>
      </c>
      <c r="J1998" s="6">
        <f>IF(Main[[#This Row],[مقدار (کیلوگرم)]]&gt;0,Main[[#This Row],[مقدار (کیلوگرم)]],0)</f>
        <v>0</v>
      </c>
      <c r="K1998" s="6">
        <f>-IF(Main[[#This Row],[مقدار (کیلوگرم)]]&lt;0,Main[[#This Row],[مقدار (کیلوگرم)]],0)</f>
        <v>100</v>
      </c>
      <c r="L19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8" s="7">
        <f>-IF(AND(Main[[#This Row],[مقدار (کیلوگرم)]]&lt;0,Main[[#This Row],[تاريخ میلادی]]&gt;44276),Main[[#This Row],[مقدار (کیلوگرم)]],0)</f>
        <v>100</v>
      </c>
      <c r="N1998" s="6">
        <f ca="1">Main[[#This Row],[بدهکار (کیلوگرم)]]-Main[[#This Row],[بدهی تسویه نشده (کیلوگرم)]]</f>
        <v>100</v>
      </c>
      <c r="O1998" s="6">
        <f ca="1">Main[[#This Row],[تفکیک]]</f>
        <v>0</v>
      </c>
      <c r="P1998" s="6">
        <f ca="1">IF(Main[[#This Row],[تاخیر از سررسید]]&gt;0,Main[[#This Row],[بدهی تسویه نشده (کیلوگرم)]],0)</f>
        <v>0</v>
      </c>
      <c r="Q1998" s="6">
        <f ca="1">IF(Main[[#This Row],[بدهی تسویه نشده (کیلوگرم)]]&gt;0,'گزارش فردی'!$B$7-Main[[#This Row],[تاريخ میلادی]],0)</f>
        <v>0</v>
      </c>
      <c r="R1998" s="6">
        <f ca="1">IF(Main[[#This Row],[بدهی تسویه نشده (کیلوگرم)]]&gt;0,'گزارش فردی'!$B$7-Main[[#This Row],[تاريخ میلادی]]-'گزارش فردی'!$B$8,0)</f>
        <v>0</v>
      </c>
      <c r="S1998" s="6">
        <f ca="1">Main[[#This Row],[روز از ارسال سفارش]]*Main[[#This Row],[بدهی تسویه نشده (کیلوگرم)]]</f>
        <v>0</v>
      </c>
      <c r="T1998" s="6">
        <f ca="1">Main[[#This Row],[بدهی سررسید شده (کیلوگرم)]]*Main[[#This Row],[روز از ارسال سفارش]]</f>
        <v>0</v>
      </c>
      <c r="U1998" s="6">
        <f>-SUBTOTAL(9,INDEX(Main[مقدار (کیلوگرم)],1):Main[[#This Row],[مقدار (کیلوگرم)]])</f>
        <v>32528</v>
      </c>
      <c r="V19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8" s="6">
        <f>Main[[#This Row],[تعداد کل روزهای بدهکار (روز)]]*Main[[#This Row],[مانده در خط کل (کیلوگرم)]]</f>
        <v>32528</v>
      </c>
      <c r="X1998" s="6">
        <f ca="1">-SUBTOTAL(9,INDEX(Main[مقدار تسویه شده (کیلوگرم)],1):Main[[#This Row],[مقدار تسویه شده (کیلوگرم)]])</f>
        <v>32528</v>
      </c>
      <c r="Y1998" s="6">
        <f ca="1">IF(Main[[#This Row],[مانده در خط تسویه شده (کیلوگرم)]]&lt;&gt;0,Main[[#This Row],[تعداد کل روزهای بدهکار (روز)]],0)</f>
        <v>1</v>
      </c>
      <c r="Z1998" s="6">
        <f ca="1">Main[[#This Row],[تعداد روزهای بدهکار تسویه شده (روز)]]*Main[[#This Row],[مانده در خط تسویه شده (کیلوگرم)]]</f>
        <v>32528</v>
      </c>
      <c r="AA1998" s="6">
        <f ca="1">SUBTOTAL(9,INDEX(Main[بدهی تسویه نشده (کیلوگرم)],1):Main[[#This Row],[بدهی تسویه نشده (کیلوگرم)]])</f>
        <v>0</v>
      </c>
      <c r="AB1998" s="6">
        <f ca="1">IF(Main[[#This Row],[مانده در خط تسویه نشده (کیلوگرم)]]&lt;&gt;0,Main[[#This Row],[تعداد کل روزهای بدهکار (روز)]],0)</f>
        <v>0</v>
      </c>
      <c r="AC1998" s="6">
        <f ca="1">Main[[#This Row],[تعداد روزهای بدهکار  تسویه نشده (روز)]]*Main[[#This Row],[مانده در خط تسویه نشده (کیلوگرم)]]</f>
        <v>0</v>
      </c>
      <c r="AD1998" s="6">
        <f ca="1">SUBTOTAL(9,INDEX(Main[بدهی سررسید شده (کیلوگرم)],1):Main[[#This Row],[بدهی سررسید شده (کیلوگرم)]])</f>
        <v>0</v>
      </c>
      <c r="AE1998" s="6">
        <f ca="1">IF(Main[[#This Row],[مانده در خط سررسید شده (کیلوگرم)]]&lt;&gt;0,Main[[#This Row],[تعداد کل روزهای بدهکار (روز)]],0)</f>
        <v>0</v>
      </c>
      <c r="AF1998" s="6">
        <f ca="1">Main[[#This Row],[تعداد روزهای بدهکار سررسید شده (روز)]]*Main[[#This Row],[مانده در خط سررسید شده (کیلوگرم)]]</f>
        <v>0</v>
      </c>
    </row>
    <row r="1999" spans="1:32" hidden="1" x14ac:dyDescent="0.35">
      <c r="A1999" s="5">
        <f>ROW()-ROW(INDEX(Main[ردیف],1))+1</f>
        <v>1997</v>
      </c>
      <c r="B1999" s="31">
        <f>SUBTOTAL(2,INDEX(Main[ردیف],1):Main[[#This Row],[ردیف]])</f>
        <v>178</v>
      </c>
      <c r="C1999" s="32" t="s">
        <v>744</v>
      </c>
      <c r="D1999" s="32" t="str">
        <f>_xlfn.CONCAT("14",Main[[#This Row],[تاريخ]])</f>
        <v>1400/08/09</v>
      </c>
      <c r="E1999" s="33">
        <v>44500</v>
      </c>
      <c r="F1999" s="32">
        <v>30198</v>
      </c>
      <c r="G1999" s="5" t="str">
        <f>INDEX(customer[عنوان],MATCH(Main[[#This Row],[کد ردیابی]],customer[کد],0))</f>
        <v>ابزار صنعت میلاد</v>
      </c>
      <c r="H1999">
        <v>84</v>
      </c>
      <c r="I1999" s="6">
        <f ca="1">-Main[[#This Row],[بدهی تسویه شده (کیلوگرم)]]+Main[[#This Row],[بستانکار (کیلوگرم)]]</f>
        <v>84</v>
      </c>
      <c r="J1999" s="6">
        <f>IF(Main[[#This Row],[مقدار (کیلوگرم)]]&gt;0,Main[[#This Row],[مقدار (کیلوگرم)]],0)</f>
        <v>84</v>
      </c>
      <c r="K1999" s="6">
        <f>-IF(Main[[#This Row],[مقدار (کیلوگرم)]]&lt;0,Main[[#This Row],[مقدار (کیلوگرم)]],0)</f>
        <v>0</v>
      </c>
      <c r="L19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9" s="7">
        <f>-IF(AND(Main[[#This Row],[مقدار (کیلوگرم)]]&lt;0,Main[[#This Row],[تاريخ میلادی]]&gt;44276),Main[[#This Row],[مقدار (کیلوگرم)]],0)</f>
        <v>0</v>
      </c>
      <c r="N1999" s="6">
        <f ca="1">Main[[#This Row],[بدهکار (کیلوگرم)]]-Main[[#This Row],[بدهی تسویه نشده (کیلوگرم)]]</f>
        <v>0</v>
      </c>
      <c r="O1999" s="6">
        <f ca="1">Main[[#This Row],[تفکیک]]</f>
        <v>0</v>
      </c>
      <c r="P1999" s="6">
        <f ca="1">IF(Main[[#This Row],[تاخیر از سررسید]]&gt;0,Main[[#This Row],[بدهی تسویه نشده (کیلوگرم)]],0)</f>
        <v>0</v>
      </c>
      <c r="Q1999" s="6">
        <f ca="1">IF(Main[[#This Row],[بدهی تسویه نشده (کیلوگرم)]]&gt;0,'گزارش فردی'!$B$7-Main[[#This Row],[تاريخ میلادی]],0)</f>
        <v>0</v>
      </c>
      <c r="R1999" s="6">
        <f ca="1">IF(Main[[#This Row],[بدهی تسویه نشده (کیلوگرم)]]&gt;0,'گزارش فردی'!$B$7-Main[[#This Row],[تاريخ میلادی]]-'گزارش فردی'!$B$8,0)</f>
        <v>0</v>
      </c>
      <c r="S1999" s="6">
        <f ca="1">Main[[#This Row],[روز از ارسال سفارش]]*Main[[#This Row],[بدهی تسویه نشده (کیلوگرم)]]</f>
        <v>0</v>
      </c>
      <c r="T1999" s="6">
        <f ca="1">Main[[#This Row],[بدهی سررسید شده (کیلوگرم)]]*Main[[#This Row],[روز از ارسال سفارش]]</f>
        <v>0</v>
      </c>
      <c r="U1999" s="6">
        <f>-SUBTOTAL(9,INDEX(Main[مقدار (کیلوگرم)],1):Main[[#This Row],[مقدار (کیلوگرم)]])</f>
        <v>32528</v>
      </c>
      <c r="V19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9" s="6">
        <f>Main[[#This Row],[تعداد کل روزهای بدهکار (روز)]]*Main[[#This Row],[مانده در خط کل (کیلوگرم)]]</f>
        <v>32528</v>
      </c>
      <c r="X1999" s="6">
        <f ca="1">-SUBTOTAL(9,INDEX(Main[مقدار تسویه شده (کیلوگرم)],1):Main[[#This Row],[مقدار تسویه شده (کیلوگرم)]])</f>
        <v>32528</v>
      </c>
      <c r="Y1999" s="6">
        <f ca="1">IF(Main[[#This Row],[مانده در خط تسویه شده (کیلوگرم)]]&lt;&gt;0,Main[[#This Row],[تعداد کل روزهای بدهکار (روز)]],0)</f>
        <v>1</v>
      </c>
      <c r="Z1999" s="6">
        <f ca="1">Main[[#This Row],[تعداد روزهای بدهکار تسویه شده (روز)]]*Main[[#This Row],[مانده در خط تسویه شده (کیلوگرم)]]</f>
        <v>32528</v>
      </c>
      <c r="AA1999" s="6">
        <f ca="1">SUBTOTAL(9,INDEX(Main[بدهی تسویه نشده (کیلوگرم)],1):Main[[#This Row],[بدهی تسویه نشده (کیلوگرم)]])</f>
        <v>0</v>
      </c>
      <c r="AB1999" s="6">
        <f ca="1">IF(Main[[#This Row],[مانده در خط تسویه نشده (کیلوگرم)]]&lt;&gt;0,Main[[#This Row],[تعداد کل روزهای بدهکار (روز)]],0)</f>
        <v>0</v>
      </c>
      <c r="AC1999" s="6">
        <f ca="1">Main[[#This Row],[تعداد روزهای بدهکار  تسویه نشده (روز)]]*Main[[#This Row],[مانده در خط تسویه نشده (کیلوگرم)]]</f>
        <v>0</v>
      </c>
      <c r="AD1999" s="6">
        <f ca="1">SUBTOTAL(9,INDEX(Main[بدهی سررسید شده (کیلوگرم)],1):Main[[#This Row],[بدهی سررسید شده (کیلوگرم)]])</f>
        <v>0</v>
      </c>
      <c r="AE1999" s="6">
        <f ca="1">IF(Main[[#This Row],[مانده در خط سررسید شده (کیلوگرم)]]&lt;&gt;0,Main[[#This Row],[تعداد کل روزهای بدهکار (روز)]],0)</f>
        <v>0</v>
      </c>
      <c r="AF1999" s="6">
        <f ca="1">Main[[#This Row],[تعداد روزهای بدهکار سررسید شده (روز)]]*Main[[#This Row],[مانده در خط سررسید شده (کیلوگرم)]]</f>
        <v>0</v>
      </c>
    </row>
    <row r="2000" spans="1:32" hidden="1" x14ac:dyDescent="0.35">
      <c r="A2000" s="5">
        <f>ROW()-ROW(INDEX(Main[ردیف],1))+1</f>
        <v>1998</v>
      </c>
      <c r="B2000" s="31">
        <f>SUBTOTAL(2,INDEX(Main[ردیف],1):Main[[#This Row],[ردیف]])</f>
        <v>178</v>
      </c>
      <c r="C2000" s="32" t="s">
        <v>744</v>
      </c>
      <c r="D2000" s="32" t="str">
        <f>_xlfn.CONCAT("14",Main[[#This Row],[تاريخ]])</f>
        <v>1400/08/09</v>
      </c>
      <c r="E2000" s="33">
        <v>44500</v>
      </c>
      <c r="F2000" s="32">
        <v>10069</v>
      </c>
      <c r="G2000" s="5" t="str">
        <f>INDEX(customer[عنوان],MATCH(Main[[#This Row],[کد ردیابی]],customer[کد],0))</f>
        <v xml:space="preserve">جواد عرب </v>
      </c>
      <c r="H2000">
        <v>-1000</v>
      </c>
      <c r="I2000" s="6">
        <f ca="1">-Main[[#This Row],[بدهی تسویه شده (کیلوگرم)]]+Main[[#This Row],[بستانکار (کیلوگرم)]]</f>
        <v>-1000</v>
      </c>
      <c r="J2000" s="6">
        <f>IF(Main[[#This Row],[مقدار (کیلوگرم)]]&gt;0,Main[[#This Row],[مقدار (کیلوگرم)]],0)</f>
        <v>0</v>
      </c>
      <c r="K2000" s="6">
        <f>-IF(Main[[#This Row],[مقدار (کیلوگرم)]]&lt;0,Main[[#This Row],[مقدار (کیلوگرم)]],0)</f>
        <v>1000</v>
      </c>
      <c r="L20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0" s="7">
        <f>-IF(AND(Main[[#This Row],[مقدار (کیلوگرم)]]&lt;0,Main[[#This Row],[تاريخ میلادی]]&gt;44276),Main[[#This Row],[مقدار (کیلوگرم)]],0)</f>
        <v>1000</v>
      </c>
      <c r="N2000" s="6">
        <f ca="1">Main[[#This Row],[بدهکار (کیلوگرم)]]-Main[[#This Row],[بدهی تسویه نشده (کیلوگرم)]]</f>
        <v>1000</v>
      </c>
      <c r="O2000" s="6">
        <f ca="1">Main[[#This Row],[تفکیک]]</f>
        <v>0</v>
      </c>
      <c r="P2000" s="6">
        <f ca="1">IF(Main[[#This Row],[تاخیر از سررسید]]&gt;0,Main[[#This Row],[بدهی تسویه نشده (کیلوگرم)]],0)</f>
        <v>0</v>
      </c>
      <c r="Q2000" s="6">
        <f ca="1">IF(Main[[#This Row],[بدهی تسویه نشده (کیلوگرم)]]&gt;0,'گزارش فردی'!$B$7-Main[[#This Row],[تاريخ میلادی]],0)</f>
        <v>0</v>
      </c>
      <c r="R2000" s="6">
        <f ca="1">IF(Main[[#This Row],[بدهی تسویه نشده (کیلوگرم)]]&gt;0,'گزارش فردی'!$B$7-Main[[#This Row],[تاريخ میلادی]]-'گزارش فردی'!$B$8,0)</f>
        <v>0</v>
      </c>
      <c r="S2000" s="6">
        <f ca="1">Main[[#This Row],[روز از ارسال سفارش]]*Main[[#This Row],[بدهی تسویه نشده (کیلوگرم)]]</f>
        <v>0</v>
      </c>
      <c r="T2000" s="6">
        <f ca="1">Main[[#This Row],[بدهی سررسید شده (کیلوگرم)]]*Main[[#This Row],[روز از ارسال سفارش]]</f>
        <v>0</v>
      </c>
      <c r="U2000" s="6">
        <f>-SUBTOTAL(9,INDEX(Main[مقدار (کیلوگرم)],1):Main[[#This Row],[مقدار (کیلوگرم)]])</f>
        <v>32528</v>
      </c>
      <c r="V20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0" s="6">
        <f>Main[[#This Row],[تعداد کل روزهای بدهکار (روز)]]*Main[[#This Row],[مانده در خط کل (کیلوگرم)]]</f>
        <v>32528</v>
      </c>
      <c r="X2000" s="6">
        <f ca="1">-SUBTOTAL(9,INDEX(Main[مقدار تسویه شده (کیلوگرم)],1):Main[[#This Row],[مقدار تسویه شده (کیلوگرم)]])</f>
        <v>32528</v>
      </c>
      <c r="Y2000" s="6">
        <f ca="1">IF(Main[[#This Row],[مانده در خط تسویه شده (کیلوگرم)]]&lt;&gt;0,Main[[#This Row],[تعداد کل روزهای بدهکار (روز)]],0)</f>
        <v>1</v>
      </c>
      <c r="Z2000" s="6">
        <f ca="1">Main[[#This Row],[تعداد روزهای بدهکار تسویه شده (روز)]]*Main[[#This Row],[مانده در خط تسویه شده (کیلوگرم)]]</f>
        <v>32528</v>
      </c>
      <c r="AA2000" s="6">
        <f ca="1">SUBTOTAL(9,INDEX(Main[بدهی تسویه نشده (کیلوگرم)],1):Main[[#This Row],[بدهی تسویه نشده (کیلوگرم)]])</f>
        <v>0</v>
      </c>
      <c r="AB2000" s="6">
        <f ca="1">IF(Main[[#This Row],[مانده در خط تسویه نشده (کیلوگرم)]]&lt;&gt;0,Main[[#This Row],[تعداد کل روزهای بدهکار (روز)]],0)</f>
        <v>0</v>
      </c>
      <c r="AC2000" s="6">
        <f ca="1">Main[[#This Row],[تعداد روزهای بدهکار  تسویه نشده (روز)]]*Main[[#This Row],[مانده در خط تسویه نشده (کیلوگرم)]]</f>
        <v>0</v>
      </c>
      <c r="AD2000" s="6">
        <f ca="1">SUBTOTAL(9,INDEX(Main[بدهی سررسید شده (کیلوگرم)],1):Main[[#This Row],[بدهی سررسید شده (کیلوگرم)]])</f>
        <v>0</v>
      </c>
      <c r="AE2000" s="6">
        <f ca="1">IF(Main[[#This Row],[مانده در خط سررسید شده (کیلوگرم)]]&lt;&gt;0,Main[[#This Row],[تعداد کل روزهای بدهکار (روز)]],0)</f>
        <v>0</v>
      </c>
      <c r="AF2000" s="6">
        <f ca="1">Main[[#This Row],[تعداد روزهای بدهکار سررسید شده (روز)]]*Main[[#This Row],[مانده در خط سررسید شده (کیلوگرم)]]</f>
        <v>0</v>
      </c>
    </row>
    <row r="2001" spans="1:32" hidden="1" x14ac:dyDescent="0.35">
      <c r="A2001" s="5">
        <f>ROW()-ROW(INDEX(Main[ردیف],1))+1</f>
        <v>1999</v>
      </c>
      <c r="B2001" s="31">
        <f>SUBTOTAL(2,INDEX(Main[ردیف],1):Main[[#This Row],[ردیف]])</f>
        <v>178</v>
      </c>
      <c r="C2001" s="32" t="s">
        <v>744</v>
      </c>
      <c r="D2001" s="32" t="str">
        <f>_xlfn.CONCAT("14",Main[[#This Row],[تاريخ]])</f>
        <v>1400/08/09</v>
      </c>
      <c r="E2001" s="33">
        <v>44500</v>
      </c>
      <c r="F2001" s="32">
        <v>30186</v>
      </c>
      <c r="G2001" s="5" t="str">
        <f>INDEX(customer[عنوان],MATCH(Main[[#This Row],[کد ردیابی]],customer[کد],0))</f>
        <v>سارا گاز</v>
      </c>
      <c r="H2001">
        <v>984</v>
      </c>
      <c r="I2001" s="6">
        <f ca="1">-Main[[#This Row],[بدهی تسویه شده (کیلوگرم)]]+Main[[#This Row],[بستانکار (کیلوگرم)]]</f>
        <v>984</v>
      </c>
      <c r="J2001" s="6">
        <f>IF(Main[[#This Row],[مقدار (کیلوگرم)]]&gt;0,Main[[#This Row],[مقدار (کیلوگرم)]],0)</f>
        <v>984</v>
      </c>
      <c r="K2001" s="6">
        <f>-IF(Main[[#This Row],[مقدار (کیلوگرم)]]&lt;0,Main[[#This Row],[مقدار (کیلوگرم)]],0)</f>
        <v>0</v>
      </c>
      <c r="L20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1" s="7">
        <f>-IF(AND(Main[[#This Row],[مقدار (کیلوگرم)]]&lt;0,Main[[#This Row],[تاريخ میلادی]]&gt;44276),Main[[#This Row],[مقدار (کیلوگرم)]],0)</f>
        <v>0</v>
      </c>
      <c r="N2001" s="6">
        <f ca="1">Main[[#This Row],[بدهکار (کیلوگرم)]]-Main[[#This Row],[بدهی تسویه نشده (کیلوگرم)]]</f>
        <v>0</v>
      </c>
      <c r="O2001" s="6">
        <f ca="1">Main[[#This Row],[تفکیک]]</f>
        <v>0</v>
      </c>
      <c r="P2001" s="6">
        <f ca="1">IF(Main[[#This Row],[تاخیر از سررسید]]&gt;0,Main[[#This Row],[بدهی تسویه نشده (کیلوگرم)]],0)</f>
        <v>0</v>
      </c>
      <c r="Q2001" s="6">
        <f ca="1">IF(Main[[#This Row],[بدهی تسویه نشده (کیلوگرم)]]&gt;0,'گزارش فردی'!$B$7-Main[[#This Row],[تاريخ میلادی]],0)</f>
        <v>0</v>
      </c>
      <c r="R2001" s="6">
        <f ca="1">IF(Main[[#This Row],[بدهی تسویه نشده (کیلوگرم)]]&gt;0,'گزارش فردی'!$B$7-Main[[#This Row],[تاريخ میلادی]]-'گزارش فردی'!$B$8,0)</f>
        <v>0</v>
      </c>
      <c r="S2001" s="6">
        <f ca="1">Main[[#This Row],[روز از ارسال سفارش]]*Main[[#This Row],[بدهی تسویه نشده (کیلوگرم)]]</f>
        <v>0</v>
      </c>
      <c r="T2001" s="6">
        <f ca="1">Main[[#This Row],[بدهی سررسید شده (کیلوگرم)]]*Main[[#This Row],[روز از ارسال سفارش]]</f>
        <v>0</v>
      </c>
      <c r="U2001" s="6">
        <f>-SUBTOTAL(9,INDEX(Main[مقدار (کیلوگرم)],1):Main[[#This Row],[مقدار (کیلوگرم)]])</f>
        <v>32528</v>
      </c>
      <c r="V20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1" s="6">
        <f>Main[[#This Row],[تعداد کل روزهای بدهکار (روز)]]*Main[[#This Row],[مانده در خط کل (کیلوگرم)]]</f>
        <v>32528</v>
      </c>
      <c r="X2001" s="6">
        <f ca="1">-SUBTOTAL(9,INDEX(Main[مقدار تسویه شده (کیلوگرم)],1):Main[[#This Row],[مقدار تسویه شده (کیلوگرم)]])</f>
        <v>32528</v>
      </c>
      <c r="Y2001" s="6">
        <f ca="1">IF(Main[[#This Row],[مانده در خط تسویه شده (کیلوگرم)]]&lt;&gt;0,Main[[#This Row],[تعداد کل روزهای بدهکار (روز)]],0)</f>
        <v>1</v>
      </c>
      <c r="Z2001" s="6">
        <f ca="1">Main[[#This Row],[تعداد روزهای بدهکار تسویه شده (روز)]]*Main[[#This Row],[مانده در خط تسویه شده (کیلوگرم)]]</f>
        <v>32528</v>
      </c>
      <c r="AA2001" s="6">
        <f ca="1">SUBTOTAL(9,INDEX(Main[بدهی تسویه نشده (کیلوگرم)],1):Main[[#This Row],[بدهی تسویه نشده (کیلوگرم)]])</f>
        <v>0</v>
      </c>
      <c r="AB2001" s="6">
        <f ca="1">IF(Main[[#This Row],[مانده در خط تسویه نشده (کیلوگرم)]]&lt;&gt;0,Main[[#This Row],[تعداد کل روزهای بدهکار (روز)]],0)</f>
        <v>0</v>
      </c>
      <c r="AC2001" s="6">
        <f ca="1">Main[[#This Row],[تعداد روزهای بدهکار  تسویه نشده (روز)]]*Main[[#This Row],[مانده در خط تسویه نشده (کیلوگرم)]]</f>
        <v>0</v>
      </c>
      <c r="AD2001" s="6">
        <f ca="1">SUBTOTAL(9,INDEX(Main[بدهی سررسید شده (کیلوگرم)],1):Main[[#This Row],[بدهی سررسید شده (کیلوگرم)]])</f>
        <v>0</v>
      </c>
      <c r="AE2001" s="6">
        <f ca="1">IF(Main[[#This Row],[مانده در خط سررسید شده (کیلوگرم)]]&lt;&gt;0,Main[[#This Row],[تعداد کل روزهای بدهکار (روز)]],0)</f>
        <v>0</v>
      </c>
      <c r="AF2001" s="6">
        <f ca="1">Main[[#This Row],[تعداد روزهای بدهکار سررسید شده (روز)]]*Main[[#This Row],[مانده در خط سررسید شده (کیلوگرم)]]</f>
        <v>0</v>
      </c>
    </row>
    <row r="2002" spans="1:32" hidden="1" x14ac:dyDescent="0.35">
      <c r="A2002" s="5">
        <f>ROW()-ROW(INDEX(Main[ردیف],1))+1</f>
        <v>2000</v>
      </c>
      <c r="B2002" s="31">
        <f>SUBTOTAL(2,INDEX(Main[ردیف],1):Main[[#This Row],[ردیف]])</f>
        <v>178</v>
      </c>
      <c r="C2002" s="32" t="s">
        <v>747</v>
      </c>
      <c r="D2002" s="32" t="str">
        <f>_xlfn.CONCAT("14",Main[[#This Row],[تاريخ]])</f>
        <v>1400/08/10</v>
      </c>
      <c r="E2002" s="33">
        <v>44501</v>
      </c>
      <c r="F2002" s="32">
        <v>30004</v>
      </c>
      <c r="G2002" s="5" t="str">
        <f>INDEX(customer[عنوان],MATCH(Main[[#This Row],[کد ردیابی]],customer[کد],0))</f>
        <v>تولیدی صنعتی صفاشیر پارس</v>
      </c>
      <c r="H2002">
        <v>-4496</v>
      </c>
      <c r="I2002" s="6">
        <f ca="1">-Main[[#This Row],[بدهی تسویه شده (کیلوگرم)]]+Main[[#This Row],[بستانکار (کیلوگرم)]]</f>
        <v>-4496</v>
      </c>
      <c r="J2002" s="6">
        <f>IF(Main[[#This Row],[مقدار (کیلوگرم)]]&gt;0,Main[[#This Row],[مقدار (کیلوگرم)]],0)</f>
        <v>0</v>
      </c>
      <c r="K2002" s="6">
        <f>-IF(Main[[#This Row],[مقدار (کیلوگرم)]]&lt;0,Main[[#This Row],[مقدار (کیلوگرم)]],0)</f>
        <v>4496</v>
      </c>
      <c r="L20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2" s="7">
        <f>-IF(AND(Main[[#This Row],[مقدار (کیلوگرم)]]&lt;0,Main[[#This Row],[تاريخ میلادی]]&gt;44276),Main[[#This Row],[مقدار (کیلوگرم)]],0)</f>
        <v>4496</v>
      </c>
      <c r="N2002" s="6">
        <f ca="1">Main[[#This Row],[بدهکار (کیلوگرم)]]-Main[[#This Row],[بدهی تسویه نشده (کیلوگرم)]]</f>
        <v>4496</v>
      </c>
      <c r="O2002" s="6">
        <f ca="1">Main[[#This Row],[تفکیک]]</f>
        <v>0</v>
      </c>
      <c r="P2002" s="6">
        <f ca="1">IF(Main[[#This Row],[تاخیر از سررسید]]&gt;0,Main[[#This Row],[بدهی تسویه نشده (کیلوگرم)]],0)</f>
        <v>0</v>
      </c>
      <c r="Q2002" s="6">
        <f ca="1">IF(Main[[#This Row],[بدهی تسویه نشده (کیلوگرم)]]&gt;0,'گزارش فردی'!$B$7-Main[[#This Row],[تاريخ میلادی]],0)</f>
        <v>0</v>
      </c>
      <c r="R2002" s="6">
        <f ca="1">IF(Main[[#This Row],[بدهی تسویه نشده (کیلوگرم)]]&gt;0,'گزارش فردی'!$B$7-Main[[#This Row],[تاريخ میلادی]]-'گزارش فردی'!$B$8,0)</f>
        <v>0</v>
      </c>
      <c r="S2002" s="6">
        <f ca="1">Main[[#This Row],[روز از ارسال سفارش]]*Main[[#This Row],[بدهی تسویه نشده (کیلوگرم)]]</f>
        <v>0</v>
      </c>
      <c r="T2002" s="6">
        <f ca="1">Main[[#This Row],[بدهی سررسید شده (کیلوگرم)]]*Main[[#This Row],[روز از ارسال سفارش]]</f>
        <v>0</v>
      </c>
      <c r="U2002" s="6">
        <f>-SUBTOTAL(9,INDEX(Main[مقدار (کیلوگرم)],1):Main[[#This Row],[مقدار (کیلوگرم)]])</f>
        <v>32528</v>
      </c>
      <c r="V20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2" s="6">
        <f>Main[[#This Row],[تعداد کل روزهای بدهکار (روز)]]*Main[[#This Row],[مانده در خط کل (کیلوگرم)]]</f>
        <v>0</v>
      </c>
      <c r="X2002" s="6">
        <f ca="1">-SUBTOTAL(9,INDEX(Main[مقدار تسویه شده (کیلوگرم)],1):Main[[#This Row],[مقدار تسویه شده (کیلوگرم)]])</f>
        <v>32528</v>
      </c>
      <c r="Y2002" s="6">
        <f ca="1">IF(Main[[#This Row],[مانده در خط تسویه شده (کیلوگرم)]]&lt;&gt;0,Main[[#This Row],[تعداد کل روزهای بدهکار (روز)]],0)</f>
        <v>0</v>
      </c>
      <c r="Z2002" s="6">
        <f ca="1">Main[[#This Row],[تعداد روزهای بدهکار تسویه شده (روز)]]*Main[[#This Row],[مانده در خط تسویه شده (کیلوگرم)]]</f>
        <v>0</v>
      </c>
      <c r="AA2002" s="6">
        <f ca="1">SUBTOTAL(9,INDEX(Main[بدهی تسویه نشده (کیلوگرم)],1):Main[[#This Row],[بدهی تسویه نشده (کیلوگرم)]])</f>
        <v>0</v>
      </c>
      <c r="AB2002" s="6">
        <f ca="1">IF(Main[[#This Row],[مانده در خط تسویه نشده (کیلوگرم)]]&lt;&gt;0,Main[[#This Row],[تعداد کل روزهای بدهکار (روز)]],0)</f>
        <v>0</v>
      </c>
      <c r="AC2002" s="6">
        <f ca="1">Main[[#This Row],[تعداد روزهای بدهکار  تسویه نشده (روز)]]*Main[[#This Row],[مانده در خط تسویه نشده (کیلوگرم)]]</f>
        <v>0</v>
      </c>
      <c r="AD2002" s="6">
        <f ca="1">SUBTOTAL(9,INDEX(Main[بدهی سررسید شده (کیلوگرم)],1):Main[[#This Row],[بدهی سررسید شده (کیلوگرم)]])</f>
        <v>0</v>
      </c>
      <c r="AE2002" s="6">
        <f ca="1">IF(Main[[#This Row],[مانده در خط سررسید شده (کیلوگرم)]]&lt;&gt;0,Main[[#This Row],[تعداد کل روزهای بدهکار (روز)]],0)</f>
        <v>0</v>
      </c>
      <c r="AF2002" s="6">
        <f ca="1">Main[[#This Row],[تعداد روزهای بدهکار سررسید شده (روز)]]*Main[[#This Row],[مانده در خط سررسید شده (کیلوگرم)]]</f>
        <v>0</v>
      </c>
    </row>
    <row r="2003" spans="1:32" hidden="1" x14ac:dyDescent="0.35">
      <c r="A2003" s="5">
        <f>ROW()-ROW(INDEX(Main[ردیف],1))+1</f>
        <v>2001</v>
      </c>
      <c r="B2003" s="31">
        <f>SUBTOTAL(2,INDEX(Main[ردیف],1):Main[[#This Row],[ردیف]])</f>
        <v>178</v>
      </c>
      <c r="C2003" s="32" t="s">
        <v>747</v>
      </c>
      <c r="D2003" s="32" t="str">
        <f>_xlfn.CONCAT("14",Main[[#This Row],[تاريخ]])</f>
        <v>1400/08/10</v>
      </c>
      <c r="E2003" s="33">
        <v>44501</v>
      </c>
      <c r="F2003" s="32">
        <v>30004</v>
      </c>
      <c r="G2003" s="5" t="str">
        <f>INDEX(customer[عنوان],MATCH(Main[[#This Row],[کد ردیابی]],customer[کد],0))</f>
        <v>تولیدی صنعتی صفاشیر پارس</v>
      </c>
      <c r="H2003">
        <v>4399</v>
      </c>
      <c r="I2003" s="6">
        <f ca="1">-Main[[#This Row],[بدهی تسویه شده (کیلوگرم)]]+Main[[#This Row],[بستانکار (کیلوگرم)]]</f>
        <v>4399</v>
      </c>
      <c r="J2003" s="6">
        <f>IF(Main[[#This Row],[مقدار (کیلوگرم)]]&gt;0,Main[[#This Row],[مقدار (کیلوگرم)]],0)</f>
        <v>4399</v>
      </c>
      <c r="K2003" s="6">
        <f>-IF(Main[[#This Row],[مقدار (کیلوگرم)]]&lt;0,Main[[#This Row],[مقدار (کیلوگرم)]],0)</f>
        <v>0</v>
      </c>
      <c r="L20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3" s="7">
        <f>-IF(AND(Main[[#This Row],[مقدار (کیلوگرم)]]&lt;0,Main[[#This Row],[تاريخ میلادی]]&gt;44276),Main[[#This Row],[مقدار (کیلوگرم)]],0)</f>
        <v>0</v>
      </c>
      <c r="N2003" s="6">
        <f ca="1">Main[[#This Row],[بدهکار (کیلوگرم)]]-Main[[#This Row],[بدهی تسویه نشده (کیلوگرم)]]</f>
        <v>0</v>
      </c>
      <c r="O2003" s="6">
        <f ca="1">Main[[#This Row],[تفکیک]]</f>
        <v>0</v>
      </c>
      <c r="P2003" s="6">
        <f ca="1">IF(Main[[#This Row],[تاخیر از سررسید]]&gt;0,Main[[#This Row],[بدهی تسویه نشده (کیلوگرم)]],0)</f>
        <v>0</v>
      </c>
      <c r="Q2003" s="6">
        <f ca="1">IF(Main[[#This Row],[بدهی تسویه نشده (کیلوگرم)]]&gt;0,'گزارش فردی'!$B$7-Main[[#This Row],[تاريخ میلادی]],0)</f>
        <v>0</v>
      </c>
      <c r="R2003" s="6">
        <f ca="1">IF(Main[[#This Row],[بدهی تسویه نشده (کیلوگرم)]]&gt;0,'گزارش فردی'!$B$7-Main[[#This Row],[تاريخ میلادی]]-'گزارش فردی'!$B$8,0)</f>
        <v>0</v>
      </c>
      <c r="S2003" s="6">
        <f ca="1">Main[[#This Row],[روز از ارسال سفارش]]*Main[[#This Row],[بدهی تسویه نشده (کیلوگرم)]]</f>
        <v>0</v>
      </c>
      <c r="T2003" s="6">
        <f ca="1">Main[[#This Row],[بدهی سررسید شده (کیلوگرم)]]*Main[[#This Row],[روز از ارسال سفارش]]</f>
        <v>0</v>
      </c>
      <c r="U2003" s="6">
        <f>-SUBTOTAL(9,INDEX(Main[مقدار (کیلوگرم)],1):Main[[#This Row],[مقدار (کیلوگرم)]])</f>
        <v>32528</v>
      </c>
      <c r="V20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3" s="6">
        <f>Main[[#This Row],[تعداد کل روزهای بدهکار (روز)]]*Main[[#This Row],[مانده در خط کل (کیلوگرم)]]</f>
        <v>0</v>
      </c>
      <c r="X2003" s="6">
        <f ca="1">-SUBTOTAL(9,INDEX(Main[مقدار تسویه شده (کیلوگرم)],1):Main[[#This Row],[مقدار تسویه شده (کیلوگرم)]])</f>
        <v>32528</v>
      </c>
      <c r="Y2003" s="6">
        <f ca="1">IF(Main[[#This Row],[مانده در خط تسویه شده (کیلوگرم)]]&lt;&gt;0,Main[[#This Row],[تعداد کل روزهای بدهکار (روز)]],0)</f>
        <v>0</v>
      </c>
      <c r="Z2003" s="6">
        <f ca="1">Main[[#This Row],[تعداد روزهای بدهکار تسویه شده (روز)]]*Main[[#This Row],[مانده در خط تسویه شده (کیلوگرم)]]</f>
        <v>0</v>
      </c>
      <c r="AA2003" s="6">
        <f ca="1">SUBTOTAL(9,INDEX(Main[بدهی تسویه نشده (کیلوگرم)],1):Main[[#This Row],[بدهی تسویه نشده (کیلوگرم)]])</f>
        <v>0</v>
      </c>
      <c r="AB2003" s="6">
        <f ca="1">IF(Main[[#This Row],[مانده در خط تسویه نشده (کیلوگرم)]]&lt;&gt;0,Main[[#This Row],[تعداد کل روزهای بدهکار (روز)]],0)</f>
        <v>0</v>
      </c>
      <c r="AC2003" s="6">
        <f ca="1">Main[[#This Row],[تعداد روزهای بدهکار  تسویه نشده (روز)]]*Main[[#This Row],[مانده در خط تسویه نشده (کیلوگرم)]]</f>
        <v>0</v>
      </c>
      <c r="AD2003" s="6">
        <f ca="1">SUBTOTAL(9,INDEX(Main[بدهی سررسید شده (کیلوگرم)],1):Main[[#This Row],[بدهی سررسید شده (کیلوگرم)]])</f>
        <v>0</v>
      </c>
      <c r="AE2003" s="6">
        <f ca="1">IF(Main[[#This Row],[مانده در خط سررسید شده (کیلوگرم)]]&lt;&gt;0,Main[[#This Row],[تعداد کل روزهای بدهکار (روز)]],0)</f>
        <v>0</v>
      </c>
      <c r="AF2003" s="6">
        <f ca="1">Main[[#This Row],[تعداد روزهای بدهکار سررسید شده (روز)]]*Main[[#This Row],[مانده در خط سررسید شده (کیلوگرم)]]</f>
        <v>0</v>
      </c>
    </row>
    <row r="2004" spans="1:32" hidden="1" x14ac:dyDescent="0.35">
      <c r="A2004" s="5">
        <f>ROW()-ROW(INDEX(Main[ردیف],1))+1</f>
        <v>2002</v>
      </c>
      <c r="B2004" s="31">
        <f>SUBTOTAL(2,INDEX(Main[ردیف],1):Main[[#This Row],[ردیف]])</f>
        <v>178</v>
      </c>
      <c r="C2004" s="32" t="s">
        <v>747</v>
      </c>
      <c r="D2004" s="32" t="str">
        <f>_xlfn.CONCAT("14",Main[[#This Row],[تاريخ]])</f>
        <v>1400/08/10</v>
      </c>
      <c r="E2004" s="33">
        <v>44501</v>
      </c>
      <c r="F2004" s="32">
        <v>30140</v>
      </c>
      <c r="G2004" s="5" t="str">
        <f>INDEX(customer[عنوان],MATCH(Main[[#This Row],[کد ردیابی]],customer[کد],0))</f>
        <v>شرکت سیتکو</v>
      </c>
      <c r="H2004">
        <v>-1657</v>
      </c>
      <c r="I2004" s="6">
        <f ca="1">-Main[[#This Row],[بدهی تسویه شده (کیلوگرم)]]+Main[[#This Row],[بستانکار (کیلوگرم)]]</f>
        <v>-1657</v>
      </c>
      <c r="J2004" s="6">
        <f>IF(Main[[#This Row],[مقدار (کیلوگرم)]]&gt;0,Main[[#This Row],[مقدار (کیلوگرم)]],0)</f>
        <v>0</v>
      </c>
      <c r="K2004" s="6">
        <f>-IF(Main[[#This Row],[مقدار (کیلوگرم)]]&lt;0,Main[[#This Row],[مقدار (کیلوگرم)]],0)</f>
        <v>1657</v>
      </c>
      <c r="L20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4" s="7">
        <f>-IF(AND(Main[[#This Row],[مقدار (کیلوگرم)]]&lt;0,Main[[#This Row],[تاريخ میلادی]]&gt;44276),Main[[#This Row],[مقدار (کیلوگرم)]],0)</f>
        <v>1657</v>
      </c>
      <c r="N2004" s="6">
        <f ca="1">Main[[#This Row],[بدهکار (کیلوگرم)]]-Main[[#This Row],[بدهی تسویه نشده (کیلوگرم)]]</f>
        <v>1657</v>
      </c>
      <c r="O2004" s="6">
        <f ca="1">Main[[#This Row],[تفکیک]]</f>
        <v>0</v>
      </c>
      <c r="P2004" s="6">
        <f ca="1">IF(Main[[#This Row],[تاخیر از سررسید]]&gt;0,Main[[#This Row],[بدهی تسویه نشده (کیلوگرم)]],0)</f>
        <v>0</v>
      </c>
      <c r="Q2004" s="6">
        <f ca="1">IF(Main[[#This Row],[بدهی تسویه نشده (کیلوگرم)]]&gt;0,'گزارش فردی'!$B$7-Main[[#This Row],[تاريخ میلادی]],0)</f>
        <v>0</v>
      </c>
      <c r="R2004" s="6">
        <f ca="1">IF(Main[[#This Row],[بدهی تسویه نشده (کیلوگرم)]]&gt;0,'گزارش فردی'!$B$7-Main[[#This Row],[تاريخ میلادی]]-'گزارش فردی'!$B$8,0)</f>
        <v>0</v>
      </c>
      <c r="S2004" s="6">
        <f ca="1">Main[[#This Row],[روز از ارسال سفارش]]*Main[[#This Row],[بدهی تسویه نشده (کیلوگرم)]]</f>
        <v>0</v>
      </c>
      <c r="T2004" s="6">
        <f ca="1">Main[[#This Row],[بدهی سررسید شده (کیلوگرم)]]*Main[[#This Row],[روز از ارسال سفارش]]</f>
        <v>0</v>
      </c>
      <c r="U2004" s="6">
        <f>-SUBTOTAL(9,INDEX(Main[مقدار (کیلوگرم)],1):Main[[#This Row],[مقدار (کیلوگرم)]])</f>
        <v>32528</v>
      </c>
      <c r="V20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4" s="6">
        <f>Main[[#This Row],[تعداد کل روزهای بدهکار (روز)]]*Main[[#This Row],[مانده در خط کل (کیلوگرم)]]</f>
        <v>0</v>
      </c>
      <c r="X2004" s="6">
        <f ca="1">-SUBTOTAL(9,INDEX(Main[مقدار تسویه شده (کیلوگرم)],1):Main[[#This Row],[مقدار تسویه شده (کیلوگرم)]])</f>
        <v>32528</v>
      </c>
      <c r="Y2004" s="6">
        <f ca="1">IF(Main[[#This Row],[مانده در خط تسویه شده (کیلوگرم)]]&lt;&gt;0,Main[[#This Row],[تعداد کل روزهای بدهکار (روز)]],0)</f>
        <v>0</v>
      </c>
      <c r="Z2004" s="6">
        <f ca="1">Main[[#This Row],[تعداد روزهای بدهکار تسویه شده (روز)]]*Main[[#This Row],[مانده در خط تسویه شده (کیلوگرم)]]</f>
        <v>0</v>
      </c>
      <c r="AA2004" s="6">
        <f ca="1">SUBTOTAL(9,INDEX(Main[بدهی تسویه نشده (کیلوگرم)],1):Main[[#This Row],[بدهی تسویه نشده (کیلوگرم)]])</f>
        <v>0</v>
      </c>
      <c r="AB2004" s="6">
        <f ca="1">IF(Main[[#This Row],[مانده در خط تسویه نشده (کیلوگرم)]]&lt;&gt;0,Main[[#This Row],[تعداد کل روزهای بدهکار (روز)]],0)</f>
        <v>0</v>
      </c>
      <c r="AC2004" s="6">
        <f ca="1">Main[[#This Row],[تعداد روزهای بدهکار  تسویه نشده (روز)]]*Main[[#This Row],[مانده در خط تسویه نشده (کیلوگرم)]]</f>
        <v>0</v>
      </c>
      <c r="AD2004" s="6">
        <f ca="1">SUBTOTAL(9,INDEX(Main[بدهی سررسید شده (کیلوگرم)],1):Main[[#This Row],[بدهی سررسید شده (کیلوگرم)]])</f>
        <v>0</v>
      </c>
      <c r="AE2004" s="6">
        <f ca="1">IF(Main[[#This Row],[مانده در خط سررسید شده (کیلوگرم)]]&lt;&gt;0,Main[[#This Row],[تعداد کل روزهای بدهکار (روز)]],0)</f>
        <v>0</v>
      </c>
      <c r="AF2004" s="6">
        <f ca="1">Main[[#This Row],[تعداد روزهای بدهکار سررسید شده (روز)]]*Main[[#This Row],[مانده در خط سررسید شده (کیلوگرم)]]</f>
        <v>0</v>
      </c>
    </row>
    <row r="2005" spans="1:32" hidden="1" x14ac:dyDescent="0.35">
      <c r="A2005" s="5">
        <f>ROW()-ROW(INDEX(Main[ردیف],1))+1</f>
        <v>2003</v>
      </c>
      <c r="B2005" s="31">
        <f>SUBTOTAL(2,INDEX(Main[ردیف],1):Main[[#This Row],[ردیف]])</f>
        <v>178</v>
      </c>
      <c r="C2005" s="32" t="s">
        <v>747</v>
      </c>
      <c r="D2005" s="32" t="str">
        <f>_xlfn.CONCAT("14",Main[[#This Row],[تاريخ]])</f>
        <v>1400/08/10</v>
      </c>
      <c r="E2005" s="33">
        <v>44501</v>
      </c>
      <c r="F2005" s="32">
        <v>30191</v>
      </c>
      <c r="G2005" s="5" t="str">
        <f>INDEX(customer[عنوان],MATCH(Main[[#This Row],[کد ردیابی]],customer[کد],0))</f>
        <v>ایران گرما</v>
      </c>
      <c r="H2005">
        <v>242</v>
      </c>
      <c r="I2005" s="6">
        <f ca="1">-Main[[#This Row],[بدهی تسویه شده (کیلوگرم)]]+Main[[#This Row],[بستانکار (کیلوگرم)]]</f>
        <v>242</v>
      </c>
      <c r="J2005" s="6">
        <f>IF(Main[[#This Row],[مقدار (کیلوگرم)]]&gt;0,Main[[#This Row],[مقدار (کیلوگرم)]],0)</f>
        <v>242</v>
      </c>
      <c r="K2005" s="6">
        <f>-IF(Main[[#This Row],[مقدار (کیلوگرم)]]&lt;0,Main[[#This Row],[مقدار (کیلوگرم)]],0)</f>
        <v>0</v>
      </c>
      <c r="L20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5" s="7">
        <f>-IF(AND(Main[[#This Row],[مقدار (کیلوگرم)]]&lt;0,Main[[#This Row],[تاريخ میلادی]]&gt;44276),Main[[#This Row],[مقدار (کیلوگرم)]],0)</f>
        <v>0</v>
      </c>
      <c r="N2005" s="6">
        <f ca="1">Main[[#This Row],[بدهکار (کیلوگرم)]]-Main[[#This Row],[بدهی تسویه نشده (کیلوگرم)]]</f>
        <v>0</v>
      </c>
      <c r="O2005" s="6">
        <f ca="1">Main[[#This Row],[تفکیک]]</f>
        <v>0</v>
      </c>
      <c r="P2005" s="6">
        <f ca="1">IF(Main[[#This Row],[تاخیر از سررسید]]&gt;0,Main[[#This Row],[بدهی تسویه نشده (کیلوگرم)]],0)</f>
        <v>0</v>
      </c>
      <c r="Q2005" s="6">
        <f ca="1">IF(Main[[#This Row],[بدهی تسویه نشده (کیلوگرم)]]&gt;0,'گزارش فردی'!$B$7-Main[[#This Row],[تاريخ میلادی]],0)</f>
        <v>0</v>
      </c>
      <c r="R2005" s="6">
        <f ca="1">IF(Main[[#This Row],[بدهی تسویه نشده (کیلوگرم)]]&gt;0,'گزارش فردی'!$B$7-Main[[#This Row],[تاريخ میلادی]]-'گزارش فردی'!$B$8,0)</f>
        <v>0</v>
      </c>
      <c r="S2005" s="6">
        <f ca="1">Main[[#This Row],[روز از ارسال سفارش]]*Main[[#This Row],[بدهی تسویه نشده (کیلوگرم)]]</f>
        <v>0</v>
      </c>
      <c r="T2005" s="6">
        <f ca="1">Main[[#This Row],[بدهی سررسید شده (کیلوگرم)]]*Main[[#This Row],[روز از ارسال سفارش]]</f>
        <v>0</v>
      </c>
      <c r="U2005" s="6">
        <f>-SUBTOTAL(9,INDEX(Main[مقدار (کیلوگرم)],1):Main[[#This Row],[مقدار (کیلوگرم)]])</f>
        <v>32528</v>
      </c>
      <c r="V20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5" s="6">
        <f>Main[[#This Row],[تعداد کل روزهای بدهکار (روز)]]*Main[[#This Row],[مانده در خط کل (کیلوگرم)]]</f>
        <v>0</v>
      </c>
      <c r="X2005" s="6">
        <f ca="1">-SUBTOTAL(9,INDEX(Main[مقدار تسویه شده (کیلوگرم)],1):Main[[#This Row],[مقدار تسویه شده (کیلوگرم)]])</f>
        <v>32528</v>
      </c>
      <c r="Y2005" s="6">
        <f ca="1">IF(Main[[#This Row],[مانده در خط تسویه شده (کیلوگرم)]]&lt;&gt;0,Main[[#This Row],[تعداد کل روزهای بدهکار (روز)]],0)</f>
        <v>0</v>
      </c>
      <c r="Z2005" s="6">
        <f ca="1">Main[[#This Row],[تعداد روزهای بدهکار تسویه شده (روز)]]*Main[[#This Row],[مانده در خط تسویه شده (کیلوگرم)]]</f>
        <v>0</v>
      </c>
      <c r="AA2005" s="6">
        <f ca="1">SUBTOTAL(9,INDEX(Main[بدهی تسویه نشده (کیلوگرم)],1):Main[[#This Row],[بدهی تسویه نشده (کیلوگرم)]])</f>
        <v>0</v>
      </c>
      <c r="AB2005" s="6">
        <f ca="1">IF(Main[[#This Row],[مانده در خط تسویه نشده (کیلوگرم)]]&lt;&gt;0,Main[[#This Row],[تعداد کل روزهای بدهکار (روز)]],0)</f>
        <v>0</v>
      </c>
      <c r="AC2005" s="6">
        <f ca="1">Main[[#This Row],[تعداد روزهای بدهکار  تسویه نشده (روز)]]*Main[[#This Row],[مانده در خط تسویه نشده (کیلوگرم)]]</f>
        <v>0</v>
      </c>
      <c r="AD2005" s="6">
        <f ca="1">SUBTOTAL(9,INDEX(Main[بدهی سررسید شده (کیلوگرم)],1):Main[[#This Row],[بدهی سررسید شده (کیلوگرم)]])</f>
        <v>0</v>
      </c>
      <c r="AE2005" s="6">
        <f ca="1">IF(Main[[#This Row],[مانده در خط سررسید شده (کیلوگرم)]]&lt;&gt;0,Main[[#This Row],[تعداد کل روزهای بدهکار (روز)]],0)</f>
        <v>0</v>
      </c>
      <c r="AF2005" s="6">
        <f ca="1">Main[[#This Row],[تعداد روزهای بدهکار سررسید شده (روز)]]*Main[[#This Row],[مانده در خط سررسید شده (کیلوگرم)]]</f>
        <v>0</v>
      </c>
    </row>
    <row r="2006" spans="1:32" hidden="1" x14ac:dyDescent="0.35">
      <c r="A2006" s="5">
        <f>ROW()-ROW(INDEX(Main[ردیف],1))+1</f>
        <v>2004</v>
      </c>
      <c r="B2006" s="31">
        <f>SUBTOTAL(2,INDEX(Main[ردیف],1):Main[[#This Row],[ردیف]])</f>
        <v>178</v>
      </c>
      <c r="C2006" s="32" t="s">
        <v>747</v>
      </c>
      <c r="D2006" s="32" t="str">
        <f>_xlfn.CONCAT("14",Main[[#This Row],[تاريخ]])</f>
        <v>1400/08/10</v>
      </c>
      <c r="E2006" s="33">
        <v>44501</v>
      </c>
      <c r="F2006" s="32">
        <v>30003</v>
      </c>
      <c r="G2006" s="5" t="str">
        <f>INDEX(customer[عنوان],MATCH(Main[[#This Row],[کد ردیابی]],customer[کد],0))</f>
        <v xml:space="preserve">شهاب گاز سوز </v>
      </c>
      <c r="H2006">
        <v>-948</v>
      </c>
      <c r="I2006" s="6">
        <f ca="1">-Main[[#This Row],[بدهی تسویه شده (کیلوگرم)]]+Main[[#This Row],[بستانکار (کیلوگرم)]]</f>
        <v>-948</v>
      </c>
      <c r="J2006" s="6">
        <f>IF(Main[[#This Row],[مقدار (کیلوگرم)]]&gt;0,Main[[#This Row],[مقدار (کیلوگرم)]],0)</f>
        <v>0</v>
      </c>
      <c r="K2006" s="6">
        <f>-IF(Main[[#This Row],[مقدار (کیلوگرم)]]&lt;0,Main[[#This Row],[مقدار (کیلوگرم)]],0)</f>
        <v>948</v>
      </c>
      <c r="L20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6" s="7">
        <f>-IF(AND(Main[[#This Row],[مقدار (کیلوگرم)]]&lt;0,Main[[#This Row],[تاريخ میلادی]]&gt;44276),Main[[#This Row],[مقدار (کیلوگرم)]],0)</f>
        <v>948</v>
      </c>
      <c r="N2006" s="6">
        <f ca="1">Main[[#This Row],[بدهکار (کیلوگرم)]]-Main[[#This Row],[بدهی تسویه نشده (کیلوگرم)]]</f>
        <v>948</v>
      </c>
      <c r="O2006" s="6">
        <f ca="1">Main[[#This Row],[تفکیک]]</f>
        <v>0</v>
      </c>
      <c r="P2006" s="6">
        <f ca="1">IF(Main[[#This Row],[تاخیر از سررسید]]&gt;0,Main[[#This Row],[بدهی تسویه نشده (کیلوگرم)]],0)</f>
        <v>0</v>
      </c>
      <c r="Q2006" s="6">
        <f ca="1">IF(Main[[#This Row],[بدهی تسویه نشده (کیلوگرم)]]&gt;0,'گزارش فردی'!$B$7-Main[[#This Row],[تاريخ میلادی]],0)</f>
        <v>0</v>
      </c>
      <c r="R2006" s="6">
        <f ca="1">IF(Main[[#This Row],[بدهی تسویه نشده (کیلوگرم)]]&gt;0,'گزارش فردی'!$B$7-Main[[#This Row],[تاريخ میلادی]]-'گزارش فردی'!$B$8,0)</f>
        <v>0</v>
      </c>
      <c r="S2006" s="6">
        <f ca="1">Main[[#This Row],[روز از ارسال سفارش]]*Main[[#This Row],[بدهی تسویه نشده (کیلوگرم)]]</f>
        <v>0</v>
      </c>
      <c r="T2006" s="6">
        <f ca="1">Main[[#This Row],[بدهی سررسید شده (کیلوگرم)]]*Main[[#This Row],[روز از ارسال سفارش]]</f>
        <v>0</v>
      </c>
      <c r="U2006" s="6">
        <f>-SUBTOTAL(9,INDEX(Main[مقدار (کیلوگرم)],1):Main[[#This Row],[مقدار (کیلوگرم)]])</f>
        <v>32528</v>
      </c>
      <c r="V20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6" s="6">
        <f>Main[[#This Row],[تعداد کل روزهای بدهکار (روز)]]*Main[[#This Row],[مانده در خط کل (کیلوگرم)]]</f>
        <v>0</v>
      </c>
      <c r="X2006" s="6">
        <f ca="1">-SUBTOTAL(9,INDEX(Main[مقدار تسویه شده (کیلوگرم)],1):Main[[#This Row],[مقدار تسویه شده (کیلوگرم)]])</f>
        <v>32528</v>
      </c>
      <c r="Y2006" s="6">
        <f ca="1">IF(Main[[#This Row],[مانده در خط تسویه شده (کیلوگرم)]]&lt;&gt;0,Main[[#This Row],[تعداد کل روزهای بدهکار (روز)]],0)</f>
        <v>0</v>
      </c>
      <c r="Z2006" s="6">
        <f ca="1">Main[[#This Row],[تعداد روزهای بدهکار تسویه شده (روز)]]*Main[[#This Row],[مانده در خط تسویه شده (کیلوگرم)]]</f>
        <v>0</v>
      </c>
      <c r="AA2006" s="6">
        <f ca="1">SUBTOTAL(9,INDEX(Main[بدهی تسویه نشده (کیلوگرم)],1):Main[[#This Row],[بدهی تسویه نشده (کیلوگرم)]])</f>
        <v>0</v>
      </c>
      <c r="AB2006" s="6">
        <f ca="1">IF(Main[[#This Row],[مانده در خط تسویه نشده (کیلوگرم)]]&lt;&gt;0,Main[[#This Row],[تعداد کل روزهای بدهکار (روز)]],0)</f>
        <v>0</v>
      </c>
      <c r="AC2006" s="6">
        <f ca="1">Main[[#This Row],[تعداد روزهای بدهکار  تسویه نشده (روز)]]*Main[[#This Row],[مانده در خط تسویه نشده (کیلوگرم)]]</f>
        <v>0</v>
      </c>
      <c r="AD2006" s="6">
        <f ca="1">SUBTOTAL(9,INDEX(Main[بدهی سررسید شده (کیلوگرم)],1):Main[[#This Row],[بدهی سررسید شده (کیلوگرم)]])</f>
        <v>0</v>
      </c>
      <c r="AE2006" s="6">
        <f ca="1">IF(Main[[#This Row],[مانده در خط سررسید شده (کیلوگرم)]]&lt;&gt;0,Main[[#This Row],[تعداد کل روزهای بدهکار (روز)]],0)</f>
        <v>0</v>
      </c>
      <c r="AF2006" s="6">
        <f ca="1">Main[[#This Row],[تعداد روزهای بدهکار سررسید شده (روز)]]*Main[[#This Row],[مانده در خط سررسید شده (کیلوگرم)]]</f>
        <v>0</v>
      </c>
    </row>
    <row r="2007" spans="1:32" hidden="1" x14ac:dyDescent="0.35">
      <c r="A2007" s="5">
        <f>ROW()-ROW(INDEX(Main[ردیف],1))+1</f>
        <v>2005</v>
      </c>
      <c r="B2007" s="31">
        <f>SUBTOTAL(2,INDEX(Main[ردیف],1):Main[[#This Row],[ردیف]])</f>
        <v>178</v>
      </c>
      <c r="C2007" s="32" t="s">
        <v>747</v>
      </c>
      <c r="D2007" s="32" t="str">
        <f>_xlfn.CONCAT("14",Main[[#This Row],[تاريخ]])</f>
        <v>1400/08/10</v>
      </c>
      <c r="E2007" s="33">
        <v>44501</v>
      </c>
      <c r="F2007" s="32">
        <v>10055</v>
      </c>
      <c r="G2007" s="5" t="str">
        <f>INDEX(customer[عنوان],MATCH(Main[[#This Row],[کد ردیابی]],customer[کد],0))</f>
        <v xml:space="preserve">مریم فیض آبادی  </v>
      </c>
      <c r="H2007">
        <v>7366</v>
      </c>
      <c r="I2007" s="6">
        <f ca="1">-Main[[#This Row],[بدهی تسویه شده (کیلوگرم)]]+Main[[#This Row],[بستانکار (کیلوگرم)]]</f>
        <v>7366</v>
      </c>
      <c r="J2007" s="6">
        <f>IF(Main[[#This Row],[مقدار (کیلوگرم)]]&gt;0,Main[[#This Row],[مقدار (کیلوگرم)]],0)</f>
        <v>7366</v>
      </c>
      <c r="K2007" s="6">
        <f>-IF(Main[[#This Row],[مقدار (کیلوگرم)]]&lt;0,Main[[#This Row],[مقدار (کیلوگرم)]],0)</f>
        <v>0</v>
      </c>
      <c r="L20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7" s="7">
        <f>-IF(AND(Main[[#This Row],[مقدار (کیلوگرم)]]&lt;0,Main[[#This Row],[تاريخ میلادی]]&gt;44276),Main[[#This Row],[مقدار (کیلوگرم)]],0)</f>
        <v>0</v>
      </c>
      <c r="N2007" s="6">
        <f ca="1">Main[[#This Row],[بدهکار (کیلوگرم)]]-Main[[#This Row],[بدهی تسویه نشده (کیلوگرم)]]</f>
        <v>0</v>
      </c>
      <c r="O2007" s="6">
        <f ca="1">Main[[#This Row],[تفکیک]]</f>
        <v>0</v>
      </c>
      <c r="P2007" s="6">
        <f ca="1">IF(Main[[#This Row],[تاخیر از سررسید]]&gt;0,Main[[#This Row],[بدهی تسویه نشده (کیلوگرم)]],0)</f>
        <v>0</v>
      </c>
      <c r="Q2007" s="6">
        <f ca="1">IF(Main[[#This Row],[بدهی تسویه نشده (کیلوگرم)]]&gt;0,'گزارش فردی'!$B$7-Main[[#This Row],[تاريخ میلادی]],0)</f>
        <v>0</v>
      </c>
      <c r="R2007" s="6">
        <f ca="1">IF(Main[[#This Row],[بدهی تسویه نشده (کیلوگرم)]]&gt;0,'گزارش فردی'!$B$7-Main[[#This Row],[تاريخ میلادی]]-'گزارش فردی'!$B$8,0)</f>
        <v>0</v>
      </c>
      <c r="S2007" s="6">
        <f ca="1">Main[[#This Row],[روز از ارسال سفارش]]*Main[[#This Row],[بدهی تسویه نشده (کیلوگرم)]]</f>
        <v>0</v>
      </c>
      <c r="T2007" s="6">
        <f ca="1">Main[[#This Row],[بدهی سررسید شده (کیلوگرم)]]*Main[[#This Row],[روز از ارسال سفارش]]</f>
        <v>0</v>
      </c>
      <c r="U2007" s="6">
        <f>-SUBTOTAL(9,INDEX(Main[مقدار (کیلوگرم)],1):Main[[#This Row],[مقدار (کیلوگرم)]])</f>
        <v>32528</v>
      </c>
      <c r="V20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7" s="6">
        <f>Main[[#This Row],[تعداد کل روزهای بدهکار (روز)]]*Main[[#This Row],[مانده در خط کل (کیلوگرم)]]</f>
        <v>0</v>
      </c>
      <c r="X2007" s="6">
        <f ca="1">-SUBTOTAL(9,INDEX(Main[مقدار تسویه شده (کیلوگرم)],1):Main[[#This Row],[مقدار تسویه شده (کیلوگرم)]])</f>
        <v>32528</v>
      </c>
      <c r="Y2007" s="6">
        <f ca="1">IF(Main[[#This Row],[مانده در خط تسویه شده (کیلوگرم)]]&lt;&gt;0,Main[[#This Row],[تعداد کل روزهای بدهکار (روز)]],0)</f>
        <v>0</v>
      </c>
      <c r="Z2007" s="6">
        <f ca="1">Main[[#This Row],[تعداد روزهای بدهکار تسویه شده (روز)]]*Main[[#This Row],[مانده در خط تسویه شده (کیلوگرم)]]</f>
        <v>0</v>
      </c>
      <c r="AA2007" s="6">
        <f ca="1">SUBTOTAL(9,INDEX(Main[بدهی تسویه نشده (کیلوگرم)],1):Main[[#This Row],[بدهی تسویه نشده (کیلوگرم)]])</f>
        <v>0</v>
      </c>
      <c r="AB2007" s="6">
        <f ca="1">IF(Main[[#This Row],[مانده در خط تسویه نشده (کیلوگرم)]]&lt;&gt;0,Main[[#This Row],[تعداد کل روزهای بدهکار (روز)]],0)</f>
        <v>0</v>
      </c>
      <c r="AC2007" s="6">
        <f ca="1">Main[[#This Row],[تعداد روزهای بدهکار  تسویه نشده (روز)]]*Main[[#This Row],[مانده در خط تسویه نشده (کیلوگرم)]]</f>
        <v>0</v>
      </c>
      <c r="AD2007" s="6">
        <f ca="1">SUBTOTAL(9,INDEX(Main[بدهی سررسید شده (کیلوگرم)],1):Main[[#This Row],[بدهی سررسید شده (کیلوگرم)]])</f>
        <v>0</v>
      </c>
      <c r="AE2007" s="6">
        <f ca="1">IF(Main[[#This Row],[مانده در خط سررسید شده (کیلوگرم)]]&lt;&gt;0,Main[[#This Row],[تعداد کل روزهای بدهکار (روز)]],0)</f>
        <v>0</v>
      </c>
      <c r="AF2007" s="6">
        <f ca="1">Main[[#This Row],[تعداد روزهای بدهکار سررسید شده (روز)]]*Main[[#This Row],[مانده در خط سررسید شده (کیلوگرم)]]</f>
        <v>0</v>
      </c>
    </row>
    <row r="2008" spans="1:32" x14ac:dyDescent="0.35">
      <c r="A2008" s="5">
        <f>ROW()-ROW(INDEX(Main[ردیف],1))+1</f>
        <v>2006</v>
      </c>
      <c r="B2008" s="31">
        <f>SUBTOTAL(2,INDEX(Main[ردیف],1):Main[[#This Row],[ردیف]])</f>
        <v>179</v>
      </c>
      <c r="C2008" s="32" t="s">
        <v>747</v>
      </c>
      <c r="D2008" s="32" t="str">
        <f>_xlfn.CONCAT("14",Main[[#This Row],[تاريخ]])</f>
        <v>1400/08/10</v>
      </c>
      <c r="E2008" s="33">
        <v>44501</v>
      </c>
      <c r="F2008" s="32">
        <v>10003</v>
      </c>
      <c r="G2008" s="5" t="str">
        <f>INDEX(customer[عنوان],MATCH(Main[[#This Row],[کد ردیابی]],customer[کد],0))</f>
        <v>اصغر نورعلی</v>
      </c>
      <c r="H2008">
        <v>-3313</v>
      </c>
      <c r="I2008" s="6">
        <f ca="1">-Main[[#This Row],[بدهی تسویه شده (کیلوگرم)]]+Main[[#This Row],[بستانکار (کیلوگرم)]]</f>
        <v>-3313</v>
      </c>
      <c r="J2008" s="6">
        <f>IF(Main[[#This Row],[مقدار (کیلوگرم)]]&gt;0,Main[[#This Row],[مقدار (کیلوگرم)]],0)</f>
        <v>0</v>
      </c>
      <c r="K2008" s="6">
        <f>-IF(Main[[#This Row],[مقدار (کیلوگرم)]]&lt;0,Main[[#This Row],[مقدار (کیلوگرم)]],0)</f>
        <v>3313</v>
      </c>
      <c r="L20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8" s="7">
        <f>-IF(AND(Main[[#This Row],[مقدار (کیلوگرم)]]&lt;0,Main[[#This Row],[تاريخ میلادی]]&gt;44276),Main[[#This Row],[مقدار (کیلوگرم)]],0)</f>
        <v>3313</v>
      </c>
      <c r="N2008" s="6">
        <f ca="1">Main[[#This Row],[بدهکار (کیلوگرم)]]-Main[[#This Row],[بدهی تسویه نشده (کیلوگرم)]]</f>
        <v>3313</v>
      </c>
      <c r="O2008" s="6">
        <f ca="1">Main[[#This Row],[تفکیک]]</f>
        <v>0</v>
      </c>
      <c r="P2008" s="6">
        <f ca="1">IF(Main[[#This Row],[تاخیر از سررسید]]&gt;0,Main[[#This Row],[بدهی تسویه نشده (کیلوگرم)]],0)</f>
        <v>0</v>
      </c>
      <c r="Q2008" s="6">
        <f ca="1">IF(Main[[#This Row],[بدهی تسویه نشده (کیلوگرم)]]&gt;0,'گزارش فردی'!$B$7-Main[[#This Row],[تاريخ میلادی]],0)</f>
        <v>0</v>
      </c>
      <c r="R2008" s="6">
        <f ca="1">IF(Main[[#This Row],[بدهی تسویه نشده (کیلوگرم)]]&gt;0,'گزارش فردی'!$B$7-Main[[#This Row],[تاريخ میلادی]]-'گزارش فردی'!$B$8,0)</f>
        <v>0</v>
      </c>
      <c r="S2008" s="6">
        <f ca="1">Main[[#This Row],[روز از ارسال سفارش]]*Main[[#This Row],[بدهی تسویه نشده (کیلوگرم)]]</f>
        <v>0</v>
      </c>
      <c r="T2008" s="6">
        <f ca="1">Main[[#This Row],[بدهی سررسید شده (کیلوگرم)]]*Main[[#This Row],[روز از ارسال سفارش]]</f>
        <v>0</v>
      </c>
      <c r="U2008" s="6">
        <f>-SUBTOTAL(9,INDEX(Main[مقدار (کیلوگرم)],1):Main[[#This Row],[مقدار (کیلوگرم)]])</f>
        <v>35841</v>
      </c>
      <c r="V20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8" s="6">
        <f>Main[[#This Row],[تعداد کل روزهای بدهکار (روز)]]*Main[[#This Row],[مانده در خط کل (کیلوگرم)]]</f>
        <v>0</v>
      </c>
      <c r="X2008" s="6">
        <f ca="1">-SUBTOTAL(9,INDEX(Main[مقدار تسویه شده (کیلوگرم)],1):Main[[#This Row],[مقدار تسویه شده (کیلوگرم)]])</f>
        <v>35841</v>
      </c>
      <c r="Y2008" s="6">
        <f ca="1">IF(Main[[#This Row],[مانده در خط تسویه شده (کیلوگرم)]]&lt;&gt;0,Main[[#This Row],[تعداد کل روزهای بدهکار (روز)]],0)</f>
        <v>0</v>
      </c>
      <c r="Z2008" s="6">
        <f ca="1">Main[[#This Row],[تعداد روزهای بدهکار تسویه شده (روز)]]*Main[[#This Row],[مانده در خط تسویه شده (کیلوگرم)]]</f>
        <v>0</v>
      </c>
      <c r="AA2008" s="6">
        <f ca="1">SUBTOTAL(9,INDEX(Main[بدهی تسویه نشده (کیلوگرم)],1):Main[[#This Row],[بدهی تسویه نشده (کیلوگرم)]])</f>
        <v>0</v>
      </c>
      <c r="AB2008" s="6">
        <f ca="1">IF(Main[[#This Row],[مانده در خط تسویه نشده (کیلوگرم)]]&lt;&gt;0,Main[[#This Row],[تعداد کل روزهای بدهکار (روز)]],0)</f>
        <v>0</v>
      </c>
      <c r="AC2008" s="6">
        <f ca="1">Main[[#This Row],[تعداد روزهای بدهکار  تسویه نشده (روز)]]*Main[[#This Row],[مانده در خط تسویه نشده (کیلوگرم)]]</f>
        <v>0</v>
      </c>
      <c r="AD2008" s="6">
        <f ca="1">SUBTOTAL(9,INDEX(Main[بدهی سررسید شده (کیلوگرم)],1):Main[[#This Row],[بدهی سررسید شده (کیلوگرم)]])</f>
        <v>0</v>
      </c>
      <c r="AE2008" s="6">
        <f ca="1">IF(Main[[#This Row],[مانده در خط سررسید شده (کیلوگرم)]]&lt;&gt;0,Main[[#This Row],[تعداد کل روزهای بدهکار (روز)]],0)</f>
        <v>0</v>
      </c>
      <c r="AF2008" s="6">
        <f ca="1">Main[[#This Row],[تعداد روزهای بدهکار سررسید شده (روز)]]*Main[[#This Row],[مانده در خط سررسید شده (کیلوگرم)]]</f>
        <v>0</v>
      </c>
    </row>
    <row r="2009" spans="1:32" x14ac:dyDescent="0.35">
      <c r="A2009" s="5">
        <f>ROW()-ROW(INDEX(Main[ردیف],1))+1</f>
        <v>2007</v>
      </c>
      <c r="B2009" s="31">
        <f>SUBTOTAL(2,INDEX(Main[ردیف],1):Main[[#This Row],[ردیف]])</f>
        <v>180</v>
      </c>
      <c r="C2009" s="32" t="s">
        <v>747</v>
      </c>
      <c r="D2009" s="32" t="str">
        <f>_xlfn.CONCAT("14",Main[[#This Row],[تاريخ]])</f>
        <v>1400/08/10</v>
      </c>
      <c r="E2009" s="33">
        <v>44501</v>
      </c>
      <c r="F2009" s="32">
        <v>10003</v>
      </c>
      <c r="G2009" s="5" t="str">
        <f>INDEX(customer[عنوان],MATCH(Main[[#This Row],[کد ردیابی]],customer[کد],0))</f>
        <v>اصغر نورعلی</v>
      </c>
      <c r="H2009">
        <v>2300</v>
      </c>
      <c r="I2009" s="6">
        <f ca="1">-Main[[#This Row],[بدهی تسویه شده (کیلوگرم)]]+Main[[#This Row],[بستانکار (کیلوگرم)]]</f>
        <v>2300</v>
      </c>
      <c r="J2009" s="6">
        <f>IF(Main[[#This Row],[مقدار (کیلوگرم)]]&gt;0,Main[[#This Row],[مقدار (کیلوگرم)]],0)</f>
        <v>2300</v>
      </c>
      <c r="K2009" s="6">
        <f>-IF(Main[[#This Row],[مقدار (کیلوگرم)]]&lt;0,Main[[#This Row],[مقدار (کیلوگرم)]],0)</f>
        <v>0</v>
      </c>
      <c r="L20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9" s="7">
        <f>-IF(AND(Main[[#This Row],[مقدار (کیلوگرم)]]&lt;0,Main[[#This Row],[تاريخ میلادی]]&gt;44276),Main[[#This Row],[مقدار (کیلوگرم)]],0)</f>
        <v>0</v>
      </c>
      <c r="N2009" s="6">
        <f ca="1">Main[[#This Row],[بدهکار (کیلوگرم)]]-Main[[#This Row],[بدهی تسویه نشده (کیلوگرم)]]</f>
        <v>0</v>
      </c>
      <c r="O2009" s="6">
        <f ca="1">Main[[#This Row],[تفکیک]]</f>
        <v>0</v>
      </c>
      <c r="P2009" s="6">
        <f ca="1">IF(Main[[#This Row],[تاخیر از سررسید]]&gt;0,Main[[#This Row],[بدهی تسویه نشده (کیلوگرم)]],0)</f>
        <v>0</v>
      </c>
      <c r="Q2009" s="6">
        <f ca="1">IF(Main[[#This Row],[بدهی تسویه نشده (کیلوگرم)]]&gt;0,'گزارش فردی'!$B$7-Main[[#This Row],[تاريخ میلادی]],0)</f>
        <v>0</v>
      </c>
      <c r="R2009" s="6">
        <f ca="1">IF(Main[[#This Row],[بدهی تسویه نشده (کیلوگرم)]]&gt;0,'گزارش فردی'!$B$7-Main[[#This Row],[تاريخ میلادی]]-'گزارش فردی'!$B$8,0)</f>
        <v>0</v>
      </c>
      <c r="S2009" s="6">
        <f ca="1">Main[[#This Row],[روز از ارسال سفارش]]*Main[[#This Row],[بدهی تسویه نشده (کیلوگرم)]]</f>
        <v>0</v>
      </c>
      <c r="T2009" s="6">
        <f ca="1">Main[[#This Row],[بدهی سررسید شده (کیلوگرم)]]*Main[[#This Row],[روز از ارسال سفارش]]</f>
        <v>0</v>
      </c>
      <c r="U2009" s="6">
        <f>-SUBTOTAL(9,INDEX(Main[مقدار (کیلوگرم)],1):Main[[#This Row],[مقدار (کیلوگرم)]])</f>
        <v>33541</v>
      </c>
      <c r="V20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9" s="6">
        <f>Main[[#This Row],[تعداد کل روزهای بدهکار (روز)]]*Main[[#This Row],[مانده در خط کل (کیلوگرم)]]</f>
        <v>33541</v>
      </c>
      <c r="X2009" s="6">
        <f ca="1">-SUBTOTAL(9,INDEX(Main[مقدار تسویه شده (کیلوگرم)],1):Main[[#This Row],[مقدار تسویه شده (کیلوگرم)]])</f>
        <v>33541</v>
      </c>
      <c r="Y2009" s="6">
        <f ca="1">IF(Main[[#This Row],[مانده در خط تسویه شده (کیلوگرم)]]&lt;&gt;0,Main[[#This Row],[تعداد کل روزهای بدهکار (روز)]],0)</f>
        <v>1</v>
      </c>
      <c r="Z2009" s="6">
        <f ca="1">Main[[#This Row],[تعداد روزهای بدهکار تسویه شده (روز)]]*Main[[#This Row],[مانده در خط تسویه شده (کیلوگرم)]]</f>
        <v>33541</v>
      </c>
      <c r="AA2009" s="6">
        <f ca="1">SUBTOTAL(9,INDEX(Main[بدهی تسویه نشده (کیلوگرم)],1):Main[[#This Row],[بدهی تسویه نشده (کیلوگرم)]])</f>
        <v>0</v>
      </c>
      <c r="AB2009" s="6">
        <f ca="1">IF(Main[[#This Row],[مانده در خط تسویه نشده (کیلوگرم)]]&lt;&gt;0,Main[[#This Row],[تعداد کل روزهای بدهکار (روز)]],0)</f>
        <v>0</v>
      </c>
      <c r="AC2009" s="6">
        <f ca="1">Main[[#This Row],[تعداد روزهای بدهکار  تسویه نشده (روز)]]*Main[[#This Row],[مانده در خط تسویه نشده (کیلوگرم)]]</f>
        <v>0</v>
      </c>
      <c r="AD2009" s="6">
        <f ca="1">SUBTOTAL(9,INDEX(Main[بدهی سررسید شده (کیلوگرم)],1):Main[[#This Row],[بدهی سررسید شده (کیلوگرم)]])</f>
        <v>0</v>
      </c>
      <c r="AE2009" s="6">
        <f ca="1">IF(Main[[#This Row],[مانده در خط سررسید شده (کیلوگرم)]]&lt;&gt;0,Main[[#This Row],[تعداد کل روزهای بدهکار (روز)]],0)</f>
        <v>0</v>
      </c>
      <c r="AF2009" s="6">
        <f ca="1">Main[[#This Row],[تعداد روزهای بدهکار سررسید شده (روز)]]*Main[[#This Row],[مانده در خط سررسید شده (کیلوگرم)]]</f>
        <v>0</v>
      </c>
    </row>
    <row r="2010" spans="1:32" hidden="1" x14ac:dyDescent="0.35">
      <c r="A2010" s="5">
        <f>ROW()-ROW(INDEX(Main[ردیف],1))+1</f>
        <v>2008</v>
      </c>
      <c r="B2010" s="31">
        <f>SUBTOTAL(2,INDEX(Main[ردیف],1):Main[[#This Row],[ردیف]])</f>
        <v>180</v>
      </c>
      <c r="C2010" s="32" t="s">
        <v>747</v>
      </c>
      <c r="D2010" s="32" t="str">
        <f>_xlfn.CONCAT("14",Main[[#This Row],[تاريخ]])</f>
        <v>1400/08/10</v>
      </c>
      <c r="E2010" s="33">
        <v>44501</v>
      </c>
      <c r="F2010" s="32">
        <v>10026</v>
      </c>
      <c r="G2010" s="5" t="str">
        <f>INDEX(customer[عنوان],MATCH(Main[[#This Row],[کد ردیابی]],customer[کد],0))</f>
        <v xml:space="preserve">محسن فیاض بخش </v>
      </c>
      <c r="H2010">
        <v>-2135</v>
      </c>
      <c r="I2010" s="6">
        <f ca="1">-Main[[#This Row],[بدهی تسویه شده (کیلوگرم)]]+Main[[#This Row],[بستانکار (کیلوگرم)]]</f>
        <v>-2135</v>
      </c>
      <c r="J2010" s="6">
        <f>IF(Main[[#This Row],[مقدار (کیلوگرم)]]&gt;0,Main[[#This Row],[مقدار (کیلوگرم)]],0)</f>
        <v>0</v>
      </c>
      <c r="K2010" s="6">
        <f>-IF(Main[[#This Row],[مقدار (کیلوگرم)]]&lt;0,Main[[#This Row],[مقدار (کیلوگرم)]],0)</f>
        <v>2135</v>
      </c>
      <c r="L20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0" s="7">
        <f>-IF(AND(Main[[#This Row],[مقدار (کیلوگرم)]]&lt;0,Main[[#This Row],[تاريخ میلادی]]&gt;44276),Main[[#This Row],[مقدار (کیلوگرم)]],0)</f>
        <v>2135</v>
      </c>
      <c r="N2010" s="6">
        <f ca="1">Main[[#This Row],[بدهکار (کیلوگرم)]]-Main[[#This Row],[بدهی تسویه نشده (کیلوگرم)]]</f>
        <v>2135</v>
      </c>
      <c r="O2010" s="6">
        <f ca="1">Main[[#This Row],[تفکیک]]</f>
        <v>0</v>
      </c>
      <c r="P2010" s="6">
        <f ca="1">IF(Main[[#This Row],[تاخیر از سررسید]]&gt;0,Main[[#This Row],[بدهی تسویه نشده (کیلوگرم)]],0)</f>
        <v>0</v>
      </c>
      <c r="Q2010" s="6">
        <f ca="1">IF(Main[[#This Row],[بدهی تسویه نشده (کیلوگرم)]]&gt;0,'گزارش فردی'!$B$7-Main[[#This Row],[تاريخ میلادی]],0)</f>
        <v>0</v>
      </c>
      <c r="R2010" s="6">
        <f ca="1">IF(Main[[#This Row],[بدهی تسویه نشده (کیلوگرم)]]&gt;0,'گزارش فردی'!$B$7-Main[[#This Row],[تاريخ میلادی]]-'گزارش فردی'!$B$8,0)</f>
        <v>0</v>
      </c>
      <c r="S2010" s="6">
        <f ca="1">Main[[#This Row],[روز از ارسال سفارش]]*Main[[#This Row],[بدهی تسویه نشده (کیلوگرم)]]</f>
        <v>0</v>
      </c>
      <c r="T2010" s="6">
        <f ca="1">Main[[#This Row],[بدهی سررسید شده (کیلوگرم)]]*Main[[#This Row],[روز از ارسال سفارش]]</f>
        <v>0</v>
      </c>
      <c r="U2010" s="6">
        <f>-SUBTOTAL(9,INDEX(Main[مقدار (کیلوگرم)],1):Main[[#This Row],[مقدار (کیلوگرم)]])</f>
        <v>33541</v>
      </c>
      <c r="V20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0" s="6">
        <f>Main[[#This Row],[تعداد کل روزهای بدهکار (روز)]]*Main[[#This Row],[مانده در خط کل (کیلوگرم)]]</f>
        <v>33541</v>
      </c>
      <c r="X2010" s="6">
        <f ca="1">-SUBTOTAL(9,INDEX(Main[مقدار تسویه شده (کیلوگرم)],1):Main[[#This Row],[مقدار تسویه شده (کیلوگرم)]])</f>
        <v>33541</v>
      </c>
      <c r="Y2010" s="6">
        <f ca="1">IF(Main[[#This Row],[مانده در خط تسویه شده (کیلوگرم)]]&lt;&gt;0,Main[[#This Row],[تعداد کل روزهای بدهکار (روز)]],0)</f>
        <v>1</v>
      </c>
      <c r="Z2010" s="6">
        <f ca="1">Main[[#This Row],[تعداد روزهای بدهکار تسویه شده (روز)]]*Main[[#This Row],[مانده در خط تسویه شده (کیلوگرم)]]</f>
        <v>33541</v>
      </c>
      <c r="AA2010" s="6">
        <f ca="1">SUBTOTAL(9,INDEX(Main[بدهی تسویه نشده (کیلوگرم)],1):Main[[#This Row],[بدهی تسویه نشده (کیلوگرم)]])</f>
        <v>0</v>
      </c>
      <c r="AB2010" s="6">
        <f ca="1">IF(Main[[#This Row],[مانده در خط تسویه نشده (کیلوگرم)]]&lt;&gt;0,Main[[#This Row],[تعداد کل روزهای بدهکار (روز)]],0)</f>
        <v>0</v>
      </c>
      <c r="AC2010" s="6">
        <f ca="1">Main[[#This Row],[تعداد روزهای بدهکار  تسویه نشده (روز)]]*Main[[#This Row],[مانده در خط تسویه نشده (کیلوگرم)]]</f>
        <v>0</v>
      </c>
      <c r="AD2010" s="6">
        <f ca="1">SUBTOTAL(9,INDEX(Main[بدهی سررسید شده (کیلوگرم)],1):Main[[#This Row],[بدهی سررسید شده (کیلوگرم)]])</f>
        <v>0</v>
      </c>
      <c r="AE2010" s="6">
        <f ca="1">IF(Main[[#This Row],[مانده در خط سررسید شده (کیلوگرم)]]&lt;&gt;0,Main[[#This Row],[تعداد کل روزهای بدهکار (روز)]],0)</f>
        <v>0</v>
      </c>
      <c r="AF2010" s="6">
        <f ca="1">Main[[#This Row],[تعداد روزهای بدهکار سررسید شده (روز)]]*Main[[#This Row],[مانده در خط سررسید شده (کیلوگرم)]]</f>
        <v>0</v>
      </c>
    </row>
    <row r="2011" spans="1:32" hidden="1" x14ac:dyDescent="0.35">
      <c r="A2011" s="5">
        <f>ROW()-ROW(INDEX(Main[ردیف],1))+1</f>
        <v>2009</v>
      </c>
      <c r="B2011" s="31">
        <f>SUBTOTAL(2,INDEX(Main[ردیف],1):Main[[#This Row],[ردیف]])</f>
        <v>180</v>
      </c>
      <c r="C2011" s="32" t="s">
        <v>747</v>
      </c>
      <c r="D2011" s="32" t="str">
        <f>_xlfn.CONCAT("14",Main[[#This Row],[تاريخ]])</f>
        <v>1400/08/10</v>
      </c>
      <c r="E2011" s="33">
        <v>44501</v>
      </c>
      <c r="F2011" s="32">
        <v>30003</v>
      </c>
      <c r="G2011" s="5" t="str">
        <f>INDEX(customer[عنوان],MATCH(Main[[#This Row],[کد ردیابی]],customer[کد],0))</f>
        <v xml:space="preserve">شهاب گاز سوز </v>
      </c>
      <c r="H2011">
        <v>120</v>
      </c>
      <c r="I2011" s="6">
        <f ca="1">-Main[[#This Row],[بدهی تسویه شده (کیلوگرم)]]+Main[[#This Row],[بستانکار (کیلوگرم)]]</f>
        <v>120</v>
      </c>
      <c r="J2011" s="6">
        <f>IF(Main[[#This Row],[مقدار (کیلوگرم)]]&gt;0,Main[[#This Row],[مقدار (کیلوگرم)]],0)</f>
        <v>120</v>
      </c>
      <c r="K2011" s="6">
        <f>-IF(Main[[#This Row],[مقدار (کیلوگرم)]]&lt;0,Main[[#This Row],[مقدار (کیلوگرم)]],0)</f>
        <v>0</v>
      </c>
      <c r="L20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1" s="7">
        <f>-IF(AND(Main[[#This Row],[مقدار (کیلوگرم)]]&lt;0,Main[[#This Row],[تاريخ میلادی]]&gt;44276),Main[[#This Row],[مقدار (کیلوگرم)]],0)</f>
        <v>0</v>
      </c>
      <c r="N2011" s="6">
        <f ca="1">Main[[#This Row],[بدهکار (کیلوگرم)]]-Main[[#This Row],[بدهی تسویه نشده (کیلوگرم)]]</f>
        <v>0</v>
      </c>
      <c r="O2011" s="6">
        <f ca="1">Main[[#This Row],[تفکیک]]</f>
        <v>0</v>
      </c>
      <c r="P2011" s="6">
        <f ca="1">IF(Main[[#This Row],[تاخیر از سررسید]]&gt;0,Main[[#This Row],[بدهی تسویه نشده (کیلوگرم)]],0)</f>
        <v>0</v>
      </c>
      <c r="Q2011" s="6">
        <f ca="1">IF(Main[[#This Row],[بدهی تسویه نشده (کیلوگرم)]]&gt;0,'گزارش فردی'!$B$7-Main[[#This Row],[تاريخ میلادی]],0)</f>
        <v>0</v>
      </c>
      <c r="R2011" s="6">
        <f ca="1">IF(Main[[#This Row],[بدهی تسویه نشده (کیلوگرم)]]&gt;0,'گزارش فردی'!$B$7-Main[[#This Row],[تاريخ میلادی]]-'گزارش فردی'!$B$8,0)</f>
        <v>0</v>
      </c>
      <c r="S2011" s="6">
        <f ca="1">Main[[#This Row],[روز از ارسال سفارش]]*Main[[#This Row],[بدهی تسویه نشده (کیلوگرم)]]</f>
        <v>0</v>
      </c>
      <c r="T2011" s="6">
        <f ca="1">Main[[#This Row],[بدهی سررسید شده (کیلوگرم)]]*Main[[#This Row],[روز از ارسال سفارش]]</f>
        <v>0</v>
      </c>
      <c r="U2011" s="6">
        <f>-SUBTOTAL(9,INDEX(Main[مقدار (کیلوگرم)],1):Main[[#This Row],[مقدار (کیلوگرم)]])</f>
        <v>33541</v>
      </c>
      <c r="V20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1" s="6">
        <f>Main[[#This Row],[تعداد کل روزهای بدهکار (روز)]]*Main[[#This Row],[مانده در خط کل (کیلوگرم)]]</f>
        <v>33541</v>
      </c>
      <c r="X2011" s="6">
        <f ca="1">-SUBTOTAL(9,INDEX(Main[مقدار تسویه شده (کیلوگرم)],1):Main[[#This Row],[مقدار تسویه شده (کیلوگرم)]])</f>
        <v>33541</v>
      </c>
      <c r="Y2011" s="6">
        <f ca="1">IF(Main[[#This Row],[مانده در خط تسویه شده (کیلوگرم)]]&lt;&gt;0,Main[[#This Row],[تعداد کل روزهای بدهکار (روز)]],0)</f>
        <v>1</v>
      </c>
      <c r="Z2011" s="6">
        <f ca="1">Main[[#This Row],[تعداد روزهای بدهکار تسویه شده (روز)]]*Main[[#This Row],[مانده در خط تسویه شده (کیلوگرم)]]</f>
        <v>33541</v>
      </c>
      <c r="AA2011" s="6">
        <f ca="1">SUBTOTAL(9,INDEX(Main[بدهی تسویه نشده (کیلوگرم)],1):Main[[#This Row],[بدهی تسویه نشده (کیلوگرم)]])</f>
        <v>0</v>
      </c>
      <c r="AB2011" s="6">
        <f ca="1">IF(Main[[#This Row],[مانده در خط تسویه نشده (کیلوگرم)]]&lt;&gt;0,Main[[#This Row],[تعداد کل روزهای بدهکار (روز)]],0)</f>
        <v>0</v>
      </c>
      <c r="AC2011" s="6">
        <f ca="1">Main[[#This Row],[تعداد روزهای بدهکار  تسویه نشده (روز)]]*Main[[#This Row],[مانده در خط تسویه نشده (کیلوگرم)]]</f>
        <v>0</v>
      </c>
      <c r="AD2011" s="6">
        <f ca="1">SUBTOTAL(9,INDEX(Main[بدهی سررسید شده (کیلوگرم)],1):Main[[#This Row],[بدهی سررسید شده (کیلوگرم)]])</f>
        <v>0</v>
      </c>
      <c r="AE2011" s="6">
        <f ca="1">IF(Main[[#This Row],[مانده در خط سررسید شده (کیلوگرم)]]&lt;&gt;0,Main[[#This Row],[تعداد کل روزهای بدهکار (روز)]],0)</f>
        <v>0</v>
      </c>
      <c r="AF2011" s="6">
        <f ca="1">Main[[#This Row],[تعداد روزهای بدهکار سررسید شده (روز)]]*Main[[#This Row],[مانده در خط سررسید شده (کیلوگرم)]]</f>
        <v>0</v>
      </c>
    </row>
    <row r="2012" spans="1:32" hidden="1" x14ac:dyDescent="0.35">
      <c r="A2012" s="5">
        <f>ROW()-ROW(INDEX(Main[ردیف],1))+1</f>
        <v>2010</v>
      </c>
      <c r="B2012" s="31">
        <f>SUBTOTAL(2,INDEX(Main[ردیف],1):Main[[#This Row],[ردیف]])</f>
        <v>180</v>
      </c>
      <c r="C2012" s="32" t="s">
        <v>747</v>
      </c>
      <c r="D2012" s="32" t="str">
        <f>_xlfn.CONCAT("14",Main[[#This Row],[تاريخ]])</f>
        <v>1400/08/10</v>
      </c>
      <c r="E2012" s="33">
        <v>44501</v>
      </c>
      <c r="F2012" s="32">
        <v>30066</v>
      </c>
      <c r="G2012" s="5" t="str">
        <f>INDEX(customer[عنوان],MATCH(Main[[#This Row],[کد ردیابی]],customer[کد],0))</f>
        <v xml:space="preserve">شیر آلات بهداشتی قهرمان </v>
      </c>
      <c r="H2012">
        <v>4482</v>
      </c>
      <c r="I2012" s="6">
        <f ca="1">-Main[[#This Row],[بدهی تسویه شده (کیلوگرم)]]+Main[[#This Row],[بستانکار (کیلوگرم)]]</f>
        <v>4482</v>
      </c>
      <c r="J2012" s="6">
        <f>IF(Main[[#This Row],[مقدار (کیلوگرم)]]&gt;0,Main[[#This Row],[مقدار (کیلوگرم)]],0)</f>
        <v>4482</v>
      </c>
      <c r="K2012" s="6">
        <f>-IF(Main[[#This Row],[مقدار (کیلوگرم)]]&lt;0,Main[[#This Row],[مقدار (کیلوگرم)]],0)</f>
        <v>0</v>
      </c>
      <c r="L20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2" s="7">
        <f>-IF(AND(Main[[#This Row],[مقدار (کیلوگرم)]]&lt;0,Main[[#This Row],[تاريخ میلادی]]&gt;44276),Main[[#This Row],[مقدار (کیلوگرم)]],0)</f>
        <v>0</v>
      </c>
      <c r="N2012" s="6">
        <f ca="1">Main[[#This Row],[بدهکار (کیلوگرم)]]-Main[[#This Row],[بدهی تسویه نشده (کیلوگرم)]]</f>
        <v>0</v>
      </c>
      <c r="O2012" s="6">
        <f ca="1">Main[[#This Row],[تفکیک]]</f>
        <v>0</v>
      </c>
      <c r="P2012" s="6">
        <f ca="1">IF(Main[[#This Row],[تاخیر از سررسید]]&gt;0,Main[[#This Row],[بدهی تسویه نشده (کیلوگرم)]],0)</f>
        <v>0</v>
      </c>
      <c r="Q2012" s="6">
        <f ca="1">IF(Main[[#This Row],[بدهی تسویه نشده (کیلوگرم)]]&gt;0,'گزارش فردی'!$B$7-Main[[#This Row],[تاريخ میلادی]],0)</f>
        <v>0</v>
      </c>
      <c r="R2012" s="6">
        <f ca="1">IF(Main[[#This Row],[بدهی تسویه نشده (کیلوگرم)]]&gt;0,'گزارش فردی'!$B$7-Main[[#This Row],[تاريخ میلادی]]-'گزارش فردی'!$B$8,0)</f>
        <v>0</v>
      </c>
      <c r="S2012" s="6">
        <f ca="1">Main[[#This Row],[روز از ارسال سفارش]]*Main[[#This Row],[بدهی تسویه نشده (کیلوگرم)]]</f>
        <v>0</v>
      </c>
      <c r="T2012" s="6">
        <f ca="1">Main[[#This Row],[بدهی سررسید شده (کیلوگرم)]]*Main[[#This Row],[روز از ارسال سفارش]]</f>
        <v>0</v>
      </c>
      <c r="U2012" s="6">
        <f>-SUBTOTAL(9,INDEX(Main[مقدار (کیلوگرم)],1):Main[[#This Row],[مقدار (کیلوگرم)]])</f>
        <v>33541</v>
      </c>
      <c r="V20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2" s="6">
        <f>Main[[#This Row],[تعداد کل روزهای بدهکار (روز)]]*Main[[#This Row],[مانده در خط کل (کیلوگرم)]]</f>
        <v>33541</v>
      </c>
      <c r="X2012" s="6">
        <f ca="1">-SUBTOTAL(9,INDEX(Main[مقدار تسویه شده (کیلوگرم)],1):Main[[#This Row],[مقدار تسویه شده (کیلوگرم)]])</f>
        <v>33541</v>
      </c>
      <c r="Y2012" s="6">
        <f ca="1">IF(Main[[#This Row],[مانده در خط تسویه شده (کیلوگرم)]]&lt;&gt;0,Main[[#This Row],[تعداد کل روزهای بدهکار (روز)]],0)</f>
        <v>1</v>
      </c>
      <c r="Z2012" s="6">
        <f ca="1">Main[[#This Row],[تعداد روزهای بدهکار تسویه شده (روز)]]*Main[[#This Row],[مانده در خط تسویه شده (کیلوگرم)]]</f>
        <v>33541</v>
      </c>
      <c r="AA2012" s="6">
        <f ca="1">SUBTOTAL(9,INDEX(Main[بدهی تسویه نشده (کیلوگرم)],1):Main[[#This Row],[بدهی تسویه نشده (کیلوگرم)]])</f>
        <v>0</v>
      </c>
      <c r="AB2012" s="6">
        <f ca="1">IF(Main[[#This Row],[مانده در خط تسویه نشده (کیلوگرم)]]&lt;&gt;0,Main[[#This Row],[تعداد کل روزهای بدهکار (روز)]],0)</f>
        <v>0</v>
      </c>
      <c r="AC2012" s="6">
        <f ca="1">Main[[#This Row],[تعداد روزهای بدهکار  تسویه نشده (روز)]]*Main[[#This Row],[مانده در خط تسویه نشده (کیلوگرم)]]</f>
        <v>0</v>
      </c>
      <c r="AD2012" s="6">
        <f ca="1">SUBTOTAL(9,INDEX(Main[بدهی سررسید شده (کیلوگرم)],1):Main[[#This Row],[بدهی سررسید شده (کیلوگرم)]])</f>
        <v>0</v>
      </c>
      <c r="AE2012" s="6">
        <f ca="1">IF(Main[[#This Row],[مانده در خط سررسید شده (کیلوگرم)]]&lt;&gt;0,Main[[#This Row],[تعداد کل روزهای بدهکار (روز)]],0)</f>
        <v>0</v>
      </c>
      <c r="AF2012" s="6">
        <f ca="1">Main[[#This Row],[تعداد روزهای بدهکار سررسید شده (روز)]]*Main[[#This Row],[مانده در خط سررسید شده (کیلوگرم)]]</f>
        <v>0</v>
      </c>
    </row>
    <row r="2013" spans="1:32" hidden="1" x14ac:dyDescent="0.35">
      <c r="A2013" s="5">
        <f>ROW()-ROW(INDEX(Main[ردیف],1))+1</f>
        <v>2011</v>
      </c>
      <c r="B2013" s="31">
        <f>SUBTOTAL(2,INDEX(Main[ردیف],1):Main[[#This Row],[ردیف]])</f>
        <v>180</v>
      </c>
      <c r="C2013" s="32" t="s">
        <v>747</v>
      </c>
      <c r="D2013" s="32" t="str">
        <f>_xlfn.CONCAT("14",Main[[#This Row],[تاريخ]])</f>
        <v>1400/08/10</v>
      </c>
      <c r="E2013" s="33">
        <v>44501</v>
      </c>
      <c r="F2013" s="32">
        <v>30003</v>
      </c>
      <c r="G2013" s="5" t="str">
        <f>INDEX(customer[عنوان],MATCH(Main[[#This Row],[کد ردیابی]],customer[کد],0))</f>
        <v xml:space="preserve">شهاب گاز سوز </v>
      </c>
      <c r="H2013">
        <v>859</v>
      </c>
      <c r="I2013" s="6">
        <f ca="1">-Main[[#This Row],[بدهی تسویه شده (کیلوگرم)]]+Main[[#This Row],[بستانکار (کیلوگرم)]]</f>
        <v>859</v>
      </c>
      <c r="J2013" s="6">
        <f>IF(Main[[#This Row],[مقدار (کیلوگرم)]]&gt;0,Main[[#This Row],[مقدار (کیلوگرم)]],0)</f>
        <v>859</v>
      </c>
      <c r="K2013" s="6">
        <f>-IF(Main[[#This Row],[مقدار (کیلوگرم)]]&lt;0,Main[[#This Row],[مقدار (کیلوگرم)]],0)</f>
        <v>0</v>
      </c>
      <c r="L20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3" s="7">
        <f>-IF(AND(Main[[#This Row],[مقدار (کیلوگرم)]]&lt;0,Main[[#This Row],[تاريخ میلادی]]&gt;44276),Main[[#This Row],[مقدار (کیلوگرم)]],0)</f>
        <v>0</v>
      </c>
      <c r="N2013" s="6">
        <f ca="1">Main[[#This Row],[بدهکار (کیلوگرم)]]-Main[[#This Row],[بدهی تسویه نشده (کیلوگرم)]]</f>
        <v>0</v>
      </c>
      <c r="O2013" s="6">
        <f ca="1">Main[[#This Row],[تفکیک]]</f>
        <v>0</v>
      </c>
      <c r="P2013" s="6">
        <f ca="1">IF(Main[[#This Row],[تاخیر از سررسید]]&gt;0,Main[[#This Row],[بدهی تسویه نشده (کیلوگرم)]],0)</f>
        <v>0</v>
      </c>
      <c r="Q2013" s="6">
        <f ca="1">IF(Main[[#This Row],[بدهی تسویه نشده (کیلوگرم)]]&gt;0,'گزارش فردی'!$B$7-Main[[#This Row],[تاريخ میلادی]],0)</f>
        <v>0</v>
      </c>
      <c r="R2013" s="6">
        <f ca="1">IF(Main[[#This Row],[بدهی تسویه نشده (کیلوگرم)]]&gt;0,'گزارش فردی'!$B$7-Main[[#This Row],[تاريخ میلادی]]-'گزارش فردی'!$B$8,0)</f>
        <v>0</v>
      </c>
      <c r="S2013" s="6">
        <f ca="1">Main[[#This Row],[روز از ارسال سفارش]]*Main[[#This Row],[بدهی تسویه نشده (کیلوگرم)]]</f>
        <v>0</v>
      </c>
      <c r="T2013" s="6">
        <f ca="1">Main[[#This Row],[بدهی سررسید شده (کیلوگرم)]]*Main[[#This Row],[روز از ارسال سفارش]]</f>
        <v>0</v>
      </c>
      <c r="U2013" s="6">
        <f>-SUBTOTAL(9,INDEX(Main[مقدار (کیلوگرم)],1):Main[[#This Row],[مقدار (کیلوگرم)]])</f>
        <v>33541</v>
      </c>
      <c r="V20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3" s="6">
        <f>Main[[#This Row],[تعداد کل روزهای بدهکار (روز)]]*Main[[#This Row],[مانده در خط کل (کیلوگرم)]]</f>
        <v>33541</v>
      </c>
      <c r="X2013" s="6">
        <f ca="1">-SUBTOTAL(9,INDEX(Main[مقدار تسویه شده (کیلوگرم)],1):Main[[#This Row],[مقدار تسویه شده (کیلوگرم)]])</f>
        <v>33541</v>
      </c>
      <c r="Y2013" s="6">
        <f ca="1">IF(Main[[#This Row],[مانده در خط تسویه شده (کیلوگرم)]]&lt;&gt;0,Main[[#This Row],[تعداد کل روزهای بدهکار (روز)]],0)</f>
        <v>1</v>
      </c>
      <c r="Z2013" s="6">
        <f ca="1">Main[[#This Row],[تعداد روزهای بدهکار تسویه شده (روز)]]*Main[[#This Row],[مانده در خط تسویه شده (کیلوگرم)]]</f>
        <v>33541</v>
      </c>
      <c r="AA2013" s="6">
        <f ca="1">SUBTOTAL(9,INDEX(Main[بدهی تسویه نشده (کیلوگرم)],1):Main[[#This Row],[بدهی تسویه نشده (کیلوگرم)]])</f>
        <v>0</v>
      </c>
      <c r="AB2013" s="6">
        <f ca="1">IF(Main[[#This Row],[مانده در خط تسویه نشده (کیلوگرم)]]&lt;&gt;0,Main[[#This Row],[تعداد کل روزهای بدهکار (روز)]],0)</f>
        <v>0</v>
      </c>
      <c r="AC2013" s="6">
        <f ca="1">Main[[#This Row],[تعداد روزهای بدهکار  تسویه نشده (روز)]]*Main[[#This Row],[مانده در خط تسویه نشده (کیلوگرم)]]</f>
        <v>0</v>
      </c>
      <c r="AD2013" s="6">
        <f ca="1">SUBTOTAL(9,INDEX(Main[بدهی سررسید شده (کیلوگرم)],1):Main[[#This Row],[بدهی سررسید شده (کیلوگرم)]])</f>
        <v>0</v>
      </c>
      <c r="AE2013" s="6">
        <f ca="1">IF(Main[[#This Row],[مانده در خط سررسید شده (کیلوگرم)]]&lt;&gt;0,Main[[#This Row],[تعداد کل روزهای بدهکار (روز)]],0)</f>
        <v>0</v>
      </c>
      <c r="AF2013" s="6">
        <f ca="1">Main[[#This Row],[تعداد روزهای بدهکار سررسید شده (روز)]]*Main[[#This Row],[مانده در خط سررسید شده (کیلوگرم)]]</f>
        <v>0</v>
      </c>
    </row>
    <row r="2014" spans="1:32" hidden="1" x14ac:dyDescent="0.35">
      <c r="A2014" s="5">
        <f>ROW()-ROW(INDEX(Main[ردیف],1))+1</f>
        <v>2012</v>
      </c>
      <c r="B2014" s="31">
        <f>SUBTOTAL(2,INDEX(Main[ردیف],1):Main[[#This Row],[ردیف]])</f>
        <v>180</v>
      </c>
      <c r="C2014" s="32" t="s">
        <v>747</v>
      </c>
      <c r="D2014" s="32" t="str">
        <f>_xlfn.CONCAT("14",Main[[#This Row],[تاريخ]])</f>
        <v>1400/08/10</v>
      </c>
      <c r="E2014" s="33">
        <v>44501</v>
      </c>
      <c r="F2014" s="32">
        <v>30191</v>
      </c>
      <c r="G2014" s="5" t="str">
        <f>INDEX(customer[عنوان],MATCH(Main[[#This Row],[کد ردیابی]],customer[کد],0))</f>
        <v>ایران گرما</v>
      </c>
      <c r="H2014">
        <v>178</v>
      </c>
      <c r="I2014" s="6">
        <f ca="1">-Main[[#This Row],[بدهی تسویه شده (کیلوگرم)]]+Main[[#This Row],[بستانکار (کیلوگرم)]]</f>
        <v>178</v>
      </c>
      <c r="J2014" s="6">
        <f>IF(Main[[#This Row],[مقدار (کیلوگرم)]]&gt;0,Main[[#This Row],[مقدار (کیلوگرم)]],0)</f>
        <v>178</v>
      </c>
      <c r="K2014" s="6">
        <f>-IF(Main[[#This Row],[مقدار (کیلوگرم)]]&lt;0,Main[[#This Row],[مقدار (کیلوگرم)]],0)</f>
        <v>0</v>
      </c>
      <c r="L20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4" s="7">
        <f>-IF(AND(Main[[#This Row],[مقدار (کیلوگرم)]]&lt;0,Main[[#This Row],[تاريخ میلادی]]&gt;44276),Main[[#This Row],[مقدار (کیلوگرم)]],0)</f>
        <v>0</v>
      </c>
      <c r="N2014" s="6">
        <f ca="1">Main[[#This Row],[بدهکار (کیلوگرم)]]-Main[[#This Row],[بدهی تسویه نشده (کیلوگرم)]]</f>
        <v>0</v>
      </c>
      <c r="O2014" s="6">
        <f ca="1">Main[[#This Row],[تفکیک]]</f>
        <v>0</v>
      </c>
      <c r="P2014" s="6">
        <f ca="1">IF(Main[[#This Row],[تاخیر از سررسید]]&gt;0,Main[[#This Row],[بدهی تسویه نشده (کیلوگرم)]],0)</f>
        <v>0</v>
      </c>
      <c r="Q2014" s="6">
        <f ca="1">IF(Main[[#This Row],[بدهی تسویه نشده (کیلوگرم)]]&gt;0,'گزارش فردی'!$B$7-Main[[#This Row],[تاريخ میلادی]],0)</f>
        <v>0</v>
      </c>
      <c r="R2014" s="6">
        <f ca="1">IF(Main[[#This Row],[بدهی تسویه نشده (کیلوگرم)]]&gt;0,'گزارش فردی'!$B$7-Main[[#This Row],[تاريخ میلادی]]-'گزارش فردی'!$B$8,0)</f>
        <v>0</v>
      </c>
      <c r="S2014" s="6">
        <f ca="1">Main[[#This Row],[روز از ارسال سفارش]]*Main[[#This Row],[بدهی تسویه نشده (کیلوگرم)]]</f>
        <v>0</v>
      </c>
      <c r="T2014" s="6">
        <f ca="1">Main[[#This Row],[بدهی سررسید شده (کیلوگرم)]]*Main[[#This Row],[روز از ارسال سفارش]]</f>
        <v>0</v>
      </c>
      <c r="U2014" s="6">
        <f>-SUBTOTAL(9,INDEX(Main[مقدار (کیلوگرم)],1):Main[[#This Row],[مقدار (کیلوگرم)]])</f>
        <v>33541</v>
      </c>
      <c r="V20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4" s="6">
        <f>Main[[#This Row],[تعداد کل روزهای بدهکار (روز)]]*Main[[#This Row],[مانده در خط کل (کیلوگرم)]]</f>
        <v>33541</v>
      </c>
      <c r="X2014" s="6">
        <f ca="1">-SUBTOTAL(9,INDEX(Main[مقدار تسویه شده (کیلوگرم)],1):Main[[#This Row],[مقدار تسویه شده (کیلوگرم)]])</f>
        <v>33541</v>
      </c>
      <c r="Y2014" s="6">
        <f ca="1">IF(Main[[#This Row],[مانده در خط تسویه شده (کیلوگرم)]]&lt;&gt;0,Main[[#This Row],[تعداد کل روزهای بدهکار (روز)]],0)</f>
        <v>1</v>
      </c>
      <c r="Z2014" s="6">
        <f ca="1">Main[[#This Row],[تعداد روزهای بدهکار تسویه شده (روز)]]*Main[[#This Row],[مانده در خط تسویه شده (کیلوگرم)]]</f>
        <v>33541</v>
      </c>
      <c r="AA2014" s="6">
        <f ca="1">SUBTOTAL(9,INDEX(Main[بدهی تسویه نشده (کیلوگرم)],1):Main[[#This Row],[بدهی تسویه نشده (کیلوگرم)]])</f>
        <v>0</v>
      </c>
      <c r="AB2014" s="6">
        <f ca="1">IF(Main[[#This Row],[مانده در خط تسویه نشده (کیلوگرم)]]&lt;&gt;0,Main[[#This Row],[تعداد کل روزهای بدهکار (روز)]],0)</f>
        <v>0</v>
      </c>
      <c r="AC2014" s="6">
        <f ca="1">Main[[#This Row],[تعداد روزهای بدهکار  تسویه نشده (روز)]]*Main[[#This Row],[مانده در خط تسویه نشده (کیلوگرم)]]</f>
        <v>0</v>
      </c>
      <c r="AD2014" s="6">
        <f ca="1">SUBTOTAL(9,INDEX(Main[بدهی سررسید شده (کیلوگرم)],1):Main[[#This Row],[بدهی سررسید شده (کیلوگرم)]])</f>
        <v>0</v>
      </c>
      <c r="AE2014" s="6">
        <f ca="1">IF(Main[[#This Row],[مانده در خط سررسید شده (کیلوگرم)]]&lt;&gt;0,Main[[#This Row],[تعداد کل روزهای بدهکار (روز)]],0)</f>
        <v>0</v>
      </c>
      <c r="AF2014" s="6">
        <f ca="1">Main[[#This Row],[تعداد روزهای بدهکار سررسید شده (روز)]]*Main[[#This Row],[مانده در خط سررسید شده (کیلوگرم)]]</f>
        <v>0</v>
      </c>
    </row>
    <row r="2015" spans="1:32" hidden="1" x14ac:dyDescent="0.35">
      <c r="A2015" s="5">
        <f>ROW()-ROW(INDEX(Main[ردیف],1))+1</f>
        <v>2013</v>
      </c>
      <c r="B2015" s="31">
        <f>SUBTOTAL(2,INDEX(Main[ردیف],1):Main[[#This Row],[ردیف]])</f>
        <v>180</v>
      </c>
      <c r="C2015" s="32" t="s">
        <v>747</v>
      </c>
      <c r="D2015" s="32" t="str">
        <f>_xlfn.CONCAT("14",Main[[#This Row],[تاريخ]])</f>
        <v>1400/08/10</v>
      </c>
      <c r="E2015" s="33">
        <v>44501</v>
      </c>
      <c r="F2015" s="32">
        <v>30081</v>
      </c>
      <c r="G2015" s="5" t="str">
        <f>INDEX(customer[عنوان],MATCH(Main[[#This Row],[کد ردیابی]],customer[کد],0))</f>
        <v xml:space="preserve">شیرآلات بهداشتی راسان </v>
      </c>
      <c r="H2015">
        <v>1868</v>
      </c>
      <c r="I2015" s="6">
        <f ca="1">-Main[[#This Row],[بدهی تسویه شده (کیلوگرم)]]+Main[[#This Row],[بستانکار (کیلوگرم)]]</f>
        <v>1868</v>
      </c>
      <c r="J2015" s="6">
        <f>IF(Main[[#This Row],[مقدار (کیلوگرم)]]&gt;0,Main[[#This Row],[مقدار (کیلوگرم)]],0)</f>
        <v>1868</v>
      </c>
      <c r="K2015" s="6">
        <f>-IF(Main[[#This Row],[مقدار (کیلوگرم)]]&lt;0,Main[[#This Row],[مقدار (کیلوگرم)]],0)</f>
        <v>0</v>
      </c>
      <c r="L20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5" s="7">
        <f>-IF(AND(Main[[#This Row],[مقدار (کیلوگرم)]]&lt;0,Main[[#This Row],[تاريخ میلادی]]&gt;44276),Main[[#This Row],[مقدار (کیلوگرم)]],0)</f>
        <v>0</v>
      </c>
      <c r="N2015" s="6">
        <f ca="1">Main[[#This Row],[بدهکار (کیلوگرم)]]-Main[[#This Row],[بدهی تسویه نشده (کیلوگرم)]]</f>
        <v>0</v>
      </c>
      <c r="O2015" s="6">
        <f ca="1">Main[[#This Row],[تفکیک]]</f>
        <v>0</v>
      </c>
      <c r="P2015" s="6">
        <f ca="1">IF(Main[[#This Row],[تاخیر از سررسید]]&gt;0,Main[[#This Row],[بدهی تسویه نشده (کیلوگرم)]],0)</f>
        <v>0</v>
      </c>
      <c r="Q2015" s="6">
        <f ca="1">IF(Main[[#This Row],[بدهی تسویه نشده (کیلوگرم)]]&gt;0,'گزارش فردی'!$B$7-Main[[#This Row],[تاريخ میلادی]],0)</f>
        <v>0</v>
      </c>
      <c r="R2015" s="6">
        <f ca="1">IF(Main[[#This Row],[بدهی تسویه نشده (کیلوگرم)]]&gt;0,'گزارش فردی'!$B$7-Main[[#This Row],[تاريخ میلادی]]-'گزارش فردی'!$B$8,0)</f>
        <v>0</v>
      </c>
      <c r="S2015" s="6">
        <f ca="1">Main[[#This Row],[روز از ارسال سفارش]]*Main[[#This Row],[بدهی تسویه نشده (کیلوگرم)]]</f>
        <v>0</v>
      </c>
      <c r="T2015" s="6">
        <f ca="1">Main[[#This Row],[بدهی سررسید شده (کیلوگرم)]]*Main[[#This Row],[روز از ارسال سفارش]]</f>
        <v>0</v>
      </c>
      <c r="U2015" s="6">
        <f>-SUBTOTAL(9,INDEX(Main[مقدار (کیلوگرم)],1):Main[[#This Row],[مقدار (کیلوگرم)]])</f>
        <v>33541</v>
      </c>
      <c r="V20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5" s="6">
        <f>Main[[#This Row],[تعداد کل روزهای بدهکار (روز)]]*Main[[#This Row],[مانده در خط کل (کیلوگرم)]]</f>
        <v>33541</v>
      </c>
      <c r="X2015" s="6">
        <f ca="1">-SUBTOTAL(9,INDEX(Main[مقدار تسویه شده (کیلوگرم)],1):Main[[#This Row],[مقدار تسویه شده (کیلوگرم)]])</f>
        <v>33541</v>
      </c>
      <c r="Y2015" s="6">
        <f ca="1">IF(Main[[#This Row],[مانده در خط تسویه شده (کیلوگرم)]]&lt;&gt;0,Main[[#This Row],[تعداد کل روزهای بدهکار (روز)]],0)</f>
        <v>1</v>
      </c>
      <c r="Z2015" s="6">
        <f ca="1">Main[[#This Row],[تعداد روزهای بدهکار تسویه شده (روز)]]*Main[[#This Row],[مانده در خط تسویه شده (کیلوگرم)]]</f>
        <v>33541</v>
      </c>
      <c r="AA2015" s="6">
        <f ca="1">SUBTOTAL(9,INDEX(Main[بدهی تسویه نشده (کیلوگرم)],1):Main[[#This Row],[بدهی تسویه نشده (کیلوگرم)]])</f>
        <v>0</v>
      </c>
      <c r="AB2015" s="6">
        <f ca="1">IF(Main[[#This Row],[مانده در خط تسویه نشده (کیلوگرم)]]&lt;&gt;0,Main[[#This Row],[تعداد کل روزهای بدهکار (روز)]],0)</f>
        <v>0</v>
      </c>
      <c r="AC2015" s="6">
        <f ca="1">Main[[#This Row],[تعداد روزهای بدهکار  تسویه نشده (روز)]]*Main[[#This Row],[مانده در خط تسویه نشده (کیلوگرم)]]</f>
        <v>0</v>
      </c>
      <c r="AD2015" s="6">
        <f ca="1">SUBTOTAL(9,INDEX(Main[بدهی سررسید شده (کیلوگرم)],1):Main[[#This Row],[بدهی سررسید شده (کیلوگرم)]])</f>
        <v>0</v>
      </c>
      <c r="AE2015" s="6">
        <f ca="1">IF(Main[[#This Row],[مانده در خط سررسید شده (کیلوگرم)]]&lt;&gt;0,Main[[#This Row],[تعداد کل روزهای بدهکار (روز)]],0)</f>
        <v>0</v>
      </c>
      <c r="AF2015" s="6">
        <f ca="1">Main[[#This Row],[تعداد روزهای بدهکار سررسید شده (روز)]]*Main[[#This Row],[مانده در خط سررسید شده (کیلوگرم)]]</f>
        <v>0</v>
      </c>
    </row>
    <row r="2016" spans="1:32" hidden="1" x14ac:dyDescent="0.35">
      <c r="A2016" s="5">
        <f>ROW()-ROW(INDEX(Main[ردیف],1))+1</f>
        <v>2014</v>
      </c>
      <c r="B2016" s="31">
        <f>SUBTOTAL(2,INDEX(Main[ردیف],1):Main[[#This Row],[ردیف]])</f>
        <v>180</v>
      </c>
      <c r="C2016" s="32" t="s">
        <v>748</v>
      </c>
      <c r="D2016" s="32" t="str">
        <f>_xlfn.CONCAT("14",Main[[#This Row],[تاريخ]])</f>
        <v>1400/08/11</v>
      </c>
      <c r="E2016" s="33">
        <v>44502</v>
      </c>
      <c r="F2016" s="32">
        <v>30190</v>
      </c>
      <c r="G2016" s="5" t="str">
        <f>INDEX(customer[عنوان],MATCH(Main[[#This Row],[کد ردیابی]],customer[کد],0))</f>
        <v>ایران طلق</v>
      </c>
      <c r="H2016">
        <v>-500</v>
      </c>
      <c r="I2016" s="6">
        <f ca="1">-Main[[#This Row],[بدهی تسویه شده (کیلوگرم)]]+Main[[#This Row],[بستانکار (کیلوگرم)]]</f>
        <v>-500</v>
      </c>
      <c r="J2016" s="6">
        <f>IF(Main[[#This Row],[مقدار (کیلوگرم)]]&gt;0,Main[[#This Row],[مقدار (کیلوگرم)]],0)</f>
        <v>0</v>
      </c>
      <c r="K2016" s="6">
        <f>-IF(Main[[#This Row],[مقدار (کیلوگرم)]]&lt;0,Main[[#This Row],[مقدار (کیلوگرم)]],0)</f>
        <v>500</v>
      </c>
      <c r="L20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6" s="7">
        <f>-IF(AND(Main[[#This Row],[مقدار (کیلوگرم)]]&lt;0,Main[[#This Row],[تاريخ میلادی]]&gt;44276),Main[[#This Row],[مقدار (کیلوگرم)]],0)</f>
        <v>500</v>
      </c>
      <c r="N2016" s="6">
        <f ca="1">Main[[#This Row],[بدهکار (کیلوگرم)]]-Main[[#This Row],[بدهی تسویه نشده (کیلوگرم)]]</f>
        <v>500</v>
      </c>
      <c r="O2016" s="6">
        <f ca="1">Main[[#This Row],[تفکیک]]</f>
        <v>0</v>
      </c>
      <c r="P2016" s="6">
        <f ca="1">IF(Main[[#This Row],[تاخیر از سررسید]]&gt;0,Main[[#This Row],[بدهی تسویه نشده (کیلوگرم)]],0)</f>
        <v>0</v>
      </c>
      <c r="Q2016" s="6">
        <f ca="1">IF(Main[[#This Row],[بدهی تسویه نشده (کیلوگرم)]]&gt;0,'گزارش فردی'!$B$7-Main[[#This Row],[تاريخ میلادی]],0)</f>
        <v>0</v>
      </c>
      <c r="R2016" s="6">
        <f ca="1">IF(Main[[#This Row],[بدهی تسویه نشده (کیلوگرم)]]&gt;0,'گزارش فردی'!$B$7-Main[[#This Row],[تاريخ میلادی]]-'گزارش فردی'!$B$8,0)</f>
        <v>0</v>
      </c>
      <c r="S2016" s="6">
        <f ca="1">Main[[#This Row],[روز از ارسال سفارش]]*Main[[#This Row],[بدهی تسویه نشده (کیلوگرم)]]</f>
        <v>0</v>
      </c>
      <c r="T2016" s="6">
        <f ca="1">Main[[#This Row],[بدهی سررسید شده (کیلوگرم)]]*Main[[#This Row],[روز از ارسال سفارش]]</f>
        <v>0</v>
      </c>
      <c r="U2016" s="6">
        <f>-SUBTOTAL(9,INDEX(Main[مقدار (کیلوگرم)],1):Main[[#This Row],[مقدار (کیلوگرم)]])</f>
        <v>33541</v>
      </c>
      <c r="V20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6" s="6">
        <f>Main[[#This Row],[تعداد کل روزهای بدهکار (روز)]]*Main[[#This Row],[مانده در خط کل (کیلوگرم)]]</f>
        <v>0</v>
      </c>
      <c r="X2016" s="6">
        <f ca="1">-SUBTOTAL(9,INDEX(Main[مقدار تسویه شده (کیلوگرم)],1):Main[[#This Row],[مقدار تسویه شده (کیلوگرم)]])</f>
        <v>33541</v>
      </c>
      <c r="Y2016" s="6">
        <f ca="1">IF(Main[[#This Row],[مانده در خط تسویه شده (کیلوگرم)]]&lt;&gt;0,Main[[#This Row],[تعداد کل روزهای بدهکار (روز)]],0)</f>
        <v>0</v>
      </c>
      <c r="Z2016" s="6">
        <f ca="1">Main[[#This Row],[تعداد روزهای بدهکار تسویه شده (روز)]]*Main[[#This Row],[مانده در خط تسویه شده (کیلوگرم)]]</f>
        <v>0</v>
      </c>
      <c r="AA2016" s="6">
        <f ca="1">SUBTOTAL(9,INDEX(Main[بدهی تسویه نشده (کیلوگرم)],1):Main[[#This Row],[بدهی تسویه نشده (کیلوگرم)]])</f>
        <v>0</v>
      </c>
      <c r="AB2016" s="6">
        <f ca="1">IF(Main[[#This Row],[مانده در خط تسویه نشده (کیلوگرم)]]&lt;&gt;0,Main[[#This Row],[تعداد کل روزهای بدهکار (روز)]],0)</f>
        <v>0</v>
      </c>
      <c r="AC2016" s="6">
        <f ca="1">Main[[#This Row],[تعداد روزهای بدهکار  تسویه نشده (روز)]]*Main[[#This Row],[مانده در خط تسویه نشده (کیلوگرم)]]</f>
        <v>0</v>
      </c>
      <c r="AD2016" s="6">
        <f ca="1">SUBTOTAL(9,INDEX(Main[بدهی سررسید شده (کیلوگرم)],1):Main[[#This Row],[بدهی سررسید شده (کیلوگرم)]])</f>
        <v>0</v>
      </c>
      <c r="AE2016" s="6">
        <f ca="1">IF(Main[[#This Row],[مانده در خط سررسید شده (کیلوگرم)]]&lt;&gt;0,Main[[#This Row],[تعداد کل روزهای بدهکار (روز)]],0)</f>
        <v>0</v>
      </c>
      <c r="AF2016" s="6">
        <f ca="1">Main[[#This Row],[تعداد روزهای بدهکار سررسید شده (روز)]]*Main[[#This Row],[مانده در خط سررسید شده (کیلوگرم)]]</f>
        <v>0</v>
      </c>
    </row>
    <row r="2017" spans="1:32" hidden="1" x14ac:dyDescent="0.35">
      <c r="A2017" s="5">
        <f>ROW()-ROW(INDEX(Main[ردیف],1))+1</f>
        <v>2015</v>
      </c>
      <c r="B2017" s="31">
        <f>SUBTOTAL(2,INDEX(Main[ردیف],1):Main[[#This Row],[ردیف]])</f>
        <v>180</v>
      </c>
      <c r="C2017" s="32" t="s">
        <v>748</v>
      </c>
      <c r="D2017" s="32" t="str">
        <f>_xlfn.CONCAT("14",Main[[#This Row],[تاريخ]])</f>
        <v>1400/08/11</v>
      </c>
      <c r="E2017" s="33">
        <v>44502</v>
      </c>
      <c r="F2017" s="32">
        <v>10048</v>
      </c>
      <c r="G2017" s="5" t="str">
        <f>INDEX(customer[عنوان],MATCH(Main[[#This Row],[کد ردیابی]],customer[کد],0))</f>
        <v xml:space="preserve">حسام کریمان  </v>
      </c>
      <c r="H2017">
        <v>563</v>
      </c>
      <c r="I2017" s="6">
        <f ca="1">-Main[[#This Row],[بدهی تسویه شده (کیلوگرم)]]+Main[[#This Row],[بستانکار (کیلوگرم)]]</f>
        <v>563</v>
      </c>
      <c r="J2017" s="6">
        <f>IF(Main[[#This Row],[مقدار (کیلوگرم)]]&gt;0,Main[[#This Row],[مقدار (کیلوگرم)]],0)</f>
        <v>563</v>
      </c>
      <c r="K2017" s="6">
        <f>-IF(Main[[#This Row],[مقدار (کیلوگرم)]]&lt;0,Main[[#This Row],[مقدار (کیلوگرم)]],0)</f>
        <v>0</v>
      </c>
      <c r="L20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7" s="7">
        <f>-IF(AND(Main[[#This Row],[مقدار (کیلوگرم)]]&lt;0,Main[[#This Row],[تاريخ میلادی]]&gt;44276),Main[[#This Row],[مقدار (کیلوگرم)]],0)</f>
        <v>0</v>
      </c>
      <c r="N2017" s="6">
        <f ca="1">Main[[#This Row],[بدهکار (کیلوگرم)]]-Main[[#This Row],[بدهی تسویه نشده (کیلوگرم)]]</f>
        <v>0</v>
      </c>
      <c r="O2017" s="6">
        <f ca="1">Main[[#This Row],[تفکیک]]</f>
        <v>0</v>
      </c>
      <c r="P2017" s="6">
        <f ca="1">IF(Main[[#This Row],[تاخیر از سررسید]]&gt;0,Main[[#This Row],[بدهی تسویه نشده (کیلوگرم)]],0)</f>
        <v>0</v>
      </c>
      <c r="Q2017" s="6">
        <f ca="1">IF(Main[[#This Row],[بدهی تسویه نشده (کیلوگرم)]]&gt;0,'گزارش فردی'!$B$7-Main[[#This Row],[تاريخ میلادی]],0)</f>
        <v>0</v>
      </c>
      <c r="R2017" s="6">
        <f ca="1">IF(Main[[#This Row],[بدهی تسویه نشده (کیلوگرم)]]&gt;0,'گزارش فردی'!$B$7-Main[[#This Row],[تاريخ میلادی]]-'گزارش فردی'!$B$8,0)</f>
        <v>0</v>
      </c>
      <c r="S2017" s="6">
        <f ca="1">Main[[#This Row],[روز از ارسال سفارش]]*Main[[#This Row],[بدهی تسویه نشده (کیلوگرم)]]</f>
        <v>0</v>
      </c>
      <c r="T2017" s="6">
        <f ca="1">Main[[#This Row],[بدهی سررسید شده (کیلوگرم)]]*Main[[#This Row],[روز از ارسال سفارش]]</f>
        <v>0</v>
      </c>
      <c r="U2017" s="6">
        <f>-SUBTOTAL(9,INDEX(Main[مقدار (کیلوگرم)],1):Main[[#This Row],[مقدار (کیلوگرم)]])</f>
        <v>33541</v>
      </c>
      <c r="V20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7" s="6">
        <f>Main[[#This Row],[تعداد کل روزهای بدهکار (روز)]]*Main[[#This Row],[مانده در خط کل (کیلوگرم)]]</f>
        <v>0</v>
      </c>
      <c r="X2017" s="6">
        <f ca="1">-SUBTOTAL(9,INDEX(Main[مقدار تسویه شده (کیلوگرم)],1):Main[[#This Row],[مقدار تسویه شده (کیلوگرم)]])</f>
        <v>33541</v>
      </c>
      <c r="Y2017" s="6">
        <f ca="1">IF(Main[[#This Row],[مانده در خط تسویه شده (کیلوگرم)]]&lt;&gt;0,Main[[#This Row],[تعداد کل روزهای بدهکار (روز)]],0)</f>
        <v>0</v>
      </c>
      <c r="Z2017" s="6">
        <f ca="1">Main[[#This Row],[تعداد روزهای بدهکار تسویه شده (روز)]]*Main[[#This Row],[مانده در خط تسویه شده (کیلوگرم)]]</f>
        <v>0</v>
      </c>
      <c r="AA2017" s="6">
        <f ca="1">SUBTOTAL(9,INDEX(Main[بدهی تسویه نشده (کیلوگرم)],1):Main[[#This Row],[بدهی تسویه نشده (کیلوگرم)]])</f>
        <v>0</v>
      </c>
      <c r="AB2017" s="6">
        <f ca="1">IF(Main[[#This Row],[مانده در خط تسویه نشده (کیلوگرم)]]&lt;&gt;0,Main[[#This Row],[تعداد کل روزهای بدهکار (روز)]],0)</f>
        <v>0</v>
      </c>
      <c r="AC2017" s="6">
        <f ca="1">Main[[#This Row],[تعداد روزهای بدهکار  تسویه نشده (روز)]]*Main[[#This Row],[مانده در خط تسویه نشده (کیلوگرم)]]</f>
        <v>0</v>
      </c>
      <c r="AD2017" s="6">
        <f ca="1">SUBTOTAL(9,INDEX(Main[بدهی سررسید شده (کیلوگرم)],1):Main[[#This Row],[بدهی سررسید شده (کیلوگرم)]])</f>
        <v>0</v>
      </c>
      <c r="AE2017" s="6">
        <f ca="1">IF(Main[[#This Row],[مانده در خط سررسید شده (کیلوگرم)]]&lt;&gt;0,Main[[#This Row],[تعداد کل روزهای بدهکار (روز)]],0)</f>
        <v>0</v>
      </c>
      <c r="AF2017" s="6">
        <f ca="1">Main[[#This Row],[تعداد روزهای بدهکار سررسید شده (روز)]]*Main[[#This Row],[مانده در خط سررسید شده (کیلوگرم)]]</f>
        <v>0</v>
      </c>
    </row>
    <row r="2018" spans="1:32" hidden="1" x14ac:dyDescent="0.35">
      <c r="A2018" s="5">
        <f>ROW()-ROW(INDEX(Main[ردیف],1))+1</f>
        <v>2016</v>
      </c>
      <c r="B2018" s="31">
        <f>SUBTOTAL(2,INDEX(Main[ردیف],1):Main[[#This Row],[ردیف]])</f>
        <v>180</v>
      </c>
      <c r="C2018" s="32" t="s">
        <v>748</v>
      </c>
      <c r="D2018" s="32" t="str">
        <f>_xlfn.CONCAT("14",Main[[#This Row],[تاريخ]])</f>
        <v>1400/08/11</v>
      </c>
      <c r="E2018" s="33">
        <v>44502</v>
      </c>
      <c r="F2018" s="32">
        <v>30140</v>
      </c>
      <c r="G2018" s="5" t="str">
        <f>INDEX(customer[عنوان],MATCH(Main[[#This Row],[کد ردیابی]],customer[کد],0))</f>
        <v>شرکت سیتکو</v>
      </c>
      <c r="H2018">
        <v>-824</v>
      </c>
      <c r="I2018" s="6">
        <f ca="1">-Main[[#This Row],[بدهی تسویه شده (کیلوگرم)]]+Main[[#This Row],[بستانکار (کیلوگرم)]]</f>
        <v>-824</v>
      </c>
      <c r="J2018" s="6">
        <f>IF(Main[[#This Row],[مقدار (کیلوگرم)]]&gt;0,Main[[#This Row],[مقدار (کیلوگرم)]],0)</f>
        <v>0</v>
      </c>
      <c r="K2018" s="6">
        <f>-IF(Main[[#This Row],[مقدار (کیلوگرم)]]&lt;0,Main[[#This Row],[مقدار (کیلوگرم)]],0)</f>
        <v>824</v>
      </c>
      <c r="L20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8" s="7">
        <f>-IF(AND(Main[[#This Row],[مقدار (کیلوگرم)]]&lt;0,Main[[#This Row],[تاريخ میلادی]]&gt;44276),Main[[#This Row],[مقدار (کیلوگرم)]],0)</f>
        <v>824</v>
      </c>
      <c r="N2018" s="6">
        <f ca="1">Main[[#This Row],[بدهکار (کیلوگرم)]]-Main[[#This Row],[بدهی تسویه نشده (کیلوگرم)]]</f>
        <v>824</v>
      </c>
      <c r="O2018" s="6">
        <f ca="1">Main[[#This Row],[تفکیک]]</f>
        <v>0</v>
      </c>
      <c r="P2018" s="6">
        <f ca="1">IF(Main[[#This Row],[تاخیر از سررسید]]&gt;0,Main[[#This Row],[بدهی تسویه نشده (کیلوگرم)]],0)</f>
        <v>0</v>
      </c>
      <c r="Q2018" s="6">
        <f ca="1">IF(Main[[#This Row],[بدهی تسویه نشده (کیلوگرم)]]&gt;0,'گزارش فردی'!$B$7-Main[[#This Row],[تاريخ میلادی]],0)</f>
        <v>0</v>
      </c>
      <c r="R2018" s="6">
        <f ca="1">IF(Main[[#This Row],[بدهی تسویه نشده (کیلوگرم)]]&gt;0,'گزارش فردی'!$B$7-Main[[#This Row],[تاريخ میلادی]]-'گزارش فردی'!$B$8,0)</f>
        <v>0</v>
      </c>
      <c r="S2018" s="6">
        <f ca="1">Main[[#This Row],[روز از ارسال سفارش]]*Main[[#This Row],[بدهی تسویه نشده (کیلوگرم)]]</f>
        <v>0</v>
      </c>
      <c r="T2018" s="6">
        <f ca="1">Main[[#This Row],[بدهی سررسید شده (کیلوگرم)]]*Main[[#This Row],[روز از ارسال سفارش]]</f>
        <v>0</v>
      </c>
      <c r="U2018" s="6">
        <f>-SUBTOTAL(9,INDEX(Main[مقدار (کیلوگرم)],1):Main[[#This Row],[مقدار (کیلوگرم)]])</f>
        <v>33541</v>
      </c>
      <c r="V20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8" s="6">
        <f>Main[[#This Row],[تعداد کل روزهای بدهکار (روز)]]*Main[[#This Row],[مانده در خط کل (کیلوگرم)]]</f>
        <v>0</v>
      </c>
      <c r="X2018" s="6">
        <f ca="1">-SUBTOTAL(9,INDEX(Main[مقدار تسویه شده (کیلوگرم)],1):Main[[#This Row],[مقدار تسویه شده (کیلوگرم)]])</f>
        <v>33541</v>
      </c>
      <c r="Y2018" s="6">
        <f ca="1">IF(Main[[#This Row],[مانده در خط تسویه شده (کیلوگرم)]]&lt;&gt;0,Main[[#This Row],[تعداد کل روزهای بدهکار (روز)]],0)</f>
        <v>0</v>
      </c>
      <c r="Z2018" s="6">
        <f ca="1">Main[[#This Row],[تعداد روزهای بدهکار تسویه شده (روز)]]*Main[[#This Row],[مانده در خط تسویه شده (کیلوگرم)]]</f>
        <v>0</v>
      </c>
      <c r="AA2018" s="6">
        <f ca="1">SUBTOTAL(9,INDEX(Main[بدهی تسویه نشده (کیلوگرم)],1):Main[[#This Row],[بدهی تسویه نشده (کیلوگرم)]])</f>
        <v>0</v>
      </c>
      <c r="AB2018" s="6">
        <f ca="1">IF(Main[[#This Row],[مانده در خط تسویه نشده (کیلوگرم)]]&lt;&gt;0,Main[[#This Row],[تعداد کل روزهای بدهکار (روز)]],0)</f>
        <v>0</v>
      </c>
      <c r="AC2018" s="6">
        <f ca="1">Main[[#This Row],[تعداد روزهای بدهکار  تسویه نشده (روز)]]*Main[[#This Row],[مانده در خط تسویه نشده (کیلوگرم)]]</f>
        <v>0</v>
      </c>
      <c r="AD2018" s="6">
        <f ca="1">SUBTOTAL(9,INDEX(Main[بدهی سررسید شده (کیلوگرم)],1):Main[[#This Row],[بدهی سررسید شده (کیلوگرم)]])</f>
        <v>0</v>
      </c>
      <c r="AE2018" s="6">
        <f ca="1">IF(Main[[#This Row],[مانده در خط سررسید شده (کیلوگرم)]]&lt;&gt;0,Main[[#This Row],[تعداد کل روزهای بدهکار (روز)]],0)</f>
        <v>0</v>
      </c>
      <c r="AF2018" s="6">
        <f ca="1">Main[[#This Row],[تعداد روزهای بدهکار سررسید شده (روز)]]*Main[[#This Row],[مانده در خط سررسید شده (کیلوگرم)]]</f>
        <v>0</v>
      </c>
    </row>
    <row r="2019" spans="1:32" hidden="1" x14ac:dyDescent="0.35">
      <c r="A2019" s="5">
        <f>ROW()-ROW(INDEX(Main[ردیف],1))+1</f>
        <v>2017</v>
      </c>
      <c r="B2019" s="31">
        <f>SUBTOTAL(2,INDEX(Main[ردیف],1):Main[[#This Row],[ردیف]])</f>
        <v>180</v>
      </c>
      <c r="C2019" s="32" t="s">
        <v>748</v>
      </c>
      <c r="D2019" s="32" t="str">
        <f>_xlfn.CONCAT("14",Main[[#This Row],[تاريخ]])</f>
        <v>1400/08/11</v>
      </c>
      <c r="E2019" s="33">
        <v>44502</v>
      </c>
      <c r="F2019" s="32">
        <v>30009</v>
      </c>
      <c r="G2019" s="5" t="str">
        <f>INDEX(customer[عنوان],MATCH(Main[[#This Row],[کد ردیابی]],customer[کد],0))</f>
        <v>شرکت ایمن تک پیشرو</v>
      </c>
      <c r="H2019">
        <v>917</v>
      </c>
      <c r="I2019" s="6">
        <f ca="1">-Main[[#This Row],[بدهی تسویه شده (کیلوگرم)]]+Main[[#This Row],[بستانکار (کیلوگرم)]]</f>
        <v>917</v>
      </c>
      <c r="J2019" s="6">
        <f>IF(Main[[#This Row],[مقدار (کیلوگرم)]]&gt;0,Main[[#This Row],[مقدار (کیلوگرم)]],0)</f>
        <v>917</v>
      </c>
      <c r="K2019" s="6">
        <f>-IF(Main[[#This Row],[مقدار (کیلوگرم)]]&lt;0,Main[[#This Row],[مقدار (کیلوگرم)]],0)</f>
        <v>0</v>
      </c>
      <c r="L20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9" s="7">
        <f>-IF(AND(Main[[#This Row],[مقدار (کیلوگرم)]]&lt;0,Main[[#This Row],[تاريخ میلادی]]&gt;44276),Main[[#This Row],[مقدار (کیلوگرم)]],0)</f>
        <v>0</v>
      </c>
      <c r="N2019" s="6">
        <f ca="1">Main[[#This Row],[بدهکار (کیلوگرم)]]-Main[[#This Row],[بدهی تسویه نشده (کیلوگرم)]]</f>
        <v>0</v>
      </c>
      <c r="O2019" s="6">
        <f ca="1">Main[[#This Row],[تفکیک]]</f>
        <v>0</v>
      </c>
      <c r="P2019" s="6">
        <f ca="1">IF(Main[[#This Row],[تاخیر از سررسید]]&gt;0,Main[[#This Row],[بدهی تسویه نشده (کیلوگرم)]],0)</f>
        <v>0</v>
      </c>
      <c r="Q2019" s="6">
        <f ca="1">IF(Main[[#This Row],[بدهی تسویه نشده (کیلوگرم)]]&gt;0,'گزارش فردی'!$B$7-Main[[#This Row],[تاريخ میلادی]],0)</f>
        <v>0</v>
      </c>
      <c r="R2019" s="6">
        <f ca="1">IF(Main[[#This Row],[بدهی تسویه نشده (کیلوگرم)]]&gt;0,'گزارش فردی'!$B$7-Main[[#This Row],[تاريخ میلادی]]-'گزارش فردی'!$B$8,0)</f>
        <v>0</v>
      </c>
      <c r="S2019" s="6">
        <f ca="1">Main[[#This Row],[روز از ارسال سفارش]]*Main[[#This Row],[بدهی تسویه نشده (کیلوگرم)]]</f>
        <v>0</v>
      </c>
      <c r="T2019" s="6">
        <f ca="1">Main[[#This Row],[بدهی سررسید شده (کیلوگرم)]]*Main[[#This Row],[روز از ارسال سفارش]]</f>
        <v>0</v>
      </c>
      <c r="U2019" s="6">
        <f>-SUBTOTAL(9,INDEX(Main[مقدار (کیلوگرم)],1):Main[[#This Row],[مقدار (کیلوگرم)]])</f>
        <v>33541</v>
      </c>
      <c r="V20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9" s="6">
        <f>Main[[#This Row],[تعداد کل روزهای بدهکار (روز)]]*Main[[#This Row],[مانده در خط کل (کیلوگرم)]]</f>
        <v>0</v>
      </c>
      <c r="X2019" s="6">
        <f ca="1">-SUBTOTAL(9,INDEX(Main[مقدار تسویه شده (کیلوگرم)],1):Main[[#This Row],[مقدار تسویه شده (کیلوگرم)]])</f>
        <v>33541</v>
      </c>
      <c r="Y2019" s="6">
        <f ca="1">IF(Main[[#This Row],[مانده در خط تسویه شده (کیلوگرم)]]&lt;&gt;0,Main[[#This Row],[تعداد کل روزهای بدهکار (روز)]],0)</f>
        <v>0</v>
      </c>
      <c r="Z2019" s="6">
        <f ca="1">Main[[#This Row],[تعداد روزهای بدهکار تسویه شده (روز)]]*Main[[#This Row],[مانده در خط تسویه شده (کیلوگرم)]]</f>
        <v>0</v>
      </c>
      <c r="AA2019" s="6">
        <f ca="1">SUBTOTAL(9,INDEX(Main[بدهی تسویه نشده (کیلوگرم)],1):Main[[#This Row],[بدهی تسویه نشده (کیلوگرم)]])</f>
        <v>0</v>
      </c>
      <c r="AB2019" s="6">
        <f ca="1">IF(Main[[#This Row],[مانده در خط تسویه نشده (کیلوگرم)]]&lt;&gt;0,Main[[#This Row],[تعداد کل روزهای بدهکار (روز)]],0)</f>
        <v>0</v>
      </c>
      <c r="AC2019" s="6">
        <f ca="1">Main[[#This Row],[تعداد روزهای بدهکار  تسویه نشده (روز)]]*Main[[#This Row],[مانده در خط تسویه نشده (کیلوگرم)]]</f>
        <v>0</v>
      </c>
      <c r="AD2019" s="6">
        <f ca="1">SUBTOTAL(9,INDEX(Main[بدهی سررسید شده (کیلوگرم)],1):Main[[#This Row],[بدهی سررسید شده (کیلوگرم)]])</f>
        <v>0</v>
      </c>
      <c r="AE2019" s="6">
        <f ca="1">IF(Main[[#This Row],[مانده در خط سررسید شده (کیلوگرم)]]&lt;&gt;0,Main[[#This Row],[تعداد کل روزهای بدهکار (روز)]],0)</f>
        <v>0</v>
      </c>
      <c r="AF2019" s="6">
        <f ca="1">Main[[#This Row],[تعداد روزهای بدهکار سررسید شده (روز)]]*Main[[#This Row],[مانده در خط سررسید شده (کیلوگرم)]]</f>
        <v>0</v>
      </c>
    </row>
    <row r="2020" spans="1:32" hidden="1" x14ac:dyDescent="0.35">
      <c r="A2020" s="5">
        <f>ROW()-ROW(INDEX(Main[ردیف],1))+1</f>
        <v>2018</v>
      </c>
      <c r="B2020" s="31">
        <f>SUBTOTAL(2,INDEX(Main[ردیف],1):Main[[#This Row],[ردیف]])</f>
        <v>180</v>
      </c>
      <c r="C2020" s="32" t="s">
        <v>748</v>
      </c>
      <c r="D2020" s="32" t="str">
        <f>_xlfn.CONCAT("14",Main[[#This Row],[تاريخ]])</f>
        <v>1400/08/11</v>
      </c>
      <c r="E2020" s="33">
        <v>44502</v>
      </c>
      <c r="F2020" s="32">
        <v>30081</v>
      </c>
      <c r="G2020" s="5" t="str">
        <f>INDEX(customer[عنوان],MATCH(Main[[#This Row],[کد ردیابی]],customer[کد],0))</f>
        <v xml:space="preserve">شیرآلات بهداشتی راسان </v>
      </c>
      <c r="H2020">
        <v>-1835</v>
      </c>
      <c r="I2020" s="6">
        <f ca="1">-Main[[#This Row],[بدهی تسویه شده (کیلوگرم)]]+Main[[#This Row],[بستانکار (کیلوگرم)]]</f>
        <v>-1835</v>
      </c>
      <c r="J2020" s="6">
        <f>IF(Main[[#This Row],[مقدار (کیلوگرم)]]&gt;0,Main[[#This Row],[مقدار (کیلوگرم)]],0)</f>
        <v>0</v>
      </c>
      <c r="K2020" s="6">
        <f>-IF(Main[[#This Row],[مقدار (کیلوگرم)]]&lt;0,Main[[#This Row],[مقدار (کیلوگرم)]],0)</f>
        <v>1835</v>
      </c>
      <c r="L20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0" s="7">
        <f>-IF(AND(Main[[#This Row],[مقدار (کیلوگرم)]]&lt;0,Main[[#This Row],[تاريخ میلادی]]&gt;44276),Main[[#This Row],[مقدار (کیلوگرم)]],0)</f>
        <v>1835</v>
      </c>
      <c r="N2020" s="6">
        <f ca="1">Main[[#This Row],[بدهکار (کیلوگرم)]]-Main[[#This Row],[بدهی تسویه نشده (کیلوگرم)]]</f>
        <v>1835</v>
      </c>
      <c r="O2020" s="6">
        <f ca="1">Main[[#This Row],[تفکیک]]</f>
        <v>0</v>
      </c>
      <c r="P2020" s="6">
        <f ca="1">IF(Main[[#This Row],[تاخیر از سررسید]]&gt;0,Main[[#This Row],[بدهی تسویه نشده (کیلوگرم)]],0)</f>
        <v>0</v>
      </c>
      <c r="Q2020" s="6">
        <f ca="1">IF(Main[[#This Row],[بدهی تسویه نشده (کیلوگرم)]]&gt;0,'گزارش فردی'!$B$7-Main[[#This Row],[تاريخ میلادی]],0)</f>
        <v>0</v>
      </c>
      <c r="R2020" s="6">
        <f ca="1">IF(Main[[#This Row],[بدهی تسویه نشده (کیلوگرم)]]&gt;0,'گزارش فردی'!$B$7-Main[[#This Row],[تاريخ میلادی]]-'گزارش فردی'!$B$8,0)</f>
        <v>0</v>
      </c>
      <c r="S2020" s="6">
        <f ca="1">Main[[#This Row],[روز از ارسال سفارش]]*Main[[#This Row],[بدهی تسویه نشده (کیلوگرم)]]</f>
        <v>0</v>
      </c>
      <c r="T2020" s="6">
        <f ca="1">Main[[#This Row],[بدهی سررسید شده (کیلوگرم)]]*Main[[#This Row],[روز از ارسال سفارش]]</f>
        <v>0</v>
      </c>
      <c r="U2020" s="6">
        <f>-SUBTOTAL(9,INDEX(Main[مقدار (کیلوگرم)],1):Main[[#This Row],[مقدار (کیلوگرم)]])</f>
        <v>33541</v>
      </c>
      <c r="V20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0" s="6">
        <f>Main[[#This Row],[تعداد کل روزهای بدهکار (روز)]]*Main[[#This Row],[مانده در خط کل (کیلوگرم)]]</f>
        <v>0</v>
      </c>
      <c r="X2020" s="6">
        <f ca="1">-SUBTOTAL(9,INDEX(Main[مقدار تسویه شده (کیلوگرم)],1):Main[[#This Row],[مقدار تسویه شده (کیلوگرم)]])</f>
        <v>33541</v>
      </c>
      <c r="Y2020" s="6">
        <f ca="1">IF(Main[[#This Row],[مانده در خط تسویه شده (کیلوگرم)]]&lt;&gt;0,Main[[#This Row],[تعداد کل روزهای بدهکار (روز)]],0)</f>
        <v>0</v>
      </c>
      <c r="Z2020" s="6">
        <f ca="1">Main[[#This Row],[تعداد روزهای بدهکار تسویه شده (روز)]]*Main[[#This Row],[مانده در خط تسویه شده (کیلوگرم)]]</f>
        <v>0</v>
      </c>
      <c r="AA2020" s="6">
        <f ca="1">SUBTOTAL(9,INDEX(Main[بدهی تسویه نشده (کیلوگرم)],1):Main[[#This Row],[بدهی تسویه نشده (کیلوگرم)]])</f>
        <v>0</v>
      </c>
      <c r="AB2020" s="6">
        <f ca="1">IF(Main[[#This Row],[مانده در خط تسویه نشده (کیلوگرم)]]&lt;&gt;0,Main[[#This Row],[تعداد کل روزهای بدهکار (روز)]],0)</f>
        <v>0</v>
      </c>
      <c r="AC2020" s="6">
        <f ca="1">Main[[#This Row],[تعداد روزهای بدهکار  تسویه نشده (روز)]]*Main[[#This Row],[مانده در خط تسویه نشده (کیلوگرم)]]</f>
        <v>0</v>
      </c>
      <c r="AD2020" s="6">
        <f ca="1">SUBTOTAL(9,INDEX(Main[بدهی سررسید شده (کیلوگرم)],1):Main[[#This Row],[بدهی سررسید شده (کیلوگرم)]])</f>
        <v>0</v>
      </c>
      <c r="AE2020" s="6">
        <f ca="1">IF(Main[[#This Row],[مانده در خط سررسید شده (کیلوگرم)]]&lt;&gt;0,Main[[#This Row],[تعداد کل روزهای بدهکار (روز)]],0)</f>
        <v>0</v>
      </c>
      <c r="AF2020" s="6">
        <f ca="1">Main[[#This Row],[تعداد روزهای بدهکار سررسید شده (روز)]]*Main[[#This Row],[مانده در خط سررسید شده (کیلوگرم)]]</f>
        <v>0</v>
      </c>
    </row>
    <row r="2021" spans="1:32" hidden="1" x14ac:dyDescent="0.35">
      <c r="A2021" s="5">
        <f>ROW()-ROW(INDEX(Main[ردیف],1))+1</f>
        <v>2019</v>
      </c>
      <c r="B2021" s="31">
        <f>SUBTOTAL(2,INDEX(Main[ردیف],1):Main[[#This Row],[ردیف]])</f>
        <v>180</v>
      </c>
      <c r="C2021" s="32" t="s">
        <v>748</v>
      </c>
      <c r="D2021" s="32" t="str">
        <f>_xlfn.CONCAT("14",Main[[#This Row],[تاريخ]])</f>
        <v>1400/08/11</v>
      </c>
      <c r="E2021" s="33">
        <v>44502</v>
      </c>
      <c r="F2021" s="32">
        <v>30009</v>
      </c>
      <c r="G2021" s="5" t="str">
        <f>INDEX(customer[عنوان],MATCH(Main[[#This Row],[کد ردیابی]],customer[کد],0))</f>
        <v>شرکت ایمن تک پیشرو</v>
      </c>
      <c r="H2021">
        <v>581</v>
      </c>
      <c r="I2021" s="6">
        <f ca="1">-Main[[#This Row],[بدهی تسویه شده (کیلوگرم)]]+Main[[#This Row],[بستانکار (کیلوگرم)]]</f>
        <v>581</v>
      </c>
      <c r="J2021" s="6">
        <f>IF(Main[[#This Row],[مقدار (کیلوگرم)]]&gt;0,Main[[#This Row],[مقدار (کیلوگرم)]],0)</f>
        <v>581</v>
      </c>
      <c r="K2021" s="6">
        <f>-IF(Main[[#This Row],[مقدار (کیلوگرم)]]&lt;0,Main[[#This Row],[مقدار (کیلوگرم)]],0)</f>
        <v>0</v>
      </c>
      <c r="L20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1" s="7">
        <f>-IF(AND(Main[[#This Row],[مقدار (کیلوگرم)]]&lt;0,Main[[#This Row],[تاريخ میلادی]]&gt;44276),Main[[#This Row],[مقدار (کیلوگرم)]],0)</f>
        <v>0</v>
      </c>
      <c r="N2021" s="6">
        <f ca="1">Main[[#This Row],[بدهکار (کیلوگرم)]]-Main[[#This Row],[بدهی تسویه نشده (کیلوگرم)]]</f>
        <v>0</v>
      </c>
      <c r="O2021" s="6">
        <f ca="1">Main[[#This Row],[تفکیک]]</f>
        <v>0</v>
      </c>
      <c r="P2021" s="6">
        <f ca="1">IF(Main[[#This Row],[تاخیر از سررسید]]&gt;0,Main[[#This Row],[بدهی تسویه نشده (کیلوگرم)]],0)</f>
        <v>0</v>
      </c>
      <c r="Q2021" s="6">
        <f ca="1">IF(Main[[#This Row],[بدهی تسویه نشده (کیلوگرم)]]&gt;0,'گزارش فردی'!$B$7-Main[[#This Row],[تاريخ میلادی]],0)</f>
        <v>0</v>
      </c>
      <c r="R2021" s="6">
        <f ca="1">IF(Main[[#This Row],[بدهی تسویه نشده (کیلوگرم)]]&gt;0,'گزارش فردی'!$B$7-Main[[#This Row],[تاريخ میلادی]]-'گزارش فردی'!$B$8,0)</f>
        <v>0</v>
      </c>
      <c r="S2021" s="6">
        <f ca="1">Main[[#This Row],[روز از ارسال سفارش]]*Main[[#This Row],[بدهی تسویه نشده (کیلوگرم)]]</f>
        <v>0</v>
      </c>
      <c r="T2021" s="6">
        <f ca="1">Main[[#This Row],[بدهی سررسید شده (کیلوگرم)]]*Main[[#This Row],[روز از ارسال سفارش]]</f>
        <v>0</v>
      </c>
      <c r="U2021" s="6">
        <f>-SUBTOTAL(9,INDEX(Main[مقدار (کیلوگرم)],1):Main[[#This Row],[مقدار (کیلوگرم)]])</f>
        <v>33541</v>
      </c>
      <c r="V20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1" s="6">
        <f>Main[[#This Row],[تعداد کل روزهای بدهکار (روز)]]*Main[[#This Row],[مانده در خط کل (کیلوگرم)]]</f>
        <v>0</v>
      </c>
      <c r="X2021" s="6">
        <f ca="1">-SUBTOTAL(9,INDEX(Main[مقدار تسویه شده (کیلوگرم)],1):Main[[#This Row],[مقدار تسویه شده (کیلوگرم)]])</f>
        <v>33541</v>
      </c>
      <c r="Y2021" s="6">
        <f ca="1">IF(Main[[#This Row],[مانده در خط تسویه شده (کیلوگرم)]]&lt;&gt;0,Main[[#This Row],[تعداد کل روزهای بدهکار (روز)]],0)</f>
        <v>0</v>
      </c>
      <c r="Z2021" s="6">
        <f ca="1">Main[[#This Row],[تعداد روزهای بدهکار تسویه شده (روز)]]*Main[[#This Row],[مانده در خط تسویه شده (کیلوگرم)]]</f>
        <v>0</v>
      </c>
      <c r="AA2021" s="6">
        <f ca="1">SUBTOTAL(9,INDEX(Main[بدهی تسویه نشده (کیلوگرم)],1):Main[[#This Row],[بدهی تسویه نشده (کیلوگرم)]])</f>
        <v>0</v>
      </c>
      <c r="AB2021" s="6">
        <f ca="1">IF(Main[[#This Row],[مانده در خط تسویه نشده (کیلوگرم)]]&lt;&gt;0,Main[[#This Row],[تعداد کل روزهای بدهکار (روز)]],0)</f>
        <v>0</v>
      </c>
      <c r="AC2021" s="6">
        <f ca="1">Main[[#This Row],[تعداد روزهای بدهکار  تسویه نشده (روز)]]*Main[[#This Row],[مانده در خط تسویه نشده (کیلوگرم)]]</f>
        <v>0</v>
      </c>
      <c r="AD2021" s="6">
        <f ca="1">SUBTOTAL(9,INDEX(Main[بدهی سررسید شده (کیلوگرم)],1):Main[[#This Row],[بدهی سررسید شده (کیلوگرم)]])</f>
        <v>0</v>
      </c>
      <c r="AE2021" s="6">
        <f ca="1">IF(Main[[#This Row],[مانده در خط سررسید شده (کیلوگرم)]]&lt;&gt;0,Main[[#This Row],[تعداد کل روزهای بدهکار (روز)]],0)</f>
        <v>0</v>
      </c>
      <c r="AF2021" s="6">
        <f ca="1">Main[[#This Row],[تعداد روزهای بدهکار سررسید شده (روز)]]*Main[[#This Row],[مانده در خط سررسید شده (کیلوگرم)]]</f>
        <v>0</v>
      </c>
    </row>
    <row r="2022" spans="1:32" hidden="1" x14ac:dyDescent="0.35">
      <c r="A2022" s="5">
        <f>ROW()-ROW(INDEX(Main[ردیف],1))+1</f>
        <v>2020</v>
      </c>
      <c r="B2022" s="31">
        <f>SUBTOTAL(2,INDEX(Main[ردیف],1):Main[[#This Row],[ردیف]])</f>
        <v>180</v>
      </c>
      <c r="C2022" s="32" t="s">
        <v>748</v>
      </c>
      <c r="D2022" s="32" t="str">
        <f>_xlfn.CONCAT("14",Main[[#This Row],[تاريخ]])</f>
        <v>1400/08/11</v>
      </c>
      <c r="E2022" s="33">
        <v>44502</v>
      </c>
      <c r="F2022" s="32">
        <v>30140</v>
      </c>
      <c r="G2022" s="5" t="str">
        <f>INDEX(customer[عنوان],MATCH(Main[[#This Row],[کد ردیابی]],customer[کد],0))</f>
        <v>شرکت سیتکو</v>
      </c>
      <c r="H2022">
        <v>-11</v>
      </c>
      <c r="I2022" s="6">
        <f ca="1">-Main[[#This Row],[بدهی تسویه شده (کیلوگرم)]]+Main[[#This Row],[بستانکار (کیلوگرم)]]</f>
        <v>-11</v>
      </c>
      <c r="J2022" s="6">
        <f>IF(Main[[#This Row],[مقدار (کیلوگرم)]]&gt;0,Main[[#This Row],[مقدار (کیلوگرم)]],0)</f>
        <v>0</v>
      </c>
      <c r="K2022" s="6">
        <f>-IF(Main[[#This Row],[مقدار (کیلوگرم)]]&lt;0,Main[[#This Row],[مقدار (کیلوگرم)]],0)</f>
        <v>11</v>
      </c>
      <c r="L20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2" s="7">
        <f>-IF(AND(Main[[#This Row],[مقدار (کیلوگرم)]]&lt;0,Main[[#This Row],[تاريخ میلادی]]&gt;44276),Main[[#This Row],[مقدار (کیلوگرم)]],0)</f>
        <v>11</v>
      </c>
      <c r="N2022" s="6">
        <f ca="1">Main[[#This Row],[بدهکار (کیلوگرم)]]-Main[[#This Row],[بدهی تسویه نشده (کیلوگرم)]]</f>
        <v>11</v>
      </c>
      <c r="O2022" s="6">
        <f ca="1">Main[[#This Row],[تفکیک]]</f>
        <v>0</v>
      </c>
      <c r="P2022" s="6">
        <f ca="1">IF(Main[[#This Row],[تاخیر از سررسید]]&gt;0,Main[[#This Row],[بدهی تسویه نشده (کیلوگرم)]],0)</f>
        <v>0</v>
      </c>
      <c r="Q2022" s="6">
        <f ca="1">IF(Main[[#This Row],[بدهی تسویه نشده (کیلوگرم)]]&gt;0,'گزارش فردی'!$B$7-Main[[#This Row],[تاريخ میلادی]],0)</f>
        <v>0</v>
      </c>
      <c r="R2022" s="6">
        <f ca="1">IF(Main[[#This Row],[بدهی تسویه نشده (کیلوگرم)]]&gt;0,'گزارش فردی'!$B$7-Main[[#This Row],[تاريخ میلادی]]-'گزارش فردی'!$B$8,0)</f>
        <v>0</v>
      </c>
      <c r="S2022" s="6">
        <f ca="1">Main[[#This Row],[روز از ارسال سفارش]]*Main[[#This Row],[بدهی تسویه نشده (کیلوگرم)]]</f>
        <v>0</v>
      </c>
      <c r="T2022" s="6">
        <f ca="1">Main[[#This Row],[بدهی سررسید شده (کیلوگرم)]]*Main[[#This Row],[روز از ارسال سفارش]]</f>
        <v>0</v>
      </c>
      <c r="U2022" s="6">
        <f>-SUBTOTAL(9,INDEX(Main[مقدار (کیلوگرم)],1):Main[[#This Row],[مقدار (کیلوگرم)]])</f>
        <v>33541</v>
      </c>
      <c r="V20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2" s="6">
        <f>Main[[#This Row],[تعداد کل روزهای بدهکار (روز)]]*Main[[#This Row],[مانده در خط کل (کیلوگرم)]]</f>
        <v>0</v>
      </c>
      <c r="X2022" s="6">
        <f ca="1">-SUBTOTAL(9,INDEX(Main[مقدار تسویه شده (کیلوگرم)],1):Main[[#This Row],[مقدار تسویه شده (کیلوگرم)]])</f>
        <v>33541</v>
      </c>
      <c r="Y2022" s="6">
        <f ca="1">IF(Main[[#This Row],[مانده در خط تسویه شده (کیلوگرم)]]&lt;&gt;0,Main[[#This Row],[تعداد کل روزهای بدهکار (روز)]],0)</f>
        <v>0</v>
      </c>
      <c r="Z2022" s="6">
        <f ca="1">Main[[#This Row],[تعداد روزهای بدهکار تسویه شده (روز)]]*Main[[#This Row],[مانده در خط تسویه شده (کیلوگرم)]]</f>
        <v>0</v>
      </c>
      <c r="AA2022" s="6">
        <f ca="1">SUBTOTAL(9,INDEX(Main[بدهی تسویه نشده (کیلوگرم)],1):Main[[#This Row],[بدهی تسویه نشده (کیلوگرم)]])</f>
        <v>0</v>
      </c>
      <c r="AB2022" s="6">
        <f ca="1">IF(Main[[#This Row],[مانده در خط تسویه نشده (کیلوگرم)]]&lt;&gt;0,Main[[#This Row],[تعداد کل روزهای بدهکار (روز)]],0)</f>
        <v>0</v>
      </c>
      <c r="AC2022" s="6">
        <f ca="1">Main[[#This Row],[تعداد روزهای بدهکار  تسویه نشده (روز)]]*Main[[#This Row],[مانده در خط تسویه نشده (کیلوگرم)]]</f>
        <v>0</v>
      </c>
      <c r="AD2022" s="6">
        <f ca="1">SUBTOTAL(9,INDEX(Main[بدهی سررسید شده (کیلوگرم)],1):Main[[#This Row],[بدهی سررسید شده (کیلوگرم)]])</f>
        <v>0</v>
      </c>
      <c r="AE2022" s="6">
        <f ca="1">IF(Main[[#This Row],[مانده در خط سررسید شده (کیلوگرم)]]&lt;&gt;0,Main[[#This Row],[تعداد کل روزهای بدهکار (روز)]],0)</f>
        <v>0</v>
      </c>
      <c r="AF2022" s="6">
        <f ca="1">Main[[#This Row],[تعداد روزهای بدهکار سررسید شده (روز)]]*Main[[#This Row],[مانده در خط سررسید شده (کیلوگرم)]]</f>
        <v>0</v>
      </c>
    </row>
    <row r="2023" spans="1:32" hidden="1" x14ac:dyDescent="0.35">
      <c r="A2023" s="5">
        <f>ROW()-ROW(INDEX(Main[ردیف],1))+1</f>
        <v>2021</v>
      </c>
      <c r="B2023" s="31">
        <f>SUBTOTAL(2,INDEX(Main[ردیف],1):Main[[#This Row],[ردیف]])</f>
        <v>180</v>
      </c>
      <c r="C2023" s="32" t="s">
        <v>748</v>
      </c>
      <c r="D2023" s="32" t="str">
        <f>_xlfn.CONCAT("14",Main[[#This Row],[تاريخ]])</f>
        <v>1400/08/11</v>
      </c>
      <c r="E2023" s="33">
        <v>44502</v>
      </c>
      <c r="F2023" s="32">
        <v>30127</v>
      </c>
      <c r="G2023" s="5" t="str">
        <f>INDEX(customer[عنوان],MATCH(Main[[#This Row],[کد ردیابی]],customer[کد],0))</f>
        <v>شیر گاز آذران</v>
      </c>
      <c r="H2023">
        <v>14952</v>
      </c>
      <c r="I2023" s="6">
        <f ca="1">-Main[[#This Row],[بدهی تسویه شده (کیلوگرم)]]+Main[[#This Row],[بستانکار (کیلوگرم)]]</f>
        <v>14952</v>
      </c>
      <c r="J2023" s="6">
        <f>IF(Main[[#This Row],[مقدار (کیلوگرم)]]&gt;0,Main[[#This Row],[مقدار (کیلوگرم)]],0)</f>
        <v>14952</v>
      </c>
      <c r="K2023" s="6">
        <f>-IF(Main[[#This Row],[مقدار (کیلوگرم)]]&lt;0,Main[[#This Row],[مقدار (کیلوگرم)]],0)</f>
        <v>0</v>
      </c>
      <c r="L20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3" s="7">
        <f>-IF(AND(Main[[#This Row],[مقدار (کیلوگرم)]]&lt;0,Main[[#This Row],[تاريخ میلادی]]&gt;44276),Main[[#This Row],[مقدار (کیلوگرم)]],0)</f>
        <v>0</v>
      </c>
      <c r="N2023" s="6">
        <f ca="1">Main[[#This Row],[بدهکار (کیلوگرم)]]-Main[[#This Row],[بدهی تسویه نشده (کیلوگرم)]]</f>
        <v>0</v>
      </c>
      <c r="O2023" s="6">
        <f ca="1">Main[[#This Row],[تفکیک]]</f>
        <v>0</v>
      </c>
      <c r="P2023" s="6">
        <f ca="1">IF(Main[[#This Row],[تاخیر از سررسید]]&gt;0,Main[[#This Row],[بدهی تسویه نشده (کیلوگرم)]],0)</f>
        <v>0</v>
      </c>
      <c r="Q2023" s="6">
        <f ca="1">IF(Main[[#This Row],[بدهی تسویه نشده (کیلوگرم)]]&gt;0,'گزارش فردی'!$B$7-Main[[#This Row],[تاريخ میلادی]],0)</f>
        <v>0</v>
      </c>
      <c r="R2023" s="6">
        <f ca="1">IF(Main[[#This Row],[بدهی تسویه نشده (کیلوگرم)]]&gt;0,'گزارش فردی'!$B$7-Main[[#This Row],[تاريخ میلادی]]-'گزارش فردی'!$B$8,0)</f>
        <v>0</v>
      </c>
      <c r="S2023" s="6">
        <f ca="1">Main[[#This Row],[روز از ارسال سفارش]]*Main[[#This Row],[بدهی تسویه نشده (کیلوگرم)]]</f>
        <v>0</v>
      </c>
      <c r="T2023" s="6">
        <f ca="1">Main[[#This Row],[بدهی سررسید شده (کیلوگرم)]]*Main[[#This Row],[روز از ارسال سفارش]]</f>
        <v>0</v>
      </c>
      <c r="U2023" s="6">
        <f>-SUBTOTAL(9,INDEX(Main[مقدار (کیلوگرم)],1):Main[[#This Row],[مقدار (کیلوگرم)]])</f>
        <v>33541</v>
      </c>
      <c r="V20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3" s="6">
        <f>Main[[#This Row],[تعداد کل روزهای بدهکار (روز)]]*Main[[#This Row],[مانده در خط کل (کیلوگرم)]]</f>
        <v>0</v>
      </c>
      <c r="X2023" s="6">
        <f ca="1">-SUBTOTAL(9,INDEX(Main[مقدار تسویه شده (کیلوگرم)],1):Main[[#This Row],[مقدار تسویه شده (کیلوگرم)]])</f>
        <v>33541</v>
      </c>
      <c r="Y2023" s="6">
        <f ca="1">IF(Main[[#This Row],[مانده در خط تسویه شده (کیلوگرم)]]&lt;&gt;0,Main[[#This Row],[تعداد کل روزهای بدهکار (روز)]],0)</f>
        <v>0</v>
      </c>
      <c r="Z2023" s="6">
        <f ca="1">Main[[#This Row],[تعداد روزهای بدهکار تسویه شده (روز)]]*Main[[#This Row],[مانده در خط تسویه شده (کیلوگرم)]]</f>
        <v>0</v>
      </c>
      <c r="AA2023" s="6">
        <f ca="1">SUBTOTAL(9,INDEX(Main[بدهی تسویه نشده (کیلوگرم)],1):Main[[#This Row],[بدهی تسویه نشده (کیلوگرم)]])</f>
        <v>0</v>
      </c>
      <c r="AB2023" s="6">
        <f ca="1">IF(Main[[#This Row],[مانده در خط تسویه نشده (کیلوگرم)]]&lt;&gt;0,Main[[#This Row],[تعداد کل روزهای بدهکار (روز)]],0)</f>
        <v>0</v>
      </c>
      <c r="AC2023" s="6">
        <f ca="1">Main[[#This Row],[تعداد روزهای بدهکار  تسویه نشده (روز)]]*Main[[#This Row],[مانده در خط تسویه نشده (کیلوگرم)]]</f>
        <v>0</v>
      </c>
      <c r="AD2023" s="6">
        <f ca="1">SUBTOTAL(9,INDEX(Main[بدهی سررسید شده (کیلوگرم)],1):Main[[#This Row],[بدهی سررسید شده (کیلوگرم)]])</f>
        <v>0</v>
      </c>
      <c r="AE2023" s="6">
        <f ca="1">IF(Main[[#This Row],[مانده در خط سررسید شده (کیلوگرم)]]&lt;&gt;0,Main[[#This Row],[تعداد کل روزهای بدهکار (روز)]],0)</f>
        <v>0</v>
      </c>
      <c r="AF2023" s="6">
        <f ca="1">Main[[#This Row],[تعداد روزهای بدهکار سررسید شده (روز)]]*Main[[#This Row],[مانده در خط سررسید شده (کیلوگرم)]]</f>
        <v>0</v>
      </c>
    </row>
    <row r="2024" spans="1:32" hidden="1" x14ac:dyDescent="0.35">
      <c r="A2024" s="5">
        <f>ROW()-ROW(INDEX(Main[ردیف],1))+1</f>
        <v>2022</v>
      </c>
      <c r="B2024" s="31">
        <f>SUBTOTAL(2,INDEX(Main[ردیف],1):Main[[#This Row],[ردیف]])</f>
        <v>180</v>
      </c>
      <c r="C2024" s="32" t="s">
        <v>748</v>
      </c>
      <c r="D2024" s="32" t="str">
        <f>_xlfn.CONCAT("14",Main[[#This Row],[تاريخ]])</f>
        <v>1400/08/11</v>
      </c>
      <c r="E2024" s="33">
        <v>44502</v>
      </c>
      <c r="F2024" s="32">
        <v>30127</v>
      </c>
      <c r="G2024" s="5" t="str">
        <f>INDEX(customer[عنوان],MATCH(Main[[#This Row],[کد ردیابی]],customer[کد],0))</f>
        <v>شیر گاز آذران</v>
      </c>
      <c r="H2024">
        <v>-1713</v>
      </c>
      <c r="I2024" s="6">
        <f ca="1">-Main[[#This Row],[بدهی تسویه شده (کیلوگرم)]]+Main[[#This Row],[بستانکار (کیلوگرم)]]</f>
        <v>-1713</v>
      </c>
      <c r="J2024" s="6">
        <f>IF(Main[[#This Row],[مقدار (کیلوگرم)]]&gt;0,Main[[#This Row],[مقدار (کیلوگرم)]],0)</f>
        <v>0</v>
      </c>
      <c r="K2024" s="6">
        <f>-IF(Main[[#This Row],[مقدار (کیلوگرم)]]&lt;0,Main[[#This Row],[مقدار (کیلوگرم)]],0)</f>
        <v>1713</v>
      </c>
      <c r="L20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4" s="7">
        <f>-IF(AND(Main[[#This Row],[مقدار (کیلوگرم)]]&lt;0,Main[[#This Row],[تاريخ میلادی]]&gt;44276),Main[[#This Row],[مقدار (کیلوگرم)]],0)</f>
        <v>1713</v>
      </c>
      <c r="N2024" s="6">
        <f ca="1">Main[[#This Row],[بدهکار (کیلوگرم)]]-Main[[#This Row],[بدهی تسویه نشده (کیلوگرم)]]</f>
        <v>1713</v>
      </c>
      <c r="O2024" s="6">
        <f ca="1">Main[[#This Row],[تفکیک]]</f>
        <v>0</v>
      </c>
      <c r="P2024" s="6">
        <f ca="1">IF(Main[[#This Row],[تاخیر از سررسید]]&gt;0,Main[[#This Row],[بدهی تسویه نشده (کیلوگرم)]],0)</f>
        <v>0</v>
      </c>
      <c r="Q2024" s="6">
        <f ca="1">IF(Main[[#This Row],[بدهی تسویه نشده (کیلوگرم)]]&gt;0,'گزارش فردی'!$B$7-Main[[#This Row],[تاريخ میلادی]],0)</f>
        <v>0</v>
      </c>
      <c r="R2024" s="6">
        <f ca="1">IF(Main[[#This Row],[بدهی تسویه نشده (کیلوگرم)]]&gt;0,'گزارش فردی'!$B$7-Main[[#This Row],[تاريخ میلادی]]-'گزارش فردی'!$B$8,0)</f>
        <v>0</v>
      </c>
      <c r="S2024" s="6">
        <f ca="1">Main[[#This Row],[روز از ارسال سفارش]]*Main[[#This Row],[بدهی تسویه نشده (کیلوگرم)]]</f>
        <v>0</v>
      </c>
      <c r="T2024" s="6">
        <f ca="1">Main[[#This Row],[بدهی سررسید شده (کیلوگرم)]]*Main[[#This Row],[روز از ارسال سفارش]]</f>
        <v>0</v>
      </c>
      <c r="U2024" s="6">
        <f>-SUBTOTAL(9,INDEX(Main[مقدار (کیلوگرم)],1):Main[[#This Row],[مقدار (کیلوگرم)]])</f>
        <v>33541</v>
      </c>
      <c r="V20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4" s="6">
        <f>Main[[#This Row],[تعداد کل روزهای بدهکار (روز)]]*Main[[#This Row],[مانده در خط کل (کیلوگرم)]]</f>
        <v>0</v>
      </c>
      <c r="X2024" s="6">
        <f ca="1">-SUBTOTAL(9,INDEX(Main[مقدار تسویه شده (کیلوگرم)],1):Main[[#This Row],[مقدار تسویه شده (کیلوگرم)]])</f>
        <v>33541</v>
      </c>
      <c r="Y2024" s="6">
        <f ca="1">IF(Main[[#This Row],[مانده در خط تسویه شده (کیلوگرم)]]&lt;&gt;0,Main[[#This Row],[تعداد کل روزهای بدهکار (روز)]],0)</f>
        <v>0</v>
      </c>
      <c r="Z2024" s="6">
        <f ca="1">Main[[#This Row],[تعداد روزهای بدهکار تسویه شده (روز)]]*Main[[#This Row],[مانده در خط تسویه شده (کیلوگرم)]]</f>
        <v>0</v>
      </c>
      <c r="AA2024" s="6">
        <f ca="1">SUBTOTAL(9,INDEX(Main[بدهی تسویه نشده (کیلوگرم)],1):Main[[#This Row],[بدهی تسویه نشده (کیلوگرم)]])</f>
        <v>0</v>
      </c>
      <c r="AB2024" s="6">
        <f ca="1">IF(Main[[#This Row],[مانده در خط تسویه نشده (کیلوگرم)]]&lt;&gt;0,Main[[#This Row],[تعداد کل روزهای بدهکار (روز)]],0)</f>
        <v>0</v>
      </c>
      <c r="AC2024" s="6">
        <f ca="1">Main[[#This Row],[تعداد روزهای بدهکار  تسویه نشده (روز)]]*Main[[#This Row],[مانده در خط تسویه نشده (کیلوگرم)]]</f>
        <v>0</v>
      </c>
      <c r="AD2024" s="6">
        <f ca="1">SUBTOTAL(9,INDEX(Main[بدهی سررسید شده (کیلوگرم)],1):Main[[#This Row],[بدهی سررسید شده (کیلوگرم)]])</f>
        <v>0</v>
      </c>
      <c r="AE2024" s="6">
        <f ca="1">IF(Main[[#This Row],[مانده در خط سررسید شده (کیلوگرم)]]&lt;&gt;0,Main[[#This Row],[تعداد کل روزهای بدهکار (روز)]],0)</f>
        <v>0</v>
      </c>
      <c r="AF2024" s="6">
        <f ca="1">Main[[#This Row],[تعداد روزهای بدهکار سررسید شده (روز)]]*Main[[#This Row],[مانده در خط سررسید شده (کیلوگرم)]]</f>
        <v>0</v>
      </c>
    </row>
    <row r="2025" spans="1:32" hidden="1" x14ac:dyDescent="0.35">
      <c r="A2025" s="5">
        <f>ROW()-ROW(INDEX(Main[ردیف],1))+1</f>
        <v>2023</v>
      </c>
      <c r="B2025" s="31">
        <f>SUBTOTAL(2,INDEX(Main[ردیف],1):Main[[#This Row],[ردیف]])</f>
        <v>180</v>
      </c>
      <c r="C2025" s="32" t="s">
        <v>748</v>
      </c>
      <c r="D2025" s="32" t="str">
        <f>_xlfn.CONCAT("14",Main[[#This Row],[تاريخ]])</f>
        <v>1400/08/11</v>
      </c>
      <c r="E2025" s="33">
        <v>44502</v>
      </c>
      <c r="F2025" s="32">
        <v>10048</v>
      </c>
      <c r="G2025" s="5" t="str">
        <f>INDEX(customer[عنوان],MATCH(Main[[#This Row],[کد ردیابی]],customer[کد],0))</f>
        <v xml:space="preserve">حسام کریمان  </v>
      </c>
      <c r="H2025">
        <v>122</v>
      </c>
      <c r="I2025" s="6">
        <f ca="1">-Main[[#This Row],[بدهی تسویه شده (کیلوگرم)]]+Main[[#This Row],[بستانکار (کیلوگرم)]]</f>
        <v>122</v>
      </c>
      <c r="J2025" s="6">
        <f>IF(Main[[#This Row],[مقدار (کیلوگرم)]]&gt;0,Main[[#This Row],[مقدار (کیلوگرم)]],0)</f>
        <v>122</v>
      </c>
      <c r="K2025" s="6">
        <f>-IF(Main[[#This Row],[مقدار (کیلوگرم)]]&lt;0,Main[[#This Row],[مقدار (کیلوگرم)]],0)</f>
        <v>0</v>
      </c>
      <c r="L20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5" s="7">
        <f>-IF(AND(Main[[#This Row],[مقدار (کیلوگرم)]]&lt;0,Main[[#This Row],[تاريخ میلادی]]&gt;44276),Main[[#This Row],[مقدار (کیلوگرم)]],0)</f>
        <v>0</v>
      </c>
      <c r="N2025" s="6">
        <f ca="1">Main[[#This Row],[بدهکار (کیلوگرم)]]-Main[[#This Row],[بدهی تسویه نشده (کیلوگرم)]]</f>
        <v>0</v>
      </c>
      <c r="O2025" s="6">
        <f ca="1">Main[[#This Row],[تفکیک]]</f>
        <v>0</v>
      </c>
      <c r="P2025" s="6">
        <f ca="1">IF(Main[[#This Row],[تاخیر از سررسید]]&gt;0,Main[[#This Row],[بدهی تسویه نشده (کیلوگرم)]],0)</f>
        <v>0</v>
      </c>
      <c r="Q2025" s="6">
        <f ca="1">IF(Main[[#This Row],[بدهی تسویه نشده (کیلوگرم)]]&gt;0,'گزارش فردی'!$B$7-Main[[#This Row],[تاريخ میلادی]],0)</f>
        <v>0</v>
      </c>
      <c r="R2025" s="6">
        <f ca="1">IF(Main[[#This Row],[بدهی تسویه نشده (کیلوگرم)]]&gt;0,'گزارش فردی'!$B$7-Main[[#This Row],[تاريخ میلادی]]-'گزارش فردی'!$B$8,0)</f>
        <v>0</v>
      </c>
      <c r="S2025" s="6">
        <f ca="1">Main[[#This Row],[روز از ارسال سفارش]]*Main[[#This Row],[بدهی تسویه نشده (کیلوگرم)]]</f>
        <v>0</v>
      </c>
      <c r="T2025" s="6">
        <f ca="1">Main[[#This Row],[بدهی سررسید شده (کیلوگرم)]]*Main[[#This Row],[روز از ارسال سفارش]]</f>
        <v>0</v>
      </c>
      <c r="U2025" s="6">
        <f>-SUBTOTAL(9,INDEX(Main[مقدار (کیلوگرم)],1):Main[[#This Row],[مقدار (کیلوگرم)]])</f>
        <v>33541</v>
      </c>
      <c r="V20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5" s="6">
        <f>Main[[#This Row],[تعداد کل روزهای بدهکار (روز)]]*Main[[#This Row],[مانده در خط کل (کیلوگرم)]]</f>
        <v>0</v>
      </c>
      <c r="X2025" s="6">
        <f ca="1">-SUBTOTAL(9,INDEX(Main[مقدار تسویه شده (کیلوگرم)],1):Main[[#This Row],[مقدار تسویه شده (کیلوگرم)]])</f>
        <v>33541</v>
      </c>
      <c r="Y2025" s="6">
        <f ca="1">IF(Main[[#This Row],[مانده در خط تسویه شده (کیلوگرم)]]&lt;&gt;0,Main[[#This Row],[تعداد کل روزهای بدهکار (روز)]],0)</f>
        <v>0</v>
      </c>
      <c r="Z2025" s="6">
        <f ca="1">Main[[#This Row],[تعداد روزهای بدهکار تسویه شده (روز)]]*Main[[#This Row],[مانده در خط تسویه شده (کیلوگرم)]]</f>
        <v>0</v>
      </c>
      <c r="AA2025" s="6">
        <f ca="1">SUBTOTAL(9,INDEX(Main[بدهی تسویه نشده (کیلوگرم)],1):Main[[#This Row],[بدهی تسویه نشده (کیلوگرم)]])</f>
        <v>0</v>
      </c>
      <c r="AB2025" s="6">
        <f ca="1">IF(Main[[#This Row],[مانده در خط تسویه نشده (کیلوگرم)]]&lt;&gt;0,Main[[#This Row],[تعداد کل روزهای بدهکار (روز)]],0)</f>
        <v>0</v>
      </c>
      <c r="AC2025" s="6">
        <f ca="1">Main[[#This Row],[تعداد روزهای بدهکار  تسویه نشده (روز)]]*Main[[#This Row],[مانده در خط تسویه نشده (کیلوگرم)]]</f>
        <v>0</v>
      </c>
      <c r="AD2025" s="6">
        <f ca="1">SUBTOTAL(9,INDEX(Main[بدهی سررسید شده (کیلوگرم)],1):Main[[#This Row],[بدهی سررسید شده (کیلوگرم)]])</f>
        <v>0</v>
      </c>
      <c r="AE2025" s="6">
        <f ca="1">IF(Main[[#This Row],[مانده در خط سررسید شده (کیلوگرم)]]&lt;&gt;0,Main[[#This Row],[تعداد کل روزهای بدهکار (روز)]],0)</f>
        <v>0</v>
      </c>
      <c r="AF2025" s="6">
        <f ca="1">Main[[#This Row],[تعداد روزهای بدهکار سررسید شده (روز)]]*Main[[#This Row],[مانده در خط سررسید شده (کیلوگرم)]]</f>
        <v>0</v>
      </c>
    </row>
    <row r="2026" spans="1:32" hidden="1" x14ac:dyDescent="0.35">
      <c r="A2026" s="5">
        <f>ROW()-ROW(INDEX(Main[ردیف],1))+1</f>
        <v>2024</v>
      </c>
      <c r="B2026" s="31">
        <f>SUBTOTAL(2,INDEX(Main[ردیف],1):Main[[#This Row],[ردیف]])</f>
        <v>180</v>
      </c>
      <c r="C2026" s="32" t="s">
        <v>748</v>
      </c>
      <c r="D2026" s="32" t="str">
        <f>_xlfn.CONCAT("14",Main[[#This Row],[تاريخ]])</f>
        <v>1400/08/11</v>
      </c>
      <c r="E2026" s="33">
        <v>44502</v>
      </c>
      <c r="F2026" s="32">
        <v>10048</v>
      </c>
      <c r="G2026" s="5" t="str">
        <f>INDEX(customer[عنوان],MATCH(Main[[#This Row],[کد ردیابی]],customer[کد],0))</f>
        <v xml:space="preserve">حسام کریمان  </v>
      </c>
      <c r="H2026">
        <v>-844</v>
      </c>
      <c r="I2026" s="6">
        <f ca="1">-Main[[#This Row],[بدهی تسویه شده (کیلوگرم)]]+Main[[#This Row],[بستانکار (کیلوگرم)]]</f>
        <v>-844</v>
      </c>
      <c r="J2026" s="6">
        <f>IF(Main[[#This Row],[مقدار (کیلوگرم)]]&gt;0,Main[[#This Row],[مقدار (کیلوگرم)]],0)</f>
        <v>0</v>
      </c>
      <c r="K2026" s="6">
        <f>-IF(Main[[#This Row],[مقدار (کیلوگرم)]]&lt;0,Main[[#This Row],[مقدار (کیلوگرم)]],0)</f>
        <v>844</v>
      </c>
      <c r="L20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6" s="7">
        <f>-IF(AND(Main[[#This Row],[مقدار (کیلوگرم)]]&lt;0,Main[[#This Row],[تاريخ میلادی]]&gt;44276),Main[[#This Row],[مقدار (کیلوگرم)]],0)</f>
        <v>844</v>
      </c>
      <c r="N2026" s="6">
        <f ca="1">Main[[#This Row],[بدهکار (کیلوگرم)]]-Main[[#This Row],[بدهی تسویه نشده (کیلوگرم)]]</f>
        <v>844</v>
      </c>
      <c r="O2026" s="6">
        <f ca="1">Main[[#This Row],[تفکیک]]</f>
        <v>0</v>
      </c>
      <c r="P2026" s="6">
        <f ca="1">IF(Main[[#This Row],[تاخیر از سررسید]]&gt;0,Main[[#This Row],[بدهی تسویه نشده (کیلوگرم)]],0)</f>
        <v>0</v>
      </c>
      <c r="Q2026" s="6">
        <f ca="1">IF(Main[[#This Row],[بدهی تسویه نشده (کیلوگرم)]]&gt;0,'گزارش فردی'!$B$7-Main[[#This Row],[تاريخ میلادی]],0)</f>
        <v>0</v>
      </c>
      <c r="R2026" s="6">
        <f ca="1">IF(Main[[#This Row],[بدهی تسویه نشده (کیلوگرم)]]&gt;0,'گزارش فردی'!$B$7-Main[[#This Row],[تاريخ میلادی]]-'گزارش فردی'!$B$8,0)</f>
        <v>0</v>
      </c>
      <c r="S2026" s="6">
        <f ca="1">Main[[#This Row],[روز از ارسال سفارش]]*Main[[#This Row],[بدهی تسویه نشده (کیلوگرم)]]</f>
        <v>0</v>
      </c>
      <c r="T2026" s="6">
        <f ca="1">Main[[#This Row],[بدهی سررسید شده (کیلوگرم)]]*Main[[#This Row],[روز از ارسال سفارش]]</f>
        <v>0</v>
      </c>
      <c r="U2026" s="6">
        <f>-SUBTOTAL(9,INDEX(Main[مقدار (کیلوگرم)],1):Main[[#This Row],[مقدار (کیلوگرم)]])</f>
        <v>33541</v>
      </c>
      <c r="V20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6" s="6">
        <f>Main[[#This Row],[تعداد کل روزهای بدهکار (روز)]]*Main[[#This Row],[مانده در خط کل (کیلوگرم)]]</f>
        <v>0</v>
      </c>
      <c r="X2026" s="6">
        <f ca="1">-SUBTOTAL(9,INDEX(Main[مقدار تسویه شده (کیلوگرم)],1):Main[[#This Row],[مقدار تسویه شده (کیلوگرم)]])</f>
        <v>33541</v>
      </c>
      <c r="Y2026" s="6">
        <f ca="1">IF(Main[[#This Row],[مانده در خط تسویه شده (کیلوگرم)]]&lt;&gt;0,Main[[#This Row],[تعداد کل روزهای بدهکار (روز)]],0)</f>
        <v>0</v>
      </c>
      <c r="Z2026" s="6">
        <f ca="1">Main[[#This Row],[تعداد روزهای بدهکار تسویه شده (روز)]]*Main[[#This Row],[مانده در خط تسویه شده (کیلوگرم)]]</f>
        <v>0</v>
      </c>
      <c r="AA2026" s="6">
        <f ca="1">SUBTOTAL(9,INDEX(Main[بدهی تسویه نشده (کیلوگرم)],1):Main[[#This Row],[بدهی تسویه نشده (کیلوگرم)]])</f>
        <v>0</v>
      </c>
      <c r="AB2026" s="6">
        <f ca="1">IF(Main[[#This Row],[مانده در خط تسویه نشده (کیلوگرم)]]&lt;&gt;0,Main[[#This Row],[تعداد کل روزهای بدهکار (روز)]],0)</f>
        <v>0</v>
      </c>
      <c r="AC2026" s="6">
        <f ca="1">Main[[#This Row],[تعداد روزهای بدهکار  تسویه نشده (روز)]]*Main[[#This Row],[مانده در خط تسویه نشده (کیلوگرم)]]</f>
        <v>0</v>
      </c>
      <c r="AD2026" s="6">
        <f ca="1">SUBTOTAL(9,INDEX(Main[بدهی سررسید شده (کیلوگرم)],1):Main[[#This Row],[بدهی سررسید شده (کیلوگرم)]])</f>
        <v>0</v>
      </c>
      <c r="AE2026" s="6">
        <f ca="1">IF(Main[[#This Row],[مانده در خط سررسید شده (کیلوگرم)]]&lt;&gt;0,Main[[#This Row],[تعداد کل روزهای بدهکار (روز)]],0)</f>
        <v>0</v>
      </c>
      <c r="AF2026" s="6">
        <f ca="1">Main[[#This Row],[تعداد روزهای بدهکار سررسید شده (روز)]]*Main[[#This Row],[مانده در خط سررسید شده (کیلوگرم)]]</f>
        <v>0</v>
      </c>
    </row>
    <row r="2027" spans="1:32" x14ac:dyDescent="0.35">
      <c r="A2027" s="5">
        <f>ROW()-ROW(INDEX(Main[ردیف],1))+1</f>
        <v>2025</v>
      </c>
      <c r="B2027" s="31">
        <f>SUBTOTAL(2,INDEX(Main[ردیف],1):Main[[#This Row],[ردیف]])</f>
        <v>181</v>
      </c>
      <c r="C2027" s="32" t="s">
        <v>748</v>
      </c>
      <c r="D2027" s="32" t="str">
        <f>_xlfn.CONCAT("14",Main[[#This Row],[تاريخ]])</f>
        <v>1400/08/11</v>
      </c>
      <c r="E2027" s="33">
        <v>44502</v>
      </c>
      <c r="F2027" s="32">
        <v>10003</v>
      </c>
      <c r="G2027" s="5" t="str">
        <f>INDEX(customer[عنوان],MATCH(Main[[#This Row],[کد ردیابی]],customer[کد],0))</f>
        <v>اصغر نورعلی</v>
      </c>
      <c r="H2027">
        <v>-2056</v>
      </c>
      <c r="I2027" s="6">
        <f ca="1">-Main[[#This Row],[بدهی تسویه شده (کیلوگرم)]]+Main[[#This Row],[بستانکار (کیلوگرم)]]</f>
        <v>-2056</v>
      </c>
      <c r="J2027" s="6">
        <f>IF(Main[[#This Row],[مقدار (کیلوگرم)]]&gt;0,Main[[#This Row],[مقدار (کیلوگرم)]],0)</f>
        <v>0</v>
      </c>
      <c r="K2027" s="6">
        <f>-IF(Main[[#This Row],[مقدار (کیلوگرم)]]&lt;0,Main[[#This Row],[مقدار (کیلوگرم)]],0)</f>
        <v>2056</v>
      </c>
      <c r="L20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7" s="7">
        <f>-IF(AND(Main[[#This Row],[مقدار (کیلوگرم)]]&lt;0,Main[[#This Row],[تاريخ میلادی]]&gt;44276),Main[[#This Row],[مقدار (کیلوگرم)]],0)</f>
        <v>2056</v>
      </c>
      <c r="N2027" s="6">
        <f ca="1">Main[[#This Row],[بدهکار (کیلوگرم)]]-Main[[#This Row],[بدهی تسویه نشده (کیلوگرم)]]</f>
        <v>2056</v>
      </c>
      <c r="O2027" s="6">
        <f ca="1">Main[[#This Row],[تفکیک]]</f>
        <v>0</v>
      </c>
      <c r="P2027" s="6">
        <f ca="1">IF(Main[[#This Row],[تاخیر از سررسید]]&gt;0,Main[[#This Row],[بدهی تسویه نشده (کیلوگرم)]],0)</f>
        <v>0</v>
      </c>
      <c r="Q2027" s="6">
        <f ca="1">IF(Main[[#This Row],[بدهی تسویه نشده (کیلوگرم)]]&gt;0,'گزارش فردی'!$B$7-Main[[#This Row],[تاريخ میلادی]],0)</f>
        <v>0</v>
      </c>
      <c r="R2027" s="6">
        <f ca="1">IF(Main[[#This Row],[بدهی تسویه نشده (کیلوگرم)]]&gt;0,'گزارش فردی'!$B$7-Main[[#This Row],[تاريخ میلادی]]-'گزارش فردی'!$B$8,0)</f>
        <v>0</v>
      </c>
      <c r="S2027" s="6">
        <f ca="1">Main[[#This Row],[روز از ارسال سفارش]]*Main[[#This Row],[بدهی تسویه نشده (کیلوگرم)]]</f>
        <v>0</v>
      </c>
      <c r="T2027" s="6">
        <f ca="1">Main[[#This Row],[بدهی سررسید شده (کیلوگرم)]]*Main[[#This Row],[روز از ارسال سفارش]]</f>
        <v>0</v>
      </c>
      <c r="U2027" s="6">
        <f>-SUBTOTAL(9,INDEX(Main[مقدار (کیلوگرم)],1):Main[[#This Row],[مقدار (کیلوگرم)]])</f>
        <v>35597</v>
      </c>
      <c r="V20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7" s="6">
        <f>Main[[#This Row],[تعداد کل روزهای بدهکار (روز)]]*Main[[#This Row],[مانده در خط کل (کیلوگرم)]]</f>
        <v>35597</v>
      </c>
      <c r="X2027" s="6">
        <f ca="1">-SUBTOTAL(9,INDEX(Main[مقدار تسویه شده (کیلوگرم)],1):Main[[#This Row],[مقدار تسویه شده (کیلوگرم)]])</f>
        <v>35597</v>
      </c>
      <c r="Y2027" s="6">
        <f ca="1">IF(Main[[#This Row],[مانده در خط تسویه شده (کیلوگرم)]]&lt;&gt;0,Main[[#This Row],[تعداد کل روزهای بدهکار (روز)]],0)</f>
        <v>1</v>
      </c>
      <c r="Z2027" s="6">
        <f ca="1">Main[[#This Row],[تعداد روزهای بدهکار تسویه شده (روز)]]*Main[[#This Row],[مانده در خط تسویه شده (کیلوگرم)]]</f>
        <v>35597</v>
      </c>
      <c r="AA2027" s="6">
        <f ca="1">SUBTOTAL(9,INDEX(Main[بدهی تسویه نشده (کیلوگرم)],1):Main[[#This Row],[بدهی تسویه نشده (کیلوگرم)]])</f>
        <v>0</v>
      </c>
      <c r="AB2027" s="6">
        <f ca="1">IF(Main[[#This Row],[مانده در خط تسویه نشده (کیلوگرم)]]&lt;&gt;0,Main[[#This Row],[تعداد کل روزهای بدهکار (روز)]],0)</f>
        <v>0</v>
      </c>
      <c r="AC2027" s="6">
        <f ca="1">Main[[#This Row],[تعداد روزهای بدهکار  تسویه نشده (روز)]]*Main[[#This Row],[مانده در خط تسویه نشده (کیلوگرم)]]</f>
        <v>0</v>
      </c>
      <c r="AD2027" s="6">
        <f ca="1">SUBTOTAL(9,INDEX(Main[بدهی سررسید شده (کیلوگرم)],1):Main[[#This Row],[بدهی سررسید شده (کیلوگرم)]])</f>
        <v>0</v>
      </c>
      <c r="AE2027" s="6">
        <f ca="1">IF(Main[[#This Row],[مانده در خط سررسید شده (کیلوگرم)]]&lt;&gt;0,Main[[#This Row],[تعداد کل روزهای بدهکار (روز)]],0)</f>
        <v>0</v>
      </c>
      <c r="AF2027" s="6">
        <f ca="1">Main[[#This Row],[تعداد روزهای بدهکار سررسید شده (روز)]]*Main[[#This Row],[مانده در خط سررسید شده (کیلوگرم)]]</f>
        <v>0</v>
      </c>
    </row>
    <row r="2028" spans="1:32" hidden="1" x14ac:dyDescent="0.35">
      <c r="A2028" s="5">
        <f>ROW()-ROW(INDEX(Main[ردیف],1))+1</f>
        <v>2026</v>
      </c>
      <c r="B2028" s="31">
        <f>SUBTOTAL(2,INDEX(Main[ردیف],1):Main[[#This Row],[ردیف]])</f>
        <v>181</v>
      </c>
      <c r="C2028" s="32" t="s">
        <v>748</v>
      </c>
      <c r="D2028" s="32" t="str">
        <f>_xlfn.CONCAT("14",Main[[#This Row],[تاريخ]])</f>
        <v>1400/08/11</v>
      </c>
      <c r="E2028" s="33">
        <v>44502</v>
      </c>
      <c r="F2028" s="32">
        <v>10127</v>
      </c>
      <c r="G2028" s="5" t="str">
        <f>INDEX(customer[عنوان],MATCH(Main[[#This Row],[کد ردیابی]],customer[کد],0))</f>
        <v xml:space="preserve">عماد هاشمی </v>
      </c>
      <c r="H2028">
        <v>-525</v>
      </c>
      <c r="I2028" s="6">
        <f ca="1">-Main[[#This Row],[بدهی تسویه شده (کیلوگرم)]]+Main[[#This Row],[بستانکار (کیلوگرم)]]</f>
        <v>-525</v>
      </c>
      <c r="J2028" s="6">
        <f>IF(Main[[#This Row],[مقدار (کیلوگرم)]]&gt;0,Main[[#This Row],[مقدار (کیلوگرم)]],0)</f>
        <v>0</v>
      </c>
      <c r="K2028" s="6">
        <f>-IF(Main[[#This Row],[مقدار (کیلوگرم)]]&lt;0,Main[[#This Row],[مقدار (کیلوگرم)]],0)</f>
        <v>525</v>
      </c>
      <c r="L20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8" s="7">
        <f>-IF(AND(Main[[#This Row],[مقدار (کیلوگرم)]]&lt;0,Main[[#This Row],[تاريخ میلادی]]&gt;44276),Main[[#This Row],[مقدار (کیلوگرم)]],0)</f>
        <v>525</v>
      </c>
      <c r="N2028" s="6">
        <f ca="1">Main[[#This Row],[بدهکار (کیلوگرم)]]-Main[[#This Row],[بدهی تسویه نشده (کیلوگرم)]]</f>
        <v>525</v>
      </c>
      <c r="O2028" s="6">
        <f ca="1">Main[[#This Row],[تفکیک]]</f>
        <v>0</v>
      </c>
      <c r="P2028" s="6">
        <f ca="1">IF(Main[[#This Row],[تاخیر از سررسید]]&gt;0,Main[[#This Row],[بدهی تسویه نشده (کیلوگرم)]],0)</f>
        <v>0</v>
      </c>
      <c r="Q2028" s="6">
        <f ca="1">IF(Main[[#This Row],[بدهی تسویه نشده (کیلوگرم)]]&gt;0,'گزارش فردی'!$B$7-Main[[#This Row],[تاريخ میلادی]],0)</f>
        <v>0</v>
      </c>
      <c r="R2028" s="6">
        <f ca="1">IF(Main[[#This Row],[بدهی تسویه نشده (کیلوگرم)]]&gt;0,'گزارش فردی'!$B$7-Main[[#This Row],[تاريخ میلادی]]-'گزارش فردی'!$B$8,0)</f>
        <v>0</v>
      </c>
      <c r="S2028" s="6">
        <f ca="1">Main[[#This Row],[روز از ارسال سفارش]]*Main[[#This Row],[بدهی تسویه نشده (کیلوگرم)]]</f>
        <v>0</v>
      </c>
      <c r="T2028" s="6">
        <f ca="1">Main[[#This Row],[بدهی سررسید شده (کیلوگرم)]]*Main[[#This Row],[روز از ارسال سفارش]]</f>
        <v>0</v>
      </c>
      <c r="U2028" s="6">
        <f>-SUBTOTAL(9,INDEX(Main[مقدار (کیلوگرم)],1):Main[[#This Row],[مقدار (کیلوگرم)]])</f>
        <v>35597</v>
      </c>
      <c r="V20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8" s="6">
        <f>Main[[#This Row],[تعداد کل روزهای بدهکار (روز)]]*Main[[#This Row],[مانده در خط کل (کیلوگرم)]]</f>
        <v>35597</v>
      </c>
      <c r="X2028" s="6">
        <f ca="1">-SUBTOTAL(9,INDEX(Main[مقدار تسویه شده (کیلوگرم)],1):Main[[#This Row],[مقدار تسویه شده (کیلوگرم)]])</f>
        <v>35597</v>
      </c>
      <c r="Y2028" s="6">
        <f ca="1">IF(Main[[#This Row],[مانده در خط تسویه شده (کیلوگرم)]]&lt;&gt;0,Main[[#This Row],[تعداد کل روزهای بدهکار (روز)]],0)</f>
        <v>1</v>
      </c>
      <c r="Z2028" s="6">
        <f ca="1">Main[[#This Row],[تعداد روزهای بدهکار تسویه شده (روز)]]*Main[[#This Row],[مانده در خط تسویه شده (کیلوگرم)]]</f>
        <v>35597</v>
      </c>
      <c r="AA2028" s="6">
        <f ca="1">SUBTOTAL(9,INDEX(Main[بدهی تسویه نشده (کیلوگرم)],1):Main[[#This Row],[بدهی تسویه نشده (کیلوگرم)]])</f>
        <v>0</v>
      </c>
      <c r="AB2028" s="6">
        <f ca="1">IF(Main[[#This Row],[مانده در خط تسویه نشده (کیلوگرم)]]&lt;&gt;0,Main[[#This Row],[تعداد کل روزهای بدهکار (روز)]],0)</f>
        <v>0</v>
      </c>
      <c r="AC2028" s="6">
        <f ca="1">Main[[#This Row],[تعداد روزهای بدهکار  تسویه نشده (روز)]]*Main[[#This Row],[مانده در خط تسویه نشده (کیلوگرم)]]</f>
        <v>0</v>
      </c>
      <c r="AD2028" s="6">
        <f ca="1">SUBTOTAL(9,INDEX(Main[بدهی سررسید شده (کیلوگرم)],1):Main[[#This Row],[بدهی سررسید شده (کیلوگرم)]])</f>
        <v>0</v>
      </c>
      <c r="AE2028" s="6">
        <f ca="1">IF(Main[[#This Row],[مانده در خط سررسید شده (کیلوگرم)]]&lt;&gt;0,Main[[#This Row],[تعداد کل روزهای بدهکار (روز)]],0)</f>
        <v>0</v>
      </c>
      <c r="AF2028" s="6">
        <f ca="1">Main[[#This Row],[تعداد روزهای بدهکار سررسید شده (روز)]]*Main[[#This Row],[مانده در خط سررسید شده (کیلوگرم)]]</f>
        <v>0</v>
      </c>
    </row>
    <row r="2029" spans="1:32" hidden="1" x14ac:dyDescent="0.35">
      <c r="A2029" s="5">
        <f>ROW()-ROW(INDEX(Main[ردیف],1))+1</f>
        <v>2027</v>
      </c>
      <c r="B2029" s="31">
        <f>SUBTOTAL(2,INDEX(Main[ردیف],1):Main[[#This Row],[ردیف]])</f>
        <v>181</v>
      </c>
      <c r="C2029" s="32" t="s">
        <v>748</v>
      </c>
      <c r="D2029" s="32" t="str">
        <f>_xlfn.CONCAT("14",Main[[#This Row],[تاريخ]])</f>
        <v>1400/08/11</v>
      </c>
      <c r="E2029" s="33">
        <v>44502</v>
      </c>
      <c r="F2029" s="32">
        <v>30127</v>
      </c>
      <c r="G2029" s="5" t="str">
        <f>INDEX(customer[عنوان],MATCH(Main[[#This Row],[کد ردیابی]],customer[کد],0))</f>
        <v>شیر گاز آذران</v>
      </c>
      <c r="H2029">
        <v>-14382</v>
      </c>
      <c r="I2029" s="6">
        <f ca="1">-Main[[#This Row],[بدهی تسویه شده (کیلوگرم)]]+Main[[#This Row],[بستانکار (کیلوگرم)]]</f>
        <v>-14382</v>
      </c>
      <c r="J2029" s="6">
        <f>IF(Main[[#This Row],[مقدار (کیلوگرم)]]&gt;0,Main[[#This Row],[مقدار (کیلوگرم)]],0)</f>
        <v>0</v>
      </c>
      <c r="K2029" s="6">
        <f>-IF(Main[[#This Row],[مقدار (کیلوگرم)]]&lt;0,Main[[#This Row],[مقدار (کیلوگرم)]],0)</f>
        <v>14382</v>
      </c>
      <c r="L20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9" s="7">
        <f>-IF(AND(Main[[#This Row],[مقدار (کیلوگرم)]]&lt;0,Main[[#This Row],[تاريخ میلادی]]&gt;44276),Main[[#This Row],[مقدار (کیلوگرم)]],0)</f>
        <v>14382</v>
      </c>
      <c r="N2029" s="6">
        <f ca="1">Main[[#This Row],[بدهکار (کیلوگرم)]]-Main[[#This Row],[بدهی تسویه نشده (کیلوگرم)]]</f>
        <v>14382</v>
      </c>
      <c r="O2029" s="6">
        <f ca="1">Main[[#This Row],[تفکیک]]</f>
        <v>0</v>
      </c>
      <c r="P2029" s="6">
        <f ca="1">IF(Main[[#This Row],[تاخیر از سررسید]]&gt;0,Main[[#This Row],[بدهی تسویه نشده (کیلوگرم)]],0)</f>
        <v>0</v>
      </c>
      <c r="Q2029" s="6">
        <f ca="1">IF(Main[[#This Row],[بدهی تسویه نشده (کیلوگرم)]]&gt;0,'گزارش فردی'!$B$7-Main[[#This Row],[تاريخ میلادی]],0)</f>
        <v>0</v>
      </c>
      <c r="R2029" s="6">
        <f ca="1">IF(Main[[#This Row],[بدهی تسویه نشده (کیلوگرم)]]&gt;0,'گزارش فردی'!$B$7-Main[[#This Row],[تاريخ میلادی]]-'گزارش فردی'!$B$8,0)</f>
        <v>0</v>
      </c>
      <c r="S2029" s="6">
        <f ca="1">Main[[#This Row],[روز از ارسال سفارش]]*Main[[#This Row],[بدهی تسویه نشده (کیلوگرم)]]</f>
        <v>0</v>
      </c>
      <c r="T2029" s="6">
        <f ca="1">Main[[#This Row],[بدهی سررسید شده (کیلوگرم)]]*Main[[#This Row],[روز از ارسال سفارش]]</f>
        <v>0</v>
      </c>
      <c r="U2029" s="6">
        <f>-SUBTOTAL(9,INDEX(Main[مقدار (کیلوگرم)],1):Main[[#This Row],[مقدار (کیلوگرم)]])</f>
        <v>35597</v>
      </c>
      <c r="V20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9" s="6">
        <f>Main[[#This Row],[تعداد کل روزهای بدهکار (روز)]]*Main[[#This Row],[مانده در خط کل (کیلوگرم)]]</f>
        <v>35597</v>
      </c>
      <c r="X2029" s="6">
        <f ca="1">-SUBTOTAL(9,INDEX(Main[مقدار تسویه شده (کیلوگرم)],1):Main[[#This Row],[مقدار تسویه شده (کیلوگرم)]])</f>
        <v>35597</v>
      </c>
      <c r="Y2029" s="6">
        <f ca="1">IF(Main[[#This Row],[مانده در خط تسویه شده (کیلوگرم)]]&lt;&gt;0,Main[[#This Row],[تعداد کل روزهای بدهکار (روز)]],0)</f>
        <v>1</v>
      </c>
      <c r="Z2029" s="6">
        <f ca="1">Main[[#This Row],[تعداد روزهای بدهکار تسویه شده (روز)]]*Main[[#This Row],[مانده در خط تسویه شده (کیلوگرم)]]</f>
        <v>35597</v>
      </c>
      <c r="AA2029" s="6">
        <f ca="1">SUBTOTAL(9,INDEX(Main[بدهی تسویه نشده (کیلوگرم)],1):Main[[#This Row],[بدهی تسویه نشده (کیلوگرم)]])</f>
        <v>0</v>
      </c>
      <c r="AB2029" s="6">
        <f ca="1">IF(Main[[#This Row],[مانده در خط تسویه نشده (کیلوگرم)]]&lt;&gt;0,Main[[#This Row],[تعداد کل روزهای بدهکار (روز)]],0)</f>
        <v>0</v>
      </c>
      <c r="AC2029" s="6">
        <f ca="1">Main[[#This Row],[تعداد روزهای بدهکار  تسویه نشده (روز)]]*Main[[#This Row],[مانده در خط تسویه نشده (کیلوگرم)]]</f>
        <v>0</v>
      </c>
      <c r="AD2029" s="6">
        <f ca="1">SUBTOTAL(9,INDEX(Main[بدهی سررسید شده (کیلوگرم)],1):Main[[#This Row],[بدهی سررسید شده (کیلوگرم)]])</f>
        <v>0</v>
      </c>
      <c r="AE2029" s="6">
        <f ca="1">IF(Main[[#This Row],[مانده در خط سررسید شده (کیلوگرم)]]&lt;&gt;0,Main[[#This Row],[تعداد کل روزهای بدهکار (روز)]],0)</f>
        <v>0</v>
      </c>
      <c r="AF2029" s="6">
        <f ca="1">Main[[#This Row],[تعداد روزهای بدهکار سررسید شده (روز)]]*Main[[#This Row],[مانده در خط سررسید شده (کیلوگرم)]]</f>
        <v>0</v>
      </c>
    </row>
    <row r="2030" spans="1:32" hidden="1" x14ac:dyDescent="0.35">
      <c r="A2030" s="5">
        <f>ROW()-ROW(INDEX(Main[ردیف],1))+1</f>
        <v>2028</v>
      </c>
      <c r="B2030" s="31">
        <f>SUBTOTAL(2,INDEX(Main[ردیف],1):Main[[#This Row],[ردیف]])</f>
        <v>181</v>
      </c>
      <c r="C2030" s="32" t="s">
        <v>748</v>
      </c>
      <c r="D2030" s="32" t="str">
        <f>_xlfn.CONCAT("14",Main[[#This Row],[تاريخ]])</f>
        <v>1400/08/11</v>
      </c>
      <c r="E2030" s="33">
        <v>44502</v>
      </c>
      <c r="F2030" s="32">
        <v>30009</v>
      </c>
      <c r="G2030" s="5" t="str">
        <f>INDEX(customer[عنوان],MATCH(Main[[#This Row],[کد ردیابی]],customer[کد],0))</f>
        <v>شرکت ایمن تک پیشرو</v>
      </c>
      <c r="H2030">
        <v>-4831</v>
      </c>
      <c r="I2030" s="6">
        <f ca="1">-Main[[#This Row],[بدهی تسویه شده (کیلوگرم)]]+Main[[#This Row],[بستانکار (کیلوگرم)]]</f>
        <v>-4831</v>
      </c>
      <c r="J2030" s="6">
        <f>IF(Main[[#This Row],[مقدار (کیلوگرم)]]&gt;0,Main[[#This Row],[مقدار (کیلوگرم)]],0)</f>
        <v>0</v>
      </c>
      <c r="K2030" s="6">
        <f>-IF(Main[[#This Row],[مقدار (کیلوگرم)]]&lt;0,Main[[#This Row],[مقدار (کیلوگرم)]],0)</f>
        <v>4831</v>
      </c>
      <c r="L20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0" s="7">
        <f>-IF(AND(Main[[#This Row],[مقدار (کیلوگرم)]]&lt;0,Main[[#This Row],[تاريخ میلادی]]&gt;44276),Main[[#This Row],[مقدار (کیلوگرم)]],0)</f>
        <v>4831</v>
      </c>
      <c r="N2030" s="6">
        <f ca="1">Main[[#This Row],[بدهکار (کیلوگرم)]]-Main[[#This Row],[بدهی تسویه نشده (کیلوگرم)]]</f>
        <v>4831</v>
      </c>
      <c r="O2030" s="6">
        <f ca="1">Main[[#This Row],[تفکیک]]</f>
        <v>0</v>
      </c>
      <c r="P2030" s="6">
        <f ca="1">IF(Main[[#This Row],[تاخیر از سررسید]]&gt;0,Main[[#This Row],[بدهی تسویه نشده (کیلوگرم)]],0)</f>
        <v>0</v>
      </c>
      <c r="Q2030" s="6">
        <f ca="1">IF(Main[[#This Row],[بدهی تسویه نشده (کیلوگرم)]]&gt;0,'گزارش فردی'!$B$7-Main[[#This Row],[تاريخ میلادی]],0)</f>
        <v>0</v>
      </c>
      <c r="R2030" s="6">
        <f ca="1">IF(Main[[#This Row],[بدهی تسویه نشده (کیلوگرم)]]&gt;0,'گزارش فردی'!$B$7-Main[[#This Row],[تاريخ میلادی]]-'گزارش فردی'!$B$8,0)</f>
        <v>0</v>
      </c>
      <c r="S2030" s="6">
        <f ca="1">Main[[#This Row],[روز از ارسال سفارش]]*Main[[#This Row],[بدهی تسویه نشده (کیلوگرم)]]</f>
        <v>0</v>
      </c>
      <c r="T2030" s="6">
        <f ca="1">Main[[#This Row],[بدهی سررسید شده (کیلوگرم)]]*Main[[#This Row],[روز از ارسال سفارش]]</f>
        <v>0</v>
      </c>
      <c r="U2030" s="6">
        <f>-SUBTOTAL(9,INDEX(Main[مقدار (کیلوگرم)],1):Main[[#This Row],[مقدار (کیلوگرم)]])</f>
        <v>35597</v>
      </c>
      <c r="V20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30" s="6">
        <f>Main[[#This Row],[تعداد کل روزهای بدهکار (روز)]]*Main[[#This Row],[مانده در خط کل (کیلوگرم)]]</f>
        <v>35597</v>
      </c>
      <c r="X2030" s="6">
        <f ca="1">-SUBTOTAL(9,INDEX(Main[مقدار تسویه شده (کیلوگرم)],1):Main[[#This Row],[مقدار تسویه شده (کیلوگرم)]])</f>
        <v>35597</v>
      </c>
      <c r="Y2030" s="6">
        <f ca="1">IF(Main[[#This Row],[مانده در خط تسویه شده (کیلوگرم)]]&lt;&gt;0,Main[[#This Row],[تعداد کل روزهای بدهکار (روز)]],0)</f>
        <v>1</v>
      </c>
      <c r="Z2030" s="6">
        <f ca="1">Main[[#This Row],[تعداد روزهای بدهکار تسویه شده (روز)]]*Main[[#This Row],[مانده در خط تسویه شده (کیلوگرم)]]</f>
        <v>35597</v>
      </c>
      <c r="AA2030" s="6">
        <f ca="1">SUBTOTAL(9,INDEX(Main[بدهی تسویه نشده (کیلوگرم)],1):Main[[#This Row],[بدهی تسویه نشده (کیلوگرم)]])</f>
        <v>0</v>
      </c>
      <c r="AB2030" s="6">
        <f ca="1">IF(Main[[#This Row],[مانده در خط تسویه نشده (کیلوگرم)]]&lt;&gt;0,Main[[#This Row],[تعداد کل روزهای بدهکار (روز)]],0)</f>
        <v>0</v>
      </c>
      <c r="AC2030" s="6">
        <f ca="1">Main[[#This Row],[تعداد روزهای بدهکار  تسویه نشده (روز)]]*Main[[#This Row],[مانده در خط تسویه نشده (کیلوگرم)]]</f>
        <v>0</v>
      </c>
      <c r="AD2030" s="6">
        <f ca="1">SUBTOTAL(9,INDEX(Main[بدهی سررسید شده (کیلوگرم)],1):Main[[#This Row],[بدهی سررسید شده (کیلوگرم)]])</f>
        <v>0</v>
      </c>
      <c r="AE2030" s="6">
        <f ca="1">IF(Main[[#This Row],[مانده در خط سررسید شده (کیلوگرم)]]&lt;&gt;0,Main[[#This Row],[تعداد کل روزهای بدهکار (روز)]],0)</f>
        <v>0</v>
      </c>
      <c r="AF2030" s="6">
        <f ca="1">Main[[#This Row],[تعداد روزهای بدهکار سررسید شده (روز)]]*Main[[#This Row],[مانده در خط سررسید شده (کیلوگرم)]]</f>
        <v>0</v>
      </c>
    </row>
    <row r="2031" spans="1:32" hidden="1" x14ac:dyDescent="0.35">
      <c r="A2031" s="5">
        <f>ROW()-ROW(INDEX(Main[ردیف],1))+1</f>
        <v>2029</v>
      </c>
      <c r="B2031" s="31">
        <f>SUBTOTAL(2,INDEX(Main[ردیف],1):Main[[#This Row],[ردیف]])</f>
        <v>181</v>
      </c>
      <c r="C2031" s="32" t="s">
        <v>749</v>
      </c>
      <c r="D2031" s="32" t="str">
        <f>_xlfn.CONCAT("14",Main[[#This Row],[تاريخ]])</f>
        <v>1400/08/12</v>
      </c>
      <c r="E2031" s="33">
        <v>44503</v>
      </c>
      <c r="F2031" s="32">
        <v>30004</v>
      </c>
      <c r="G2031" s="5" t="str">
        <f>INDEX(customer[عنوان],MATCH(Main[[#This Row],[کد ردیابی]],customer[کد],0))</f>
        <v>تولیدی صنعتی صفاشیر پارس</v>
      </c>
      <c r="H2031">
        <v>2459</v>
      </c>
      <c r="I2031" s="6">
        <f ca="1">-Main[[#This Row],[بدهی تسویه شده (کیلوگرم)]]+Main[[#This Row],[بستانکار (کیلوگرم)]]</f>
        <v>2459</v>
      </c>
      <c r="J2031" s="6">
        <f>IF(Main[[#This Row],[مقدار (کیلوگرم)]]&gt;0,Main[[#This Row],[مقدار (کیلوگرم)]],0)</f>
        <v>2459</v>
      </c>
      <c r="K2031" s="6">
        <f>-IF(Main[[#This Row],[مقدار (کیلوگرم)]]&lt;0,Main[[#This Row],[مقدار (کیلوگرم)]],0)</f>
        <v>0</v>
      </c>
      <c r="L20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1" s="7">
        <f>-IF(AND(Main[[#This Row],[مقدار (کیلوگرم)]]&lt;0,Main[[#This Row],[تاريخ میلادی]]&gt;44276),Main[[#This Row],[مقدار (کیلوگرم)]],0)</f>
        <v>0</v>
      </c>
      <c r="N2031" s="6">
        <f ca="1">Main[[#This Row],[بدهکار (کیلوگرم)]]-Main[[#This Row],[بدهی تسویه نشده (کیلوگرم)]]</f>
        <v>0</v>
      </c>
      <c r="O2031" s="6">
        <f ca="1">Main[[#This Row],[تفکیک]]</f>
        <v>0</v>
      </c>
      <c r="P2031" s="6">
        <f ca="1">IF(Main[[#This Row],[تاخیر از سررسید]]&gt;0,Main[[#This Row],[بدهی تسویه نشده (کیلوگرم)]],0)</f>
        <v>0</v>
      </c>
      <c r="Q2031" s="6">
        <f ca="1">IF(Main[[#This Row],[بدهی تسویه نشده (کیلوگرم)]]&gt;0,'گزارش فردی'!$B$7-Main[[#This Row],[تاريخ میلادی]],0)</f>
        <v>0</v>
      </c>
      <c r="R2031" s="6">
        <f ca="1">IF(Main[[#This Row],[بدهی تسویه نشده (کیلوگرم)]]&gt;0,'گزارش فردی'!$B$7-Main[[#This Row],[تاريخ میلادی]]-'گزارش فردی'!$B$8,0)</f>
        <v>0</v>
      </c>
      <c r="S2031" s="6">
        <f ca="1">Main[[#This Row],[روز از ارسال سفارش]]*Main[[#This Row],[بدهی تسویه نشده (کیلوگرم)]]</f>
        <v>0</v>
      </c>
      <c r="T2031" s="6">
        <f ca="1">Main[[#This Row],[بدهی سررسید شده (کیلوگرم)]]*Main[[#This Row],[روز از ارسال سفارش]]</f>
        <v>0</v>
      </c>
      <c r="U2031" s="6">
        <f>-SUBTOTAL(9,INDEX(Main[مقدار (کیلوگرم)],1):Main[[#This Row],[مقدار (کیلوگرم)]])</f>
        <v>35597</v>
      </c>
      <c r="V20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1" s="6">
        <f>Main[[#This Row],[تعداد کل روزهای بدهکار (روز)]]*Main[[#This Row],[مانده در خط کل (کیلوگرم)]]</f>
        <v>0</v>
      </c>
      <c r="X2031" s="6">
        <f ca="1">-SUBTOTAL(9,INDEX(Main[مقدار تسویه شده (کیلوگرم)],1):Main[[#This Row],[مقدار تسویه شده (کیلوگرم)]])</f>
        <v>35597</v>
      </c>
      <c r="Y2031" s="6">
        <f ca="1">IF(Main[[#This Row],[مانده در خط تسویه شده (کیلوگرم)]]&lt;&gt;0,Main[[#This Row],[تعداد کل روزهای بدهکار (روز)]],0)</f>
        <v>0</v>
      </c>
      <c r="Z2031" s="6">
        <f ca="1">Main[[#This Row],[تعداد روزهای بدهکار تسویه شده (روز)]]*Main[[#This Row],[مانده در خط تسویه شده (کیلوگرم)]]</f>
        <v>0</v>
      </c>
      <c r="AA2031" s="6">
        <f ca="1">SUBTOTAL(9,INDEX(Main[بدهی تسویه نشده (کیلوگرم)],1):Main[[#This Row],[بدهی تسویه نشده (کیلوگرم)]])</f>
        <v>0</v>
      </c>
      <c r="AB2031" s="6">
        <f ca="1">IF(Main[[#This Row],[مانده در خط تسویه نشده (کیلوگرم)]]&lt;&gt;0,Main[[#This Row],[تعداد کل روزهای بدهکار (روز)]],0)</f>
        <v>0</v>
      </c>
      <c r="AC2031" s="6">
        <f ca="1">Main[[#This Row],[تعداد روزهای بدهکار  تسویه نشده (روز)]]*Main[[#This Row],[مانده در خط تسویه نشده (کیلوگرم)]]</f>
        <v>0</v>
      </c>
      <c r="AD2031" s="6">
        <f ca="1">SUBTOTAL(9,INDEX(Main[بدهی سررسید شده (کیلوگرم)],1):Main[[#This Row],[بدهی سررسید شده (کیلوگرم)]])</f>
        <v>0</v>
      </c>
      <c r="AE2031" s="6">
        <f ca="1">IF(Main[[#This Row],[مانده در خط سررسید شده (کیلوگرم)]]&lt;&gt;0,Main[[#This Row],[تعداد کل روزهای بدهکار (روز)]],0)</f>
        <v>0</v>
      </c>
      <c r="AF2031" s="6">
        <f ca="1">Main[[#This Row],[تعداد روزهای بدهکار سررسید شده (روز)]]*Main[[#This Row],[مانده در خط سررسید شده (کیلوگرم)]]</f>
        <v>0</v>
      </c>
    </row>
    <row r="2032" spans="1:32" hidden="1" x14ac:dyDescent="0.35">
      <c r="A2032" s="5">
        <f>ROW()-ROW(INDEX(Main[ردیف],1))+1</f>
        <v>2030</v>
      </c>
      <c r="B2032" s="31">
        <f>SUBTOTAL(2,INDEX(Main[ردیف],1):Main[[#This Row],[ردیف]])</f>
        <v>181</v>
      </c>
      <c r="C2032" s="32" t="s">
        <v>749</v>
      </c>
      <c r="D2032" s="32" t="str">
        <f>_xlfn.CONCAT("14",Main[[#This Row],[تاريخ]])</f>
        <v>1400/08/12</v>
      </c>
      <c r="E2032" s="33">
        <v>44503</v>
      </c>
      <c r="F2032" s="32">
        <v>30004</v>
      </c>
      <c r="G2032" s="5" t="str">
        <f>INDEX(customer[عنوان],MATCH(Main[[#This Row],[کد ردیابی]],customer[کد],0))</f>
        <v>تولیدی صنعتی صفاشیر پارس</v>
      </c>
      <c r="H2032">
        <v>-3652</v>
      </c>
      <c r="I2032" s="6">
        <f ca="1">-Main[[#This Row],[بدهی تسویه شده (کیلوگرم)]]+Main[[#This Row],[بستانکار (کیلوگرم)]]</f>
        <v>-3652</v>
      </c>
      <c r="J2032" s="6">
        <f>IF(Main[[#This Row],[مقدار (کیلوگرم)]]&gt;0,Main[[#This Row],[مقدار (کیلوگرم)]],0)</f>
        <v>0</v>
      </c>
      <c r="K2032" s="6">
        <f>-IF(Main[[#This Row],[مقدار (کیلوگرم)]]&lt;0,Main[[#This Row],[مقدار (کیلوگرم)]],0)</f>
        <v>3652</v>
      </c>
      <c r="L20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2" s="7">
        <f>-IF(AND(Main[[#This Row],[مقدار (کیلوگرم)]]&lt;0,Main[[#This Row],[تاريخ میلادی]]&gt;44276),Main[[#This Row],[مقدار (کیلوگرم)]],0)</f>
        <v>3652</v>
      </c>
      <c r="N2032" s="6">
        <f ca="1">Main[[#This Row],[بدهکار (کیلوگرم)]]-Main[[#This Row],[بدهی تسویه نشده (کیلوگرم)]]</f>
        <v>3652</v>
      </c>
      <c r="O2032" s="6">
        <f ca="1">Main[[#This Row],[تفکیک]]</f>
        <v>0</v>
      </c>
      <c r="P2032" s="6">
        <f ca="1">IF(Main[[#This Row],[تاخیر از سررسید]]&gt;0,Main[[#This Row],[بدهی تسویه نشده (کیلوگرم)]],0)</f>
        <v>0</v>
      </c>
      <c r="Q2032" s="6">
        <f ca="1">IF(Main[[#This Row],[بدهی تسویه نشده (کیلوگرم)]]&gt;0,'گزارش فردی'!$B$7-Main[[#This Row],[تاريخ میلادی]],0)</f>
        <v>0</v>
      </c>
      <c r="R2032" s="6">
        <f ca="1">IF(Main[[#This Row],[بدهی تسویه نشده (کیلوگرم)]]&gt;0,'گزارش فردی'!$B$7-Main[[#This Row],[تاريخ میلادی]]-'گزارش فردی'!$B$8,0)</f>
        <v>0</v>
      </c>
      <c r="S2032" s="6">
        <f ca="1">Main[[#This Row],[روز از ارسال سفارش]]*Main[[#This Row],[بدهی تسویه نشده (کیلوگرم)]]</f>
        <v>0</v>
      </c>
      <c r="T2032" s="6">
        <f ca="1">Main[[#This Row],[بدهی سررسید شده (کیلوگرم)]]*Main[[#This Row],[روز از ارسال سفارش]]</f>
        <v>0</v>
      </c>
      <c r="U2032" s="6">
        <f>-SUBTOTAL(9,INDEX(Main[مقدار (کیلوگرم)],1):Main[[#This Row],[مقدار (کیلوگرم)]])</f>
        <v>35597</v>
      </c>
      <c r="V20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2" s="6">
        <f>Main[[#This Row],[تعداد کل روزهای بدهکار (روز)]]*Main[[#This Row],[مانده در خط کل (کیلوگرم)]]</f>
        <v>0</v>
      </c>
      <c r="X2032" s="6">
        <f ca="1">-SUBTOTAL(9,INDEX(Main[مقدار تسویه شده (کیلوگرم)],1):Main[[#This Row],[مقدار تسویه شده (کیلوگرم)]])</f>
        <v>35597</v>
      </c>
      <c r="Y2032" s="6">
        <f ca="1">IF(Main[[#This Row],[مانده در خط تسویه شده (کیلوگرم)]]&lt;&gt;0,Main[[#This Row],[تعداد کل روزهای بدهکار (روز)]],0)</f>
        <v>0</v>
      </c>
      <c r="Z2032" s="6">
        <f ca="1">Main[[#This Row],[تعداد روزهای بدهکار تسویه شده (روز)]]*Main[[#This Row],[مانده در خط تسویه شده (کیلوگرم)]]</f>
        <v>0</v>
      </c>
      <c r="AA2032" s="6">
        <f ca="1">SUBTOTAL(9,INDEX(Main[بدهی تسویه نشده (کیلوگرم)],1):Main[[#This Row],[بدهی تسویه نشده (کیلوگرم)]])</f>
        <v>0</v>
      </c>
      <c r="AB2032" s="6">
        <f ca="1">IF(Main[[#This Row],[مانده در خط تسویه نشده (کیلوگرم)]]&lt;&gt;0,Main[[#This Row],[تعداد کل روزهای بدهکار (روز)]],0)</f>
        <v>0</v>
      </c>
      <c r="AC2032" s="6">
        <f ca="1">Main[[#This Row],[تعداد روزهای بدهکار  تسویه نشده (روز)]]*Main[[#This Row],[مانده در خط تسویه نشده (کیلوگرم)]]</f>
        <v>0</v>
      </c>
      <c r="AD2032" s="6">
        <f ca="1">SUBTOTAL(9,INDEX(Main[بدهی سررسید شده (کیلوگرم)],1):Main[[#This Row],[بدهی سررسید شده (کیلوگرم)]])</f>
        <v>0</v>
      </c>
      <c r="AE2032" s="6">
        <f ca="1">IF(Main[[#This Row],[مانده در خط سررسید شده (کیلوگرم)]]&lt;&gt;0,Main[[#This Row],[تعداد کل روزهای بدهکار (روز)]],0)</f>
        <v>0</v>
      </c>
      <c r="AF2032" s="6">
        <f ca="1">Main[[#This Row],[تعداد روزهای بدهکار سررسید شده (روز)]]*Main[[#This Row],[مانده در خط سررسید شده (کیلوگرم)]]</f>
        <v>0</v>
      </c>
    </row>
    <row r="2033" spans="1:32" hidden="1" x14ac:dyDescent="0.35">
      <c r="A2033" s="5">
        <f>ROW()-ROW(INDEX(Main[ردیف],1))+1</f>
        <v>2031</v>
      </c>
      <c r="B2033" s="31">
        <f>SUBTOTAL(2,INDEX(Main[ردیف],1):Main[[#This Row],[ردیف]])</f>
        <v>181</v>
      </c>
      <c r="C2033" s="32" t="s">
        <v>749</v>
      </c>
      <c r="D2033" s="32" t="str">
        <f>_xlfn.CONCAT("14",Main[[#This Row],[تاريخ]])</f>
        <v>1400/08/12</v>
      </c>
      <c r="E2033" s="33">
        <v>44503</v>
      </c>
      <c r="F2033" s="32">
        <v>30004</v>
      </c>
      <c r="G2033" s="5" t="str">
        <f>INDEX(customer[عنوان],MATCH(Main[[#This Row],[کد ردیابی]],customer[کد],0))</f>
        <v>تولیدی صنعتی صفاشیر پارس</v>
      </c>
      <c r="H2033">
        <v>2138</v>
      </c>
      <c r="I2033" s="6">
        <f ca="1">-Main[[#This Row],[بدهی تسویه شده (کیلوگرم)]]+Main[[#This Row],[بستانکار (کیلوگرم)]]</f>
        <v>2138</v>
      </c>
      <c r="J2033" s="6">
        <f>IF(Main[[#This Row],[مقدار (کیلوگرم)]]&gt;0,Main[[#This Row],[مقدار (کیلوگرم)]],0)</f>
        <v>2138</v>
      </c>
      <c r="K2033" s="6">
        <f>-IF(Main[[#This Row],[مقدار (کیلوگرم)]]&lt;0,Main[[#This Row],[مقدار (کیلوگرم)]],0)</f>
        <v>0</v>
      </c>
      <c r="L20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3" s="7">
        <f>-IF(AND(Main[[#This Row],[مقدار (کیلوگرم)]]&lt;0,Main[[#This Row],[تاريخ میلادی]]&gt;44276),Main[[#This Row],[مقدار (کیلوگرم)]],0)</f>
        <v>0</v>
      </c>
      <c r="N2033" s="6">
        <f ca="1">Main[[#This Row],[بدهکار (کیلوگرم)]]-Main[[#This Row],[بدهی تسویه نشده (کیلوگرم)]]</f>
        <v>0</v>
      </c>
      <c r="O2033" s="6">
        <f ca="1">Main[[#This Row],[تفکیک]]</f>
        <v>0</v>
      </c>
      <c r="P2033" s="6">
        <f ca="1">IF(Main[[#This Row],[تاخیر از سررسید]]&gt;0,Main[[#This Row],[بدهی تسویه نشده (کیلوگرم)]],0)</f>
        <v>0</v>
      </c>
      <c r="Q2033" s="6">
        <f ca="1">IF(Main[[#This Row],[بدهی تسویه نشده (کیلوگرم)]]&gt;0,'گزارش فردی'!$B$7-Main[[#This Row],[تاريخ میلادی]],0)</f>
        <v>0</v>
      </c>
      <c r="R2033" s="6">
        <f ca="1">IF(Main[[#This Row],[بدهی تسویه نشده (کیلوگرم)]]&gt;0,'گزارش فردی'!$B$7-Main[[#This Row],[تاريخ میلادی]]-'گزارش فردی'!$B$8,0)</f>
        <v>0</v>
      </c>
      <c r="S2033" s="6">
        <f ca="1">Main[[#This Row],[روز از ارسال سفارش]]*Main[[#This Row],[بدهی تسویه نشده (کیلوگرم)]]</f>
        <v>0</v>
      </c>
      <c r="T2033" s="6">
        <f ca="1">Main[[#This Row],[بدهی سررسید شده (کیلوگرم)]]*Main[[#This Row],[روز از ارسال سفارش]]</f>
        <v>0</v>
      </c>
      <c r="U2033" s="6">
        <f>-SUBTOTAL(9,INDEX(Main[مقدار (کیلوگرم)],1):Main[[#This Row],[مقدار (کیلوگرم)]])</f>
        <v>35597</v>
      </c>
      <c r="V20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3" s="6">
        <f>Main[[#This Row],[تعداد کل روزهای بدهکار (روز)]]*Main[[#This Row],[مانده در خط کل (کیلوگرم)]]</f>
        <v>0</v>
      </c>
      <c r="X2033" s="6">
        <f ca="1">-SUBTOTAL(9,INDEX(Main[مقدار تسویه شده (کیلوگرم)],1):Main[[#This Row],[مقدار تسویه شده (کیلوگرم)]])</f>
        <v>35597</v>
      </c>
      <c r="Y2033" s="6">
        <f ca="1">IF(Main[[#This Row],[مانده در خط تسویه شده (کیلوگرم)]]&lt;&gt;0,Main[[#This Row],[تعداد کل روزهای بدهکار (روز)]],0)</f>
        <v>0</v>
      </c>
      <c r="Z2033" s="6">
        <f ca="1">Main[[#This Row],[تعداد روزهای بدهکار تسویه شده (روز)]]*Main[[#This Row],[مانده در خط تسویه شده (کیلوگرم)]]</f>
        <v>0</v>
      </c>
      <c r="AA2033" s="6">
        <f ca="1">SUBTOTAL(9,INDEX(Main[بدهی تسویه نشده (کیلوگرم)],1):Main[[#This Row],[بدهی تسویه نشده (کیلوگرم)]])</f>
        <v>0</v>
      </c>
      <c r="AB2033" s="6">
        <f ca="1">IF(Main[[#This Row],[مانده در خط تسویه نشده (کیلوگرم)]]&lt;&gt;0,Main[[#This Row],[تعداد کل روزهای بدهکار (روز)]],0)</f>
        <v>0</v>
      </c>
      <c r="AC2033" s="6">
        <f ca="1">Main[[#This Row],[تعداد روزهای بدهکار  تسویه نشده (روز)]]*Main[[#This Row],[مانده در خط تسویه نشده (کیلوگرم)]]</f>
        <v>0</v>
      </c>
      <c r="AD2033" s="6">
        <f ca="1">SUBTOTAL(9,INDEX(Main[بدهی سررسید شده (کیلوگرم)],1):Main[[#This Row],[بدهی سررسید شده (کیلوگرم)]])</f>
        <v>0</v>
      </c>
      <c r="AE2033" s="6">
        <f ca="1">IF(Main[[#This Row],[مانده در خط سررسید شده (کیلوگرم)]]&lt;&gt;0,Main[[#This Row],[تعداد کل روزهای بدهکار (روز)]],0)</f>
        <v>0</v>
      </c>
      <c r="AF2033" s="6">
        <f ca="1">Main[[#This Row],[تعداد روزهای بدهکار سررسید شده (روز)]]*Main[[#This Row],[مانده در خط سررسید شده (کیلوگرم)]]</f>
        <v>0</v>
      </c>
    </row>
    <row r="2034" spans="1:32" hidden="1" x14ac:dyDescent="0.35">
      <c r="A2034" s="5">
        <f>ROW()-ROW(INDEX(Main[ردیف],1))+1</f>
        <v>2032</v>
      </c>
      <c r="B2034" s="31">
        <f>SUBTOTAL(2,INDEX(Main[ردیف],1):Main[[#This Row],[ردیف]])</f>
        <v>181</v>
      </c>
      <c r="C2034" s="32" t="s">
        <v>749</v>
      </c>
      <c r="D2034" s="32" t="str">
        <f>_xlfn.CONCAT("14",Main[[#This Row],[تاريخ]])</f>
        <v>1400/08/12</v>
      </c>
      <c r="E2034" s="33">
        <v>44503</v>
      </c>
      <c r="F2034" s="32">
        <v>30009</v>
      </c>
      <c r="G2034" s="5" t="str">
        <f>INDEX(customer[عنوان],MATCH(Main[[#This Row],[کد ردیابی]],customer[کد],0))</f>
        <v>شرکت ایمن تک پیشرو</v>
      </c>
      <c r="H2034">
        <v>-1794</v>
      </c>
      <c r="I2034" s="6">
        <f ca="1">-Main[[#This Row],[بدهی تسویه شده (کیلوگرم)]]+Main[[#This Row],[بستانکار (کیلوگرم)]]</f>
        <v>-1794</v>
      </c>
      <c r="J2034" s="6">
        <f>IF(Main[[#This Row],[مقدار (کیلوگرم)]]&gt;0,Main[[#This Row],[مقدار (کیلوگرم)]],0)</f>
        <v>0</v>
      </c>
      <c r="K2034" s="6">
        <f>-IF(Main[[#This Row],[مقدار (کیلوگرم)]]&lt;0,Main[[#This Row],[مقدار (کیلوگرم)]],0)</f>
        <v>1794</v>
      </c>
      <c r="L20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4" s="7">
        <f>-IF(AND(Main[[#This Row],[مقدار (کیلوگرم)]]&lt;0,Main[[#This Row],[تاريخ میلادی]]&gt;44276),Main[[#This Row],[مقدار (کیلوگرم)]],0)</f>
        <v>1794</v>
      </c>
      <c r="N2034" s="6">
        <f ca="1">Main[[#This Row],[بدهکار (کیلوگرم)]]-Main[[#This Row],[بدهی تسویه نشده (کیلوگرم)]]</f>
        <v>1794</v>
      </c>
      <c r="O2034" s="6">
        <f ca="1">Main[[#This Row],[تفکیک]]</f>
        <v>0</v>
      </c>
      <c r="P2034" s="6">
        <f ca="1">IF(Main[[#This Row],[تاخیر از سررسید]]&gt;0,Main[[#This Row],[بدهی تسویه نشده (کیلوگرم)]],0)</f>
        <v>0</v>
      </c>
      <c r="Q2034" s="6">
        <f ca="1">IF(Main[[#This Row],[بدهی تسویه نشده (کیلوگرم)]]&gt;0,'گزارش فردی'!$B$7-Main[[#This Row],[تاريخ میلادی]],0)</f>
        <v>0</v>
      </c>
      <c r="R2034" s="6">
        <f ca="1">IF(Main[[#This Row],[بدهی تسویه نشده (کیلوگرم)]]&gt;0,'گزارش فردی'!$B$7-Main[[#This Row],[تاريخ میلادی]]-'گزارش فردی'!$B$8,0)</f>
        <v>0</v>
      </c>
      <c r="S2034" s="6">
        <f ca="1">Main[[#This Row],[روز از ارسال سفارش]]*Main[[#This Row],[بدهی تسویه نشده (کیلوگرم)]]</f>
        <v>0</v>
      </c>
      <c r="T2034" s="6">
        <f ca="1">Main[[#This Row],[بدهی سررسید شده (کیلوگرم)]]*Main[[#This Row],[روز از ارسال سفارش]]</f>
        <v>0</v>
      </c>
      <c r="U2034" s="6">
        <f>-SUBTOTAL(9,INDEX(Main[مقدار (کیلوگرم)],1):Main[[#This Row],[مقدار (کیلوگرم)]])</f>
        <v>35597</v>
      </c>
      <c r="V20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4" s="6">
        <f>Main[[#This Row],[تعداد کل روزهای بدهکار (روز)]]*Main[[#This Row],[مانده در خط کل (کیلوگرم)]]</f>
        <v>0</v>
      </c>
      <c r="X2034" s="6">
        <f ca="1">-SUBTOTAL(9,INDEX(Main[مقدار تسویه شده (کیلوگرم)],1):Main[[#This Row],[مقدار تسویه شده (کیلوگرم)]])</f>
        <v>35597</v>
      </c>
      <c r="Y2034" s="6">
        <f ca="1">IF(Main[[#This Row],[مانده در خط تسویه شده (کیلوگرم)]]&lt;&gt;0,Main[[#This Row],[تعداد کل روزهای بدهکار (روز)]],0)</f>
        <v>0</v>
      </c>
      <c r="Z2034" s="6">
        <f ca="1">Main[[#This Row],[تعداد روزهای بدهکار تسویه شده (روز)]]*Main[[#This Row],[مانده در خط تسویه شده (کیلوگرم)]]</f>
        <v>0</v>
      </c>
      <c r="AA2034" s="6">
        <f ca="1">SUBTOTAL(9,INDEX(Main[بدهی تسویه نشده (کیلوگرم)],1):Main[[#This Row],[بدهی تسویه نشده (کیلوگرم)]])</f>
        <v>0</v>
      </c>
      <c r="AB2034" s="6">
        <f ca="1">IF(Main[[#This Row],[مانده در خط تسویه نشده (کیلوگرم)]]&lt;&gt;0,Main[[#This Row],[تعداد کل روزهای بدهکار (روز)]],0)</f>
        <v>0</v>
      </c>
      <c r="AC2034" s="6">
        <f ca="1">Main[[#This Row],[تعداد روزهای بدهکار  تسویه نشده (روز)]]*Main[[#This Row],[مانده در خط تسویه نشده (کیلوگرم)]]</f>
        <v>0</v>
      </c>
      <c r="AD2034" s="6">
        <f ca="1">SUBTOTAL(9,INDEX(Main[بدهی سررسید شده (کیلوگرم)],1):Main[[#This Row],[بدهی سررسید شده (کیلوگرم)]])</f>
        <v>0</v>
      </c>
      <c r="AE2034" s="6">
        <f ca="1">IF(Main[[#This Row],[مانده در خط سررسید شده (کیلوگرم)]]&lt;&gt;0,Main[[#This Row],[تعداد کل روزهای بدهکار (روز)]],0)</f>
        <v>0</v>
      </c>
      <c r="AF2034" s="6">
        <f ca="1">Main[[#This Row],[تعداد روزهای بدهکار سررسید شده (روز)]]*Main[[#This Row],[مانده در خط سررسید شده (کیلوگرم)]]</f>
        <v>0</v>
      </c>
    </row>
    <row r="2035" spans="1:32" hidden="1" x14ac:dyDescent="0.35">
      <c r="A2035" s="5">
        <f>ROW()-ROW(INDEX(Main[ردیف],1))+1</f>
        <v>2033</v>
      </c>
      <c r="B2035" s="31">
        <f>SUBTOTAL(2,INDEX(Main[ردیف],1):Main[[#This Row],[ردیف]])</f>
        <v>181</v>
      </c>
      <c r="C2035" s="32" t="s">
        <v>749</v>
      </c>
      <c r="D2035" s="32" t="str">
        <f>_xlfn.CONCAT("14",Main[[#This Row],[تاريخ]])</f>
        <v>1400/08/12</v>
      </c>
      <c r="E2035" s="33">
        <v>44503</v>
      </c>
      <c r="F2035" s="32">
        <v>10104</v>
      </c>
      <c r="G2035" s="5" t="str">
        <f>INDEX(customer[عنوان],MATCH(Main[[#This Row],[کد ردیابی]],customer[کد],0))</f>
        <v>بهزادی فر اصغر</v>
      </c>
      <c r="H2035">
        <v>2610</v>
      </c>
      <c r="I2035" s="6">
        <f ca="1">-Main[[#This Row],[بدهی تسویه شده (کیلوگرم)]]+Main[[#This Row],[بستانکار (کیلوگرم)]]</f>
        <v>2610</v>
      </c>
      <c r="J2035" s="6">
        <f>IF(Main[[#This Row],[مقدار (کیلوگرم)]]&gt;0,Main[[#This Row],[مقدار (کیلوگرم)]],0)</f>
        <v>2610</v>
      </c>
      <c r="K2035" s="6">
        <f>-IF(Main[[#This Row],[مقدار (کیلوگرم)]]&lt;0,Main[[#This Row],[مقدار (کیلوگرم)]],0)</f>
        <v>0</v>
      </c>
      <c r="L20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5" s="7">
        <f>-IF(AND(Main[[#This Row],[مقدار (کیلوگرم)]]&lt;0,Main[[#This Row],[تاريخ میلادی]]&gt;44276),Main[[#This Row],[مقدار (کیلوگرم)]],0)</f>
        <v>0</v>
      </c>
      <c r="N2035" s="6">
        <f ca="1">Main[[#This Row],[بدهکار (کیلوگرم)]]-Main[[#This Row],[بدهی تسویه نشده (کیلوگرم)]]</f>
        <v>0</v>
      </c>
      <c r="O2035" s="6">
        <f ca="1">Main[[#This Row],[تفکیک]]</f>
        <v>0</v>
      </c>
      <c r="P2035" s="6">
        <f ca="1">IF(Main[[#This Row],[تاخیر از سررسید]]&gt;0,Main[[#This Row],[بدهی تسویه نشده (کیلوگرم)]],0)</f>
        <v>0</v>
      </c>
      <c r="Q2035" s="6">
        <f ca="1">IF(Main[[#This Row],[بدهی تسویه نشده (کیلوگرم)]]&gt;0,'گزارش فردی'!$B$7-Main[[#This Row],[تاريخ میلادی]],0)</f>
        <v>0</v>
      </c>
      <c r="R2035" s="6">
        <f ca="1">IF(Main[[#This Row],[بدهی تسویه نشده (کیلوگرم)]]&gt;0,'گزارش فردی'!$B$7-Main[[#This Row],[تاريخ میلادی]]-'گزارش فردی'!$B$8,0)</f>
        <v>0</v>
      </c>
      <c r="S2035" s="6">
        <f ca="1">Main[[#This Row],[روز از ارسال سفارش]]*Main[[#This Row],[بدهی تسویه نشده (کیلوگرم)]]</f>
        <v>0</v>
      </c>
      <c r="T2035" s="6">
        <f ca="1">Main[[#This Row],[بدهی سررسید شده (کیلوگرم)]]*Main[[#This Row],[روز از ارسال سفارش]]</f>
        <v>0</v>
      </c>
      <c r="U2035" s="6">
        <f>-SUBTOTAL(9,INDEX(Main[مقدار (کیلوگرم)],1):Main[[#This Row],[مقدار (کیلوگرم)]])</f>
        <v>35597</v>
      </c>
      <c r="V20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5" s="6">
        <f>Main[[#This Row],[تعداد کل روزهای بدهکار (روز)]]*Main[[#This Row],[مانده در خط کل (کیلوگرم)]]</f>
        <v>0</v>
      </c>
      <c r="X2035" s="6">
        <f ca="1">-SUBTOTAL(9,INDEX(Main[مقدار تسویه شده (کیلوگرم)],1):Main[[#This Row],[مقدار تسویه شده (کیلوگرم)]])</f>
        <v>35597</v>
      </c>
      <c r="Y2035" s="6">
        <f ca="1">IF(Main[[#This Row],[مانده در خط تسویه شده (کیلوگرم)]]&lt;&gt;0,Main[[#This Row],[تعداد کل روزهای بدهکار (روز)]],0)</f>
        <v>0</v>
      </c>
      <c r="Z2035" s="6">
        <f ca="1">Main[[#This Row],[تعداد روزهای بدهکار تسویه شده (روز)]]*Main[[#This Row],[مانده در خط تسویه شده (کیلوگرم)]]</f>
        <v>0</v>
      </c>
      <c r="AA2035" s="6">
        <f ca="1">SUBTOTAL(9,INDEX(Main[بدهی تسویه نشده (کیلوگرم)],1):Main[[#This Row],[بدهی تسویه نشده (کیلوگرم)]])</f>
        <v>0</v>
      </c>
      <c r="AB2035" s="6">
        <f ca="1">IF(Main[[#This Row],[مانده در خط تسویه نشده (کیلوگرم)]]&lt;&gt;0,Main[[#This Row],[تعداد کل روزهای بدهکار (روز)]],0)</f>
        <v>0</v>
      </c>
      <c r="AC2035" s="6">
        <f ca="1">Main[[#This Row],[تعداد روزهای بدهکار  تسویه نشده (روز)]]*Main[[#This Row],[مانده در خط تسویه نشده (کیلوگرم)]]</f>
        <v>0</v>
      </c>
      <c r="AD2035" s="6">
        <f ca="1">SUBTOTAL(9,INDEX(Main[بدهی سررسید شده (کیلوگرم)],1):Main[[#This Row],[بدهی سررسید شده (کیلوگرم)]])</f>
        <v>0</v>
      </c>
      <c r="AE2035" s="6">
        <f ca="1">IF(Main[[#This Row],[مانده در خط سررسید شده (کیلوگرم)]]&lt;&gt;0,Main[[#This Row],[تعداد کل روزهای بدهکار (روز)]],0)</f>
        <v>0</v>
      </c>
      <c r="AF2035" s="6">
        <f ca="1">Main[[#This Row],[تعداد روزهای بدهکار سررسید شده (روز)]]*Main[[#This Row],[مانده در خط سررسید شده (کیلوگرم)]]</f>
        <v>0</v>
      </c>
    </row>
    <row r="2036" spans="1:32" hidden="1" x14ac:dyDescent="0.35">
      <c r="A2036" s="5">
        <f>ROW()-ROW(INDEX(Main[ردیف],1))+1</f>
        <v>2034</v>
      </c>
      <c r="B2036" s="31">
        <f>SUBTOTAL(2,INDEX(Main[ردیف],1):Main[[#This Row],[ردیف]])</f>
        <v>181</v>
      </c>
      <c r="C2036" s="32" t="s">
        <v>749</v>
      </c>
      <c r="D2036" s="32" t="str">
        <f>_xlfn.CONCAT("14",Main[[#This Row],[تاريخ]])</f>
        <v>1400/08/12</v>
      </c>
      <c r="E2036" s="33">
        <v>44503</v>
      </c>
      <c r="F2036" s="32">
        <v>30140</v>
      </c>
      <c r="G2036" s="5" t="str">
        <f>INDEX(customer[عنوان],MATCH(Main[[#This Row],[کد ردیابی]],customer[کد],0))</f>
        <v>شرکت سیتکو</v>
      </c>
      <c r="H2036">
        <v>-9</v>
      </c>
      <c r="I2036" s="6">
        <f ca="1">-Main[[#This Row],[بدهی تسویه شده (کیلوگرم)]]+Main[[#This Row],[بستانکار (کیلوگرم)]]</f>
        <v>-9</v>
      </c>
      <c r="J2036" s="6">
        <f>IF(Main[[#This Row],[مقدار (کیلوگرم)]]&gt;0,Main[[#This Row],[مقدار (کیلوگرم)]],0)</f>
        <v>0</v>
      </c>
      <c r="K2036" s="6">
        <f>-IF(Main[[#This Row],[مقدار (کیلوگرم)]]&lt;0,Main[[#This Row],[مقدار (کیلوگرم)]],0)</f>
        <v>9</v>
      </c>
      <c r="L20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6" s="7">
        <f>-IF(AND(Main[[#This Row],[مقدار (کیلوگرم)]]&lt;0,Main[[#This Row],[تاريخ میلادی]]&gt;44276),Main[[#This Row],[مقدار (کیلوگرم)]],0)</f>
        <v>9</v>
      </c>
      <c r="N2036" s="6">
        <f ca="1">Main[[#This Row],[بدهکار (کیلوگرم)]]-Main[[#This Row],[بدهی تسویه نشده (کیلوگرم)]]</f>
        <v>9</v>
      </c>
      <c r="O2036" s="6">
        <f ca="1">Main[[#This Row],[تفکیک]]</f>
        <v>0</v>
      </c>
      <c r="P2036" s="6">
        <f ca="1">IF(Main[[#This Row],[تاخیر از سررسید]]&gt;0,Main[[#This Row],[بدهی تسویه نشده (کیلوگرم)]],0)</f>
        <v>0</v>
      </c>
      <c r="Q2036" s="6">
        <f ca="1">IF(Main[[#This Row],[بدهی تسویه نشده (کیلوگرم)]]&gt;0,'گزارش فردی'!$B$7-Main[[#This Row],[تاريخ میلادی]],0)</f>
        <v>0</v>
      </c>
      <c r="R2036" s="6">
        <f ca="1">IF(Main[[#This Row],[بدهی تسویه نشده (کیلوگرم)]]&gt;0,'گزارش فردی'!$B$7-Main[[#This Row],[تاريخ میلادی]]-'گزارش فردی'!$B$8,0)</f>
        <v>0</v>
      </c>
      <c r="S2036" s="6">
        <f ca="1">Main[[#This Row],[روز از ارسال سفارش]]*Main[[#This Row],[بدهی تسویه نشده (کیلوگرم)]]</f>
        <v>0</v>
      </c>
      <c r="T2036" s="6">
        <f ca="1">Main[[#This Row],[بدهی سررسید شده (کیلوگرم)]]*Main[[#This Row],[روز از ارسال سفارش]]</f>
        <v>0</v>
      </c>
      <c r="U2036" s="6">
        <f>-SUBTOTAL(9,INDEX(Main[مقدار (کیلوگرم)],1):Main[[#This Row],[مقدار (کیلوگرم)]])</f>
        <v>35597</v>
      </c>
      <c r="V20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6" s="6">
        <f>Main[[#This Row],[تعداد کل روزهای بدهکار (روز)]]*Main[[#This Row],[مانده در خط کل (کیلوگرم)]]</f>
        <v>0</v>
      </c>
      <c r="X2036" s="6">
        <f ca="1">-SUBTOTAL(9,INDEX(Main[مقدار تسویه شده (کیلوگرم)],1):Main[[#This Row],[مقدار تسویه شده (کیلوگرم)]])</f>
        <v>35597</v>
      </c>
      <c r="Y2036" s="6">
        <f ca="1">IF(Main[[#This Row],[مانده در خط تسویه شده (کیلوگرم)]]&lt;&gt;0,Main[[#This Row],[تعداد کل روزهای بدهکار (روز)]],0)</f>
        <v>0</v>
      </c>
      <c r="Z2036" s="6">
        <f ca="1">Main[[#This Row],[تعداد روزهای بدهکار تسویه شده (روز)]]*Main[[#This Row],[مانده در خط تسویه شده (کیلوگرم)]]</f>
        <v>0</v>
      </c>
      <c r="AA2036" s="6">
        <f ca="1">SUBTOTAL(9,INDEX(Main[بدهی تسویه نشده (کیلوگرم)],1):Main[[#This Row],[بدهی تسویه نشده (کیلوگرم)]])</f>
        <v>0</v>
      </c>
      <c r="AB2036" s="6">
        <f ca="1">IF(Main[[#This Row],[مانده در خط تسویه نشده (کیلوگرم)]]&lt;&gt;0,Main[[#This Row],[تعداد کل روزهای بدهکار (روز)]],0)</f>
        <v>0</v>
      </c>
      <c r="AC2036" s="6">
        <f ca="1">Main[[#This Row],[تعداد روزهای بدهکار  تسویه نشده (روز)]]*Main[[#This Row],[مانده در خط تسویه نشده (کیلوگرم)]]</f>
        <v>0</v>
      </c>
      <c r="AD2036" s="6">
        <f ca="1">SUBTOTAL(9,INDEX(Main[بدهی سررسید شده (کیلوگرم)],1):Main[[#This Row],[بدهی سررسید شده (کیلوگرم)]])</f>
        <v>0</v>
      </c>
      <c r="AE2036" s="6">
        <f ca="1">IF(Main[[#This Row],[مانده در خط سررسید شده (کیلوگرم)]]&lt;&gt;0,Main[[#This Row],[تعداد کل روزهای بدهکار (روز)]],0)</f>
        <v>0</v>
      </c>
      <c r="AF2036" s="6">
        <f ca="1">Main[[#This Row],[تعداد روزهای بدهکار سررسید شده (روز)]]*Main[[#This Row],[مانده در خط سررسید شده (کیلوگرم)]]</f>
        <v>0</v>
      </c>
    </row>
    <row r="2037" spans="1:32" hidden="1" x14ac:dyDescent="0.35">
      <c r="A2037" s="5">
        <f>ROW()-ROW(INDEX(Main[ردیف],1))+1</f>
        <v>2035</v>
      </c>
      <c r="B2037" s="31">
        <f>SUBTOTAL(2,INDEX(Main[ردیف],1):Main[[#This Row],[ردیف]])</f>
        <v>181</v>
      </c>
      <c r="C2037" s="32" t="s">
        <v>749</v>
      </c>
      <c r="D2037" s="32" t="str">
        <f>_xlfn.CONCAT("14",Main[[#This Row],[تاريخ]])</f>
        <v>1400/08/12</v>
      </c>
      <c r="E2037" s="33">
        <v>44503</v>
      </c>
      <c r="F2037" s="32">
        <v>30099</v>
      </c>
      <c r="G2037" s="5" t="str">
        <f>INDEX(customer[عنوان],MATCH(Main[[#This Row],[کد ردیابی]],customer[کد],0))</f>
        <v>ایران شرق نیشابور</v>
      </c>
      <c r="H2037">
        <v>5817</v>
      </c>
      <c r="I2037" s="6">
        <f ca="1">-Main[[#This Row],[بدهی تسویه شده (کیلوگرم)]]+Main[[#This Row],[بستانکار (کیلوگرم)]]</f>
        <v>5817</v>
      </c>
      <c r="J2037" s="6">
        <f>IF(Main[[#This Row],[مقدار (کیلوگرم)]]&gt;0,Main[[#This Row],[مقدار (کیلوگرم)]],0)</f>
        <v>5817</v>
      </c>
      <c r="K2037" s="6">
        <f>-IF(Main[[#This Row],[مقدار (کیلوگرم)]]&lt;0,Main[[#This Row],[مقدار (کیلوگرم)]],0)</f>
        <v>0</v>
      </c>
      <c r="L20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7" s="7">
        <f>-IF(AND(Main[[#This Row],[مقدار (کیلوگرم)]]&lt;0,Main[[#This Row],[تاريخ میلادی]]&gt;44276),Main[[#This Row],[مقدار (کیلوگرم)]],0)</f>
        <v>0</v>
      </c>
      <c r="N2037" s="6">
        <f ca="1">Main[[#This Row],[بدهکار (کیلوگرم)]]-Main[[#This Row],[بدهی تسویه نشده (کیلوگرم)]]</f>
        <v>0</v>
      </c>
      <c r="O2037" s="6">
        <f ca="1">Main[[#This Row],[تفکیک]]</f>
        <v>0</v>
      </c>
      <c r="P2037" s="6">
        <f ca="1">IF(Main[[#This Row],[تاخیر از سررسید]]&gt;0,Main[[#This Row],[بدهی تسویه نشده (کیلوگرم)]],0)</f>
        <v>0</v>
      </c>
      <c r="Q2037" s="6">
        <f ca="1">IF(Main[[#This Row],[بدهی تسویه نشده (کیلوگرم)]]&gt;0,'گزارش فردی'!$B$7-Main[[#This Row],[تاريخ میلادی]],0)</f>
        <v>0</v>
      </c>
      <c r="R2037" s="6">
        <f ca="1">IF(Main[[#This Row],[بدهی تسویه نشده (کیلوگرم)]]&gt;0,'گزارش فردی'!$B$7-Main[[#This Row],[تاريخ میلادی]]-'گزارش فردی'!$B$8,0)</f>
        <v>0</v>
      </c>
      <c r="S2037" s="6">
        <f ca="1">Main[[#This Row],[روز از ارسال سفارش]]*Main[[#This Row],[بدهی تسویه نشده (کیلوگرم)]]</f>
        <v>0</v>
      </c>
      <c r="T2037" s="6">
        <f ca="1">Main[[#This Row],[بدهی سررسید شده (کیلوگرم)]]*Main[[#This Row],[روز از ارسال سفارش]]</f>
        <v>0</v>
      </c>
      <c r="U2037" s="6">
        <f>-SUBTOTAL(9,INDEX(Main[مقدار (کیلوگرم)],1):Main[[#This Row],[مقدار (کیلوگرم)]])</f>
        <v>35597</v>
      </c>
      <c r="V20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7" s="6">
        <f>Main[[#This Row],[تعداد کل روزهای بدهکار (روز)]]*Main[[#This Row],[مانده در خط کل (کیلوگرم)]]</f>
        <v>0</v>
      </c>
      <c r="X2037" s="6">
        <f ca="1">-SUBTOTAL(9,INDEX(Main[مقدار تسویه شده (کیلوگرم)],1):Main[[#This Row],[مقدار تسویه شده (کیلوگرم)]])</f>
        <v>35597</v>
      </c>
      <c r="Y2037" s="6">
        <f ca="1">IF(Main[[#This Row],[مانده در خط تسویه شده (کیلوگرم)]]&lt;&gt;0,Main[[#This Row],[تعداد کل روزهای بدهکار (روز)]],0)</f>
        <v>0</v>
      </c>
      <c r="Z2037" s="6">
        <f ca="1">Main[[#This Row],[تعداد روزهای بدهکار تسویه شده (روز)]]*Main[[#This Row],[مانده در خط تسویه شده (کیلوگرم)]]</f>
        <v>0</v>
      </c>
      <c r="AA2037" s="6">
        <f ca="1">SUBTOTAL(9,INDEX(Main[بدهی تسویه نشده (کیلوگرم)],1):Main[[#This Row],[بدهی تسویه نشده (کیلوگرم)]])</f>
        <v>0</v>
      </c>
      <c r="AB2037" s="6">
        <f ca="1">IF(Main[[#This Row],[مانده در خط تسویه نشده (کیلوگرم)]]&lt;&gt;0,Main[[#This Row],[تعداد کل روزهای بدهکار (روز)]],0)</f>
        <v>0</v>
      </c>
      <c r="AC2037" s="6">
        <f ca="1">Main[[#This Row],[تعداد روزهای بدهکار  تسویه نشده (روز)]]*Main[[#This Row],[مانده در خط تسویه نشده (کیلوگرم)]]</f>
        <v>0</v>
      </c>
      <c r="AD2037" s="6">
        <f ca="1">SUBTOTAL(9,INDEX(Main[بدهی سررسید شده (کیلوگرم)],1):Main[[#This Row],[بدهی سررسید شده (کیلوگرم)]])</f>
        <v>0</v>
      </c>
      <c r="AE2037" s="6">
        <f ca="1">IF(Main[[#This Row],[مانده در خط سررسید شده (کیلوگرم)]]&lt;&gt;0,Main[[#This Row],[تعداد کل روزهای بدهکار (روز)]],0)</f>
        <v>0</v>
      </c>
      <c r="AF2037" s="6">
        <f ca="1">Main[[#This Row],[تعداد روزهای بدهکار سررسید شده (روز)]]*Main[[#This Row],[مانده در خط سررسید شده (کیلوگرم)]]</f>
        <v>0</v>
      </c>
    </row>
    <row r="2038" spans="1:32" hidden="1" x14ac:dyDescent="0.35">
      <c r="A2038" s="5">
        <f>ROW()-ROW(INDEX(Main[ردیف],1))+1</f>
        <v>2036</v>
      </c>
      <c r="B2038" s="31">
        <f>SUBTOTAL(2,INDEX(Main[ردیف],1):Main[[#This Row],[ردیف]])</f>
        <v>181</v>
      </c>
      <c r="C2038" s="32" t="s">
        <v>749</v>
      </c>
      <c r="D2038" s="32" t="str">
        <f>_xlfn.CONCAT("14",Main[[#This Row],[تاريخ]])</f>
        <v>1400/08/12</v>
      </c>
      <c r="E2038" s="33">
        <v>44503</v>
      </c>
      <c r="F2038" s="32">
        <v>10029</v>
      </c>
      <c r="G2038" s="5" t="str">
        <f>INDEX(customer[عنوان],MATCH(Main[[#This Row],[کد ردیابی]],customer[کد],0))</f>
        <v>رضا شریعتی</v>
      </c>
      <c r="H2038">
        <v>-1607</v>
      </c>
      <c r="I2038" s="6">
        <f ca="1">-Main[[#This Row],[بدهی تسویه شده (کیلوگرم)]]+Main[[#This Row],[بستانکار (کیلوگرم)]]</f>
        <v>-1607</v>
      </c>
      <c r="J2038" s="6">
        <f>IF(Main[[#This Row],[مقدار (کیلوگرم)]]&gt;0,Main[[#This Row],[مقدار (کیلوگرم)]],0)</f>
        <v>0</v>
      </c>
      <c r="K2038" s="6">
        <f>-IF(Main[[#This Row],[مقدار (کیلوگرم)]]&lt;0,Main[[#This Row],[مقدار (کیلوگرم)]],0)</f>
        <v>1607</v>
      </c>
      <c r="L20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8" s="7">
        <f>-IF(AND(Main[[#This Row],[مقدار (کیلوگرم)]]&lt;0,Main[[#This Row],[تاريخ میلادی]]&gt;44276),Main[[#This Row],[مقدار (کیلوگرم)]],0)</f>
        <v>1607</v>
      </c>
      <c r="N2038" s="6">
        <f ca="1">Main[[#This Row],[بدهکار (کیلوگرم)]]-Main[[#This Row],[بدهی تسویه نشده (کیلوگرم)]]</f>
        <v>1607</v>
      </c>
      <c r="O2038" s="6">
        <f ca="1">Main[[#This Row],[تفکیک]]</f>
        <v>0</v>
      </c>
      <c r="P2038" s="6">
        <f ca="1">IF(Main[[#This Row],[تاخیر از سررسید]]&gt;0,Main[[#This Row],[بدهی تسویه نشده (کیلوگرم)]],0)</f>
        <v>0</v>
      </c>
      <c r="Q2038" s="6">
        <f ca="1">IF(Main[[#This Row],[بدهی تسویه نشده (کیلوگرم)]]&gt;0,'گزارش فردی'!$B$7-Main[[#This Row],[تاريخ میلادی]],0)</f>
        <v>0</v>
      </c>
      <c r="R2038" s="6">
        <f ca="1">IF(Main[[#This Row],[بدهی تسویه نشده (کیلوگرم)]]&gt;0,'گزارش فردی'!$B$7-Main[[#This Row],[تاريخ میلادی]]-'گزارش فردی'!$B$8,0)</f>
        <v>0</v>
      </c>
      <c r="S2038" s="6">
        <f ca="1">Main[[#This Row],[روز از ارسال سفارش]]*Main[[#This Row],[بدهی تسویه نشده (کیلوگرم)]]</f>
        <v>0</v>
      </c>
      <c r="T2038" s="6">
        <f ca="1">Main[[#This Row],[بدهی سررسید شده (کیلوگرم)]]*Main[[#This Row],[روز از ارسال سفارش]]</f>
        <v>0</v>
      </c>
      <c r="U2038" s="6">
        <f>-SUBTOTAL(9,INDEX(Main[مقدار (کیلوگرم)],1):Main[[#This Row],[مقدار (کیلوگرم)]])</f>
        <v>35597</v>
      </c>
      <c r="V20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8" s="6">
        <f>Main[[#This Row],[تعداد کل روزهای بدهکار (روز)]]*Main[[#This Row],[مانده در خط کل (کیلوگرم)]]</f>
        <v>0</v>
      </c>
      <c r="X2038" s="6">
        <f ca="1">-SUBTOTAL(9,INDEX(Main[مقدار تسویه شده (کیلوگرم)],1):Main[[#This Row],[مقدار تسویه شده (کیلوگرم)]])</f>
        <v>35597</v>
      </c>
      <c r="Y2038" s="6">
        <f ca="1">IF(Main[[#This Row],[مانده در خط تسویه شده (کیلوگرم)]]&lt;&gt;0,Main[[#This Row],[تعداد کل روزهای بدهکار (روز)]],0)</f>
        <v>0</v>
      </c>
      <c r="Z2038" s="6">
        <f ca="1">Main[[#This Row],[تعداد روزهای بدهکار تسویه شده (روز)]]*Main[[#This Row],[مانده در خط تسویه شده (کیلوگرم)]]</f>
        <v>0</v>
      </c>
      <c r="AA2038" s="6">
        <f ca="1">SUBTOTAL(9,INDEX(Main[بدهی تسویه نشده (کیلوگرم)],1):Main[[#This Row],[بدهی تسویه نشده (کیلوگرم)]])</f>
        <v>0</v>
      </c>
      <c r="AB2038" s="6">
        <f ca="1">IF(Main[[#This Row],[مانده در خط تسویه نشده (کیلوگرم)]]&lt;&gt;0,Main[[#This Row],[تعداد کل روزهای بدهکار (روز)]],0)</f>
        <v>0</v>
      </c>
      <c r="AC2038" s="6">
        <f ca="1">Main[[#This Row],[تعداد روزهای بدهکار  تسویه نشده (روز)]]*Main[[#This Row],[مانده در خط تسویه نشده (کیلوگرم)]]</f>
        <v>0</v>
      </c>
      <c r="AD2038" s="6">
        <f ca="1">SUBTOTAL(9,INDEX(Main[بدهی سررسید شده (کیلوگرم)],1):Main[[#This Row],[بدهی سررسید شده (کیلوگرم)]])</f>
        <v>0</v>
      </c>
      <c r="AE2038" s="6">
        <f ca="1">IF(Main[[#This Row],[مانده در خط سررسید شده (کیلوگرم)]]&lt;&gt;0,Main[[#This Row],[تعداد کل روزهای بدهکار (روز)]],0)</f>
        <v>0</v>
      </c>
      <c r="AF2038" s="6">
        <f ca="1">Main[[#This Row],[تعداد روزهای بدهکار سررسید شده (روز)]]*Main[[#This Row],[مانده در خط سررسید شده (کیلوگرم)]]</f>
        <v>0</v>
      </c>
    </row>
    <row r="2039" spans="1:32" hidden="1" x14ac:dyDescent="0.35">
      <c r="A2039" s="5">
        <f>ROW()-ROW(INDEX(Main[ردیف],1))+1</f>
        <v>2037</v>
      </c>
      <c r="B2039" s="31">
        <f>SUBTOTAL(2,INDEX(Main[ردیف],1):Main[[#This Row],[ردیف]])</f>
        <v>181</v>
      </c>
      <c r="C2039" s="32" t="s">
        <v>749</v>
      </c>
      <c r="D2039" s="32" t="str">
        <f>_xlfn.CONCAT("14",Main[[#This Row],[تاريخ]])</f>
        <v>1400/08/12</v>
      </c>
      <c r="E2039" s="33">
        <v>44503</v>
      </c>
      <c r="F2039" s="32">
        <v>10048</v>
      </c>
      <c r="G2039" s="5" t="str">
        <f>INDEX(customer[عنوان],MATCH(Main[[#This Row],[کد ردیابی]],customer[کد],0))</f>
        <v xml:space="preserve">حسام کریمان  </v>
      </c>
      <c r="H2039">
        <v>344</v>
      </c>
      <c r="I2039" s="6">
        <f ca="1">-Main[[#This Row],[بدهی تسویه شده (کیلوگرم)]]+Main[[#This Row],[بستانکار (کیلوگرم)]]</f>
        <v>344</v>
      </c>
      <c r="J2039" s="6">
        <f>IF(Main[[#This Row],[مقدار (کیلوگرم)]]&gt;0,Main[[#This Row],[مقدار (کیلوگرم)]],0)</f>
        <v>344</v>
      </c>
      <c r="K2039" s="6">
        <f>-IF(Main[[#This Row],[مقدار (کیلوگرم)]]&lt;0,Main[[#This Row],[مقدار (کیلوگرم)]],0)</f>
        <v>0</v>
      </c>
      <c r="L20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9" s="7">
        <f>-IF(AND(Main[[#This Row],[مقدار (کیلوگرم)]]&lt;0,Main[[#This Row],[تاريخ میلادی]]&gt;44276),Main[[#This Row],[مقدار (کیلوگرم)]],0)</f>
        <v>0</v>
      </c>
      <c r="N2039" s="6">
        <f ca="1">Main[[#This Row],[بدهکار (کیلوگرم)]]-Main[[#This Row],[بدهی تسویه نشده (کیلوگرم)]]</f>
        <v>0</v>
      </c>
      <c r="O2039" s="6">
        <f ca="1">Main[[#This Row],[تفکیک]]</f>
        <v>0</v>
      </c>
      <c r="P2039" s="6">
        <f ca="1">IF(Main[[#This Row],[تاخیر از سررسید]]&gt;0,Main[[#This Row],[بدهی تسویه نشده (کیلوگرم)]],0)</f>
        <v>0</v>
      </c>
      <c r="Q2039" s="6">
        <f ca="1">IF(Main[[#This Row],[بدهی تسویه نشده (کیلوگرم)]]&gt;0,'گزارش فردی'!$B$7-Main[[#This Row],[تاريخ میلادی]],0)</f>
        <v>0</v>
      </c>
      <c r="R2039" s="6">
        <f ca="1">IF(Main[[#This Row],[بدهی تسویه نشده (کیلوگرم)]]&gt;0,'گزارش فردی'!$B$7-Main[[#This Row],[تاريخ میلادی]]-'گزارش فردی'!$B$8,0)</f>
        <v>0</v>
      </c>
      <c r="S2039" s="6">
        <f ca="1">Main[[#This Row],[روز از ارسال سفارش]]*Main[[#This Row],[بدهی تسویه نشده (کیلوگرم)]]</f>
        <v>0</v>
      </c>
      <c r="T2039" s="6">
        <f ca="1">Main[[#This Row],[بدهی سررسید شده (کیلوگرم)]]*Main[[#This Row],[روز از ارسال سفارش]]</f>
        <v>0</v>
      </c>
      <c r="U2039" s="6">
        <f>-SUBTOTAL(9,INDEX(Main[مقدار (کیلوگرم)],1):Main[[#This Row],[مقدار (کیلوگرم)]])</f>
        <v>35597</v>
      </c>
      <c r="V20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9" s="6">
        <f>Main[[#This Row],[تعداد کل روزهای بدهکار (روز)]]*Main[[#This Row],[مانده در خط کل (کیلوگرم)]]</f>
        <v>0</v>
      </c>
      <c r="X2039" s="6">
        <f ca="1">-SUBTOTAL(9,INDEX(Main[مقدار تسویه شده (کیلوگرم)],1):Main[[#This Row],[مقدار تسویه شده (کیلوگرم)]])</f>
        <v>35597</v>
      </c>
      <c r="Y2039" s="6">
        <f ca="1">IF(Main[[#This Row],[مانده در خط تسویه شده (کیلوگرم)]]&lt;&gt;0,Main[[#This Row],[تعداد کل روزهای بدهکار (روز)]],0)</f>
        <v>0</v>
      </c>
      <c r="Z2039" s="6">
        <f ca="1">Main[[#This Row],[تعداد روزهای بدهکار تسویه شده (روز)]]*Main[[#This Row],[مانده در خط تسویه شده (کیلوگرم)]]</f>
        <v>0</v>
      </c>
      <c r="AA2039" s="6">
        <f ca="1">SUBTOTAL(9,INDEX(Main[بدهی تسویه نشده (کیلوگرم)],1):Main[[#This Row],[بدهی تسویه نشده (کیلوگرم)]])</f>
        <v>0</v>
      </c>
      <c r="AB2039" s="6">
        <f ca="1">IF(Main[[#This Row],[مانده در خط تسویه نشده (کیلوگرم)]]&lt;&gt;0,Main[[#This Row],[تعداد کل روزهای بدهکار (روز)]],0)</f>
        <v>0</v>
      </c>
      <c r="AC2039" s="6">
        <f ca="1">Main[[#This Row],[تعداد روزهای بدهکار  تسویه نشده (روز)]]*Main[[#This Row],[مانده در خط تسویه نشده (کیلوگرم)]]</f>
        <v>0</v>
      </c>
      <c r="AD2039" s="6">
        <f ca="1">SUBTOTAL(9,INDEX(Main[بدهی سررسید شده (کیلوگرم)],1):Main[[#This Row],[بدهی سررسید شده (کیلوگرم)]])</f>
        <v>0</v>
      </c>
      <c r="AE2039" s="6">
        <f ca="1">IF(Main[[#This Row],[مانده در خط سررسید شده (کیلوگرم)]]&lt;&gt;0,Main[[#This Row],[تعداد کل روزهای بدهکار (روز)]],0)</f>
        <v>0</v>
      </c>
      <c r="AF2039" s="6">
        <f ca="1">Main[[#This Row],[تعداد روزهای بدهکار سررسید شده (روز)]]*Main[[#This Row],[مانده در خط سررسید شده (کیلوگرم)]]</f>
        <v>0</v>
      </c>
    </row>
    <row r="2040" spans="1:32" x14ac:dyDescent="0.35">
      <c r="A2040" s="5">
        <f>ROW()-ROW(INDEX(Main[ردیف],1))+1</f>
        <v>2038</v>
      </c>
      <c r="B2040" s="31">
        <f>SUBTOTAL(2,INDEX(Main[ردیف],1):Main[[#This Row],[ردیف]])</f>
        <v>182</v>
      </c>
      <c r="C2040" s="32" t="s">
        <v>749</v>
      </c>
      <c r="D2040" s="32" t="str">
        <f>_xlfn.CONCAT("14",Main[[#This Row],[تاريخ]])</f>
        <v>1400/08/12</v>
      </c>
      <c r="E2040" s="33">
        <v>44503</v>
      </c>
      <c r="F2040" s="32">
        <v>10003</v>
      </c>
      <c r="G2040" s="5" t="str">
        <f>INDEX(customer[عنوان],MATCH(Main[[#This Row],[کد ردیابی]],customer[کد],0))</f>
        <v>اصغر نورعلی</v>
      </c>
      <c r="H2040">
        <v>-3977</v>
      </c>
      <c r="I2040" s="6">
        <f ca="1">-Main[[#This Row],[بدهی تسویه شده (کیلوگرم)]]+Main[[#This Row],[بستانکار (کیلوگرم)]]</f>
        <v>-3977</v>
      </c>
      <c r="J2040" s="6">
        <f>IF(Main[[#This Row],[مقدار (کیلوگرم)]]&gt;0,Main[[#This Row],[مقدار (کیلوگرم)]],0)</f>
        <v>0</v>
      </c>
      <c r="K2040" s="6">
        <f>-IF(Main[[#This Row],[مقدار (کیلوگرم)]]&lt;0,Main[[#This Row],[مقدار (کیلوگرم)]],0)</f>
        <v>3977</v>
      </c>
      <c r="L20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0" s="7">
        <f>-IF(AND(Main[[#This Row],[مقدار (کیلوگرم)]]&lt;0,Main[[#This Row],[تاريخ میلادی]]&gt;44276),Main[[#This Row],[مقدار (کیلوگرم)]],0)</f>
        <v>3977</v>
      </c>
      <c r="N2040" s="6">
        <f ca="1">Main[[#This Row],[بدهکار (کیلوگرم)]]-Main[[#This Row],[بدهی تسویه نشده (کیلوگرم)]]</f>
        <v>3977</v>
      </c>
      <c r="O2040" s="6">
        <f ca="1">Main[[#This Row],[تفکیک]]</f>
        <v>0</v>
      </c>
      <c r="P2040" s="6">
        <f ca="1">IF(Main[[#This Row],[تاخیر از سررسید]]&gt;0,Main[[#This Row],[بدهی تسویه نشده (کیلوگرم)]],0)</f>
        <v>0</v>
      </c>
      <c r="Q2040" s="6">
        <f ca="1">IF(Main[[#This Row],[بدهی تسویه نشده (کیلوگرم)]]&gt;0,'گزارش فردی'!$B$7-Main[[#This Row],[تاريخ میلادی]],0)</f>
        <v>0</v>
      </c>
      <c r="R2040" s="6">
        <f ca="1">IF(Main[[#This Row],[بدهی تسویه نشده (کیلوگرم)]]&gt;0,'گزارش فردی'!$B$7-Main[[#This Row],[تاريخ میلادی]]-'گزارش فردی'!$B$8,0)</f>
        <v>0</v>
      </c>
      <c r="S2040" s="6">
        <f ca="1">Main[[#This Row],[روز از ارسال سفارش]]*Main[[#This Row],[بدهی تسویه نشده (کیلوگرم)]]</f>
        <v>0</v>
      </c>
      <c r="T2040" s="6">
        <f ca="1">Main[[#This Row],[بدهی سررسید شده (کیلوگرم)]]*Main[[#This Row],[روز از ارسال سفارش]]</f>
        <v>0</v>
      </c>
      <c r="U2040" s="6">
        <f>-SUBTOTAL(9,INDEX(Main[مقدار (کیلوگرم)],1):Main[[#This Row],[مقدار (کیلوگرم)]])</f>
        <v>39574</v>
      </c>
      <c r="V20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0" s="6">
        <f>Main[[#This Row],[تعداد کل روزهای بدهکار (روز)]]*Main[[#This Row],[مانده در خط کل (کیلوگرم)]]</f>
        <v>39574</v>
      </c>
      <c r="X2040" s="6">
        <f ca="1">-SUBTOTAL(9,INDEX(Main[مقدار تسویه شده (کیلوگرم)],1):Main[[#This Row],[مقدار تسویه شده (کیلوگرم)]])</f>
        <v>39574</v>
      </c>
      <c r="Y2040" s="6">
        <f ca="1">IF(Main[[#This Row],[مانده در خط تسویه شده (کیلوگرم)]]&lt;&gt;0,Main[[#This Row],[تعداد کل روزهای بدهکار (روز)]],0)</f>
        <v>1</v>
      </c>
      <c r="Z2040" s="6">
        <f ca="1">Main[[#This Row],[تعداد روزهای بدهکار تسویه شده (روز)]]*Main[[#This Row],[مانده در خط تسویه شده (کیلوگرم)]]</f>
        <v>39574</v>
      </c>
      <c r="AA2040" s="6">
        <f ca="1">SUBTOTAL(9,INDEX(Main[بدهی تسویه نشده (کیلوگرم)],1):Main[[#This Row],[بدهی تسویه نشده (کیلوگرم)]])</f>
        <v>0</v>
      </c>
      <c r="AB2040" s="6">
        <f ca="1">IF(Main[[#This Row],[مانده در خط تسویه نشده (کیلوگرم)]]&lt;&gt;0,Main[[#This Row],[تعداد کل روزهای بدهکار (روز)]],0)</f>
        <v>0</v>
      </c>
      <c r="AC2040" s="6">
        <f ca="1">Main[[#This Row],[تعداد روزهای بدهکار  تسویه نشده (روز)]]*Main[[#This Row],[مانده در خط تسویه نشده (کیلوگرم)]]</f>
        <v>0</v>
      </c>
      <c r="AD2040" s="6">
        <f ca="1">SUBTOTAL(9,INDEX(Main[بدهی سررسید شده (کیلوگرم)],1):Main[[#This Row],[بدهی سررسید شده (کیلوگرم)]])</f>
        <v>0</v>
      </c>
      <c r="AE2040" s="6">
        <f ca="1">IF(Main[[#This Row],[مانده در خط سررسید شده (کیلوگرم)]]&lt;&gt;0,Main[[#This Row],[تعداد کل روزهای بدهکار (روز)]],0)</f>
        <v>0</v>
      </c>
      <c r="AF2040" s="6">
        <f ca="1">Main[[#This Row],[تعداد روزهای بدهکار سررسید شده (روز)]]*Main[[#This Row],[مانده در خط سررسید شده (کیلوگرم)]]</f>
        <v>0</v>
      </c>
    </row>
    <row r="2041" spans="1:32" hidden="1" x14ac:dyDescent="0.35">
      <c r="A2041" s="5">
        <f>ROW()-ROW(INDEX(Main[ردیف],1))+1</f>
        <v>2039</v>
      </c>
      <c r="B2041" s="31">
        <f>SUBTOTAL(2,INDEX(Main[ردیف],1):Main[[#This Row],[ردیف]])</f>
        <v>182</v>
      </c>
      <c r="C2041" s="32" t="s">
        <v>749</v>
      </c>
      <c r="D2041" s="32" t="str">
        <f>_xlfn.CONCAT("14",Main[[#This Row],[تاريخ]])</f>
        <v>1400/08/12</v>
      </c>
      <c r="E2041" s="33">
        <v>44503</v>
      </c>
      <c r="F2041" s="32">
        <v>10084</v>
      </c>
      <c r="G2041" s="5" t="str">
        <f>INDEX(customer[عنوان],MATCH(Main[[#This Row],[کد ردیابی]],customer[کد],0))</f>
        <v xml:space="preserve">سیدحمید کاظمی </v>
      </c>
      <c r="H2041">
        <v>200</v>
      </c>
      <c r="I2041" s="6">
        <f ca="1">-Main[[#This Row],[بدهی تسویه شده (کیلوگرم)]]+Main[[#This Row],[بستانکار (کیلوگرم)]]</f>
        <v>200</v>
      </c>
      <c r="J2041" s="6">
        <f>IF(Main[[#This Row],[مقدار (کیلوگرم)]]&gt;0,Main[[#This Row],[مقدار (کیلوگرم)]],0)</f>
        <v>200</v>
      </c>
      <c r="K2041" s="6">
        <f>-IF(Main[[#This Row],[مقدار (کیلوگرم)]]&lt;0,Main[[#This Row],[مقدار (کیلوگرم)]],0)</f>
        <v>0</v>
      </c>
      <c r="L20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1" s="7">
        <f>-IF(AND(Main[[#This Row],[مقدار (کیلوگرم)]]&lt;0,Main[[#This Row],[تاريخ میلادی]]&gt;44276),Main[[#This Row],[مقدار (کیلوگرم)]],0)</f>
        <v>0</v>
      </c>
      <c r="N2041" s="6">
        <f ca="1">Main[[#This Row],[بدهکار (کیلوگرم)]]-Main[[#This Row],[بدهی تسویه نشده (کیلوگرم)]]</f>
        <v>0</v>
      </c>
      <c r="O2041" s="6">
        <f ca="1">Main[[#This Row],[تفکیک]]</f>
        <v>0</v>
      </c>
      <c r="P2041" s="6">
        <f ca="1">IF(Main[[#This Row],[تاخیر از سررسید]]&gt;0,Main[[#This Row],[بدهی تسویه نشده (کیلوگرم)]],0)</f>
        <v>0</v>
      </c>
      <c r="Q2041" s="6">
        <f ca="1">IF(Main[[#This Row],[بدهی تسویه نشده (کیلوگرم)]]&gt;0,'گزارش فردی'!$B$7-Main[[#This Row],[تاريخ میلادی]],0)</f>
        <v>0</v>
      </c>
      <c r="R2041" s="6">
        <f ca="1">IF(Main[[#This Row],[بدهی تسویه نشده (کیلوگرم)]]&gt;0,'گزارش فردی'!$B$7-Main[[#This Row],[تاريخ میلادی]]-'گزارش فردی'!$B$8,0)</f>
        <v>0</v>
      </c>
      <c r="S2041" s="6">
        <f ca="1">Main[[#This Row],[روز از ارسال سفارش]]*Main[[#This Row],[بدهی تسویه نشده (کیلوگرم)]]</f>
        <v>0</v>
      </c>
      <c r="T2041" s="6">
        <f ca="1">Main[[#This Row],[بدهی سررسید شده (کیلوگرم)]]*Main[[#This Row],[روز از ارسال سفارش]]</f>
        <v>0</v>
      </c>
      <c r="U2041" s="6">
        <f>-SUBTOTAL(9,INDEX(Main[مقدار (کیلوگرم)],1):Main[[#This Row],[مقدار (کیلوگرم)]])</f>
        <v>39574</v>
      </c>
      <c r="V20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1" s="6">
        <f>Main[[#This Row],[تعداد کل روزهای بدهکار (روز)]]*Main[[#This Row],[مانده در خط کل (کیلوگرم)]]</f>
        <v>39574</v>
      </c>
      <c r="X2041" s="6">
        <f ca="1">-SUBTOTAL(9,INDEX(Main[مقدار تسویه شده (کیلوگرم)],1):Main[[#This Row],[مقدار تسویه شده (کیلوگرم)]])</f>
        <v>39574</v>
      </c>
      <c r="Y2041" s="6">
        <f ca="1">IF(Main[[#This Row],[مانده در خط تسویه شده (کیلوگرم)]]&lt;&gt;0,Main[[#This Row],[تعداد کل روزهای بدهکار (روز)]],0)</f>
        <v>1</v>
      </c>
      <c r="Z2041" s="6">
        <f ca="1">Main[[#This Row],[تعداد روزهای بدهکار تسویه شده (روز)]]*Main[[#This Row],[مانده در خط تسویه شده (کیلوگرم)]]</f>
        <v>39574</v>
      </c>
      <c r="AA2041" s="6">
        <f ca="1">SUBTOTAL(9,INDEX(Main[بدهی تسویه نشده (کیلوگرم)],1):Main[[#This Row],[بدهی تسویه نشده (کیلوگرم)]])</f>
        <v>0</v>
      </c>
      <c r="AB2041" s="6">
        <f ca="1">IF(Main[[#This Row],[مانده در خط تسویه نشده (کیلوگرم)]]&lt;&gt;0,Main[[#This Row],[تعداد کل روزهای بدهکار (روز)]],0)</f>
        <v>0</v>
      </c>
      <c r="AC2041" s="6">
        <f ca="1">Main[[#This Row],[تعداد روزهای بدهکار  تسویه نشده (روز)]]*Main[[#This Row],[مانده در خط تسویه نشده (کیلوگرم)]]</f>
        <v>0</v>
      </c>
      <c r="AD2041" s="6">
        <f ca="1">SUBTOTAL(9,INDEX(Main[بدهی سررسید شده (کیلوگرم)],1):Main[[#This Row],[بدهی سررسید شده (کیلوگرم)]])</f>
        <v>0</v>
      </c>
      <c r="AE2041" s="6">
        <f ca="1">IF(Main[[#This Row],[مانده در خط سررسید شده (کیلوگرم)]]&lt;&gt;0,Main[[#This Row],[تعداد کل روزهای بدهکار (روز)]],0)</f>
        <v>0</v>
      </c>
      <c r="AF2041" s="6">
        <f ca="1">Main[[#This Row],[تعداد روزهای بدهکار سررسید شده (روز)]]*Main[[#This Row],[مانده در خط سررسید شده (کیلوگرم)]]</f>
        <v>0</v>
      </c>
    </row>
    <row r="2042" spans="1:32" hidden="1" x14ac:dyDescent="0.35">
      <c r="A2042" s="5">
        <f>ROW()-ROW(INDEX(Main[ردیف],1))+1</f>
        <v>2040</v>
      </c>
      <c r="B2042" s="31">
        <f>SUBTOTAL(2,INDEX(Main[ردیف],1):Main[[#This Row],[ردیف]])</f>
        <v>182</v>
      </c>
      <c r="C2042" s="32" t="s">
        <v>749</v>
      </c>
      <c r="D2042" s="32" t="str">
        <f>_xlfn.CONCAT("14",Main[[#This Row],[تاريخ]])</f>
        <v>1400/08/12</v>
      </c>
      <c r="E2042" s="33">
        <v>44503</v>
      </c>
      <c r="F2042" s="32">
        <v>10020</v>
      </c>
      <c r="G2042" s="5" t="str">
        <f>INDEX(customer[عنوان],MATCH(Main[[#This Row],[کد ردیابی]],customer[کد],0))</f>
        <v>فرزاد اسماعیل زاده</v>
      </c>
      <c r="H2042">
        <v>-482</v>
      </c>
      <c r="I2042" s="6">
        <f ca="1">-Main[[#This Row],[بدهی تسویه شده (کیلوگرم)]]+Main[[#This Row],[بستانکار (کیلوگرم)]]</f>
        <v>-482</v>
      </c>
      <c r="J2042" s="6">
        <f>IF(Main[[#This Row],[مقدار (کیلوگرم)]]&gt;0,Main[[#This Row],[مقدار (کیلوگرم)]],0)</f>
        <v>0</v>
      </c>
      <c r="K2042" s="6">
        <f>-IF(Main[[#This Row],[مقدار (کیلوگرم)]]&lt;0,Main[[#This Row],[مقدار (کیلوگرم)]],0)</f>
        <v>482</v>
      </c>
      <c r="L20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2" s="7">
        <f>-IF(AND(Main[[#This Row],[مقدار (کیلوگرم)]]&lt;0,Main[[#This Row],[تاريخ میلادی]]&gt;44276),Main[[#This Row],[مقدار (کیلوگرم)]],0)</f>
        <v>482</v>
      </c>
      <c r="N2042" s="6">
        <f ca="1">Main[[#This Row],[بدهکار (کیلوگرم)]]-Main[[#This Row],[بدهی تسویه نشده (کیلوگرم)]]</f>
        <v>482</v>
      </c>
      <c r="O2042" s="6">
        <f ca="1">Main[[#This Row],[تفکیک]]</f>
        <v>0</v>
      </c>
      <c r="P2042" s="6">
        <f ca="1">IF(Main[[#This Row],[تاخیر از سررسید]]&gt;0,Main[[#This Row],[بدهی تسویه نشده (کیلوگرم)]],0)</f>
        <v>0</v>
      </c>
      <c r="Q2042" s="6">
        <f ca="1">IF(Main[[#This Row],[بدهی تسویه نشده (کیلوگرم)]]&gt;0,'گزارش فردی'!$B$7-Main[[#This Row],[تاريخ میلادی]],0)</f>
        <v>0</v>
      </c>
      <c r="R2042" s="6">
        <f ca="1">IF(Main[[#This Row],[بدهی تسویه نشده (کیلوگرم)]]&gt;0,'گزارش فردی'!$B$7-Main[[#This Row],[تاريخ میلادی]]-'گزارش فردی'!$B$8,0)</f>
        <v>0</v>
      </c>
      <c r="S2042" s="6">
        <f ca="1">Main[[#This Row],[روز از ارسال سفارش]]*Main[[#This Row],[بدهی تسویه نشده (کیلوگرم)]]</f>
        <v>0</v>
      </c>
      <c r="T2042" s="6">
        <f ca="1">Main[[#This Row],[بدهی سررسید شده (کیلوگرم)]]*Main[[#This Row],[روز از ارسال سفارش]]</f>
        <v>0</v>
      </c>
      <c r="U2042" s="6">
        <f>-SUBTOTAL(9,INDEX(Main[مقدار (کیلوگرم)],1):Main[[#This Row],[مقدار (کیلوگرم)]])</f>
        <v>39574</v>
      </c>
      <c r="V20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2" s="6">
        <f>Main[[#This Row],[تعداد کل روزهای بدهکار (روز)]]*Main[[#This Row],[مانده در خط کل (کیلوگرم)]]</f>
        <v>39574</v>
      </c>
      <c r="X2042" s="6">
        <f ca="1">-SUBTOTAL(9,INDEX(Main[مقدار تسویه شده (کیلوگرم)],1):Main[[#This Row],[مقدار تسویه شده (کیلوگرم)]])</f>
        <v>39574</v>
      </c>
      <c r="Y2042" s="6">
        <f ca="1">IF(Main[[#This Row],[مانده در خط تسویه شده (کیلوگرم)]]&lt;&gt;0,Main[[#This Row],[تعداد کل روزهای بدهکار (روز)]],0)</f>
        <v>1</v>
      </c>
      <c r="Z2042" s="6">
        <f ca="1">Main[[#This Row],[تعداد روزهای بدهکار تسویه شده (روز)]]*Main[[#This Row],[مانده در خط تسویه شده (کیلوگرم)]]</f>
        <v>39574</v>
      </c>
      <c r="AA2042" s="6">
        <f ca="1">SUBTOTAL(9,INDEX(Main[بدهی تسویه نشده (کیلوگرم)],1):Main[[#This Row],[بدهی تسویه نشده (کیلوگرم)]])</f>
        <v>0</v>
      </c>
      <c r="AB2042" s="6">
        <f ca="1">IF(Main[[#This Row],[مانده در خط تسویه نشده (کیلوگرم)]]&lt;&gt;0,Main[[#This Row],[تعداد کل روزهای بدهکار (روز)]],0)</f>
        <v>0</v>
      </c>
      <c r="AC2042" s="6">
        <f ca="1">Main[[#This Row],[تعداد روزهای بدهکار  تسویه نشده (روز)]]*Main[[#This Row],[مانده در خط تسویه نشده (کیلوگرم)]]</f>
        <v>0</v>
      </c>
      <c r="AD2042" s="6">
        <f ca="1">SUBTOTAL(9,INDEX(Main[بدهی سررسید شده (کیلوگرم)],1):Main[[#This Row],[بدهی سررسید شده (کیلوگرم)]])</f>
        <v>0</v>
      </c>
      <c r="AE2042" s="6">
        <f ca="1">IF(Main[[#This Row],[مانده در خط سررسید شده (کیلوگرم)]]&lt;&gt;0,Main[[#This Row],[تعداد کل روزهای بدهکار (روز)]],0)</f>
        <v>0</v>
      </c>
      <c r="AF2042" s="6">
        <f ca="1">Main[[#This Row],[تعداد روزهای بدهکار سررسید شده (روز)]]*Main[[#This Row],[مانده در خط سررسید شده (کیلوگرم)]]</f>
        <v>0</v>
      </c>
    </row>
    <row r="2043" spans="1:32" hidden="1" x14ac:dyDescent="0.35">
      <c r="A2043" s="5">
        <f>ROW()-ROW(INDEX(Main[ردیف],1))+1</f>
        <v>2041</v>
      </c>
      <c r="B2043" s="31">
        <f>SUBTOTAL(2,INDEX(Main[ردیف],1):Main[[#This Row],[ردیف]])</f>
        <v>182</v>
      </c>
      <c r="C2043" s="32" t="s">
        <v>749</v>
      </c>
      <c r="D2043" s="32" t="str">
        <f>_xlfn.CONCAT("14",Main[[#This Row],[تاريخ]])</f>
        <v>1400/08/12</v>
      </c>
      <c r="E2043" s="33">
        <v>44503</v>
      </c>
      <c r="F2043" s="32">
        <v>30099</v>
      </c>
      <c r="G2043" s="5" t="str">
        <f>INDEX(customer[عنوان],MATCH(Main[[#This Row],[کد ردیابی]],customer[کد],0))</f>
        <v>ایران شرق نیشابور</v>
      </c>
      <c r="H2043">
        <v>2583</v>
      </c>
      <c r="I2043" s="6">
        <f ca="1">-Main[[#This Row],[بدهی تسویه شده (کیلوگرم)]]+Main[[#This Row],[بستانکار (کیلوگرم)]]</f>
        <v>2583</v>
      </c>
      <c r="J2043" s="6">
        <f>IF(Main[[#This Row],[مقدار (کیلوگرم)]]&gt;0,Main[[#This Row],[مقدار (کیلوگرم)]],0)</f>
        <v>2583</v>
      </c>
      <c r="K2043" s="6">
        <f>-IF(Main[[#This Row],[مقدار (کیلوگرم)]]&lt;0,Main[[#This Row],[مقدار (کیلوگرم)]],0)</f>
        <v>0</v>
      </c>
      <c r="L20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3" s="7">
        <f>-IF(AND(Main[[#This Row],[مقدار (کیلوگرم)]]&lt;0,Main[[#This Row],[تاريخ میلادی]]&gt;44276),Main[[#This Row],[مقدار (کیلوگرم)]],0)</f>
        <v>0</v>
      </c>
      <c r="N2043" s="6">
        <f ca="1">Main[[#This Row],[بدهکار (کیلوگرم)]]-Main[[#This Row],[بدهی تسویه نشده (کیلوگرم)]]</f>
        <v>0</v>
      </c>
      <c r="O2043" s="6">
        <f ca="1">Main[[#This Row],[تفکیک]]</f>
        <v>0</v>
      </c>
      <c r="P2043" s="6">
        <f ca="1">IF(Main[[#This Row],[تاخیر از سررسید]]&gt;0,Main[[#This Row],[بدهی تسویه نشده (کیلوگرم)]],0)</f>
        <v>0</v>
      </c>
      <c r="Q2043" s="6">
        <f ca="1">IF(Main[[#This Row],[بدهی تسویه نشده (کیلوگرم)]]&gt;0,'گزارش فردی'!$B$7-Main[[#This Row],[تاريخ میلادی]],0)</f>
        <v>0</v>
      </c>
      <c r="R2043" s="6">
        <f ca="1">IF(Main[[#This Row],[بدهی تسویه نشده (کیلوگرم)]]&gt;0,'گزارش فردی'!$B$7-Main[[#This Row],[تاريخ میلادی]]-'گزارش فردی'!$B$8,0)</f>
        <v>0</v>
      </c>
      <c r="S2043" s="6">
        <f ca="1">Main[[#This Row],[روز از ارسال سفارش]]*Main[[#This Row],[بدهی تسویه نشده (کیلوگرم)]]</f>
        <v>0</v>
      </c>
      <c r="T2043" s="6">
        <f ca="1">Main[[#This Row],[بدهی سررسید شده (کیلوگرم)]]*Main[[#This Row],[روز از ارسال سفارش]]</f>
        <v>0</v>
      </c>
      <c r="U2043" s="6">
        <f>-SUBTOTAL(9,INDEX(Main[مقدار (کیلوگرم)],1):Main[[#This Row],[مقدار (کیلوگرم)]])</f>
        <v>39574</v>
      </c>
      <c r="V20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3" s="6">
        <f>Main[[#This Row],[تعداد کل روزهای بدهکار (روز)]]*Main[[#This Row],[مانده در خط کل (کیلوگرم)]]</f>
        <v>39574</v>
      </c>
      <c r="X2043" s="6">
        <f ca="1">-SUBTOTAL(9,INDEX(Main[مقدار تسویه شده (کیلوگرم)],1):Main[[#This Row],[مقدار تسویه شده (کیلوگرم)]])</f>
        <v>39574</v>
      </c>
      <c r="Y2043" s="6">
        <f ca="1">IF(Main[[#This Row],[مانده در خط تسویه شده (کیلوگرم)]]&lt;&gt;0,Main[[#This Row],[تعداد کل روزهای بدهکار (روز)]],0)</f>
        <v>1</v>
      </c>
      <c r="Z2043" s="6">
        <f ca="1">Main[[#This Row],[تعداد روزهای بدهکار تسویه شده (روز)]]*Main[[#This Row],[مانده در خط تسویه شده (کیلوگرم)]]</f>
        <v>39574</v>
      </c>
      <c r="AA2043" s="6">
        <f ca="1">SUBTOTAL(9,INDEX(Main[بدهی تسویه نشده (کیلوگرم)],1):Main[[#This Row],[بدهی تسویه نشده (کیلوگرم)]])</f>
        <v>0</v>
      </c>
      <c r="AB2043" s="6">
        <f ca="1">IF(Main[[#This Row],[مانده در خط تسویه نشده (کیلوگرم)]]&lt;&gt;0,Main[[#This Row],[تعداد کل روزهای بدهکار (روز)]],0)</f>
        <v>0</v>
      </c>
      <c r="AC2043" s="6">
        <f ca="1">Main[[#This Row],[تعداد روزهای بدهکار  تسویه نشده (روز)]]*Main[[#This Row],[مانده در خط تسویه نشده (کیلوگرم)]]</f>
        <v>0</v>
      </c>
      <c r="AD2043" s="6">
        <f ca="1">SUBTOTAL(9,INDEX(Main[بدهی سررسید شده (کیلوگرم)],1):Main[[#This Row],[بدهی سررسید شده (کیلوگرم)]])</f>
        <v>0</v>
      </c>
      <c r="AE2043" s="6">
        <f ca="1">IF(Main[[#This Row],[مانده در خط سررسید شده (کیلوگرم)]]&lt;&gt;0,Main[[#This Row],[تعداد کل روزهای بدهکار (روز)]],0)</f>
        <v>0</v>
      </c>
      <c r="AF2043" s="6">
        <f ca="1">Main[[#This Row],[تعداد روزهای بدهکار سررسید شده (روز)]]*Main[[#This Row],[مانده در خط سررسید شده (کیلوگرم)]]</f>
        <v>0</v>
      </c>
    </row>
    <row r="2044" spans="1:32" hidden="1" x14ac:dyDescent="0.35">
      <c r="A2044" s="5">
        <f>ROW()-ROW(INDEX(Main[ردیف],1))+1</f>
        <v>2042</v>
      </c>
      <c r="B2044" s="31">
        <f>SUBTOTAL(2,INDEX(Main[ردیف],1):Main[[#This Row],[ردیف]])</f>
        <v>182</v>
      </c>
      <c r="C2044" s="32" t="s">
        <v>749</v>
      </c>
      <c r="D2044" s="32" t="str">
        <f>_xlfn.CONCAT("14",Main[[#This Row],[تاريخ]])</f>
        <v>1400/08/12</v>
      </c>
      <c r="E2044" s="33">
        <v>44503</v>
      </c>
      <c r="F2044" s="32">
        <v>10026</v>
      </c>
      <c r="G2044" s="5" t="str">
        <f>INDEX(customer[عنوان],MATCH(Main[[#This Row],[کد ردیابی]],customer[کد],0))</f>
        <v xml:space="preserve">محسن فیاض بخش </v>
      </c>
      <c r="H2044">
        <v>-1357</v>
      </c>
      <c r="I2044" s="6">
        <f ca="1">-Main[[#This Row],[بدهی تسویه شده (کیلوگرم)]]+Main[[#This Row],[بستانکار (کیلوگرم)]]</f>
        <v>-1357</v>
      </c>
      <c r="J2044" s="6">
        <f>IF(Main[[#This Row],[مقدار (کیلوگرم)]]&gt;0,Main[[#This Row],[مقدار (کیلوگرم)]],0)</f>
        <v>0</v>
      </c>
      <c r="K2044" s="6">
        <f>-IF(Main[[#This Row],[مقدار (کیلوگرم)]]&lt;0,Main[[#This Row],[مقدار (کیلوگرم)]],0)</f>
        <v>1357</v>
      </c>
      <c r="L20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4" s="7">
        <f>-IF(AND(Main[[#This Row],[مقدار (کیلوگرم)]]&lt;0,Main[[#This Row],[تاريخ میلادی]]&gt;44276),Main[[#This Row],[مقدار (کیلوگرم)]],0)</f>
        <v>1357</v>
      </c>
      <c r="N2044" s="6">
        <f ca="1">Main[[#This Row],[بدهکار (کیلوگرم)]]-Main[[#This Row],[بدهی تسویه نشده (کیلوگرم)]]</f>
        <v>1357</v>
      </c>
      <c r="O2044" s="6">
        <f ca="1">Main[[#This Row],[تفکیک]]</f>
        <v>0</v>
      </c>
      <c r="P2044" s="6">
        <f ca="1">IF(Main[[#This Row],[تاخیر از سررسید]]&gt;0,Main[[#This Row],[بدهی تسویه نشده (کیلوگرم)]],0)</f>
        <v>0</v>
      </c>
      <c r="Q2044" s="6">
        <f ca="1">IF(Main[[#This Row],[بدهی تسویه نشده (کیلوگرم)]]&gt;0,'گزارش فردی'!$B$7-Main[[#This Row],[تاريخ میلادی]],0)</f>
        <v>0</v>
      </c>
      <c r="R2044" s="6">
        <f ca="1">IF(Main[[#This Row],[بدهی تسویه نشده (کیلوگرم)]]&gt;0,'گزارش فردی'!$B$7-Main[[#This Row],[تاريخ میلادی]]-'گزارش فردی'!$B$8,0)</f>
        <v>0</v>
      </c>
      <c r="S2044" s="6">
        <f ca="1">Main[[#This Row],[روز از ارسال سفارش]]*Main[[#This Row],[بدهی تسویه نشده (کیلوگرم)]]</f>
        <v>0</v>
      </c>
      <c r="T2044" s="6">
        <f ca="1">Main[[#This Row],[بدهی سررسید شده (کیلوگرم)]]*Main[[#This Row],[روز از ارسال سفارش]]</f>
        <v>0</v>
      </c>
      <c r="U2044" s="6">
        <f>-SUBTOTAL(9,INDEX(Main[مقدار (کیلوگرم)],1):Main[[#This Row],[مقدار (کیلوگرم)]])</f>
        <v>39574</v>
      </c>
      <c r="V20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4" s="6">
        <f>Main[[#This Row],[تعداد کل روزهای بدهکار (روز)]]*Main[[#This Row],[مانده در خط کل (کیلوگرم)]]</f>
        <v>39574</v>
      </c>
      <c r="X2044" s="6">
        <f ca="1">-SUBTOTAL(9,INDEX(Main[مقدار تسویه شده (کیلوگرم)],1):Main[[#This Row],[مقدار تسویه شده (کیلوگرم)]])</f>
        <v>39574</v>
      </c>
      <c r="Y2044" s="6">
        <f ca="1">IF(Main[[#This Row],[مانده در خط تسویه شده (کیلوگرم)]]&lt;&gt;0,Main[[#This Row],[تعداد کل روزهای بدهکار (روز)]],0)</f>
        <v>1</v>
      </c>
      <c r="Z2044" s="6">
        <f ca="1">Main[[#This Row],[تعداد روزهای بدهکار تسویه شده (روز)]]*Main[[#This Row],[مانده در خط تسویه شده (کیلوگرم)]]</f>
        <v>39574</v>
      </c>
      <c r="AA2044" s="6">
        <f ca="1">SUBTOTAL(9,INDEX(Main[بدهی تسویه نشده (کیلوگرم)],1):Main[[#This Row],[بدهی تسویه نشده (کیلوگرم)]])</f>
        <v>0</v>
      </c>
      <c r="AB2044" s="6">
        <f ca="1">IF(Main[[#This Row],[مانده در خط تسویه نشده (کیلوگرم)]]&lt;&gt;0,Main[[#This Row],[تعداد کل روزهای بدهکار (روز)]],0)</f>
        <v>0</v>
      </c>
      <c r="AC2044" s="6">
        <f ca="1">Main[[#This Row],[تعداد روزهای بدهکار  تسویه نشده (روز)]]*Main[[#This Row],[مانده در خط تسویه نشده (کیلوگرم)]]</f>
        <v>0</v>
      </c>
      <c r="AD2044" s="6">
        <f ca="1">SUBTOTAL(9,INDEX(Main[بدهی سررسید شده (کیلوگرم)],1):Main[[#This Row],[بدهی سررسید شده (کیلوگرم)]])</f>
        <v>0</v>
      </c>
      <c r="AE2044" s="6">
        <f ca="1">IF(Main[[#This Row],[مانده در خط سررسید شده (کیلوگرم)]]&lt;&gt;0,Main[[#This Row],[تعداد کل روزهای بدهکار (روز)]],0)</f>
        <v>0</v>
      </c>
      <c r="AF2044" s="6">
        <f ca="1">Main[[#This Row],[تعداد روزهای بدهکار سررسید شده (روز)]]*Main[[#This Row],[مانده در خط سررسید شده (کیلوگرم)]]</f>
        <v>0</v>
      </c>
    </row>
    <row r="2045" spans="1:32" hidden="1" x14ac:dyDescent="0.35">
      <c r="A2045" s="5">
        <f>ROW()-ROW(INDEX(Main[ردیف],1))+1</f>
        <v>2043</v>
      </c>
      <c r="B2045" s="31">
        <f>SUBTOTAL(2,INDEX(Main[ردیف],1):Main[[#This Row],[ردیف]])</f>
        <v>182</v>
      </c>
      <c r="C2045" s="32" t="s">
        <v>750</v>
      </c>
      <c r="D2045" s="32" t="str">
        <f>_xlfn.CONCAT("14",Main[[#This Row],[تاريخ]])</f>
        <v>1400/08/13</v>
      </c>
      <c r="E2045" s="33">
        <v>44504</v>
      </c>
      <c r="F2045" s="32">
        <v>30009</v>
      </c>
      <c r="G2045" s="5" t="str">
        <f>INDEX(customer[عنوان],MATCH(Main[[#This Row],[کد ردیابی]],customer[کد],0))</f>
        <v>شرکت ایمن تک پیشرو</v>
      </c>
      <c r="H2045">
        <v>1494</v>
      </c>
      <c r="I2045" s="6">
        <f ca="1">-Main[[#This Row],[بدهی تسویه شده (کیلوگرم)]]+Main[[#This Row],[بستانکار (کیلوگرم)]]</f>
        <v>1494</v>
      </c>
      <c r="J2045" s="6">
        <f>IF(Main[[#This Row],[مقدار (کیلوگرم)]]&gt;0,Main[[#This Row],[مقدار (کیلوگرم)]],0)</f>
        <v>1494</v>
      </c>
      <c r="K2045" s="6">
        <f>-IF(Main[[#This Row],[مقدار (کیلوگرم)]]&lt;0,Main[[#This Row],[مقدار (کیلوگرم)]],0)</f>
        <v>0</v>
      </c>
      <c r="L20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5" s="7">
        <f>-IF(AND(Main[[#This Row],[مقدار (کیلوگرم)]]&lt;0,Main[[#This Row],[تاريخ میلادی]]&gt;44276),Main[[#This Row],[مقدار (کیلوگرم)]],0)</f>
        <v>0</v>
      </c>
      <c r="N2045" s="6">
        <f ca="1">Main[[#This Row],[بدهکار (کیلوگرم)]]-Main[[#This Row],[بدهی تسویه نشده (کیلوگرم)]]</f>
        <v>0</v>
      </c>
      <c r="O2045" s="6">
        <f ca="1">Main[[#This Row],[تفکیک]]</f>
        <v>0</v>
      </c>
      <c r="P2045" s="6">
        <f ca="1">IF(Main[[#This Row],[تاخیر از سررسید]]&gt;0,Main[[#This Row],[بدهی تسویه نشده (کیلوگرم)]],0)</f>
        <v>0</v>
      </c>
      <c r="Q2045" s="6">
        <f ca="1">IF(Main[[#This Row],[بدهی تسویه نشده (کیلوگرم)]]&gt;0,'گزارش فردی'!$B$7-Main[[#This Row],[تاريخ میلادی]],0)</f>
        <v>0</v>
      </c>
      <c r="R2045" s="6">
        <f ca="1">IF(Main[[#This Row],[بدهی تسویه نشده (کیلوگرم)]]&gt;0,'گزارش فردی'!$B$7-Main[[#This Row],[تاريخ میلادی]]-'گزارش فردی'!$B$8,0)</f>
        <v>0</v>
      </c>
      <c r="S2045" s="6">
        <f ca="1">Main[[#This Row],[روز از ارسال سفارش]]*Main[[#This Row],[بدهی تسویه نشده (کیلوگرم)]]</f>
        <v>0</v>
      </c>
      <c r="T2045" s="6">
        <f ca="1">Main[[#This Row],[بدهی سررسید شده (کیلوگرم)]]*Main[[#This Row],[روز از ارسال سفارش]]</f>
        <v>0</v>
      </c>
      <c r="U2045" s="6">
        <f>-SUBTOTAL(9,INDEX(Main[مقدار (کیلوگرم)],1):Main[[#This Row],[مقدار (کیلوگرم)]])</f>
        <v>39574</v>
      </c>
      <c r="V20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5" s="6">
        <f>Main[[#This Row],[تعداد کل روزهای بدهکار (روز)]]*Main[[#This Row],[مانده در خط کل (کیلوگرم)]]</f>
        <v>0</v>
      </c>
      <c r="X2045" s="6">
        <f ca="1">-SUBTOTAL(9,INDEX(Main[مقدار تسویه شده (کیلوگرم)],1):Main[[#This Row],[مقدار تسویه شده (کیلوگرم)]])</f>
        <v>39574</v>
      </c>
      <c r="Y2045" s="6">
        <f ca="1">IF(Main[[#This Row],[مانده در خط تسویه شده (کیلوگرم)]]&lt;&gt;0,Main[[#This Row],[تعداد کل روزهای بدهکار (روز)]],0)</f>
        <v>0</v>
      </c>
      <c r="Z2045" s="6">
        <f ca="1">Main[[#This Row],[تعداد روزهای بدهکار تسویه شده (روز)]]*Main[[#This Row],[مانده در خط تسویه شده (کیلوگرم)]]</f>
        <v>0</v>
      </c>
      <c r="AA2045" s="6">
        <f ca="1">SUBTOTAL(9,INDEX(Main[بدهی تسویه نشده (کیلوگرم)],1):Main[[#This Row],[بدهی تسویه نشده (کیلوگرم)]])</f>
        <v>0</v>
      </c>
      <c r="AB2045" s="6">
        <f ca="1">IF(Main[[#This Row],[مانده در خط تسویه نشده (کیلوگرم)]]&lt;&gt;0,Main[[#This Row],[تعداد کل روزهای بدهکار (روز)]],0)</f>
        <v>0</v>
      </c>
      <c r="AC2045" s="6">
        <f ca="1">Main[[#This Row],[تعداد روزهای بدهکار  تسویه نشده (روز)]]*Main[[#This Row],[مانده در خط تسویه نشده (کیلوگرم)]]</f>
        <v>0</v>
      </c>
      <c r="AD2045" s="6">
        <f ca="1">SUBTOTAL(9,INDEX(Main[بدهی سررسید شده (کیلوگرم)],1):Main[[#This Row],[بدهی سررسید شده (کیلوگرم)]])</f>
        <v>0</v>
      </c>
      <c r="AE2045" s="6">
        <f ca="1">IF(Main[[#This Row],[مانده در خط سررسید شده (کیلوگرم)]]&lt;&gt;0,Main[[#This Row],[تعداد کل روزهای بدهکار (روز)]],0)</f>
        <v>0</v>
      </c>
      <c r="AF2045" s="6">
        <f ca="1">Main[[#This Row],[تعداد روزهای بدهکار سررسید شده (روز)]]*Main[[#This Row],[مانده در خط سررسید شده (کیلوگرم)]]</f>
        <v>0</v>
      </c>
    </row>
    <row r="2046" spans="1:32" hidden="1" x14ac:dyDescent="0.35">
      <c r="A2046" s="5">
        <f>ROW()-ROW(INDEX(Main[ردیف],1))+1</f>
        <v>2044</v>
      </c>
      <c r="B2046" s="31">
        <f>SUBTOTAL(2,INDEX(Main[ردیف],1):Main[[#This Row],[ردیف]])</f>
        <v>182</v>
      </c>
      <c r="C2046" s="32" t="s">
        <v>750</v>
      </c>
      <c r="D2046" s="32" t="str">
        <f>_xlfn.CONCAT("14",Main[[#This Row],[تاريخ]])</f>
        <v>1400/08/13</v>
      </c>
      <c r="E2046" s="33">
        <v>44504</v>
      </c>
      <c r="F2046" s="32">
        <v>30058</v>
      </c>
      <c r="G2046" s="5" t="str">
        <f>INDEX(customer[عنوان],MATCH(Main[[#This Row],[کد ردیابی]],customer[کد],0))</f>
        <v xml:space="preserve">پارس شیر </v>
      </c>
      <c r="H2046">
        <v>-1490</v>
      </c>
      <c r="I2046" s="6">
        <f ca="1">-Main[[#This Row],[بدهی تسویه شده (کیلوگرم)]]+Main[[#This Row],[بستانکار (کیلوگرم)]]</f>
        <v>-1490</v>
      </c>
      <c r="J2046" s="6">
        <f>IF(Main[[#This Row],[مقدار (کیلوگرم)]]&gt;0,Main[[#This Row],[مقدار (کیلوگرم)]],0)</f>
        <v>0</v>
      </c>
      <c r="K2046" s="6">
        <f>-IF(Main[[#This Row],[مقدار (کیلوگرم)]]&lt;0,Main[[#This Row],[مقدار (کیلوگرم)]],0)</f>
        <v>1490</v>
      </c>
      <c r="L20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6" s="7">
        <f>-IF(AND(Main[[#This Row],[مقدار (کیلوگرم)]]&lt;0,Main[[#This Row],[تاريخ میلادی]]&gt;44276),Main[[#This Row],[مقدار (کیلوگرم)]],0)</f>
        <v>1490</v>
      </c>
      <c r="N2046" s="6">
        <f ca="1">Main[[#This Row],[بدهکار (کیلوگرم)]]-Main[[#This Row],[بدهی تسویه نشده (کیلوگرم)]]</f>
        <v>1490</v>
      </c>
      <c r="O2046" s="6">
        <f ca="1">Main[[#This Row],[تفکیک]]</f>
        <v>0</v>
      </c>
      <c r="P2046" s="6">
        <f ca="1">IF(Main[[#This Row],[تاخیر از سررسید]]&gt;0,Main[[#This Row],[بدهی تسویه نشده (کیلوگرم)]],0)</f>
        <v>0</v>
      </c>
      <c r="Q2046" s="6">
        <f ca="1">IF(Main[[#This Row],[بدهی تسویه نشده (کیلوگرم)]]&gt;0,'گزارش فردی'!$B$7-Main[[#This Row],[تاريخ میلادی]],0)</f>
        <v>0</v>
      </c>
      <c r="R2046" s="6">
        <f ca="1">IF(Main[[#This Row],[بدهی تسویه نشده (کیلوگرم)]]&gt;0,'گزارش فردی'!$B$7-Main[[#This Row],[تاريخ میلادی]]-'گزارش فردی'!$B$8,0)</f>
        <v>0</v>
      </c>
      <c r="S2046" s="6">
        <f ca="1">Main[[#This Row],[روز از ارسال سفارش]]*Main[[#This Row],[بدهی تسویه نشده (کیلوگرم)]]</f>
        <v>0</v>
      </c>
      <c r="T2046" s="6">
        <f ca="1">Main[[#This Row],[بدهی سررسید شده (کیلوگرم)]]*Main[[#This Row],[روز از ارسال سفارش]]</f>
        <v>0</v>
      </c>
      <c r="U2046" s="6">
        <f>-SUBTOTAL(9,INDEX(Main[مقدار (کیلوگرم)],1):Main[[#This Row],[مقدار (کیلوگرم)]])</f>
        <v>39574</v>
      </c>
      <c r="V20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6" s="6">
        <f>Main[[#This Row],[تعداد کل روزهای بدهکار (روز)]]*Main[[#This Row],[مانده در خط کل (کیلوگرم)]]</f>
        <v>0</v>
      </c>
      <c r="X2046" s="6">
        <f ca="1">-SUBTOTAL(9,INDEX(Main[مقدار تسویه شده (کیلوگرم)],1):Main[[#This Row],[مقدار تسویه شده (کیلوگرم)]])</f>
        <v>39574</v>
      </c>
      <c r="Y2046" s="6">
        <f ca="1">IF(Main[[#This Row],[مانده در خط تسویه شده (کیلوگرم)]]&lt;&gt;0,Main[[#This Row],[تعداد کل روزهای بدهکار (روز)]],0)</f>
        <v>0</v>
      </c>
      <c r="Z2046" s="6">
        <f ca="1">Main[[#This Row],[تعداد روزهای بدهکار تسویه شده (روز)]]*Main[[#This Row],[مانده در خط تسویه شده (کیلوگرم)]]</f>
        <v>0</v>
      </c>
      <c r="AA2046" s="6">
        <f ca="1">SUBTOTAL(9,INDEX(Main[بدهی تسویه نشده (کیلوگرم)],1):Main[[#This Row],[بدهی تسویه نشده (کیلوگرم)]])</f>
        <v>0</v>
      </c>
      <c r="AB2046" s="6">
        <f ca="1">IF(Main[[#This Row],[مانده در خط تسویه نشده (کیلوگرم)]]&lt;&gt;0,Main[[#This Row],[تعداد کل روزهای بدهکار (روز)]],0)</f>
        <v>0</v>
      </c>
      <c r="AC2046" s="6">
        <f ca="1">Main[[#This Row],[تعداد روزهای بدهکار  تسویه نشده (روز)]]*Main[[#This Row],[مانده در خط تسویه نشده (کیلوگرم)]]</f>
        <v>0</v>
      </c>
      <c r="AD2046" s="6">
        <f ca="1">SUBTOTAL(9,INDEX(Main[بدهی سررسید شده (کیلوگرم)],1):Main[[#This Row],[بدهی سررسید شده (کیلوگرم)]])</f>
        <v>0</v>
      </c>
      <c r="AE2046" s="6">
        <f ca="1">IF(Main[[#This Row],[مانده در خط سررسید شده (کیلوگرم)]]&lt;&gt;0,Main[[#This Row],[تعداد کل روزهای بدهکار (روز)]],0)</f>
        <v>0</v>
      </c>
      <c r="AF2046" s="6">
        <f ca="1">Main[[#This Row],[تعداد روزهای بدهکار سررسید شده (روز)]]*Main[[#This Row],[مانده در خط سررسید شده (کیلوگرم)]]</f>
        <v>0</v>
      </c>
    </row>
    <row r="2047" spans="1:32" hidden="1" x14ac:dyDescent="0.35">
      <c r="A2047" s="5">
        <f>ROW()-ROW(INDEX(Main[ردیف],1))+1</f>
        <v>2045</v>
      </c>
      <c r="B2047" s="31">
        <f>SUBTOTAL(2,INDEX(Main[ردیف],1):Main[[#This Row],[ردیف]])</f>
        <v>182</v>
      </c>
      <c r="C2047" s="32" t="s">
        <v>750</v>
      </c>
      <c r="D2047" s="32" t="str">
        <f>_xlfn.CONCAT("14",Main[[#This Row],[تاريخ]])</f>
        <v>1400/08/13</v>
      </c>
      <c r="E2047" s="33">
        <v>44504</v>
      </c>
      <c r="F2047" s="32">
        <v>30009</v>
      </c>
      <c r="G2047" s="5" t="str">
        <f>INDEX(customer[عنوان],MATCH(Main[[#This Row],[کد ردیابی]],customer[کد],0))</f>
        <v>شرکت ایمن تک پیشرو</v>
      </c>
      <c r="H2047">
        <v>-1274</v>
      </c>
      <c r="I2047" s="6">
        <f ca="1">-Main[[#This Row],[بدهی تسویه شده (کیلوگرم)]]+Main[[#This Row],[بستانکار (کیلوگرم)]]</f>
        <v>-1274</v>
      </c>
      <c r="J2047" s="6">
        <f>IF(Main[[#This Row],[مقدار (کیلوگرم)]]&gt;0,Main[[#This Row],[مقدار (کیلوگرم)]],0)</f>
        <v>0</v>
      </c>
      <c r="K2047" s="6">
        <f>-IF(Main[[#This Row],[مقدار (کیلوگرم)]]&lt;0,Main[[#This Row],[مقدار (کیلوگرم)]],0)</f>
        <v>1274</v>
      </c>
      <c r="L20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7" s="7">
        <f>-IF(AND(Main[[#This Row],[مقدار (کیلوگرم)]]&lt;0,Main[[#This Row],[تاريخ میلادی]]&gt;44276),Main[[#This Row],[مقدار (کیلوگرم)]],0)</f>
        <v>1274</v>
      </c>
      <c r="N2047" s="6">
        <f ca="1">Main[[#This Row],[بدهکار (کیلوگرم)]]-Main[[#This Row],[بدهی تسویه نشده (کیلوگرم)]]</f>
        <v>1274</v>
      </c>
      <c r="O2047" s="6">
        <f ca="1">Main[[#This Row],[تفکیک]]</f>
        <v>0</v>
      </c>
      <c r="P2047" s="6">
        <f ca="1">IF(Main[[#This Row],[تاخیر از سررسید]]&gt;0,Main[[#This Row],[بدهی تسویه نشده (کیلوگرم)]],0)</f>
        <v>0</v>
      </c>
      <c r="Q2047" s="6">
        <f ca="1">IF(Main[[#This Row],[بدهی تسویه نشده (کیلوگرم)]]&gt;0,'گزارش فردی'!$B$7-Main[[#This Row],[تاريخ میلادی]],0)</f>
        <v>0</v>
      </c>
      <c r="R2047" s="6">
        <f ca="1">IF(Main[[#This Row],[بدهی تسویه نشده (کیلوگرم)]]&gt;0,'گزارش فردی'!$B$7-Main[[#This Row],[تاريخ میلادی]]-'گزارش فردی'!$B$8,0)</f>
        <v>0</v>
      </c>
      <c r="S2047" s="6">
        <f ca="1">Main[[#This Row],[روز از ارسال سفارش]]*Main[[#This Row],[بدهی تسویه نشده (کیلوگرم)]]</f>
        <v>0</v>
      </c>
      <c r="T2047" s="6">
        <f ca="1">Main[[#This Row],[بدهی سررسید شده (کیلوگرم)]]*Main[[#This Row],[روز از ارسال سفارش]]</f>
        <v>0</v>
      </c>
      <c r="U2047" s="6">
        <f>-SUBTOTAL(9,INDEX(Main[مقدار (کیلوگرم)],1):Main[[#This Row],[مقدار (کیلوگرم)]])</f>
        <v>39574</v>
      </c>
      <c r="V20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7" s="6">
        <f>Main[[#This Row],[تعداد کل روزهای بدهکار (روز)]]*Main[[#This Row],[مانده در خط کل (کیلوگرم)]]</f>
        <v>0</v>
      </c>
      <c r="X2047" s="6">
        <f ca="1">-SUBTOTAL(9,INDEX(Main[مقدار تسویه شده (کیلوگرم)],1):Main[[#This Row],[مقدار تسویه شده (کیلوگرم)]])</f>
        <v>39574</v>
      </c>
      <c r="Y2047" s="6">
        <f ca="1">IF(Main[[#This Row],[مانده در خط تسویه شده (کیلوگرم)]]&lt;&gt;0,Main[[#This Row],[تعداد کل روزهای بدهکار (روز)]],0)</f>
        <v>0</v>
      </c>
      <c r="Z2047" s="6">
        <f ca="1">Main[[#This Row],[تعداد روزهای بدهکار تسویه شده (روز)]]*Main[[#This Row],[مانده در خط تسویه شده (کیلوگرم)]]</f>
        <v>0</v>
      </c>
      <c r="AA2047" s="6">
        <f ca="1">SUBTOTAL(9,INDEX(Main[بدهی تسویه نشده (کیلوگرم)],1):Main[[#This Row],[بدهی تسویه نشده (کیلوگرم)]])</f>
        <v>0</v>
      </c>
      <c r="AB2047" s="6">
        <f ca="1">IF(Main[[#This Row],[مانده در خط تسویه نشده (کیلوگرم)]]&lt;&gt;0,Main[[#This Row],[تعداد کل روزهای بدهکار (روز)]],0)</f>
        <v>0</v>
      </c>
      <c r="AC2047" s="6">
        <f ca="1">Main[[#This Row],[تعداد روزهای بدهکار  تسویه نشده (روز)]]*Main[[#This Row],[مانده در خط تسویه نشده (کیلوگرم)]]</f>
        <v>0</v>
      </c>
      <c r="AD2047" s="6">
        <f ca="1">SUBTOTAL(9,INDEX(Main[بدهی سررسید شده (کیلوگرم)],1):Main[[#This Row],[بدهی سررسید شده (کیلوگرم)]])</f>
        <v>0</v>
      </c>
      <c r="AE2047" s="6">
        <f ca="1">IF(Main[[#This Row],[مانده در خط سررسید شده (کیلوگرم)]]&lt;&gt;0,Main[[#This Row],[تعداد کل روزهای بدهکار (روز)]],0)</f>
        <v>0</v>
      </c>
      <c r="AF2047" s="6">
        <f ca="1">Main[[#This Row],[تعداد روزهای بدهکار سررسید شده (روز)]]*Main[[#This Row],[مانده در خط سررسید شده (کیلوگرم)]]</f>
        <v>0</v>
      </c>
    </row>
    <row r="2048" spans="1:32" x14ac:dyDescent="0.35">
      <c r="A2048" s="5">
        <f>ROW()-ROW(INDEX(Main[ردیف],1))+1</f>
        <v>2046</v>
      </c>
      <c r="B2048" s="31">
        <f>SUBTOTAL(2,INDEX(Main[ردیف],1):Main[[#This Row],[ردیف]])</f>
        <v>183</v>
      </c>
      <c r="C2048" s="32" t="s">
        <v>750</v>
      </c>
      <c r="D2048" s="32" t="str">
        <f>_xlfn.CONCAT("14",Main[[#This Row],[تاريخ]])</f>
        <v>1400/08/13</v>
      </c>
      <c r="E2048" s="33">
        <v>44504</v>
      </c>
      <c r="F2048" s="32">
        <v>10003</v>
      </c>
      <c r="G2048" s="5" t="str">
        <f>INDEX(customer[عنوان],MATCH(Main[[#This Row],[کد ردیابی]],customer[کد],0))</f>
        <v>اصغر نورعلی</v>
      </c>
      <c r="H2048">
        <v>-1689</v>
      </c>
      <c r="I2048" s="6">
        <f ca="1">-Main[[#This Row],[بدهی تسویه شده (کیلوگرم)]]+Main[[#This Row],[بستانکار (کیلوگرم)]]</f>
        <v>-1689</v>
      </c>
      <c r="J2048" s="6">
        <f>IF(Main[[#This Row],[مقدار (کیلوگرم)]]&gt;0,Main[[#This Row],[مقدار (کیلوگرم)]],0)</f>
        <v>0</v>
      </c>
      <c r="K2048" s="6">
        <f>-IF(Main[[#This Row],[مقدار (کیلوگرم)]]&lt;0,Main[[#This Row],[مقدار (کیلوگرم)]],0)</f>
        <v>1689</v>
      </c>
      <c r="L20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8" s="7">
        <f>-IF(AND(Main[[#This Row],[مقدار (کیلوگرم)]]&lt;0,Main[[#This Row],[تاريخ میلادی]]&gt;44276),Main[[#This Row],[مقدار (کیلوگرم)]],0)</f>
        <v>1689</v>
      </c>
      <c r="N2048" s="6">
        <f ca="1">Main[[#This Row],[بدهکار (کیلوگرم)]]-Main[[#This Row],[بدهی تسویه نشده (کیلوگرم)]]</f>
        <v>1689</v>
      </c>
      <c r="O2048" s="6">
        <f ca="1">Main[[#This Row],[تفکیک]]</f>
        <v>0</v>
      </c>
      <c r="P2048" s="6">
        <f ca="1">IF(Main[[#This Row],[تاخیر از سررسید]]&gt;0,Main[[#This Row],[بدهی تسویه نشده (کیلوگرم)]],0)</f>
        <v>0</v>
      </c>
      <c r="Q2048" s="6">
        <f ca="1">IF(Main[[#This Row],[بدهی تسویه نشده (کیلوگرم)]]&gt;0,'گزارش فردی'!$B$7-Main[[#This Row],[تاريخ میلادی]],0)</f>
        <v>0</v>
      </c>
      <c r="R2048" s="6">
        <f ca="1">IF(Main[[#This Row],[بدهی تسویه نشده (کیلوگرم)]]&gt;0,'گزارش فردی'!$B$7-Main[[#This Row],[تاريخ میلادی]]-'گزارش فردی'!$B$8,0)</f>
        <v>0</v>
      </c>
      <c r="S2048" s="6">
        <f ca="1">Main[[#This Row],[روز از ارسال سفارش]]*Main[[#This Row],[بدهی تسویه نشده (کیلوگرم)]]</f>
        <v>0</v>
      </c>
      <c r="T2048" s="6">
        <f ca="1">Main[[#This Row],[بدهی سررسید شده (کیلوگرم)]]*Main[[#This Row],[روز از ارسال سفارش]]</f>
        <v>0</v>
      </c>
      <c r="U2048" s="6">
        <f>-SUBTOTAL(9,INDEX(Main[مقدار (کیلوگرم)],1):Main[[#This Row],[مقدار (کیلوگرم)]])</f>
        <v>41263</v>
      </c>
      <c r="V20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48" s="6">
        <f>Main[[#This Row],[تعداد کل روزهای بدهکار (روز)]]*Main[[#This Row],[مانده در خط کل (کیلوگرم)]]</f>
        <v>82526</v>
      </c>
      <c r="X2048" s="6">
        <f ca="1">-SUBTOTAL(9,INDEX(Main[مقدار تسویه شده (کیلوگرم)],1):Main[[#This Row],[مقدار تسویه شده (کیلوگرم)]])</f>
        <v>41263</v>
      </c>
      <c r="Y2048" s="6">
        <f ca="1">IF(Main[[#This Row],[مانده در خط تسویه شده (کیلوگرم)]]&lt;&gt;0,Main[[#This Row],[تعداد کل روزهای بدهکار (روز)]],0)</f>
        <v>2</v>
      </c>
      <c r="Z2048" s="6">
        <f ca="1">Main[[#This Row],[تعداد روزهای بدهکار تسویه شده (روز)]]*Main[[#This Row],[مانده در خط تسویه شده (کیلوگرم)]]</f>
        <v>82526</v>
      </c>
      <c r="AA2048" s="6">
        <f ca="1">SUBTOTAL(9,INDEX(Main[بدهی تسویه نشده (کیلوگرم)],1):Main[[#This Row],[بدهی تسویه نشده (کیلوگرم)]])</f>
        <v>0</v>
      </c>
      <c r="AB2048" s="6">
        <f ca="1">IF(Main[[#This Row],[مانده در خط تسویه نشده (کیلوگرم)]]&lt;&gt;0,Main[[#This Row],[تعداد کل روزهای بدهکار (روز)]],0)</f>
        <v>0</v>
      </c>
      <c r="AC2048" s="6">
        <f ca="1">Main[[#This Row],[تعداد روزهای بدهکار  تسویه نشده (روز)]]*Main[[#This Row],[مانده در خط تسویه نشده (کیلوگرم)]]</f>
        <v>0</v>
      </c>
      <c r="AD2048" s="6">
        <f ca="1">SUBTOTAL(9,INDEX(Main[بدهی سررسید شده (کیلوگرم)],1):Main[[#This Row],[بدهی سررسید شده (کیلوگرم)]])</f>
        <v>0</v>
      </c>
      <c r="AE2048" s="6">
        <f ca="1">IF(Main[[#This Row],[مانده در خط سررسید شده (کیلوگرم)]]&lt;&gt;0,Main[[#This Row],[تعداد کل روزهای بدهکار (روز)]],0)</f>
        <v>0</v>
      </c>
      <c r="AF2048" s="6">
        <f ca="1">Main[[#This Row],[تعداد روزهای بدهکار سررسید شده (روز)]]*Main[[#This Row],[مانده در خط سررسید شده (کیلوگرم)]]</f>
        <v>0</v>
      </c>
    </row>
    <row r="2049" spans="1:32" hidden="1" x14ac:dyDescent="0.35">
      <c r="A2049" s="5">
        <f>ROW()-ROW(INDEX(Main[ردیف],1))+1</f>
        <v>2047</v>
      </c>
      <c r="B2049" s="31">
        <f>SUBTOTAL(2,INDEX(Main[ردیف],1):Main[[#This Row],[ردیف]])</f>
        <v>183</v>
      </c>
      <c r="C2049" s="32" t="s">
        <v>751</v>
      </c>
      <c r="D2049" s="32" t="str">
        <f>_xlfn.CONCAT("14",Main[[#This Row],[تاريخ]])</f>
        <v>1400/08/15</v>
      </c>
      <c r="E2049" s="33">
        <v>44506</v>
      </c>
      <c r="F2049" s="32">
        <v>30146</v>
      </c>
      <c r="G2049" s="5" t="str">
        <f>INDEX(customer[عنوان],MATCH(Main[[#This Row],[کد ردیابی]],customer[کد],0))</f>
        <v>شرکت آذرپاد</v>
      </c>
      <c r="H2049">
        <v>1678</v>
      </c>
      <c r="I2049" s="6">
        <f ca="1">-Main[[#This Row],[بدهی تسویه شده (کیلوگرم)]]+Main[[#This Row],[بستانکار (کیلوگرم)]]</f>
        <v>1678</v>
      </c>
      <c r="J2049" s="6">
        <f>IF(Main[[#This Row],[مقدار (کیلوگرم)]]&gt;0,Main[[#This Row],[مقدار (کیلوگرم)]],0)</f>
        <v>1678</v>
      </c>
      <c r="K2049" s="6">
        <f>-IF(Main[[#This Row],[مقدار (کیلوگرم)]]&lt;0,Main[[#This Row],[مقدار (کیلوگرم)]],0)</f>
        <v>0</v>
      </c>
      <c r="L20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9" s="7">
        <f>-IF(AND(Main[[#This Row],[مقدار (کیلوگرم)]]&lt;0,Main[[#This Row],[تاريخ میلادی]]&gt;44276),Main[[#This Row],[مقدار (کیلوگرم)]],0)</f>
        <v>0</v>
      </c>
      <c r="N2049" s="6">
        <f ca="1">Main[[#This Row],[بدهکار (کیلوگرم)]]-Main[[#This Row],[بدهی تسویه نشده (کیلوگرم)]]</f>
        <v>0</v>
      </c>
      <c r="O2049" s="6">
        <f ca="1">Main[[#This Row],[تفکیک]]</f>
        <v>0</v>
      </c>
      <c r="P2049" s="6">
        <f ca="1">IF(Main[[#This Row],[تاخیر از سررسید]]&gt;0,Main[[#This Row],[بدهی تسویه نشده (کیلوگرم)]],0)</f>
        <v>0</v>
      </c>
      <c r="Q2049" s="6">
        <f ca="1">IF(Main[[#This Row],[بدهی تسویه نشده (کیلوگرم)]]&gt;0,'گزارش فردی'!$B$7-Main[[#This Row],[تاريخ میلادی]],0)</f>
        <v>0</v>
      </c>
      <c r="R2049" s="6">
        <f ca="1">IF(Main[[#This Row],[بدهی تسویه نشده (کیلوگرم)]]&gt;0,'گزارش فردی'!$B$7-Main[[#This Row],[تاريخ میلادی]]-'گزارش فردی'!$B$8,0)</f>
        <v>0</v>
      </c>
      <c r="S2049" s="6">
        <f ca="1">Main[[#This Row],[روز از ارسال سفارش]]*Main[[#This Row],[بدهی تسویه نشده (کیلوگرم)]]</f>
        <v>0</v>
      </c>
      <c r="T2049" s="6">
        <f ca="1">Main[[#This Row],[بدهی سررسید شده (کیلوگرم)]]*Main[[#This Row],[روز از ارسال سفارش]]</f>
        <v>0</v>
      </c>
      <c r="U2049" s="6">
        <f>-SUBTOTAL(9,INDEX(Main[مقدار (کیلوگرم)],1):Main[[#This Row],[مقدار (کیلوگرم)]])</f>
        <v>41263</v>
      </c>
      <c r="V20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9" s="6">
        <f>Main[[#This Row],[تعداد کل روزهای بدهکار (روز)]]*Main[[#This Row],[مانده در خط کل (کیلوگرم)]]</f>
        <v>0</v>
      </c>
      <c r="X2049" s="6">
        <f ca="1">-SUBTOTAL(9,INDEX(Main[مقدار تسویه شده (کیلوگرم)],1):Main[[#This Row],[مقدار تسویه شده (کیلوگرم)]])</f>
        <v>41263</v>
      </c>
      <c r="Y2049" s="6">
        <f ca="1">IF(Main[[#This Row],[مانده در خط تسویه شده (کیلوگرم)]]&lt;&gt;0,Main[[#This Row],[تعداد کل روزهای بدهکار (روز)]],0)</f>
        <v>0</v>
      </c>
      <c r="Z2049" s="6">
        <f ca="1">Main[[#This Row],[تعداد روزهای بدهکار تسویه شده (روز)]]*Main[[#This Row],[مانده در خط تسویه شده (کیلوگرم)]]</f>
        <v>0</v>
      </c>
      <c r="AA2049" s="6">
        <f ca="1">SUBTOTAL(9,INDEX(Main[بدهی تسویه نشده (کیلوگرم)],1):Main[[#This Row],[بدهی تسویه نشده (کیلوگرم)]])</f>
        <v>0</v>
      </c>
      <c r="AB2049" s="6">
        <f ca="1">IF(Main[[#This Row],[مانده در خط تسویه نشده (کیلوگرم)]]&lt;&gt;0,Main[[#This Row],[تعداد کل روزهای بدهکار (روز)]],0)</f>
        <v>0</v>
      </c>
      <c r="AC2049" s="6">
        <f ca="1">Main[[#This Row],[تعداد روزهای بدهکار  تسویه نشده (روز)]]*Main[[#This Row],[مانده در خط تسویه نشده (کیلوگرم)]]</f>
        <v>0</v>
      </c>
      <c r="AD2049" s="6">
        <f ca="1">SUBTOTAL(9,INDEX(Main[بدهی سررسید شده (کیلوگرم)],1):Main[[#This Row],[بدهی سررسید شده (کیلوگرم)]])</f>
        <v>0</v>
      </c>
      <c r="AE2049" s="6">
        <f ca="1">IF(Main[[#This Row],[مانده در خط سررسید شده (کیلوگرم)]]&lt;&gt;0,Main[[#This Row],[تعداد کل روزهای بدهکار (روز)]],0)</f>
        <v>0</v>
      </c>
      <c r="AF2049" s="6">
        <f ca="1">Main[[#This Row],[تعداد روزهای بدهکار سررسید شده (روز)]]*Main[[#This Row],[مانده در خط سررسید شده (کیلوگرم)]]</f>
        <v>0</v>
      </c>
    </row>
    <row r="2050" spans="1:32" hidden="1" x14ac:dyDescent="0.35">
      <c r="A2050" s="5">
        <f>ROW()-ROW(INDEX(Main[ردیف],1))+1</f>
        <v>2048</v>
      </c>
      <c r="B2050" s="31">
        <f>SUBTOTAL(2,INDEX(Main[ردیف],1):Main[[#This Row],[ردیف]])</f>
        <v>183</v>
      </c>
      <c r="C2050" s="32" t="s">
        <v>751</v>
      </c>
      <c r="D2050" s="32" t="str">
        <f>_xlfn.CONCAT("14",Main[[#This Row],[تاريخ]])</f>
        <v>1400/08/15</v>
      </c>
      <c r="E2050" s="33">
        <v>44506</v>
      </c>
      <c r="F2050" s="32">
        <v>30004</v>
      </c>
      <c r="G2050" s="5" t="str">
        <f>INDEX(customer[عنوان],MATCH(Main[[#This Row],[کد ردیابی]],customer[کد],0))</f>
        <v>تولیدی صنعتی صفاشیر پارس</v>
      </c>
      <c r="H2050">
        <v>-2971</v>
      </c>
      <c r="I2050" s="6">
        <f ca="1">-Main[[#This Row],[بدهی تسویه شده (کیلوگرم)]]+Main[[#This Row],[بستانکار (کیلوگرم)]]</f>
        <v>-2971</v>
      </c>
      <c r="J2050" s="6">
        <f>IF(Main[[#This Row],[مقدار (کیلوگرم)]]&gt;0,Main[[#This Row],[مقدار (کیلوگرم)]],0)</f>
        <v>0</v>
      </c>
      <c r="K2050" s="6">
        <f>-IF(Main[[#This Row],[مقدار (کیلوگرم)]]&lt;0,Main[[#This Row],[مقدار (کیلوگرم)]],0)</f>
        <v>2971</v>
      </c>
      <c r="L20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0" s="7">
        <f>-IF(AND(Main[[#This Row],[مقدار (کیلوگرم)]]&lt;0,Main[[#This Row],[تاريخ میلادی]]&gt;44276),Main[[#This Row],[مقدار (کیلوگرم)]],0)</f>
        <v>2971</v>
      </c>
      <c r="N2050" s="6">
        <f ca="1">Main[[#This Row],[بدهکار (کیلوگرم)]]-Main[[#This Row],[بدهی تسویه نشده (کیلوگرم)]]</f>
        <v>2971</v>
      </c>
      <c r="O2050" s="6">
        <f ca="1">Main[[#This Row],[تفکیک]]</f>
        <v>0</v>
      </c>
      <c r="P2050" s="6">
        <f ca="1">IF(Main[[#This Row],[تاخیر از سررسید]]&gt;0,Main[[#This Row],[بدهی تسویه نشده (کیلوگرم)]],0)</f>
        <v>0</v>
      </c>
      <c r="Q2050" s="6">
        <f ca="1">IF(Main[[#This Row],[بدهی تسویه نشده (کیلوگرم)]]&gt;0,'گزارش فردی'!$B$7-Main[[#This Row],[تاريخ میلادی]],0)</f>
        <v>0</v>
      </c>
      <c r="R2050" s="6">
        <f ca="1">IF(Main[[#This Row],[بدهی تسویه نشده (کیلوگرم)]]&gt;0,'گزارش فردی'!$B$7-Main[[#This Row],[تاريخ میلادی]]-'گزارش فردی'!$B$8,0)</f>
        <v>0</v>
      </c>
      <c r="S2050" s="6">
        <f ca="1">Main[[#This Row],[روز از ارسال سفارش]]*Main[[#This Row],[بدهی تسویه نشده (کیلوگرم)]]</f>
        <v>0</v>
      </c>
      <c r="T2050" s="6">
        <f ca="1">Main[[#This Row],[بدهی سررسید شده (کیلوگرم)]]*Main[[#This Row],[روز از ارسال سفارش]]</f>
        <v>0</v>
      </c>
      <c r="U2050" s="6">
        <f>-SUBTOTAL(9,INDEX(Main[مقدار (کیلوگرم)],1):Main[[#This Row],[مقدار (کیلوگرم)]])</f>
        <v>41263</v>
      </c>
      <c r="V20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0" s="6">
        <f>Main[[#This Row],[تعداد کل روزهای بدهکار (روز)]]*Main[[#This Row],[مانده در خط کل (کیلوگرم)]]</f>
        <v>0</v>
      </c>
      <c r="X2050" s="6">
        <f ca="1">-SUBTOTAL(9,INDEX(Main[مقدار تسویه شده (کیلوگرم)],1):Main[[#This Row],[مقدار تسویه شده (کیلوگرم)]])</f>
        <v>41263</v>
      </c>
      <c r="Y2050" s="6">
        <f ca="1">IF(Main[[#This Row],[مانده در خط تسویه شده (کیلوگرم)]]&lt;&gt;0,Main[[#This Row],[تعداد کل روزهای بدهکار (روز)]],0)</f>
        <v>0</v>
      </c>
      <c r="Z2050" s="6">
        <f ca="1">Main[[#This Row],[تعداد روزهای بدهکار تسویه شده (روز)]]*Main[[#This Row],[مانده در خط تسویه شده (کیلوگرم)]]</f>
        <v>0</v>
      </c>
      <c r="AA2050" s="6">
        <f ca="1">SUBTOTAL(9,INDEX(Main[بدهی تسویه نشده (کیلوگرم)],1):Main[[#This Row],[بدهی تسویه نشده (کیلوگرم)]])</f>
        <v>0</v>
      </c>
      <c r="AB2050" s="6">
        <f ca="1">IF(Main[[#This Row],[مانده در خط تسویه نشده (کیلوگرم)]]&lt;&gt;0,Main[[#This Row],[تعداد کل روزهای بدهکار (روز)]],0)</f>
        <v>0</v>
      </c>
      <c r="AC2050" s="6">
        <f ca="1">Main[[#This Row],[تعداد روزهای بدهکار  تسویه نشده (روز)]]*Main[[#This Row],[مانده در خط تسویه نشده (کیلوگرم)]]</f>
        <v>0</v>
      </c>
      <c r="AD2050" s="6">
        <f ca="1">SUBTOTAL(9,INDEX(Main[بدهی سررسید شده (کیلوگرم)],1):Main[[#This Row],[بدهی سررسید شده (کیلوگرم)]])</f>
        <v>0</v>
      </c>
      <c r="AE2050" s="6">
        <f ca="1">IF(Main[[#This Row],[مانده در خط سررسید شده (کیلوگرم)]]&lt;&gt;0,Main[[#This Row],[تعداد کل روزهای بدهکار (روز)]],0)</f>
        <v>0</v>
      </c>
      <c r="AF2050" s="6">
        <f ca="1">Main[[#This Row],[تعداد روزهای بدهکار سررسید شده (روز)]]*Main[[#This Row],[مانده در خط سررسید شده (کیلوگرم)]]</f>
        <v>0</v>
      </c>
    </row>
    <row r="2051" spans="1:32" hidden="1" x14ac:dyDescent="0.35">
      <c r="A2051" s="5">
        <f>ROW()-ROW(INDEX(Main[ردیف],1))+1</f>
        <v>2049</v>
      </c>
      <c r="B2051" s="31">
        <f>SUBTOTAL(2,INDEX(Main[ردیف],1):Main[[#This Row],[ردیف]])</f>
        <v>183</v>
      </c>
      <c r="C2051" s="32" t="s">
        <v>751</v>
      </c>
      <c r="D2051" s="32" t="str">
        <f>_xlfn.CONCAT("14",Main[[#This Row],[تاريخ]])</f>
        <v>1400/08/15</v>
      </c>
      <c r="E2051" s="33">
        <v>44506</v>
      </c>
      <c r="F2051" s="32">
        <v>10126</v>
      </c>
      <c r="G2051" s="5" t="str">
        <f>INDEX(customer[عنوان],MATCH(Main[[#This Row],[کد ردیابی]],customer[کد],0))</f>
        <v xml:space="preserve">کریم اسمعیلی </v>
      </c>
      <c r="H2051">
        <v>146</v>
      </c>
      <c r="I2051" s="6">
        <f ca="1">-Main[[#This Row],[بدهی تسویه شده (کیلوگرم)]]+Main[[#This Row],[بستانکار (کیلوگرم)]]</f>
        <v>146</v>
      </c>
      <c r="J2051" s="6">
        <f>IF(Main[[#This Row],[مقدار (کیلوگرم)]]&gt;0,Main[[#This Row],[مقدار (کیلوگرم)]],0)</f>
        <v>146</v>
      </c>
      <c r="K2051" s="6">
        <f>-IF(Main[[#This Row],[مقدار (کیلوگرم)]]&lt;0,Main[[#This Row],[مقدار (کیلوگرم)]],0)</f>
        <v>0</v>
      </c>
      <c r="L20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1" s="7">
        <f>-IF(AND(Main[[#This Row],[مقدار (کیلوگرم)]]&lt;0,Main[[#This Row],[تاريخ میلادی]]&gt;44276),Main[[#This Row],[مقدار (کیلوگرم)]],0)</f>
        <v>0</v>
      </c>
      <c r="N2051" s="6">
        <f ca="1">Main[[#This Row],[بدهکار (کیلوگرم)]]-Main[[#This Row],[بدهی تسویه نشده (کیلوگرم)]]</f>
        <v>0</v>
      </c>
      <c r="O2051" s="6">
        <f ca="1">Main[[#This Row],[تفکیک]]</f>
        <v>0</v>
      </c>
      <c r="P2051" s="6">
        <f ca="1">IF(Main[[#This Row],[تاخیر از سررسید]]&gt;0,Main[[#This Row],[بدهی تسویه نشده (کیلوگرم)]],0)</f>
        <v>0</v>
      </c>
      <c r="Q2051" s="6">
        <f ca="1">IF(Main[[#This Row],[بدهی تسویه نشده (کیلوگرم)]]&gt;0,'گزارش فردی'!$B$7-Main[[#This Row],[تاريخ میلادی]],0)</f>
        <v>0</v>
      </c>
      <c r="R2051" s="6">
        <f ca="1">IF(Main[[#This Row],[بدهی تسویه نشده (کیلوگرم)]]&gt;0,'گزارش فردی'!$B$7-Main[[#This Row],[تاريخ میلادی]]-'گزارش فردی'!$B$8,0)</f>
        <v>0</v>
      </c>
      <c r="S2051" s="6">
        <f ca="1">Main[[#This Row],[روز از ارسال سفارش]]*Main[[#This Row],[بدهی تسویه نشده (کیلوگرم)]]</f>
        <v>0</v>
      </c>
      <c r="T2051" s="6">
        <f ca="1">Main[[#This Row],[بدهی سررسید شده (کیلوگرم)]]*Main[[#This Row],[روز از ارسال سفارش]]</f>
        <v>0</v>
      </c>
      <c r="U2051" s="6">
        <f>-SUBTOTAL(9,INDEX(Main[مقدار (کیلوگرم)],1):Main[[#This Row],[مقدار (کیلوگرم)]])</f>
        <v>41263</v>
      </c>
      <c r="V20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1" s="6">
        <f>Main[[#This Row],[تعداد کل روزهای بدهکار (روز)]]*Main[[#This Row],[مانده در خط کل (کیلوگرم)]]</f>
        <v>0</v>
      </c>
      <c r="X2051" s="6">
        <f ca="1">-SUBTOTAL(9,INDEX(Main[مقدار تسویه شده (کیلوگرم)],1):Main[[#This Row],[مقدار تسویه شده (کیلوگرم)]])</f>
        <v>41263</v>
      </c>
      <c r="Y2051" s="6">
        <f ca="1">IF(Main[[#This Row],[مانده در خط تسویه شده (کیلوگرم)]]&lt;&gt;0,Main[[#This Row],[تعداد کل روزهای بدهکار (روز)]],0)</f>
        <v>0</v>
      </c>
      <c r="Z2051" s="6">
        <f ca="1">Main[[#This Row],[تعداد روزهای بدهکار تسویه شده (روز)]]*Main[[#This Row],[مانده در خط تسویه شده (کیلوگرم)]]</f>
        <v>0</v>
      </c>
      <c r="AA2051" s="6">
        <f ca="1">SUBTOTAL(9,INDEX(Main[بدهی تسویه نشده (کیلوگرم)],1):Main[[#This Row],[بدهی تسویه نشده (کیلوگرم)]])</f>
        <v>0</v>
      </c>
      <c r="AB2051" s="6">
        <f ca="1">IF(Main[[#This Row],[مانده در خط تسویه نشده (کیلوگرم)]]&lt;&gt;0,Main[[#This Row],[تعداد کل روزهای بدهکار (روز)]],0)</f>
        <v>0</v>
      </c>
      <c r="AC2051" s="6">
        <f ca="1">Main[[#This Row],[تعداد روزهای بدهکار  تسویه نشده (روز)]]*Main[[#This Row],[مانده در خط تسویه نشده (کیلوگرم)]]</f>
        <v>0</v>
      </c>
      <c r="AD2051" s="6">
        <f ca="1">SUBTOTAL(9,INDEX(Main[بدهی سررسید شده (کیلوگرم)],1):Main[[#This Row],[بدهی سررسید شده (کیلوگرم)]])</f>
        <v>0</v>
      </c>
      <c r="AE2051" s="6">
        <f ca="1">IF(Main[[#This Row],[مانده در خط سررسید شده (کیلوگرم)]]&lt;&gt;0,Main[[#This Row],[تعداد کل روزهای بدهکار (روز)]],0)</f>
        <v>0</v>
      </c>
      <c r="AF2051" s="6">
        <f ca="1">Main[[#This Row],[تعداد روزهای بدهکار سررسید شده (روز)]]*Main[[#This Row],[مانده در خط سررسید شده (کیلوگرم)]]</f>
        <v>0</v>
      </c>
    </row>
    <row r="2052" spans="1:32" hidden="1" x14ac:dyDescent="0.35">
      <c r="A2052" s="5">
        <f>ROW()-ROW(INDEX(Main[ردیف],1))+1</f>
        <v>2050</v>
      </c>
      <c r="B2052" s="31">
        <f>SUBTOTAL(2,INDEX(Main[ردیف],1):Main[[#This Row],[ردیف]])</f>
        <v>183</v>
      </c>
      <c r="C2052" s="32" t="s">
        <v>751</v>
      </c>
      <c r="D2052" s="32" t="str">
        <f>_xlfn.CONCAT("14",Main[[#This Row],[تاريخ]])</f>
        <v>1400/08/15</v>
      </c>
      <c r="E2052" s="33">
        <v>44506</v>
      </c>
      <c r="F2052" s="32">
        <v>30146</v>
      </c>
      <c r="G2052" s="5" t="str">
        <f>INDEX(customer[عنوان],MATCH(Main[[#This Row],[کد ردیابی]],customer[کد],0))</f>
        <v>شرکت آذرپاد</v>
      </c>
      <c r="H2052">
        <v>-3129</v>
      </c>
      <c r="I2052" s="6">
        <f ca="1">-Main[[#This Row],[بدهی تسویه شده (کیلوگرم)]]+Main[[#This Row],[بستانکار (کیلوگرم)]]</f>
        <v>-3129</v>
      </c>
      <c r="J2052" s="6">
        <f>IF(Main[[#This Row],[مقدار (کیلوگرم)]]&gt;0,Main[[#This Row],[مقدار (کیلوگرم)]],0)</f>
        <v>0</v>
      </c>
      <c r="K2052" s="6">
        <f>-IF(Main[[#This Row],[مقدار (کیلوگرم)]]&lt;0,Main[[#This Row],[مقدار (کیلوگرم)]],0)</f>
        <v>3129</v>
      </c>
      <c r="L20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2" s="7">
        <f>-IF(AND(Main[[#This Row],[مقدار (کیلوگرم)]]&lt;0,Main[[#This Row],[تاريخ میلادی]]&gt;44276),Main[[#This Row],[مقدار (کیلوگرم)]],0)</f>
        <v>3129</v>
      </c>
      <c r="N2052" s="6">
        <f ca="1">Main[[#This Row],[بدهکار (کیلوگرم)]]-Main[[#This Row],[بدهی تسویه نشده (کیلوگرم)]]</f>
        <v>3129</v>
      </c>
      <c r="O2052" s="6">
        <f ca="1">Main[[#This Row],[تفکیک]]</f>
        <v>0</v>
      </c>
      <c r="P2052" s="6">
        <f ca="1">IF(Main[[#This Row],[تاخیر از سررسید]]&gt;0,Main[[#This Row],[بدهی تسویه نشده (کیلوگرم)]],0)</f>
        <v>0</v>
      </c>
      <c r="Q2052" s="6">
        <f ca="1">IF(Main[[#This Row],[بدهی تسویه نشده (کیلوگرم)]]&gt;0,'گزارش فردی'!$B$7-Main[[#This Row],[تاريخ میلادی]],0)</f>
        <v>0</v>
      </c>
      <c r="R2052" s="6">
        <f ca="1">IF(Main[[#This Row],[بدهی تسویه نشده (کیلوگرم)]]&gt;0,'گزارش فردی'!$B$7-Main[[#This Row],[تاريخ میلادی]]-'گزارش فردی'!$B$8,0)</f>
        <v>0</v>
      </c>
      <c r="S2052" s="6">
        <f ca="1">Main[[#This Row],[روز از ارسال سفارش]]*Main[[#This Row],[بدهی تسویه نشده (کیلوگرم)]]</f>
        <v>0</v>
      </c>
      <c r="T2052" s="6">
        <f ca="1">Main[[#This Row],[بدهی سررسید شده (کیلوگرم)]]*Main[[#This Row],[روز از ارسال سفارش]]</f>
        <v>0</v>
      </c>
      <c r="U2052" s="6">
        <f>-SUBTOTAL(9,INDEX(Main[مقدار (کیلوگرم)],1):Main[[#This Row],[مقدار (کیلوگرم)]])</f>
        <v>41263</v>
      </c>
      <c r="V20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2" s="6">
        <f>Main[[#This Row],[تعداد کل روزهای بدهکار (روز)]]*Main[[#This Row],[مانده در خط کل (کیلوگرم)]]</f>
        <v>0</v>
      </c>
      <c r="X2052" s="6">
        <f ca="1">-SUBTOTAL(9,INDEX(Main[مقدار تسویه شده (کیلوگرم)],1):Main[[#This Row],[مقدار تسویه شده (کیلوگرم)]])</f>
        <v>41263</v>
      </c>
      <c r="Y2052" s="6">
        <f ca="1">IF(Main[[#This Row],[مانده در خط تسویه شده (کیلوگرم)]]&lt;&gt;0,Main[[#This Row],[تعداد کل روزهای بدهکار (روز)]],0)</f>
        <v>0</v>
      </c>
      <c r="Z2052" s="6">
        <f ca="1">Main[[#This Row],[تعداد روزهای بدهکار تسویه شده (روز)]]*Main[[#This Row],[مانده در خط تسویه شده (کیلوگرم)]]</f>
        <v>0</v>
      </c>
      <c r="AA2052" s="6">
        <f ca="1">SUBTOTAL(9,INDEX(Main[بدهی تسویه نشده (کیلوگرم)],1):Main[[#This Row],[بدهی تسویه نشده (کیلوگرم)]])</f>
        <v>0</v>
      </c>
      <c r="AB2052" s="6">
        <f ca="1">IF(Main[[#This Row],[مانده در خط تسویه نشده (کیلوگرم)]]&lt;&gt;0,Main[[#This Row],[تعداد کل روزهای بدهکار (روز)]],0)</f>
        <v>0</v>
      </c>
      <c r="AC2052" s="6">
        <f ca="1">Main[[#This Row],[تعداد روزهای بدهکار  تسویه نشده (روز)]]*Main[[#This Row],[مانده در خط تسویه نشده (کیلوگرم)]]</f>
        <v>0</v>
      </c>
      <c r="AD2052" s="6">
        <f ca="1">SUBTOTAL(9,INDEX(Main[بدهی سررسید شده (کیلوگرم)],1):Main[[#This Row],[بدهی سررسید شده (کیلوگرم)]])</f>
        <v>0</v>
      </c>
      <c r="AE2052" s="6">
        <f ca="1">IF(Main[[#This Row],[مانده در خط سررسید شده (کیلوگرم)]]&lt;&gt;0,Main[[#This Row],[تعداد کل روزهای بدهکار (روز)]],0)</f>
        <v>0</v>
      </c>
      <c r="AF2052" s="6">
        <f ca="1">Main[[#This Row],[تعداد روزهای بدهکار سررسید شده (روز)]]*Main[[#This Row],[مانده در خط سررسید شده (کیلوگرم)]]</f>
        <v>0</v>
      </c>
    </row>
    <row r="2053" spans="1:32" hidden="1" x14ac:dyDescent="0.35">
      <c r="A2053" s="5">
        <f>ROW()-ROW(INDEX(Main[ردیف],1))+1</f>
        <v>2051</v>
      </c>
      <c r="B2053" s="31">
        <f>SUBTOTAL(2,INDEX(Main[ردیف],1):Main[[#This Row],[ردیف]])</f>
        <v>183</v>
      </c>
      <c r="C2053" s="32" t="s">
        <v>751</v>
      </c>
      <c r="D2053" s="32" t="str">
        <f>_xlfn.CONCAT("14",Main[[#This Row],[تاريخ]])</f>
        <v>1400/08/15</v>
      </c>
      <c r="E2053" s="33">
        <v>44506</v>
      </c>
      <c r="F2053" s="32">
        <v>30146</v>
      </c>
      <c r="G2053" s="5" t="str">
        <f>INDEX(customer[عنوان],MATCH(Main[[#This Row],[کد ردیابی]],customer[کد],0))</f>
        <v>شرکت آذرپاد</v>
      </c>
      <c r="H2053">
        <v>482</v>
      </c>
      <c r="I2053" s="6">
        <f ca="1">-Main[[#This Row],[بدهی تسویه شده (کیلوگرم)]]+Main[[#This Row],[بستانکار (کیلوگرم)]]</f>
        <v>482</v>
      </c>
      <c r="J2053" s="6">
        <f>IF(Main[[#This Row],[مقدار (کیلوگرم)]]&gt;0,Main[[#This Row],[مقدار (کیلوگرم)]],0)</f>
        <v>482</v>
      </c>
      <c r="K2053" s="6">
        <f>-IF(Main[[#This Row],[مقدار (کیلوگرم)]]&lt;0,Main[[#This Row],[مقدار (کیلوگرم)]],0)</f>
        <v>0</v>
      </c>
      <c r="L20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3" s="7">
        <f>-IF(AND(Main[[#This Row],[مقدار (کیلوگرم)]]&lt;0,Main[[#This Row],[تاريخ میلادی]]&gt;44276),Main[[#This Row],[مقدار (کیلوگرم)]],0)</f>
        <v>0</v>
      </c>
      <c r="N2053" s="6">
        <f ca="1">Main[[#This Row],[بدهکار (کیلوگرم)]]-Main[[#This Row],[بدهی تسویه نشده (کیلوگرم)]]</f>
        <v>0</v>
      </c>
      <c r="O2053" s="6">
        <f ca="1">Main[[#This Row],[تفکیک]]</f>
        <v>0</v>
      </c>
      <c r="P2053" s="6">
        <f ca="1">IF(Main[[#This Row],[تاخیر از سررسید]]&gt;0,Main[[#This Row],[بدهی تسویه نشده (کیلوگرم)]],0)</f>
        <v>0</v>
      </c>
      <c r="Q2053" s="6">
        <f ca="1">IF(Main[[#This Row],[بدهی تسویه نشده (کیلوگرم)]]&gt;0,'گزارش فردی'!$B$7-Main[[#This Row],[تاريخ میلادی]],0)</f>
        <v>0</v>
      </c>
      <c r="R2053" s="6">
        <f ca="1">IF(Main[[#This Row],[بدهی تسویه نشده (کیلوگرم)]]&gt;0,'گزارش فردی'!$B$7-Main[[#This Row],[تاريخ میلادی]]-'گزارش فردی'!$B$8,0)</f>
        <v>0</v>
      </c>
      <c r="S2053" s="6">
        <f ca="1">Main[[#This Row],[روز از ارسال سفارش]]*Main[[#This Row],[بدهی تسویه نشده (کیلوگرم)]]</f>
        <v>0</v>
      </c>
      <c r="T2053" s="6">
        <f ca="1">Main[[#This Row],[بدهی سررسید شده (کیلوگرم)]]*Main[[#This Row],[روز از ارسال سفارش]]</f>
        <v>0</v>
      </c>
      <c r="U2053" s="6">
        <f>-SUBTOTAL(9,INDEX(Main[مقدار (کیلوگرم)],1):Main[[#This Row],[مقدار (کیلوگرم)]])</f>
        <v>41263</v>
      </c>
      <c r="V20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3" s="6">
        <f>Main[[#This Row],[تعداد کل روزهای بدهکار (روز)]]*Main[[#This Row],[مانده در خط کل (کیلوگرم)]]</f>
        <v>0</v>
      </c>
      <c r="X2053" s="6">
        <f ca="1">-SUBTOTAL(9,INDEX(Main[مقدار تسویه شده (کیلوگرم)],1):Main[[#This Row],[مقدار تسویه شده (کیلوگرم)]])</f>
        <v>41263</v>
      </c>
      <c r="Y2053" s="6">
        <f ca="1">IF(Main[[#This Row],[مانده در خط تسویه شده (کیلوگرم)]]&lt;&gt;0,Main[[#This Row],[تعداد کل روزهای بدهکار (روز)]],0)</f>
        <v>0</v>
      </c>
      <c r="Z2053" s="6">
        <f ca="1">Main[[#This Row],[تعداد روزهای بدهکار تسویه شده (روز)]]*Main[[#This Row],[مانده در خط تسویه شده (کیلوگرم)]]</f>
        <v>0</v>
      </c>
      <c r="AA2053" s="6">
        <f ca="1">SUBTOTAL(9,INDEX(Main[بدهی تسویه نشده (کیلوگرم)],1):Main[[#This Row],[بدهی تسویه نشده (کیلوگرم)]])</f>
        <v>0</v>
      </c>
      <c r="AB2053" s="6">
        <f ca="1">IF(Main[[#This Row],[مانده در خط تسویه نشده (کیلوگرم)]]&lt;&gt;0,Main[[#This Row],[تعداد کل روزهای بدهکار (روز)]],0)</f>
        <v>0</v>
      </c>
      <c r="AC2053" s="6">
        <f ca="1">Main[[#This Row],[تعداد روزهای بدهکار  تسویه نشده (روز)]]*Main[[#This Row],[مانده در خط تسویه نشده (کیلوگرم)]]</f>
        <v>0</v>
      </c>
      <c r="AD2053" s="6">
        <f ca="1">SUBTOTAL(9,INDEX(Main[بدهی سررسید شده (کیلوگرم)],1):Main[[#This Row],[بدهی سررسید شده (کیلوگرم)]])</f>
        <v>0</v>
      </c>
      <c r="AE2053" s="6">
        <f ca="1">IF(Main[[#This Row],[مانده در خط سررسید شده (کیلوگرم)]]&lt;&gt;0,Main[[#This Row],[تعداد کل روزهای بدهکار (روز)]],0)</f>
        <v>0</v>
      </c>
      <c r="AF2053" s="6">
        <f ca="1">Main[[#This Row],[تعداد روزهای بدهکار سررسید شده (روز)]]*Main[[#This Row],[مانده در خط سررسید شده (کیلوگرم)]]</f>
        <v>0</v>
      </c>
    </row>
    <row r="2054" spans="1:32" hidden="1" x14ac:dyDescent="0.35">
      <c r="A2054" s="5">
        <f>ROW()-ROW(INDEX(Main[ردیف],1))+1</f>
        <v>2052</v>
      </c>
      <c r="B2054" s="31">
        <f>SUBTOTAL(2,INDEX(Main[ردیف],1):Main[[#This Row],[ردیف]])</f>
        <v>183</v>
      </c>
      <c r="C2054" s="32" t="s">
        <v>751</v>
      </c>
      <c r="D2054" s="32" t="str">
        <f>_xlfn.CONCAT("14",Main[[#This Row],[تاريخ]])</f>
        <v>1400/08/15</v>
      </c>
      <c r="E2054" s="33">
        <v>44506</v>
      </c>
      <c r="F2054" s="32">
        <v>30186</v>
      </c>
      <c r="G2054" s="5" t="str">
        <f>INDEX(customer[عنوان],MATCH(Main[[#This Row],[کد ردیابی]],customer[کد],0))</f>
        <v>سارا گاز</v>
      </c>
      <c r="H2054">
        <v>-2006</v>
      </c>
      <c r="I2054" s="6">
        <f ca="1">-Main[[#This Row],[بدهی تسویه شده (کیلوگرم)]]+Main[[#This Row],[بستانکار (کیلوگرم)]]</f>
        <v>-2006</v>
      </c>
      <c r="J2054" s="6">
        <f>IF(Main[[#This Row],[مقدار (کیلوگرم)]]&gt;0,Main[[#This Row],[مقدار (کیلوگرم)]],0)</f>
        <v>0</v>
      </c>
      <c r="K2054" s="6">
        <f>-IF(Main[[#This Row],[مقدار (کیلوگرم)]]&lt;0,Main[[#This Row],[مقدار (کیلوگرم)]],0)</f>
        <v>2006</v>
      </c>
      <c r="L20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4" s="7">
        <f>-IF(AND(Main[[#This Row],[مقدار (کیلوگرم)]]&lt;0,Main[[#This Row],[تاريخ میلادی]]&gt;44276),Main[[#This Row],[مقدار (کیلوگرم)]],0)</f>
        <v>2006</v>
      </c>
      <c r="N2054" s="6">
        <f ca="1">Main[[#This Row],[بدهکار (کیلوگرم)]]-Main[[#This Row],[بدهی تسویه نشده (کیلوگرم)]]</f>
        <v>2006</v>
      </c>
      <c r="O2054" s="6">
        <f ca="1">Main[[#This Row],[تفکیک]]</f>
        <v>0</v>
      </c>
      <c r="P2054" s="6">
        <f ca="1">IF(Main[[#This Row],[تاخیر از سررسید]]&gt;0,Main[[#This Row],[بدهی تسویه نشده (کیلوگرم)]],0)</f>
        <v>0</v>
      </c>
      <c r="Q2054" s="6">
        <f ca="1">IF(Main[[#This Row],[بدهی تسویه نشده (کیلوگرم)]]&gt;0,'گزارش فردی'!$B$7-Main[[#This Row],[تاريخ میلادی]],0)</f>
        <v>0</v>
      </c>
      <c r="R2054" s="6">
        <f ca="1">IF(Main[[#This Row],[بدهی تسویه نشده (کیلوگرم)]]&gt;0,'گزارش فردی'!$B$7-Main[[#This Row],[تاريخ میلادی]]-'گزارش فردی'!$B$8,0)</f>
        <v>0</v>
      </c>
      <c r="S2054" s="6">
        <f ca="1">Main[[#This Row],[روز از ارسال سفارش]]*Main[[#This Row],[بدهی تسویه نشده (کیلوگرم)]]</f>
        <v>0</v>
      </c>
      <c r="T2054" s="6">
        <f ca="1">Main[[#This Row],[بدهی سررسید شده (کیلوگرم)]]*Main[[#This Row],[روز از ارسال سفارش]]</f>
        <v>0</v>
      </c>
      <c r="U2054" s="6">
        <f>-SUBTOTAL(9,INDEX(Main[مقدار (کیلوگرم)],1):Main[[#This Row],[مقدار (کیلوگرم)]])</f>
        <v>41263</v>
      </c>
      <c r="V20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4" s="6">
        <f>Main[[#This Row],[تعداد کل روزهای بدهکار (روز)]]*Main[[#This Row],[مانده در خط کل (کیلوگرم)]]</f>
        <v>0</v>
      </c>
      <c r="X2054" s="6">
        <f ca="1">-SUBTOTAL(9,INDEX(Main[مقدار تسویه شده (کیلوگرم)],1):Main[[#This Row],[مقدار تسویه شده (کیلوگرم)]])</f>
        <v>41263</v>
      </c>
      <c r="Y2054" s="6">
        <f ca="1">IF(Main[[#This Row],[مانده در خط تسویه شده (کیلوگرم)]]&lt;&gt;0,Main[[#This Row],[تعداد کل روزهای بدهکار (روز)]],0)</f>
        <v>0</v>
      </c>
      <c r="Z2054" s="6">
        <f ca="1">Main[[#This Row],[تعداد روزهای بدهکار تسویه شده (روز)]]*Main[[#This Row],[مانده در خط تسویه شده (کیلوگرم)]]</f>
        <v>0</v>
      </c>
      <c r="AA2054" s="6">
        <f ca="1">SUBTOTAL(9,INDEX(Main[بدهی تسویه نشده (کیلوگرم)],1):Main[[#This Row],[بدهی تسویه نشده (کیلوگرم)]])</f>
        <v>0</v>
      </c>
      <c r="AB2054" s="6">
        <f ca="1">IF(Main[[#This Row],[مانده در خط تسویه نشده (کیلوگرم)]]&lt;&gt;0,Main[[#This Row],[تعداد کل روزهای بدهکار (روز)]],0)</f>
        <v>0</v>
      </c>
      <c r="AC2054" s="6">
        <f ca="1">Main[[#This Row],[تعداد روزهای بدهکار  تسویه نشده (روز)]]*Main[[#This Row],[مانده در خط تسویه نشده (کیلوگرم)]]</f>
        <v>0</v>
      </c>
      <c r="AD2054" s="6">
        <f ca="1">SUBTOTAL(9,INDEX(Main[بدهی سررسید شده (کیلوگرم)],1):Main[[#This Row],[بدهی سررسید شده (کیلوگرم)]])</f>
        <v>0</v>
      </c>
      <c r="AE2054" s="6">
        <f ca="1">IF(Main[[#This Row],[مانده در خط سررسید شده (کیلوگرم)]]&lt;&gt;0,Main[[#This Row],[تعداد کل روزهای بدهکار (روز)]],0)</f>
        <v>0</v>
      </c>
      <c r="AF2054" s="6">
        <f ca="1">Main[[#This Row],[تعداد روزهای بدهکار سررسید شده (روز)]]*Main[[#This Row],[مانده در خط سررسید شده (کیلوگرم)]]</f>
        <v>0</v>
      </c>
    </row>
    <row r="2055" spans="1:32" hidden="1" x14ac:dyDescent="0.35">
      <c r="A2055" s="5">
        <f>ROW()-ROW(INDEX(Main[ردیف],1))+1</f>
        <v>2053</v>
      </c>
      <c r="B2055" s="31">
        <f>SUBTOTAL(2,INDEX(Main[ردیف],1):Main[[#This Row],[ردیف]])</f>
        <v>183</v>
      </c>
      <c r="C2055" s="32" t="s">
        <v>751</v>
      </c>
      <c r="D2055" s="32" t="str">
        <f>_xlfn.CONCAT("14",Main[[#This Row],[تاريخ]])</f>
        <v>1400/08/15</v>
      </c>
      <c r="E2055" s="33">
        <v>44506</v>
      </c>
      <c r="F2055" s="32">
        <v>30146</v>
      </c>
      <c r="G2055" s="5" t="str">
        <f>INDEX(customer[عنوان],MATCH(Main[[#This Row],[کد ردیابی]],customer[کد],0))</f>
        <v>شرکت آذرپاد</v>
      </c>
      <c r="H2055">
        <v>1093</v>
      </c>
      <c r="I2055" s="6">
        <f ca="1">-Main[[#This Row],[بدهی تسویه شده (کیلوگرم)]]+Main[[#This Row],[بستانکار (کیلوگرم)]]</f>
        <v>1093</v>
      </c>
      <c r="J2055" s="6">
        <f>IF(Main[[#This Row],[مقدار (کیلوگرم)]]&gt;0,Main[[#This Row],[مقدار (کیلوگرم)]],0)</f>
        <v>1093</v>
      </c>
      <c r="K2055" s="6">
        <f>-IF(Main[[#This Row],[مقدار (کیلوگرم)]]&lt;0,Main[[#This Row],[مقدار (کیلوگرم)]],0)</f>
        <v>0</v>
      </c>
      <c r="L20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5" s="7">
        <f>-IF(AND(Main[[#This Row],[مقدار (کیلوگرم)]]&lt;0,Main[[#This Row],[تاريخ میلادی]]&gt;44276),Main[[#This Row],[مقدار (کیلوگرم)]],0)</f>
        <v>0</v>
      </c>
      <c r="N2055" s="6">
        <f ca="1">Main[[#This Row],[بدهکار (کیلوگرم)]]-Main[[#This Row],[بدهی تسویه نشده (کیلوگرم)]]</f>
        <v>0</v>
      </c>
      <c r="O2055" s="6">
        <f ca="1">Main[[#This Row],[تفکیک]]</f>
        <v>0</v>
      </c>
      <c r="P2055" s="6">
        <f ca="1">IF(Main[[#This Row],[تاخیر از سررسید]]&gt;0,Main[[#This Row],[بدهی تسویه نشده (کیلوگرم)]],0)</f>
        <v>0</v>
      </c>
      <c r="Q2055" s="6">
        <f ca="1">IF(Main[[#This Row],[بدهی تسویه نشده (کیلوگرم)]]&gt;0,'گزارش فردی'!$B$7-Main[[#This Row],[تاريخ میلادی]],0)</f>
        <v>0</v>
      </c>
      <c r="R2055" s="6">
        <f ca="1">IF(Main[[#This Row],[بدهی تسویه نشده (کیلوگرم)]]&gt;0,'گزارش فردی'!$B$7-Main[[#This Row],[تاريخ میلادی]]-'گزارش فردی'!$B$8,0)</f>
        <v>0</v>
      </c>
      <c r="S2055" s="6">
        <f ca="1">Main[[#This Row],[روز از ارسال سفارش]]*Main[[#This Row],[بدهی تسویه نشده (کیلوگرم)]]</f>
        <v>0</v>
      </c>
      <c r="T2055" s="6">
        <f ca="1">Main[[#This Row],[بدهی سررسید شده (کیلوگرم)]]*Main[[#This Row],[روز از ارسال سفارش]]</f>
        <v>0</v>
      </c>
      <c r="U2055" s="6">
        <f>-SUBTOTAL(9,INDEX(Main[مقدار (کیلوگرم)],1):Main[[#This Row],[مقدار (کیلوگرم)]])</f>
        <v>41263</v>
      </c>
      <c r="V20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5" s="6">
        <f>Main[[#This Row],[تعداد کل روزهای بدهکار (روز)]]*Main[[#This Row],[مانده در خط کل (کیلوگرم)]]</f>
        <v>0</v>
      </c>
      <c r="X2055" s="6">
        <f ca="1">-SUBTOTAL(9,INDEX(Main[مقدار تسویه شده (کیلوگرم)],1):Main[[#This Row],[مقدار تسویه شده (کیلوگرم)]])</f>
        <v>41263</v>
      </c>
      <c r="Y2055" s="6">
        <f ca="1">IF(Main[[#This Row],[مانده در خط تسویه شده (کیلوگرم)]]&lt;&gt;0,Main[[#This Row],[تعداد کل روزهای بدهکار (روز)]],0)</f>
        <v>0</v>
      </c>
      <c r="Z2055" s="6">
        <f ca="1">Main[[#This Row],[تعداد روزهای بدهکار تسویه شده (روز)]]*Main[[#This Row],[مانده در خط تسویه شده (کیلوگرم)]]</f>
        <v>0</v>
      </c>
      <c r="AA2055" s="6">
        <f ca="1">SUBTOTAL(9,INDEX(Main[بدهی تسویه نشده (کیلوگرم)],1):Main[[#This Row],[بدهی تسویه نشده (کیلوگرم)]])</f>
        <v>0</v>
      </c>
      <c r="AB2055" s="6">
        <f ca="1">IF(Main[[#This Row],[مانده در خط تسویه نشده (کیلوگرم)]]&lt;&gt;0,Main[[#This Row],[تعداد کل روزهای بدهکار (روز)]],0)</f>
        <v>0</v>
      </c>
      <c r="AC2055" s="6">
        <f ca="1">Main[[#This Row],[تعداد روزهای بدهکار  تسویه نشده (روز)]]*Main[[#This Row],[مانده در خط تسویه نشده (کیلوگرم)]]</f>
        <v>0</v>
      </c>
      <c r="AD2055" s="6">
        <f ca="1">SUBTOTAL(9,INDEX(Main[بدهی سررسید شده (کیلوگرم)],1):Main[[#This Row],[بدهی سررسید شده (کیلوگرم)]])</f>
        <v>0</v>
      </c>
      <c r="AE2055" s="6">
        <f ca="1">IF(Main[[#This Row],[مانده در خط سررسید شده (کیلوگرم)]]&lt;&gt;0,Main[[#This Row],[تعداد کل روزهای بدهکار (روز)]],0)</f>
        <v>0</v>
      </c>
      <c r="AF2055" s="6">
        <f ca="1">Main[[#This Row],[تعداد روزهای بدهکار سررسید شده (روز)]]*Main[[#This Row],[مانده در خط سررسید شده (کیلوگرم)]]</f>
        <v>0</v>
      </c>
    </row>
    <row r="2056" spans="1:32" x14ac:dyDescent="0.35">
      <c r="A2056" s="5">
        <f>ROW()-ROW(INDEX(Main[ردیف],1))+1</f>
        <v>2054</v>
      </c>
      <c r="B2056" s="31">
        <f>SUBTOTAL(2,INDEX(Main[ردیف],1):Main[[#This Row],[ردیف]])</f>
        <v>184</v>
      </c>
      <c r="C2056" s="32" t="s">
        <v>751</v>
      </c>
      <c r="D2056" s="32" t="str">
        <f>_xlfn.CONCAT("14",Main[[#This Row],[تاريخ]])</f>
        <v>1400/08/15</v>
      </c>
      <c r="E2056" s="33">
        <v>44506</v>
      </c>
      <c r="F2056" s="32">
        <v>10003</v>
      </c>
      <c r="G2056" s="5" t="str">
        <f>INDEX(customer[عنوان],MATCH(Main[[#This Row],[کد ردیابی]],customer[کد],0))</f>
        <v>اصغر نورعلی</v>
      </c>
      <c r="H2056">
        <v>-2421</v>
      </c>
      <c r="I2056" s="6">
        <f ca="1">-Main[[#This Row],[بدهی تسویه شده (کیلوگرم)]]+Main[[#This Row],[بستانکار (کیلوگرم)]]</f>
        <v>-2421</v>
      </c>
      <c r="J2056" s="6">
        <f>IF(Main[[#This Row],[مقدار (کیلوگرم)]]&gt;0,Main[[#This Row],[مقدار (کیلوگرم)]],0)</f>
        <v>0</v>
      </c>
      <c r="K2056" s="6">
        <f>-IF(Main[[#This Row],[مقدار (کیلوگرم)]]&lt;0,Main[[#This Row],[مقدار (کیلوگرم)]],0)</f>
        <v>2421</v>
      </c>
      <c r="L20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6" s="7">
        <f>-IF(AND(Main[[#This Row],[مقدار (کیلوگرم)]]&lt;0,Main[[#This Row],[تاريخ میلادی]]&gt;44276),Main[[#This Row],[مقدار (کیلوگرم)]],0)</f>
        <v>2421</v>
      </c>
      <c r="N2056" s="6">
        <f ca="1">Main[[#This Row],[بدهکار (کیلوگرم)]]-Main[[#This Row],[بدهی تسویه نشده (کیلوگرم)]]</f>
        <v>2421</v>
      </c>
      <c r="O2056" s="6">
        <f ca="1">Main[[#This Row],[تفکیک]]</f>
        <v>0</v>
      </c>
      <c r="P2056" s="6">
        <f ca="1">IF(Main[[#This Row],[تاخیر از سررسید]]&gt;0,Main[[#This Row],[بدهی تسویه نشده (کیلوگرم)]],0)</f>
        <v>0</v>
      </c>
      <c r="Q2056" s="6">
        <f ca="1">IF(Main[[#This Row],[بدهی تسویه نشده (کیلوگرم)]]&gt;0,'گزارش فردی'!$B$7-Main[[#This Row],[تاريخ میلادی]],0)</f>
        <v>0</v>
      </c>
      <c r="R2056" s="6">
        <f ca="1">IF(Main[[#This Row],[بدهی تسویه نشده (کیلوگرم)]]&gt;0,'گزارش فردی'!$B$7-Main[[#This Row],[تاريخ میلادی]]-'گزارش فردی'!$B$8,0)</f>
        <v>0</v>
      </c>
      <c r="S2056" s="6">
        <f ca="1">Main[[#This Row],[روز از ارسال سفارش]]*Main[[#This Row],[بدهی تسویه نشده (کیلوگرم)]]</f>
        <v>0</v>
      </c>
      <c r="T2056" s="6">
        <f ca="1">Main[[#This Row],[بدهی سررسید شده (کیلوگرم)]]*Main[[#This Row],[روز از ارسال سفارش]]</f>
        <v>0</v>
      </c>
      <c r="U2056" s="6">
        <f>-SUBTOTAL(9,INDEX(Main[مقدار (کیلوگرم)],1):Main[[#This Row],[مقدار (کیلوگرم)]])</f>
        <v>43684</v>
      </c>
      <c r="V20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6" s="6">
        <f>Main[[#This Row],[تعداد کل روزهای بدهکار (روز)]]*Main[[#This Row],[مانده در خط کل (کیلوگرم)]]</f>
        <v>87368</v>
      </c>
      <c r="X2056" s="6">
        <f ca="1">-SUBTOTAL(9,INDEX(Main[مقدار تسویه شده (کیلوگرم)],1):Main[[#This Row],[مقدار تسویه شده (کیلوگرم)]])</f>
        <v>43684</v>
      </c>
      <c r="Y2056" s="6">
        <f ca="1">IF(Main[[#This Row],[مانده در خط تسویه شده (کیلوگرم)]]&lt;&gt;0,Main[[#This Row],[تعداد کل روزهای بدهکار (روز)]],0)</f>
        <v>2</v>
      </c>
      <c r="Z2056" s="6">
        <f ca="1">Main[[#This Row],[تعداد روزهای بدهکار تسویه شده (روز)]]*Main[[#This Row],[مانده در خط تسویه شده (کیلوگرم)]]</f>
        <v>87368</v>
      </c>
      <c r="AA2056" s="6">
        <f ca="1">SUBTOTAL(9,INDEX(Main[بدهی تسویه نشده (کیلوگرم)],1):Main[[#This Row],[بدهی تسویه نشده (کیلوگرم)]])</f>
        <v>0</v>
      </c>
      <c r="AB2056" s="6">
        <f ca="1">IF(Main[[#This Row],[مانده در خط تسویه نشده (کیلوگرم)]]&lt;&gt;0,Main[[#This Row],[تعداد کل روزهای بدهکار (روز)]],0)</f>
        <v>0</v>
      </c>
      <c r="AC2056" s="6">
        <f ca="1">Main[[#This Row],[تعداد روزهای بدهکار  تسویه نشده (روز)]]*Main[[#This Row],[مانده در خط تسویه نشده (کیلوگرم)]]</f>
        <v>0</v>
      </c>
      <c r="AD2056" s="6">
        <f ca="1">SUBTOTAL(9,INDEX(Main[بدهی سررسید شده (کیلوگرم)],1):Main[[#This Row],[بدهی سررسید شده (کیلوگرم)]])</f>
        <v>0</v>
      </c>
      <c r="AE2056" s="6">
        <f ca="1">IF(Main[[#This Row],[مانده در خط سررسید شده (کیلوگرم)]]&lt;&gt;0,Main[[#This Row],[تعداد کل روزهای بدهکار (روز)]],0)</f>
        <v>0</v>
      </c>
      <c r="AF2056" s="6">
        <f ca="1">Main[[#This Row],[تعداد روزهای بدهکار سررسید شده (روز)]]*Main[[#This Row],[مانده در خط سررسید شده (کیلوگرم)]]</f>
        <v>0</v>
      </c>
    </row>
    <row r="2057" spans="1:32" hidden="1" x14ac:dyDescent="0.35">
      <c r="A2057" s="5">
        <f>ROW()-ROW(INDEX(Main[ردیف],1))+1</f>
        <v>2055</v>
      </c>
      <c r="B2057" s="31">
        <f>SUBTOTAL(2,INDEX(Main[ردیف],1):Main[[#This Row],[ردیف]])</f>
        <v>184</v>
      </c>
      <c r="C2057" s="32" t="s">
        <v>751</v>
      </c>
      <c r="D2057" s="32" t="str">
        <f>_xlfn.CONCAT("14",Main[[#This Row],[تاريخ]])</f>
        <v>1400/08/15</v>
      </c>
      <c r="E2057" s="33">
        <v>44506</v>
      </c>
      <c r="F2057" s="32">
        <v>30146</v>
      </c>
      <c r="G2057" s="5" t="str">
        <f>INDEX(customer[عنوان],MATCH(Main[[#This Row],[کد ردیابی]],customer[کد],0))</f>
        <v>شرکت آذرپاد</v>
      </c>
      <c r="H2057">
        <v>3129</v>
      </c>
      <c r="I2057" s="6">
        <f ca="1">-Main[[#This Row],[بدهی تسویه شده (کیلوگرم)]]+Main[[#This Row],[بستانکار (کیلوگرم)]]</f>
        <v>3129</v>
      </c>
      <c r="J2057" s="6">
        <f>IF(Main[[#This Row],[مقدار (کیلوگرم)]]&gt;0,Main[[#This Row],[مقدار (کیلوگرم)]],0)</f>
        <v>3129</v>
      </c>
      <c r="K2057" s="6">
        <f>-IF(Main[[#This Row],[مقدار (کیلوگرم)]]&lt;0,Main[[#This Row],[مقدار (کیلوگرم)]],0)</f>
        <v>0</v>
      </c>
      <c r="L20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7" s="7">
        <f>-IF(AND(Main[[#This Row],[مقدار (کیلوگرم)]]&lt;0,Main[[#This Row],[تاريخ میلادی]]&gt;44276),Main[[#This Row],[مقدار (کیلوگرم)]],0)</f>
        <v>0</v>
      </c>
      <c r="N2057" s="6">
        <f ca="1">Main[[#This Row],[بدهکار (کیلوگرم)]]-Main[[#This Row],[بدهی تسویه نشده (کیلوگرم)]]</f>
        <v>0</v>
      </c>
      <c r="O2057" s="6">
        <f ca="1">Main[[#This Row],[تفکیک]]</f>
        <v>0</v>
      </c>
      <c r="P2057" s="6">
        <f ca="1">IF(Main[[#This Row],[تاخیر از سررسید]]&gt;0,Main[[#This Row],[بدهی تسویه نشده (کیلوگرم)]],0)</f>
        <v>0</v>
      </c>
      <c r="Q2057" s="6">
        <f ca="1">IF(Main[[#This Row],[بدهی تسویه نشده (کیلوگرم)]]&gt;0,'گزارش فردی'!$B$7-Main[[#This Row],[تاريخ میلادی]],0)</f>
        <v>0</v>
      </c>
      <c r="R2057" s="6">
        <f ca="1">IF(Main[[#This Row],[بدهی تسویه نشده (کیلوگرم)]]&gt;0,'گزارش فردی'!$B$7-Main[[#This Row],[تاريخ میلادی]]-'گزارش فردی'!$B$8,0)</f>
        <v>0</v>
      </c>
      <c r="S2057" s="6">
        <f ca="1">Main[[#This Row],[روز از ارسال سفارش]]*Main[[#This Row],[بدهی تسویه نشده (کیلوگرم)]]</f>
        <v>0</v>
      </c>
      <c r="T2057" s="6">
        <f ca="1">Main[[#This Row],[بدهی سررسید شده (کیلوگرم)]]*Main[[#This Row],[روز از ارسال سفارش]]</f>
        <v>0</v>
      </c>
      <c r="U2057" s="6">
        <f>-SUBTOTAL(9,INDEX(Main[مقدار (کیلوگرم)],1):Main[[#This Row],[مقدار (کیلوگرم)]])</f>
        <v>43684</v>
      </c>
      <c r="V20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7" s="6">
        <f>Main[[#This Row],[تعداد کل روزهای بدهکار (روز)]]*Main[[#This Row],[مانده در خط کل (کیلوگرم)]]</f>
        <v>87368</v>
      </c>
      <c r="X2057" s="6">
        <f ca="1">-SUBTOTAL(9,INDEX(Main[مقدار تسویه شده (کیلوگرم)],1):Main[[#This Row],[مقدار تسویه شده (کیلوگرم)]])</f>
        <v>43684</v>
      </c>
      <c r="Y2057" s="6">
        <f ca="1">IF(Main[[#This Row],[مانده در خط تسویه شده (کیلوگرم)]]&lt;&gt;0,Main[[#This Row],[تعداد کل روزهای بدهکار (روز)]],0)</f>
        <v>2</v>
      </c>
      <c r="Z2057" s="6">
        <f ca="1">Main[[#This Row],[تعداد روزهای بدهکار تسویه شده (روز)]]*Main[[#This Row],[مانده در خط تسویه شده (کیلوگرم)]]</f>
        <v>87368</v>
      </c>
      <c r="AA2057" s="6">
        <f ca="1">SUBTOTAL(9,INDEX(Main[بدهی تسویه نشده (کیلوگرم)],1):Main[[#This Row],[بدهی تسویه نشده (کیلوگرم)]])</f>
        <v>0</v>
      </c>
      <c r="AB2057" s="6">
        <f ca="1">IF(Main[[#This Row],[مانده در خط تسویه نشده (کیلوگرم)]]&lt;&gt;0,Main[[#This Row],[تعداد کل روزهای بدهکار (روز)]],0)</f>
        <v>0</v>
      </c>
      <c r="AC2057" s="6">
        <f ca="1">Main[[#This Row],[تعداد روزهای بدهکار  تسویه نشده (روز)]]*Main[[#This Row],[مانده در خط تسویه نشده (کیلوگرم)]]</f>
        <v>0</v>
      </c>
      <c r="AD2057" s="6">
        <f ca="1">SUBTOTAL(9,INDEX(Main[بدهی سررسید شده (کیلوگرم)],1):Main[[#This Row],[بدهی سررسید شده (کیلوگرم)]])</f>
        <v>0</v>
      </c>
      <c r="AE2057" s="6">
        <f ca="1">IF(Main[[#This Row],[مانده در خط سررسید شده (کیلوگرم)]]&lt;&gt;0,Main[[#This Row],[تعداد کل روزهای بدهکار (روز)]],0)</f>
        <v>0</v>
      </c>
      <c r="AF2057" s="6">
        <f ca="1">Main[[#This Row],[تعداد روزهای بدهکار سررسید شده (روز)]]*Main[[#This Row],[مانده در خط سررسید شده (کیلوگرم)]]</f>
        <v>0</v>
      </c>
    </row>
    <row r="2058" spans="1:32" hidden="1" x14ac:dyDescent="0.35">
      <c r="A2058" s="5">
        <f>ROW()-ROW(INDEX(Main[ردیف],1))+1</f>
        <v>2056</v>
      </c>
      <c r="B2058" s="31">
        <f>SUBTOTAL(2,INDEX(Main[ردیف],1):Main[[#This Row],[ردیف]])</f>
        <v>184</v>
      </c>
      <c r="C2058" s="32" t="s">
        <v>751</v>
      </c>
      <c r="D2058" s="32" t="str">
        <f>_xlfn.CONCAT("14",Main[[#This Row],[تاريخ]])</f>
        <v>1400/08/15</v>
      </c>
      <c r="E2058" s="33">
        <v>44506</v>
      </c>
      <c r="F2058" s="32">
        <v>10027</v>
      </c>
      <c r="G2058" s="5" t="str">
        <f>INDEX(customer[عنوان],MATCH(Main[[#This Row],[کد ردیابی]],customer[کد],0))</f>
        <v xml:space="preserve">مصطفی نورعلی </v>
      </c>
      <c r="H2058">
        <v>-1898</v>
      </c>
      <c r="I2058" s="6">
        <f ca="1">-Main[[#This Row],[بدهی تسویه شده (کیلوگرم)]]+Main[[#This Row],[بستانکار (کیلوگرم)]]</f>
        <v>-1898</v>
      </c>
      <c r="J2058" s="6">
        <f>IF(Main[[#This Row],[مقدار (کیلوگرم)]]&gt;0,Main[[#This Row],[مقدار (کیلوگرم)]],0)</f>
        <v>0</v>
      </c>
      <c r="K2058" s="6">
        <f>-IF(Main[[#This Row],[مقدار (کیلوگرم)]]&lt;0,Main[[#This Row],[مقدار (کیلوگرم)]],0)</f>
        <v>1898</v>
      </c>
      <c r="L20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8" s="7">
        <f>-IF(AND(Main[[#This Row],[مقدار (کیلوگرم)]]&lt;0,Main[[#This Row],[تاريخ میلادی]]&gt;44276),Main[[#This Row],[مقدار (کیلوگرم)]],0)</f>
        <v>1898</v>
      </c>
      <c r="N2058" s="6">
        <f ca="1">Main[[#This Row],[بدهکار (کیلوگرم)]]-Main[[#This Row],[بدهی تسویه نشده (کیلوگرم)]]</f>
        <v>1898</v>
      </c>
      <c r="O2058" s="6">
        <f ca="1">Main[[#This Row],[تفکیک]]</f>
        <v>0</v>
      </c>
      <c r="P2058" s="6">
        <f ca="1">IF(Main[[#This Row],[تاخیر از سررسید]]&gt;0,Main[[#This Row],[بدهی تسویه نشده (کیلوگرم)]],0)</f>
        <v>0</v>
      </c>
      <c r="Q2058" s="6">
        <f ca="1">IF(Main[[#This Row],[بدهی تسویه نشده (کیلوگرم)]]&gt;0,'گزارش فردی'!$B$7-Main[[#This Row],[تاريخ میلادی]],0)</f>
        <v>0</v>
      </c>
      <c r="R2058" s="6">
        <f ca="1">IF(Main[[#This Row],[بدهی تسویه نشده (کیلوگرم)]]&gt;0,'گزارش فردی'!$B$7-Main[[#This Row],[تاريخ میلادی]]-'گزارش فردی'!$B$8,0)</f>
        <v>0</v>
      </c>
      <c r="S2058" s="6">
        <f ca="1">Main[[#This Row],[روز از ارسال سفارش]]*Main[[#This Row],[بدهی تسویه نشده (کیلوگرم)]]</f>
        <v>0</v>
      </c>
      <c r="T2058" s="6">
        <f ca="1">Main[[#This Row],[بدهی سررسید شده (کیلوگرم)]]*Main[[#This Row],[روز از ارسال سفارش]]</f>
        <v>0</v>
      </c>
      <c r="U2058" s="6">
        <f>-SUBTOTAL(9,INDEX(Main[مقدار (کیلوگرم)],1):Main[[#This Row],[مقدار (کیلوگرم)]])</f>
        <v>43684</v>
      </c>
      <c r="V20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8" s="6">
        <f>Main[[#This Row],[تعداد کل روزهای بدهکار (روز)]]*Main[[#This Row],[مانده در خط کل (کیلوگرم)]]</f>
        <v>87368</v>
      </c>
      <c r="X2058" s="6">
        <f ca="1">-SUBTOTAL(9,INDEX(Main[مقدار تسویه شده (کیلوگرم)],1):Main[[#This Row],[مقدار تسویه شده (کیلوگرم)]])</f>
        <v>43684</v>
      </c>
      <c r="Y2058" s="6">
        <f ca="1">IF(Main[[#This Row],[مانده در خط تسویه شده (کیلوگرم)]]&lt;&gt;0,Main[[#This Row],[تعداد کل روزهای بدهکار (روز)]],0)</f>
        <v>2</v>
      </c>
      <c r="Z2058" s="6">
        <f ca="1">Main[[#This Row],[تعداد روزهای بدهکار تسویه شده (روز)]]*Main[[#This Row],[مانده در خط تسویه شده (کیلوگرم)]]</f>
        <v>87368</v>
      </c>
      <c r="AA2058" s="6">
        <f ca="1">SUBTOTAL(9,INDEX(Main[بدهی تسویه نشده (کیلوگرم)],1):Main[[#This Row],[بدهی تسویه نشده (کیلوگرم)]])</f>
        <v>0</v>
      </c>
      <c r="AB2058" s="6">
        <f ca="1">IF(Main[[#This Row],[مانده در خط تسویه نشده (کیلوگرم)]]&lt;&gt;0,Main[[#This Row],[تعداد کل روزهای بدهکار (روز)]],0)</f>
        <v>0</v>
      </c>
      <c r="AC2058" s="6">
        <f ca="1">Main[[#This Row],[تعداد روزهای بدهکار  تسویه نشده (روز)]]*Main[[#This Row],[مانده در خط تسویه نشده (کیلوگرم)]]</f>
        <v>0</v>
      </c>
      <c r="AD2058" s="6">
        <f ca="1">SUBTOTAL(9,INDEX(Main[بدهی سررسید شده (کیلوگرم)],1):Main[[#This Row],[بدهی سررسید شده (کیلوگرم)]])</f>
        <v>0</v>
      </c>
      <c r="AE2058" s="6">
        <f ca="1">IF(Main[[#This Row],[مانده در خط سررسید شده (کیلوگرم)]]&lt;&gt;0,Main[[#This Row],[تعداد کل روزهای بدهکار (روز)]],0)</f>
        <v>0</v>
      </c>
      <c r="AF2058" s="6">
        <f ca="1">Main[[#This Row],[تعداد روزهای بدهکار سررسید شده (روز)]]*Main[[#This Row],[مانده در خط سررسید شده (کیلوگرم)]]</f>
        <v>0</v>
      </c>
    </row>
    <row r="2059" spans="1:32" hidden="1" x14ac:dyDescent="0.35">
      <c r="A2059" s="5">
        <f>ROW()-ROW(INDEX(Main[ردیف],1))+1</f>
        <v>2057</v>
      </c>
      <c r="B2059" s="31">
        <f>SUBTOTAL(2,INDEX(Main[ردیف],1):Main[[#This Row],[ردیف]])</f>
        <v>184</v>
      </c>
      <c r="C2059" s="32" t="s">
        <v>751</v>
      </c>
      <c r="D2059" s="32" t="str">
        <f>_xlfn.CONCAT("14",Main[[#This Row],[تاريخ]])</f>
        <v>1400/08/15</v>
      </c>
      <c r="E2059" s="33">
        <v>44506</v>
      </c>
      <c r="F2059" s="32">
        <v>30186</v>
      </c>
      <c r="G2059" s="5" t="str">
        <f>INDEX(customer[عنوان],MATCH(Main[[#This Row],[کد ردیابی]],customer[کد],0))</f>
        <v>سارا گاز</v>
      </c>
      <c r="H2059">
        <v>2379</v>
      </c>
      <c r="I2059" s="6">
        <f ca="1">-Main[[#This Row],[بدهی تسویه شده (کیلوگرم)]]+Main[[#This Row],[بستانکار (کیلوگرم)]]</f>
        <v>2379</v>
      </c>
      <c r="J2059" s="6">
        <f>IF(Main[[#This Row],[مقدار (کیلوگرم)]]&gt;0,Main[[#This Row],[مقدار (کیلوگرم)]],0)</f>
        <v>2379</v>
      </c>
      <c r="K2059" s="6">
        <f>-IF(Main[[#This Row],[مقدار (کیلوگرم)]]&lt;0,Main[[#This Row],[مقدار (کیلوگرم)]],0)</f>
        <v>0</v>
      </c>
      <c r="L20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9" s="7">
        <f>-IF(AND(Main[[#This Row],[مقدار (کیلوگرم)]]&lt;0,Main[[#This Row],[تاريخ میلادی]]&gt;44276),Main[[#This Row],[مقدار (کیلوگرم)]],0)</f>
        <v>0</v>
      </c>
      <c r="N2059" s="6">
        <f ca="1">Main[[#This Row],[بدهکار (کیلوگرم)]]-Main[[#This Row],[بدهی تسویه نشده (کیلوگرم)]]</f>
        <v>0</v>
      </c>
      <c r="O2059" s="6">
        <f ca="1">Main[[#This Row],[تفکیک]]</f>
        <v>0</v>
      </c>
      <c r="P2059" s="6">
        <f ca="1">IF(Main[[#This Row],[تاخیر از سررسید]]&gt;0,Main[[#This Row],[بدهی تسویه نشده (کیلوگرم)]],0)</f>
        <v>0</v>
      </c>
      <c r="Q2059" s="6">
        <f ca="1">IF(Main[[#This Row],[بدهی تسویه نشده (کیلوگرم)]]&gt;0,'گزارش فردی'!$B$7-Main[[#This Row],[تاريخ میلادی]],0)</f>
        <v>0</v>
      </c>
      <c r="R2059" s="6">
        <f ca="1">IF(Main[[#This Row],[بدهی تسویه نشده (کیلوگرم)]]&gt;0,'گزارش فردی'!$B$7-Main[[#This Row],[تاريخ میلادی]]-'گزارش فردی'!$B$8,0)</f>
        <v>0</v>
      </c>
      <c r="S2059" s="6">
        <f ca="1">Main[[#This Row],[روز از ارسال سفارش]]*Main[[#This Row],[بدهی تسویه نشده (کیلوگرم)]]</f>
        <v>0</v>
      </c>
      <c r="T2059" s="6">
        <f ca="1">Main[[#This Row],[بدهی سررسید شده (کیلوگرم)]]*Main[[#This Row],[روز از ارسال سفارش]]</f>
        <v>0</v>
      </c>
      <c r="U2059" s="6">
        <f>-SUBTOTAL(9,INDEX(Main[مقدار (کیلوگرم)],1):Main[[#This Row],[مقدار (کیلوگرم)]])</f>
        <v>43684</v>
      </c>
      <c r="V20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9" s="6">
        <f>Main[[#This Row],[تعداد کل روزهای بدهکار (روز)]]*Main[[#This Row],[مانده در خط کل (کیلوگرم)]]</f>
        <v>87368</v>
      </c>
      <c r="X2059" s="6">
        <f ca="1">-SUBTOTAL(9,INDEX(Main[مقدار تسویه شده (کیلوگرم)],1):Main[[#This Row],[مقدار تسویه شده (کیلوگرم)]])</f>
        <v>43684</v>
      </c>
      <c r="Y2059" s="6">
        <f ca="1">IF(Main[[#This Row],[مانده در خط تسویه شده (کیلوگرم)]]&lt;&gt;0,Main[[#This Row],[تعداد کل روزهای بدهکار (روز)]],0)</f>
        <v>2</v>
      </c>
      <c r="Z2059" s="6">
        <f ca="1">Main[[#This Row],[تعداد روزهای بدهکار تسویه شده (روز)]]*Main[[#This Row],[مانده در خط تسویه شده (کیلوگرم)]]</f>
        <v>87368</v>
      </c>
      <c r="AA2059" s="6">
        <f ca="1">SUBTOTAL(9,INDEX(Main[بدهی تسویه نشده (کیلوگرم)],1):Main[[#This Row],[بدهی تسویه نشده (کیلوگرم)]])</f>
        <v>0</v>
      </c>
      <c r="AB2059" s="6">
        <f ca="1">IF(Main[[#This Row],[مانده در خط تسویه نشده (کیلوگرم)]]&lt;&gt;0,Main[[#This Row],[تعداد کل روزهای بدهکار (روز)]],0)</f>
        <v>0</v>
      </c>
      <c r="AC2059" s="6">
        <f ca="1">Main[[#This Row],[تعداد روزهای بدهکار  تسویه نشده (روز)]]*Main[[#This Row],[مانده در خط تسویه نشده (کیلوگرم)]]</f>
        <v>0</v>
      </c>
      <c r="AD2059" s="6">
        <f ca="1">SUBTOTAL(9,INDEX(Main[بدهی سررسید شده (کیلوگرم)],1):Main[[#This Row],[بدهی سررسید شده (کیلوگرم)]])</f>
        <v>0</v>
      </c>
      <c r="AE2059" s="6">
        <f ca="1">IF(Main[[#This Row],[مانده در خط سررسید شده (کیلوگرم)]]&lt;&gt;0,Main[[#This Row],[تعداد کل روزهای بدهکار (روز)]],0)</f>
        <v>0</v>
      </c>
      <c r="AF2059" s="6">
        <f ca="1">Main[[#This Row],[تعداد روزهای بدهکار سررسید شده (روز)]]*Main[[#This Row],[مانده در خط سررسید شده (کیلوگرم)]]</f>
        <v>0</v>
      </c>
    </row>
    <row r="2060" spans="1:32" hidden="1" x14ac:dyDescent="0.35">
      <c r="A2060" s="5">
        <f>ROW()-ROW(INDEX(Main[ردیف],1))+1</f>
        <v>2058</v>
      </c>
      <c r="B2060" s="31">
        <f>SUBTOTAL(2,INDEX(Main[ردیف],1):Main[[#This Row],[ردیف]])</f>
        <v>184</v>
      </c>
      <c r="C2060" s="32" t="s">
        <v>751</v>
      </c>
      <c r="D2060" s="32" t="str">
        <f>_xlfn.CONCAT("14",Main[[#This Row],[تاريخ]])</f>
        <v>1400/08/15</v>
      </c>
      <c r="E2060" s="33">
        <v>44506</v>
      </c>
      <c r="F2060" s="32">
        <v>10126</v>
      </c>
      <c r="G2060" s="5" t="str">
        <f>INDEX(customer[عنوان],MATCH(Main[[#This Row],[کد ردیابی]],customer[کد],0))</f>
        <v xml:space="preserve">کریم اسمعیلی </v>
      </c>
      <c r="H2060">
        <v>-1522</v>
      </c>
      <c r="I2060" s="6">
        <f ca="1">-Main[[#This Row],[بدهی تسویه شده (کیلوگرم)]]+Main[[#This Row],[بستانکار (کیلوگرم)]]</f>
        <v>-1522</v>
      </c>
      <c r="J2060" s="6">
        <f>IF(Main[[#This Row],[مقدار (کیلوگرم)]]&gt;0,Main[[#This Row],[مقدار (کیلوگرم)]],0)</f>
        <v>0</v>
      </c>
      <c r="K2060" s="6">
        <f>-IF(Main[[#This Row],[مقدار (کیلوگرم)]]&lt;0,Main[[#This Row],[مقدار (کیلوگرم)]],0)</f>
        <v>1522</v>
      </c>
      <c r="L20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0" s="7">
        <f>-IF(AND(Main[[#This Row],[مقدار (کیلوگرم)]]&lt;0,Main[[#This Row],[تاريخ میلادی]]&gt;44276),Main[[#This Row],[مقدار (کیلوگرم)]],0)</f>
        <v>1522</v>
      </c>
      <c r="N2060" s="6">
        <f ca="1">Main[[#This Row],[بدهکار (کیلوگرم)]]-Main[[#This Row],[بدهی تسویه نشده (کیلوگرم)]]</f>
        <v>1522</v>
      </c>
      <c r="O2060" s="6">
        <f ca="1">Main[[#This Row],[تفکیک]]</f>
        <v>0</v>
      </c>
      <c r="P2060" s="6">
        <f ca="1">IF(Main[[#This Row],[تاخیر از سررسید]]&gt;0,Main[[#This Row],[بدهی تسویه نشده (کیلوگرم)]],0)</f>
        <v>0</v>
      </c>
      <c r="Q2060" s="6">
        <f ca="1">IF(Main[[#This Row],[بدهی تسویه نشده (کیلوگرم)]]&gt;0,'گزارش فردی'!$B$7-Main[[#This Row],[تاريخ میلادی]],0)</f>
        <v>0</v>
      </c>
      <c r="R2060" s="6">
        <f ca="1">IF(Main[[#This Row],[بدهی تسویه نشده (کیلوگرم)]]&gt;0,'گزارش فردی'!$B$7-Main[[#This Row],[تاريخ میلادی]]-'گزارش فردی'!$B$8,0)</f>
        <v>0</v>
      </c>
      <c r="S2060" s="6">
        <f ca="1">Main[[#This Row],[روز از ارسال سفارش]]*Main[[#This Row],[بدهی تسویه نشده (کیلوگرم)]]</f>
        <v>0</v>
      </c>
      <c r="T2060" s="6">
        <f ca="1">Main[[#This Row],[بدهی سررسید شده (کیلوگرم)]]*Main[[#This Row],[روز از ارسال سفارش]]</f>
        <v>0</v>
      </c>
      <c r="U2060" s="6">
        <f>-SUBTOTAL(9,INDEX(Main[مقدار (کیلوگرم)],1):Main[[#This Row],[مقدار (کیلوگرم)]])</f>
        <v>43684</v>
      </c>
      <c r="V206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60" s="6">
        <f>Main[[#This Row],[تعداد کل روزهای بدهکار (روز)]]*Main[[#This Row],[مانده در خط کل (کیلوگرم)]]</f>
        <v>87368</v>
      </c>
      <c r="X2060" s="6">
        <f ca="1">-SUBTOTAL(9,INDEX(Main[مقدار تسویه شده (کیلوگرم)],1):Main[[#This Row],[مقدار تسویه شده (کیلوگرم)]])</f>
        <v>43684</v>
      </c>
      <c r="Y2060" s="6">
        <f ca="1">IF(Main[[#This Row],[مانده در خط تسویه شده (کیلوگرم)]]&lt;&gt;0,Main[[#This Row],[تعداد کل روزهای بدهکار (روز)]],0)</f>
        <v>2</v>
      </c>
      <c r="Z2060" s="6">
        <f ca="1">Main[[#This Row],[تعداد روزهای بدهکار تسویه شده (روز)]]*Main[[#This Row],[مانده در خط تسویه شده (کیلوگرم)]]</f>
        <v>87368</v>
      </c>
      <c r="AA2060" s="6">
        <f ca="1">SUBTOTAL(9,INDEX(Main[بدهی تسویه نشده (کیلوگرم)],1):Main[[#This Row],[بدهی تسویه نشده (کیلوگرم)]])</f>
        <v>0</v>
      </c>
      <c r="AB2060" s="6">
        <f ca="1">IF(Main[[#This Row],[مانده در خط تسویه نشده (کیلوگرم)]]&lt;&gt;0,Main[[#This Row],[تعداد کل روزهای بدهکار (روز)]],0)</f>
        <v>0</v>
      </c>
      <c r="AC2060" s="6">
        <f ca="1">Main[[#This Row],[تعداد روزهای بدهکار  تسویه نشده (روز)]]*Main[[#This Row],[مانده در خط تسویه نشده (کیلوگرم)]]</f>
        <v>0</v>
      </c>
      <c r="AD2060" s="6">
        <f ca="1">SUBTOTAL(9,INDEX(Main[بدهی سررسید شده (کیلوگرم)],1):Main[[#This Row],[بدهی سررسید شده (کیلوگرم)]])</f>
        <v>0</v>
      </c>
      <c r="AE2060" s="6">
        <f ca="1">IF(Main[[#This Row],[مانده در خط سررسید شده (کیلوگرم)]]&lt;&gt;0,Main[[#This Row],[تعداد کل روزهای بدهکار (روز)]],0)</f>
        <v>0</v>
      </c>
      <c r="AF2060" s="6">
        <f ca="1">Main[[#This Row],[تعداد روزهای بدهکار سررسید شده (روز)]]*Main[[#This Row],[مانده در خط سررسید شده (کیلوگرم)]]</f>
        <v>0</v>
      </c>
    </row>
    <row r="2061" spans="1:32" hidden="1" x14ac:dyDescent="0.35">
      <c r="A2061" s="5">
        <f>ROW()-ROW(INDEX(Main[ردیف],1))+1</f>
        <v>2059</v>
      </c>
      <c r="B2061" s="31">
        <f>SUBTOTAL(2,INDEX(Main[ردیف],1):Main[[#This Row],[ردیف]])</f>
        <v>184</v>
      </c>
      <c r="C2061" s="32" t="s">
        <v>751</v>
      </c>
      <c r="D2061" s="32" t="str">
        <f>_xlfn.CONCAT("14",Main[[#This Row],[تاريخ]])</f>
        <v>1400/08/15</v>
      </c>
      <c r="E2061" s="33">
        <v>44506</v>
      </c>
      <c r="F2061" s="32">
        <v>30140</v>
      </c>
      <c r="G2061" s="5" t="str">
        <f>INDEX(customer[عنوان],MATCH(Main[[#This Row],[کد ردیابی]],customer[کد],0))</f>
        <v>شرکت سیتکو</v>
      </c>
      <c r="H2061">
        <v>1500</v>
      </c>
      <c r="I2061" s="6">
        <f ca="1">-Main[[#This Row],[بدهی تسویه شده (کیلوگرم)]]+Main[[#This Row],[بستانکار (کیلوگرم)]]</f>
        <v>1500</v>
      </c>
      <c r="J2061" s="6">
        <f>IF(Main[[#This Row],[مقدار (کیلوگرم)]]&gt;0,Main[[#This Row],[مقدار (کیلوگرم)]],0)</f>
        <v>1500</v>
      </c>
      <c r="K2061" s="6">
        <f>-IF(Main[[#This Row],[مقدار (کیلوگرم)]]&lt;0,Main[[#This Row],[مقدار (کیلوگرم)]],0)</f>
        <v>0</v>
      </c>
      <c r="L20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1" s="7">
        <f>-IF(AND(Main[[#This Row],[مقدار (کیلوگرم)]]&lt;0,Main[[#This Row],[تاريخ میلادی]]&gt;44276),Main[[#This Row],[مقدار (کیلوگرم)]],0)</f>
        <v>0</v>
      </c>
      <c r="N2061" s="6">
        <f ca="1">Main[[#This Row],[بدهکار (کیلوگرم)]]-Main[[#This Row],[بدهی تسویه نشده (کیلوگرم)]]</f>
        <v>0</v>
      </c>
      <c r="O2061" s="6">
        <f ca="1">Main[[#This Row],[تفکیک]]</f>
        <v>0</v>
      </c>
      <c r="P2061" s="6">
        <f ca="1">IF(Main[[#This Row],[تاخیر از سررسید]]&gt;0,Main[[#This Row],[بدهی تسویه نشده (کیلوگرم)]],0)</f>
        <v>0</v>
      </c>
      <c r="Q2061" s="6">
        <f ca="1">IF(Main[[#This Row],[بدهی تسویه نشده (کیلوگرم)]]&gt;0,'گزارش فردی'!$B$7-Main[[#This Row],[تاريخ میلادی]],0)</f>
        <v>0</v>
      </c>
      <c r="R2061" s="6">
        <f ca="1">IF(Main[[#This Row],[بدهی تسویه نشده (کیلوگرم)]]&gt;0,'گزارش فردی'!$B$7-Main[[#This Row],[تاريخ میلادی]]-'گزارش فردی'!$B$8,0)</f>
        <v>0</v>
      </c>
      <c r="S2061" s="6">
        <f ca="1">Main[[#This Row],[روز از ارسال سفارش]]*Main[[#This Row],[بدهی تسویه نشده (کیلوگرم)]]</f>
        <v>0</v>
      </c>
      <c r="T2061" s="6">
        <f ca="1">Main[[#This Row],[بدهی سررسید شده (کیلوگرم)]]*Main[[#This Row],[روز از ارسال سفارش]]</f>
        <v>0</v>
      </c>
      <c r="U2061" s="6">
        <f>-SUBTOTAL(9,INDEX(Main[مقدار (کیلوگرم)],1):Main[[#This Row],[مقدار (کیلوگرم)]])</f>
        <v>43684</v>
      </c>
      <c r="V206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61" s="6">
        <f>Main[[#This Row],[تعداد کل روزهای بدهکار (روز)]]*Main[[#This Row],[مانده در خط کل (کیلوگرم)]]</f>
        <v>87368</v>
      </c>
      <c r="X2061" s="6">
        <f ca="1">-SUBTOTAL(9,INDEX(Main[مقدار تسویه شده (کیلوگرم)],1):Main[[#This Row],[مقدار تسویه شده (کیلوگرم)]])</f>
        <v>43684</v>
      </c>
      <c r="Y2061" s="6">
        <f ca="1">IF(Main[[#This Row],[مانده در خط تسویه شده (کیلوگرم)]]&lt;&gt;0,Main[[#This Row],[تعداد کل روزهای بدهکار (روز)]],0)</f>
        <v>2</v>
      </c>
      <c r="Z2061" s="6">
        <f ca="1">Main[[#This Row],[تعداد روزهای بدهکار تسویه شده (روز)]]*Main[[#This Row],[مانده در خط تسویه شده (کیلوگرم)]]</f>
        <v>87368</v>
      </c>
      <c r="AA2061" s="6">
        <f ca="1">SUBTOTAL(9,INDEX(Main[بدهی تسویه نشده (کیلوگرم)],1):Main[[#This Row],[بدهی تسویه نشده (کیلوگرم)]])</f>
        <v>0</v>
      </c>
      <c r="AB2061" s="6">
        <f ca="1">IF(Main[[#This Row],[مانده در خط تسویه نشده (کیلوگرم)]]&lt;&gt;0,Main[[#This Row],[تعداد کل روزهای بدهکار (روز)]],0)</f>
        <v>0</v>
      </c>
      <c r="AC2061" s="6">
        <f ca="1">Main[[#This Row],[تعداد روزهای بدهکار  تسویه نشده (روز)]]*Main[[#This Row],[مانده در خط تسویه نشده (کیلوگرم)]]</f>
        <v>0</v>
      </c>
      <c r="AD2061" s="6">
        <f ca="1">SUBTOTAL(9,INDEX(Main[بدهی سررسید شده (کیلوگرم)],1):Main[[#This Row],[بدهی سررسید شده (کیلوگرم)]])</f>
        <v>0</v>
      </c>
      <c r="AE2061" s="6">
        <f ca="1">IF(Main[[#This Row],[مانده در خط سررسید شده (کیلوگرم)]]&lt;&gt;0,Main[[#This Row],[تعداد کل روزهای بدهکار (روز)]],0)</f>
        <v>0</v>
      </c>
      <c r="AF2061" s="6">
        <f ca="1">Main[[#This Row],[تعداد روزهای بدهکار سررسید شده (روز)]]*Main[[#This Row],[مانده در خط سررسید شده (کیلوگرم)]]</f>
        <v>0</v>
      </c>
    </row>
    <row r="2062" spans="1:32" hidden="1" x14ac:dyDescent="0.35">
      <c r="A2062" s="5">
        <f>ROW()-ROW(INDEX(Main[ردیف],1))+1</f>
        <v>2060</v>
      </c>
      <c r="B2062" s="31">
        <f>SUBTOTAL(2,INDEX(Main[ردیف],1):Main[[#This Row],[ردیف]])</f>
        <v>184</v>
      </c>
      <c r="C2062" s="32" t="s">
        <v>751</v>
      </c>
      <c r="D2062" s="32" t="str">
        <f>_xlfn.CONCAT("14",Main[[#This Row],[تاريخ]])</f>
        <v>1400/08/15</v>
      </c>
      <c r="E2062" s="33">
        <v>44506</v>
      </c>
      <c r="F2062" s="32">
        <v>30191</v>
      </c>
      <c r="G2062" s="5" t="str">
        <f>INDEX(customer[عنوان],MATCH(Main[[#This Row],[کد ردیابی]],customer[کد],0))</f>
        <v>ایران گرما</v>
      </c>
      <c r="H2062">
        <v>1309</v>
      </c>
      <c r="I2062" s="6">
        <f ca="1">-Main[[#This Row],[بدهی تسویه شده (کیلوگرم)]]+Main[[#This Row],[بستانکار (کیلوگرم)]]</f>
        <v>1309</v>
      </c>
      <c r="J2062" s="6">
        <f>IF(Main[[#This Row],[مقدار (کیلوگرم)]]&gt;0,Main[[#This Row],[مقدار (کیلوگرم)]],0)</f>
        <v>1309</v>
      </c>
      <c r="K2062" s="6">
        <f>-IF(Main[[#This Row],[مقدار (کیلوگرم)]]&lt;0,Main[[#This Row],[مقدار (کیلوگرم)]],0)</f>
        <v>0</v>
      </c>
      <c r="L20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2" s="7">
        <f>-IF(AND(Main[[#This Row],[مقدار (کیلوگرم)]]&lt;0,Main[[#This Row],[تاريخ میلادی]]&gt;44276),Main[[#This Row],[مقدار (کیلوگرم)]],0)</f>
        <v>0</v>
      </c>
      <c r="N2062" s="6">
        <f ca="1">Main[[#This Row],[بدهکار (کیلوگرم)]]-Main[[#This Row],[بدهی تسویه نشده (کیلوگرم)]]</f>
        <v>0</v>
      </c>
      <c r="O2062" s="6">
        <f ca="1">Main[[#This Row],[تفکیک]]</f>
        <v>0</v>
      </c>
      <c r="P2062" s="6">
        <f ca="1">IF(Main[[#This Row],[تاخیر از سررسید]]&gt;0,Main[[#This Row],[بدهی تسویه نشده (کیلوگرم)]],0)</f>
        <v>0</v>
      </c>
      <c r="Q2062" s="6">
        <f ca="1">IF(Main[[#This Row],[بدهی تسویه نشده (کیلوگرم)]]&gt;0,'گزارش فردی'!$B$7-Main[[#This Row],[تاريخ میلادی]],0)</f>
        <v>0</v>
      </c>
      <c r="R2062" s="6">
        <f ca="1">IF(Main[[#This Row],[بدهی تسویه نشده (کیلوگرم)]]&gt;0,'گزارش فردی'!$B$7-Main[[#This Row],[تاريخ میلادی]]-'گزارش فردی'!$B$8,0)</f>
        <v>0</v>
      </c>
      <c r="S2062" s="6">
        <f ca="1">Main[[#This Row],[روز از ارسال سفارش]]*Main[[#This Row],[بدهی تسویه نشده (کیلوگرم)]]</f>
        <v>0</v>
      </c>
      <c r="T2062" s="6">
        <f ca="1">Main[[#This Row],[بدهی سررسید شده (کیلوگرم)]]*Main[[#This Row],[روز از ارسال سفارش]]</f>
        <v>0</v>
      </c>
      <c r="U2062" s="6">
        <f>-SUBTOTAL(9,INDEX(Main[مقدار (کیلوگرم)],1):Main[[#This Row],[مقدار (کیلوگرم)]])</f>
        <v>43684</v>
      </c>
      <c r="V206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62" s="6">
        <f>Main[[#This Row],[تعداد کل روزهای بدهکار (روز)]]*Main[[#This Row],[مانده در خط کل (کیلوگرم)]]</f>
        <v>87368</v>
      </c>
      <c r="X2062" s="6">
        <f ca="1">-SUBTOTAL(9,INDEX(Main[مقدار تسویه شده (کیلوگرم)],1):Main[[#This Row],[مقدار تسویه شده (کیلوگرم)]])</f>
        <v>43684</v>
      </c>
      <c r="Y2062" s="6">
        <f ca="1">IF(Main[[#This Row],[مانده در خط تسویه شده (کیلوگرم)]]&lt;&gt;0,Main[[#This Row],[تعداد کل روزهای بدهکار (روز)]],0)</f>
        <v>2</v>
      </c>
      <c r="Z2062" s="6">
        <f ca="1">Main[[#This Row],[تعداد روزهای بدهکار تسویه شده (روز)]]*Main[[#This Row],[مانده در خط تسویه شده (کیلوگرم)]]</f>
        <v>87368</v>
      </c>
      <c r="AA2062" s="6">
        <f ca="1">SUBTOTAL(9,INDEX(Main[بدهی تسویه نشده (کیلوگرم)],1):Main[[#This Row],[بدهی تسویه نشده (کیلوگرم)]])</f>
        <v>0</v>
      </c>
      <c r="AB2062" s="6">
        <f ca="1">IF(Main[[#This Row],[مانده در خط تسویه نشده (کیلوگرم)]]&lt;&gt;0,Main[[#This Row],[تعداد کل روزهای بدهکار (روز)]],0)</f>
        <v>0</v>
      </c>
      <c r="AC2062" s="6">
        <f ca="1">Main[[#This Row],[تعداد روزهای بدهکار  تسویه نشده (روز)]]*Main[[#This Row],[مانده در خط تسویه نشده (کیلوگرم)]]</f>
        <v>0</v>
      </c>
      <c r="AD2062" s="6">
        <f ca="1">SUBTOTAL(9,INDEX(Main[بدهی سررسید شده (کیلوگرم)],1):Main[[#This Row],[بدهی سررسید شده (کیلوگرم)]])</f>
        <v>0</v>
      </c>
      <c r="AE2062" s="6">
        <f ca="1">IF(Main[[#This Row],[مانده در خط سررسید شده (کیلوگرم)]]&lt;&gt;0,Main[[#This Row],[تعداد کل روزهای بدهکار (روز)]],0)</f>
        <v>0</v>
      </c>
      <c r="AF2062" s="6">
        <f ca="1">Main[[#This Row],[تعداد روزهای بدهکار سررسید شده (روز)]]*Main[[#This Row],[مانده در خط سررسید شده (کیلوگرم)]]</f>
        <v>0</v>
      </c>
    </row>
    <row r="2063" spans="1:32" hidden="1" x14ac:dyDescent="0.35">
      <c r="A2063" s="5">
        <f>ROW()-ROW(INDEX(Main[ردیف],1))+1</f>
        <v>2061</v>
      </c>
      <c r="B2063" s="31">
        <f>SUBTOTAL(2,INDEX(Main[ردیف],1):Main[[#This Row],[ردیف]])</f>
        <v>184</v>
      </c>
      <c r="C2063" s="32" t="s">
        <v>752</v>
      </c>
      <c r="D2063" s="32" t="str">
        <f>_xlfn.CONCAT("14",Main[[#This Row],[تاريخ]])</f>
        <v>1400/08/16</v>
      </c>
      <c r="E2063" s="33">
        <v>44507</v>
      </c>
      <c r="F2063" s="32">
        <v>30081</v>
      </c>
      <c r="G2063" s="5" t="str">
        <f>INDEX(customer[عنوان],MATCH(Main[[#This Row],[کد ردیابی]],customer[کد],0))</f>
        <v xml:space="preserve">شیرآلات بهداشتی راسان </v>
      </c>
      <c r="H2063">
        <v>-2259</v>
      </c>
      <c r="I2063" s="6">
        <f ca="1">-Main[[#This Row],[بدهی تسویه شده (کیلوگرم)]]+Main[[#This Row],[بستانکار (کیلوگرم)]]</f>
        <v>-2259</v>
      </c>
      <c r="J2063" s="6">
        <f>IF(Main[[#This Row],[مقدار (کیلوگرم)]]&gt;0,Main[[#This Row],[مقدار (کیلوگرم)]],0)</f>
        <v>0</v>
      </c>
      <c r="K2063" s="6">
        <f>-IF(Main[[#This Row],[مقدار (کیلوگرم)]]&lt;0,Main[[#This Row],[مقدار (کیلوگرم)]],0)</f>
        <v>2259</v>
      </c>
      <c r="L20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3" s="7">
        <f>-IF(AND(Main[[#This Row],[مقدار (کیلوگرم)]]&lt;0,Main[[#This Row],[تاريخ میلادی]]&gt;44276),Main[[#This Row],[مقدار (کیلوگرم)]],0)</f>
        <v>2259</v>
      </c>
      <c r="N2063" s="6">
        <f ca="1">Main[[#This Row],[بدهکار (کیلوگرم)]]-Main[[#This Row],[بدهی تسویه نشده (کیلوگرم)]]</f>
        <v>2259</v>
      </c>
      <c r="O2063" s="6">
        <f ca="1">Main[[#This Row],[تفکیک]]</f>
        <v>0</v>
      </c>
      <c r="P2063" s="6">
        <f ca="1">IF(Main[[#This Row],[تاخیر از سررسید]]&gt;0,Main[[#This Row],[بدهی تسویه نشده (کیلوگرم)]],0)</f>
        <v>0</v>
      </c>
      <c r="Q2063" s="6">
        <f ca="1">IF(Main[[#This Row],[بدهی تسویه نشده (کیلوگرم)]]&gt;0,'گزارش فردی'!$B$7-Main[[#This Row],[تاريخ میلادی]],0)</f>
        <v>0</v>
      </c>
      <c r="R2063" s="6">
        <f ca="1">IF(Main[[#This Row],[بدهی تسویه نشده (کیلوگرم)]]&gt;0,'گزارش فردی'!$B$7-Main[[#This Row],[تاريخ میلادی]]-'گزارش فردی'!$B$8,0)</f>
        <v>0</v>
      </c>
      <c r="S2063" s="6">
        <f ca="1">Main[[#This Row],[روز از ارسال سفارش]]*Main[[#This Row],[بدهی تسویه نشده (کیلوگرم)]]</f>
        <v>0</v>
      </c>
      <c r="T2063" s="6">
        <f ca="1">Main[[#This Row],[بدهی سررسید شده (کیلوگرم)]]*Main[[#This Row],[روز از ارسال سفارش]]</f>
        <v>0</v>
      </c>
      <c r="U2063" s="6">
        <f>-SUBTOTAL(9,INDEX(Main[مقدار (کیلوگرم)],1):Main[[#This Row],[مقدار (کیلوگرم)]])</f>
        <v>43684</v>
      </c>
      <c r="V20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3" s="6">
        <f>Main[[#This Row],[تعداد کل روزهای بدهکار (روز)]]*Main[[#This Row],[مانده در خط کل (کیلوگرم)]]</f>
        <v>43684</v>
      </c>
      <c r="X2063" s="6">
        <f ca="1">-SUBTOTAL(9,INDEX(Main[مقدار تسویه شده (کیلوگرم)],1):Main[[#This Row],[مقدار تسویه شده (کیلوگرم)]])</f>
        <v>43684</v>
      </c>
      <c r="Y2063" s="6">
        <f ca="1">IF(Main[[#This Row],[مانده در خط تسویه شده (کیلوگرم)]]&lt;&gt;0,Main[[#This Row],[تعداد کل روزهای بدهکار (روز)]],0)</f>
        <v>1</v>
      </c>
      <c r="Z2063" s="6">
        <f ca="1">Main[[#This Row],[تعداد روزهای بدهکار تسویه شده (روز)]]*Main[[#This Row],[مانده در خط تسویه شده (کیلوگرم)]]</f>
        <v>43684</v>
      </c>
      <c r="AA2063" s="6">
        <f ca="1">SUBTOTAL(9,INDEX(Main[بدهی تسویه نشده (کیلوگرم)],1):Main[[#This Row],[بدهی تسویه نشده (کیلوگرم)]])</f>
        <v>0</v>
      </c>
      <c r="AB2063" s="6">
        <f ca="1">IF(Main[[#This Row],[مانده در خط تسویه نشده (کیلوگرم)]]&lt;&gt;0,Main[[#This Row],[تعداد کل روزهای بدهکار (روز)]],0)</f>
        <v>0</v>
      </c>
      <c r="AC2063" s="6">
        <f ca="1">Main[[#This Row],[تعداد روزهای بدهکار  تسویه نشده (روز)]]*Main[[#This Row],[مانده در خط تسویه نشده (کیلوگرم)]]</f>
        <v>0</v>
      </c>
      <c r="AD2063" s="6">
        <f ca="1">SUBTOTAL(9,INDEX(Main[بدهی سررسید شده (کیلوگرم)],1):Main[[#This Row],[بدهی سررسید شده (کیلوگرم)]])</f>
        <v>0</v>
      </c>
      <c r="AE2063" s="6">
        <f ca="1">IF(Main[[#This Row],[مانده در خط سررسید شده (کیلوگرم)]]&lt;&gt;0,Main[[#This Row],[تعداد کل روزهای بدهکار (روز)]],0)</f>
        <v>0</v>
      </c>
      <c r="AF2063" s="6">
        <f ca="1">Main[[#This Row],[تعداد روزهای بدهکار سررسید شده (روز)]]*Main[[#This Row],[مانده در خط سررسید شده (کیلوگرم)]]</f>
        <v>0</v>
      </c>
    </row>
    <row r="2064" spans="1:32" hidden="1" x14ac:dyDescent="0.35">
      <c r="A2064" s="5">
        <f>ROW()-ROW(INDEX(Main[ردیف],1))+1</f>
        <v>2062</v>
      </c>
      <c r="B2064" s="31">
        <f>SUBTOTAL(2,INDEX(Main[ردیف],1):Main[[#This Row],[ردیف]])</f>
        <v>184</v>
      </c>
      <c r="C2064" s="32" t="s">
        <v>752</v>
      </c>
      <c r="D2064" s="32" t="str">
        <f>_xlfn.CONCAT("14",Main[[#This Row],[تاريخ]])</f>
        <v>1400/08/16</v>
      </c>
      <c r="E2064" s="33">
        <v>44507</v>
      </c>
      <c r="F2064" s="32">
        <v>30198</v>
      </c>
      <c r="G2064" s="5" t="str">
        <f>INDEX(customer[عنوان],MATCH(Main[[#This Row],[کد ردیابی]],customer[کد],0))</f>
        <v>ابزار صنعت میلاد</v>
      </c>
      <c r="H2064">
        <v>31</v>
      </c>
      <c r="I2064" s="6">
        <f ca="1">-Main[[#This Row],[بدهی تسویه شده (کیلوگرم)]]+Main[[#This Row],[بستانکار (کیلوگرم)]]</f>
        <v>31</v>
      </c>
      <c r="J2064" s="6">
        <f>IF(Main[[#This Row],[مقدار (کیلوگرم)]]&gt;0,Main[[#This Row],[مقدار (کیلوگرم)]],0)</f>
        <v>31</v>
      </c>
      <c r="K2064" s="6">
        <f>-IF(Main[[#This Row],[مقدار (کیلوگرم)]]&lt;0,Main[[#This Row],[مقدار (کیلوگرم)]],0)</f>
        <v>0</v>
      </c>
      <c r="L20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4" s="7">
        <f>-IF(AND(Main[[#This Row],[مقدار (کیلوگرم)]]&lt;0,Main[[#This Row],[تاريخ میلادی]]&gt;44276),Main[[#This Row],[مقدار (کیلوگرم)]],0)</f>
        <v>0</v>
      </c>
      <c r="N2064" s="6">
        <f ca="1">Main[[#This Row],[بدهکار (کیلوگرم)]]-Main[[#This Row],[بدهی تسویه نشده (کیلوگرم)]]</f>
        <v>0</v>
      </c>
      <c r="O2064" s="6">
        <f ca="1">Main[[#This Row],[تفکیک]]</f>
        <v>0</v>
      </c>
      <c r="P2064" s="6">
        <f ca="1">IF(Main[[#This Row],[تاخیر از سررسید]]&gt;0,Main[[#This Row],[بدهی تسویه نشده (کیلوگرم)]],0)</f>
        <v>0</v>
      </c>
      <c r="Q2064" s="6">
        <f ca="1">IF(Main[[#This Row],[بدهی تسویه نشده (کیلوگرم)]]&gt;0,'گزارش فردی'!$B$7-Main[[#This Row],[تاريخ میلادی]],0)</f>
        <v>0</v>
      </c>
      <c r="R2064" s="6">
        <f ca="1">IF(Main[[#This Row],[بدهی تسویه نشده (کیلوگرم)]]&gt;0,'گزارش فردی'!$B$7-Main[[#This Row],[تاريخ میلادی]]-'گزارش فردی'!$B$8,0)</f>
        <v>0</v>
      </c>
      <c r="S2064" s="6">
        <f ca="1">Main[[#This Row],[روز از ارسال سفارش]]*Main[[#This Row],[بدهی تسویه نشده (کیلوگرم)]]</f>
        <v>0</v>
      </c>
      <c r="T2064" s="6">
        <f ca="1">Main[[#This Row],[بدهی سررسید شده (کیلوگرم)]]*Main[[#This Row],[روز از ارسال سفارش]]</f>
        <v>0</v>
      </c>
      <c r="U2064" s="6">
        <f>-SUBTOTAL(9,INDEX(Main[مقدار (کیلوگرم)],1):Main[[#This Row],[مقدار (کیلوگرم)]])</f>
        <v>43684</v>
      </c>
      <c r="V20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4" s="6">
        <f>Main[[#This Row],[تعداد کل روزهای بدهکار (روز)]]*Main[[#This Row],[مانده در خط کل (کیلوگرم)]]</f>
        <v>43684</v>
      </c>
      <c r="X2064" s="6">
        <f ca="1">-SUBTOTAL(9,INDEX(Main[مقدار تسویه شده (کیلوگرم)],1):Main[[#This Row],[مقدار تسویه شده (کیلوگرم)]])</f>
        <v>43684</v>
      </c>
      <c r="Y2064" s="6">
        <f ca="1">IF(Main[[#This Row],[مانده در خط تسویه شده (کیلوگرم)]]&lt;&gt;0,Main[[#This Row],[تعداد کل روزهای بدهکار (روز)]],0)</f>
        <v>1</v>
      </c>
      <c r="Z2064" s="6">
        <f ca="1">Main[[#This Row],[تعداد روزهای بدهکار تسویه شده (روز)]]*Main[[#This Row],[مانده در خط تسویه شده (کیلوگرم)]]</f>
        <v>43684</v>
      </c>
      <c r="AA2064" s="6">
        <f ca="1">SUBTOTAL(9,INDEX(Main[بدهی تسویه نشده (کیلوگرم)],1):Main[[#This Row],[بدهی تسویه نشده (کیلوگرم)]])</f>
        <v>0</v>
      </c>
      <c r="AB2064" s="6">
        <f ca="1">IF(Main[[#This Row],[مانده در خط تسویه نشده (کیلوگرم)]]&lt;&gt;0,Main[[#This Row],[تعداد کل روزهای بدهکار (روز)]],0)</f>
        <v>0</v>
      </c>
      <c r="AC2064" s="6">
        <f ca="1">Main[[#This Row],[تعداد روزهای بدهکار  تسویه نشده (روز)]]*Main[[#This Row],[مانده در خط تسویه نشده (کیلوگرم)]]</f>
        <v>0</v>
      </c>
      <c r="AD2064" s="6">
        <f ca="1">SUBTOTAL(9,INDEX(Main[بدهی سررسید شده (کیلوگرم)],1):Main[[#This Row],[بدهی سررسید شده (کیلوگرم)]])</f>
        <v>0</v>
      </c>
      <c r="AE2064" s="6">
        <f ca="1">IF(Main[[#This Row],[مانده در خط سررسید شده (کیلوگرم)]]&lt;&gt;0,Main[[#This Row],[تعداد کل روزهای بدهکار (روز)]],0)</f>
        <v>0</v>
      </c>
      <c r="AF2064" s="6">
        <f ca="1">Main[[#This Row],[تعداد روزهای بدهکار سررسید شده (روز)]]*Main[[#This Row],[مانده در خط سررسید شده (کیلوگرم)]]</f>
        <v>0</v>
      </c>
    </row>
    <row r="2065" spans="1:32" hidden="1" x14ac:dyDescent="0.35">
      <c r="A2065" s="5">
        <f>ROW()-ROW(INDEX(Main[ردیف],1))+1</f>
        <v>2063</v>
      </c>
      <c r="B2065" s="31">
        <f>SUBTOTAL(2,INDEX(Main[ردیف],1):Main[[#This Row],[ردیف]])</f>
        <v>184</v>
      </c>
      <c r="C2065" s="32" t="s">
        <v>752</v>
      </c>
      <c r="D2065" s="32" t="str">
        <f>_xlfn.CONCAT("14",Main[[#This Row],[تاريخ]])</f>
        <v>1400/08/16</v>
      </c>
      <c r="E2065" s="33">
        <v>44507</v>
      </c>
      <c r="F2065" s="32">
        <v>30198</v>
      </c>
      <c r="G2065" s="5" t="str">
        <f>INDEX(customer[عنوان],MATCH(Main[[#This Row],[کد ردیابی]],customer[کد],0))</f>
        <v>ابزار صنعت میلاد</v>
      </c>
      <c r="H2065">
        <v>-745</v>
      </c>
      <c r="I2065" s="6">
        <f ca="1">-Main[[#This Row],[بدهی تسویه شده (کیلوگرم)]]+Main[[#This Row],[بستانکار (کیلوگرم)]]</f>
        <v>-745</v>
      </c>
      <c r="J2065" s="6">
        <f>IF(Main[[#This Row],[مقدار (کیلوگرم)]]&gt;0,Main[[#This Row],[مقدار (کیلوگرم)]],0)</f>
        <v>0</v>
      </c>
      <c r="K2065" s="6">
        <f>-IF(Main[[#This Row],[مقدار (کیلوگرم)]]&lt;0,Main[[#This Row],[مقدار (کیلوگرم)]],0)</f>
        <v>745</v>
      </c>
      <c r="L20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5" s="7">
        <f>-IF(AND(Main[[#This Row],[مقدار (کیلوگرم)]]&lt;0,Main[[#This Row],[تاريخ میلادی]]&gt;44276),Main[[#This Row],[مقدار (کیلوگرم)]],0)</f>
        <v>745</v>
      </c>
      <c r="N2065" s="6">
        <f ca="1">Main[[#This Row],[بدهکار (کیلوگرم)]]-Main[[#This Row],[بدهی تسویه نشده (کیلوگرم)]]</f>
        <v>745</v>
      </c>
      <c r="O2065" s="6">
        <f ca="1">Main[[#This Row],[تفکیک]]</f>
        <v>0</v>
      </c>
      <c r="P2065" s="6">
        <f ca="1">IF(Main[[#This Row],[تاخیر از سررسید]]&gt;0,Main[[#This Row],[بدهی تسویه نشده (کیلوگرم)]],0)</f>
        <v>0</v>
      </c>
      <c r="Q2065" s="6">
        <f ca="1">IF(Main[[#This Row],[بدهی تسویه نشده (کیلوگرم)]]&gt;0,'گزارش فردی'!$B$7-Main[[#This Row],[تاريخ میلادی]],0)</f>
        <v>0</v>
      </c>
      <c r="R2065" s="6">
        <f ca="1">IF(Main[[#This Row],[بدهی تسویه نشده (کیلوگرم)]]&gt;0,'گزارش فردی'!$B$7-Main[[#This Row],[تاريخ میلادی]]-'گزارش فردی'!$B$8,0)</f>
        <v>0</v>
      </c>
      <c r="S2065" s="6">
        <f ca="1">Main[[#This Row],[روز از ارسال سفارش]]*Main[[#This Row],[بدهی تسویه نشده (کیلوگرم)]]</f>
        <v>0</v>
      </c>
      <c r="T2065" s="6">
        <f ca="1">Main[[#This Row],[بدهی سررسید شده (کیلوگرم)]]*Main[[#This Row],[روز از ارسال سفارش]]</f>
        <v>0</v>
      </c>
      <c r="U2065" s="6">
        <f>-SUBTOTAL(9,INDEX(Main[مقدار (کیلوگرم)],1):Main[[#This Row],[مقدار (کیلوگرم)]])</f>
        <v>43684</v>
      </c>
      <c r="V20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5" s="6">
        <f>Main[[#This Row],[تعداد کل روزهای بدهکار (روز)]]*Main[[#This Row],[مانده در خط کل (کیلوگرم)]]</f>
        <v>43684</v>
      </c>
      <c r="X2065" s="6">
        <f ca="1">-SUBTOTAL(9,INDEX(Main[مقدار تسویه شده (کیلوگرم)],1):Main[[#This Row],[مقدار تسویه شده (کیلوگرم)]])</f>
        <v>43684</v>
      </c>
      <c r="Y2065" s="6">
        <f ca="1">IF(Main[[#This Row],[مانده در خط تسویه شده (کیلوگرم)]]&lt;&gt;0,Main[[#This Row],[تعداد کل روزهای بدهکار (روز)]],0)</f>
        <v>1</v>
      </c>
      <c r="Z2065" s="6">
        <f ca="1">Main[[#This Row],[تعداد روزهای بدهکار تسویه شده (روز)]]*Main[[#This Row],[مانده در خط تسویه شده (کیلوگرم)]]</f>
        <v>43684</v>
      </c>
      <c r="AA2065" s="6">
        <f ca="1">SUBTOTAL(9,INDEX(Main[بدهی تسویه نشده (کیلوگرم)],1):Main[[#This Row],[بدهی تسویه نشده (کیلوگرم)]])</f>
        <v>0</v>
      </c>
      <c r="AB2065" s="6">
        <f ca="1">IF(Main[[#This Row],[مانده در خط تسویه نشده (کیلوگرم)]]&lt;&gt;0,Main[[#This Row],[تعداد کل روزهای بدهکار (روز)]],0)</f>
        <v>0</v>
      </c>
      <c r="AC2065" s="6">
        <f ca="1">Main[[#This Row],[تعداد روزهای بدهکار  تسویه نشده (روز)]]*Main[[#This Row],[مانده در خط تسویه نشده (کیلوگرم)]]</f>
        <v>0</v>
      </c>
      <c r="AD2065" s="6">
        <f ca="1">SUBTOTAL(9,INDEX(Main[بدهی سررسید شده (کیلوگرم)],1):Main[[#This Row],[بدهی سررسید شده (کیلوگرم)]])</f>
        <v>0</v>
      </c>
      <c r="AE2065" s="6">
        <f ca="1">IF(Main[[#This Row],[مانده در خط سررسید شده (کیلوگرم)]]&lt;&gt;0,Main[[#This Row],[تعداد کل روزهای بدهکار (روز)]],0)</f>
        <v>0</v>
      </c>
      <c r="AF2065" s="6">
        <f ca="1">Main[[#This Row],[تعداد روزهای بدهکار سررسید شده (روز)]]*Main[[#This Row],[مانده در خط سررسید شده (کیلوگرم)]]</f>
        <v>0</v>
      </c>
    </row>
    <row r="2066" spans="1:32" hidden="1" x14ac:dyDescent="0.35">
      <c r="A2066" s="5">
        <f>ROW()-ROW(INDEX(Main[ردیف],1))+1</f>
        <v>2064</v>
      </c>
      <c r="B2066" s="31">
        <f>SUBTOTAL(2,INDEX(Main[ردیف],1):Main[[#This Row],[ردیف]])</f>
        <v>184</v>
      </c>
      <c r="C2066" s="32" t="s">
        <v>752</v>
      </c>
      <c r="D2066" s="32" t="str">
        <f>_xlfn.CONCAT("14",Main[[#This Row],[تاريخ]])</f>
        <v>1400/08/16</v>
      </c>
      <c r="E2066" s="33">
        <v>44507</v>
      </c>
      <c r="F2066" s="32">
        <v>30198</v>
      </c>
      <c r="G2066" s="5" t="str">
        <f>INDEX(customer[عنوان],MATCH(Main[[#This Row],[کد ردیابی]],customer[کد],0))</f>
        <v>ابزار صنعت میلاد</v>
      </c>
      <c r="H2066">
        <v>70</v>
      </c>
      <c r="I2066" s="6">
        <f ca="1">-Main[[#This Row],[بدهی تسویه شده (کیلوگرم)]]+Main[[#This Row],[بستانکار (کیلوگرم)]]</f>
        <v>70</v>
      </c>
      <c r="J2066" s="6">
        <f>IF(Main[[#This Row],[مقدار (کیلوگرم)]]&gt;0,Main[[#This Row],[مقدار (کیلوگرم)]],0)</f>
        <v>70</v>
      </c>
      <c r="K2066" s="6">
        <f>-IF(Main[[#This Row],[مقدار (کیلوگرم)]]&lt;0,Main[[#This Row],[مقدار (کیلوگرم)]],0)</f>
        <v>0</v>
      </c>
      <c r="L20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6" s="7">
        <f>-IF(AND(Main[[#This Row],[مقدار (کیلوگرم)]]&lt;0,Main[[#This Row],[تاريخ میلادی]]&gt;44276),Main[[#This Row],[مقدار (کیلوگرم)]],0)</f>
        <v>0</v>
      </c>
      <c r="N2066" s="6">
        <f ca="1">Main[[#This Row],[بدهکار (کیلوگرم)]]-Main[[#This Row],[بدهی تسویه نشده (کیلوگرم)]]</f>
        <v>0</v>
      </c>
      <c r="O2066" s="6">
        <f ca="1">Main[[#This Row],[تفکیک]]</f>
        <v>0</v>
      </c>
      <c r="P2066" s="6">
        <f ca="1">IF(Main[[#This Row],[تاخیر از سررسید]]&gt;0,Main[[#This Row],[بدهی تسویه نشده (کیلوگرم)]],0)</f>
        <v>0</v>
      </c>
      <c r="Q2066" s="6">
        <f ca="1">IF(Main[[#This Row],[بدهی تسویه نشده (کیلوگرم)]]&gt;0,'گزارش فردی'!$B$7-Main[[#This Row],[تاريخ میلادی]],0)</f>
        <v>0</v>
      </c>
      <c r="R2066" s="6">
        <f ca="1">IF(Main[[#This Row],[بدهی تسویه نشده (کیلوگرم)]]&gt;0,'گزارش فردی'!$B$7-Main[[#This Row],[تاريخ میلادی]]-'گزارش فردی'!$B$8,0)</f>
        <v>0</v>
      </c>
      <c r="S2066" s="6">
        <f ca="1">Main[[#This Row],[روز از ارسال سفارش]]*Main[[#This Row],[بدهی تسویه نشده (کیلوگرم)]]</f>
        <v>0</v>
      </c>
      <c r="T2066" s="6">
        <f ca="1">Main[[#This Row],[بدهی سررسید شده (کیلوگرم)]]*Main[[#This Row],[روز از ارسال سفارش]]</f>
        <v>0</v>
      </c>
      <c r="U2066" s="6">
        <f>-SUBTOTAL(9,INDEX(Main[مقدار (کیلوگرم)],1):Main[[#This Row],[مقدار (کیلوگرم)]])</f>
        <v>43684</v>
      </c>
      <c r="V20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6" s="6">
        <f>Main[[#This Row],[تعداد کل روزهای بدهکار (روز)]]*Main[[#This Row],[مانده در خط کل (کیلوگرم)]]</f>
        <v>43684</v>
      </c>
      <c r="X2066" s="6">
        <f ca="1">-SUBTOTAL(9,INDEX(Main[مقدار تسویه شده (کیلوگرم)],1):Main[[#This Row],[مقدار تسویه شده (کیلوگرم)]])</f>
        <v>43684</v>
      </c>
      <c r="Y2066" s="6">
        <f ca="1">IF(Main[[#This Row],[مانده در خط تسویه شده (کیلوگرم)]]&lt;&gt;0,Main[[#This Row],[تعداد کل روزهای بدهکار (روز)]],0)</f>
        <v>1</v>
      </c>
      <c r="Z2066" s="6">
        <f ca="1">Main[[#This Row],[تعداد روزهای بدهکار تسویه شده (روز)]]*Main[[#This Row],[مانده در خط تسویه شده (کیلوگرم)]]</f>
        <v>43684</v>
      </c>
      <c r="AA2066" s="6">
        <f ca="1">SUBTOTAL(9,INDEX(Main[بدهی تسویه نشده (کیلوگرم)],1):Main[[#This Row],[بدهی تسویه نشده (کیلوگرم)]])</f>
        <v>0</v>
      </c>
      <c r="AB2066" s="6">
        <f ca="1">IF(Main[[#This Row],[مانده در خط تسویه نشده (کیلوگرم)]]&lt;&gt;0,Main[[#This Row],[تعداد کل روزهای بدهکار (روز)]],0)</f>
        <v>0</v>
      </c>
      <c r="AC2066" s="6">
        <f ca="1">Main[[#This Row],[تعداد روزهای بدهکار  تسویه نشده (روز)]]*Main[[#This Row],[مانده در خط تسویه نشده (کیلوگرم)]]</f>
        <v>0</v>
      </c>
      <c r="AD2066" s="6">
        <f ca="1">SUBTOTAL(9,INDEX(Main[بدهی سررسید شده (کیلوگرم)],1):Main[[#This Row],[بدهی سررسید شده (کیلوگرم)]])</f>
        <v>0</v>
      </c>
      <c r="AE2066" s="6">
        <f ca="1">IF(Main[[#This Row],[مانده در خط سررسید شده (کیلوگرم)]]&lt;&gt;0,Main[[#This Row],[تعداد کل روزهای بدهکار (روز)]],0)</f>
        <v>0</v>
      </c>
      <c r="AF2066" s="6">
        <f ca="1">Main[[#This Row],[تعداد روزهای بدهکار سررسید شده (روز)]]*Main[[#This Row],[مانده در خط سررسید شده (کیلوگرم)]]</f>
        <v>0</v>
      </c>
    </row>
    <row r="2067" spans="1:32" hidden="1" x14ac:dyDescent="0.35">
      <c r="A2067" s="5">
        <f>ROW()-ROW(INDEX(Main[ردیف],1))+1</f>
        <v>2065</v>
      </c>
      <c r="B2067" s="31">
        <f>SUBTOTAL(2,INDEX(Main[ردیف],1):Main[[#This Row],[ردیف]])</f>
        <v>184</v>
      </c>
      <c r="C2067" s="32" t="s">
        <v>752</v>
      </c>
      <c r="D2067" s="32" t="str">
        <f>_xlfn.CONCAT("14",Main[[#This Row],[تاريخ]])</f>
        <v>1400/08/16</v>
      </c>
      <c r="E2067" s="33">
        <v>44507</v>
      </c>
      <c r="F2067" s="32">
        <v>30099</v>
      </c>
      <c r="G2067" s="5" t="str">
        <f>INDEX(customer[عنوان],MATCH(Main[[#This Row],[کد ردیابی]],customer[کد],0))</f>
        <v>ایران شرق نیشابور</v>
      </c>
      <c r="H2067">
        <v>-3032</v>
      </c>
      <c r="I2067" s="6">
        <f ca="1">-Main[[#This Row],[بدهی تسویه شده (کیلوگرم)]]+Main[[#This Row],[بستانکار (کیلوگرم)]]</f>
        <v>-3032</v>
      </c>
      <c r="J2067" s="6">
        <f>IF(Main[[#This Row],[مقدار (کیلوگرم)]]&gt;0,Main[[#This Row],[مقدار (کیلوگرم)]],0)</f>
        <v>0</v>
      </c>
      <c r="K2067" s="6">
        <f>-IF(Main[[#This Row],[مقدار (کیلوگرم)]]&lt;0,Main[[#This Row],[مقدار (کیلوگرم)]],0)</f>
        <v>3032</v>
      </c>
      <c r="L20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7" s="7">
        <f>-IF(AND(Main[[#This Row],[مقدار (کیلوگرم)]]&lt;0,Main[[#This Row],[تاريخ میلادی]]&gt;44276),Main[[#This Row],[مقدار (کیلوگرم)]],0)</f>
        <v>3032</v>
      </c>
      <c r="N2067" s="6">
        <f ca="1">Main[[#This Row],[بدهکار (کیلوگرم)]]-Main[[#This Row],[بدهی تسویه نشده (کیلوگرم)]]</f>
        <v>3032</v>
      </c>
      <c r="O2067" s="6">
        <f ca="1">Main[[#This Row],[تفکیک]]</f>
        <v>0</v>
      </c>
      <c r="P2067" s="6">
        <f ca="1">IF(Main[[#This Row],[تاخیر از سررسید]]&gt;0,Main[[#This Row],[بدهی تسویه نشده (کیلوگرم)]],0)</f>
        <v>0</v>
      </c>
      <c r="Q2067" s="6">
        <f ca="1">IF(Main[[#This Row],[بدهی تسویه نشده (کیلوگرم)]]&gt;0,'گزارش فردی'!$B$7-Main[[#This Row],[تاريخ میلادی]],0)</f>
        <v>0</v>
      </c>
      <c r="R2067" s="6">
        <f ca="1">IF(Main[[#This Row],[بدهی تسویه نشده (کیلوگرم)]]&gt;0,'گزارش فردی'!$B$7-Main[[#This Row],[تاريخ میلادی]]-'گزارش فردی'!$B$8,0)</f>
        <v>0</v>
      </c>
      <c r="S2067" s="6">
        <f ca="1">Main[[#This Row],[روز از ارسال سفارش]]*Main[[#This Row],[بدهی تسویه نشده (کیلوگرم)]]</f>
        <v>0</v>
      </c>
      <c r="T2067" s="6">
        <f ca="1">Main[[#This Row],[بدهی سررسید شده (کیلوگرم)]]*Main[[#This Row],[روز از ارسال سفارش]]</f>
        <v>0</v>
      </c>
      <c r="U2067" s="6">
        <f>-SUBTOTAL(9,INDEX(Main[مقدار (کیلوگرم)],1):Main[[#This Row],[مقدار (کیلوگرم)]])</f>
        <v>43684</v>
      </c>
      <c r="V20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7" s="6">
        <f>Main[[#This Row],[تعداد کل روزهای بدهکار (روز)]]*Main[[#This Row],[مانده در خط کل (کیلوگرم)]]</f>
        <v>43684</v>
      </c>
      <c r="X2067" s="6">
        <f ca="1">-SUBTOTAL(9,INDEX(Main[مقدار تسویه شده (کیلوگرم)],1):Main[[#This Row],[مقدار تسویه شده (کیلوگرم)]])</f>
        <v>43684</v>
      </c>
      <c r="Y2067" s="6">
        <f ca="1">IF(Main[[#This Row],[مانده در خط تسویه شده (کیلوگرم)]]&lt;&gt;0,Main[[#This Row],[تعداد کل روزهای بدهکار (روز)]],0)</f>
        <v>1</v>
      </c>
      <c r="Z2067" s="6">
        <f ca="1">Main[[#This Row],[تعداد روزهای بدهکار تسویه شده (روز)]]*Main[[#This Row],[مانده در خط تسویه شده (کیلوگرم)]]</f>
        <v>43684</v>
      </c>
      <c r="AA2067" s="6">
        <f ca="1">SUBTOTAL(9,INDEX(Main[بدهی تسویه نشده (کیلوگرم)],1):Main[[#This Row],[بدهی تسویه نشده (کیلوگرم)]])</f>
        <v>0</v>
      </c>
      <c r="AB2067" s="6">
        <f ca="1">IF(Main[[#This Row],[مانده در خط تسویه نشده (کیلوگرم)]]&lt;&gt;0,Main[[#This Row],[تعداد کل روزهای بدهکار (روز)]],0)</f>
        <v>0</v>
      </c>
      <c r="AC2067" s="6">
        <f ca="1">Main[[#This Row],[تعداد روزهای بدهکار  تسویه نشده (روز)]]*Main[[#This Row],[مانده در خط تسویه نشده (کیلوگرم)]]</f>
        <v>0</v>
      </c>
      <c r="AD2067" s="6">
        <f ca="1">SUBTOTAL(9,INDEX(Main[بدهی سررسید شده (کیلوگرم)],1):Main[[#This Row],[بدهی سررسید شده (کیلوگرم)]])</f>
        <v>0</v>
      </c>
      <c r="AE2067" s="6">
        <f ca="1">IF(Main[[#This Row],[مانده در خط سررسید شده (کیلوگرم)]]&lt;&gt;0,Main[[#This Row],[تعداد کل روزهای بدهکار (روز)]],0)</f>
        <v>0</v>
      </c>
      <c r="AF2067" s="6">
        <f ca="1">Main[[#This Row],[تعداد روزهای بدهکار سررسید شده (روز)]]*Main[[#This Row],[مانده در خط سررسید شده (کیلوگرم)]]</f>
        <v>0</v>
      </c>
    </row>
    <row r="2068" spans="1:32" hidden="1" x14ac:dyDescent="0.35">
      <c r="A2068" s="5">
        <f>ROW()-ROW(INDEX(Main[ردیف],1))+1</f>
        <v>2066</v>
      </c>
      <c r="B2068" s="31">
        <f>SUBTOTAL(2,INDEX(Main[ردیف],1):Main[[#This Row],[ردیف]])</f>
        <v>184</v>
      </c>
      <c r="C2068" s="32" t="s">
        <v>752</v>
      </c>
      <c r="D2068" s="32" t="str">
        <f>_xlfn.CONCAT("14",Main[[#This Row],[تاريخ]])</f>
        <v>1400/08/16</v>
      </c>
      <c r="E2068" s="33">
        <v>44507</v>
      </c>
      <c r="F2068" s="32">
        <v>10055</v>
      </c>
      <c r="G2068" s="5" t="str">
        <f>INDEX(customer[عنوان],MATCH(Main[[#This Row],[کد ردیابی]],customer[کد],0))</f>
        <v xml:space="preserve">مریم فیض آبادی  </v>
      </c>
      <c r="H2068">
        <v>-4828</v>
      </c>
      <c r="I2068" s="6">
        <f ca="1">-Main[[#This Row],[بدهی تسویه شده (کیلوگرم)]]+Main[[#This Row],[بستانکار (کیلوگرم)]]</f>
        <v>-4828</v>
      </c>
      <c r="J2068" s="6">
        <f>IF(Main[[#This Row],[مقدار (کیلوگرم)]]&gt;0,Main[[#This Row],[مقدار (کیلوگرم)]],0)</f>
        <v>0</v>
      </c>
      <c r="K2068" s="6">
        <f>-IF(Main[[#This Row],[مقدار (کیلوگرم)]]&lt;0,Main[[#This Row],[مقدار (کیلوگرم)]],0)</f>
        <v>4828</v>
      </c>
      <c r="L20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8" s="7">
        <f>-IF(AND(Main[[#This Row],[مقدار (کیلوگرم)]]&lt;0,Main[[#This Row],[تاريخ میلادی]]&gt;44276),Main[[#This Row],[مقدار (کیلوگرم)]],0)</f>
        <v>4828</v>
      </c>
      <c r="N2068" s="6">
        <f ca="1">Main[[#This Row],[بدهکار (کیلوگرم)]]-Main[[#This Row],[بدهی تسویه نشده (کیلوگرم)]]</f>
        <v>4828</v>
      </c>
      <c r="O2068" s="6">
        <f ca="1">Main[[#This Row],[تفکیک]]</f>
        <v>0</v>
      </c>
      <c r="P2068" s="6">
        <f ca="1">IF(Main[[#This Row],[تاخیر از سررسید]]&gt;0,Main[[#This Row],[بدهی تسویه نشده (کیلوگرم)]],0)</f>
        <v>0</v>
      </c>
      <c r="Q2068" s="6">
        <f ca="1">IF(Main[[#This Row],[بدهی تسویه نشده (کیلوگرم)]]&gt;0,'گزارش فردی'!$B$7-Main[[#This Row],[تاريخ میلادی]],0)</f>
        <v>0</v>
      </c>
      <c r="R2068" s="6">
        <f ca="1">IF(Main[[#This Row],[بدهی تسویه نشده (کیلوگرم)]]&gt;0,'گزارش فردی'!$B$7-Main[[#This Row],[تاريخ میلادی]]-'گزارش فردی'!$B$8,0)</f>
        <v>0</v>
      </c>
      <c r="S2068" s="6">
        <f ca="1">Main[[#This Row],[روز از ارسال سفارش]]*Main[[#This Row],[بدهی تسویه نشده (کیلوگرم)]]</f>
        <v>0</v>
      </c>
      <c r="T2068" s="6">
        <f ca="1">Main[[#This Row],[بدهی سررسید شده (کیلوگرم)]]*Main[[#This Row],[روز از ارسال سفارش]]</f>
        <v>0</v>
      </c>
      <c r="U2068" s="6">
        <f>-SUBTOTAL(9,INDEX(Main[مقدار (کیلوگرم)],1):Main[[#This Row],[مقدار (کیلوگرم)]])</f>
        <v>43684</v>
      </c>
      <c r="V20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8" s="6">
        <f>Main[[#This Row],[تعداد کل روزهای بدهکار (روز)]]*Main[[#This Row],[مانده در خط کل (کیلوگرم)]]</f>
        <v>43684</v>
      </c>
      <c r="X2068" s="6">
        <f ca="1">-SUBTOTAL(9,INDEX(Main[مقدار تسویه شده (کیلوگرم)],1):Main[[#This Row],[مقدار تسویه شده (کیلوگرم)]])</f>
        <v>43684</v>
      </c>
      <c r="Y2068" s="6">
        <f ca="1">IF(Main[[#This Row],[مانده در خط تسویه شده (کیلوگرم)]]&lt;&gt;0,Main[[#This Row],[تعداد کل روزهای بدهکار (روز)]],0)</f>
        <v>1</v>
      </c>
      <c r="Z2068" s="6">
        <f ca="1">Main[[#This Row],[تعداد روزهای بدهکار تسویه شده (روز)]]*Main[[#This Row],[مانده در خط تسویه شده (کیلوگرم)]]</f>
        <v>43684</v>
      </c>
      <c r="AA2068" s="6">
        <f ca="1">SUBTOTAL(9,INDEX(Main[بدهی تسویه نشده (کیلوگرم)],1):Main[[#This Row],[بدهی تسویه نشده (کیلوگرم)]])</f>
        <v>0</v>
      </c>
      <c r="AB2068" s="6">
        <f ca="1">IF(Main[[#This Row],[مانده در خط تسویه نشده (کیلوگرم)]]&lt;&gt;0,Main[[#This Row],[تعداد کل روزهای بدهکار (روز)]],0)</f>
        <v>0</v>
      </c>
      <c r="AC2068" s="6">
        <f ca="1">Main[[#This Row],[تعداد روزهای بدهکار  تسویه نشده (روز)]]*Main[[#This Row],[مانده در خط تسویه نشده (کیلوگرم)]]</f>
        <v>0</v>
      </c>
      <c r="AD2068" s="6">
        <f ca="1">SUBTOTAL(9,INDEX(Main[بدهی سررسید شده (کیلوگرم)],1):Main[[#This Row],[بدهی سررسید شده (کیلوگرم)]])</f>
        <v>0</v>
      </c>
      <c r="AE2068" s="6">
        <f ca="1">IF(Main[[#This Row],[مانده در خط سررسید شده (کیلوگرم)]]&lt;&gt;0,Main[[#This Row],[تعداد کل روزهای بدهکار (روز)]],0)</f>
        <v>0</v>
      </c>
      <c r="AF2068" s="6">
        <f ca="1">Main[[#This Row],[تعداد روزهای بدهکار سررسید شده (روز)]]*Main[[#This Row],[مانده در خط سررسید شده (کیلوگرم)]]</f>
        <v>0</v>
      </c>
    </row>
    <row r="2069" spans="1:32" hidden="1" x14ac:dyDescent="0.35">
      <c r="A2069" s="5">
        <f>ROW()-ROW(INDEX(Main[ردیف],1))+1</f>
        <v>2067</v>
      </c>
      <c r="B2069" s="31">
        <f>SUBTOTAL(2,INDEX(Main[ردیف],1):Main[[#This Row],[ردیف]])</f>
        <v>184</v>
      </c>
      <c r="C2069" s="32" t="s">
        <v>752</v>
      </c>
      <c r="D2069" s="32" t="str">
        <f>_xlfn.CONCAT("14",Main[[#This Row],[تاريخ]])</f>
        <v>1400/08/16</v>
      </c>
      <c r="E2069" s="33">
        <v>44507</v>
      </c>
      <c r="F2069" s="32">
        <v>10070</v>
      </c>
      <c r="G2069" s="5" t="str">
        <f>INDEX(customer[عنوان],MATCH(Main[[#This Row],[کد ردیابی]],customer[کد],0))</f>
        <v xml:space="preserve">حمیدرضا شفیعی </v>
      </c>
      <c r="H2069">
        <v>-595</v>
      </c>
      <c r="I2069" s="6">
        <f ca="1">-Main[[#This Row],[بدهی تسویه شده (کیلوگرم)]]+Main[[#This Row],[بستانکار (کیلوگرم)]]</f>
        <v>-595</v>
      </c>
      <c r="J2069" s="6">
        <f>IF(Main[[#This Row],[مقدار (کیلوگرم)]]&gt;0,Main[[#This Row],[مقدار (کیلوگرم)]],0)</f>
        <v>0</v>
      </c>
      <c r="K2069" s="6">
        <f>-IF(Main[[#This Row],[مقدار (کیلوگرم)]]&lt;0,Main[[#This Row],[مقدار (کیلوگرم)]],0)</f>
        <v>595</v>
      </c>
      <c r="L20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9" s="7">
        <f>-IF(AND(Main[[#This Row],[مقدار (کیلوگرم)]]&lt;0,Main[[#This Row],[تاريخ میلادی]]&gt;44276),Main[[#This Row],[مقدار (کیلوگرم)]],0)</f>
        <v>595</v>
      </c>
      <c r="N2069" s="6">
        <f ca="1">Main[[#This Row],[بدهکار (کیلوگرم)]]-Main[[#This Row],[بدهی تسویه نشده (کیلوگرم)]]</f>
        <v>595</v>
      </c>
      <c r="O2069" s="6">
        <f ca="1">Main[[#This Row],[تفکیک]]</f>
        <v>0</v>
      </c>
      <c r="P2069" s="6">
        <f ca="1">IF(Main[[#This Row],[تاخیر از سررسید]]&gt;0,Main[[#This Row],[بدهی تسویه نشده (کیلوگرم)]],0)</f>
        <v>0</v>
      </c>
      <c r="Q2069" s="6">
        <f ca="1">IF(Main[[#This Row],[بدهی تسویه نشده (کیلوگرم)]]&gt;0,'گزارش فردی'!$B$7-Main[[#This Row],[تاريخ میلادی]],0)</f>
        <v>0</v>
      </c>
      <c r="R2069" s="6">
        <f ca="1">IF(Main[[#This Row],[بدهی تسویه نشده (کیلوگرم)]]&gt;0,'گزارش فردی'!$B$7-Main[[#This Row],[تاريخ میلادی]]-'گزارش فردی'!$B$8,0)</f>
        <v>0</v>
      </c>
      <c r="S2069" s="6">
        <f ca="1">Main[[#This Row],[روز از ارسال سفارش]]*Main[[#This Row],[بدهی تسویه نشده (کیلوگرم)]]</f>
        <v>0</v>
      </c>
      <c r="T2069" s="6">
        <f ca="1">Main[[#This Row],[بدهی سررسید شده (کیلوگرم)]]*Main[[#This Row],[روز از ارسال سفارش]]</f>
        <v>0</v>
      </c>
      <c r="U2069" s="6">
        <f>-SUBTOTAL(9,INDEX(Main[مقدار (کیلوگرم)],1):Main[[#This Row],[مقدار (کیلوگرم)]])</f>
        <v>43684</v>
      </c>
      <c r="V20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9" s="6">
        <f>Main[[#This Row],[تعداد کل روزهای بدهکار (روز)]]*Main[[#This Row],[مانده در خط کل (کیلوگرم)]]</f>
        <v>43684</v>
      </c>
      <c r="X2069" s="6">
        <f ca="1">-SUBTOTAL(9,INDEX(Main[مقدار تسویه شده (کیلوگرم)],1):Main[[#This Row],[مقدار تسویه شده (کیلوگرم)]])</f>
        <v>43684</v>
      </c>
      <c r="Y2069" s="6">
        <f ca="1">IF(Main[[#This Row],[مانده در خط تسویه شده (کیلوگرم)]]&lt;&gt;0,Main[[#This Row],[تعداد کل روزهای بدهکار (روز)]],0)</f>
        <v>1</v>
      </c>
      <c r="Z2069" s="6">
        <f ca="1">Main[[#This Row],[تعداد روزهای بدهکار تسویه شده (روز)]]*Main[[#This Row],[مانده در خط تسویه شده (کیلوگرم)]]</f>
        <v>43684</v>
      </c>
      <c r="AA2069" s="6">
        <f ca="1">SUBTOTAL(9,INDEX(Main[بدهی تسویه نشده (کیلوگرم)],1):Main[[#This Row],[بدهی تسویه نشده (کیلوگرم)]])</f>
        <v>0</v>
      </c>
      <c r="AB2069" s="6">
        <f ca="1">IF(Main[[#This Row],[مانده در خط تسویه نشده (کیلوگرم)]]&lt;&gt;0,Main[[#This Row],[تعداد کل روزهای بدهکار (روز)]],0)</f>
        <v>0</v>
      </c>
      <c r="AC2069" s="6">
        <f ca="1">Main[[#This Row],[تعداد روزهای بدهکار  تسویه نشده (روز)]]*Main[[#This Row],[مانده در خط تسویه نشده (کیلوگرم)]]</f>
        <v>0</v>
      </c>
      <c r="AD2069" s="6">
        <f ca="1">SUBTOTAL(9,INDEX(Main[بدهی سررسید شده (کیلوگرم)],1):Main[[#This Row],[بدهی سررسید شده (کیلوگرم)]])</f>
        <v>0</v>
      </c>
      <c r="AE2069" s="6">
        <f ca="1">IF(Main[[#This Row],[مانده در خط سررسید شده (کیلوگرم)]]&lt;&gt;0,Main[[#This Row],[تعداد کل روزهای بدهکار (روز)]],0)</f>
        <v>0</v>
      </c>
      <c r="AF2069" s="6">
        <f ca="1">Main[[#This Row],[تعداد روزهای بدهکار سررسید شده (روز)]]*Main[[#This Row],[مانده در خط سررسید شده (کیلوگرم)]]</f>
        <v>0</v>
      </c>
    </row>
    <row r="2070" spans="1:32" hidden="1" x14ac:dyDescent="0.35">
      <c r="A2070" s="5">
        <f>ROW()-ROW(INDEX(Main[ردیف],1))+1</f>
        <v>2068</v>
      </c>
      <c r="B2070" s="31">
        <f>SUBTOTAL(2,INDEX(Main[ردیف],1):Main[[#This Row],[ردیف]])</f>
        <v>184</v>
      </c>
      <c r="C2070" s="32" t="s">
        <v>752</v>
      </c>
      <c r="D2070" s="32" t="str">
        <f>_xlfn.CONCAT("14",Main[[#This Row],[تاريخ]])</f>
        <v>1400/08/16</v>
      </c>
      <c r="E2070" s="33">
        <v>44507</v>
      </c>
      <c r="F2070" s="32">
        <v>30066</v>
      </c>
      <c r="G2070" s="5" t="str">
        <f>INDEX(customer[عنوان],MATCH(Main[[#This Row],[کد ردیابی]],customer[کد],0))</f>
        <v xml:space="preserve">شیر آلات بهداشتی قهرمان </v>
      </c>
      <c r="H2070">
        <v>-5355</v>
      </c>
      <c r="I2070" s="6">
        <f ca="1">-Main[[#This Row],[بدهی تسویه شده (کیلوگرم)]]+Main[[#This Row],[بستانکار (کیلوگرم)]]</f>
        <v>-5355</v>
      </c>
      <c r="J2070" s="6">
        <f>IF(Main[[#This Row],[مقدار (کیلوگرم)]]&gt;0,Main[[#This Row],[مقدار (کیلوگرم)]],0)</f>
        <v>0</v>
      </c>
      <c r="K2070" s="6">
        <f>-IF(Main[[#This Row],[مقدار (کیلوگرم)]]&lt;0,Main[[#This Row],[مقدار (کیلوگرم)]],0)</f>
        <v>5355</v>
      </c>
      <c r="L20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0" s="7">
        <f>-IF(AND(Main[[#This Row],[مقدار (کیلوگرم)]]&lt;0,Main[[#This Row],[تاريخ میلادی]]&gt;44276),Main[[#This Row],[مقدار (کیلوگرم)]],0)</f>
        <v>5355</v>
      </c>
      <c r="N2070" s="6">
        <f ca="1">Main[[#This Row],[بدهکار (کیلوگرم)]]-Main[[#This Row],[بدهی تسویه نشده (کیلوگرم)]]</f>
        <v>5355</v>
      </c>
      <c r="O2070" s="6">
        <f ca="1">Main[[#This Row],[تفکیک]]</f>
        <v>0</v>
      </c>
      <c r="P2070" s="6">
        <f ca="1">IF(Main[[#This Row],[تاخیر از سررسید]]&gt;0,Main[[#This Row],[بدهی تسویه نشده (کیلوگرم)]],0)</f>
        <v>0</v>
      </c>
      <c r="Q2070" s="6">
        <f ca="1">IF(Main[[#This Row],[بدهی تسویه نشده (کیلوگرم)]]&gt;0,'گزارش فردی'!$B$7-Main[[#This Row],[تاريخ میلادی]],0)</f>
        <v>0</v>
      </c>
      <c r="R2070" s="6">
        <f ca="1">IF(Main[[#This Row],[بدهی تسویه نشده (کیلوگرم)]]&gt;0,'گزارش فردی'!$B$7-Main[[#This Row],[تاريخ میلادی]]-'گزارش فردی'!$B$8,0)</f>
        <v>0</v>
      </c>
      <c r="S2070" s="6">
        <f ca="1">Main[[#This Row],[روز از ارسال سفارش]]*Main[[#This Row],[بدهی تسویه نشده (کیلوگرم)]]</f>
        <v>0</v>
      </c>
      <c r="T2070" s="6">
        <f ca="1">Main[[#This Row],[بدهی سررسید شده (کیلوگرم)]]*Main[[#This Row],[روز از ارسال سفارش]]</f>
        <v>0</v>
      </c>
      <c r="U2070" s="6">
        <f>-SUBTOTAL(9,INDEX(Main[مقدار (کیلوگرم)],1):Main[[#This Row],[مقدار (کیلوگرم)]])</f>
        <v>43684</v>
      </c>
      <c r="V20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70" s="6">
        <f>Main[[#This Row],[تعداد کل روزهای بدهکار (روز)]]*Main[[#This Row],[مانده در خط کل (کیلوگرم)]]</f>
        <v>43684</v>
      </c>
      <c r="X2070" s="6">
        <f ca="1">-SUBTOTAL(9,INDEX(Main[مقدار تسویه شده (کیلوگرم)],1):Main[[#This Row],[مقدار تسویه شده (کیلوگرم)]])</f>
        <v>43684</v>
      </c>
      <c r="Y2070" s="6">
        <f ca="1">IF(Main[[#This Row],[مانده در خط تسویه شده (کیلوگرم)]]&lt;&gt;0,Main[[#This Row],[تعداد کل روزهای بدهکار (روز)]],0)</f>
        <v>1</v>
      </c>
      <c r="Z2070" s="6">
        <f ca="1">Main[[#This Row],[تعداد روزهای بدهکار تسویه شده (روز)]]*Main[[#This Row],[مانده در خط تسویه شده (کیلوگرم)]]</f>
        <v>43684</v>
      </c>
      <c r="AA2070" s="6">
        <f ca="1">SUBTOTAL(9,INDEX(Main[بدهی تسویه نشده (کیلوگرم)],1):Main[[#This Row],[بدهی تسویه نشده (کیلوگرم)]])</f>
        <v>0</v>
      </c>
      <c r="AB2070" s="6">
        <f ca="1">IF(Main[[#This Row],[مانده در خط تسویه نشده (کیلوگرم)]]&lt;&gt;0,Main[[#This Row],[تعداد کل روزهای بدهکار (روز)]],0)</f>
        <v>0</v>
      </c>
      <c r="AC2070" s="6">
        <f ca="1">Main[[#This Row],[تعداد روزهای بدهکار  تسویه نشده (روز)]]*Main[[#This Row],[مانده در خط تسویه نشده (کیلوگرم)]]</f>
        <v>0</v>
      </c>
      <c r="AD2070" s="6">
        <f ca="1">SUBTOTAL(9,INDEX(Main[بدهی سررسید شده (کیلوگرم)],1):Main[[#This Row],[بدهی سررسید شده (کیلوگرم)]])</f>
        <v>0</v>
      </c>
      <c r="AE2070" s="6">
        <f ca="1">IF(Main[[#This Row],[مانده در خط سررسید شده (کیلوگرم)]]&lt;&gt;0,Main[[#This Row],[تعداد کل روزهای بدهکار (روز)]],0)</f>
        <v>0</v>
      </c>
      <c r="AF2070" s="6">
        <f ca="1">Main[[#This Row],[تعداد روزهای بدهکار سررسید شده (روز)]]*Main[[#This Row],[مانده در خط سررسید شده (کیلوگرم)]]</f>
        <v>0</v>
      </c>
    </row>
    <row r="2071" spans="1:32" hidden="1" x14ac:dyDescent="0.35">
      <c r="A2071" s="5">
        <f>ROW()-ROW(INDEX(Main[ردیف],1))+1</f>
        <v>2069</v>
      </c>
      <c r="B2071" s="31">
        <f>SUBTOTAL(2,INDEX(Main[ردیف],1):Main[[#This Row],[ردیف]])</f>
        <v>184</v>
      </c>
      <c r="C2071" s="32" t="s">
        <v>753</v>
      </c>
      <c r="D2071" s="32" t="str">
        <f>_xlfn.CONCAT("14",Main[[#This Row],[تاريخ]])</f>
        <v>1400/08/17</v>
      </c>
      <c r="E2071" s="33">
        <v>44508</v>
      </c>
      <c r="F2071" s="32">
        <v>10109</v>
      </c>
      <c r="G2071" s="5" t="str">
        <f>INDEX(customer[عنوان],MATCH(Main[[#This Row],[کد ردیابی]],customer[کد],0))</f>
        <v>فردی مجتبی</v>
      </c>
      <c r="H2071">
        <v>59</v>
      </c>
      <c r="I2071" s="6">
        <f ca="1">-Main[[#This Row],[بدهی تسویه شده (کیلوگرم)]]+Main[[#This Row],[بستانکار (کیلوگرم)]]</f>
        <v>59</v>
      </c>
      <c r="J2071" s="6">
        <f>IF(Main[[#This Row],[مقدار (کیلوگرم)]]&gt;0,Main[[#This Row],[مقدار (کیلوگرم)]],0)</f>
        <v>59</v>
      </c>
      <c r="K2071" s="6">
        <f>-IF(Main[[#This Row],[مقدار (کیلوگرم)]]&lt;0,Main[[#This Row],[مقدار (کیلوگرم)]],0)</f>
        <v>0</v>
      </c>
      <c r="L20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1" s="7">
        <f>-IF(AND(Main[[#This Row],[مقدار (کیلوگرم)]]&lt;0,Main[[#This Row],[تاريخ میلادی]]&gt;44276),Main[[#This Row],[مقدار (کیلوگرم)]],0)</f>
        <v>0</v>
      </c>
      <c r="N2071" s="6">
        <f ca="1">Main[[#This Row],[بدهکار (کیلوگرم)]]-Main[[#This Row],[بدهی تسویه نشده (کیلوگرم)]]</f>
        <v>0</v>
      </c>
      <c r="O2071" s="6">
        <f ca="1">Main[[#This Row],[تفکیک]]</f>
        <v>0</v>
      </c>
      <c r="P2071" s="6">
        <f ca="1">IF(Main[[#This Row],[تاخیر از سررسید]]&gt;0,Main[[#This Row],[بدهی تسویه نشده (کیلوگرم)]],0)</f>
        <v>0</v>
      </c>
      <c r="Q2071" s="6">
        <f ca="1">IF(Main[[#This Row],[بدهی تسویه نشده (کیلوگرم)]]&gt;0,'گزارش فردی'!$B$7-Main[[#This Row],[تاريخ میلادی]],0)</f>
        <v>0</v>
      </c>
      <c r="R2071" s="6">
        <f ca="1">IF(Main[[#This Row],[بدهی تسویه نشده (کیلوگرم)]]&gt;0,'گزارش فردی'!$B$7-Main[[#This Row],[تاريخ میلادی]]-'گزارش فردی'!$B$8,0)</f>
        <v>0</v>
      </c>
      <c r="S2071" s="6">
        <f ca="1">Main[[#This Row],[روز از ارسال سفارش]]*Main[[#This Row],[بدهی تسویه نشده (کیلوگرم)]]</f>
        <v>0</v>
      </c>
      <c r="T2071" s="6">
        <f ca="1">Main[[#This Row],[بدهی سررسید شده (کیلوگرم)]]*Main[[#This Row],[روز از ارسال سفارش]]</f>
        <v>0</v>
      </c>
      <c r="U2071" s="6">
        <f>-SUBTOTAL(9,INDEX(Main[مقدار (کیلوگرم)],1):Main[[#This Row],[مقدار (کیلوگرم)]])</f>
        <v>43684</v>
      </c>
      <c r="V20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1" s="6">
        <f>Main[[#This Row],[تعداد کل روزهای بدهکار (روز)]]*Main[[#This Row],[مانده در خط کل (کیلوگرم)]]</f>
        <v>0</v>
      </c>
      <c r="X2071" s="6">
        <f ca="1">-SUBTOTAL(9,INDEX(Main[مقدار تسویه شده (کیلوگرم)],1):Main[[#This Row],[مقدار تسویه شده (کیلوگرم)]])</f>
        <v>43684</v>
      </c>
      <c r="Y2071" s="6">
        <f ca="1">IF(Main[[#This Row],[مانده در خط تسویه شده (کیلوگرم)]]&lt;&gt;0,Main[[#This Row],[تعداد کل روزهای بدهکار (روز)]],0)</f>
        <v>0</v>
      </c>
      <c r="Z2071" s="6">
        <f ca="1">Main[[#This Row],[تعداد روزهای بدهکار تسویه شده (روز)]]*Main[[#This Row],[مانده در خط تسویه شده (کیلوگرم)]]</f>
        <v>0</v>
      </c>
      <c r="AA2071" s="6">
        <f ca="1">SUBTOTAL(9,INDEX(Main[بدهی تسویه نشده (کیلوگرم)],1):Main[[#This Row],[بدهی تسویه نشده (کیلوگرم)]])</f>
        <v>0</v>
      </c>
      <c r="AB2071" s="6">
        <f ca="1">IF(Main[[#This Row],[مانده در خط تسویه نشده (کیلوگرم)]]&lt;&gt;0,Main[[#This Row],[تعداد کل روزهای بدهکار (روز)]],0)</f>
        <v>0</v>
      </c>
      <c r="AC2071" s="6">
        <f ca="1">Main[[#This Row],[تعداد روزهای بدهکار  تسویه نشده (روز)]]*Main[[#This Row],[مانده در خط تسویه نشده (کیلوگرم)]]</f>
        <v>0</v>
      </c>
      <c r="AD2071" s="6">
        <f ca="1">SUBTOTAL(9,INDEX(Main[بدهی سررسید شده (کیلوگرم)],1):Main[[#This Row],[بدهی سررسید شده (کیلوگرم)]])</f>
        <v>0</v>
      </c>
      <c r="AE2071" s="6">
        <f ca="1">IF(Main[[#This Row],[مانده در خط سررسید شده (کیلوگرم)]]&lt;&gt;0,Main[[#This Row],[تعداد کل روزهای بدهکار (روز)]],0)</f>
        <v>0</v>
      </c>
      <c r="AF2071" s="6">
        <f ca="1">Main[[#This Row],[تعداد روزهای بدهکار سررسید شده (روز)]]*Main[[#This Row],[مانده در خط سررسید شده (کیلوگرم)]]</f>
        <v>0</v>
      </c>
    </row>
    <row r="2072" spans="1:32" hidden="1" x14ac:dyDescent="0.35">
      <c r="A2072" s="5">
        <f>ROW()-ROW(INDEX(Main[ردیف],1))+1</f>
        <v>2070</v>
      </c>
      <c r="B2072" s="31">
        <f>SUBTOTAL(2,INDEX(Main[ردیف],1):Main[[#This Row],[ردیف]])</f>
        <v>184</v>
      </c>
      <c r="C2072" s="32" t="s">
        <v>753</v>
      </c>
      <c r="D2072" s="32" t="str">
        <f>_xlfn.CONCAT("14",Main[[#This Row],[تاريخ]])</f>
        <v>1400/08/17</v>
      </c>
      <c r="E2072" s="33">
        <v>44508</v>
      </c>
      <c r="F2072" s="32">
        <v>30022</v>
      </c>
      <c r="G2072" s="5" t="str">
        <f>INDEX(customer[عنوان],MATCH(Main[[#This Row],[کد ردیابی]],customer[کد],0))</f>
        <v xml:space="preserve">کلار پویا </v>
      </c>
      <c r="H2072">
        <v>-4015</v>
      </c>
      <c r="I2072" s="6">
        <f ca="1">-Main[[#This Row],[بدهی تسویه شده (کیلوگرم)]]+Main[[#This Row],[بستانکار (کیلوگرم)]]</f>
        <v>-4015</v>
      </c>
      <c r="J2072" s="6">
        <f>IF(Main[[#This Row],[مقدار (کیلوگرم)]]&gt;0,Main[[#This Row],[مقدار (کیلوگرم)]],0)</f>
        <v>0</v>
      </c>
      <c r="K2072" s="6">
        <f>-IF(Main[[#This Row],[مقدار (کیلوگرم)]]&lt;0,Main[[#This Row],[مقدار (کیلوگرم)]],0)</f>
        <v>4015</v>
      </c>
      <c r="L20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2" s="7">
        <f>-IF(AND(Main[[#This Row],[مقدار (کیلوگرم)]]&lt;0,Main[[#This Row],[تاريخ میلادی]]&gt;44276),Main[[#This Row],[مقدار (کیلوگرم)]],0)</f>
        <v>4015</v>
      </c>
      <c r="N2072" s="6">
        <f ca="1">Main[[#This Row],[بدهکار (کیلوگرم)]]-Main[[#This Row],[بدهی تسویه نشده (کیلوگرم)]]</f>
        <v>4015</v>
      </c>
      <c r="O2072" s="6">
        <f ca="1">Main[[#This Row],[تفکیک]]</f>
        <v>0</v>
      </c>
      <c r="P2072" s="6">
        <f ca="1">IF(Main[[#This Row],[تاخیر از سررسید]]&gt;0,Main[[#This Row],[بدهی تسویه نشده (کیلوگرم)]],0)</f>
        <v>0</v>
      </c>
      <c r="Q2072" s="6">
        <f ca="1">IF(Main[[#This Row],[بدهی تسویه نشده (کیلوگرم)]]&gt;0,'گزارش فردی'!$B$7-Main[[#This Row],[تاريخ میلادی]],0)</f>
        <v>0</v>
      </c>
      <c r="R2072" s="6">
        <f ca="1">IF(Main[[#This Row],[بدهی تسویه نشده (کیلوگرم)]]&gt;0,'گزارش فردی'!$B$7-Main[[#This Row],[تاريخ میلادی]]-'گزارش فردی'!$B$8,0)</f>
        <v>0</v>
      </c>
      <c r="S2072" s="6">
        <f ca="1">Main[[#This Row],[روز از ارسال سفارش]]*Main[[#This Row],[بدهی تسویه نشده (کیلوگرم)]]</f>
        <v>0</v>
      </c>
      <c r="T2072" s="6">
        <f ca="1">Main[[#This Row],[بدهی سررسید شده (کیلوگرم)]]*Main[[#This Row],[روز از ارسال سفارش]]</f>
        <v>0</v>
      </c>
      <c r="U2072" s="6">
        <f>-SUBTOTAL(9,INDEX(Main[مقدار (کیلوگرم)],1):Main[[#This Row],[مقدار (کیلوگرم)]])</f>
        <v>43684</v>
      </c>
      <c r="V20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2" s="6">
        <f>Main[[#This Row],[تعداد کل روزهای بدهکار (روز)]]*Main[[#This Row],[مانده در خط کل (کیلوگرم)]]</f>
        <v>0</v>
      </c>
      <c r="X2072" s="6">
        <f ca="1">-SUBTOTAL(9,INDEX(Main[مقدار تسویه شده (کیلوگرم)],1):Main[[#This Row],[مقدار تسویه شده (کیلوگرم)]])</f>
        <v>43684</v>
      </c>
      <c r="Y2072" s="6">
        <f ca="1">IF(Main[[#This Row],[مانده در خط تسویه شده (کیلوگرم)]]&lt;&gt;0,Main[[#This Row],[تعداد کل روزهای بدهکار (روز)]],0)</f>
        <v>0</v>
      </c>
      <c r="Z2072" s="6">
        <f ca="1">Main[[#This Row],[تعداد روزهای بدهکار تسویه شده (روز)]]*Main[[#This Row],[مانده در خط تسویه شده (کیلوگرم)]]</f>
        <v>0</v>
      </c>
      <c r="AA2072" s="6">
        <f ca="1">SUBTOTAL(9,INDEX(Main[بدهی تسویه نشده (کیلوگرم)],1):Main[[#This Row],[بدهی تسویه نشده (کیلوگرم)]])</f>
        <v>0</v>
      </c>
      <c r="AB2072" s="6">
        <f ca="1">IF(Main[[#This Row],[مانده در خط تسویه نشده (کیلوگرم)]]&lt;&gt;0,Main[[#This Row],[تعداد کل روزهای بدهکار (روز)]],0)</f>
        <v>0</v>
      </c>
      <c r="AC2072" s="6">
        <f ca="1">Main[[#This Row],[تعداد روزهای بدهکار  تسویه نشده (روز)]]*Main[[#This Row],[مانده در خط تسویه نشده (کیلوگرم)]]</f>
        <v>0</v>
      </c>
      <c r="AD2072" s="6">
        <f ca="1">SUBTOTAL(9,INDEX(Main[بدهی سررسید شده (کیلوگرم)],1):Main[[#This Row],[بدهی سررسید شده (کیلوگرم)]])</f>
        <v>0</v>
      </c>
      <c r="AE2072" s="6">
        <f ca="1">IF(Main[[#This Row],[مانده در خط سررسید شده (کیلوگرم)]]&lt;&gt;0,Main[[#This Row],[تعداد کل روزهای بدهکار (روز)]],0)</f>
        <v>0</v>
      </c>
      <c r="AF2072" s="6">
        <f ca="1">Main[[#This Row],[تعداد روزهای بدهکار سررسید شده (روز)]]*Main[[#This Row],[مانده در خط سررسید شده (کیلوگرم)]]</f>
        <v>0</v>
      </c>
    </row>
    <row r="2073" spans="1:32" hidden="1" x14ac:dyDescent="0.35">
      <c r="A2073" s="5">
        <f>ROW()-ROW(INDEX(Main[ردیف],1))+1</f>
        <v>2071</v>
      </c>
      <c r="B2073" s="31">
        <f>SUBTOTAL(2,INDEX(Main[ردیف],1):Main[[#This Row],[ردیف]])</f>
        <v>184</v>
      </c>
      <c r="C2073" s="32" t="s">
        <v>753</v>
      </c>
      <c r="D2073" s="32" t="str">
        <f>_xlfn.CONCAT("14",Main[[#This Row],[تاريخ]])</f>
        <v>1400/08/17</v>
      </c>
      <c r="E2073" s="33">
        <v>44508</v>
      </c>
      <c r="F2073" s="32">
        <v>30202</v>
      </c>
      <c r="G2073" s="5" t="str">
        <f>INDEX(customer[عنوان],MATCH(Main[[#This Row],[کد ردیابی]],customer[کد],0))</f>
        <v>شرکت بهین تولید</v>
      </c>
      <c r="H2073">
        <v>429</v>
      </c>
      <c r="I2073" s="6">
        <f ca="1">-Main[[#This Row],[بدهی تسویه شده (کیلوگرم)]]+Main[[#This Row],[بستانکار (کیلوگرم)]]</f>
        <v>429</v>
      </c>
      <c r="J2073" s="6">
        <f>IF(Main[[#This Row],[مقدار (کیلوگرم)]]&gt;0,Main[[#This Row],[مقدار (کیلوگرم)]],0)</f>
        <v>429</v>
      </c>
      <c r="K2073" s="6">
        <f>-IF(Main[[#This Row],[مقدار (کیلوگرم)]]&lt;0,Main[[#This Row],[مقدار (کیلوگرم)]],0)</f>
        <v>0</v>
      </c>
      <c r="L20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3" s="7">
        <f>-IF(AND(Main[[#This Row],[مقدار (کیلوگرم)]]&lt;0,Main[[#This Row],[تاريخ میلادی]]&gt;44276),Main[[#This Row],[مقدار (کیلوگرم)]],0)</f>
        <v>0</v>
      </c>
      <c r="N2073" s="6">
        <f ca="1">Main[[#This Row],[بدهکار (کیلوگرم)]]-Main[[#This Row],[بدهی تسویه نشده (کیلوگرم)]]</f>
        <v>0</v>
      </c>
      <c r="O2073" s="6">
        <f ca="1">Main[[#This Row],[تفکیک]]</f>
        <v>0</v>
      </c>
      <c r="P2073" s="6">
        <f ca="1">IF(Main[[#This Row],[تاخیر از سررسید]]&gt;0,Main[[#This Row],[بدهی تسویه نشده (کیلوگرم)]],0)</f>
        <v>0</v>
      </c>
      <c r="Q2073" s="6">
        <f ca="1">IF(Main[[#This Row],[بدهی تسویه نشده (کیلوگرم)]]&gt;0,'گزارش فردی'!$B$7-Main[[#This Row],[تاريخ میلادی]],0)</f>
        <v>0</v>
      </c>
      <c r="R2073" s="6">
        <f ca="1">IF(Main[[#This Row],[بدهی تسویه نشده (کیلوگرم)]]&gt;0,'گزارش فردی'!$B$7-Main[[#This Row],[تاريخ میلادی]]-'گزارش فردی'!$B$8,0)</f>
        <v>0</v>
      </c>
      <c r="S2073" s="6">
        <f ca="1">Main[[#This Row],[روز از ارسال سفارش]]*Main[[#This Row],[بدهی تسویه نشده (کیلوگرم)]]</f>
        <v>0</v>
      </c>
      <c r="T2073" s="6">
        <f ca="1">Main[[#This Row],[بدهی سررسید شده (کیلوگرم)]]*Main[[#This Row],[روز از ارسال سفارش]]</f>
        <v>0</v>
      </c>
      <c r="U2073" s="6">
        <f>-SUBTOTAL(9,INDEX(Main[مقدار (کیلوگرم)],1):Main[[#This Row],[مقدار (کیلوگرم)]])</f>
        <v>43684</v>
      </c>
      <c r="V20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3" s="6">
        <f>Main[[#This Row],[تعداد کل روزهای بدهکار (روز)]]*Main[[#This Row],[مانده در خط کل (کیلوگرم)]]</f>
        <v>0</v>
      </c>
      <c r="X2073" s="6">
        <f ca="1">-SUBTOTAL(9,INDEX(Main[مقدار تسویه شده (کیلوگرم)],1):Main[[#This Row],[مقدار تسویه شده (کیلوگرم)]])</f>
        <v>43684</v>
      </c>
      <c r="Y2073" s="6">
        <f ca="1">IF(Main[[#This Row],[مانده در خط تسویه شده (کیلوگرم)]]&lt;&gt;0,Main[[#This Row],[تعداد کل روزهای بدهکار (روز)]],0)</f>
        <v>0</v>
      </c>
      <c r="Z2073" s="6">
        <f ca="1">Main[[#This Row],[تعداد روزهای بدهکار تسویه شده (روز)]]*Main[[#This Row],[مانده در خط تسویه شده (کیلوگرم)]]</f>
        <v>0</v>
      </c>
      <c r="AA2073" s="6">
        <f ca="1">SUBTOTAL(9,INDEX(Main[بدهی تسویه نشده (کیلوگرم)],1):Main[[#This Row],[بدهی تسویه نشده (کیلوگرم)]])</f>
        <v>0</v>
      </c>
      <c r="AB2073" s="6">
        <f ca="1">IF(Main[[#This Row],[مانده در خط تسویه نشده (کیلوگرم)]]&lt;&gt;0,Main[[#This Row],[تعداد کل روزهای بدهکار (روز)]],0)</f>
        <v>0</v>
      </c>
      <c r="AC2073" s="6">
        <f ca="1">Main[[#This Row],[تعداد روزهای بدهکار  تسویه نشده (روز)]]*Main[[#This Row],[مانده در خط تسویه نشده (کیلوگرم)]]</f>
        <v>0</v>
      </c>
      <c r="AD2073" s="6">
        <f ca="1">SUBTOTAL(9,INDEX(Main[بدهی سررسید شده (کیلوگرم)],1):Main[[#This Row],[بدهی سررسید شده (کیلوگرم)]])</f>
        <v>0</v>
      </c>
      <c r="AE2073" s="6">
        <f ca="1">IF(Main[[#This Row],[مانده در خط سررسید شده (کیلوگرم)]]&lt;&gt;0,Main[[#This Row],[تعداد کل روزهای بدهکار (روز)]],0)</f>
        <v>0</v>
      </c>
      <c r="AF2073" s="6">
        <f ca="1">Main[[#This Row],[تعداد روزهای بدهکار سررسید شده (روز)]]*Main[[#This Row],[مانده در خط سررسید شده (کیلوگرم)]]</f>
        <v>0</v>
      </c>
    </row>
    <row r="2074" spans="1:32" hidden="1" x14ac:dyDescent="0.35">
      <c r="A2074" s="5">
        <f>ROW()-ROW(INDEX(Main[ردیف],1))+1</f>
        <v>2072</v>
      </c>
      <c r="B2074" s="31">
        <f>SUBTOTAL(2,INDEX(Main[ردیف],1):Main[[#This Row],[ردیف]])</f>
        <v>184</v>
      </c>
      <c r="C2074" s="32" t="s">
        <v>753</v>
      </c>
      <c r="D2074" s="32" t="str">
        <f>_xlfn.CONCAT("14",Main[[#This Row],[تاريخ]])</f>
        <v>1400/08/17</v>
      </c>
      <c r="E2074" s="33">
        <v>44508</v>
      </c>
      <c r="F2074" s="32">
        <v>30012</v>
      </c>
      <c r="G2074" s="5" t="str">
        <f>INDEX(customer[عنوان],MATCH(Main[[#This Row],[کد ردیابی]],customer[کد],0))</f>
        <v xml:space="preserve">پارس قفل </v>
      </c>
      <c r="H2074">
        <v>-1826</v>
      </c>
      <c r="I2074" s="6">
        <f ca="1">-Main[[#This Row],[بدهی تسویه شده (کیلوگرم)]]+Main[[#This Row],[بستانکار (کیلوگرم)]]</f>
        <v>-1826</v>
      </c>
      <c r="J2074" s="6">
        <f>IF(Main[[#This Row],[مقدار (کیلوگرم)]]&gt;0,Main[[#This Row],[مقدار (کیلوگرم)]],0)</f>
        <v>0</v>
      </c>
      <c r="K2074" s="6">
        <f>-IF(Main[[#This Row],[مقدار (کیلوگرم)]]&lt;0,Main[[#This Row],[مقدار (کیلوگرم)]],0)</f>
        <v>1826</v>
      </c>
      <c r="L20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4" s="7">
        <f>-IF(AND(Main[[#This Row],[مقدار (کیلوگرم)]]&lt;0,Main[[#This Row],[تاريخ میلادی]]&gt;44276),Main[[#This Row],[مقدار (کیلوگرم)]],0)</f>
        <v>1826</v>
      </c>
      <c r="N2074" s="6">
        <f ca="1">Main[[#This Row],[بدهکار (کیلوگرم)]]-Main[[#This Row],[بدهی تسویه نشده (کیلوگرم)]]</f>
        <v>1826</v>
      </c>
      <c r="O2074" s="6">
        <f ca="1">Main[[#This Row],[تفکیک]]</f>
        <v>0</v>
      </c>
      <c r="P2074" s="6">
        <f ca="1">IF(Main[[#This Row],[تاخیر از سررسید]]&gt;0,Main[[#This Row],[بدهی تسویه نشده (کیلوگرم)]],0)</f>
        <v>0</v>
      </c>
      <c r="Q2074" s="6">
        <f ca="1">IF(Main[[#This Row],[بدهی تسویه نشده (کیلوگرم)]]&gt;0,'گزارش فردی'!$B$7-Main[[#This Row],[تاريخ میلادی]],0)</f>
        <v>0</v>
      </c>
      <c r="R2074" s="6">
        <f ca="1">IF(Main[[#This Row],[بدهی تسویه نشده (کیلوگرم)]]&gt;0,'گزارش فردی'!$B$7-Main[[#This Row],[تاريخ میلادی]]-'گزارش فردی'!$B$8,0)</f>
        <v>0</v>
      </c>
      <c r="S2074" s="6">
        <f ca="1">Main[[#This Row],[روز از ارسال سفارش]]*Main[[#This Row],[بدهی تسویه نشده (کیلوگرم)]]</f>
        <v>0</v>
      </c>
      <c r="T2074" s="6">
        <f ca="1">Main[[#This Row],[بدهی سررسید شده (کیلوگرم)]]*Main[[#This Row],[روز از ارسال سفارش]]</f>
        <v>0</v>
      </c>
      <c r="U2074" s="6">
        <f>-SUBTOTAL(9,INDEX(Main[مقدار (کیلوگرم)],1):Main[[#This Row],[مقدار (کیلوگرم)]])</f>
        <v>43684</v>
      </c>
      <c r="V20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4" s="6">
        <f>Main[[#This Row],[تعداد کل روزهای بدهکار (روز)]]*Main[[#This Row],[مانده در خط کل (کیلوگرم)]]</f>
        <v>0</v>
      </c>
      <c r="X2074" s="6">
        <f ca="1">-SUBTOTAL(9,INDEX(Main[مقدار تسویه شده (کیلوگرم)],1):Main[[#This Row],[مقدار تسویه شده (کیلوگرم)]])</f>
        <v>43684</v>
      </c>
      <c r="Y2074" s="6">
        <f ca="1">IF(Main[[#This Row],[مانده در خط تسویه شده (کیلوگرم)]]&lt;&gt;0,Main[[#This Row],[تعداد کل روزهای بدهکار (روز)]],0)</f>
        <v>0</v>
      </c>
      <c r="Z2074" s="6">
        <f ca="1">Main[[#This Row],[تعداد روزهای بدهکار تسویه شده (روز)]]*Main[[#This Row],[مانده در خط تسویه شده (کیلوگرم)]]</f>
        <v>0</v>
      </c>
      <c r="AA2074" s="6">
        <f ca="1">SUBTOTAL(9,INDEX(Main[بدهی تسویه نشده (کیلوگرم)],1):Main[[#This Row],[بدهی تسویه نشده (کیلوگرم)]])</f>
        <v>0</v>
      </c>
      <c r="AB2074" s="6">
        <f ca="1">IF(Main[[#This Row],[مانده در خط تسویه نشده (کیلوگرم)]]&lt;&gt;0,Main[[#This Row],[تعداد کل روزهای بدهکار (روز)]],0)</f>
        <v>0</v>
      </c>
      <c r="AC2074" s="6">
        <f ca="1">Main[[#This Row],[تعداد روزهای بدهکار  تسویه نشده (روز)]]*Main[[#This Row],[مانده در خط تسویه نشده (کیلوگرم)]]</f>
        <v>0</v>
      </c>
      <c r="AD2074" s="6">
        <f ca="1">SUBTOTAL(9,INDEX(Main[بدهی سررسید شده (کیلوگرم)],1):Main[[#This Row],[بدهی سررسید شده (کیلوگرم)]])</f>
        <v>0</v>
      </c>
      <c r="AE2074" s="6">
        <f ca="1">IF(Main[[#This Row],[مانده در خط سررسید شده (کیلوگرم)]]&lt;&gt;0,Main[[#This Row],[تعداد کل روزهای بدهکار (روز)]],0)</f>
        <v>0</v>
      </c>
      <c r="AF2074" s="6">
        <f ca="1">Main[[#This Row],[تعداد روزهای بدهکار سررسید شده (روز)]]*Main[[#This Row],[مانده در خط سررسید شده (کیلوگرم)]]</f>
        <v>0</v>
      </c>
    </row>
    <row r="2075" spans="1:32" hidden="1" x14ac:dyDescent="0.35">
      <c r="A2075" s="5">
        <f>ROW()-ROW(INDEX(Main[ردیف],1))+1</f>
        <v>2073</v>
      </c>
      <c r="B2075" s="31">
        <f>SUBTOTAL(2,INDEX(Main[ردیف],1):Main[[#This Row],[ردیف]])</f>
        <v>184</v>
      </c>
      <c r="C2075" s="32" t="s">
        <v>753</v>
      </c>
      <c r="D2075" s="32" t="str">
        <f>_xlfn.CONCAT("14",Main[[#This Row],[تاريخ]])</f>
        <v>1400/08/17</v>
      </c>
      <c r="E2075" s="33">
        <v>44508</v>
      </c>
      <c r="F2075" s="32">
        <v>10109</v>
      </c>
      <c r="G2075" s="5" t="str">
        <f>INDEX(customer[عنوان],MATCH(Main[[#This Row],[کد ردیابی]],customer[کد],0))</f>
        <v>فردی مجتبی</v>
      </c>
      <c r="H2075">
        <v>519</v>
      </c>
      <c r="I2075" s="6">
        <f ca="1">-Main[[#This Row],[بدهی تسویه شده (کیلوگرم)]]+Main[[#This Row],[بستانکار (کیلوگرم)]]</f>
        <v>519</v>
      </c>
      <c r="J2075" s="6">
        <f>IF(Main[[#This Row],[مقدار (کیلوگرم)]]&gt;0,Main[[#This Row],[مقدار (کیلوگرم)]],0)</f>
        <v>519</v>
      </c>
      <c r="K2075" s="6">
        <f>-IF(Main[[#This Row],[مقدار (کیلوگرم)]]&lt;0,Main[[#This Row],[مقدار (کیلوگرم)]],0)</f>
        <v>0</v>
      </c>
      <c r="L20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5" s="7">
        <f>-IF(AND(Main[[#This Row],[مقدار (کیلوگرم)]]&lt;0,Main[[#This Row],[تاريخ میلادی]]&gt;44276),Main[[#This Row],[مقدار (کیلوگرم)]],0)</f>
        <v>0</v>
      </c>
      <c r="N2075" s="6">
        <f ca="1">Main[[#This Row],[بدهکار (کیلوگرم)]]-Main[[#This Row],[بدهی تسویه نشده (کیلوگرم)]]</f>
        <v>0</v>
      </c>
      <c r="O2075" s="6">
        <f ca="1">Main[[#This Row],[تفکیک]]</f>
        <v>0</v>
      </c>
      <c r="P2075" s="6">
        <f ca="1">IF(Main[[#This Row],[تاخیر از سررسید]]&gt;0,Main[[#This Row],[بدهی تسویه نشده (کیلوگرم)]],0)</f>
        <v>0</v>
      </c>
      <c r="Q2075" s="6">
        <f ca="1">IF(Main[[#This Row],[بدهی تسویه نشده (کیلوگرم)]]&gt;0,'گزارش فردی'!$B$7-Main[[#This Row],[تاريخ میلادی]],0)</f>
        <v>0</v>
      </c>
      <c r="R2075" s="6">
        <f ca="1">IF(Main[[#This Row],[بدهی تسویه نشده (کیلوگرم)]]&gt;0,'گزارش فردی'!$B$7-Main[[#This Row],[تاريخ میلادی]]-'گزارش فردی'!$B$8,0)</f>
        <v>0</v>
      </c>
      <c r="S2075" s="6">
        <f ca="1">Main[[#This Row],[روز از ارسال سفارش]]*Main[[#This Row],[بدهی تسویه نشده (کیلوگرم)]]</f>
        <v>0</v>
      </c>
      <c r="T2075" s="6">
        <f ca="1">Main[[#This Row],[بدهی سررسید شده (کیلوگرم)]]*Main[[#This Row],[روز از ارسال سفارش]]</f>
        <v>0</v>
      </c>
      <c r="U2075" s="6">
        <f>-SUBTOTAL(9,INDEX(Main[مقدار (کیلوگرم)],1):Main[[#This Row],[مقدار (کیلوگرم)]])</f>
        <v>43684</v>
      </c>
      <c r="V20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5" s="6">
        <f>Main[[#This Row],[تعداد کل روزهای بدهکار (روز)]]*Main[[#This Row],[مانده در خط کل (کیلوگرم)]]</f>
        <v>0</v>
      </c>
      <c r="X2075" s="6">
        <f ca="1">-SUBTOTAL(9,INDEX(Main[مقدار تسویه شده (کیلوگرم)],1):Main[[#This Row],[مقدار تسویه شده (کیلوگرم)]])</f>
        <v>43684</v>
      </c>
      <c r="Y2075" s="6">
        <f ca="1">IF(Main[[#This Row],[مانده در خط تسویه شده (کیلوگرم)]]&lt;&gt;0,Main[[#This Row],[تعداد کل روزهای بدهکار (روز)]],0)</f>
        <v>0</v>
      </c>
      <c r="Z2075" s="6">
        <f ca="1">Main[[#This Row],[تعداد روزهای بدهکار تسویه شده (روز)]]*Main[[#This Row],[مانده در خط تسویه شده (کیلوگرم)]]</f>
        <v>0</v>
      </c>
      <c r="AA2075" s="6">
        <f ca="1">SUBTOTAL(9,INDEX(Main[بدهی تسویه نشده (کیلوگرم)],1):Main[[#This Row],[بدهی تسویه نشده (کیلوگرم)]])</f>
        <v>0</v>
      </c>
      <c r="AB2075" s="6">
        <f ca="1">IF(Main[[#This Row],[مانده در خط تسویه نشده (کیلوگرم)]]&lt;&gt;0,Main[[#This Row],[تعداد کل روزهای بدهکار (روز)]],0)</f>
        <v>0</v>
      </c>
      <c r="AC2075" s="6">
        <f ca="1">Main[[#This Row],[تعداد روزهای بدهکار  تسویه نشده (روز)]]*Main[[#This Row],[مانده در خط تسویه نشده (کیلوگرم)]]</f>
        <v>0</v>
      </c>
      <c r="AD2075" s="6">
        <f ca="1">SUBTOTAL(9,INDEX(Main[بدهی سررسید شده (کیلوگرم)],1):Main[[#This Row],[بدهی سررسید شده (کیلوگرم)]])</f>
        <v>0</v>
      </c>
      <c r="AE2075" s="6">
        <f ca="1">IF(Main[[#This Row],[مانده در خط سررسید شده (کیلوگرم)]]&lt;&gt;0,Main[[#This Row],[تعداد کل روزهای بدهکار (روز)]],0)</f>
        <v>0</v>
      </c>
      <c r="AF2075" s="6">
        <f ca="1">Main[[#This Row],[تعداد روزهای بدهکار سررسید شده (روز)]]*Main[[#This Row],[مانده در خط سررسید شده (کیلوگرم)]]</f>
        <v>0</v>
      </c>
    </row>
    <row r="2076" spans="1:32" hidden="1" x14ac:dyDescent="0.35">
      <c r="A2076" s="5">
        <f>ROW()-ROW(INDEX(Main[ردیف],1))+1</f>
        <v>2074</v>
      </c>
      <c r="B2076" s="31">
        <f>SUBTOTAL(2,INDEX(Main[ردیف],1):Main[[#This Row],[ردیف]])</f>
        <v>184</v>
      </c>
      <c r="C2076" s="32" t="s">
        <v>753</v>
      </c>
      <c r="D2076" s="32" t="str">
        <f>_xlfn.CONCAT("14",Main[[#This Row],[تاريخ]])</f>
        <v>1400/08/17</v>
      </c>
      <c r="E2076" s="33">
        <v>44508</v>
      </c>
      <c r="F2076" s="32">
        <v>30202</v>
      </c>
      <c r="G2076" s="5" t="str">
        <f>INDEX(customer[عنوان],MATCH(Main[[#This Row],[کد ردیابی]],customer[کد],0))</f>
        <v>شرکت بهین تولید</v>
      </c>
      <c r="H2076">
        <v>-428</v>
      </c>
      <c r="I2076" s="6">
        <f ca="1">-Main[[#This Row],[بدهی تسویه شده (کیلوگرم)]]+Main[[#This Row],[بستانکار (کیلوگرم)]]</f>
        <v>-428</v>
      </c>
      <c r="J2076" s="6">
        <f>IF(Main[[#This Row],[مقدار (کیلوگرم)]]&gt;0,Main[[#This Row],[مقدار (کیلوگرم)]],0)</f>
        <v>0</v>
      </c>
      <c r="K2076" s="6">
        <f>-IF(Main[[#This Row],[مقدار (کیلوگرم)]]&lt;0,Main[[#This Row],[مقدار (کیلوگرم)]],0)</f>
        <v>428</v>
      </c>
      <c r="L20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6" s="7">
        <f>-IF(AND(Main[[#This Row],[مقدار (کیلوگرم)]]&lt;0,Main[[#This Row],[تاريخ میلادی]]&gt;44276),Main[[#This Row],[مقدار (کیلوگرم)]],0)</f>
        <v>428</v>
      </c>
      <c r="N2076" s="6">
        <f ca="1">Main[[#This Row],[بدهکار (کیلوگرم)]]-Main[[#This Row],[بدهی تسویه نشده (کیلوگرم)]]</f>
        <v>428</v>
      </c>
      <c r="O2076" s="6">
        <f ca="1">Main[[#This Row],[تفکیک]]</f>
        <v>0</v>
      </c>
      <c r="P2076" s="6">
        <f ca="1">IF(Main[[#This Row],[تاخیر از سررسید]]&gt;0,Main[[#This Row],[بدهی تسویه نشده (کیلوگرم)]],0)</f>
        <v>0</v>
      </c>
      <c r="Q2076" s="6">
        <f ca="1">IF(Main[[#This Row],[بدهی تسویه نشده (کیلوگرم)]]&gt;0,'گزارش فردی'!$B$7-Main[[#This Row],[تاريخ میلادی]],0)</f>
        <v>0</v>
      </c>
      <c r="R2076" s="6">
        <f ca="1">IF(Main[[#This Row],[بدهی تسویه نشده (کیلوگرم)]]&gt;0,'گزارش فردی'!$B$7-Main[[#This Row],[تاريخ میلادی]]-'گزارش فردی'!$B$8,0)</f>
        <v>0</v>
      </c>
      <c r="S2076" s="6">
        <f ca="1">Main[[#This Row],[روز از ارسال سفارش]]*Main[[#This Row],[بدهی تسویه نشده (کیلوگرم)]]</f>
        <v>0</v>
      </c>
      <c r="T2076" s="6">
        <f ca="1">Main[[#This Row],[بدهی سررسید شده (کیلوگرم)]]*Main[[#This Row],[روز از ارسال سفارش]]</f>
        <v>0</v>
      </c>
      <c r="U2076" s="6">
        <f>-SUBTOTAL(9,INDEX(Main[مقدار (کیلوگرم)],1):Main[[#This Row],[مقدار (کیلوگرم)]])</f>
        <v>43684</v>
      </c>
      <c r="V20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6" s="6">
        <f>Main[[#This Row],[تعداد کل روزهای بدهکار (روز)]]*Main[[#This Row],[مانده در خط کل (کیلوگرم)]]</f>
        <v>0</v>
      </c>
      <c r="X2076" s="6">
        <f ca="1">-SUBTOTAL(9,INDEX(Main[مقدار تسویه شده (کیلوگرم)],1):Main[[#This Row],[مقدار تسویه شده (کیلوگرم)]])</f>
        <v>43684</v>
      </c>
      <c r="Y2076" s="6">
        <f ca="1">IF(Main[[#This Row],[مانده در خط تسویه شده (کیلوگرم)]]&lt;&gt;0,Main[[#This Row],[تعداد کل روزهای بدهکار (روز)]],0)</f>
        <v>0</v>
      </c>
      <c r="Z2076" s="6">
        <f ca="1">Main[[#This Row],[تعداد روزهای بدهکار تسویه شده (روز)]]*Main[[#This Row],[مانده در خط تسویه شده (کیلوگرم)]]</f>
        <v>0</v>
      </c>
      <c r="AA2076" s="6">
        <f ca="1">SUBTOTAL(9,INDEX(Main[بدهی تسویه نشده (کیلوگرم)],1):Main[[#This Row],[بدهی تسویه نشده (کیلوگرم)]])</f>
        <v>0</v>
      </c>
      <c r="AB2076" s="6">
        <f ca="1">IF(Main[[#This Row],[مانده در خط تسویه نشده (کیلوگرم)]]&lt;&gt;0,Main[[#This Row],[تعداد کل روزهای بدهکار (روز)]],0)</f>
        <v>0</v>
      </c>
      <c r="AC2076" s="6">
        <f ca="1">Main[[#This Row],[تعداد روزهای بدهکار  تسویه نشده (روز)]]*Main[[#This Row],[مانده در خط تسویه نشده (کیلوگرم)]]</f>
        <v>0</v>
      </c>
      <c r="AD2076" s="6">
        <f ca="1">SUBTOTAL(9,INDEX(Main[بدهی سررسید شده (کیلوگرم)],1):Main[[#This Row],[بدهی سررسید شده (کیلوگرم)]])</f>
        <v>0</v>
      </c>
      <c r="AE2076" s="6">
        <f ca="1">IF(Main[[#This Row],[مانده در خط سررسید شده (کیلوگرم)]]&lt;&gt;0,Main[[#This Row],[تعداد کل روزهای بدهکار (روز)]],0)</f>
        <v>0</v>
      </c>
      <c r="AF2076" s="6">
        <f ca="1">Main[[#This Row],[تعداد روزهای بدهکار سررسید شده (روز)]]*Main[[#This Row],[مانده در خط سررسید شده (کیلوگرم)]]</f>
        <v>0</v>
      </c>
    </row>
    <row r="2077" spans="1:32" hidden="1" x14ac:dyDescent="0.35">
      <c r="A2077" s="5">
        <f>ROW()-ROW(INDEX(Main[ردیف],1))+1</f>
        <v>2075</v>
      </c>
      <c r="B2077" s="31">
        <f>SUBTOTAL(2,INDEX(Main[ردیف],1):Main[[#This Row],[ردیف]])</f>
        <v>184</v>
      </c>
      <c r="C2077" s="32" t="s">
        <v>753</v>
      </c>
      <c r="D2077" s="32" t="str">
        <f>_xlfn.CONCAT("14",Main[[#This Row],[تاريخ]])</f>
        <v>1400/08/17</v>
      </c>
      <c r="E2077" s="33">
        <v>44508</v>
      </c>
      <c r="F2077" s="32">
        <v>30022</v>
      </c>
      <c r="G2077" s="5" t="str">
        <f>INDEX(customer[عنوان],MATCH(Main[[#This Row],[کد ردیابی]],customer[کد],0))</f>
        <v xml:space="preserve">کلار پویا </v>
      </c>
      <c r="H2077">
        <v>4832</v>
      </c>
      <c r="I2077" s="6">
        <f ca="1">-Main[[#This Row],[بدهی تسویه شده (کیلوگرم)]]+Main[[#This Row],[بستانکار (کیلوگرم)]]</f>
        <v>4832</v>
      </c>
      <c r="J2077" s="6">
        <f>IF(Main[[#This Row],[مقدار (کیلوگرم)]]&gt;0,Main[[#This Row],[مقدار (کیلوگرم)]],0)</f>
        <v>4832</v>
      </c>
      <c r="K2077" s="6">
        <f>-IF(Main[[#This Row],[مقدار (کیلوگرم)]]&lt;0,Main[[#This Row],[مقدار (کیلوگرم)]],0)</f>
        <v>0</v>
      </c>
      <c r="L20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7" s="7">
        <f>-IF(AND(Main[[#This Row],[مقدار (کیلوگرم)]]&lt;0,Main[[#This Row],[تاريخ میلادی]]&gt;44276),Main[[#This Row],[مقدار (کیلوگرم)]],0)</f>
        <v>0</v>
      </c>
      <c r="N2077" s="6">
        <f ca="1">Main[[#This Row],[بدهکار (کیلوگرم)]]-Main[[#This Row],[بدهی تسویه نشده (کیلوگرم)]]</f>
        <v>0</v>
      </c>
      <c r="O2077" s="6">
        <f ca="1">Main[[#This Row],[تفکیک]]</f>
        <v>0</v>
      </c>
      <c r="P2077" s="6">
        <f ca="1">IF(Main[[#This Row],[تاخیر از سررسید]]&gt;0,Main[[#This Row],[بدهی تسویه نشده (کیلوگرم)]],0)</f>
        <v>0</v>
      </c>
      <c r="Q2077" s="6">
        <f ca="1">IF(Main[[#This Row],[بدهی تسویه نشده (کیلوگرم)]]&gt;0,'گزارش فردی'!$B$7-Main[[#This Row],[تاريخ میلادی]],0)</f>
        <v>0</v>
      </c>
      <c r="R2077" s="6">
        <f ca="1">IF(Main[[#This Row],[بدهی تسویه نشده (کیلوگرم)]]&gt;0,'گزارش فردی'!$B$7-Main[[#This Row],[تاريخ میلادی]]-'گزارش فردی'!$B$8,0)</f>
        <v>0</v>
      </c>
      <c r="S2077" s="6">
        <f ca="1">Main[[#This Row],[روز از ارسال سفارش]]*Main[[#This Row],[بدهی تسویه نشده (کیلوگرم)]]</f>
        <v>0</v>
      </c>
      <c r="T2077" s="6">
        <f ca="1">Main[[#This Row],[بدهی سررسید شده (کیلوگرم)]]*Main[[#This Row],[روز از ارسال سفارش]]</f>
        <v>0</v>
      </c>
      <c r="U2077" s="6">
        <f>-SUBTOTAL(9,INDEX(Main[مقدار (کیلوگرم)],1):Main[[#This Row],[مقدار (کیلوگرم)]])</f>
        <v>43684</v>
      </c>
      <c r="V20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7" s="6">
        <f>Main[[#This Row],[تعداد کل روزهای بدهکار (روز)]]*Main[[#This Row],[مانده در خط کل (کیلوگرم)]]</f>
        <v>0</v>
      </c>
      <c r="X2077" s="6">
        <f ca="1">-SUBTOTAL(9,INDEX(Main[مقدار تسویه شده (کیلوگرم)],1):Main[[#This Row],[مقدار تسویه شده (کیلوگرم)]])</f>
        <v>43684</v>
      </c>
      <c r="Y2077" s="6">
        <f ca="1">IF(Main[[#This Row],[مانده در خط تسویه شده (کیلوگرم)]]&lt;&gt;0,Main[[#This Row],[تعداد کل روزهای بدهکار (روز)]],0)</f>
        <v>0</v>
      </c>
      <c r="Z2077" s="6">
        <f ca="1">Main[[#This Row],[تعداد روزهای بدهکار تسویه شده (روز)]]*Main[[#This Row],[مانده در خط تسویه شده (کیلوگرم)]]</f>
        <v>0</v>
      </c>
      <c r="AA2077" s="6">
        <f ca="1">SUBTOTAL(9,INDEX(Main[بدهی تسویه نشده (کیلوگرم)],1):Main[[#This Row],[بدهی تسویه نشده (کیلوگرم)]])</f>
        <v>0</v>
      </c>
      <c r="AB2077" s="6">
        <f ca="1">IF(Main[[#This Row],[مانده در خط تسویه نشده (کیلوگرم)]]&lt;&gt;0,Main[[#This Row],[تعداد کل روزهای بدهکار (روز)]],0)</f>
        <v>0</v>
      </c>
      <c r="AC2077" s="6">
        <f ca="1">Main[[#This Row],[تعداد روزهای بدهکار  تسویه نشده (روز)]]*Main[[#This Row],[مانده در خط تسویه نشده (کیلوگرم)]]</f>
        <v>0</v>
      </c>
      <c r="AD2077" s="6">
        <f ca="1">SUBTOTAL(9,INDEX(Main[بدهی سررسید شده (کیلوگرم)],1):Main[[#This Row],[بدهی سررسید شده (کیلوگرم)]])</f>
        <v>0</v>
      </c>
      <c r="AE2077" s="6">
        <f ca="1">IF(Main[[#This Row],[مانده در خط سررسید شده (کیلوگرم)]]&lt;&gt;0,Main[[#This Row],[تعداد کل روزهای بدهکار (روز)]],0)</f>
        <v>0</v>
      </c>
      <c r="AF2077" s="6">
        <f ca="1">Main[[#This Row],[تعداد روزهای بدهکار سررسید شده (روز)]]*Main[[#This Row],[مانده در خط سررسید شده (کیلوگرم)]]</f>
        <v>0</v>
      </c>
    </row>
    <row r="2078" spans="1:32" hidden="1" x14ac:dyDescent="0.35">
      <c r="A2078" s="5">
        <f>ROW()-ROW(INDEX(Main[ردیف],1))+1</f>
        <v>2076</v>
      </c>
      <c r="B2078" s="31">
        <f>SUBTOTAL(2,INDEX(Main[ردیف],1):Main[[#This Row],[ردیف]])</f>
        <v>184</v>
      </c>
      <c r="C2078" s="32" t="s">
        <v>753</v>
      </c>
      <c r="D2078" s="32" t="str">
        <f>_xlfn.CONCAT("14",Main[[#This Row],[تاريخ]])</f>
        <v>1400/08/17</v>
      </c>
      <c r="E2078" s="33">
        <v>44508</v>
      </c>
      <c r="F2078" s="32">
        <v>30164</v>
      </c>
      <c r="G2078" s="5" t="str">
        <f>INDEX(customer[عنوان],MATCH(Main[[#This Row],[کد ردیابی]],customer[کد],0))</f>
        <v xml:space="preserve">پارت الکتریک </v>
      </c>
      <c r="H2078">
        <v>-994</v>
      </c>
      <c r="I2078" s="6">
        <f ca="1">-Main[[#This Row],[بدهی تسویه شده (کیلوگرم)]]+Main[[#This Row],[بستانکار (کیلوگرم)]]</f>
        <v>-994</v>
      </c>
      <c r="J2078" s="6">
        <f>IF(Main[[#This Row],[مقدار (کیلوگرم)]]&gt;0,Main[[#This Row],[مقدار (کیلوگرم)]],0)</f>
        <v>0</v>
      </c>
      <c r="K2078" s="6">
        <f>-IF(Main[[#This Row],[مقدار (کیلوگرم)]]&lt;0,Main[[#This Row],[مقدار (کیلوگرم)]],0)</f>
        <v>994</v>
      </c>
      <c r="L20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8" s="7">
        <f>-IF(AND(Main[[#This Row],[مقدار (کیلوگرم)]]&lt;0,Main[[#This Row],[تاريخ میلادی]]&gt;44276),Main[[#This Row],[مقدار (کیلوگرم)]],0)</f>
        <v>994</v>
      </c>
      <c r="N2078" s="6">
        <f ca="1">Main[[#This Row],[بدهکار (کیلوگرم)]]-Main[[#This Row],[بدهی تسویه نشده (کیلوگرم)]]</f>
        <v>994</v>
      </c>
      <c r="O2078" s="6">
        <f ca="1">Main[[#This Row],[تفکیک]]</f>
        <v>0</v>
      </c>
      <c r="P2078" s="6">
        <f ca="1">IF(Main[[#This Row],[تاخیر از سررسید]]&gt;0,Main[[#This Row],[بدهی تسویه نشده (کیلوگرم)]],0)</f>
        <v>0</v>
      </c>
      <c r="Q2078" s="6">
        <f ca="1">IF(Main[[#This Row],[بدهی تسویه نشده (کیلوگرم)]]&gt;0,'گزارش فردی'!$B$7-Main[[#This Row],[تاريخ میلادی]],0)</f>
        <v>0</v>
      </c>
      <c r="R2078" s="6">
        <f ca="1">IF(Main[[#This Row],[بدهی تسویه نشده (کیلوگرم)]]&gt;0,'گزارش فردی'!$B$7-Main[[#This Row],[تاريخ میلادی]]-'گزارش فردی'!$B$8,0)</f>
        <v>0</v>
      </c>
      <c r="S2078" s="6">
        <f ca="1">Main[[#This Row],[روز از ارسال سفارش]]*Main[[#This Row],[بدهی تسویه نشده (کیلوگرم)]]</f>
        <v>0</v>
      </c>
      <c r="T2078" s="6">
        <f ca="1">Main[[#This Row],[بدهی سررسید شده (کیلوگرم)]]*Main[[#This Row],[روز از ارسال سفارش]]</f>
        <v>0</v>
      </c>
      <c r="U2078" s="6">
        <f>-SUBTOTAL(9,INDEX(Main[مقدار (کیلوگرم)],1):Main[[#This Row],[مقدار (کیلوگرم)]])</f>
        <v>43684</v>
      </c>
      <c r="V20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8" s="6">
        <f>Main[[#This Row],[تعداد کل روزهای بدهکار (روز)]]*Main[[#This Row],[مانده در خط کل (کیلوگرم)]]</f>
        <v>0</v>
      </c>
      <c r="X2078" s="6">
        <f ca="1">-SUBTOTAL(9,INDEX(Main[مقدار تسویه شده (کیلوگرم)],1):Main[[#This Row],[مقدار تسویه شده (کیلوگرم)]])</f>
        <v>43684</v>
      </c>
      <c r="Y2078" s="6">
        <f ca="1">IF(Main[[#This Row],[مانده در خط تسویه شده (کیلوگرم)]]&lt;&gt;0,Main[[#This Row],[تعداد کل روزهای بدهکار (روز)]],0)</f>
        <v>0</v>
      </c>
      <c r="Z2078" s="6">
        <f ca="1">Main[[#This Row],[تعداد روزهای بدهکار تسویه شده (روز)]]*Main[[#This Row],[مانده در خط تسویه شده (کیلوگرم)]]</f>
        <v>0</v>
      </c>
      <c r="AA2078" s="6">
        <f ca="1">SUBTOTAL(9,INDEX(Main[بدهی تسویه نشده (کیلوگرم)],1):Main[[#This Row],[بدهی تسویه نشده (کیلوگرم)]])</f>
        <v>0</v>
      </c>
      <c r="AB2078" s="6">
        <f ca="1">IF(Main[[#This Row],[مانده در خط تسویه نشده (کیلوگرم)]]&lt;&gt;0,Main[[#This Row],[تعداد کل روزهای بدهکار (روز)]],0)</f>
        <v>0</v>
      </c>
      <c r="AC2078" s="6">
        <f ca="1">Main[[#This Row],[تعداد روزهای بدهکار  تسویه نشده (روز)]]*Main[[#This Row],[مانده در خط تسویه نشده (کیلوگرم)]]</f>
        <v>0</v>
      </c>
      <c r="AD2078" s="6">
        <f ca="1">SUBTOTAL(9,INDEX(Main[بدهی سررسید شده (کیلوگرم)],1):Main[[#This Row],[بدهی سررسید شده (کیلوگرم)]])</f>
        <v>0</v>
      </c>
      <c r="AE2078" s="6">
        <f ca="1">IF(Main[[#This Row],[مانده در خط سررسید شده (کیلوگرم)]]&lt;&gt;0,Main[[#This Row],[تعداد کل روزهای بدهکار (روز)]],0)</f>
        <v>0</v>
      </c>
      <c r="AF2078" s="6">
        <f ca="1">Main[[#This Row],[تعداد روزهای بدهکار سررسید شده (روز)]]*Main[[#This Row],[مانده در خط سررسید شده (کیلوگرم)]]</f>
        <v>0</v>
      </c>
    </row>
    <row r="2079" spans="1:32" hidden="1" x14ac:dyDescent="0.35">
      <c r="A2079" s="5">
        <f>ROW()-ROW(INDEX(Main[ردیف],1))+1</f>
        <v>2077</v>
      </c>
      <c r="B2079" s="31">
        <f>SUBTOTAL(2,INDEX(Main[ردیف],1):Main[[#This Row],[ردیف]])</f>
        <v>184</v>
      </c>
      <c r="C2079" s="32" t="s">
        <v>753</v>
      </c>
      <c r="D2079" s="32" t="str">
        <f>_xlfn.CONCAT("14",Main[[#This Row],[تاريخ]])</f>
        <v>1400/08/17</v>
      </c>
      <c r="E2079" s="33">
        <v>44508</v>
      </c>
      <c r="F2079" s="32">
        <v>30164</v>
      </c>
      <c r="G2079" s="5" t="str">
        <f>INDEX(customer[عنوان],MATCH(Main[[#This Row],[کد ردیابی]],customer[کد],0))</f>
        <v xml:space="preserve">پارت الکتریک </v>
      </c>
      <c r="H2079">
        <v>1004</v>
      </c>
      <c r="I2079" s="6">
        <f ca="1">-Main[[#This Row],[بدهی تسویه شده (کیلوگرم)]]+Main[[#This Row],[بستانکار (کیلوگرم)]]</f>
        <v>1004</v>
      </c>
      <c r="J2079" s="6">
        <f>IF(Main[[#This Row],[مقدار (کیلوگرم)]]&gt;0,Main[[#This Row],[مقدار (کیلوگرم)]],0)</f>
        <v>1004</v>
      </c>
      <c r="K2079" s="6">
        <f>-IF(Main[[#This Row],[مقدار (کیلوگرم)]]&lt;0,Main[[#This Row],[مقدار (کیلوگرم)]],0)</f>
        <v>0</v>
      </c>
      <c r="L20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9" s="7">
        <f>-IF(AND(Main[[#This Row],[مقدار (کیلوگرم)]]&lt;0,Main[[#This Row],[تاريخ میلادی]]&gt;44276),Main[[#This Row],[مقدار (کیلوگرم)]],0)</f>
        <v>0</v>
      </c>
      <c r="N2079" s="6">
        <f ca="1">Main[[#This Row],[بدهکار (کیلوگرم)]]-Main[[#This Row],[بدهی تسویه نشده (کیلوگرم)]]</f>
        <v>0</v>
      </c>
      <c r="O2079" s="6">
        <f ca="1">Main[[#This Row],[تفکیک]]</f>
        <v>0</v>
      </c>
      <c r="P2079" s="6">
        <f ca="1">IF(Main[[#This Row],[تاخیر از سررسید]]&gt;0,Main[[#This Row],[بدهی تسویه نشده (کیلوگرم)]],0)</f>
        <v>0</v>
      </c>
      <c r="Q2079" s="6">
        <f ca="1">IF(Main[[#This Row],[بدهی تسویه نشده (کیلوگرم)]]&gt;0,'گزارش فردی'!$B$7-Main[[#This Row],[تاريخ میلادی]],0)</f>
        <v>0</v>
      </c>
      <c r="R2079" s="6">
        <f ca="1">IF(Main[[#This Row],[بدهی تسویه نشده (کیلوگرم)]]&gt;0,'گزارش فردی'!$B$7-Main[[#This Row],[تاريخ میلادی]]-'گزارش فردی'!$B$8,0)</f>
        <v>0</v>
      </c>
      <c r="S2079" s="6">
        <f ca="1">Main[[#This Row],[روز از ارسال سفارش]]*Main[[#This Row],[بدهی تسویه نشده (کیلوگرم)]]</f>
        <v>0</v>
      </c>
      <c r="T2079" s="6">
        <f ca="1">Main[[#This Row],[بدهی سررسید شده (کیلوگرم)]]*Main[[#This Row],[روز از ارسال سفارش]]</f>
        <v>0</v>
      </c>
      <c r="U2079" s="6">
        <f>-SUBTOTAL(9,INDEX(Main[مقدار (کیلوگرم)],1):Main[[#This Row],[مقدار (کیلوگرم)]])</f>
        <v>43684</v>
      </c>
      <c r="V20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9" s="6">
        <f>Main[[#This Row],[تعداد کل روزهای بدهکار (روز)]]*Main[[#This Row],[مانده در خط کل (کیلوگرم)]]</f>
        <v>0</v>
      </c>
      <c r="X2079" s="6">
        <f ca="1">-SUBTOTAL(9,INDEX(Main[مقدار تسویه شده (کیلوگرم)],1):Main[[#This Row],[مقدار تسویه شده (کیلوگرم)]])</f>
        <v>43684</v>
      </c>
      <c r="Y2079" s="6">
        <f ca="1">IF(Main[[#This Row],[مانده در خط تسویه شده (کیلوگرم)]]&lt;&gt;0,Main[[#This Row],[تعداد کل روزهای بدهکار (روز)]],0)</f>
        <v>0</v>
      </c>
      <c r="Z2079" s="6">
        <f ca="1">Main[[#This Row],[تعداد روزهای بدهکار تسویه شده (روز)]]*Main[[#This Row],[مانده در خط تسویه شده (کیلوگرم)]]</f>
        <v>0</v>
      </c>
      <c r="AA2079" s="6">
        <f ca="1">SUBTOTAL(9,INDEX(Main[بدهی تسویه نشده (کیلوگرم)],1):Main[[#This Row],[بدهی تسویه نشده (کیلوگرم)]])</f>
        <v>0</v>
      </c>
      <c r="AB2079" s="6">
        <f ca="1">IF(Main[[#This Row],[مانده در خط تسویه نشده (کیلوگرم)]]&lt;&gt;0,Main[[#This Row],[تعداد کل روزهای بدهکار (روز)]],0)</f>
        <v>0</v>
      </c>
      <c r="AC2079" s="6">
        <f ca="1">Main[[#This Row],[تعداد روزهای بدهکار  تسویه نشده (روز)]]*Main[[#This Row],[مانده در خط تسویه نشده (کیلوگرم)]]</f>
        <v>0</v>
      </c>
      <c r="AD2079" s="6">
        <f ca="1">SUBTOTAL(9,INDEX(Main[بدهی سررسید شده (کیلوگرم)],1):Main[[#This Row],[بدهی سررسید شده (کیلوگرم)]])</f>
        <v>0</v>
      </c>
      <c r="AE2079" s="6">
        <f ca="1">IF(Main[[#This Row],[مانده در خط سررسید شده (کیلوگرم)]]&lt;&gt;0,Main[[#This Row],[تعداد کل روزهای بدهکار (روز)]],0)</f>
        <v>0</v>
      </c>
      <c r="AF2079" s="6">
        <f ca="1">Main[[#This Row],[تعداد روزهای بدهکار سررسید شده (روز)]]*Main[[#This Row],[مانده در خط سررسید شده (کیلوگرم)]]</f>
        <v>0</v>
      </c>
    </row>
    <row r="2080" spans="1:32" hidden="1" x14ac:dyDescent="0.35">
      <c r="A2080" s="5">
        <f>ROW()-ROW(INDEX(Main[ردیف],1))+1</f>
        <v>2078</v>
      </c>
      <c r="B2080" s="31">
        <f>SUBTOTAL(2,INDEX(Main[ردیف],1):Main[[#This Row],[ردیف]])</f>
        <v>184</v>
      </c>
      <c r="C2080" s="32" t="s">
        <v>753</v>
      </c>
      <c r="D2080" s="32" t="str">
        <f>_xlfn.CONCAT("14",Main[[#This Row],[تاريخ]])</f>
        <v>1400/08/17</v>
      </c>
      <c r="E2080" s="33">
        <v>44508</v>
      </c>
      <c r="F2080" s="32">
        <v>10026</v>
      </c>
      <c r="G2080" s="5" t="str">
        <f>INDEX(customer[عنوان],MATCH(Main[[#This Row],[کد ردیابی]],customer[کد],0))</f>
        <v xml:space="preserve">محسن فیاض بخش </v>
      </c>
      <c r="H2080">
        <v>-2092</v>
      </c>
      <c r="I2080" s="6">
        <f ca="1">-Main[[#This Row],[بدهی تسویه شده (کیلوگرم)]]+Main[[#This Row],[بستانکار (کیلوگرم)]]</f>
        <v>-2092</v>
      </c>
      <c r="J2080" s="6">
        <f>IF(Main[[#This Row],[مقدار (کیلوگرم)]]&gt;0,Main[[#This Row],[مقدار (کیلوگرم)]],0)</f>
        <v>0</v>
      </c>
      <c r="K2080" s="6">
        <f>-IF(Main[[#This Row],[مقدار (کیلوگرم)]]&lt;0,Main[[#This Row],[مقدار (کیلوگرم)]],0)</f>
        <v>2092</v>
      </c>
      <c r="L20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0" s="7">
        <f>-IF(AND(Main[[#This Row],[مقدار (کیلوگرم)]]&lt;0,Main[[#This Row],[تاريخ میلادی]]&gt;44276),Main[[#This Row],[مقدار (کیلوگرم)]],0)</f>
        <v>2092</v>
      </c>
      <c r="N2080" s="6">
        <f ca="1">Main[[#This Row],[بدهکار (کیلوگرم)]]-Main[[#This Row],[بدهی تسویه نشده (کیلوگرم)]]</f>
        <v>2092</v>
      </c>
      <c r="O2080" s="6">
        <f ca="1">Main[[#This Row],[تفکیک]]</f>
        <v>0</v>
      </c>
      <c r="P2080" s="6">
        <f ca="1">IF(Main[[#This Row],[تاخیر از سررسید]]&gt;0,Main[[#This Row],[بدهی تسویه نشده (کیلوگرم)]],0)</f>
        <v>0</v>
      </c>
      <c r="Q2080" s="6">
        <f ca="1">IF(Main[[#This Row],[بدهی تسویه نشده (کیلوگرم)]]&gt;0,'گزارش فردی'!$B$7-Main[[#This Row],[تاريخ میلادی]],0)</f>
        <v>0</v>
      </c>
      <c r="R2080" s="6">
        <f ca="1">IF(Main[[#This Row],[بدهی تسویه نشده (کیلوگرم)]]&gt;0,'گزارش فردی'!$B$7-Main[[#This Row],[تاريخ میلادی]]-'گزارش فردی'!$B$8,0)</f>
        <v>0</v>
      </c>
      <c r="S2080" s="6">
        <f ca="1">Main[[#This Row],[روز از ارسال سفارش]]*Main[[#This Row],[بدهی تسویه نشده (کیلوگرم)]]</f>
        <v>0</v>
      </c>
      <c r="T2080" s="6">
        <f ca="1">Main[[#This Row],[بدهی سررسید شده (کیلوگرم)]]*Main[[#This Row],[روز از ارسال سفارش]]</f>
        <v>0</v>
      </c>
      <c r="U2080" s="6">
        <f>-SUBTOTAL(9,INDEX(Main[مقدار (کیلوگرم)],1):Main[[#This Row],[مقدار (کیلوگرم)]])</f>
        <v>43684</v>
      </c>
      <c r="V20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0" s="6">
        <f>Main[[#This Row],[تعداد کل روزهای بدهکار (روز)]]*Main[[#This Row],[مانده در خط کل (کیلوگرم)]]</f>
        <v>0</v>
      </c>
      <c r="X2080" s="6">
        <f ca="1">-SUBTOTAL(9,INDEX(Main[مقدار تسویه شده (کیلوگرم)],1):Main[[#This Row],[مقدار تسویه شده (کیلوگرم)]])</f>
        <v>43684</v>
      </c>
      <c r="Y2080" s="6">
        <f ca="1">IF(Main[[#This Row],[مانده در خط تسویه شده (کیلوگرم)]]&lt;&gt;0,Main[[#This Row],[تعداد کل روزهای بدهکار (روز)]],0)</f>
        <v>0</v>
      </c>
      <c r="Z2080" s="6">
        <f ca="1">Main[[#This Row],[تعداد روزهای بدهکار تسویه شده (روز)]]*Main[[#This Row],[مانده در خط تسویه شده (کیلوگرم)]]</f>
        <v>0</v>
      </c>
      <c r="AA2080" s="6">
        <f ca="1">SUBTOTAL(9,INDEX(Main[بدهی تسویه نشده (کیلوگرم)],1):Main[[#This Row],[بدهی تسویه نشده (کیلوگرم)]])</f>
        <v>0</v>
      </c>
      <c r="AB2080" s="6">
        <f ca="1">IF(Main[[#This Row],[مانده در خط تسویه نشده (کیلوگرم)]]&lt;&gt;0,Main[[#This Row],[تعداد کل روزهای بدهکار (روز)]],0)</f>
        <v>0</v>
      </c>
      <c r="AC2080" s="6">
        <f ca="1">Main[[#This Row],[تعداد روزهای بدهکار  تسویه نشده (روز)]]*Main[[#This Row],[مانده در خط تسویه نشده (کیلوگرم)]]</f>
        <v>0</v>
      </c>
      <c r="AD2080" s="6">
        <f ca="1">SUBTOTAL(9,INDEX(Main[بدهی سررسید شده (کیلوگرم)],1):Main[[#This Row],[بدهی سررسید شده (کیلوگرم)]])</f>
        <v>0</v>
      </c>
      <c r="AE2080" s="6">
        <f ca="1">IF(Main[[#This Row],[مانده در خط سررسید شده (کیلوگرم)]]&lt;&gt;0,Main[[#This Row],[تعداد کل روزهای بدهکار (روز)]],0)</f>
        <v>0</v>
      </c>
      <c r="AF2080" s="6">
        <f ca="1">Main[[#This Row],[تعداد روزهای بدهکار سررسید شده (روز)]]*Main[[#This Row],[مانده در خط سررسید شده (کیلوگرم)]]</f>
        <v>0</v>
      </c>
    </row>
    <row r="2081" spans="1:32" hidden="1" x14ac:dyDescent="0.35">
      <c r="A2081" s="5">
        <f>ROW()-ROW(INDEX(Main[ردیف],1))+1</f>
        <v>2079</v>
      </c>
      <c r="B2081" s="31">
        <f>SUBTOTAL(2,INDEX(Main[ردیف],1):Main[[#This Row],[ردیف]])</f>
        <v>184</v>
      </c>
      <c r="C2081" s="32" t="s">
        <v>753</v>
      </c>
      <c r="D2081" s="32" t="str">
        <f>_xlfn.CONCAT("14",Main[[#This Row],[تاريخ]])</f>
        <v>1400/08/17</v>
      </c>
      <c r="E2081" s="33">
        <v>44508</v>
      </c>
      <c r="F2081" s="32">
        <v>30127</v>
      </c>
      <c r="G2081" s="5" t="str">
        <f>INDEX(customer[عنوان],MATCH(Main[[#This Row],[کد ردیابی]],customer[کد],0))</f>
        <v>شیر گاز آذران</v>
      </c>
      <c r="H2081">
        <v>12718</v>
      </c>
      <c r="I2081" s="6">
        <f ca="1">-Main[[#This Row],[بدهی تسویه شده (کیلوگرم)]]+Main[[#This Row],[بستانکار (کیلوگرم)]]</f>
        <v>12718</v>
      </c>
      <c r="J2081" s="6">
        <f>IF(Main[[#This Row],[مقدار (کیلوگرم)]]&gt;0,Main[[#This Row],[مقدار (کیلوگرم)]],0)</f>
        <v>12718</v>
      </c>
      <c r="K2081" s="6">
        <f>-IF(Main[[#This Row],[مقدار (کیلوگرم)]]&lt;0,Main[[#This Row],[مقدار (کیلوگرم)]],0)</f>
        <v>0</v>
      </c>
      <c r="L20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1" s="7">
        <f>-IF(AND(Main[[#This Row],[مقدار (کیلوگرم)]]&lt;0,Main[[#This Row],[تاريخ میلادی]]&gt;44276),Main[[#This Row],[مقدار (کیلوگرم)]],0)</f>
        <v>0</v>
      </c>
      <c r="N2081" s="6">
        <f ca="1">Main[[#This Row],[بدهکار (کیلوگرم)]]-Main[[#This Row],[بدهی تسویه نشده (کیلوگرم)]]</f>
        <v>0</v>
      </c>
      <c r="O2081" s="6">
        <f ca="1">Main[[#This Row],[تفکیک]]</f>
        <v>0</v>
      </c>
      <c r="P2081" s="6">
        <f ca="1">IF(Main[[#This Row],[تاخیر از سررسید]]&gt;0,Main[[#This Row],[بدهی تسویه نشده (کیلوگرم)]],0)</f>
        <v>0</v>
      </c>
      <c r="Q2081" s="6">
        <f ca="1">IF(Main[[#This Row],[بدهی تسویه نشده (کیلوگرم)]]&gt;0,'گزارش فردی'!$B$7-Main[[#This Row],[تاريخ میلادی]],0)</f>
        <v>0</v>
      </c>
      <c r="R2081" s="6">
        <f ca="1">IF(Main[[#This Row],[بدهی تسویه نشده (کیلوگرم)]]&gt;0,'گزارش فردی'!$B$7-Main[[#This Row],[تاريخ میلادی]]-'گزارش فردی'!$B$8,0)</f>
        <v>0</v>
      </c>
      <c r="S2081" s="6">
        <f ca="1">Main[[#This Row],[روز از ارسال سفارش]]*Main[[#This Row],[بدهی تسویه نشده (کیلوگرم)]]</f>
        <v>0</v>
      </c>
      <c r="T2081" s="6">
        <f ca="1">Main[[#This Row],[بدهی سررسید شده (کیلوگرم)]]*Main[[#This Row],[روز از ارسال سفارش]]</f>
        <v>0</v>
      </c>
      <c r="U2081" s="6">
        <f>-SUBTOTAL(9,INDEX(Main[مقدار (کیلوگرم)],1):Main[[#This Row],[مقدار (کیلوگرم)]])</f>
        <v>43684</v>
      </c>
      <c r="V20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1" s="6">
        <f>Main[[#This Row],[تعداد کل روزهای بدهکار (روز)]]*Main[[#This Row],[مانده در خط کل (کیلوگرم)]]</f>
        <v>0</v>
      </c>
      <c r="X2081" s="6">
        <f ca="1">-SUBTOTAL(9,INDEX(Main[مقدار تسویه شده (کیلوگرم)],1):Main[[#This Row],[مقدار تسویه شده (کیلوگرم)]])</f>
        <v>43684</v>
      </c>
      <c r="Y2081" s="6">
        <f ca="1">IF(Main[[#This Row],[مانده در خط تسویه شده (کیلوگرم)]]&lt;&gt;0,Main[[#This Row],[تعداد کل روزهای بدهکار (روز)]],0)</f>
        <v>0</v>
      </c>
      <c r="Z2081" s="6">
        <f ca="1">Main[[#This Row],[تعداد روزهای بدهکار تسویه شده (روز)]]*Main[[#This Row],[مانده در خط تسویه شده (کیلوگرم)]]</f>
        <v>0</v>
      </c>
      <c r="AA2081" s="6">
        <f ca="1">SUBTOTAL(9,INDEX(Main[بدهی تسویه نشده (کیلوگرم)],1):Main[[#This Row],[بدهی تسویه نشده (کیلوگرم)]])</f>
        <v>0</v>
      </c>
      <c r="AB2081" s="6">
        <f ca="1">IF(Main[[#This Row],[مانده در خط تسویه نشده (کیلوگرم)]]&lt;&gt;0,Main[[#This Row],[تعداد کل روزهای بدهکار (روز)]],0)</f>
        <v>0</v>
      </c>
      <c r="AC2081" s="6">
        <f ca="1">Main[[#This Row],[تعداد روزهای بدهکار  تسویه نشده (روز)]]*Main[[#This Row],[مانده در خط تسویه نشده (کیلوگرم)]]</f>
        <v>0</v>
      </c>
      <c r="AD2081" s="6">
        <f ca="1">SUBTOTAL(9,INDEX(Main[بدهی سررسید شده (کیلوگرم)],1):Main[[#This Row],[بدهی سررسید شده (کیلوگرم)]])</f>
        <v>0</v>
      </c>
      <c r="AE2081" s="6">
        <f ca="1">IF(Main[[#This Row],[مانده در خط سررسید شده (کیلوگرم)]]&lt;&gt;0,Main[[#This Row],[تعداد کل روزهای بدهکار (روز)]],0)</f>
        <v>0</v>
      </c>
      <c r="AF2081" s="6">
        <f ca="1">Main[[#This Row],[تعداد روزهای بدهکار سررسید شده (روز)]]*Main[[#This Row],[مانده در خط سررسید شده (کیلوگرم)]]</f>
        <v>0</v>
      </c>
    </row>
    <row r="2082" spans="1:32" x14ac:dyDescent="0.35">
      <c r="A2082" s="5">
        <f>ROW()-ROW(INDEX(Main[ردیف],1))+1</f>
        <v>2080</v>
      </c>
      <c r="B2082" s="31">
        <f>SUBTOTAL(2,INDEX(Main[ردیف],1):Main[[#This Row],[ردیف]])</f>
        <v>185</v>
      </c>
      <c r="C2082" s="32" t="s">
        <v>753</v>
      </c>
      <c r="D2082" s="32" t="str">
        <f>_xlfn.CONCAT("14",Main[[#This Row],[تاريخ]])</f>
        <v>1400/08/17</v>
      </c>
      <c r="E2082" s="33">
        <v>44508</v>
      </c>
      <c r="F2082" s="32">
        <v>10003</v>
      </c>
      <c r="G2082" s="5" t="str">
        <f>INDEX(customer[عنوان],MATCH(Main[[#This Row],[کد ردیابی]],customer[کد],0))</f>
        <v>اصغر نورعلی</v>
      </c>
      <c r="H2082">
        <v>-2002</v>
      </c>
      <c r="I2082" s="6">
        <f ca="1">-Main[[#This Row],[بدهی تسویه شده (کیلوگرم)]]+Main[[#This Row],[بستانکار (کیلوگرم)]]</f>
        <v>-2002</v>
      </c>
      <c r="J2082" s="6">
        <f>IF(Main[[#This Row],[مقدار (کیلوگرم)]]&gt;0,Main[[#This Row],[مقدار (کیلوگرم)]],0)</f>
        <v>0</v>
      </c>
      <c r="K2082" s="6">
        <f>-IF(Main[[#This Row],[مقدار (کیلوگرم)]]&lt;0,Main[[#This Row],[مقدار (کیلوگرم)]],0)</f>
        <v>2002</v>
      </c>
      <c r="L20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2" s="7">
        <f>-IF(AND(Main[[#This Row],[مقدار (کیلوگرم)]]&lt;0,Main[[#This Row],[تاريخ میلادی]]&gt;44276),Main[[#This Row],[مقدار (کیلوگرم)]],0)</f>
        <v>2002</v>
      </c>
      <c r="N2082" s="6">
        <f ca="1">Main[[#This Row],[بدهکار (کیلوگرم)]]-Main[[#This Row],[بدهی تسویه نشده (کیلوگرم)]]</f>
        <v>2002</v>
      </c>
      <c r="O2082" s="6">
        <f ca="1">Main[[#This Row],[تفکیک]]</f>
        <v>0</v>
      </c>
      <c r="P2082" s="6">
        <f ca="1">IF(Main[[#This Row],[تاخیر از سررسید]]&gt;0,Main[[#This Row],[بدهی تسویه نشده (کیلوگرم)]],0)</f>
        <v>0</v>
      </c>
      <c r="Q2082" s="6">
        <f ca="1">IF(Main[[#This Row],[بدهی تسویه نشده (کیلوگرم)]]&gt;0,'گزارش فردی'!$B$7-Main[[#This Row],[تاريخ میلادی]],0)</f>
        <v>0</v>
      </c>
      <c r="R2082" s="6">
        <f ca="1">IF(Main[[#This Row],[بدهی تسویه نشده (کیلوگرم)]]&gt;0,'گزارش فردی'!$B$7-Main[[#This Row],[تاريخ میلادی]]-'گزارش فردی'!$B$8,0)</f>
        <v>0</v>
      </c>
      <c r="S2082" s="6">
        <f ca="1">Main[[#This Row],[روز از ارسال سفارش]]*Main[[#This Row],[بدهی تسویه نشده (کیلوگرم)]]</f>
        <v>0</v>
      </c>
      <c r="T2082" s="6">
        <f ca="1">Main[[#This Row],[بدهی سررسید شده (کیلوگرم)]]*Main[[#This Row],[روز از ارسال سفارش]]</f>
        <v>0</v>
      </c>
      <c r="U2082" s="6">
        <f>-SUBTOTAL(9,INDEX(Main[مقدار (کیلوگرم)],1):Main[[#This Row],[مقدار (کیلوگرم)]])</f>
        <v>45686</v>
      </c>
      <c r="V20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2" s="6">
        <f>Main[[#This Row],[تعداد کل روزهای بدهکار (روز)]]*Main[[#This Row],[مانده در خط کل (کیلوگرم)]]</f>
        <v>0</v>
      </c>
      <c r="X2082" s="6">
        <f ca="1">-SUBTOTAL(9,INDEX(Main[مقدار تسویه شده (کیلوگرم)],1):Main[[#This Row],[مقدار تسویه شده (کیلوگرم)]])</f>
        <v>45686</v>
      </c>
      <c r="Y2082" s="6">
        <f ca="1">IF(Main[[#This Row],[مانده در خط تسویه شده (کیلوگرم)]]&lt;&gt;0,Main[[#This Row],[تعداد کل روزهای بدهکار (روز)]],0)</f>
        <v>0</v>
      </c>
      <c r="Z2082" s="6">
        <f ca="1">Main[[#This Row],[تعداد روزهای بدهکار تسویه شده (روز)]]*Main[[#This Row],[مانده در خط تسویه شده (کیلوگرم)]]</f>
        <v>0</v>
      </c>
      <c r="AA2082" s="6">
        <f ca="1">SUBTOTAL(9,INDEX(Main[بدهی تسویه نشده (کیلوگرم)],1):Main[[#This Row],[بدهی تسویه نشده (کیلوگرم)]])</f>
        <v>0</v>
      </c>
      <c r="AB2082" s="6">
        <f ca="1">IF(Main[[#This Row],[مانده در خط تسویه نشده (کیلوگرم)]]&lt;&gt;0,Main[[#This Row],[تعداد کل روزهای بدهکار (روز)]],0)</f>
        <v>0</v>
      </c>
      <c r="AC2082" s="6">
        <f ca="1">Main[[#This Row],[تعداد روزهای بدهکار  تسویه نشده (روز)]]*Main[[#This Row],[مانده در خط تسویه نشده (کیلوگرم)]]</f>
        <v>0</v>
      </c>
      <c r="AD2082" s="6">
        <f ca="1">SUBTOTAL(9,INDEX(Main[بدهی سررسید شده (کیلوگرم)],1):Main[[#This Row],[بدهی سررسید شده (کیلوگرم)]])</f>
        <v>0</v>
      </c>
      <c r="AE2082" s="6">
        <f ca="1">IF(Main[[#This Row],[مانده در خط سررسید شده (کیلوگرم)]]&lt;&gt;0,Main[[#This Row],[تعداد کل روزهای بدهکار (روز)]],0)</f>
        <v>0</v>
      </c>
      <c r="AF2082" s="6">
        <f ca="1">Main[[#This Row],[تعداد روزهای بدهکار سررسید شده (روز)]]*Main[[#This Row],[مانده در خط سررسید شده (کیلوگرم)]]</f>
        <v>0</v>
      </c>
    </row>
    <row r="2083" spans="1:32" x14ac:dyDescent="0.35">
      <c r="A2083" s="5">
        <f>ROW()-ROW(INDEX(Main[ردیف],1))+1</f>
        <v>2081</v>
      </c>
      <c r="B2083" s="31">
        <f>SUBTOTAL(2,INDEX(Main[ردیف],1):Main[[#This Row],[ردیف]])</f>
        <v>186</v>
      </c>
      <c r="C2083" s="32" t="s">
        <v>753</v>
      </c>
      <c r="D2083" s="32" t="str">
        <f>_xlfn.CONCAT("14",Main[[#This Row],[تاريخ]])</f>
        <v>1400/08/17</v>
      </c>
      <c r="E2083" s="33">
        <v>44508</v>
      </c>
      <c r="F2083" s="32">
        <v>10003</v>
      </c>
      <c r="G2083" s="5" t="str">
        <f>INDEX(customer[عنوان],MATCH(Main[[#This Row],[کد ردیابی]],customer[کد],0))</f>
        <v>اصغر نورعلی</v>
      </c>
      <c r="H2083">
        <v>2586</v>
      </c>
      <c r="I2083" s="6">
        <f ca="1">-Main[[#This Row],[بدهی تسویه شده (کیلوگرم)]]+Main[[#This Row],[بستانکار (کیلوگرم)]]</f>
        <v>2586</v>
      </c>
      <c r="J2083" s="6">
        <f>IF(Main[[#This Row],[مقدار (کیلوگرم)]]&gt;0,Main[[#This Row],[مقدار (کیلوگرم)]],0)</f>
        <v>2586</v>
      </c>
      <c r="K2083" s="6">
        <f>-IF(Main[[#This Row],[مقدار (کیلوگرم)]]&lt;0,Main[[#This Row],[مقدار (کیلوگرم)]],0)</f>
        <v>0</v>
      </c>
      <c r="L20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3" s="7">
        <f>-IF(AND(Main[[#This Row],[مقدار (کیلوگرم)]]&lt;0,Main[[#This Row],[تاريخ میلادی]]&gt;44276),Main[[#This Row],[مقدار (کیلوگرم)]],0)</f>
        <v>0</v>
      </c>
      <c r="N2083" s="6">
        <f ca="1">Main[[#This Row],[بدهکار (کیلوگرم)]]-Main[[#This Row],[بدهی تسویه نشده (کیلوگرم)]]</f>
        <v>0</v>
      </c>
      <c r="O2083" s="6">
        <f ca="1">Main[[#This Row],[تفکیک]]</f>
        <v>0</v>
      </c>
      <c r="P2083" s="6">
        <f ca="1">IF(Main[[#This Row],[تاخیر از سررسید]]&gt;0,Main[[#This Row],[بدهی تسویه نشده (کیلوگرم)]],0)</f>
        <v>0</v>
      </c>
      <c r="Q2083" s="6">
        <f ca="1">IF(Main[[#This Row],[بدهی تسویه نشده (کیلوگرم)]]&gt;0,'گزارش فردی'!$B$7-Main[[#This Row],[تاريخ میلادی]],0)</f>
        <v>0</v>
      </c>
      <c r="R2083" s="6">
        <f ca="1">IF(Main[[#This Row],[بدهی تسویه نشده (کیلوگرم)]]&gt;0,'گزارش فردی'!$B$7-Main[[#This Row],[تاريخ میلادی]]-'گزارش فردی'!$B$8,0)</f>
        <v>0</v>
      </c>
      <c r="S2083" s="6">
        <f ca="1">Main[[#This Row],[روز از ارسال سفارش]]*Main[[#This Row],[بدهی تسویه نشده (کیلوگرم)]]</f>
        <v>0</v>
      </c>
      <c r="T2083" s="6">
        <f ca="1">Main[[#This Row],[بدهی سررسید شده (کیلوگرم)]]*Main[[#This Row],[روز از ارسال سفارش]]</f>
        <v>0</v>
      </c>
      <c r="U2083" s="6">
        <f>-SUBTOTAL(9,INDEX(Main[مقدار (کیلوگرم)],1):Main[[#This Row],[مقدار (کیلوگرم)]])</f>
        <v>43100</v>
      </c>
      <c r="V20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3" s="6">
        <f>Main[[#This Row],[تعداد کل روزهای بدهکار (روز)]]*Main[[#This Row],[مانده در خط کل (کیلوگرم)]]</f>
        <v>43100</v>
      </c>
      <c r="X2083" s="6">
        <f ca="1">-SUBTOTAL(9,INDEX(Main[مقدار تسویه شده (کیلوگرم)],1):Main[[#This Row],[مقدار تسویه شده (کیلوگرم)]])</f>
        <v>43100</v>
      </c>
      <c r="Y2083" s="6">
        <f ca="1">IF(Main[[#This Row],[مانده در خط تسویه شده (کیلوگرم)]]&lt;&gt;0,Main[[#This Row],[تعداد کل روزهای بدهکار (روز)]],0)</f>
        <v>1</v>
      </c>
      <c r="Z2083" s="6">
        <f ca="1">Main[[#This Row],[تعداد روزهای بدهکار تسویه شده (روز)]]*Main[[#This Row],[مانده در خط تسویه شده (کیلوگرم)]]</f>
        <v>43100</v>
      </c>
      <c r="AA2083" s="6">
        <f ca="1">SUBTOTAL(9,INDEX(Main[بدهی تسویه نشده (کیلوگرم)],1):Main[[#This Row],[بدهی تسویه نشده (کیلوگرم)]])</f>
        <v>0</v>
      </c>
      <c r="AB2083" s="6">
        <f ca="1">IF(Main[[#This Row],[مانده در خط تسویه نشده (کیلوگرم)]]&lt;&gt;0,Main[[#This Row],[تعداد کل روزهای بدهکار (روز)]],0)</f>
        <v>0</v>
      </c>
      <c r="AC2083" s="6">
        <f ca="1">Main[[#This Row],[تعداد روزهای بدهکار  تسویه نشده (روز)]]*Main[[#This Row],[مانده در خط تسویه نشده (کیلوگرم)]]</f>
        <v>0</v>
      </c>
      <c r="AD2083" s="6">
        <f ca="1">SUBTOTAL(9,INDEX(Main[بدهی سررسید شده (کیلوگرم)],1):Main[[#This Row],[بدهی سررسید شده (کیلوگرم)]])</f>
        <v>0</v>
      </c>
      <c r="AE2083" s="6">
        <f ca="1">IF(Main[[#This Row],[مانده در خط سررسید شده (کیلوگرم)]]&lt;&gt;0,Main[[#This Row],[تعداد کل روزهای بدهکار (روز)]],0)</f>
        <v>0</v>
      </c>
      <c r="AF2083" s="6">
        <f ca="1">Main[[#This Row],[تعداد روزهای بدهکار سررسید شده (روز)]]*Main[[#This Row],[مانده در خط سررسید شده (کیلوگرم)]]</f>
        <v>0</v>
      </c>
    </row>
    <row r="2084" spans="1:32" hidden="1" x14ac:dyDescent="0.35">
      <c r="A2084" s="5">
        <f>ROW()-ROW(INDEX(Main[ردیف],1))+1</f>
        <v>2082</v>
      </c>
      <c r="B2084" s="31">
        <f>SUBTOTAL(2,INDEX(Main[ردیف],1):Main[[#This Row],[ردیف]])</f>
        <v>186</v>
      </c>
      <c r="C2084" s="32" t="s">
        <v>753</v>
      </c>
      <c r="D2084" s="32" t="str">
        <f>_xlfn.CONCAT("14",Main[[#This Row],[تاريخ]])</f>
        <v>1400/08/17</v>
      </c>
      <c r="E2084" s="33">
        <v>44508</v>
      </c>
      <c r="F2084" s="32">
        <v>30004</v>
      </c>
      <c r="G2084" s="5" t="str">
        <f>INDEX(customer[عنوان],MATCH(Main[[#This Row],[کد ردیابی]],customer[کد],0))</f>
        <v>تولیدی صنعتی صفاشیر پارس</v>
      </c>
      <c r="H2084">
        <v>-5113</v>
      </c>
      <c r="I2084" s="6">
        <f ca="1">-Main[[#This Row],[بدهی تسویه شده (کیلوگرم)]]+Main[[#This Row],[بستانکار (کیلوگرم)]]</f>
        <v>-5113</v>
      </c>
      <c r="J2084" s="6">
        <f>IF(Main[[#This Row],[مقدار (کیلوگرم)]]&gt;0,Main[[#This Row],[مقدار (کیلوگرم)]],0)</f>
        <v>0</v>
      </c>
      <c r="K2084" s="6">
        <f>-IF(Main[[#This Row],[مقدار (کیلوگرم)]]&lt;0,Main[[#This Row],[مقدار (کیلوگرم)]],0)</f>
        <v>5113</v>
      </c>
      <c r="L20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4" s="7">
        <f>-IF(AND(Main[[#This Row],[مقدار (کیلوگرم)]]&lt;0,Main[[#This Row],[تاريخ میلادی]]&gt;44276),Main[[#This Row],[مقدار (کیلوگرم)]],0)</f>
        <v>5113</v>
      </c>
      <c r="N2084" s="6">
        <f ca="1">Main[[#This Row],[بدهکار (کیلوگرم)]]-Main[[#This Row],[بدهی تسویه نشده (کیلوگرم)]]</f>
        <v>5113</v>
      </c>
      <c r="O2084" s="6">
        <f ca="1">Main[[#This Row],[تفکیک]]</f>
        <v>0</v>
      </c>
      <c r="P2084" s="6">
        <f ca="1">IF(Main[[#This Row],[تاخیر از سررسید]]&gt;0,Main[[#This Row],[بدهی تسویه نشده (کیلوگرم)]],0)</f>
        <v>0</v>
      </c>
      <c r="Q2084" s="6">
        <f ca="1">IF(Main[[#This Row],[بدهی تسویه نشده (کیلوگرم)]]&gt;0,'گزارش فردی'!$B$7-Main[[#This Row],[تاريخ میلادی]],0)</f>
        <v>0</v>
      </c>
      <c r="R2084" s="6">
        <f ca="1">IF(Main[[#This Row],[بدهی تسویه نشده (کیلوگرم)]]&gt;0,'گزارش فردی'!$B$7-Main[[#This Row],[تاريخ میلادی]]-'گزارش فردی'!$B$8,0)</f>
        <v>0</v>
      </c>
      <c r="S2084" s="6">
        <f ca="1">Main[[#This Row],[روز از ارسال سفارش]]*Main[[#This Row],[بدهی تسویه نشده (کیلوگرم)]]</f>
        <v>0</v>
      </c>
      <c r="T2084" s="6">
        <f ca="1">Main[[#This Row],[بدهی سررسید شده (کیلوگرم)]]*Main[[#This Row],[روز از ارسال سفارش]]</f>
        <v>0</v>
      </c>
      <c r="U2084" s="6">
        <f>-SUBTOTAL(9,INDEX(Main[مقدار (کیلوگرم)],1):Main[[#This Row],[مقدار (کیلوگرم)]])</f>
        <v>43100</v>
      </c>
      <c r="V20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4" s="6">
        <f>Main[[#This Row],[تعداد کل روزهای بدهکار (روز)]]*Main[[#This Row],[مانده در خط کل (کیلوگرم)]]</f>
        <v>43100</v>
      </c>
      <c r="X2084" s="6">
        <f ca="1">-SUBTOTAL(9,INDEX(Main[مقدار تسویه شده (کیلوگرم)],1):Main[[#This Row],[مقدار تسویه شده (کیلوگرم)]])</f>
        <v>43100</v>
      </c>
      <c r="Y2084" s="6">
        <f ca="1">IF(Main[[#This Row],[مانده در خط تسویه شده (کیلوگرم)]]&lt;&gt;0,Main[[#This Row],[تعداد کل روزهای بدهکار (روز)]],0)</f>
        <v>1</v>
      </c>
      <c r="Z2084" s="6">
        <f ca="1">Main[[#This Row],[تعداد روزهای بدهکار تسویه شده (روز)]]*Main[[#This Row],[مانده در خط تسویه شده (کیلوگرم)]]</f>
        <v>43100</v>
      </c>
      <c r="AA2084" s="6">
        <f ca="1">SUBTOTAL(9,INDEX(Main[بدهی تسویه نشده (کیلوگرم)],1):Main[[#This Row],[بدهی تسویه نشده (کیلوگرم)]])</f>
        <v>0</v>
      </c>
      <c r="AB2084" s="6">
        <f ca="1">IF(Main[[#This Row],[مانده در خط تسویه نشده (کیلوگرم)]]&lt;&gt;0,Main[[#This Row],[تعداد کل روزهای بدهکار (روز)]],0)</f>
        <v>0</v>
      </c>
      <c r="AC2084" s="6">
        <f ca="1">Main[[#This Row],[تعداد روزهای بدهکار  تسویه نشده (روز)]]*Main[[#This Row],[مانده در خط تسویه نشده (کیلوگرم)]]</f>
        <v>0</v>
      </c>
      <c r="AD2084" s="6">
        <f ca="1">SUBTOTAL(9,INDEX(Main[بدهی سررسید شده (کیلوگرم)],1):Main[[#This Row],[بدهی سررسید شده (کیلوگرم)]])</f>
        <v>0</v>
      </c>
      <c r="AE2084" s="6">
        <f ca="1">IF(Main[[#This Row],[مانده در خط سررسید شده (کیلوگرم)]]&lt;&gt;0,Main[[#This Row],[تعداد کل روزهای بدهکار (روز)]],0)</f>
        <v>0</v>
      </c>
      <c r="AF2084" s="6">
        <f ca="1">Main[[#This Row],[تعداد روزهای بدهکار سررسید شده (روز)]]*Main[[#This Row],[مانده در خط سررسید شده (کیلوگرم)]]</f>
        <v>0</v>
      </c>
    </row>
    <row r="2085" spans="1:32" hidden="1" x14ac:dyDescent="0.35">
      <c r="A2085" s="5">
        <f>ROW()-ROW(INDEX(Main[ردیف],1))+1</f>
        <v>2083</v>
      </c>
      <c r="B2085" s="31">
        <f>SUBTOTAL(2,INDEX(Main[ردیف],1):Main[[#This Row],[ردیف]])</f>
        <v>186</v>
      </c>
      <c r="C2085" s="32" t="s">
        <v>753</v>
      </c>
      <c r="D2085" s="32" t="str">
        <f>_xlfn.CONCAT("14",Main[[#This Row],[تاريخ]])</f>
        <v>1400/08/17</v>
      </c>
      <c r="E2085" s="33">
        <v>44508</v>
      </c>
      <c r="F2085" s="32">
        <v>10057</v>
      </c>
      <c r="G2085" s="5" t="str">
        <f>INDEX(customer[عنوان],MATCH(Main[[#This Row],[کد ردیابی]],customer[کد],0))</f>
        <v xml:space="preserve">عبدالله یادگار </v>
      </c>
      <c r="H2085">
        <v>1010</v>
      </c>
      <c r="I2085" s="6">
        <f ca="1">-Main[[#This Row],[بدهی تسویه شده (کیلوگرم)]]+Main[[#This Row],[بستانکار (کیلوگرم)]]</f>
        <v>1010</v>
      </c>
      <c r="J2085" s="6">
        <f>IF(Main[[#This Row],[مقدار (کیلوگرم)]]&gt;0,Main[[#This Row],[مقدار (کیلوگرم)]],0)</f>
        <v>1010</v>
      </c>
      <c r="K2085" s="6">
        <f>-IF(Main[[#This Row],[مقدار (کیلوگرم)]]&lt;0,Main[[#This Row],[مقدار (کیلوگرم)]],0)</f>
        <v>0</v>
      </c>
      <c r="L20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5" s="7">
        <f>-IF(AND(Main[[#This Row],[مقدار (کیلوگرم)]]&lt;0,Main[[#This Row],[تاريخ میلادی]]&gt;44276),Main[[#This Row],[مقدار (کیلوگرم)]],0)</f>
        <v>0</v>
      </c>
      <c r="N2085" s="6">
        <f ca="1">Main[[#This Row],[بدهکار (کیلوگرم)]]-Main[[#This Row],[بدهی تسویه نشده (کیلوگرم)]]</f>
        <v>0</v>
      </c>
      <c r="O2085" s="6">
        <f ca="1">Main[[#This Row],[تفکیک]]</f>
        <v>0</v>
      </c>
      <c r="P2085" s="6">
        <f ca="1">IF(Main[[#This Row],[تاخیر از سررسید]]&gt;0,Main[[#This Row],[بدهی تسویه نشده (کیلوگرم)]],0)</f>
        <v>0</v>
      </c>
      <c r="Q2085" s="6">
        <f ca="1">IF(Main[[#This Row],[بدهی تسویه نشده (کیلوگرم)]]&gt;0,'گزارش فردی'!$B$7-Main[[#This Row],[تاريخ میلادی]],0)</f>
        <v>0</v>
      </c>
      <c r="R2085" s="6">
        <f ca="1">IF(Main[[#This Row],[بدهی تسویه نشده (کیلوگرم)]]&gt;0,'گزارش فردی'!$B$7-Main[[#This Row],[تاريخ میلادی]]-'گزارش فردی'!$B$8,0)</f>
        <v>0</v>
      </c>
      <c r="S2085" s="6">
        <f ca="1">Main[[#This Row],[روز از ارسال سفارش]]*Main[[#This Row],[بدهی تسویه نشده (کیلوگرم)]]</f>
        <v>0</v>
      </c>
      <c r="T2085" s="6">
        <f ca="1">Main[[#This Row],[بدهی سررسید شده (کیلوگرم)]]*Main[[#This Row],[روز از ارسال سفارش]]</f>
        <v>0</v>
      </c>
      <c r="U2085" s="6">
        <f>-SUBTOTAL(9,INDEX(Main[مقدار (کیلوگرم)],1):Main[[#This Row],[مقدار (کیلوگرم)]])</f>
        <v>43100</v>
      </c>
      <c r="V20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5" s="6">
        <f>Main[[#This Row],[تعداد کل روزهای بدهکار (روز)]]*Main[[#This Row],[مانده در خط کل (کیلوگرم)]]</f>
        <v>43100</v>
      </c>
      <c r="X2085" s="6">
        <f ca="1">-SUBTOTAL(9,INDEX(Main[مقدار تسویه شده (کیلوگرم)],1):Main[[#This Row],[مقدار تسویه شده (کیلوگرم)]])</f>
        <v>43100</v>
      </c>
      <c r="Y2085" s="6">
        <f ca="1">IF(Main[[#This Row],[مانده در خط تسویه شده (کیلوگرم)]]&lt;&gt;0,Main[[#This Row],[تعداد کل روزهای بدهکار (روز)]],0)</f>
        <v>1</v>
      </c>
      <c r="Z2085" s="6">
        <f ca="1">Main[[#This Row],[تعداد روزهای بدهکار تسویه شده (روز)]]*Main[[#This Row],[مانده در خط تسویه شده (کیلوگرم)]]</f>
        <v>43100</v>
      </c>
      <c r="AA2085" s="6">
        <f ca="1">SUBTOTAL(9,INDEX(Main[بدهی تسویه نشده (کیلوگرم)],1):Main[[#This Row],[بدهی تسویه نشده (کیلوگرم)]])</f>
        <v>0</v>
      </c>
      <c r="AB2085" s="6">
        <f ca="1">IF(Main[[#This Row],[مانده در خط تسویه نشده (کیلوگرم)]]&lt;&gt;0,Main[[#This Row],[تعداد کل روزهای بدهکار (روز)]],0)</f>
        <v>0</v>
      </c>
      <c r="AC2085" s="6">
        <f ca="1">Main[[#This Row],[تعداد روزهای بدهکار  تسویه نشده (روز)]]*Main[[#This Row],[مانده در خط تسویه نشده (کیلوگرم)]]</f>
        <v>0</v>
      </c>
      <c r="AD2085" s="6">
        <f ca="1">SUBTOTAL(9,INDEX(Main[بدهی سررسید شده (کیلوگرم)],1):Main[[#This Row],[بدهی سررسید شده (کیلوگرم)]])</f>
        <v>0</v>
      </c>
      <c r="AE2085" s="6">
        <f ca="1">IF(Main[[#This Row],[مانده در خط سررسید شده (کیلوگرم)]]&lt;&gt;0,Main[[#This Row],[تعداد کل روزهای بدهکار (روز)]],0)</f>
        <v>0</v>
      </c>
      <c r="AF2085" s="6">
        <f ca="1">Main[[#This Row],[تعداد روزهای بدهکار سررسید شده (روز)]]*Main[[#This Row],[مانده در خط سررسید شده (کیلوگرم)]]</f>
        <v>0</v>
      </c>
    </row>
    <row r="2086" spans="1:32" hidden="1" x14ac:dyDescent="0.35">
      <c r="A2086" s="5">
        <f>ROW()-ROW(INDEX(Main[ردیف],1))+1</f>
        <v>2084</v>
      </c>
      <c r="B2086" s="31">
        <f>SUBTOTAL(2,INDEX(Main[ردیف],1):Main[[#This Row],[ردیف]])</f>
        <v>186</v>
      </c>
      <c r="C2086" s="32" t="s">
        <v>753</v>
      </c>
      <c r="D2086" s="32" t="str">
        <f>_xlfn.CONCAT("14",Main[[#This Row],[تاريخ]])</f>
        <v>1400/08/17</v>
      </c>
      <c r="E2086" s="33">
        <v>44508</v>
      </c>
      <c r="F2086" s="32">
        <v>10057</v>
      </c>
      <c r="G2086" s="5" t="str">
        <f>INDEX(customer[عنوان],MATCH(Main[[#This Row],[کد ردیابی]],customer[کد],0))</f>
        <v xml:space="preserve">عبدالله یادگار </v>
      </c>
      <c r="H2086">
        <v>-1901</v>
      </c>
      <c r="I2086" s="6">
        <f ca="1">-Main[[#This Row],[بدهی تسویه شده (کیلوگرم)]]+Main[[#This Row],[بستانکار (کیلوگرم)]]</f>
        <v>-1901</v>
      </c>
      <c r="J2086" s="6">
        <f>IF(Main[[#This Row],[مقدار (کیلوگرم)]]&gt;0,Main[[#This Row],[مقدار (کیلوگرم)]],0)</f>
        <v>0</v>
      </c>
      <c r="K2086" s="6">
        <f>-IF(Main[[#This Row],[مقدار (کیلوگرم)]]&lt;0,Main[[#This Row],[مقدار (کیلوگرم)]],0)</f>
        <v>1901</v>
      </c>
      <c r="L20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6" s="7">
        <f>-IF(AND(Main[[#This Row],[مقدار (کیلوگرم)]]&lt;0,Main[[#This Row],[تاريخ میلادی]]&gt;44276),Main[[#This Row],[مقدار (کیلوگرم)]],0)</f>
        <v>1901</v>
      </c>
      <c r="N2086" s="6">
        <f ca="1">Main[[#This Row],[بدهکار (کیلوگرم)]]-Main[[#This Row],[بدهی تسویه نشده (کیلوگرم)]]</f>
        <v>1901</v>
      </c>
      <c r="O2086" s="6">
        <f ca="1">Main[[#This Row],[تفکیک]]</f>
        <v>0</v>
      </c>
      <c r="P2086" s="6">
        <f ca="1">IF(Main[[#This Row],[تاخیر از سررسید]]&gt;0,Main[[#This Row],[بدهی تسویه نشده (کیلوگرم)]],0)</f>
        <v>0</v>
      </c>
      <c r="Q2086" s="6">
        <f ca="1">IF(Main[[#This Row],[بدهی تسویه نشده (کیلوگرم)]]&gt;0,'گزارش فردی'!$B$7-Main[[#This Row],[تاريخ میلادی]],0)</f>
        <v>0</v>
      </c>
      <c r="R2086" s="6">
        <f ca="1">IF(Main[[#This Row],[بدهی تسویه نشده (کیلوگرم)]]&gt;0,'گزارش فردی'!$B$7-Main[[#This Row],[تاريخ میلادی]]-'گزارش فردی'!$B$8,0)</f>
        <v>0</v>
      </c>
      <c r="S2086" s="6">
        <f ca="1">Main[[#This Row],[روز از ارسال سفارش]]*Main[[#This Row],[بدهی تسویه نشده (کیلوگرم)]]</f>
        <v>0</v>
      </c>
      <c r="T2086" s="6">
        <f ca="1">Main[[#This Row],[بدهی سررسید شده (کیلوگرم)]]*Main[[#This Row],[روز از ارسال سفارش]]</f>
        <v>0</v>
      </c>
      <c r="U2086" s="6">
        <f>-SUBTOTAL(9,INDEX(Main[مقدار (کیلوگرم)],1):Main[[#This Row],[مقدار (کیلوگرم)]])</f>
        <v>43100</v>
      </c>
      <c r="V20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6" s="6">
        <f>Main[[#This Row],[تعداد کل روزهای بدهکار (روز)]]*Main[[#This Row],[مانده در خط کل (کیلوگرم)]]</f>
        <v>43100</v>
      </c>
      <c r="X2086" s="6">
        <f ca="1">-SUBTOTAL(9,INDEX(Main[مقدار تسویه شده (کیلوگرم)],1):Main[[#This Row],[مقدار تسویه شده (کیلوگرم)]])</f>
        <v>43100</v>
      </c>
      <c r="Y2086" s="6">
        <f ca="1">IF(Main[[#This Row],[مانده در خط تسویه شده (کیلوگرم)]]&lt;&gt;0,Main[[#This Row],[تعداد کل روزهای بدهکار (روز)]],0)</f>
        <v>1</v>
      </c>
      <c r="Z2086" s="6">
        <f ca="1">Main[[#This Row],[تعداد روزهای بدهکار تسویه شده (روز)]]*Main[[#This Row],[مانده در خط تسویه شده (کیلوگرم)]]</f>
        <v>43100</v>
      </c>
      <c r="AA2086" s="6">
        <f ca="1">SUBTOTAL(9,INDEX(Main[بدهی تسویه نشده (کیلوگرم)],1):Main[[#This Row],[بدهی تسویه نشده (کیلوگرم)]])</f>
        <v>0</v>
      </c>
      <c r="AB2086" s="6">
        <f ca="1">IF(Main[[#This Row],[مانده در خط تسویه نشده (کیلوگرم)]]&lt;&gt;0,Main[[#This Row],[تعداد کل روزهای بدهکار (روز)]],0)</f>
        <v>0</v>
      </c>
      <c r="AC2086" s="6">
        <f ca="1">Main[[#This Row],[تعداد روزهای بدهکار  تسویه نشده (روز)]]*Main[[#This Row],[مانده در خط تسویه نشده (کیلوگرم)]]</f>
        <v>0</v>
      </c>
      <c r="AD2086" s="6">
        <f ca="1">SUBTOTAL(9,INDEX(Main[بدهی سررسید شده (کیلوگرم)],1):Main[[#This Row],[بدهی سررسید شده (کیلوگرم)]])</f>
        <v>0</v>
      </c>
      <c r="AE2086" s="6">
        <f ca="1">IF(Main[[#This Row],[مانده در خط سررسید شده (کیلوگرم)]]&lt;&gt;0,Main[[#This Row],[تعداد کل روزهای بدهکار (روز)]],0)</f>
        <v>0</v>
      </c>
      <c r="AF2086" s="6">
        <f ca="1">Main[[#This Row],[تعداد روزهای بدهکار سررسید شده (روز)]]*Main[[#This Row],[مانده در خط سررسید شده (کیلوگرم)]]</f>
        <v>0</v>
      </c>
    </row>
    <row r="2087" spans="1:32" hidden="1" x14ac:dyDescent="0.35">
      <c r="A2087" s="5">
        <f>ROW()-ROW(INDEX(Main[ردیف],1))+1</f>
        <v>2085</v>
      </c>
      <c r="B2087" s="31">
        <f>SUBTOTAL(2,INDEX(Main[ردیف],1):Main[[#This Row],[ردیف]])</f>
        <v>186</v>
      </c>
      <c r="C2087" s="32" t="s">
        <v>753</v>
      </c>
      <c r="D2087" s="32" t="str">
        <f>_xlfn.CONCAT("14",Main[[#This Row],[تاريخ]])</f>
        <v>1400/08/17</v>
      </c>
      <c r="E2087" s="33">
        <v>44508</v>
      </c>
      <c r="F2087" s="32">
        <v>10057</v>
      </c>
      <c r="G2087" s="5" t="str">
        <f>INDEX(customer[عنوان],MATCH(Main[[#This Row],[کد ردیابی]],customer[کد],0))</f>
        <v xml:space="preserve">عبدالله یادگار </v>
      </c>
      <c r="H2087">
        <v>997</v>
      </c>
      <c r="I2087" s="6">
        <f ca="1">-Main[[#This Row],[بدهی تسویه شده (کیلوگرم)]]+Main[[#This Row],[بستانکار (کیلوگرم)]]</f>
        <v>997</v>
      </c>
      <c r="J2087" s="6">
        <f>IF(Main[[#This Row],[مقدار (کیلوگرم)]]&gt;0,Main[[#This Row],[مقدار (کیلوگرم)]],0)</f>
        <v>997</v>
      </c>
      <c r="K2087" s="6">
        <f>-IF(Main[[#This Row],[مقدار (کیلوگرم)]]&lt;0,Main[[#This Row],[مقدار (کیلوگرم)]],0)</f>
        <v>0</v>
      </c>
      <c r="L20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7" s="7">
        <f>-IF(AND(Main[[#This Row],[مقدار (کیلوگرم)]]&lt;0,Main[[#This Row],[تاريخ میلادی]]&gt;44276),Main[[#This Row],[مقدار (کیلوگرم)]],0)</f>
        <v>0</v>
      </c>
      <c r="N2087" s="6">
        <f ca="1">Main[[#This Row],[بدهکار (کیلوگرم)]]-Main[[#This Row],[بدهی تسویه نشده (کیلوگرم)]]</f>
        <v>0</v>
      </c>
      <c r="O2087" s="6">
        <f ca="1">Main[[#This Row],[تفکیک]]</f>
        <v>0</v>
      </c>
      <c r="P2087" s="6">
        <f ca="1">IF(Main[[#This Row],[تاخیر از سررسید]]&gt;0,Main[[#This Row],[بدهی تسویه نشده (کیلوگرم)]],0)</f>
        <v>0</v>
      </c>
      <c r="Q2087" s="6">
        <f ca="1">IF(Main[[#This Row],[بدهی تسویه نشده (کیلوگرم)]]&gt;0,'گزارش فردی'!$B$7-Main[[#This Row],[تاريخ میلادی]],0)</f>
        <v>0</v>
      </c>
      <c r="R2087" s="6">
        <f ca="1">IF(Main[[#This Row],[بدهی تسویه نشده (کیلوگرم)]]&gt;0,'گزارش فردی'!$B$7-Main[[#This Row],[تاريخ میلادی]]-'گزارش فردی'!$B$8,0)</f>
        <v>0</v>
      </c>
      <c r="S2087" s="6">
        <f ca="1">Main[[#This Row],[روز از ارسال سفارش]]*Main[[#This Row],[بدهی تسویه نشده (کیلوگرم)]]</f>
        <v>0</v>
      </c>
      <c r="T2087" s="6">
        <f ca="1">Main[[#This Row],[بدهی سررسید شده (کیلوگرم)]]*Main[[#This Row],[روز از ارسال سفارش]]</f>
        <v>0</v>
      </c>
      <c r="U2087" s="6">
        <f>-SUBTOTAL(9,INDEX(Main[مقدار (کیلوگرم)],1):Main[[#This Row],[مقدار (کیلوگرم)]])</f>
        <v>43100</v>
      </c>
      <c r="V20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7" s="6">
        <f>Main[[#This Row],[تعداد کل روزهای بدهکار (روز)]]*Main[[#This Row],[مانده در خط کل (کیلوگرم)]]</f>
        <v>43100</v>
      </c>
      <c r="X2087" s="6">
        <f ca="1">-SUBTOTAL(9,INDEX(Main[مقدار تسویه شده (کیلوگرم)],1):Main[[#This Row],[مقدار تسویه شده (کیلوگرم)]])</f>
        <v>43100</v>
      </c>
      <c r="Y2087" s="6">
        <f ca="1">IF(Main[[#This Row],[مانده در خط تسویه شده (کیلوگرم)]]&lt;&gt;0,Main[[#This Row],[تعداد کل روزهای بدهکار (روز)]],0)</f>
        <v>1</v>
      </c>
      <c r="Z2087" s="6">
        <f ca="1">Main[[#This Row],[تعداد روزهای بدهکار تسویه شده (روز)]]*Main[[#This Row],[مانده در خط تسویه شده (کیلوگرم)]]</f>
        <v>43100</v>
      </c>
      <c r="AA2087" s="6">
        <f ca="1">SUBTOTAL(9,INDEX(Main[بدهی تسویه نشده (کیلوگرم)],1):Main[[#This Row],[بدهی تسویه نشده (کیلوگرم)]])</f>
        <v>0</v>
      </c>
      <c r="AB2087" s="6">
        <f ca="1">IF(Main[[#This Row],[مانده در خط تسویه نشده (کیلوگرم)]]&lt;&gt;0,Main[[#This Row],[تعداد کل روزهای بدهکار (روز)]],0)</f>
        <v>0</v>
      </c>
      <c r="AC2087" s="6">
        <f ca="1">Main[[#This Row],[تعداد روزهای بدهکار  تسویه نشده (روز)]]*Main[[#This Row],[مانده در خط تسویه نشده (کیلوگرم)]]</f>
        <v>0</v>
      </c>
      <c r="AD2087" s="6">
        <f ca="1">SUBTOTAL(9,INDEX(Main[بدهی سررسید شده (کیلوگرم)],1):Main[[#This Row],[بدهی سررسید شده (کیلوگرم)]])</f>
        <v>0</v>
      </c>
      <c r="AE2087" s="6">
        <f ca="1">IF(Main[[#This Row],[مانده در خط سررسید شده (کیلوگرم)]]&lt;&gt;0,Main[[#This Row],[تعداد کل روزهای بدهکار (روز)]],0)</f>
        <v>0</v>
      </c>
      <c r="AF2087" s="6">
        <f ca="1">Main[[#This Row],[تعداد روزهای بدهکار سررسید شده (روز)]]*Main[[#This Row],[مانده در خط سررسید شده (کیلوگرم)]]</f>
        <v>0</v>
      </c>
    </row>
    <row r="2088" spans="1:32" hidden="1" x14ac:dyDescent="0.35">
      <c r="A2088" s="5">
        <f>ROW()-ROW(INDEX(Main[ردیف],1))+1</f>
        <v>2086</v>
      </c>
      <c r="B2088" s="31">
        <f>SUBTOTAL(2,INDEX(Main[ردیف],1):Main[[#This Row],[ردیف]])</f>
        <v>186</v>
      </c>
      <c r="C2088" s="32" t="s">
        <v>753</v>
      </c>
      <c r="D2088" s="32" t="str">
        <f>_xlfn.CONCAT("14",Main[[#This Row],[تاريخ]])</f>
        <v>1400/08/17</v>
      </c>
      <c r="E2088" s="33">
        <v>44508</v>
      </c>
      <c r="F2088" s="32">
        <v>50016</v>
      </c>
      <c r="G2088" s="5" t="str">
        <f>INDEX(customer[عنوان],MATCH(Main[[#This Row],[کد ردیابی]],customer[کد],0))</f>
        <v xml:space="preserve">مهدی یوسفی  </v>
      </c>
      <c r="H2088">
        <v>10000</v>
      </c>
      <c r="I2088" s="6">
        <f ca="1">-Main[[#This Row],[بدهی تسویه شده (کیلوگرم)]]+Main[[#This Row],[بستانکار (کیلوگرم)]]</f>
        <v>10000</v>
      </c>
      <c r="J2088" s="6">
        <f>IF(Main[[#This Row],[مقدار (کیلوگرم)]]&gt;0,Main[[#This Row],[مقدار (کیلوگرم)]],0)</f>
        <v>10000</v>
      </c>
      <c r="K2088" s="6">
        <f>-IF(Main[[#This Row],[مقدار (کیلوگرم)]]&lt;0,Main[[#This Row],[مقدار (کیلوگرم)]],0)</f>
        <v>0</v>
      </c>
      <c r="L20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8" s="7">
        <f>-IF(AND(Main[[#This Row],[مقدار (کیلوگرم)]]&lt;0,Main[[#This Row],[تاريخ میلادی]]&gt;44276),Main[[#This Row],[مقدار (کیلوگرم)]],0)</f>
        <v>0</v>
      </c>
      <c r="N2088" s="6">
        <f ca="1">Main[[#This Row],[بدهکار (کیلوگرم)]]-Main[[#This Row],[بدهی تسویه نشده (کیلوگرم)]]</f>
        <v>0</v>
      </c>
      <c r="O2088" s="6">
        <f ca="1">Main[[#This Row],[تفکیک]]</f>
        <v>0</v>
      </c>
      <c r="P2088" s="6">
        <f ca="1">IF(Main[[#This Row],[تاخیر از سررسید]]&gt;0,Main[[#This Row],[بدهی تسویه نشده (کیلوگرم)]],0)</f>
        <v>0</v>
      </c>
      <c r="Q2088" s="6">
        <f ca="1">IF(Main[[#This Row],[بدهی تسویه نشده (کیلوگرم)]]&gt;0,'گزارش فردی'!$B$7-Main[[#This Row],[تاريخ میلادی]],0)</f>
        <v>0</v>
      </c>
      <c r="R2088" s="6">
        <f ca="1">IF(Main[[#This Row],[بدهی تسویه نشده (کیلوگرم)]]&gt;0,'گزارش فردی'!$B$7-Main[[#This Row],[تاريخ میلادی]]-'گزارش فردی'!$B$8,0)</f>
        <v>0</v>
      </c>
      <c r="S2088" s="6">
        <f ca="1">Main[[#This Row],[روز از ارسال سفارش]]*Main[[#This Row],[بدهی تسویه نشده (کیلوگرم)]]</f>
        <v>0</v>
      </c>
      <c r="T2088" s="6">
        <f ca="1">Main[[#This Row],[بدهی سررسید شده (کیلوگرم)]]*Main[[#This Row],[روز از ارسال سفارش]]</f>
        <v>0</v>
      </c>
      <c r="U2088" s="6">
        <f>-SUBTOTAL(9,INDEX(Main[مقدار (کیلوگرم)],1):Main[[#This Row],[مقدار (کیلوگرم)]])</f>
        <v>43100</v>
      </c>
      <c r="V20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8" s="6">
        <f>Main[[#This Row],[تعداد کل روزهای بدهکار (روز)]]*Main[[#This Row],[مانده در خط کل (کیلوگرم)]]</f>
        <v>43100</v>
      </c>
      <c r="X2088" s="6">
        <f ca="1">-SUBTOTAL(9,INDEX(Main[مقدار تسویه شده (کیلوگرم)],1):Main[[#This Row],[مقدار تسویه شده (کیلوگرم)]])</f>
        <v>43100</v>
      </c>
      <c r="Y2088" s="6">
        <f ca="1">IF(Main[[#This Row],[مانده در خط تسویه شده (کیلوگرم)]]&lt;&gt;0,Main[[#This Row],[تعداد کل روزهای بدهکار (روز)]],0)</f>
        <v>1</v>
      </c>
      <c r="Z2088" s="6">
        <f ca="1">Main[[#This Row],[تعداد روزهای بدهکار تسویه شده (روز)]]*Main[[#This Row],[مانده در خط تسویه شده (کیلوگرم)]]</f>
        <v>43100</v>
      </c>
      <c r="AA2088" s="6">
        <f ca="1">SUBTOTAL(9,INDEX(Main[بدهی تسویه نشده (کیلوگرم)],1):Main[[#This Row],[بدهی تسویه نشده (کیلوگرم)]])</f>
        <v>0</v>
      </c>
      <c r="AB2088" s="6">
        <f ca="1">IF(Main[[#This Row],[مانده در خط تسویه نشده (کیلوگرم)]]&lt;&gt;0,Main[[#This Row],[تعداد کل روزهای بدهکار (روز)]],0)</f>
        <v>0</v>
      </c>
      <c r="AC2088" s="6">
        <f ca="1">Main[[#This Row],[تعداد روزهای بدهکار  تسویه نشده (روز)]]*Main[[#This Row],[مانده در خط تسویه نشده (کیلوگرم)]]</f>
        <v>0</v>
      </c>
      <c r="AD2088" s="6">
        <f ca="1">SUBTOTAL(9,INDEX(Main[بدهی سررسید شده (کیلوگرم)],1):Main[[#This Row],[بدهی سررسید شده (کیلوگرم)]])</f>
        <v>0</v>
      </c>
      <c r="AE2088" s="6">
        <f ca="1">IF(Main[[#This Row],[مانده در خط سررسید شده (کیلوگرم)]]&lt;&gt;0,Main[[#This Row],[تعداد کل روزهای بدهکار (روز)]],0)</f>
        <v>0</v>
      </c>
      <c r="AF2088" s="6">
        <f ca="1">Main[[#This Row],[تعداد روزهای بدهکار سررسید شده (روز)]]*Main[[#This Row],[مانده در خط سررسید شده (کیلوگرم)]]</f>
        <v>0</v>
      </c>
    </row>
    <row r="2089" spans="1:32" hidden="1" x14ac:dyDescent="0.35">
      <c r="A2089" s="5">
        <f>ROW()-ROW(INDEX(Main[ردیف],1))+1</f>
        <v>2087</v>
      </c>
      <c r="B2089" s="31">
        <f>SUBTOTAL(2,INDEX(Main[ردیف],1):Main[[#This Row],[ردیف]])</f>
        <v>186</v>
      </c>
      <c r="C2089" s="32" t="s">
        <v>755</v>
      </c>
      <c r="D2089" s="32" t="str">
        <f>_xlfn.CONCAT("14",Main[[#This Row],[تاريخ]])</f>
        <v>1400/08/18</v>
      </c>
      <c r="E2089" s="33">
        <v>44509</v>
      </c>
      <c r="F2089" s="32">
        <v>30009</v>
      </c>
      <c r="G2089" s="5" t="str">
        <f>INDEX(customer[عنوان],MATCH(Main[[#This Row],[کد ردیابی]],customer[کد],0))</f>
        <v>شرکت ایمن تک پیشرو</v>
      </c>
      <c r="H2089">
        <v>-2036</v>
      </c>
      <c r="I2089" s="6">
        <f ca="1">-Main[[#This Row],[بدهی تسویه شده (کیلوگرم)]]+Main[[#This Row],[بستانکار (کیلوگرم)]]</f>
        <v>-2036</v>
      </c>
      <c r="J2089" s="6">
        <f>IF(Main[[#This Row],[مقدار (کیلوگرم)]]&gt;0,Main[[#This Row],[مقدار (کیلوگرم)]],0)</f>
        <v>0</v>
      </c>
      <c r="K2089" s="6">
        <f>-IF(Main[[#This Row],[مقدار (کیلوگرم)]]&lt;0,Main[[#This Row],[مقدار (کیلوگرم)]],0)</f>
        <v>2036</v>
      </c>
      <c r="L20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9" s="7">
        <f>-IF(AND(Main[[#This Row],[مقدار (کیلوگرم)]]&lt;0,Main[[#This Row],[تاريخ میلادی]]&gt;44276),Main[[#This Row],[مقدار (کیلوگرم)]],0)</f>
        <v>2036</v>
      </c>
      <c r="N2089" s="6">
        <f ca="1">Main[[#This Row],[بدهکار (کیلوگرم)]]-Main[[#This Row],[بدهی تسویه نشده (کیلوگرم)]]</f>
        <v>2036</v>
      </c>
      <c r="O2089" s="6">
        <f ca="1">Main[[#This Row],[تفکیک]]</f>
        <v>0</v>
      </c>
      <c r="P2089" s="6">
        <f ca="1">IF(Main[[#This Row],[تاخیر از سررسید]]&gt;0,Main[[#This Row],[بدهی تسویه نشده (کیلوگرم)]],0)</f>
        <v>0</v>
      </c>
      <c r="Q2089" s="6">
        <f ca="1">IF(Main[[#This Row],[بدهی تسویه نشده (کیلوگرم)]]&gt;0,'گزارش فردی'!$B$7-Main[[#This Row],[تاريخ میلادی]],0)</f>
        <v>0</v>
      </c>
      <c r="R2089" s="6">
        <f ca="1">IF(Main[[#This Row],[بدهی تسویه نشده (کیلوگرم)]]&gt;0,'گزارش فردی'!$B$7-Main[[#This Row],[تاريخ میلادی]]-'گزارش فردی'!$B$8,0)</f>
        <v>0</v>
      </c>
      <c r="S2089" s="6">
        <f ca="1">Main[[#This Row],[روز از ارسال سفارش]]*Main[[#This Row],[بدهی تسویه نشده (کیلوگرم)]]</f>
        <v>0</v>
      </c>
      <c r="T2089" s="6">
        <f ca="1">Main[[#This Row],[بدهی سررسید شده (کیلوگرم)]]*Main[[#This Row],[روز از ارسال سفارش]]</f>
        <v>0</v>
      </c>
      <c r="U2089" s="6">
        <f>-SUBTOTAL(9,INDEX(Main[مقدار (کیلوگرم)],1):Main[[#This Row],[مقدار (کیلوگرم)]])</f>
        <v>43100</v>
      </c>
      <c r="V20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9" s="6">
        <f>Main[[#This Row],[تعداد کل روزهای بدهکار (روز)]]*Main[[#This Row],[مانده در خط کل (کیلوگرم)]]</f>
        <v>0</v>
      </c>
      <c r="X2089" s="6">
        <f ca="1">-SUBTOTAL(9,INDEX(Main[مقدار تسویه شده (کیلوگرم)],1):Main[[#This Row],[مقدار تسویه شده (کیلوگرم)]])</f>
        <v>43100</v>
      </c>
      <c r="Y2089" s="6">
        <f ca="1">IF(Main[[#This Row],[مانده در خط تسویه شده (کیلوگرم)]]&lt;&gt;0,Main[[#This Row],[تعداد کل روزهای بدهکار (روز)]],0)</f>
        <v>0</v>
      </c>
      <c r="Z2089" s="6">
        <f ca="1">Main[[#This Row],[تعداد روزهای بدهکار تسویه شده (روز)]]*Main[[#This Row],[مانده در خط تسویه شده (کیلوگرم)]]</f>
        <v>0</v>
      </c>
      <c r="AA2089" s="6">
        <f ca="1">SUBTOTAL(9,INDEX(Main[بدهی تسویه نشده (کیلوگرم)],1):Main[[#This Row],[بدهی تسویه نشده (کیلوگرم)]])</f>
        <v>0</v>
      </c>
      <c r="AB2089" s="6">
        <f ca="1">IF(Main[[#This Row],[مانده در خط تسویه نشده (کیلوگرم)]]&lt;&gt;0,Main[[#This Row],[تعداد کل روزهای بدهکار (روز)]],0)</f>
        <v>0</v>
      </c>
      <c r="AC2089" s="6">
        <f ca="1">Main[[#This Row],[تعداد روزهای بدهکار  تسویه نشده (روز)]]*Main[[#This Row],[مانده در خط تسویه نشده (کیلوگرم)]]</f>
        <v>0</v>
      </c>
      <c r="AD2089" s="6">
        <f ca="1">SUBTOTAL(9,INDEX(Main[بدهی سررسید شده (کیلوگرم)],1):Main[[#This Row],[بدهی سررسید شده (کیلوگرم)]])</f>
        <v>0</v>
      </c>
      <c r="AE2089" s="6">
        <f ca="1">IF(Main[[#This Row],[مانده در خط سررسید شده (کیلوگرم)]]&lt;&gt;0,Main[[#This Row],[تعداد کل روزهای بدهکار (روز)]],0)</f>
        <v>0</v>
      </c>
      <c r="AF2089" s="6">
        <f ca="1">Main[[#This Row],[تعداد روزهای بدهکار سررسید شده (روز)]]*Main[[#This Row],[مانده در خط سررسید شده (کیلوگرم)]]</f>
        <v>0</v>
      </c>
    </row>
    <row r="2090" spans="1:32" hidden="1" x14ac:dyDescent="0.35">
      <c r="A2090" s="5">
        <f>ROW()-ROW(INDEX(Main[ردیف],1))+1</f>
        <v>2088</v>
      </c>
      <c r="B2090" s="31">
        <f>SUBTOTAL(2,INDEX(Main[ردیف],1):Main[[#This Row],[ردیف]])</f>
        <v>186</v>
      </c>
      <c r="C2090" s="32" t="s">
        <v>755</v>
      </c>
      <c r="D2090" s="32" t="str">
        <f>_xlfn.CONCAT("14",Main[[#This Row],[تاريخ]])</f>
        <v>1400/08/18</v>
      </c>
      <c r="E2090" s="33">
        <v>44509</v>
      </c>
      <c r="F2090" s="32">
        <v>10055</v>
      </c>
      <c r="G2090" s="5" t="str">
        <f>INDEX(customer[عنوان],MATCH(Main[[#This Row],[کد ردیابی]],customer[کد],0))</f>
        <v xml:space="preserve">مریم فیض آبادی  </v>
      </c>
      <c r="H2090">
        <v>6428</v>
      </c>
      <c r="I2090" s="6">
        <f ca="1">-Main[[#This Row],[بدهی تسویه شده (کیلوگرم)]]+Main[[#This Row],[بستانکار (کیلوگرم)]]</f>
        <v>6428</v>
      </c>
      <c r="J2090" s="6">
        <f>IF(Main[[#This Row],[مقدار (کیلوگرم)]]&gt;0,Main[[#This Row],[مقدار (کیلوگرم)]],0)</f>
        <v>6428</v>
      </c>
      <c r="K2090" s="6">
        <f>-IF(Main[[#This Row],[مقدار (کیلوگرم)]]&lt;0,Main[[#This Row],[مقدار (کیلوگرم)]],0)</f>
        <v>0</v>
      </c>
      <c r="L20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0" s="7">
        <f>-IF(AND(Main[[#This Row],[مقدار (کیلوگرم)]]&lt;0,Main[[#This Row],[تاريخ میلادی]]&gt;44276),Main[[#This Row],[مقدار (کیلوگرم)]],0)</f>
        <v>0</v>
      </c>
      <c r="N2090" s="6">
        <f ca="1">Main[[#This Row],[بدهکار (کیلوگرم)]]-Main[[#This Row],[بدهی تسویه نشده (کیلوگرم)]]</f>
        <v>0</v>
      </c>
      <c r="O2090" s="6">
        <f ca="1">Main[[#This Row],[تفکیک]]</f>
        <v>0</v>
      </c>
      <c r="P2090" s="6">
        <f ca="1">IF(Main[[#This Row],[تاخیر از سررسید]]&gt;0,Main[[#This Row],[بدهی تسویه نشده (کیلوگرم)]],0)</f>
        <v>0</v>
      </c>
      <c r="Q2090" s="6">
        <f ca="1">IF(Main[[#This Row],[بدهی تسویه نشده (کیلوگرم)]]&gt;0,'گزارش فردی'!$B$7-Main[[#This Row],[تاريخ میلادی]],0)</f>
        <v>0</v>
      </c>
      <c r="R2090" s="6">
        <f ca="1">IF(Main[[#This Row],[بدهی تسویه نشده (کیلوگرم)]]&gt;0,'گزارش فردی'!$B$7-Main[[#This Row],[تاريخ میلادی]]-'گزارش فردی'!$B$8,0)</f>
        <v>0</v>
      </c>
      <c r="S2090" s="6">
        <f ca="1">Main[[#This Row],[روز از ارسال سفارش]]*Main[[#This Row],[بدهی تسویه نشده (کیلوگرم)]]</f>
        <v>0</v>
      </c>
      <c r="T2090" s="6">
        <f ca="1">Main[[#This Row],[بدهی سررسید شده (کیلوگرم)]]*Main[[#This Row],[روز از ارسال سفارش]]</f>
        <v>0</v>
      </c>
      <c r="U2090" s="6">
        <f>-SUBTOTAL(9,INDEX(Main[مقدار (کیلوگرم)],1):Main[[#This Row],[مقدار (کیلوگرم)]])</f>
        <v>43100</v>
      </c>
      <c r="V20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0" s="6">
        <f>Main[[#This Row],[تعداد کل روزهای بدهکار (روز)]]*Main[[#This Row],[مانده در خط کل (کیلوگرم)]]</f>
        <v>0</v>
      </c>
      <c r="X2090" s="6">
        <f ca="1">-SUBTOTAL(9,INDEX(Main[مقدار تسویه شده (کیلوگرم)],1):Main[[#This Row],[مقدار تسویه شده (کیلوگرم)]])</f>
        <v>43100</v>
      </c>
      <c r="Y2090" s="6">
        <f ca="1">IF(Main[[#This Row],[مانده در خط تسویه شده (کیلوگرم)]]&lt;&gt;0,Main[[#This Row],[تعداد کل روزهای بدهکار (روز)]],0)</f>
        <v>0</v>
      </c>
      <c r="Z2090" s="6">
        <f ca="1">Main[[#This Row],[تعداد روزهای بدهکار تسویه شده (روز)]]*Main[[#This Row],[مانده در خط تسویه شده (کیلوگرم)]]</f>
        <v>0</v>
      </c>
      <c r="AA2090" s="6">
        <f ca="1">SUBTOTAL(9,INDEX(Main[بدهی تسویه نشده (کیلوگرم)],1):Main[[#This Row],[بدهی تسویه نشده (کیلوگرم)]])</f>
        <v>0</v>
      </c>
      <c r="AB2090" s="6">
        <f ca="1">IF(Main[[#This Row],[مانده در خط تسویه نشده (کیلوگرم)]]&lt;&gt;0,Main[[#This Row],[تعداد کل روزهای بدهکار (روز)]],0)</f>
        <v>0</v>
      </c>
      <c r="AC2090" s="6">
        <f ca="1">Main[[#This Row],[تعداد روزهای بدهکار  تسویه نشده (روز)]]*Main[[#This Row],[مانده در خط تسویه نشده (کیلوگرم)]]</f>
        <v>0</v>
      </c>
      <c r="AD2090" s="6">
        <f ca="1">SUBTOTAL(9,INDEX(Main[بدهی سررسید شده (کیلوگرم)],1):Main[[#This Row],[بدهی سررسید شده (کیلوگرم)]])</f>
        <v>0</v>
      </c>
      <c r="AE2090" s="6">
        <f ca="1">IF(Main[[#This Row],[مانده در خط سررسید شده (کیلوگرم)]]&lt;&gt;0,Main[[#This Row],[تعداد کل روزهای بدهکار (روز)]],0)</f>
        <v>0</v>
      </c>
      <c r="AF2090" s="6">
        <f ca="1">Main[[#This Row],[تعداد روزهای بدهکار سررسید شده (روز)]]*Main[[#This Row],[مانده در خط سررسید شده (کیلوگرم)]]</f>
        <v>0</v>
      </c>
    </row>
    <row r="2091" spans="1:32" hidden="1" x14ac:dyDescent="0.35">
      <c r="A2091" s="5">
        <f>ROW()-ROW(INDEX(Main[ردیف],1))+1</f>
        <v>2089</v>
      </c>
      <c r="B2091" s="31">
        <f>SUBTOTAL(2,INDEX(Main[ردیف],1):Main[[#This Row],[ردیف]])</f>
        <v>186</v>
      </c>
      <c r="C2091" s="32" t="s">
        <v>755</v>
      </c>
      <c r="D2091" s="32" t="str">
        <f>_xlfn.CONCAT("14",Main[[#This Row],[تاريخ]])</f>
        <v>1400/08/18</v>
      </c>
      <c r="E2091" s="33">
        <v>44509</v>
      </c>
      <c r="F2091" s="32">
        <v>50016</v>
      </c>
      <c r="G2091" s="5" t="str">
        <f>INDEX(customer[عنوان],MATCH(Main[[#This Row],[کد ردیابی]],customer[کد],0))</f>
        <v xml:space="preserve">مهدی یوسفی  </v>
      </c>
      <c r="H2091">
        <v>-4812</v>
      </c>
      <c r="I2091" s="6">
        <f ca="1">-Main[[#This Row],[بدهی تسویه شده (کیلوگرم)]]+Main[[#This Row],[بستانکار (کیلوگرم)]]</f>
        <v>-4812</v>
      </c>
      <c r="J2091" s="6">
        <f>IF(Main[[#This Row],[مقدار (کیلوگرم)]]&gt;0,Main[[#This Row],[مقدار (کیلوگرم)]],0)</f>
        <v>0</v>
      </c>
      <c r="K2091" s="6">
        <f>-IF(Main[[#This Row],[مقدار (کیلوگرم)]]&lt;0,Main[[#This Row],[مقدار (کیلوگرم)]],0)</f>
        <v>4812</v>
      </c>
      <c r="L20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1" s="7">
        <f>-IF(AND(Main[[#This Row],[مقدار (کیلوگرم)]]&lt;0,Main[[#This Row],[تاريخ میلادی]]&gt;44276),Main[[#This Row],[مقدار (کیلوگرم)]],0)</f>
        <v>4812</v>
      </c>
      <c r="N2091" s="6">
        <f ca="1">Main[[#This Row],[بدهکار (کیلوگرم)]]-Main[[#This Row],[بدهی تسویه نشده (کیلوگرم)]]</f>
        <v>4812</v>
      </c>
      <c r="O2091" s="6">
        <f ca="1">Main[[#This Row],[تفکیک]]</f>
        <v>0</v>
      </c>
      <c r="P2091" s="6">
        <f ca="1">IF(Main[[#This Row],[تاخیر از سررسید]]&gt;0,Main[[#This Row],[بدهی تسویه نشده (کیلوگرم)]],0)</f>
        <v>0</v>
      </c>
      <c r="Q2091" s="6">
        <f ca="1">IF(Main[[#This Row],[بدهی تسویه نشده (کیلوگرم)]]&gt;0,'گزارش فردی'!$B$7-Main[[#This Row],[تاريخ میلادی]],0)</f>
        <v>0</v>
      </c>
      <c r="R2091" s="6">
        <f ca="1">IF(Main[[#This Row],[بدهی تسویه نشده (کیلوگرم)]]&gt;0,'گزارش فردی'!$B$7-Main[[#This Row],[تاريخ میلادی]]-'گزارش فردی'!$B$8,0)</f>
        <v>0</v>
      </c>
      <c r="S2091" s="6">
        <f ca="1">Main[[#This Row],[روز از ارسال سفارش]]*Main[[#This Row],[بدهی تسویه نشده (کیلوگرم)]]</f>
        <v>0</v>
      </c>
      <c r="T2091" s="6">
        <f ca="1">Main[[#This Row],[بدهی سررسید شده (کیلوگرم)]]*Main[[#This Row],[روز از ارسال سفارش]]</f>
        <v>0</v>
      </c>
      <c r="U2091" s="6">
        <f>-SUBTOTAL(9,INDEX(Main[مقدار (کیلوگرم)],1):Main[[#This Row],[مقدار (کیلوگرم)]])</f>
        <v>43100</v>
      </c>
      <c r="V20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1" s="6">
        <f>Main[[#This Row],[تعداد کل روزهای بدهکار (روز)]]*Main[[#This Row],[مانده در خط کل (کیلوگرم)]]</f>
        <v>0</v>
      </c>
      <c r="X2091" s="6">
        <f ca="1">-SUBTOTAL(9,INDEX(Main[مقدار تسویه شده (کیلوگرم)],1):Main[[#This Row],[مقدار تسویه شده (کیلوگرم)]])</f>
        <v>43100</v>
      </c>
      <c r="Y2091" s="6">
        <f ca="1">IF(Main[[#This Row],[مانده در خط تسویه شده (کیلوگرم)]]&lt;&gt;0,Main[[#This Row],[تعداد کل روزهای بدهکار (روز)]],0)</f>
        <v>0</v>
      </c>
      <c r="Z2091" s="6">
        <f ca="1">Main[[#This Row],[تعداد روزهای بدهکار تسویه شده (روز)]]*Main[[#This Row],[مانده در خط تسویه شده (کیلوگرم)]]</f>
        <v>0</v>
      </c>
      <c r="AA2091" s="6">
        <f ca="1">SUBTOTAL(9,INDEX(Main[بدهی تسویه نشده (کیلوگرم)],1):Main[[#This Row],[بدهی تسویه نشده (کیلوگرم)]])</f>
        <v>0</v>
      </c>
      <c r="AB2091" s="6">
        <f ca="1">IF(Main[[#This Row],[مانده در خط تسویه نشده (کیلوگرم)]]&lt;&gt;0,Main[[#This Row],[تعداد کل روزهای بدهکار (روز)]],0)</f>
        <v>0</v>
      </c>
      <c r="AC2091" s="6">
        <f ca="1">Main[[#This Row],[تعداد روزهای بدهکار  تسویه نشده (روز)]]*Main[[#This Row],[مانده در خط تسویه نشده (کیلوگرم)]]</f>
        <v>0</v>
      </c>
      <c r="AD2091" s="6">
        <f ca="1">SUBTOTAL(9,INDEX(Main[بدهی سررسید شده (کیلوگرم)],1):Main[[#This Row],[بدهی سررسید شده (کیلوگرم)]])</f>
        <v>0</v>
      </c>
      <c r="AE2091" s="6">
        <f ca="1">IF(Main[[#This Row],[مانده در خط سررسید شده (کیلوگرم)]]&lt;&gt;0,Main[[#This Row],[تعداد کل روزهای بدهکار (روز)]],0)</f>
        <v>0</v>
      </c>
      <c r="AF2091" s="6">
        <f ca="1">Main[[#This Row],[تعداد روزهای بدهکار سررسید شده (روز)]]*Main[[#This Row],[مانده در خط سررسید شده (کیلوگرم)]]</f>
        <v>0</v>
      </c>
    </row>
    <row r="2092" spans="1:32" hidden="1" x14ac:dyDescent="0.35">
      <c r="A2092" s="5">
        <f>ROW()-ROW(INDEX(Main[ردیف],1))+1</f>
        <v>2090</v>
      </c>
      <c r="B2092" s="31">
        <f>SUBTOTAL(2,INDEX(Main[ردیف],1):Main[[#This Row],[ردیف]])</f>
        <v>186</v>
      </c>
      <c r="C2092" s="32" t="s">
        <v>755</v>
      </c>
      <c r="D2092" s="32" t="str">
        <f>_xlfn.CONCAT("14",Main[[#This Row],[تاريخ]])</f>
        <v>1400/08/18</v>
      </c>
      <c r="E2092" s="33">
        <v>44509</v>
      </c>
      <c r="F2092" s="32">
        <v>30009</v>
      </c>
      <c r="G2092" s="5" t="str">
        <f>INDEX(customer[عنوان],MATCH(Main[[#This Row],[کد ردیابی]],customer[کد],0))</f>
        <v>شرکت ایمن تک پیشرو</v>
      </c>
      <c r="H2092">
        <v>1845</v>
      </c>
      <c r="I2092" s="6">
        <f ca="1">-Main[[#This Row],[بدهی تسویه شده (کیلوگرم)]]+Main[[#This Row],[بستانکار (کیلوگرم)]]</f>
        <v>1845</v>
      </c>
      <c r="J2092" s="6">
        <f>IF(Main[[#This Row],[مقدار (کیلوگرم)]]&gt;0,Main[[#This Row],[مقدار (کیلوگرم)]],0)</f>
        <v>1845</v>
      </c>
      <c r="K2092" s="6">
        <f>-IF(Main[[#This Row],[مقدار (کیلوگرم)]]&lt;0,Main[[#This Row],[مقدار (کیلوگرم)]],0)</f>
        <v>0</v>
      </c>
      <c r="L20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2" s="7">
        <f>-IF(AND(Main[[#This Row],[مقدار (کیلوگرم)]]&lt;0,Main[[#This Row],[تاريخ میلادی]]&gt;44276),Main[[#This Row],[مقدار (کیلوگرم)]],0)</f>
        <v>0</v>
      </c>
      <c r="N2092" s="6">
        <f ca="1">Main[[#This Row],[بدهکار (کیلوگرم)]]-Main[[#This Row],[بدهی تسویه نشده (کیلوگرم)]]</f>
        <v>0</v>
      </c>
      <c r="O2092" s="6">
        <f ca="1">Main[[#This Row],[تفکیک]]</f>
        <v>0</v>
      </c>
      <c r="P2092" s="6">
        <f ca="1">IF(Main[[#This Row],[تاخیر از سررسید]]&gt;0,Main[[#This Row],[بدهی تسویه نشده (کیلوگرم)]],0)</f>
        <v>0</v>
      </c>
      <c r="Q2092" s="6">
        <f ca="1">IF(Main[[#This Row],[بدهی تسویه نشده (کیلوگرم)]]&gt;0,'گزارش فردی'!$B$7-Main[[#This Row],[تاريخ میلادی]],0)</f>
        <v>0</v>
      </c>
      <c r="R2092" s="6">
        <f ca="1">IF(Main[[#This Row],[بدهی تسویه نشده (کیلوگرم)]]&gt;0,'گزارش فردی'!$B$7-Main[[#This Row],[تاريخ میلادی]]-'گزارش فردی'!$B$8,0)</f>
        <v>0</v>
      </c>
      <c r="S2092" s="6">
        <f ca="1">Main[[#This Row],[روز از ارسال سفارش]]*Main[[#This Row],[بدهی تسویه نشده (کیلوگرم)]]</f>
        <v>0</v>
      </c>
      <c r="T2092" s="6">
        <f ca="1">Main[[#This Row],[بدهی سررسید شده (کیلوگرم)]]*Main[[#This Row],[روز از ارسال سفارش]]</f>
        <v>0</v>
      </c>
      <c r="U2092" s="6">
        <f>-SUBTOTAL(9,INDEX(Main[مقدار (کیلوگرم)],1):Main[[#This Row],[مقدار (کیلوگرم)]])</f>
        <v>43100</v>
      </c>
      <c r="V20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2" s="6">
        <f>Main[[#This Row],[تعداد کل روزهای بدهکار (روز)]]*Main[[#This Row],[مانده در خط کل (کیلوگرم)]]</f>
        <v>0</v>
      </c>
      <c r="X2092" s="6">
        <f ca="1">-SUBTOTAL(9,INDEX(Main[مقدار تسویه شده (کیلوگرم)],1):Main[[#This Row],[مقدار تسویه شده (کیلوگرم)]])</f>
        <v>43100</v>
      </c>
      <c r="Y2092" s="6">
        <f ca="1">IF(Main[[#This Row],[مانده در خط تسویه شده (کیلوگرم)]]&lt;&gt;0,Main[[#This Row],[تعداد کل روزهای بدهکار (روز)]],0)</f>
        <v>0</v>
      </c>
      <c r="Z2092" s="6">
        <f ca="1">Main[[#This Row],[تعداد روزهای بدهکار تسویه شده (روز)]]*Main[[#This Row],[مانده در خط تسویه شده (کیلوگرم)]]</f>
        <v>0</v>
      </c>
      <c r="AA2092" s="6">
        <f ca="1">SUBTOTAL(9,INDEX(Main[بدهی تسویه نشده (کیلوگرم)],1):Main[[#This Row],[بدهی تسویه نشده (کیلوگرم)]])</f>
        <v>0</v>
      </c>
      <c r="AB2092" s="6">
        <f ca="1">IF(Main[[#This Row],[مانده در خط تسویه نشده (کیلوگرم)]]&lt;&gt;0,Main[[#This Row],[تعداد کل روزهای بدهکار (روز)]],0)</f>
        <v>0</v>
      </c>
      <c r="AC2092" s="6">
        <f ca="1">Main[[#This Row],[تعداد روزهای بدهکار  تسویه نشده (روز)]]*Main[[#This Row],[مانده در خط تسویه نشده (کیلوگرم)]]</f>
        <v>0</v>
      </c>
      <c r="AD2092" s="6">
        <f ca="1">SUBTOTAL(9,INDEX(Main[بدهی سررسید شده (کیلوگرم)],1):Main[[#This Row],[بدهی سررسید شده (کیلوگرم)]])</f>
        <v>0</v>
      </c>
      <c r="AE2092" s="6">
        <f ca="1">IF(Main[[#This Row],[مانده در خط سررسید شده (کیلوگرم)]]&lt;&gt;0,Main[[#This Row],[تعداد کل روزهای بدهکار (روز)]],0)</f>
        <v>0</v>
      </c>
      <c r="AF2092" s="6">
        <f ca="1">Main[[#This Row],[تعداد روزهای بدهکار سررسید شده (روز)]]*Main[[#This Row],[مانده در خط سررسید شده (کیلوگرم)]]</f>
        <v>0</v>
      </c>
    </row>
    <row r="2093" spans="1:32" hidden="1" x14ac:dyDescent="0.35">
      <c r="A2093" s="5">
        <f>ROW()-ROW(INDEX(Main[ردیف],1))+1</f>
        <v>2091</v>
      </c>
      <c r="B2093" s="31">
        <f>SUBTOTAL(2,INDEX(Main[ردیف],1):Main[[#This Row],[ردیف]])</f>
        <v>186</v>
      </c>
      <c r="C2093" s="32" t="s">
        <v>755</v>
      </c>
      <c r="D2093" s="32" t="str">
        <f>_xlfn.CONCAT("14",Main[[#This Row],[تاريخ]])</f>
        <v>1400/08/18</v>
      </c>
      <c r="E2093" s="33">
        <v>44509</v>
      </c>
      <c r="F2093" s="32">
        <v>30004</v>
      </c>
      <c r="G2093" s="5" t="str">
        <f>INDEX(customer[عنوان],MATCH(Main[[#This Row],[کد ردیابی]],customer[کد],0))</f>
        <v>تولیدی صنعتی صفاشیر پارس</v>
      </c>
      <c r="H2093">
        <v>-1598</v>
      </c>
      <c r="I2093" s="6">
        <f ca="1">-Main[[#This Row],[بدهی تسویه شده (کیلوگرم)]]+Main[[#This Row],[بستانکار (کیلوگرم)]]</f>
        <v>-1598</v>
      </c>
      <c r="J2093" s="6">
        <f>IF(Main[[#This Row],[مقدار (کیلوگرم)]]&gt;0,Main[[#This Row],[مقدار (کیلوگرم)]],0)</f>
        <v>0</v>
      </c>
      <c r="K2093" s="6">
        <f>-IF(Main[[#This Row],[مقدار (کیلوگرم)]]&lt;0,Main[[#This Row],[مقدار (کیلوگرم)]],0)</f>
        <v>1598</v>
      </c>
      <c r="L20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3" s="7">
        <f>-IF(AND(Main[[#This Row],[مقدار (کیلوگرم)]]&lt;0,Main[[#This Row],[تاريخ میلادی]]&gt;44276),Main[[#This Row],[مقدار (کیلوگرم)]],0)</f>
        <v>1598</v>
      </c>
      <c r="N2093" s="6">
        <f ca="1">Main[[#This Row],[بدهکار (کیلوگرم)]]-Main[[#This Row],[بدهی تسویه نشده (کیلوگرم)]]</f>
        <v>1598</v>
      </c>
      <c r="O2093" s="6">
        <f ca="1">Main[[#This Row],[تفکیک]]</f>
        <v>0</v>
      </c>
      <c r="P2093" s="6">
        <f ca="1">IF(Main[[#This Row],[تاخیر از سررسید]]&gt;0,Main[[#This Row],[بدهی تسویه نشده (کیلوگرم)]],0)</f>
        <v>0</v>
      </c>
      <c r="Q2093" s="6">
        <f ca="1">IF(Main[[#This Row],[بدهی تسویه نشده (کیلوگرم)]]&gt;0,'گزارش فردی'!$B$7-Main[[#This Row],[تاريخ میلادی]],0)</f>
        <v>0</v>
      </c>
      <c r="R2093" s="6">
        <f ca="1">IF(Main[[#This Row],[بدهی تسویه نشده (کیلوگرم)]]&gt;0,'گزارش فردی'!$B$7-Main[[#This Row],[تاريخ میلادی]]-'گزارش فردی'!$B$8,0)</f>
        <v>0</v>
      </c>
      <c r="S2093" s="6">
        <f ca="1">Main[[#This Row],[روز از ارسال سفارش]]*Main[[#This Row],[بدهی تسویه نشده (کیلوگرم)]]</f>
        <v>0</v>
      </c>
      <c r="T2093" s="6">
        <f ca="1">Main[[#This Row],[بدهی سررسید شده (کیلوگرم)]]*Main[[#This Row],[روز از ارسال سفارش]]</f>
        <v>0</v>
      </c>
      <c r="U2093" s="6">
        <f>-SUBTOTAL(9,INDEX(Main[مقدار (کیلوگرم)],1):Main[[#This Row],[مقدار (کیلوگرم)]])</f>
        <v>43100</v>
      </c>
      <c r="V20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3" s="6">
        <f>Main[[#This Row],[تعداد کل روزهای بدهکار (روز)]]*Main[[#This Row],[مانده در خط کل (کیلوگرم)]]</f>
        <v>0</v>
      </c>
      <c r="X2093" s="6">
        <f ca="1">-SUBTOTAL(9,INDEX(Main[مقدار تسویه شده (کیلوگرم)],1):Main[[#This Row],[مقدار تسویه شده (کیلوگرم)]])</f>
        <v>43100</v>
      </c>
      <c r="Y2093" s="6">
        <f ca="1">IF(Main[[#This Row],[مانده در خط تسویه شده (کیلوگرم)]]&lt;&gt;0,Main[[#This Row],[تعداد کل روزهای بدهکار (روز)]],0)</f>
        <v>0</v>
      </c>
      <c r="Z2093" s="6">
        <f ca="1">Main[[#This Row],[تعداد روزهای بدهکار تسویه شده (روز)]]*Main[[#This Row],[مانده در خط تسویه شده (کیلوگرم)]]</f>
        <v>0</v>
      </c>
      <c r="AA2093" s="6">
        <f ca="1">SUBTOTAL(9,INDEX(Main[بدهی تسویه نشده (کیلوگرم)],1):Main[[#This Row],[بدهی تسویه نشده (کیلوگرم)]])</f>
        <v>0</v>
      </c>
      <c r="AB2093" s="6">
        <f ca="1">IF(Main[[#This Row],[مانده در خط تسویه نشده (کیلوگرم)]]&lt;&gt;0,Main[[#This Row],[تعداد کل روزهای بدهکار (روز)]],0)</f>
        <v>0</v>
      </c>
      <c r="AC2093" s="6">
        <f ca="1">Main[[#This Row],[تعداد روزهای بدهکار  تسویه نشده (روز)]]*Main[[#This Row],[مانده در خط تسویه نشده (کیلوگرم)]]</f>
        <v>0</v>
      </c>
      <c r="AD2093" s="6">
        <f ca="1">SUBTOTAL(9,INDEX(Main[بدهی سررسید شده (کیلوگرم)],1):Main[[#This Row],[بدهی سررسید شده (کیلوگرم)]])</f>
        <v>0</v>
      </c>
      <c r="AE2093" s="6">
        <f ca="1">IF(Main[[#This Row],[مانده در خط سررسید شده (کیلوگرم)]]&lt;&gt;0,Main[[#This Row],[تعداد کل روزهای بدهکار (روز)]],0)</f>
        <v>0</v>
      </c>
      <c r="AF2093" s="6">
        <f ca="1">Main[[#This Row],[تعداد روزهای بدهکار سررسید شده (روز)]]*Main[[#This Row],[مانده در خط سررسید شده (کیلوگرم)]]</f>
        <v>0</v>
      </c>
    </row>
    <row r="2094" spans="1:32" hidden="1" x14ac:dyDescent="0.35">
      <c r="A2094" s="5">
        <f>ROW()-ROW(INDEX(Main[ردیف],1))+1</f>
        <v>2092</v>
      </c>
      <c r="B2094" s="31">
        <f>SUBTOTAL(2,INDEX(Main[ردیف],1):Main[[#This Row],[ردیف]])</f>
        <v>186</v>
      </c>
      <c r="C2094" s="32" t="s">
        <v>755</v>
      </c>
      <c r="D2094" s="32" t="str">
        <f>_xlfn.CONCAT("14",Main[[#This Row],[تاريخ]])</f>
        <v>1400/08/18</v>
      </c>
      <c r="E2094" s="33">
        <v>44509</v>
      </c>
      <c r="F2094" s="32">
        <v>30004</v>
      </c>
      <c r="G2094" s="5" t="str">
        <f>INDEX(customer[عنوان],MATCH(Main[[#This Row],[کد ردیابی]],customer[کد],0))</f>
        <v>تولیدی صنعتی صفاشیر پارس</v>
      </c>
      <c r="H2094">
        <v>5026</v>
      </c>
      <c r="I2094" s="6">
        <f ca="1">-Main[[#This Row],[بدهی تسویه شده (کیلوگرم)]]+Main[[#This Row],[بستانکار (کیلوگرم)]]</f>
        <v>5026</v>
      </c>
      <c r="J2094" s="6">
        <f>IF(Main[[#This Row],[مقدار (کیلوگرم)]]&gt;0,Main[[#This Row],[مقدار (کیلوگرم)]],0)</f>
        <v>5026</v>
      </c>
      <c r="K2094" s="6">
        <f>-IF(Main[[#This Row],[مقدار (کیلوگرم)]]&lt;0,Main[[#This Row],[مقدار (کیلوگرم)]],0)</f>
        <v>0</v>
      </c>
      <c r="L20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4" s="7">
        <f>-IF(AND(Main[[#This Row],[مقدار (کیلوگرم)]]&lt;0,Main[[#This Row],[تاريخ میلادی]]&gt;44276),Main[[#This Row],[مقدار (کیلوگرم)]],0)</f>
        <v>0</v>
      </c>
      <c r="N2094" s="6">
        <f ca="1">Main[[#This Row],[بدهکار (کیلوگرم)]]-Main[[#This Row],[بدهی تسویه نشده (کیلوگرم)]]</f>
        <v>0</v>
      </c>
      <c r="O2094" s="6">
        <f ca="1">Main[[#This Row],[تفکیک]]</f>
        <v>0</v>
      </c>
      <c r="P2094" s="6">
        <f ca="1">IF(Main[[#This Row],[تاخیر از سررسید]]&gt;0,Main[[#This Row],[بدهی تسویه نشده (کیلوگرم)]],0)</f>
        <v>0</v>
      </c>
      <c r="Q2094" s="6">
        <f ca="1">IF(Main[[#This Row],[بدهی تسویه نشده (کیلوگرم)]]&gt;0,'گزارش فردی'!$B$7-Main[[#This Row],[تاريخ میلادی]],0)</f>
        <v>0</v>
      </c>
      <c r="R2094" s="6">
        <f ca="1">IF(Main[[#This Row],[بدهی تسویه نشده (کیلوگرم)]]&gt;0,'گزارش فردی'!$B$7-Main[[#This Row],[تاريخ میلادی]]-'گزارش فردی'!$B$8,0)</f>
        <v>0</v>
      </c>
      <c r="S2094" s="6">
        <f ca="1">Main[[#This Row],[روز از ارسال سفارش]]*Main[[#This Row],[بدهی تسویه نشده (کیلوگرم)]]</f>
        <v>0</v>
      </c>
      <c r="T2094" s="6">
        <f ca="1">Main[[#This Row],[بدهی سررسید شده (کیلوگرم)]]*Main[[#This Row],[روز از ارسال سفارش]]</f>
        <v>0</v>
      </c>
      <c r="U2094" s="6">
        <f>-SUBTOTAL(9,INDEX(Main[مقدار (کیلوگرم)],1):Main[[#This Row],[مقدار (کیلوگرم)]])</f>
        <v>43100</v>
      </c>
      <c r="V20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4" s="6">
        <f>Main[[#This Row],[تعداد کل روزهای بدهکار (روز)]]*Main[[#This Row],[مانده در خط کل (کیلوگرم)]]</f>
        <v>0</v>
      </c>
      <c r="X2094" s="6">
        <f ca="1">-SUBTOTAL(9,INDEX(Main[مقدار تسویه شده (کیلوگرم)],1):Main[[#This Row],[مقدار تسویه شده (کیلوگرم)]])</f>
        <v>43100</v>
      </c>
      <c r="Y2094" s="6">
        <f ca="1">IF(Main[[#This Row],[مانده در خط تسویه شده (کیلوگرم)]]&lt;&gt;0,Main[[#This Row],[تعداد کل روزهای بدهکار (روز)]],0)</f>
        <v>0</v>
      </c>
      <c r="Z2094" s="6">
        <f ca="1">Main[[#This Row],[تعداد روزهای بدهکار تسویه شده (روز)]]*Main[[#This Row],[مانده در خط تسویه شده (کیلوگرم)]]</f>
        <v>0</v>
      </c>
      <c r="AA2094" s="6">
        <f ca="1">SUBTOTAL(9,INDEX(Main[بدهی تسویه نشده (کیلوگرم)],1):Main[[#This Row],[بدهی تسویه نشده (کیلوگرم)]])</f>
        <v>0</v>
      </c>
      <c r="AB2094" s="6">
        <f ca="1">IF(Main[[#This Row],[مانده در خط تسویه نشده (کیلوگرم)]]&lt;&gt;0,Main[[#This Row],[تعداد کل روزهای بدهکار (روز)]],0)</f>
        <v>0</v>
      </c>
      <c r="AC2094" s="6">
        <f ca="1">Main[[#This Row],[تعداد روزهای بدهکار  تسویه نشده (روز)]]*Main[[#This Row],[مانده در خط تسویه نشده (کیلوگرم)]]</f>
        <v>0</v>
      </c>
      <c r="AD2094" s="6">
        <f ca="1">SUBTOTAL(9,INDEX(Main[بدهی سررسید شده (کیلوگرم)],1):Main[[#This Row],[بدهی سررسید شده (کیلوگرم)]])</f>
        <v>0</v>
      </c>
      <c r="AE2094" s="6">
        <f ca="1">IF(Main[[#This Row],[مانده در خط سررسید شده (کیلوگرم)]]&lt;&gt;0,Main[[#This Row],[تعداد کل روزهای بدهکار (روز)]],0)</f>
        <v>0</v>
      </c>
      <c r="AF2094" s="6">
        <f ca="1">Main[[#This Row],[تعداد روزهای بدهکار سررسید شده (روز)]]*Main[[#This Row],[مانده در خط سررسید شده (کیلوگرم)]]</f>
        <v>0</v>
      </c>
    </row>
    <row r="2095" spans="1:32" x14ac:dyDescent="0.35">
      <c r="A2095" s="5">
        <f>ROW()-ROW(INDEX(Main[ردیف],1))+1</f>
        <v>2093</v>
      </c>
      <c r="B2095" s="31">
        <f>SUBTOTAL(2,INDEX(Main[ردیف],1):Main[[#This Row],[ردیف]])</f>
        <v>187</v>
      </c>
      <c r="C2095" s="32" t="s">
        <v>755</v>
      </c>
      <c r="D2095" s="32" t="str">
        <f>_xlfn.CONCAT("14",Main[[#This Row],[تاريخ]])</f>
        <v>1400/08/18</v>
      </c>
      <c r="E2095" s="33">
        <v>44509</v>
      </c>
      <c r="F2095" s="32">
        <v>10003</v>
      </c>
      <c r="G2095" s="5" t="str">
        <f>INDEX(customer[عنوان],MATCH(Main[[#This Row],[کد ردیابی]],customer[کد],0))</f>
        <v>اصغر نورعلی</v>
      </c>
      <c r="H2095">
        <v>-3994</v>
      </c>
      <c r="I2095" s="6">
        <f ca="1">-Main[[#This Row],[بدهی تسویه شده (کیلوگرم)]]+Main[[#This Row],[بستانکار (کیلوگرم)]]</f>
        <v>-3994</v>
      </c>
      <c r="J2095" s="6">
        <f>IF(Main[[#This Row],[مقدار (کیلوگرم)]]&gt;0,Main[[#This Row],[مقدار (کیلوگرم)]],0)</f>
        <v>0</v>
      </c>
      <c r="K2095" s="6">
        <f>-IF(Main[[#This Row],[مقدار (کیلوگرم)]]&lt;0,Main[[#This Row],[مقدار (کیلوگرم)]],0)</f>
        <v>3994</v>
      </c>
      <c r="L20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5" s="7">
        <f>-IF(AND(Main[[#This Row],[مقدار (کیلوگرم)]]&lt;0,Main[[#This Row],[تاريخ میلادی]]&gt;44276),Main[[#This Row],[مقدار (کیلوگرم)]],0)</f>
        <v>3994</v>
      </c>
      <c r="N2095" s="6">
        <f ca="1">Main[[#This Row],[بدهکار (کیلوگرم)]]-Main[[#This Row],[بدهی تسویه نشده (کیلوگرم)]]</f>
        <v>3994</v>
      </c>
      <c r="O2095" s="6">
        <f ca="1">Main[[#This Row],[تفکیک]]</f>
        <v>0</v>
      </c>
      <c r="P2095" s="6">
        <f ca="1">IF(Main[[#This Row],[تاخیر از سررسید]]&gt;0,Main[[#This Row],[بدهی تسویه نشده (کیلوگرم)]],0)</f>
        <v>0</v>
      </c>
      <c r="Q2095" s="6">
        <f ca="1">IF(Main[[#This Row],[بدهی تسویه نشده (کیلوگرم)]]&gt;0,'گزارش فردی'!$B$7-Main[[#This Row],[تاريخ میلادی]],0)</f>
        <v>0</v>
      </c>
      <c r="R2095" s="6">
        <f ca="1">IF(Main[[#This Row],[بدهی تسویه نشده (کیلوگرم)]]&gt;0,'گزارش فردی'!$B$7-Main[[#This Row],[تاريخ میلادی]]-'گزارش فردی'!$B$8,0)</f>
        <v>0</v>
      </c>
      <c r="S2095" s="6">
        <f ca="1">Main[[#This Row],[روز از ارسال سفارش]]*Main[[#This Row],[بدهی تسویه نشده (کیلوگرم)]]</f>
        <v>0</v>
      </c>
      <c r="T2095" s="6">
        <f ca="1">Main[[#This Row],[بدهی سررسید شده (کیلوگرم)]]*Main[[#This Row],[روز از ارسال سفارش]]</f>
        <v>0</v>
      </c>
      <c r="U2095" s="6">
        <f>-SUBTOTAL(9,INDEX(Main[مقدار (کیلوگرم)],1):Main[[#This Row],[مقدار (کیلوگرم)]])</f>
        <v>47094</v>
      </c>
      <c r="V20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95" s="6">
        <f>Main[[#This Row],[تعداد کل روزهای بدهکار (روز)]]*Main[[#This Row],[مانده در خط کل (کیلوگرم)]]</f>
        <v>47094</v>
      </c>
      <c r="X2095" s="6">
        <f ca="1">-SUBTOTAL(9,INDEX(Main[مقدار تسویه شده (کیلوگرم)],1):Main[[#This Row],[مقدار تسویه شده (کیلوگرم)]])</f>
        <v>47094</v>
      </c>
      <c r="Y2095" s="6">
        <f ca="1">IF(Main[[#This Row],[مانده در خط تسویه شده (کیلوگرم)]]&lt;&gt;0,Main[[#This Row],[تعداد کل روزهای بدهکار (روز)]],0)</f>
        <v>1</v>
      </c>
      <c r="Z2095" s="6">
        <f ca="1">Main[[#This Row],[تعداد روزهای بدهکار تسویه شده (روز)]]*Main[[#This Row],[مانده در خط تسویه شده (کیلوگرم)]]</f>
        <v>47094</v>
      </c>
      <c r="AA2095" s="6">
        <f ca="1">SUBTOTAL(9,INDEX(Main[بدهی تسویه نشده (کیلوگرم)],1):Main[[#This Row],[بدهی تسویه نشده (کیلوگرم)]])</f>
        <v>0</v>
      </c>
      <c r="AB2095" s="6">
        <f ca="1">IF(Main[[#This Row],[مانده در خط تسویه نشده (کیلوگرم)]]&lt;&gt;0,Main[[#This Row],[تعداد کل روزهای بدهکار (روز)]],0)</f>
        <v>0</v>
      </c>
      <c r="AC2095" s="6">
        <f ca="1">Main[[#This Row],[تعداد روزهای بدهکار  تسویه نشده (روز)]]*Main[[#This Row],[مانده در خط تسویه نشده (کیلوگرم)]]</f>
        <v>0</v>
      </c>
      <c r="AD2095" s="6">
        <f ca="1">SUBTOTAL(9,INDEX(Main[بدهی سررسید شده (کیلوگرم)],1):Main[[#This Row],[بدهی سررسید شده (کیلوگرم)]])</f>
        <v>0</v>
      </c>
      <c r="AE2095" s="6">
        <f ca="1">IF(Main[[#This Row],[مانده در خط سررسید شده (کیلوگرم)]]&lt;&gt;0,Main[[#This Row],[تعداد کل روزهای بدهکار (روز)]],0)</f>
        <v>0</v>
      </c>
      <c r="AF2095" s="6">
        <f ca="1">Main[[#This Row],[تعداد روزهای بدهکار سررسید شده (روز)]]*Main[[#This Row],[مانده در خط سررسید شده (کیلوگرم)]]</f>
        <v>0</v>
      </c>
    </row>
    <row r="2096" spans="1:32" hidden="1" x14ac:dyDescent="0.35">
      <c r="A2096" s="5">
        <f>ROW()-ROW(INDEX(Main[ردیف],1))+1</f>
        <v>2094</v>
      </c>
      <c r="B2096" s="31">
        <f>SUBTOTAL(2,INDEX(Main[ردیف],1):Main[[#This Row],[ردیف]])</f>
        <v>187</v>
      </c>
      <c r="C2096" s="32" t="s">
        <v>755</v>
      </c>
      <c r="D2096" s="32" t="str">
        <f>_xlfn.CONCAT("14",Main[[#This Row],[تاريخ]])</f>
        <v>1400/08/18</v>
      </c>
      <c r="E2096" s="33">
        <v>44509</v>
      </c>
      <c r="F2096" s="32">
        <v>10055</v>
      </c>
      <c r="G2096" s="5" t="str">
        <f>INDEX(customer[عنوان],MATCH(Main[[#This Row],[کد ردیابی]],customer[کد],0))</f>
        <v xml:space="preserve">مریم فیض آبادی  </v>
      </c>
      <c r="H2096">
        <v>-4721</v>
      </c>
      <c r="I2096" s="6">
        <f ca="1">-Main[[#This Row],[بدهی تسویه شده (کیلوگرم)]]+Main[[#This Row],[بستانکار (کیلوگرم)]]</f>
        <v>-4721</v>
      </c>
      <c r="J2096" s="6">
        <f>IF(Main[[#This Row],[مقدار (کیلوگرم)]]&gt;0,Main[[#This Row],[مقدار (کیلوگرم)]],0)</f>
        <v>0</v>
      </c>
      <c r="K2096" s="6">
        <f>-IF(Main[[#This Row],[مقدار (کیلوگرم)]]&lt;0,Main[[#This Row],[مقدار (کیلوگرم)]],0)</f>
        <v>4721</v>
      </c>
      <c r="L20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6" s="7">
        <f>-IF(AND(Main[[#This Row],[مقدار (کیلوگرم)]]&lt;0,Main[[#This Row],[تاريخ میلادی]]&gt;44276),Main[[#This Row],[مقدار (کیلوگرم)]],0)</f>
        <v>4721</v>
      </c>
      <c r="N2096" s="6">
        <f ca="1">Main[[#This Row],[بدهکار (کیلوگرم)]]-Main[[#This Row],[بدهی تسویه نشده (کیلوگرم)]]</f>
        <v>4721</v>
      </c>
      <c r="O2096" s="6">
        <f ca="1">Main[[#This Row],[تفکیک]]</f>
        <v>0</v>
      </c>
      <c r="P2096" s="6">
        <f ca="1">IF(Main[[#This Row],[تاخیر از سررسید]]&gt;0,Main[[#This Row],[بدهی تسویه نشده (کیلوگرم)]],0)</f>
        <v>0</v>
      </c>
      <c r="Q2096" s="6">
        <f ca="1">IF(Main[[#This Row],[بدهی تسویه نشده (کیلوگرم)]]&gt;0,'گزارش فردی'!$B$7-Main[[#This Row],[تاريخ میلادی]],0)</f>
        <v>0</v>
      </c>
      <c r="R2096" s="6">
        <f ca="1">IF(Main[[#This Row],[بدهی تسویه نشده (کیلوگرم)]]&gt;0,'گزارش فردی'!$B$7-Main[[#This Row],[تاريخ میلادی]]-'گزارش فردی'!$B$8,0)</f>
        <v>0</v>
      </c>
      <c r="S2096" s="6">
        <f ca="1">Main[[#This Row],[روز از ارسال سفارش]]*Main[[#This Row],[بدهی تسویه نشده (کیلوگرم)]]</f>
        <v>0</v>
      </c>
      <c r="T2096" s="6">
        <f ca="1">Main[[#This Row],[بدهی سررسید شده (کیلوگرم)]]*Main[[#This Row],[روز از ارسال سفارش]]</f>
        <v>0</v>
      </c>
      <c r="U2096" s="6">
        <f>-SUBTOTAL(9,INDEX(Main[مقدار (کیلوگرم)],1):Main[[#This Row],[مقدار (کیلوگرم)]])</f>
        <v>47094</v>
      </c>
      <c r="V20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96" s="6">
        <f>Main[[#This Row],[تعداد کل روزهای بدهکار (روز)]]*Main[[#This Row],[مانده در خط کل (کیلوگرم)]]</f>
        <v>47094</v>
      </c>
      <c r="X2096" s="6">
        <f ca="1">-SUBTOTAL(9,INDEX(Main[مقدار تسویه شده (کیلوگرم)],1):Main[[#This Row],[مقدار تسویه شده (کیلوگرم)]])</f>
        <v>47094</v>
      </c>
      <c r="Y2096" s="6">
        <f ca="1">IF(Main[[#This Row],[مانده در خط تسویه شده (کیلوگرم)]]&lt;&gt;0,Main[[#This Row],[تعداد کل روزهای بدهکار (روز)]],0)</f>
        <v>1</v>
      </c>
      <c r="Z2096" s="6">
        <f ca="1">Main[[#This Row],[تعداد روزهای بدهکار تسویه شده (روز)]]*Main[[#This Row],[مانده در خط تسویه شده (کیلوگرم)]]</f>
        <v>47094</v>
      </c>
      <c r="AA2096" s="6">
        <f ca="1">SUBTOTAL(9,INDEX(Main[بدهی تسویه نشده (کیلوگرم)],1):Main[[#This Row],[بدهی تسویه نشده (کیلوگرم)]])</f>
        <v>0</v>
      </c>
      <c r="AB2096" s="6">
        <f ca="1">IF(Main[[#This Row],[مانده در خط تسویه نشده (کیلوگرم)]]&lt;&gt;0,Main[[#This Row],[تعداد کل روزهای بدهکار (روز)]],0)</f>
        <v>0</v>
      </c>
      <c r="AC2096" s="6">
        <f ca="1">Main[[#This Row],[تعداد روزهای بدهکار  تسویه نشده (روز)]]*Main[[#This Row],[مانده در خط تسویه نشده (کیلوگرم)]]</f>
        <v>0</v>
      </c>
      <c r="AD2096" s="6">
        <f ca="1">SUBTOTAL(9,INDEX(Main[بدهی سررسید شده (کیلوگرم)],1):Main[[#This Row],[بدهی سررسید شده (کیلوگرم)]])</f>
        <v>0</v>
      </c>
      <c r="AE2096" s="6">
        <f ca="1">IF(Main[[#This Row],[مانده در خط سررسید شده (کیلوگرم)]]&lt;&gt;0,Main[[#This Row],[تعداد کل روزهای بدهکار (روز)]],0)</f>
        <v>0</v>
      </c>
      <c r="AF2096" s="6">
        <f ca="1">Main[[#This Row],[تعداد روزهای بدهکار سررسید شده (روز)]]*Main[[#This Row],[مانده در خط سررسید شده (کیلوگرم)]]</f>
        <v>0</v>
      </c>
    </row>
    <row r="2097" spans="1:32" hidden="1" x14ac:dyDescent="0.35">
      <c r="A2097" s="5">
        <f>ROW()-ROW(INDEX(Main[ردیف],1))+1</f>
        <v>2095</v>
      </c>
      <c r="B2097" s="31">
        <f>SUBTOTAL(2,INDEX(Main[ردیف],1):Main[[#This Row],[ردیف]])</f>
        <v>187</v>
      </c>
      <c r="C2097" s="32" t="s">
        <v>756</v>
      </c>
      <c r="D2097" s="32" t="str">
        <f>_xlfn.CONCAT("14",Main[[#This Row],[تاريخ]])</f>
        <v>1400/08/19</v>
      </c>
      <c r="E2097" s="33">
        <v>44510</v>
      </c>
      <c r="F2097" s="32">
        <v>30014</v>
      </c>
      <c r="G2097" s="5" t="str">
        <f>INDEX(customer[عنوان],MATCH(Main[[#This Row],[کد ردیابی]],customer[کد],0))</f>
        <v>کلون</v>
      </c>
      <c r="H2097">
        <v>891</v>
      </c>
      <c r="I2097" s="6">
        <f ca="1">-Main[[#This Row],[بدهی تسویه شده (کیلوگرم)]]+Main[[#This Row],[بستانکار (کیلوگرم)]]</f>
        <v>891</v>
      </c>
      <c r="J2097" s="6">
        <f>IF(Main[[#This Row],[مقدار (کیلوگرم)]]&gt;0,Main[[#This Row],[مقدار (کیلوگرم)]],0)</f>
        <v>891</v>
      </c>
      <c r="K2097" s="6">
        <f>-IF(Main[[#This Row],[مقدار (کیلوگرم)]]&lt;0,Main[[#This Row],[مقدار (کیلوگرم)]],0)</f>
        <v>0</v>
      </c>
      <c r="L20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7" s="7">
        <f>-IF(AND(Main[[#This Row],[مقدار (کیلوگرم)]]&lt;0,Main[[#This Row],[تاريخ میلادی]]&gt;44276),Main[[#This Row],[مقدار (کیلوگرم)]],0)</f>
        <v>0</v>
      </c>
      <c r="N2097" s="6">
        <f ca="1">Main[[#This Row],[بدهکار (کیلوگرم)]]-Main[[#This Row],[بدهی تسویه نشده (کیلوگرم)]]</f>
        <v>0</v>
      </c>
      <c r="O2097" s="6">
        <f ca="1">Main[[#This Row],[تفکیک]]</f>
        <v>0</v>
      </c>
      <c r="P2097" s="6">
        <f ca="1">IF(Main[[#This Row],[تاخیر از سررسید]]&gt;0,Main[[#This Row],[بدهی تسویه نشده (کیلوگرم)]],0)</f>
        <v>0</v>
      </c>
      <c r="Q2097" s="6">
        <f ca="1">IF(Main[[#This Row],[بدهی تسویه نشده (کیلوگرم)]]&gt;0,'گزارش فردی'!$B$7-Main[[#This Row],[تاريخ میلادی]],0)</f>
        <v>0</v>
      </c>
      <c r="R2097" s="6">
        <f ca="1">IF(Main[[#This Row],[بدهی تسویه نشده (کیلوگرم)]]&gt;0,'گزارش فردی'!$B$7-Main[[#This Row],[تاريخ میلادی]]-'گزارش فردی'!$B$8,0)</f>
        <v>0</v>
      </c>
      <c r="S2097" s="6">
        <f ca="1">Main[[#This Row],[روز از ارسال سفارش]]*Main[[#This Row],[بدهی تسویه نشده (کیلوگرم)]]</f>
        <v>0</v>
      </c>
      <c r="T2097" s="6">
        <f ca="1">Main[[#This Row],[بدهی سررسید شده (کیلوگرم)]]*Main[[#This Row],[روز از ارسال سفارش]]</f>
        <v>0</v>
      </c>
      <c r="U2097" s="6">
        <f>-SUBTOTAL(9,INDEX(Main[مقدار (کیلوگرم)],1):Main[[#This Row],[مقدار (کیلوگرم)]])</f>
        <v>47094</v>
      </c>
      <c r="V20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7" s="6">
        <f>Main[[#This Row],[تعداد کل روزهای بدهکار (روز)]]*Main[[#This Row],[مانده در خط کل (کیلوگرم)]]</f>
        <v>0</v>
      </c>
      <c r="X2097" s="6">
        <f ca="1">-SUBTOTAL(9,INDEX(Main[مقدار تسویه شده (کیلوگرم)],1):Main[[#This Row],[مقدار تسویه شده (کیلوگرم)]])</f>
        <v>47094</v>
      </c>
      <c r="Y2097" s="6">
        <f ca="1">IF(Main[[#This Row],[مانده در خط تسویه شده (کیلوگرم)]]&lt;&gt;0,Main[[#This Row],[تعداد کل روزهای بدهکار (روز)]],0)</f>
        <v>0</v>
      </c>
      <c r="Z2097" s="6">
        <f ca="1">Main[[#This Row],[تعداد روزهای بدهکار تسویه شده (روز)]]*Main[[#This Row],[مانده در خط تسویه شده (کیلوگرم)]]</f>
        <v>0</v>
      </c>
      <c r="AA2097" s="6">
        <f ca="1">SUBTOTAL(9,INDEX(Main[بدهی تسویه نشده (کیلوگرم)],1):Main[[#This Row],[بدهی تسویه نشده (کیلوگرم)]])</f>
        <v>0</v>
      </c>
      <c r="AB2097" s="6">
        <f ca="1">IF(Main[[#This Row],[مانده در خط تسویه نشده (کیلوگرم)]]&lt;&gt;0,Main[[#This Row],[تعداد کل روزهای بدهکار (روز)]],0)</f>
        <v>0</v>
      </c>
      <c r="AC2097" s="6">
        <f ca="1">Main[[#This Row],[تعداد روزهای بدهکار  تسویه نشده (روز)]]*Main[[#This Row],[مانده در خط تسویه نشده (کیلوگرم)]]</f>
        <v>0</v>
      </c>
      <c r="AD2097" s="6">
        <f ca="1">SUBTOTAL(9,INDEX(Main[بدهی سررسید شده (کیلوگرم)],1):Main[[#This Row],[بدهی سررسید شده (کیلوگرم)]])</f>
        <v>0</v>
      </c>
      <c r="AE2097" s="6">
        <f ca="1">IF(Main[[#This Row],[مانده در خط سررسید شده (کیلوگرم)]]&lt;&gt;0,Main[[#This Row],[تعداد کل روزهای بدهکار (روز)]],0)</f>
        <v>0</v>
      </c>
      <c r="AF2097" s="6">
        <f ca="1">Main[[#This Row],[تعداد روزهای بدهکار سررسید شده (روز)]]*Main[[#This Row],[مانده در خط سررسید شده (کیلوگرم)]]</f>
        <v>0</v>
      </c>
    </row>
    <row r="2098" spans="1:32" hidden="1" x14ac:dyDescent="0.35">
      <c r="A2098" s="5">
        <f>ROW()-ROW(INDEX(Main[ردیف],1))+1</f>
        <v>2096</v>
      </c>
      <c r="B2098" s="31">
        <f>SUBTOTAL(2,INDEX(Main[ردیف],1):Main[[#This Row],[ردیف]])</f>
        <v>187</v>
      </c>
      <c r="C2098" s="32" t="s">
        <v>756</v>
      </c>
      <c r="D2098" s="32" t="str">
        <f>_xlfn.CONCAT("14",Main[[#This Row],[تاريخ]])</f>
        <v>1400/08/19</v>
      </c>
      <c r="E2098" s="33">
        <v>44510</v>
      </c>
      <c r="F2098" s="32">
        <v>30190</v>
      </c>
      <c r="G2098" s="5" t="str">
        <f>INDEX(customer[عنوان],MATCH(Main[[#This Row],[کد ردیابی]],customer[کد],0))</f>
        <v>ایران طلق</v>
      </c>
      <c r="H2098">
        <v>-999</v>
      </c>
      <c r="I2098" s="6">
        <f ca="1">-Main[[#This Row],[بدهی تسویه شده (کیلوگرم)]]+Main[[#This Row],[بستانکار (کیلوگرم)]]</f>
        <v>-999</v>
      </c>
      <c r="J2098" s="6">
        <f>IF(Main[[#This Row],[مقدار (کیلوگرم)]]&gt;0,Main[[#This Row],[مقدار (کیلوگرم)]],0)</f>
        <v>0</v>
      </c>
      <c r="K2098" s="6">
        <f>-IF(Main[[#This Row],[مقدار (کیلوگرم)]]&lt;0,Main[[#This Row],[مقدار (کیلوگرم)]],0)</f>
        <v>999</v>
      </c>
      <c r="L20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8" s="7">
        <f>-IF(AND(Main[[#This Row],[مقدار (کیلوگرم)]]&lt;0,Main[[#This Row],[تاريخ میلادی]]&gt;44276),Main[[#This Row],[مقدار (کیلوگرم)]],0)</f>
        <v>999</v>
      </c>
      <c r="N2098" s="6">
        <f ca="1">Main[[#This Row],[بدهکار (کیلوگرم)]]-Main[[#This Row],[بدهی تسویه نشده (کیلوگرم)]]</f>
        <v>999</v>
      </c>
      <c r="O2098" s="6">
        <f ca="1">Main[[#This Row],[تفکیک]]</f>
        <v>0</v>
      </c>
      <c r="P2098" s="6">
        <f ca="1">IF(Main[[#This Row],[تاخیر از سررسید]]&gt;0,Main[[#This Row],[بدهی تسویه نشده (کیلوگرم)]],0)</f>
        <v>0</v>
      </c>
      <c r="Q2098" s="6">
        <f ca="1">IF(Main[[#This Row],[بدهی تسویه نشده (کیلوگرم)]]&gt;0,'گزارش فردی'!$B$7-Main[[#This Row],[تاريخ میلادی]],0)</f>
        <v>0</v>
      </c>
      <c r="R2098" s="6">
        <f ca="1">IF(Main[[#This Row],[بدهی تسویه نشده (کیلوگرم)]]&gt;0,'گزارش فردی'!$B$7-Main[[#This Row],[تاريخ میلادی]]-'گزارش فردی'!$B$8,0)</f>
        <v>0</v>
      </c>
      <c r="S2098" s="6">
        <f ca="1">Main[[#This Row],[روز از ارسال سفارش]]*Main[[#This Row],[بدهی تسویه نشده (کیلوگرم)]]</f>
        <v>0</v>
      </c>
      <c r="T2098" s="6">
        <f ca="1">Main[[#This Row],[بدهی سررسید شده (کیلوگرم)]]*Main[[#This Row],[روز از ارسال سفارش]]</f>
        <v>0</v>
      </c>
      <c r="U2098" s="6">
        <f>-SUBTOTAL(9,INDEX(Main[مقدار (کیلوگرم)],1):Main[[#This Row],[مقدار (کیلوگرم)]])</f>
        <v>47094</v>
      </c>
      <c r="V20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8" s="6">
        <f>Main[[#This Row],[تعداد کل روزهای بدهکار (روز)]]*Main[[#This Row],[مانده در خط کل (کیلوگرم)]]</f>
        <v>0</v>
      </c>
      <c r="X2098" s="6">
        <f ca="1">-SUBTOTAL(9,INDEX(Main[مقدار تسویه شده (کیلوگرم)],1):Main[[#This Row],[مقدار تسویه شده (کیلوگرم)]])</f>
        <v>47094</v>
      </c>
      <c r="Y2098" s="6">
        <f ca="1">IF(Main[[#This Row],[مانده در خط تسویه شده (کیلوگرم)]]&lt;&gt;0,Main[[#This Row],[تعداد کل روزهای بدهکار (روز)]],0)</f>
        <v>0</v>
      </c>
      <c r="Z2098" s="6">
        <f ca="1">Main[[#This Row],[تعداد روزهای بدهکار تسویه شده (روز)]]*Main[[#This Row],[مانده در خط تسویه شده (کیلوگرم)]]</f>
        <v>0</v>
      </c>
      <c r="AA2098" s="6">
        <f ca="1">SUBTOTAL(9,INDEX(Main[بدهی تسویه نشده (کیلوگرم)],1):Main[[#This Row],[بدهی تسویه نشده (کیلوگرم)]])</f>
        <v>0</v>
      </c>
      <c r="AB2098" s="6">
        <f ca="1">IF(Main[[#This Row],[مانده در خط تسویه نشده (کیلوگرم)]]&lt;&gt;0,Main[[#This Row],[تعداد کل روزهای بدهکار (روز)]],0)</f>
        <v>0</v>
      </c>
      <c r="AC2098" s="6">
        <f ca="1">Main[[#This Row],[تعداد روزهای بدهکار  تسویه نشده (روز)]]*Main[[#This Row],[مانده در خط تسویه نشده (کیلوگرم)]]</f>
        <v>0</v>
      </c>
      <c r="AD2098" s="6">
        <f ca="1">SUBTOTAL(9,INDEX(Main[بدهی سررسید شده (کیلوگرم)],1):Main[[#This Row],[بدهی سررسید شده (کیلوگرم)]])</f>
        <v>0</v>
      </c>
      <c r="AE2098" s="6">
        <f ca="1">IF(Main[[#This Row],[مانده در خط سررسید شده (کیلوگرم)]]&lt;&gt;0,Main[[#This Row],[تعداد کل روزهای بدهکار (روز)]],0)</f>
        <v>0</v>
      </c>
      <c r="AF2098" s="6">
        <f ca="1">Main[[#This Row],[تعداد روزهای بدهکار سررسید شده (روز)]]*Main[[#This Row],[مانده در خط سررسید شده (کیلوگرم)]]</f>
        <v>0</v>
      </c>
    </row>
    <row r="2099" spans="1:32" hidden="1" x14ac:dyDescent="0.35">
      <c r="A2099" s="5">
        <f>ROW()-ROW(INDEX(Main[ردیف],1))+1</f>
        <v>2097</v>
      </c>
      <c r="B2099" s="31">
        <f>SUBTOTAL(2,INDEX(Main[ردیف],1):Main[[#This Row],[ردیف]])</f>
        <v>187</v>
      </c>
      <c r="C2099" s="32" t="s">
        <v>756</v>
      </c>
      <c r="D2099" s="32" t="str">
        <f>_xlfn.CONCAT("14",Main[[#This Row],[تاريخ]])</f>
        <v>1400/08/19</v>
      </c>
      <c r="E2099" s="33">
        <v>44510</v>
      </c>
      <c r="F2099" s="32">
        <v>30014</v>
      </c>
      <c r="G2099" s="5" t="str">
        <f>INDEX(customer[عنوان],MATCH(Main[[#This Row],[کد ردیابی]],customer[کد],0))</f>
        <v>کلون</v>
      </c>
      <c r="H2099">
        <v>167</v>
      </c>
      <c r="I2099" s="6">
        <f ca="1">-Main[[#This Row],[بدهی تسویه شده (کیلوگرم)]]+Main[[#This Row],[بستانکار (کیلوگرم)]]</f>
        <v>167</v>
      </c>
      <c r="J2099" s="6">
        <f>IF(Main[[#This Row],[مقدار (کیلوگرم)]]&gt;0,Main[[#This Row],[مقدار (کیلوگرم)]],0)</f>
        <v>167</v>
      </c>
      <c r="K2099" s="6">
        <f>-IF(Main[[#This Row],[مقدار (کیلوگرم)]]&lt;0,Main[[#This Row],[مقدار (کیلوگرم)]],0)</f>
        <v>0</v>
      </c>
      <c r="L20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9" s="7">
        <f>-IF(AND(Main[[#This Row],[مقدار (کیلوگرم)]]&lt;0,Main[[#This Row],[تاريخ میلادی]]&gt;44276),Main[[#This Row],[مقدار (کیلوگرم)]],0)</f>
        <v>0</v>
      </c>
      <c r="N2099" s="6">
        <f ca="1">Main[[#This Row],[بدهکار (کیلوگرم)]]-Main[[#This Row],[بدهی تسویه نشده (کیلوگرم)]]</f>
        <v>0</v>
      </c>
      <c r="O2099" s="6">
        <f ca="1">Main[[#This Row],[تفکیک]]</f>
        <v>0</v>
      </c>
      <c r="P2099" s="6">
        <f ca="1">IF(Main[[#This Row],[تاخیر از سررسید]]&gt;0,Main[[#This Row],[بدهی تسویه نشده (کیلوگرم)]],0)</f>
        <v>0</v>
      </c>
      <c r="Q2099" s="6">
        <f ca="1">IF(Main[[#This Row],[بدهی تسویه نشده (کیلوگرم)]]&gt;0,'گزارش فردی'!$B$7-Main[[#This Row],[تاريخ میلادی]],0)</f>
        <v>0</v>
      </c>
      <c r="R2099" s="6">
        <f ca="1">IF(Main[[#This Row],[بدهی تسویه نشده (کیلوگرم)]]&gt;0,'گزارش فردی'!$B$7-Main[[#This Row],[تاريخ میلادی]]-'گزارش فردی'!$B$8,0)</f>
        <v>0</v>
      </c>
      <c r="S2099" s="6">
        <f ca="1">Main[[#This Row],[روز از ارسال سفارش]]*Main[[#This Row],[بدهی تسویه نشده (کیلوگرم)]]</f>
        <v>0</v>
      </c>
      <c r="T2099" s="6">
        <f ca="1">Main[[#This Row],[بدهی سررسید شده (کیلوگرم)]]*Main[[#This Row],[روز از ارسال سفارش]]</f>
        <v>0</v>
      </c>
      <c r="U2099" s="6">
        <f>-SUBTOTAL(9,INDEX(Main[مقدار (کیلوگرم)],1):Main[[#This Row],[مقدار (کیلوگرم)]])</f>
        <v>47094</v>
      </c>
      <c r="V20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9" s="6">
        <f>Main[[#This Row],[تعداد کل روزهای بدهکار (روز)]]*Main[[#This Row],[مانده در خط کل (کیلوگرم)]]</f>
        <v>0</v>
      </c>
      <c r="X2099" s="6">
        <f ca="1">-SUBTOTAL(9,INDEX(Main[مقدار تسویه شده (کیلوگرم)],1):Main[[#This Row],[مقدار تسویه شده (کیلوگرم)]])</f>
        <v>47094</v>
      </c>
      <c r="Y2099" s="6">
        <f ca="1">IF(Main[[#This Row],[مانده در خط تسویه شده (کیلوگرم)]]&lt;&gt;0,Main[[#This Row],[تعداد کل روزهای بدهکار (روز)]],0)</f>
        <v>0</v>
      </c>
      <c r="Z2099" s="6">
        <f ca="1">Main[[#This Row],[تعداد روزهای بدهکار تسویه شده (روز)]]*Main[[#This Row],[مانده در خط تسویه شده (کیلوگرم)]]</f>
        <v>0</v>
      </c>
      <c r="AA2099" s="6">
        <f ca="1">SUBTOTAL(9,INDEX(Main[بدهی تسویه نشده (کیلوگرم)],1):Main[[#This Row],[بدهی تسویه نشده (کیلوگرم)]])</f>
        <v>0</v>
      </c>
      <c r="AB2099" s="6">
        <f ca="1">IF(Main[[#This Row],[مانده در خط تسویه نشده (کیلوگرم)]]&lt;&gt;0,Main[[#This Row],[تعداد کل روزهای بدهکار (روز)]],0)</f>
        <v>0</v>
      </c>
      <c r="AC2099" s="6">
        <f ca="1">Main[[#This Row],[تعداد روزهای بدهکار  تسویه نشده (روز)]]*Main[[#This Row],[مانده در خط تسویه نشده (کیلوگرم)]]</f>
        <v>0</v>
      </c>
      <c r="AD2099" s="6">
        <f ca="1">SUBTOTAL(9,INDEX(Main[بدهی سررسید شده (کیلوگرم)],1):Main[[#This Row],[بدهی سررسید شده (کیلوگرم)]])</f>
        <v>0</v>
      </c>
      <c r="AE2099" s="6">
        <f ca="1">IF(Main[[#This Row],[مانده در خط سررسید شده (کیلوگرم)]]&lt;&gt;0,Main[[#This Row],[تعداد کل روزهای بدهکار (روز)]],0)</f>
        <v>0</v>
      </c>
      <c r="AF2099" s="6">
        <f ca="1">Main[[#This Row],[تعداد روزهای بدهکار سررسید شده (روز)]]*Main[[#This Row],[مانده در خط سررسید شده (کیلوگرم)]]</f>
        <v>0</v>
      </c>
    </row>
    <row r="2100" spans="1:32" hidden="1" x14ac:dyDescent="0.35">
      <c r="A2100" s="5">
        <f>ROW()-ROW(INDEX(Main[ردیف],1))+1</f>
        <v>2098</v>
      </c>
      <c r="B2100" s="31">
        <f>SUBTOTAL(2,INDEX(Main[ردیف],1):Main[[#This Row],[ردیف]])</f>
        <v>187</v>
      </c>
      <c r="C2100" s="32" t="s">
        <v>756</v>
      </c>
      <c r="D2100" s="32" t="str">
        <f>_xlfn.CONCAT("14",Main[[#This Row],[تاريخ]])</f>
        <v>1400/08/19</v>
      </c>
      <c r="E2100" s="33">
        <v>44510</v>
      </c>
      <c r="F2100" s="32">
        <v>10029</v>
      </c>
      <c r="G2100" s="5" t="str">
        <f>INDEX(customer[عنوان],MATCH(Main[[#This Row],[کد ردیابی]],customer[کد],0))</f>
        <v>رضا شریعتی</v>
      </c>
      <c r="H2100">
        <v>-743</v>
      </c>
      <c r="I2100" s="6">
        <f ca="1">-Main[[#This Row],[بدهی تسویه شده (کیلوگرم)]]+Main[[#This Row],[بستانکار (کیلوگرم)]]</f>
        <v>-743</v>
      </c>
      <c r="J2100" s="6">
        <f>IF(Main[[#This Row],[مقدار (کیلوگرم)]]&gt;0,Main[[#This Row],[مقدار (کیلوگرم)]],0)</f>
        <v>0</v>
      </c>
      <c r="K2100" s="6">
        <f>-IF(Main[[#This Row],[مقدار (کیلوگرم)]]&lt;0,Main[[#This Row],[مقدار (کیلوگرم)]],0)</f>
        <v>743</v>
      </c>
      <c r="L21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0" s="7">
        <f>-IF(AND(Main[[#This Row],[مقدار (کیلوگرم)]]&lt;0,Main[[#This Row],[تاريخ میلادی]]&gt;44276),Main[[#This Row],[مقدار (کیلوگرم)]],0)</f>
        <v>743</v>
      </c>
      <c r="N2100" s="6">
        <f ca="1">Main[[#This Row],[بدهکار (کیلوگرم)]]-Main[[#This Row],[بدهی تسویه نشده (کیلوگرم)]]</f>
        <v>743</v>
      </c>
      <c r="O2100" s="6">
        <f ca="1">Main[[#This Row],[تفکیک]]</f>
        <v>0</v>
      </c>
      <c r="P2100" s="6">
        <f ca="1">IF(Main[[#This Row],[تاخیر از سررسید]]&gt;0,Main[[#This Row],[بدهی تسویه نشده (کیلوگرم)]],0)</f>
        <v>0</v>
      </c>
      <c r="Q2100" s="6">
        <f ca="1">IF(Main[[#This Row],[بدهی تسویه نشده (کیلوگرم)]]&gt;0,'گزارش فردی'!$B$7-Main[[#This Row],[تاريخ میلادی]],0)</f>
        <v>0</v>
      </c>
      <c r="R2100" s="6">
        <f ca="1">IF(Main[[#This Row],[بدهی تسویه نشده (کیلوگرم)]]&gt;0,'گزارش فردی'!$B$7-Main[[#This Row],[تاريخ میلادی]]-'گزارش فردی'!$B$8,0)</f>
        <v>0</v>
      </c>
      <c r="S2100" s="6">
        <f ca="1">Main[[#This Row],[روز از ارسال سفارش]]*Main[[#This Row],[بدهی تسویه نشده (کیلوگرم)]]</f>
        <v>0</v>
      </c>
      <c r="T2100" s="6">
        <f ca="1">Main[[#This Row],[بدهی سررسید شده (کیلوگرم)]]*Main[[#This Row],[روز از ارسال سفارش]]</f>
        <v>0</v>
      </c>
      <c r="U2100" s="6">
        <f>-SUBTOTAL(9,INDEX(Main[مقدار (کیلوگرم)],1):Main[[#This Row],[مقدار (کیلوگرم)]])</f>
        <v>47094</v>
      </c>
      <c r="V21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00" s="6">
        <f>Main[[#This Row],[تعداد کل روزهای بدهکار (روز)]]*Main[[#This Row],[مانده در خط کل (کیلوگرم)]]</f>
        <v>0</v>
      </c>
      <c r="X2100" s="6">
        <f ca="1">-SUBTOTAL(9,INDEX(Main[مقدار تسویه شده (کیلوگرم)],1):Main[[#This Row],[مقدار تسویه شده (کیلوگرم)]])</f>
        <v>47094</v>
      </c>
      <c r="Y2100" s="6">
        <f ca="1">IF(Main[[#This Row],[مانده در خط تسویه شده (کیلوگرم)]]&lt;&gt;0,Main[[#This Row],[تعداد کل روزهای بدهکار (روز)]],0)</f>
        <v>0</v>
      </c>
      <c r="Z2100" s="6">
        <f ca="1">Main[[#This Row],[تعداد روزهای بدهکار تسویه شده (روز)]]*Main[[#This Row],[مانده در خط تسویه شده (کیلوگرم)]]</f>
        <v>0</v>
      </c>
      <c r="AA2100" s="6">
        <f ca="1">SUBTOTAL(9,INDEX(Main[بدهی تسویه نشده (کیلوگرم)],1):Main[[#This Row],[بدهی تسویه نشده (کیلوگرم)]])</f>
        <v>0</v>
      </c>
      <c r="AB2100" s="6">
        <f ca="1">IF(Main[[#This Row],[مانده در خط تسویه نشده (کیلوگرم)]]&lt;&gt;0,Main[[#This Row],[تعداد کل روزهای بدهکار (روز)]],0)</f>
        <v>0</v>
      </c>
      <c r="AC2100" s="6">
        <f ca="1">Main[[#This Row],[تعداد روزهای بدهکار  تسویه نشده (روز)]]*Main[[#This Row],[مانده در خط تسویه نشده (کیلوگرم)]]</f>
        <v>0</v>
      </c>
      <c r="AD2100" s="6">
        <f ca="1">SUBTOTAL(9,INDEX(Main[بدهی سررسید شده (کیلوگرم)],1):Main[[#This Row],[بدهی سررسید شده (کیلوگرم)]])</f>
        <v>0</v>
      </c>
      <c r="AE2100" s="6">
        <f ca="1">IF(Main[[#This Row],[مانده در خط سررسید شده (کیلوگرم)]]&lt;&gt;0,Main[[#This Row],[تعداد کل روزهای بدهکار (روز)]],0)</f>
        <v>0</v>
      </c>
      <c r="AF2100" s="6">
        <f ca="1">Main[[#This Row],[تعداد روزهای بدهکار سررسید شده (روز)]]*Main[[#This Row],[مانده در خط سررسید شده (کیلوگرم)]]</f>
        <v>0</v>
      </c>
    </row>
    <row r="2101" spans="1:32" x14ac:dyDescent="0.35">
      <c r="A2101" s="5">
        <f>ROW()-ROW(INDEX(Main[ردیف],1))+1</f>
        <v>2099</v>
      </c>
      <c r="B2101" s="31">
        <f>SUBTOTAL(2,INDEX(Main[ردیف],1):Main[[#This Row],[ردیف]])</f>
        <v>188</v>
      </c>
      <c r="C2101" s="32" t="s">
        <v>756</v>
      </c>
      <c r="D2101" s="32" t="str">
        <f>_xlfn.CONCAT("14",Main[[#This Row],[تاريخ]])</f>
        <v>1400/08/19</v>
      </c>
      <c r="E2101" s="33">
        <v>44510</v>
      </c>
      <c r="F2101" s="32">
        <v>10003</v>
      </c>
      <c r="G2101" s="5" t="str">
        <f>INDEX(customer[عنوان],MATCH(Main[[#This Row],[کد ردیابی]],customer[کد],0))</f>
        <v>اصغر نورعلی</v>
      </c>
      <c r="H2101">
        <v>2678</v>
      </c>
      <c r="I2101" s="6">
        <f ca="1">-Main[[#This Row],[بدهی تسویه شده (کیلوگرم)]]+Main[[#This Row],[بستانکار (کیلوگرم)]]</f>
        <v>2678</v>
      </c>
      <c r="J2101" s="6">
        <f>IF(Main[[#This Row],[مقدار (کیلوگرم)]]&gt;0,Main[[#This Row],[مقدار (کیلوگرم)]],0)</f>
        <v>2678</v>
      </c>
      <c r="K2101" s="6">
        <f>-IF(Main[[#This Row],[مقدار (کیلوگرم)]]&lt;0,Main[[#This Row],[مقدار (کیلوگرم)]],0)</f>
        <v>0</v>
      </c>
      <c r="L21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1" s="7">
        <f>-IF(AND(Main[[#This Row],[مقدار (کیلوگرم)]]&lt;0,Main[[#This Row],[تاريخ میلادی]]&gt;44276),Main[[#This Row],[مقدار (کیلوگرم)]],0)</f>
        <v>0</v>
      </c>
      <c r="N2101" s="6">
        <f ca="1">Main[[#This Row],[بدهکار (کیلوگرم)]]-Main[[#This Row],[بدهی تسویه نشده (کیلوگرم)]]</f>
        <v>0</v>
      </c>
      <c r="O2101" s="6">
        <f ca="1">Main[[#This Row],[تفکیک]]</f>
        <v>0</v>
      </c>
      <c r="P2101" s="6">
        <f ca="1">IF(Main[[#This Row],[تاخیر از سررسید]]&gt;0,Main[[#This Row],[بدهی تسویه نشده (کیلوگرم)]],0)</f>
        <v>0</v>
      </c>
      <c r="Q2101" s="6">
        <f ca="1">IF(Main[[#This Row],[بدهی تسویه نشده (کیلوگرم)]]&gt;0,'گزارش فردی'!$B$7-Main[[#This Row],[تاريخ میلادی]],0)</f>
        <v>0</v>
      </c>
      <c r="R2101" s="6">
        <f ca="1">IF(Main[[#This Row],[بدهی تسویه نشده (کیلوگرم)]]&gt;0,'گزارش فردی'!$B$7-Main[[#This Row],[تاريخ میلادی]]-'گزارش فردی'!$B$8,0)</f>
        <v>0</v>
      </c>
      <c r="S2101" s="6">
        <f ca="1">Main[[#This Row],[روز از ارسال سفارش]]*Main[[#This Row],[بدهی تسویه نشده (کیلوگرم)]]</f>
        <v>0</v>
      </c>
      <c r="T2101" s="6">
        <f ca="1">Main[[#This Row],[بدهی سررسید شده (کیلوگرم)]]*Main[[#This Row],[روز از ارسال سفارش]]</f>
        <v>0</v>
      </c>
      <c r="U2101" s="6">
        <f>-SUBTOTAL(9,INDEX(Main[مقدار (کیلوگرم)],1):Main[[#This Row],[مقدار (کیلوگرم)]])</f>
        <v>44416</v>
      </c>
      <c r="V21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01" s="6">
        <f>Main[[#This Row],[تعداد کل روزهای بدهکار (روز)]]*Main[[#This Row],[مانده در خط کل (کیلوگرم)]]</f>
        <v>0</v>
      </c>
      <c r="X2101" s="6">
        <f ca="1">-SUBTOTAL(9,INDEX(Main[مقدار تسویه شده (کیلوگرم)],1):Main[[#This Row],[مقدار تسویه شده (کیلوگرم)]])</f>
        <v>44416</v>
      </c>
      <c r="Y2101" s="6">
        <f ca="1">IF(Main[[#This Row],[مانده در خط تسویه شده (کیلوگرم)]]&lt;&gt;0,Main[[#This Row],[تعداد کل روزهای بدهکار (روز)]],0)</f>
        <v>0</v>
      </c>
      <c r="Z2101" s="6">
        <f ca="1">Main[[#This Row],[تعداد روزهای بدهکار تسویه شده (روز)]]*Main[[#This Row],[مانده در خط تسویه شده (کیلوگرم)]]</f>
        <v>0</v>
      </c>
      <c r="AA2101" s="6">
        <f ca="1">SUBTOTAL(9,INDEX(Main[بدهی تسویه نشده (کیلوگرم)],1):Main[[#This Row],[بدهی تسویه نشده (کیلوگرم)]])</f>
        <v>0</v>
      </c>
      <c r="AB2101" s="6">
        <f ca="1">IF(Main[[#This Row],[مانده در خط تسویه نشده (کیلوگرم)]]&lt;&gt;0,Main[[#This Row],[تعداد کل روزهای بدهکار (روز)]],0)</f>
        <v>0</v>
      </c>
      <c r="AC2101" s="6">
        <f ca="1">Main[[#This Row],[تعداد روزهای بدهکار  تسویه نشده (روز)]]*Main[[#This Row],[مانده در خط تسویه نشده (کیلوگرم)]]</f>
        <v>0</v>
      </c>
      <c r="AD2101" s="6">
        <f ca="1">SUBTOTAL(9,INDEX(Main[بدهی سررسید شده (کیلوگرم)],1):Main[[#This Row],[بدهی سررسید شده (کیلوگرم)]])</f>
        <v>0</v>
      </c>
      <c r="AE2101" s="6">
        <f ca="1">IF(Main[[#This Row],[مانده در خط سررسید شده (کیلوگرم)]]&lt;&gt;0,Main[[#This Row],[تعداد کل روزهای بدهکار (روز)]],0)</f>
        <v>0</v>
      </c>
      <c r="AF2101" s="6">
        <f ca="1">Main[[#This Row],[تعداد روزهای بدهکار سررسید شده (روز)]]*Main[[#This Row],[مانده در خط سررسید شده (کیلوگرم)]]</f>
        <v>0</v>
      </c>
    </row>
    <row r="2102" spans="1:32" x14ac:dyDescent="0.35">
      <c r="A2102" s="5">
        <f>ROW()-ROW(INDEX(Main[ردیف],1))+1</f>
        <v>2100</v>
      </c>
      <c r="B2102" s="31">
        <f>SUBTOTAL(2,INDEX(Main[ردیف],1):Main[[#This Row],[ردیف]])</f>
        <v>189</v>
      </c>
      <c r="C2102" s="32" t="s">
        <v>756</v>
      </c>
      <c r="D2102" s="32" t="str">
        <f>_xlfn.CONCAT("14",Main[[#This Row],[تاريخ]])</f>
        <v>1400/08/19</v>
      </c>
      <c r="E2102" s="33">
        <v>44510</v>
      </c>
      <c r="F2102" s="32">
        <v>10003</v>
      </c>
      <c r="G2102" s="5" t="str">
        <f>INDEX(customer[عنوان],MATCH(Main[[#This Row],[کد ردیابی]],customer[کد],0))</f>
        <v>اصغر نورعلی</v>
      </c>
      <c r="H2102">
        <v>-2521</v>
      </c>
      <c r="I2102" s="6">
        <f ca="1">-Main[[#This Row],[بدهی تسویه شده (کیلوگرم)]]+Main[[#This Row],[بستانکار (کیلوگرم)]]</f>
        <v>-2521</v>
      </c>
      <c r="J2102" s="6">
        <f>IF(Main[[#This Row],[مقدار (کیلوگرم)]]&gt;0,Main[[#This Row],[مقدار (کیلوگرم)]],0)</f>
        <v>0</v>
      </c>
      <c r="K2102" s="6">
        <f>-IF(Main[[#This Row],[مقدار (کیلوگرم)]]&lt;0,Main[[#This Row],[مقدار (کیلوگرم)]],0)</f>
        <v>2521</v>
      </c>
      <c r="L21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2" s="7">
        <f>-IF(AND(Main[[#This Row],[مقدار (کیلوگرم)]]&lt;0,Main[[#This Row],[تاريخ میلادی]]&gt;44276),Main[[#This Row],[مقدار (کیلوگرم)]],0)</f>
        <v>2521</v>
      </c>
      <c r="N2102" s="6">
        <f ca="1">Main[[#This Row],[بدهکار (کیلوگرم)]]-Main[[#This Row],[بدهی تسویه نشده (کیلوگرم)]]</f>
        <v>2521</v>
      </c>
      <c r="O2102" s="6">
        <f ca="1">Main[[#This Row],[تفکیک]]</f>
        <v>0</v>
      </c>
      <c r="P2102" s="6">
        <f ca="1">IF(Main[[#This Row],[تاخیر از سررسید]]&gt;0,Main[[#This Row],[بدهی تسویه نشده (کیلوگرم)]],0)</f>
        <v>0</v>
      </c>
      <c r="Q2102" s="6">
        <f ca="1">IF(Main[[#This Row],[بدهی تسویه نشده (کیلوگرم)]]&gt;0,'گزارش فردی'!$B$7-Main[[#This Row],[تاريخ میلادی]],0)</f>
        <v>0</v>
      </c>
      <c r="R2102" s="6">
        <f ca="1">IF(Main[[#This Row],[بدهی تسویه نشده (کیلوگرم)]]&gt;0,'گزارش فردی'!$B$7-Main[[#This Row],[تاريخ میلادی]]-'گزارش فردی'!$B$8,0)</f>
        <v>0</v>
      </c>
      <c r="S2102" s="6">
        <f ca="1">Main[[#This Row],[روز از ارسال سفارش]]*Main[[#This Row],[بدهی تسویه نشده (کیلوگرم)]]</f>
        <v>0</v>
      </c>
      <c r="T2102" s="6">
        <f ca="1">Main[[#This Row],[بدهی سررسید شده (کیلوگرم)]]*Main[[#This Row],[روز از ارسال سفارش]]</f>
        <v>0</v>
      </c>
      <c r="U2102" s="6">
        <f>-SUBTOTAL(9,INDEX(Main[مقدار (کیلوگرم)],1):Main[[#This Row],[مقدار (کیلوگرم)]])</f>
        <v>46937</v>
      </c>
      <c r="V21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02" s="6">
        <f>Main[[#This Row],[تعداد کل روزهای بدهکار (روز)]]*Main[[#This Row],[مانده در خط کل (کیلوگرم)]]</f>
        <v>0</v>
      </c>
      <c r="X2102" s="6">
        <f ca="1">-SUBTOTAL(9,INDEX(Main[مقدار تسویه شده (کیلوگرم)],1):Main[[#This Row],[مقدار تسویه شده (کیلوگرم)]])</f>
        <v>46937</v>
      </c>
      <c r="Y2102" s="6">
        <f ca="1">IF(Main[[#This Row],[مانده در خط تسویه شده (کیلوگرم)]]&lt;&gt;0,Main[[#This Row],[تعداد کل روزهای بدهکار (روز)]],0)</f>
        <v>0</v>
      </c>
      <c r="Z2102" s="6">
        <f ca="1">Main[[#This Row],[تعداد روزهای بدهکار تسویه شده (روز)]]*Main[[#This Row],[مانده در خط تسویه شده (کیلوگرم)]]</f>
        <v>0</v>
      </c>
      <c r="AA2102" s="6">
        <f ca="1">SUBTOTAL(9,INDEX(Main[بدهی تسویه نشده (کیلوگرم)],1):Main[[#This Row],[بدهی تسویه نشده (کیلوگرم)]])</f>
        <v>0</v>
      </c>
      <c r="AB2102" s="6">
        <f ca="1">IF(Main[[#This Row],[مانده در خط تسویه نشده (کیلوگرم)]]&lt;&gt;0,Main[[#This Row],[تعداد کل روزهای بدهکار (روز)]],0)</f>
        <v>0</v>
      </c>
      <c r="AC2102" s="6">
        <f ca="1">Main[[#This Row],[تعداد روزهای بدهکار  تسویه نشده (روز)]]*Main[[#This Row],[مانده در خط تسویه نشده (کیلوگرم)]]</f>
        <v>0</v>
      </c>
      <c r="AD2102" s="6">
        <f ca="1">SUBTOTAL(9,INDEX(Main[بدهی سررسید شده (کیلوگرم)],1):Main[[#This Row],[بدهی سررسید شده (کیلوگرم)]])</f>
        <v>0</v>
      </c>
      <c r="AE2102" s="6">
        <f ca="1">IF(Main[[#This Row],[مانده در خط سررسید شده (کیلوگرم)]]&lt;&gt;0,Main[[#This Row],[تعداد کل روزهای بدهکار (روز)]],0)</f>
        <v>0</v>
      </c>
      <c r="AF2102" s="6">
        <f ca="1">Main[[#This Row],[تعداد روزهای بدهکار سررسید شده (روز)]]*Main[[#This Row],[مانده در خط سررسید شده (کیلوگرم)]]</f>
        <v>0</v>
      </c>
    </row>
    <row r="2103" spans="1:32" x14ac:dyDescent="0.35">
      <c r="A2103" s="5">
        <f>ROW()-ROW(INDEX(Main[ردیف],1))+1</f>
        <v>2101</v>
      </c>
      <c r="B2103" s="31">
        <f>SUBTOTAL(2,INDEX(Main[ردیف],1):Main[[#This Row],[ردیف]])</f>
        <v>190</v>
      </c>
      <c r="C2103" s="32" t="s">
        <v>756</v>
      </c>
      <c r="D2103" s="32" t="str">
        <f>_xlfn.CONCAT("14",Main[[#This Row],[تاريخ]])</f>
        <v>1400/08/19</v>
      </c>
      <c r="E2103" s="33">
        <v>44510</v>
      </c>
      <c r="F2103" s="32">
        <v>10003</v>
      </c>
      <c r="G2103" s="5" t="str">
        <f>INDEX(customer[عنوان],MATCH(Main[[#This Row],[کد ردیابی]],customer[کد],0))</f>
        <v>اصغر نورعلی</v>
      </c>
      <c r="H2103">
        <v>3230</v>
      </c>
      <c r="I2103" s="6">
        <f ca="1">-Main[[#This Row],[بدهی تسویه شده (کیلوگرم)]]+Main[[#This Row],[بستانکار (کیلوگرم)]]</f>
        <v>3230</v>
      </c>
      <c r="J2103" s="6">
        <f>IF(Main[[#This Row],[مقدار (کیلوگرم)]]&gt;0,Main[[#This Row],[مقدار (کیلوگرم)]],0)</f>
        <v>3230</v>
      </c>
      <c r="K2103" s="6">
        <f>-IF(Main[[#This Row],[مقدار (کیلوگرم)]]&lt;0,Main[[#This Row],[مقدار (کیلوگرم)]],0)</f>
        <v>0</v>
      </c>
      <c r="L21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3" s="7">
        <f>-IF(AND(Main[[#This Row],[مقدار (کیلوگرم)]]&lt;0,Main[[#This Row],[تاريخ میلادی]]&gt;44276),Main[[#This Row],[مقدار (کیلوگرم)]],0)</f>
        <v>0</v>
      </c>
      <c r="N2103" s="6">
        <f ca="1">Main[[#This Row],[بدهکار (کیلوگرم)]]-Main[[#This Row],[بدهی تسویه نشده (کیلوگرم)]]</f>
        <v>0</v>
      </c>
      <c r="O2103" s="6">
        <f ca="1">Main[[#This Row],[تفکیک]]</f>
        <v>0</v>
      </c>
      <c r="P2103" s="6">
        <f ca="1">IF(Main[[#This Row],[تاخیر از سررسید]]&gt;0,Main[[#This Row],[بدهی تسویه نشده (کیلوگرم)]],0)</f>
        <v>0</v>
      </c>
      <c r="Q2103" s="6">
        <f ca="1">IF(Main[[#This Row],[بدهی تسویه نشده (کیلوگرم)]]&gt;0,'گزارش فردی'!$B$7-Main[[#This Row],[تاريخ میلادی]],0)</f>
        <v>0</v>
      </c>
      <c r="R2103" s="6">
        <f ca="1">IF(Main[[#This Row],[بدهی تسویه نشده (کیلوگرم)]]&gt;0,'گزارش فردی'!$B$7-Main[[#This Row],[تاريخ میلادی]]-'گزارش فردی'!$B$8,0)</f>
        <v>0</v>
      </c>
      <c r="S2103" s="6">
        <f ca="1">Main[[#This Row],[روز از ارسال سفارش]]*Main[[#This Row],[بدهی تسویه نشده (کیلوگرم)]]</f>
        <v>0</v>
      </c>
      <c r="T2103" s="6">
        <f ca="1">Main[[#This Row],[بدهی سررسید شده (کیلوگرم)]]*Main[[#This Row],[روز از ارسال سفارش]]</f>
        <v>0</v>
      </c>
      <c r="U2103" s="6">
        <f>-SUBTOTAL(9,INDEX(Main[مقدار (کیلوگرم)],1):Main[[#This Row],[مقدار (کیلوگرم)]])</f>
        <v>43707</v>
      </c>
      <c r="V210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3" s="6">
        <f>Main[[#This Row],[تعداد کل روزهای بدهکار (روز)]]*Main[[#This Row],[مانده در خط کل (کیلوگرم)]]</f>
        <v>131121</v>
      </c>
      <c r="X2103" s="6">
        <f ca="1">-SUBTOTAL(9,INDEX(Main[مقدار تسویه شده (کیلوگرم)],1):Main[[#This Row],[مقدار تسویه شده (کیلوگرم)]])</f>
        <v>43707</v>
      </c>
      <c r="Y2103" s="6">
        <f ca="1">IF(Main[[#This Row],[مانده در خط تسویه شده (کیلوگرم)]]&lt;&gt;0,Main[[#This Row],[تعداد کل روزهای بدهکار (روز)]],0)</f>
        <v>3</v>
      </c>
      <c r="Z2103" s="6">
        <f ca="1">Main[[#This Row],[تعداد روزهای بدهکار تسویه شده (روز)]]*Main[[#This Row],[مانده در خط تسویه شده (کیلوگرم)]]</f>
        <v>131121</v>
      </c>
      <c r="AA2103" s="6">
        <f ca="1">SUBTOTAL(9,INDEX(Main[بدهی تسویه نشده (کیلوگرم)],1):Main[[#This Row],[بدهی تسویه نشده (کیلوگرم)]])</f>
        <v>0</v>
      </c>
      <c r="AB2103" s="6">
        <f ca="1">IF(Main[[#This Row],[مانده در خط تسویه نشده (کیلوگرم)]]&lt;&gt;0,Main[[#This Row],[تعداد کل روزهای بدهکار (روز)]],0)</f>
        <v>0</v>
      </c>
      <c r="AC2103" s="6">
        <f ca="1">Main[[#This Row],[تعداد روزهای بدهکار  تسویه نشده (روز)]]*Main[[#This Row],[مانده در خط تسویه نشده (کیلوگرم)]]</f>
        <v>0</v>
      </c>
      <c r="AD2103" s="6">
        <f ca="1">SUBTOTAL(9,INDEX(Main[بدهی سررسید شده (کیلوگرم)],1):Main[[#This Row],[بدهی سررسید شده (کیلوگرم)]])</f>
        <v>0</v>
      </c>
      <c r="AE2103" s="6">
        <f ca="1">IF(Main[[#This Row],[مانده در خط سررسید شده (کیلوگرم)]]&lt;&gt;0,Main[[#This Row],[تعداد کل روزهای بدهکار (روز)]],0)</f>
        <v>0</v>
      </c>
      <c r="AF2103" s="6">
        <f ca="1">Main[[#This Row],[تعداد روزهای بدهکار سررسید شده (روز)]]*Main[[#This Row],[مانده در خط سررسید شده (کیلوگرم)]]</f>
        <v>0</v>
      </c>
    </row>
    <row r="2104" spans="1:32" hidden="1" x14ac:dyDescent="0.35">
      <c r="A2104" s="5">
        <f>ROW()-ROW(INDEX(Main[ردیف],1))+1</f>
        <v>2102</v>
      </c>
      <c r="B2104" s="31">
        <f>SUBTOTAL(2,INDEX(Main[ردیف],1):Main[[#This Row],[ردیف]])</f>
        <v>190</v>
      </c>
      <c r="C2104" s="32" t="s">
        <v>756</v>
      </c>
      <c r="D2104" s="32" t="str">
        <f>_xlfn.CONCAT("14",Main[[#This Row],[تاريخ]])</f>
        <v>1400/08/19</v>
      </c>
      <c r="E2104" s="33">
        <v>44510</v>
      </c>
      <c r="F2104" s="32">
        <v>30014</v>
      </c>
      <c r="G2104" s="5" t="str">
        <f>INDEX(customer[عنوان],MATCH(Main[[#This Row],[کد ردیابی]],customer[کد],0))</f>
        <v>کلون</v>
      </c>
      <c r="H2104">
        <v>-4413</v>
      </c>
      <c r="I2104" s="6">
        <f ca="1">-Main[[#This Row],[بدهی تسویه شده (کیلوگرم)]]+Main[[#This Row],[بستانکار (کیلوگرم)]]</f>
        <v>-4413</v>
      </c>
      <c r="J2104" s="6">
        <f>IF(Main[[#This Row],[مقدار (کیلوگرم)]]&gt;0,Main[[#This Row],[مقدار (کیلوگرم)]],0)</f>
        <v>0</v>
      </c>
      <c r="K2104" s="6">
        <f>-IF(Main[[#This Row],[مقدار (کیلوگرم)]]&lt;0,Main[[#This Row],[مقدار (کیلوگرم)]],0)</f>
        <v>4413</v>
      </c>
      <c r="L21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4" s="7">
        <f>-IF(AND(Main[[#This Row],[مقدار (کیلوگرم)]]&lt;0,Main[[#This Row],[تاريخ میلادی]]&gt;44276),Main[[#This Row],[مقدار (کیلوگرم)]],0)</f>
        <v>4413</v>
      </c>
      <c r="N2104" s="6">
        <f ca="1">Main[[#This Row],[بدهکار (کیلوگرم)]]-Main[[#This Row],[بدهی تسویه نشده (کیلوگرم)]]</f>
        <v>4413</v>
      </c>
      <c r="O2104" s="6">
        <f ca="1">Main[[#This Row],[تفکیک]]</f>
        <v>0</v>
      </c>
      <c r="P2104" s="6">
        <f ca="1">IF(Main[[#This Row],[تاخیر از سررسید]]&gt;0,Main[[#This Row],[بدهی تسویه نشده (کیلوگرم)]],0)</f>
        <v>0</v>
      </c>
      <c r="Q2104" s="6">
        <f ca="1">IF(Main[[#This Row],[بدهی تسویه نشده (کیلوگرم)]]&gt;0,'گزارش فردی'!$B$7-Main[[#This Row],[تاريخ میلادی]],0)</f>
        <v>0</v>
      </c>
      <c r="R2104" s="6">
        <f ca="1">IF(Main[[#This Row],[بدهی تسویه نشده (کیلوگرم)]]&gt;0,'گزارش فردی'!$B$7-Main[[#This Row],[تاريخ میلادی]]-'گزارش فردی'!$B$8,0)</f>
        <v>0</v>
      </c>
      <c r="S2104" s="6">
        <f ca="1">Main[[#This Row],[روز از ارسال سفارش]]*Main[[#This Row],[بدهی تسویه نشده (کیلوگرم)]]</f>
        <v>0</v>
      </c>
      <c r="T2104" s="6">
        <f ca="1">Main[[#This Row],[بدهی سررسید شده (کیلوگرم)]]*Main[[#This Row],[روز از ارسال سفارش]]</f>
        <v>0</v>
      </c>
      <c r="U2104" s="6">
        <f>-SUBTOTAL(9,INDEX(Main[مقدار (کیلوگرم)],1):Main[[#This Row],[مقدار (کیلوگرم)]])</f>
        <v>43707</v>
      </c>
      <c r="V210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4" s="6">
        <f>Main[[#This Row],[تعداد کل روزهای بدهکار (روز)]]*Main[[#This Row],[مانده در خط کل (کیلوگرم)]]</f>
        <v>131121</v>
      </c>
      <c r="X2104" s="6">
        <f ca="1">-SUBTOTAL(9,INDEX(Main[مقدار تسویه شده (کیلوگرم)],1):Main[[#This Row],[مقدار تسویه شده (کیلوگرم)]])</f>
        <v>43707</v>
      </c>
      <c r="Y2104" s="6">
        <f ca="1">IF(Main[[#This Row],[مانده در خط تسویه شده (کیلوگرم)]]&lt;&gt;0,Main[[#This Row],[تعداد کل روزهای بدهکار (روز)]],0)</f>
        <v>3</v>
      </c>
      <c r="Z2104" s="6">
        <f ca="1">Main[[#This Row],[تعداد روزهای بدهکار تسویه شده (روز)]]*Main[[#This Row],[مانده در خط تسویه شده (کیلوگرم)]]</f>
        <v>131121</v>
      </c>
      <c r="AA2104" s="6">
        <f ca="1">SUBTOTAL(9,INDEX(Main[بدهی تسویه نشده (کیلوگرم)],1):Main[[#This Row],[بدهی تسویه نشده (کیلوگرم)]])</f>
        <v>0</v>
      </c>
      <c r="AB2104" s="6">
        <f ca="1">IF(Main[[#This Row],[مانده در خط تسویه نشده (کیلوگرم)]]&lt;&gt;0,Main[[#This Row],[تعداد کل روزهای بدهکار (روز)]],0)</f>
        <v>0</v>
      </c>
      <c r="AC2104" s="6">
        <f ca="1">Main[[#This Row],[تعداد روزهای بدهکار  تسویه نشده (روز)]]*Main[[#This Row],[مانده در خط تسویه نشده (کیلوگرم)]]</f>
        <v>0</v>
      </c>
      <c r="AD2104" s="6">
        <f ca="1">SUBTOTAL(9,INDEX(Main[بدهی سررسید شده (کیلوگرم)],1):Main[[#This Row],[بدهی سررسید شده (کیلوگرم)]])</f>
        <v>0</v>
      </c>
      <c r="AE2104" s="6">
        <f ca="1">IF(Main[[#This Row],[مانده در خط سررسید شده (کیلوگرم)]]&lt;&gt;0,Main[[#This Row],[تعداد کل روزهای بدهکار (روز)]],0)</f>
        <v>0</v>
      </c>
      <c r="AF2104" s="6">
        <f ca="1">Main[[#This Row],[تعداد روزهای بدهکار سررسید شده (روز)]]*Main[[#This Row],[مانده در خط سررسید شده (کیلوگرم)]]</f>
        <v>0</v>
      </c>
    </row>
    <row r="2105" spans="1:32" hidden="1" x14ac:dyDescent="0.35">
      <c r="A2105" s="5">
        <f>ROW()-ROW(INDEX(Main[ردیف],1))+1</f>
        <v>2103</v>
      </c>
      <c r="B2105" s="31">
        <f>SUBTOTAL(2,INDEX(Main[ردیف],1):Main[[#This Row],[ردیف]])</f>
        <v>190</v>
      </c>
      <c r="C2105" s="32" t="s">
        <v>756</v>
      </c>
      <c r="D2105" s="32" t="str">
        <f>_xlfn.CONCAT("14",Main[[#This Row],[تاريخ]])</f>
        <v>1400/08/19</v>
      </c>
      <c r="E2105" s="33">
        <v>44510</v>
      </c>
      <c r="F2105" s="32">
        <v>30009</v>
      </c>
      <c r="G2105" s="5" t="str">
        <f>INDEX(customer[عنوان],MATCH(Main[[#This Row],[کد ردیابی]],customer[کد],0))</f>
        <v>شرکت ایمن تک پیشرو</v>
      </c>
      <c r="H2105">
        <v>1572</v>
      </c>
      <c r="I2105" s="6">
        <f ca="1">-Main[[#This Row],[بدهی تسویه شده (کیلوگرم)]]+Main[[#This Row],[بستانکار (کیلوگرم)]]</f>
        <v>1572</v>
      </c>
      <c r="J2105" s="6">
        <f>IF(Main[[#This Row],[مقدار (کیلوگرم)]]&gt;0,Main[[#This Row],[مقدار (کیلوگرم)]],0)</f>
        <v>1572</v>
      </c>
      <c r="K2105" s="6">
        <f>-IF(Main[[#This Row],[مقدار (کیلوگرم)]]&lt;0,Main[[#This Row],[مقدار (کیلوگرم)]],0)</f>
        <v>0</v>
      </c>
      <c r="L21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5" s="7">
        <f>-IF(AND(Main[[#This Row],[مقدار (کیلوگرم)]]&lt;0,Main[[#This Row],[تاريخ میلادی]]&gt;44276),Main[[#This Row],[مقدار (کیلوگرم)]],0)</f>
        <v>0</v>
      </c>
      <c r="N2105" s="6">
        <f ca="1">Main[[#This Row],[بدهکار (کیلوگرم)]]-Main[[#This Row],[بدهی تسویه نشده (کیلوگرم)]]</f>
        <v>0</v>
      </c>
      <c r="O2105" s="6">
        <f ca="1">Main[[#This Row],[تفکیک]]</f>
        <v>0</v>
      </c>
      <c r="P2105" s="6">
        <f ca="1">IF(Main[[#This Row],[تاخیر از سررسید]]&gt;0,Main[[#This Row],[بدهی تسویه نشده (کیلوگرم)]],0)</f>
        <v>0</v>
      </c>
      <c r="Q2105" s="6">
        <f ca="1">IF(Main[[#This Row],[بدهی تسویه نشده (کیلوگرم)]]&gt;0,'گزارش فردی'!$B$7-Main[[#This Row],[تاريخ میلادی]],0)</f>
        <v>0</v>
      </c>
      <c r="R2105" s="6">
        <f ca="1">IF(Main[[#This Row],[بدهی تسویه نشده (کیلوگرم)]]&gt;0,'گزارش فردی'!$B$7-Main[[#This Row],[تاريخ میلادی]]-'گزارش فردی'!$B$8,0)</f>
        <v>0</v>
      </c>
      <c r="S2105" s="6">
        <f ca="1">Main[[#This Row],[روز از ارسال سفارش]]*Main[[#This Row],[بدهی تسویه نشده (کیلوگرم)]]</f>
        <v>0</v>
      </c>
      <c r="T2105" s="6">
        <f ca="1">Main[[#This Row],[بدهی سررسید شده (کیلوگرم)]]*Main[[#This Row],[روز از ارسال سفارش]]</f>
        <v>0</v>
      </c>
      <c r="U2105" s="6">
        <f>-SUBTOTAL(9,INDEX(Main[مقدار (کیلوگرم)],1):Main[[#This Row],[مقدار (کیلوگرم)]])</f>
        <v>43707</v>
      </c>
      <c r="V210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5" s="6">
        <f>Main[[#This Row],[تعداد کل روزهای بدهکار (روز)]]*Main[[#This Row],[مانده در خط کل (کیلوگرم)]]</f>
        <v>131121</v>
      </c>
      <c r="X2105" s="6">
        <f ca="1">-SUBTOTAL(9,INDEX(Main[مقدار تسویه شده (کیلوگرم)],1):Main[[#This Row],[مقدار تسویه شده (کیلوگرم)]])</f>
        <v>43707</v>
      </c>
      <c r="Y2105" s="6">
        <f ca="1">IF(Main[[#This Row],[مانده در خط تسویه شده (کیلوگرم)]]&lt;&gt;0,Main[[#This Row],[تعداد کل روزهای بدهکار (روز)]],0)</f>
        <v>3</v>
      </c>
      <c r="Z2105" s="6">
        <f ca="1">Main[[#This Row],[تعداد روزهای بدهکار تسویه شده (روز)]]*Main[[#This Row],[مانده در خط تسویه شده (کیلوگرم)]]</f>
        <v>131121</v>
      </c>
      <c r="AA2105" s="6">
        <f ca="1">SUBTOTAL(9,INDEX(Main[بدهی تسویه نشده (کیلوگرم)],1):Main[[#This Row],[بدهی تسویه نشده (کیلوگرم)]])</f>
        <v>0</v>
      </c>
      <c r="AB2105" s="6">
        <f ca="1">IF(Main[[#This Row],[مانده در خط تسویه نشده (کیلوگرم)]]&lt;&gt;0,Main[[#This Row],[تعداد کل روزهای بدهکار (روز)]],0)</f>
        <v>0</v>
      </c>
      <c r="AC2105" s="6">
        <f ca="1">Main[[#This Row],[تعداد روزهای بدهکار  تسویه نشده (روز)]]*Main[[#This Row],[مانده در خط تسویه نشده (کیلوگرم)]]</f>
        <v>0</v>
      </c>
      <c r="AD2105" s="6">
        <f ca="1">SUBTOTAL(9,INDEX(Main[بدهی سررسید شده (کیلوگرم)],1):Main[[#This Row],[بدهی سررسید شده (کیلوگرم)]])</f>
        <v>0</v>
      </c>
      <c r="AE2105" s="6">
        <f ca="1">IF(Main[[#This Row],[مانده در خط سررسید شده (کیلوگرم)]]&lt;&gt;0,Main[[#This Row],[تعداد کل روزهای بدهکار (روز)]],0)</f>
        <v>0</v>
      </c>
      <c r="AF2105" s="6">
        <f ca="1">Main[[#This Row],[تعداد روزهای بدهکار سررسید شده (روز)]]*Main[[#This Row],[مانده در خط سررسید شده (کیلوگرم)]]</f>
        <v>0</v>
      </c>
    </row>
    <row r="2106" spans="1:32" hidden="1" x14ac:dyDescent="0.35">
      <c r="A2106" s="5">
        <f>ROW()-ROW(INDEX(Main[ردیف],1))+1</f>
        <v>2104</v>
      </c>
      <c r="B2106" s="31">
        <f>SUBTOTAL(2,INDEX(Main[ردیف],1):Main[[#This Row],[ردیف]])</f>
        <v>190</v>
      </c>
      <c r="C2106" s="32" t="s">
        <v>756</v>
      </c>
      <c r="D2106" s="32" t="str">
        <f>_xlfn.CONCAT("14",Main[[#This Row],[تاريخ]])</f>
        <v>1400/08/19</v>
      </c>
      <c r="E2106" s="33">
        <v>44510</v>
      </c>
      <c r="F2106" s="32">
        <v>30184</v>
      </c>
      <c r="G2106" s="5" t="str">
        <f>INDEX(customer[عنوان],MATCH(Main[[#This Row],[کد ردیابی]],customer[کد],0))</f>
        <v>شرکت هوم کو (هوشمند مبین کوشا)</v>
      </c>
      <c r="H2106">
        <v>778</v>
      </c>
      <c r="I2106" s="6">
        <f ca="1">-Main[[#This Row],[بدهی تسویه شده (کیلوگرم)]]+Main[[#This Row],[بستانکار (کیلوگرم)]]</f>
        <v>778</v>
      </c>
      <c r="J2106" s="6">
        <f>IF(Main[[#This Row],[مقدار (کیلوگرم)]]&gt;0,Main[[#This Row],[مقدار (کیلوگرم)]],0)</f>
        <v>778</v>
      </c>
      <c r="K2106" s="6">
        <f>-IF(Main[[#This Row],[مقدار (کیلوگرم)]]&lt;0,Main[[#This Row],[مقدار (کیلوگرم)]],0)</f>
        <v>0</v>
      </c>
      <c r="L21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6" s="7">
        <f>-IF(AND(Main[[#This Row],[مقدار (کیلوگرم)]]&lt;0,Main[[#This Row],[تاريخ میلادی]]&gt;44276),Main[[#This Row],[مقدار (کیلوگرم)]],0)</f>
        <v>0</v>
      </c>
      <c r="N2106" s="6">
        <f ca="1">Main[[#This Row],[بدهکار (کیلوگرم)]]-Main[[#This Row],[بدهی تسویه نشده (کیلوگرم)]]</f>
        <v>0</v>
      </c>
      <c r="O2106" s="6">
        <f ca="1">Main[[#This Row],[تفکیک]]</f>
        <v>0</v>
      </c>
      <c r="P2106" s="6">
        <f ca="1">IF(Main[[#This Row],[تاخیر از سررسید]]&gt;0,Main[[#This Row],[بدهی تسویه نشده (کیلوگرم)]],0)</f>
        <v>0</v>
      </c>
      <c r="Q2106" s="6">
        <f ca="1">IF(Main[[#This Row],[بدهی تسویه نشده (کیلوگرم)]]&gt;0,'گزارش فردی'!$B$7-Main[[#This Row],[تاريخ میلادی]],0)</f>
        <v>0</v>
      </c>
      <c r="R2106" s="6">
        <f ca="1">IF(Main[[#This Row],[بدهی تسویه نشده (کیلوگرم)]]&gt;0,'گزارش فردی'!$B$7-Main[[#This Row],[تاريخ میلادی]]-'گزارش فردی'!$B$8,0)</f>
        <v>0</v>
      </c>
      <c r="S2106" s="6">
        <f ca="1">Main[[#This Row],[روز از ارسال سفارش]]*Main[[#This Row],[بدهی تسویه نشده (کیلوگرم)]]</f>
        <v>0</v>
      </c>
      <c r="T2106" s="6">
        <f ca="1">Main[[#This Row],[بدهی سررسید شده (کیلوگرم)]]*Main[[#This Row],[روز از ارسال سفارش]]</f>
        <v>0</v>
      </c>
      <c r="U2106" s="6">
        <f>-SUBTOTAL(9,INDEX(Main[مقدار (کیلوگرم)],1):Main[[#This Row],[مقدار (کیلوگرم)]])</f>
        <v>43707</v>
      </c>
      <c r="V210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6" s="6">
        <f>Main[[#This Row],[تعداد کل روزهای بدهکار (روز)]]*Main[[#This Row],[مانده در خط کل (کیلوگرم)]]</f>
        <v>131121</v>
      </c>
      <c r="X2106" s="6">
        <f ca="1">-SUBTOTAL(9,INDEX(Main[مقدار تسویه شده (کیلوگرم)],1):Main[[#This Row],[مقدار تسویه شده (کیلوگرم)]])</f>
        <v>43707</v>
      </c>
      <c r="Y2106" s="6">
        <f ca="1">IF(Main[[#This Row],[مانده در خط تسویه شده (کیلوگرم)]]&lt;&gt;0,Main[[#This Row],[تعداد کل روزهای بدهکار (روز)]],0)</f>
        <v>3</v>
      </c>
      <c r="Z2106" s="6">
        <f ca="1">Main[[#This Row],[تعداد روزهای بدهکار تسویه شده (روز)]]*Main[[#This Row],[مانده در خط تسویه شده (کیلوگرم)]]</f>
        <v>131121</v>
      </c>
      <c r="AA2106" s="6">
        <f ca="1">SUBTOTAL(9,INDEX(Main[بدهی تسویه نشده (کیلوگرم)],1):Main[[#This Row],[بدهی تسویه نشده (کیلوگرم)]])</f>
        <v>0</v>
      </c>
      <c r="AB2106" s="6">
        <f ca="1">IF(Main[[#This Row],[مانده در خط تسویه نشده (کیلوگرم)]]&lt;&gt;0,Main[[#This Row],[تعداد کل روزهای بدهکار (روز)]],0)</f>
        <v>0</v>
      </c>
      <c r="AC2106" s="6">
        <f ca="1">Main[[#This Row],[تعداد روزهای بدهکار  تسویه نشده (روز)]]*Main[[#This Row],[مانده در خط تسویه نشده (کیلوگرم)]]</f>
        <v>0</v>
      </c>
      <c r="AD2106" s="6">
        <f ca="1">SUBTOTAL(9,INDEX(Main[بدهی سررسید شده (کیلوگرم)],1):Main[[#This Row],[بدهی سررسید شده (کیلوگرم)]])</f>
        <v>0</v>
      </c>
      <c r="AE2106" s="6">
        <f ca="1">IF(Main[[#This Row],[مانده در خط سررسید شده (کیلوگرم)]]&lt;&gt;0,Main[[#This Row],[تعداد کل روزهای بدهکار (روز)]],0)</f>
        <v>0</v>
      </c>
      <c r="AF2106" s="6">
        <f ca="1">Main[[#This Row],[تعداد روزهای بدهکار سررسید شده (روز)]]*Main[[#This Row],[مانده در خط سررسید شده (کیلوگرم)]]</f>
        <v>0</v>
      </c>
    </row>
    <row r="2107" spans="1:32" hidden="1" x14ac:dyDescent="0.35">
      <c r="A2107" s="5">
        <f>ROW()-ROW(INDEX(Main[ردیف],1))+1</f>
        <v>2105</v>
      </c>
      <c r="B2107" s="31">
        <f>SUBTOTAL(2,INDEX(Main[ردیف],1):Main[[#This Row],[ردیف]])</f>
        <v>190</v>
      </c>
      <c r="C2107" s="32" t="s">
        <v>756</v>
      </c>
      <c r="D2107" s="32" t="str">
        <f>_xlfn.CONCAT("14",Main[[#This Row],[تاريخ]])</f>
        <v>1400/08/19</v>
      </c>
      <c r="E2107" s="33">
        <v>44510</v>
      </c>
      <c r="F2107" s="32">
        <v>30184</v>
      </c>
      <c r="G2107" s="5" t="str">
        <f>INDEX(customer[عنوان],MATCH(Main[[#This Row],[کد ردیابی]],customer[کد],0))</f>
        <v>شرکت هوم کو (هوشمند مبین کوشا)</v>
      </c>
      <c r="H2107">
        <v>4129</v>
      </c>
      <c r="I2107" s="6">
        <f ca="1">-Main[[#This Row],[بدهی تسویه شده (کیلوگرم)]]+Main[[#This Row],[بستانکار (کیلوگرم)]]</f>
        <v>4129</v>
      </c>
      <c r="J2107" s="6">
        <f>IF(Main[[#This Row],[مقدار (کیلوگرم)]]&gt;0,Main[[#This Row],[مقدار (کیلوگرم)]],0)</f>
        <v>4129</v>
      </c>
      <c r="K2107" s="6">
        <f>-IF(Main[[#This Row],[مقدار (کیلوگرم)]]&lt;0,Main[[#This Row],[مقدار (کیلوگرم)]],0)</f>
        <v>0</v>
      </c>
      <c r="L21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7" s="7">
        <f>-IF(AND(Main[[#This Row],[مقدار (کیلوگرم)]]&lt;0,Main[[#This Row],[تاريخ میلادی]]&gt;44276),Main[[#This Row],[مقدار (کیلوگرم)]],0)</f>
        <v>0</v>
      </c>
      <c r="N2107" s="6">
        <f ca="1">Main[[#This Row],[بدهکار (کیلوگرم)]]-Main[[#This Row],[بدهی تسویه نشده (کیلوگرم)]]</f>
        <v>0</v>
      </c>
      <c r="O2107" s="6">
        <f ca="1">Main[[#This Row],[تفکیک]]</f>
        <v>0</v>
      </c>
      <c r="P2107" s="6">
        <f ca="1">IF(Main[[#This Row],[تاخیر از سررسید]]&gt;0,Main[[#This Row],[بدهی تسویه نشده (کیلوگرم)]],0)</f>
        <v>0</v>
      </c>
      <c r="Q2107" s="6">
        <f ca="1">IF(Main[[#This Row],[بدهی تسویه نشده (کیلوگرم)]]&gt;0,'گزارش فردی'!$B$7-Main[[#This Row],[تاريخ میلادی]],0)</f>
        <v>0</v>
      </c>
      <c r="R2107" s="6">
        <f ca="1">IF(Main[[#This Row],[بدهی تسویه نشده (کیلوگرم)]]&gt;0,'گزارش فردی'!$B$7-Main[[#This Row],[تاريخ میلادی]]-'گزارش فردی'!$B$8,0)</f>
        <v>0</v>
      </c>
      <c r="S2107" s="6">
        <f ca="1">Main[[#This Row],[روز از ارسال سفارش]]*Main[[#This Row],[بدهی تسویه نشده (کیلوگرم)]]</f>
        <v>0</v>
      </c>
      <c r="T2107" s="6">
        <f ca="1">Main[[#This Row],[بدهی سررسید شده (کیلوگرم)]]*Main[[#This Row],[روز از ارسال سفارش]]</f>
        <v>0</v>
      </c>
      <c r="U2107" s="6">
        <f>-SUBTOTAL(9,INDEX(Main[مقدار (کیلوگرم)],1):Main[[#This Row],[مقدار (کیلوگرم)]])</f>
        <v>43707</v>
      </c>
      <c r="V210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7" s="6">
        <f>Main[[#This Row],[تعداد کل روزهای بدهکار (روز)]]*Main[[#This Row],[مانده در خط کل (کیلوگرم)]]</f>
        <v>131121</v>
      </c>
      <c r="X2107" s="6">
        <f ca="1">-SUBTOTAL(9,INDEX(Main[مقدار تسویه شده (کیلوگرم)],1):Main[[#This Row],[مقدار تسویه شده (کیلوگرم)]])</f>
        <v>43707</v>
      </c>
      <c r="Y2107" s="6">
        <f ca="1">IF(Main[[#This Row],[مانده در خط تسویه شده (کیلوگرم)]]&lt;&gt;0,Main[[#This Row],[تعداد کل روزهای بدهکار (روز)]],0)</f>
        <v>3</v>
      </c>
      <c r="Z2107" s="6">
        <f ca="1">Main[[#This Row],[تعداد روزهای بدهکار تسویه شده (روز)]]*Main[[#This Row],[مانده در خط تسویه شده (کیلوگرم)]]</f>
        <v>131121</v>
      </c>
      <c r="AA2107" s="6">
        <f ca="1">SUBTOTAL(9,INDEX(Main[بدهی تسویه نشده (کیلوگرم)],1):Main[[#This Row],[بدهی تسویه نشده (کیلوگرم)]])</f>
        <v>0</v>
      </c>
      <c r="AB2107" s="6">
        <f ca="1">IF(Main[[#This Row],[مانده در خط تسویه نشده (کیلوگرم)]]&lt;&gt;0,Main[[#This Row],[تعداد کل روزهای بدهکار (روز)]],0)</f>
        <v>0</v>
      </c>
      <c r="AC2107" s="6">
        <f ca="1">Main[[#This Row],[تعداد روزهای بدهکار  تسویه نشده (روز)]]*Main[[#This Row],[مانده در خط تسویه نشده (کیلوگرم)]]</f>
        <v>0</v>
      </c>
      <c r="AD2107" s="6">
        <f ca="1">SUBTOTAL(9,INDEX(Main[بدهی سررسید شده (کیلوگرم)],1):Main[[#This Row],[بدهی سررسید شده (کیلوگرم)]])</f>
        <v>0</v>
      </c>
      <c r="AE2107" s="6">
        <f ca="1">IF(Main[[#This Row],[مانده در خط سررسید شده (کیلوگرم)]]&lt;&gt;0,Main[[#This Row],[تعداد کل روزهای بدهکار (روز)]],0)</f>
        <v>0</v>
      </c>
      <c r="AF2107" s="6">
        <f ca="1">Main[[#This Row],[تعداد روزهای بدهکار سررسید شده (روز)]]*Main[[#This Row],[مانده در خط سررسید شده (کیلوگرم)]]</f>
        <v>0</v>
      </c>
    </row>
    <row r="2108" spans="1:32" hidden="1" x14ac:dyDescent="0.35">
      <c r="A2108" s="5">
        <f>ROW()-ROW(INDEX(Main[ردیف],1))+1</f>
        <v>2106</v>
      </c>
      <c r="B2108" s="31">
        <f>SUBTOTAL(2,INDEX(Main[ردیف],1):Main[[#This Row],[ردیف]])</f>
        <v>190</v>
      </c>
      <c r="C2108" s="32" t="s">
        <v>756</v>
      </c>
      <c r="D2108" s="32" t="str">
        <f>_xlfn.CONCAT("14",Main[[#This Row],[تاريخ]])</f>
        <v>1400/08/19</v>
      </c>
      <c r="E2108" s="33">
        <v>44510</v>
      </c>
      <c r="F2108" s="32">
        <v>30190</v>
      </c>
      <c r="G2108" s="5" t="str">
        <f>INDEX(customer[عنوان],MATCH(Main[[#This Row],[کد ردیابی]],customer[کد],0))</f>
        <v>ایران طلق</v>
      </c>
      <c r="H2108">
        <v>441</v>
      </c>
      <c r="I2108" s="6">
        <f ca="1">-Main[[#This Row],[بدهی تسویه شده (کیلوگرم)]]+Main[[#This Row],[بستانکار (کیلوگرم)]]</f>
        <v>441</v>
      </c>
      <c r="J2108" s="6">
        <f>IF(Main[[#This Row],[مقدار (کیلوگرم)]]&gt;0,Main[[#This Row],[مقدار (کیلوگرم)]],0)</f>
        <v>441</v>
      </c>
      <c r="K2108" s="6">
        <f>-IF(Main[[#This Row],[مقدار (کیلوگرم)]]&lt;0,Main[[#This Row],[مقدار (کیلوگرم)]],0)</f>
        <v>0</v>
      </c>
      <c r="L21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8" s="7">
        <f>-IF(AND(Main[[#This Row],[مقدار (کیلوگرم)]]&lt;0,Main[[#This Row],[تاريخ میلادی]]&gt;44276),Main[[#This Row],[مقدار (کیلوگرم)]],0)</f>
        <v>0</v>
      </c>
      <c r="N2108" s="6">
        <f ca="1">Main[[#This Row],[بدهکار (کیلوگرم)]]-Main[[#This Row],[بدهی تسویه نشده (کیلوگرم)]]</f>
        <v>0</v>
      </c>
      <c r="O2108" s="6">
        <f ca="1">Main[[#This Row],[تفکیک]]</f>
        <v>0</v>
      </c>
      <c r="P2108" s="6">
        <f ca="1">IF(Main[[#This Row],[تاخیر از سررسید]]&gt;0,Main[[#This Row],[بدهی تسویه نشده (کیلوگرم)]],0)</f>
        <v>0</v>
      </c>
      <c r="Q2108" s="6">
        <f ca="1">IF(Main[[#This Row],[بدهی تسویه نشده (کیلوگرم)]]&gt;0,'گزارش فردی'!$B$7-Main[[#This Row],[تاريخ میلادی]],0)</f>
        <v>0</v>
      </c>
      <c r="R2108" s="6">
        <f ca="1">IF(Main[[#This Row],[بدهی تسویه نشده (کیلوگرم)]]&gt;0,'گزارش فردی'!$B$7-Main[[#This Row],[تاريخ میلادی]]-'گزارش فردی'!$B$8,0)</f>
        <v>0</v>
      </c>
      <c r="S2108" s="6">
        <f ca="1">Main[[#This Row],[روز از ارسال سفارش]]*Main[[#This Row],[بدهی تسویه نشده (کیلوگرم)]]</f>
        <v>0</v>
      </c>
      <c r="T2108" s="6">
        <f ca="1">Main[[#This Row],[بدهی سررسید شده (کیلوگرم)]]*Main[[#This Row],[روز از ارسال سفارش]]</f>
        <v>0</v>
      </c>
      <c r="U2108" s="6">
        <f>-SUBTOTAL(9,INDEX(Main[مقدار (کیلوگرم)],1):Main[[#This Row],[مقدار (کیلوگرم)]])</f>
        <v>43707</v>
      </c>
      <c r="V210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8" s="6">
        <f>Main[[#This Row],[تعداد کل روزهای بدهکار (روز)]]*Main[[#This Row],[مانده در خط کل (کیلوگرم)]]</f>
        <v>131121</v>
      </c>
      <c r="X2108" s="6">
        <f ca="1">-SUBTOTAL(9,INDEX(Main[مقدار تسویه شده (کیلوگرم)],1):Main[[#This Row],[مقدار تسویه شده (کیلوگرم)]])</f>
        <v>43707</v>
      </c>
      <c r="Y2108" s="6">
        <f ca="1">IF(Main[[#This Row],[مانده در خط تسویه شده (کیلوگرم)]]&lt;&gt;0,Main[[#This Row],[تعداد کل روزهای بدهکار (روز)]],0)</f>
        <v>3</v>
      </c>
      <c r="Z2108" s="6">
        <f ca="1">Main[[#This Row],[تعداد روزهای بدهکار تسویه شده (روز)]]*Main[[#This Row],[مانده در خط تسویه شده (کیلوگرم)]]</f>
        <v>131121</v>
      </c>
      <c r="AA2108" s="6">
        <f ca="1">SUBTOTAL(9,INDEX(Main[بدهی تسویه نشده (کیلوگرم)],1):Main[[#This Row],[بدهی تسویه نشده (کیلوگرم)]])</f>
        <v>0</v>
      </c>
      <c r="AB2108" s="6">
        <f ca="1">IF(Main[[#This Row],[مانده در خط تسویه نشده (کیلوگرم)]]&lt;&gt;0,Main[[#This Row],[تعداد کل روزهای بدهکار (روز)]],0)</f>
        <v>0</v>
      </c>
      <c r="AC2108" s="6">
        <f ca="1">Main[[#This Row],[تعداد روزهای بدهکار  تسویه نشده (روز)]]*Main[[#This Row],[مانده در خط تسویه نشده (کیلوگرم)]]</f>
        <v>0</v>
      </c>
      <c r="AD2108" s="6">
        <f ca="1">SUBTOTAL(9,INDEX(Main[بدهی سررسید شده (کیلوگرم)],1):Main[[#This Row],[بدهی سررسید شده (کیلوگرم)]])</f>
        <v>0</v>
      </c>
      <c r="AE2108" s="6">
        <f ca="1">IF(Main[[#This Row],[مانده در خط سررسید شده (کیلوگرم)]]&lt;&gt;0,Main[[#This Row],[تعداد کل روزهای بدهکار (روز)]],0)</f>
        <v>0</v>
      </c>
      <c r="AF2108" s="6">
        <f ca="1">Main[[#This Row],[تعداد روزهای بدهکار سررسید شده (روز)]]*Main[[#This Row],[مانده در خط سررسید شده (کیلوگرم)]]</f>
        <v>0</v>
      </c>
    </row>
    <row r="2109" spans="1:32" hidden="1" x14ac:dyDescent="0.35">
      <c r="A2109" s="5">
        <f>ROW()-ROW(INDEX(Main[ردیف],1))+1</f>
        <v>2107</v>
      </c>
      <c r="B2109" s="31">
        <f>SUBTOTAL(2,INDEX(Main[ردیف],1):Main[[#This Row],[ردیف]])</f>
        <v>190</v>
      </c>
      <c r="C2109" s="32" t="s">
        <v>756</v>
      </c>
      <c r="D2109" s="32" t="str">
        <f>_xlfn.CONCAT("14",Main[[#This Row],[تاريخ]])</f>
        <v>1400/08/19</v>
      </c>
      <c r="E2109" s="33">
        <v>44510</v>
      </c>
      <c r="F2109" s="32">
        <v>10026</v>
      </c>
      <c r="G2109" s="5" t="str">
        <f>INDEX(customer[عنوان],MATCH(Main[[#This Row],[کد ردیابی]],customer[کد],0))</f>
        <v xml:space="preserve">محسن فیاض بخش </v>
      </c>
      <c r="H2109">
        <v>3053</v>
      </c>
      <c r="I2109" s="6">
        <f ca="1">-Main[[#This Row],[بدهی تسویه شده (کیلوگرم)]]+Main[[#This Row],[بستانکار (کیلوگرم)]]</f>
        <v>3053</v>
      </c>
      <c r="J2109" s="6">
        <f>IF(Main[[#This Row],[مقدار (کیلوگرم)]]&gt;0,Main[[#This Row],[مقدار (کیلوگرم)]],0)</f>
        <v>3053</v>
      </c>
      <c r="K2109" s="6">
        <f>-IF(Main[[#This Row],[مقدار (کیلوگرم)]]&lt;0,Main[[#This Row],[مقدار (کیلوگرم)]],0)</f>
        <v>0</v>
      </c>
      <c r="L21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9" s="7">
        <f>-IF(AND(Main[[#This Row],[مقدار (کیلوگرم)]]&lt;0,Main[[#This Row],[تاريخ میلادی]]&gt;44276),Main[[#This Row],[مقدار (کیلوگرم)]],0)</f>
        <v>0</v>
      </c>
      <c r="N2109" s="6">
        <f ca="1">Main[[#This Row],[بدهکار (کیلوگرم)]]-Main[[#This Row],[بدهی تسویه نشده (کیلوگرم)]]</f>
        <v>0</v>
      </c>
      <c r="O2109" s="6">
        <f ca="1">Main[[#This Row],[تفکیک]]</f>
        <v>0</v>
      </c>
      <c r="P2109" s="6">
        <f ca="1">IF(Main[[#This Row],[تاخیر از سررسید]]&gt;0,Main[[#This Row],[بدهی تسویه نشده (کیلوگرم)]],0)</f>
        <v>0</v>
      </c>
      <c r="Q2109" s="6">
        <f ca="1">IF(Main[[#This Row],[بدهی تسویه نشده (کیلوگرم)]]&gt;0,'گزارش فردی'!$B$7-Main[[#This Row],[تاريخ میلادی]],0)</f>
        <v>0</v>
      </c>
      <c r="R2109" s="6">
        <f ca="1">IF(Main[[#This Row],[بدهی تسویه نشده (کیلوگرم)]]&gt;0,'گزارش فردی'!$B$7-Main[[#This Row],[تاريخ میلادی]]-'گزارش فردی'!$B$8,0)</f>
        <v>0</v>
      </c>
      <c r="S2109" s="6">
        <f ca="1">Main[[#This Row],[روز از ارسال سفارش]]*Main[[#This Row],[بدهی تسویه نشده (کیلوگرم)]]</f>
        <v>0</v>
      </c>
      <c r="T2109" s="6">
        <f ca="1">Main[[#This Row],[بدهی سررسید شده (کیلوگرم)]]*Main[[#This Row],[روز از ارسال سفارش]]</f>
        <v>0</v>
      </c>
      <c r="U2109" s="6">
        <f>-SUBTOTAL(9,INDEX(Main[مقدار (کیلوگرم)],1):Main[[#This Row],[مقدار (کیلوگرم)]])</f>
        <v>43707</v>
      </c>
      <c r="V210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9" s="6">
        <f>Main[[#This Row],[تعداد کل روزهای بدهکار (روز)]]*Main[[#This Row],[مانده در خط کل (کیلوگرم)]]</f>
        <v>131121</v>
      </c>
      <c r="X2109" s="6">
        <f ca="1">-SUBTOTAL(9,INDEX(Main[مقدار تسویه شده (کیلوگرم)],1):Main[[#This Row],[مقدار تسویه شده (کیلوگرم)]])</f>
        <v>43707</v>
      </c>
      <c r="Y2109" s="6">
        <f ca="1">IF(Main[[#This Row],[مانده در خط تسویه شده (کیلوگرم)]]&lt;&gt;0,Main[[#This Row],[تعداد کل روزهای بدهکار (روز)]],0)</f>
        <v>3</v>
      </c>
      <c r="Z2109" s="6">
        <f ca="1">Main[[#This Row],[تعداد روزهای بدهکار تسویه شده (روز)]]*Main[[#This Row],[مانده در خط تسویه شده (کیلوگرم)]]</f>
        <v>131121</v>
      </c>
      <c r="AA2109" s="6">
        <f ca="1">SUBTOTAL(9,INDEX(Main[بدهی تسویه نشده (کیلوگرم)],1):Main[[#This Row],[بدهی تسویه نشده (کیلوگرم)]])</f>
        <v>0</v>
      </c>
      <c r="AB2109" s="6">
        <f ca="1">IF(Main[[#This Row],[مانده در خط تسویه نشده (کیلوگرم)]]&lt;&gt;0,Main[[#This Row],[تعداد کل روزهای بدهکار (روز)]],0)</f>
        <v>0</v>
      </c>
      <c r="AC2109" s="6">
        <f ca="1">Main[[#This Row],[تعداد روزهای بدهکار  تسویه نشده (روز)]]*Main[[#This Row],[مانده در خط تسویه نشده (کیلوگرم)]]</f>
        <v>0</v>
      </c>
      <c r="AD2109" s="6">
        <f ca="1">SUBTOTAL(9,INDEX(Main[بدهی سررسید شده (کیلوگرم)],1):Main[[#This Row],[بدهی سررسید شده (کیلوگرم)]])</f>
        <v>0</v>
      </c>
      <c r="AE2109" s="6">
        <f ca="1">IF(Main[[#This Row],[مانده در خط سررسید شده (کیلوگرم)]]&lt;&gt;0,Main[[#This Row],[تعداد کل روزهای بدهکار (روز)]],0)</f>
        <v>0</v>
      </c>
      <c r="AF2109" s="6">
        <f ca="1">Main[[#This Row],[تعداد روزهای بدهکار سررسید شده (روز)]]*Main[[#This Row],[مانده در خط سررسید شده (کیلوگرم)]]</f>
        <v>0</v>
      </c>
    </row>
    <row r="2110" spans="1:32" hidden="1" x14ac:dyDescent="0.35">
      <c r="A2110" s="5">
        <f>ROW()-ROW(INDEX(Main[ردیف],1))+1</f>
        <v>2108</v>
      </c>
      <c r="B2110" s="31">
        <f>SUBTOTAL(2,INDEX(Main[ردیف],1):Main[[#This Row],[ردیف]])</f>
        <v>190</v>
      </c>
      <c r="C2110" s="32" t="s">
        <v>756</v>
      </c>
      <c r="D2110" s="32" t="str">
        <f>_xlfn.CONCAT("14",Main[[#This Row],[تاريخ]])</f>
        <v>1400/08/19</v>
      </c>
      <c r="E2110" s="33">
        <v>44510</v>
      </c>
      <c r="F2110" s="32">
        <v>30190</v>
      </c>
      <c r="G2110" s="5" t="str">
        <f>INDEX(customer[عنوان],MATCH(Main[[#This Row],[کد ردیابی]],customer[کد],0))</f>
        <v>ایران طلق</v>
      </c>
      <c r="H2110">
        <v>1472</v>
      </c>
      <c r="I2110" s="6">
        <f ca="1">-Main[[#This Row],[بدهی تسویه شده (کیلوگرم)]]+Main[[#This Row],[بستانکار (کیلوگرم)]]</f>
        <v>1472</v>
      </c>
      <c r="J2110" s="6">
        <f>IF(Main[[#This Row],[مقدار (کیلوگرم)]]&gt;0,Main[[#This Row],[مقدار (کیلوگرم)]],0)</f>
        <v>1472</v>
      </c>
      <c r="K2110" s="6">
        <f>-IF(Main[[#This Row],[مقدار (کیلوگرم)]]&lt;0,Main[[#This Row],[مقدار (کیلوگرم)]],0)</f>
        <v>0</v>
      </c>
      <c r="L21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0" s="7">
        <f>-IF(AND(Main[[#This Row],[مقدار (کیلوگرم)]]&lt;0,Main[[#This Row],[تاريخ میلادی]]&gt;44276),Main[[#This Row],[مقدار (کیلوگرم)]],0)</f>
        <v>0</v>
      </c>
      <c r="N2110" s="6">
        <f ca="1">Main[[#This Row],[بدهکار (کیلوگرم)]]-Main[[#This Row],[بدهی تسویه نشده (کیلوگرم)]]</f>
        <v>0</v>
      </c>
      <c r="O2110" s="6">
        <f ca="1">Main[[#This Row],[تفکیک]]</f>
        <v>0</v>
      </c>
      <c r="P2110" s="6">
        <f ca="1">IF(Main[[#This Row],[تاخیر از سررسید]]&gt;0,Main[[#This Row],[بدهی تسویه نشده (کیلوگرم)]],0)</f>
        <v>0</v>
      </c>
      <c r="Q2110" s="6">
        <f ca="1">IF(Main[[#This Row],[بدهی تسویه نشده (کیلوگرم)]]&gt;0,'گزارش فردی'!$B$7-Main[[#This Row],[تاريخ میلادی]],0)</f>
        <v>0</v>
      </c>
      <c r="R2110" s="6">
        <f ca="1">IF(Main[[#This Row],[بدهی تسویه نشده (کیلوگرم)]]&gt;0,'گزارش فردی'!$B$7-Main[[#This Row],[تاريخ میلادی]]-'گزارش فردی'!$B$8,0)</f>
        <v>0</v>
      </c>
      <c r="S2110" s="6">
        <f ca="1">Main[[#This Row],[روز از ارسال سفارش]]*Main[[#This Row],[بدهی تسویه نشده (کیلوگرم)]]</f>
        <v>0</v>
      </c>
      <c r="T2110" s="6">
        <f ca="1">Main[[#This Row],[بدهی سررسید شده (کیلوگرم)]]*Main[[#This Row],[روز از ارسال سفارش]]</f>
        <v>0</v>
      </c>
      <c r="U2110" s="6">
        <f>-SUBTOTAL(9,INDEX(Main[مقدار (کیلوگرم)],1):Main[[#This Row],[مقدار (کیلوگرم)]])</f>
        <v>43707</v>
      </c>
      <c r="V211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10" s="6">
        <f>Main[[#This Row],[تعداد کل روزهای بدهکار (روز)]]*Main[[#This Row],[مانده در خط کل (کیلوگرم)]]</f>
        <v>131121</v>
      </c>
      <c r="X2110" s="6">
        <f ca="1">-SUBTOTAL(9,INDEX(Main[مقدار تسویه شده (کیلوگرم)],1):Main[[#This Row],[مقدار تسویه شده (کیلوگرم)]])</f>
        <v>43707</v>
      </c>
      <c r="Y2110" s="6">
        <f ca="1">IF(Main[[#This Row],[مانده در خط تسویه شده (کیلوگرم)]]&lt;&gt;0,Main[[#This Row],[تعداد کل روزهای بدهکار (روز)]],0)</f>
        <v>3</v>
      </c>
      <c r="Z2110" s="6">
        <f ca="1">Main[[#This Row],[تعداد روزهای بدهکار تسویه شده (روز)]]*Main[[#This Row],[مانده در خط تسویه شده (کیلوگرم)]]</f>
        <v>131121</v>
      </c>
      <c r="AA2110" s="6">
        <f ca="1">SUBTOTAL(9,INDEX(Main[بدهی تسویه نشده (کیلوگرم)],1):Main[[#This Row],[بدهی تسویه نشده (کیلوگرم)]])</f>
        <v>0</v>
      </c>
      <c r="AB2110" s="6">
        <f ca="1">IF(Main[[#This Row],[مانده در خط تسویه نشده (کیلوگرم)]]&lt;&gt;0,Main[[#This Row],[تعداد کل روزهای بدهکار (روز)]],0)</f>
        <v>0</v>
      </c>
      <c r="AC2110" s="6">
        <f ca="1">Main[[#This Row],[تعداد روزهای بدهکار  تسویه نشده (روز)]]*Main[[#This Row],[مانده در خط تسویه نشده (کیلوگرم)]]</f>
        <v>0</v>
      </c>
      <c r="AD2110" s="6">
        <f ca="1">SUBTOTAL(9,INDEX(Main[بدهی سررسید شده (کیلوگرم)],1):Main[[#This Row],[بدهی سررسید شده (کیلوگرم)]])</f>
        <v>0</v>
      </c>
      <c r="AE2110" s="6">
        <f ca="1">IF(Main[[#This Row],[مانده در خط سررسید شده (کیلوگرم)]]&lt;&gt;0,Main[[#This Row],[تعداد کل روزهای بدهکار (روز)]],0)</f>
        <v>0</v>
      </c>
      <c r="AF2110" s="6">
        <f ca="1">Main[[#This Row],[تعداد روزهای بدهکار سررسید شده (روز)]]*Main[[#This Row],[مانده در خط سررسید شده (کیلوگرم)]]</f>
        <v>0</v>
      </c>
    </row>
    <row r="2111" spans="1:32" hidden="1" x14ac:dyDescent="0.35">
      <c r="A2111" s="5">
        <f>ROW()-ROW(INDEX(Main[ردیف],1))+1</f>
        <v>2109</v>
      </c>
      <c r="B2111" s="31">
        <f>SUBTOTAL(2,INDEX(Main[ردیف],1):Main[[#This Row],[ردیف]])</f>
        <v>190</v>
      </c>
      <c r="C2111" s="32" t="s">
        <v>757</v>
      </c>
      <c r="D2111" s="32" t="str">
        <f>_xlfn.CONCAT("14",Main[[#This Row],[تاريخ]])</f>
        <v>1400/08/20</v>
      </c>
      <c r="E2111" s="33">
        <v>44511</v>
      </c>
      <c r="F2111" s="32">
        <v>30140</v>
      </c>
      <c r="G2111" s="5" t="str">
        <f>INDEX(customer[عنوان],MATCH(Main[[#This Row],[کد ردیابی]],customer[کد],0))</f>
        <v>شرکت سیتکو</v>
      </c>
      <c r="H2111">
        <v>-4167</v>
      </c>
      <c r="I2111" s="6">
        <f ca="1">-Main[[#This Row],[بدهی تسویه شده (کیلوگرم)]]+Main[[#This Row],[بستانکار (کیلوگرم)]]</f>
        <v>-4167</v>
      </c>
      <c r="J2111" s="6">
        <f>IF(Main[[#This Row],[مقدار (کیلوگرم)]]&gt;0,Main[[#This Row],[مقدار (کیلوگرم)]],0)</f>
        <v>0</v>
      </c>
      <c r="K2111" s="6">
        <f>-IF(Main[[#This Row],[مقدار (کیلوگرم)]]&lt;0,Main[[#This Row],[مقدار (کیلوگرم)]],0)</f>
        <v>4167</v>
      </c>
      <c r="L21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1" s="7">
        <f>-IF(AND(Main[[#This Row],[مقدار (کیلوگرم)]]&lt;0,Main[[#This Row],[تاريخ میلادی]]&gt;44276),Main[[#This Row],[مقدار (کیلوگرم)]],0)</f>
        <v>4167</v>
      </c>
      <c r="N2111" s="6">
        <f ca="1">Main[[#This Row],[بدهکار (کیلوگرم)]]-Main[[#This Row],[بدهی تسویه نشده (کیلوگرم)]]</f>
        <v>4167</v>
      </c>
      <c r="O2111" s="6">
        <f ca="1">Main[[#This Row],[تفکیک]]</f>
        <v>0</v>
      </c>
      <c r="P2111" s="6">
        <f ca="1">IF(Main[[#This Row],[تاخیر از سررسید]]&gt;0,Main[[#This Row],[بدهی تسویه نشده (کیلوگرم)]],0)</f>
        <v>0</v>
      </c>
      <c r="Q2111" s="6">
        <f ca="1">IF(Main[[#This Row],[بدهی تسویه نشده (کیلوگرم)]]&gt;0,'گزارش فردی'!$B$7-Main[[#This Row],[تاريخ میلادی]],0)</f>
        <v>0</v>
      </c>
      <c r="R2111" s="6">
        <f ca="1">IF(Main[[#This Row],[بدهی تسویه نشده (کیلوگرم)]]&gt;0,'گزارش فردی'!$B$7-Main[[#This Row],[تاريخ میلادی]]-'گزارش فردی'!$B$8,0)</f>
        <v>0</v>
      </c>
      <c r="S2111" s="6">
        <f ca="1">Main[[#This Row],[روز از ارسال سفارش]]*Main[[#This Row],[بدهی تسویه نشده (کیلوگرم)]]</f>
        <v>0</v>
      </c>
      <c r="T2111" s="6">
        <f ca="1">Main[[#This Row],[بدهی سررسید شده (کیلوگرم)]]*Main[[#This Row],[روز از ارسال سفارش]]</f>
        <v>0</v>
      </c>
      <c r="U2111" s="6">
        <f>-SUBTOTAL(9,INDEX(Main[مقدار (کیلوگرم)],1):Main[[#This Row],[مقدار (کیلوگرم)]])</f>
        <v>43707</v>
      </c>
      <c r="V21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1" s="6">
        <f>Main[[#This Row],[تعداد کل روزهای بدهکار (روز)]]*Main[[#This Row],[مانده در خط کل (کیلوگرم)]]</f>
        <v>87414</v>
      </c>
      <c r="X2111" s="6">
        <f ca="1">-SUBTOTAL(9,INDEX(Main[مقدار تسویه شده (کیلوگرم)],1):Main[[#This Row],[مقدار تسویه شده (کیلوگرم)]])</f>
        <v>43707</v>
      </c>
      <c r="Y2111" s="6">
        <f ca="1">IF(Main[[#This Row],[مانده در خط تسویه شده (کیلوگرم)]]&lt;&gt;0,Main[[#This Row],[تعداد کل روزهای بدهکار (روز)]],0)</f>
        <v>2</v>
      </c>
      <c r="Z2111" s="6">
        <f ca="1">Main[[#This Row],[تعداد روزهای بدهکار تسویه شده (روز)]]*Main[[#This Row],[مانده در خط تسویه شده (کیلوگرم)]]</f>
        <v>87414</v>
      </c>
      <c r="AA2111" s="6">
        <f ca="1">SUBTOTAL(9,INDEX(Main[بدهی تسویه نشده (کیلوگرم)],1):Main[[#This Row],[بدهی تسویه نشده (کیلوگرم)]])</f>
        <v>0</v>
      </c>
      <c r="AB2111" s="6">
        <f ca="1">IF(Main[[#This Row],[مانده در خط تسویه نشده (کیلوگرم)]]&lt;&gt;0,Main[[#This Row],[تعداد کل روزهای بدهکار (روز)]],0)</f>
        <v>0</v>
      </c>
      <c r="AC2111" s="6">
        <f ca="1">Main[[#This Row],[تعداد روزهای بدهکار  تسویه نشده (روز)]]*Main[[#This Row],[مانده در خط تسویه نشده (کیلوگرم)]]</f>
        <v>0</v>
      </c>
      <c r="AD2111" s="6">
        <f ca="1">SUBTOTAL(9,INDEX(Main[بدهی سررسید شده (کیلوگرم)],1):Main[[#This Row],[بدهی سررسید شده (کیلوگرم)]])</f>
        <v>0</v>
      </c>
      <c r="AE2111" s="6">
        <f ca="1">IF(Main[[#This Row],[مانده در خط سررسید شده (کیلوگرم)]]&lt;&gt;0,Main[[#This Row],[تعداد کل روزهای بدهکار (روز)]],0)</f>
        <v>0</v>
      </c>
      <c r="AF2111" s="6">
        <f ca="1">Main[[#This Row],[تعداد روزهای بدهکار سررسید شده (روز)]]*Main[[#This Row],[مانده در خط سررسید شده (کیلوگرم)]]</f>
        <v>0</v>
      </c>
    </row>
    <row r="2112" spans="1:32" hidden="1" x14ac:dyDescent="0.35">
      <c r="A2112" s="5">
        <f>ROW()-ROW(INDEX(Main[ردیف],1))+1</f>
        <v>2110</v>
      </c>
      <c r="B2112" s="31">
        <f>SUBTOTAL(2,INDEX(Main[ردیف],1):Main[[#This Row],[ردیف]])</f>
        <v>190</v>
      </c>
      <c r="C2112" s="32" t="s">
        <v>757</v>
      </c>
      <c r="D2112" s="32" t="str">
        <f>_xlfn.CONCAT("14",Main[[#This Row],[تاريخ]])</f>
        <v>1400/08/20</v>
      </c>
      <c r="E2112" s="33">
        <v>44511</v>
      </c>
      <c r="F2112" s="32">
        <v>30004</v>
      </c>
      <c r="G2112" s="5" t="str">
        <f>INDEX(customer[عنوان],MATCH(Main[[#This Row],[کد ردیابی]],customer[کد],0))</f>
        <v>تولیدی صنعتی صفاشیر پارس</v>
      </c>
      <c r="H2112">
        <v>1752</v>
      </c>
      <c r="I2112" s="6">
        <f ca="1">-Main[[#This Row],[بدهی تسویه شده (کیلوگرم)]]+Main[[#This Row],[بستانکار (کیلوگرم)]]</f>
        <v>1752</v>
      </c>
      <c r="J2112" s="6">
        <f>IF(Main[[#This Row],[مقدار (کیلوگرم)]]&gt;0,Main[[#This Row],[مقدار (کیلوگرم)]],0)</f>
        <v>1752</v>
      </c>
      <c r="K2112" s="6">
        <f>-IF(Main[[#This Row],[مقدار (کیلوگرم)]]&lt;0,Main[[#This Row],[مقدار (کیلوگرم)]],0)</f>
        <v>0</v>
      </c>
      <c r="L21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2" s="7">
        <f>-IF(AND(Main[[#This Row],[مقدار (کیلوگرم)]]&lt;0,Main[[#This Row],[تاريخ میلادی]]&gt;44276),Main[[#This Row],[مقدار (کیلوگرم)]],0)</f>
        <v>0</v>
      </c>
      <c r="N2112" s="6">
        <f ca="1">Main[[#This Row],[بدهکار (کیلوگرم)]]-Main[[#This Row],[بدهی تسویه نشده (کیلوگرم)]]</f>
        <v>0</v>
      </c>
      <c r="O2112" s="6">
        <f ca="1">Main[[#This Row],[تفکیک]]</f>
        <v>0</v>
      </c>
      <c r="P2112" s="6">
        <f ca="1">IF(Main[[#This Row],[تاخیر از سررسید]]&gt;0,Main[[#This Row],[بدهی تسویه نشده (کیلوگرم)]],0)</f>
        <v>0</v>
      </c>
      <c r="Q2112" s="6">
        <f ca="1">IF(Main[[#This Row],[بدهی تسویه نشده (کیلوگرم)]]&gt;0,'گزارش فردی'!$B$7-Main[[#This Row],[تاريخ میلادی]],0)</f>
        <v>0</v>
      </c>
      <c r="R2112" s="6">
        <f ca="1">IF(Main[[#This Row],[بدهی تسویه نشده (کیلوگرم)]]&gt;0,'گزارش فردی'!$B$7-Main[[#This Row],[تاريخ میلادی]]-'گزارش فردی'!$B$8,0)</f>
        <v>0</v>
      </c>
      <c r="S2112" s="6">
        <f ca="1">Main[[#This Row],[روز از ارسال سفارش]]*Main[[#This Row],[بدهی تسویه نشده (کیلوگرم)]]</f>
        <v>0</v>
      </c>
      <c r="T2112" s="6">
        <f ca="1">Main[[#This Row],[بدهی سررسید شده (کیلوگرم)]]*Main[[#This Row],[روز از ارسال سفارش]]</f>
        <v>0</v>
      </c>
      <c r="U2112" s="6">
        <f>-SUBTOTAL(9,INDEX(Main[مقدار (کیلوگرم)],1):Main[[#This Row],[مقدار (کیلوگرم)]])</f>
        <v>43707</v>
      </c>
      <c r="V21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2" s="6">
        <f>Main[[#This Row],[تعداد کل روزهای بدهکار (روز)]]*Main[[#This Row],[مانده در خط کل (کیلوگرم)]]</f>
        <v>87414</v>
      </c>
      <c r="X2112" s="6">
        <f ca="1">-SUBTOTAL(9,INDEX(Main[مقدار تسویه شده (کیلوگرم)],1):Main[[#This Row],[مقدار تسویه شده (کیلوگرم)]])</f>
        <v>43707</v>
      </c>
      <c r="Y2112" s="6">
        <f ca="1">IF(Main[[#This Row],[مانده در خط تسویه شده (کیلوگرم)]]&lt;&gt;0,Main[[#This Row],[تعداد کل روزهای بدهکار (روز)]],0)</f>
        <v>2</v>
      </c>
      <c r="Z2112" s="6">
        <f ca="1">Main[[#This Row],[تعداد روزهای بدهکار تسویه شده (روز)]]*Main[[#This Row],[مانده در خط تسویه شده (کیلوگرم)]]</f>
        <v>87414</v>
      </c>
      <c r="AA2112" s="6">
        <f ca="1">SUBTOTAL(9,INDEX(Main[بدهی تسویه نشده (کیلوگرم)],1):Main[[#This Row],[بدهی تسویه نشده (کیلوگرم)]])</f>
        <v>0</v>
      </c>
      <c r="AB2112" s="6">
        <f ca="1">IF(Main[[#This Row],[مانده در خط تسویه نشده (کیلوگرم)]]&lt;&gt;0,Main[[#This Row],[تعداد کل روزهای بدهکار (روز)]],0)</f>
        <v>0</v>
      </c>
      <c r="AC2112" s="6">
        <f ca="1">Main[[#This Row],[تعداد روزهای بدهکار  تسویه نشده (روز)]]*Main[[#This Row],[مانده در خط تسویه نشده (کیلوگرم)]]</f>
        <v>0</v>
      </c>
      <c r="AD2112" s="6">
        <f ca="1">SUBTOTAL(9,INDEX(Main[بدهی سررسید شده (کیلوگرم)],1):Main[[#This Row],[بدهی سررسید شده (کیلوگرم)]])</f>
        <v>0</v>
      </c>
      <c r="AE2112" s="6">
        <f ca="1">IF(Main[[#This Row],[مانده در خط سررسید شده (کیلوگرم)]]&lt;&gt;0,Main[[#This Row],[تعداد کل روزهای بدهکار (روز)]],0)</f>
        <v>0</v>
      </c>
      <c r="AF2112" s="6">
        <f ca="1">Main[[#This Row],[تعداد روزهای بدهکار سررسید شده (روز)]]*Main[[#This Row],[مانده در خط سررسید شده (کیلوگرم)]]</f>
        <v>0</v>
      </c>
    </row>
    <row r="2113" spans="1:32" hidden="1" x14ac:dyDescent="0.35">
      <c r="A2113" s="5">
        <f>ROW()-ROW(INDEX(Main[ردیف],1))+1</f>
        <v>2111</v>
      </c>
      <c r="B2113" s="31">
        <f>SUBTOTAL(2,INDEX(Main[ردیف],1):Main[[#This Row],[ردیف]])</f>
        <v>190</v>
      </c>
      <c r="C2113" s="32" t="s">
        <v>757</v>
      </c>
      <c r="D2113" s="32" t="str">
        <f>_xlfn.CONCAT("14",Main[[#This Row],[تاريخ]])</f>
        <v>1400/08/20</v>
      </c>
      <c r="E2113" s="33">
        <v>44511</v>
      </c>
      <c r="F2113" s="32">
        <v>30004</v>
      </c>
      <c r="G2113" s="5" t="str">
        <f>INDEX(customer[عنوان],MATCH(Main[[#This Row],[کد ردیابی]],customer[کد],0))</f>
        <v>تولیدی صنعتی صفاشیر پارس</v>
      </c>
      <c r="H2113">
        <v>-5079</v>
      </c>
      <c r="I2113" s="6">
        <f ca="1">-Main[[#This Row],[بدهی تسویه شده (کیلوگرم)]]+Main[[#This Row],[بستانکار (کیلوگرم)]]</f>
        <v>-5079</v>
      </c>
      <c r="J2113" s="6">
        <f>IF(Main[[#This Row],[مقدار (کیلوگرم)]]&gt;0,Main[[#This Row],[مقدار (کیلوگرم)]],0)</f>
        <v>0</v>
      </c>
      <c r="K2113" s="6">
        <f>-IF(Main[[#This Row],[مقدار (کیلوگرم)]]&lt;0,Main[[#This Row],[مقدار (کیلوگرم)]],0)</f>
        <v>5079</v>
      </c>
      <c r="L21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3" s="7">
        <f>-IF(AND(Main[[#This Row],[مقدار (کیلوگرم)]]&lt;0,Main[[#This Row],[تاريخ میلادی]]&gt;44276),Main[[#This Row],[مقدار (کیلوگرم)]],0)</f>
        <v>5079</v>
      </c>
      <c r="N2113" s="6">
        <f ca="1">Main[[#This Row],[بدهکار (کیلوگرم)]]-Main[[#This Row],[بدهی تسویه نشده (کیلوگرم)]]</f>
        <v>5079</v>
      </c>
      <c r="O2113" s="6">
        <f ca="1">Main[[#This Row],[تفکیک]]</f>
        <v>0</v>
      </c>
      <c r="P2113" s="6">
        <f ca="1">IF(Main[[#This Row],[تاخیر از سررسید]]&gt;0,Main[[#This Row],[بدهی تسویه نشده (کیلوگرم)]],0)</f>
        <v>0</v>
      </c>
      <c r="Q2113" s="6">
        <f ca="1">IF(Main[[#This Row],[بدهی تسویه نشده (کیلوگرم)]]&gt;0,'گزارش فردی'!$B$7-Main[[#This Row],[تاريخ میلادی]],0)</f>
        <v>0</v>
      </c>
      <c r="R2113" s="6">
        <f ca="1">IF(Main[[#This Row],[بدهی تسویه نشده (کیلوگرم)]]&gt;0,'گزارش فردی'!$B$7-Main[[#This Row],[تاريخ میلادی]]-'گزارش فردی'!$B$8,0)</f>
        <v>0</v>
      </c>
      <c r="S2113" s="6">
        <f ca="1">Main[[#This Row],[روز از ارسال سفارش]]*Main[[#This Row],[بدهی تسویه نشده (کیلوگرم)]]</f>
        <v>0</v>
      </c>
      <c r="T2113" s="6">
        <f ca="1">Main[[#This Row],[بدهی سررسید شده (کیلوگرم)]]*Main[[#This Row],[روز از ارسال سفارش]]</f>
        <v>0</v>
      </c>
      <c r="U2113" s="6">
        <f>-SUBTOTAL(9,INDEX(Main[مقدار (کیلوگرم)],1):Main[[#This Row],[مقدار (کیلوگرم)]])</f>
        <v>43707</v>
      </c>
      <c r="V21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3" s="6">
        <f>Main[[#This Row],[تعداد کل روزهای بدهکار (روز)]]*Main[[#This Row],[مانده در خط کل (کیلوگرم)]]</f>
        <v>87414</v>
      </c>
      <c r="X2113" s="6">
        <f ca="1">-SUBTOTAL(9,INDEX(Main[مقدار تسویه شده (کیلوگرم)],1):Main[[#This Row],[مقدار تسویه شده (کیلوگرم)]])</f>
        <v>43707</v>
      </c>
      <c r="Y2113" s="6">
        <f ca="1">IF(Main[[#This Row],[مانده در خط تسویه شده (کیلوگرم)]]&lt;&gt;0,Main[[#This Row],[تعداد کل روزهای بدهکار (روز)]],0)</f>
        <v>2</v>
      </c>
      <c r="Z2113" s="6">
        <f ca="1">Main[[#This Row],[تعداد روزهای بدهکار تسویه شده (روز)]]*Main[[#This Row],[مانده در خط تسویه شده (کیلوگرم)]]</f>
        <v>87414</v>
      </c>
      <c r="AA2113" s="6">
        <f ca="1">SUBTOTAL(9,INDEX(Main[بدهی تسویه نشده (کیلوگرم)],1):Main[[#This Row],[بدهی تسویه نشده (کیلوگرم)]])</f>
        <v>0</v>
      </c>
      <c r="AB2113" s="6">
        <f ca="1">IF(Main[[#This Row],[مانده در خط تسویه نشده (کیلوگرم)]]&lt;&gt;0,Main[[#This Row],[تعداد کل روزهای بدهکار (روز)]],0)</f>
        <v>0</v>
      </c>
      <c r="AC2113" s="6">
        <f ca="1">Main[[#This Row],[تعداد روزهای بدهکار  تسویه نشده (روز)]]*Main[[#This Row],[مانده در خط تسویه نشده (کیلوگرم)]]</f>
        <v>0</v>
      </c>
      <c r="AD2113" s="6">
        <f ca="1">SUBTOTAL(9,INDEX(Main[بدهی سررسید شده (کیلوگرم)],1):Main[[#This Row],[بدهی سررسید شده (کیلوگرم)]])</f>
        <v>0</v>
      </c>
      <c r="AE2113" s="6">
        <f ca="1">IF(Main[[#This Row],[مانده در خط سررسید شده (کیلوگرم)]]&lt;&gt;0,Main[[#This Row],[تعداد کل روزهای بدهکار (روز)]],0)</f>
        <v>0</v>
      </c>
      <c r="AF2113" s="6">
        <f ca="1">Main[[#This Row],[تعداد روزهای بدهکار سررسید شده (روز)]]*Main[[#This Row],[مانده در خط سررسید شده (کیلوگرم)]]</f>
        <v>0</v>
      </c>
    </row>
    <row r="2114" spans="1:32" hidden="1" x14ac:dyDescent="0.35">
      <c r="A2114" s="5">
        <f>ROW()-ROW(INDEX(Main[ردیف],1))+1</f>
        <v>2112</v>
      </c>
      <c r="B2114" s="31">
        <f>SUBTOTAL(2,INDEX(Main[ردیف],1):Main[[#This Row],[ردیف]])</f>
        <v>190</v>
      </c>
      <c r="C2114" s="32" t="s">
        <v>757</v>
      </c>
      <c r="D2114" s="32" t="str">
        <f>_xlfn.CONCAT("14",Main[[#This Row],[تاريخ]])</f>
        <v>1400/08/20</v>
      </c>
      <c r="E2114" s="33">
        <v>44511</v>
      </c>
      <c r="F2114" s="32">
        <v>30004</v>
      </c>
      <c r="G2114" s="5" t="str">
        <f>INDEX(customer[عنوان],MATCH(Main[[#This Row],[کد ردیابی]],customer[کد],0))</f>
        <v>تولیدی صنعتی صفاشیر پارس</v>
      </c>
      <c r="H2114">
        <v>1912</v>
      </c>
      <c r="I2114" s="6">
        <f ca="1">-Main[[#This Row],[بدهی تسویه شده (کیلوگرم)]]+Main[[#This Row],[بستانکار (کیلوگرم)]]</f>
        <v>1912</v>
      </c>
      <c r="J2114" s="6">
        <f>IF(Main[[#This Row],[مقدار (کیلوگرم)]]&gt;0,Main[[#This Row],[مقدار (کیلوگرم)]],0)</f>
        <v>1912</v>
      </c>
      <c r="K2114" s="6">
        <f>-IF(Main[[#This Row],[مقدار (کیلوگرم)]]&lt;0,Main[[#This Row],[مقدار (کیلوگرم)]],0)</f>
        <v>0</v>
      </c>
      <c r="L21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4" s="7">
        <f>-IF(AND(Main[[#This Row],[مقدار (کیلوگرم)]]&lt;0,Main[[#This Row],[تاريخ میلادی]]&gt;44276),Main[[#This Row],[مقدار (کیلوگرم)]],0)</f>
        <v>0</v>
      </c>
      <c r="N2114" s="6">
        <f ca="1">Main[[#This Row],[بدهکار (کیلوگرم)]]-Main[[#This Row],[بدهی تسویه نشده (کیلوگرم)]]</f>
        <v>0</v>
      </c>
      <c r="O2114" s="6">
        <f ca="1">Main[[#This Row],[تفکیک]]</f>
        <v>0</v>
      </c>
      <c r="P2114" s="6">
        <f ca="1">IF(Main[[#This Row],[تاخیر از سررسید]]&gt;0,Main[[#This Row],[بدهی تسویه نشده (کیلوگرم)]],0)</f>
        <v>0</v>
      </c>
      <c r="Q2114" s="6">
        <f ca="1">IF(Main[[#This Row],[بدهی تسویه نشده (کیلوگرم)]]&gt;0,'گزارش فردی'!$B$7-Main[[#This Row],[تاريخ میلادی]],0)</f>
        <v>0</v>
      </c>
      <c r="R2114" s="6">
        <f ca="1">IF(Main[[#This Row],[بدهی تسویه نشده (کیلوگرم)]]&gt;0,'گزارش فردی'!$B$7-Main[[#This Row],[تاريخ میلادی]]-'گزارش فردی'!$B$8,0)</f>
        <v>0</v>
      </c>
      <c r="S2114" s="6">
        <f ca="1">Main[[#This Row],[روز از ارسال سفارش]]*Main[[#This Row],[بدهی تسویه نشده (کیلوگرم)]]</f>
        <v>0</v>
      </c>
      <c r="T2114" s="6">
        <f ca="1">Main[[#This Row],[بدهی سررسید شده (کیلوگرم)]]*Main[[#This Row],[روز از ارسال سفارش]]</f>
        <v>0</v>
      </c>
      <c r="U2114" s="6">
        <f>-SUBTOTAL(9,INDEX(Main[مقدار (کیلوگرم)],1):Main[[#This Row],[مقدار (کیلوگرم)]])</f>
        <v>43707</v>
      </c>
      <c r="V21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4" s="6">
        <f>Main[[#This Row],[تعداد کل روزهای بدهکار (روز)]]*Main[[#This Row],[مانده در خط کل (کیلوگرم)]]</f>
        <v>87414</v>
      </c>
      <c r="X2114" s="6">
        <f ca="1">-SUBTOTAL(9,INDEX(Main[مقدار تسویه شده (کیلوگرم)],1):Main[[#This Row],[مقدار تسویه شده (کیلوگرم)]])</f>
        <v>43707</v>
      </c>
      <c r="Y2114" s="6">
        <f ca="1">IF(Main[[#This Row],[مانده در خط تسویه شده (کیلوگرم)]]&lt;&gt;0,Main[[#This Row],[تعداد کل روزهای بدهکار (روز)]],0)</f>
        <v>2</v>
      </c>
      <c r="Z2114" s="6">
        <f ca="1">Main[[#This Row],[تعداد روزهای بدهکار تسویه شده (روز)]]*Main[[#This Row],[مانده در خط تسویه شده (کیلوگرم)]]</f>
        <v>87414</v>
      </c>
      <c r="AA2114" s="6">
        <f ca="1">SUBTOTAL(9,INDEX(Main[بدهی تسویه نشده (کیلوگرم)],1):Main[[#This Row],[بدهی تسویه نشده (کیلوگرم)]])</f>
        <v>0</v>
      </c>
      <c r="AB2114" s="6">
        <f ca="1">IF(Main[[#This Row],[مانده در خط تسویه نشده (کیلوگرم)]]&lt;&gt;0,Main[[#This Row],[تعداد کل روزهای بدهکار (روز)]],0)</f>
        <v>0</v>
      </c>
      <c r="AC2114" s="6">
        <f ca="1">Main[[#This Row],[تعداد روزهای بدهکار  تسویه نشده (روز)]]*Main[[#This Row],[مانده در خط تسویه نشده (کیلوگرم)]]</f>
        <v>0</v>
      </c>
      <c r="AD2114" s="6">
        <f ca="1">SUBTOTAL(9,INDEX(Main[بدهی سررسید شده (کیلوگرم)],1):Main[[#This Row],[بدهی سررسید شده (کیلوگرم)]])</f>
        <v>0</v>
      </c>
      <c r="AE2114" s="6">
        <f ca="1">IF(Main[[#This Row],[مانده در خط سررسید شده (کیلوگرم)]]&lt;&gt;0,Main[[#This Row],[تعداد کل روزهای بدهکار (روز)]],0)</f>
        <v>0</v>
      </c>
      <c r="AF2114" s="6">
        <f ca="1">Main[[#This Row],[تعداد روزهای بدهکار سررسید شده (روز)]]*Main[[#This Row],[مانده در خط سررسید شده (کیلوگرم)]]</f>
        <v>0</v>
      </c>
    </row>
    <row r="2115" spans="1:32" hidden="1" x14ac:dyDescent="0.35">
      <c r="A2115" s="5">
        <f>ROW()-ROW(INDEX(Main[ردیف],1))+1</f>
        <v>2113</v>
      </c>
      <c r="B2115" s="31">
        <f>SUBTOTAL(2,INDEX(Main[ردیف],1):Main[[#This Row],[ردیف]])</f>
        <v>190</v>
      </c>
      <c r="C2115" s="32" t="s">
        <v>758</v>
      </c>
      <c r="D2115" s="32" t="str">
        <f>_xlfn.CONCAT("14",Main[[#This Row],[تاريخ]])</f>
        <v>1400/08/22</v>
      </c>
      <c r="E2115" s="33">
        <v>44513</v>
      </c>
      <c r="F2115" s="32">
        <v>10055</v>
      </c>
      <c r="G2115" s="5" t="str">
        <f>INDEX(customer[عنوان],MATCH(Main[[#This Row],[کد ردیابی]],customer[کد],0))</f>
        <v xml:space="preserve">مریم فیض آبادی  </v>
      </c>
      <c r="H2115">
        <v>-5078</v>
      </c>
      <c r="I2115" s="6">
        <f ca="1">-Main[[#This Row],[بدهی تسویه شده (کیلوگرم)]]+Main[[#This Row],[بستانکار (کیلوگرم)]]</f>
        <v>-5078</v>
      </c>
      <c r="J2115" s="6">
        <f>IF(Main[[#This Row],[مقدار (کیلوگرم)]]&gt;0,Main[[#This Row],[مقدار (کیلوگرم)]],0)</f>
        <v>0</v>
      </c>
      <c r="K2115" s="6">
        <f>-IF(Main[[#This Row],[مقدار (کیلوگرم)]]&lt;0,Main[[#This Row],[مقدار (کیلوگرم)]],0)</f>
        <v>5078</v>
      </c>
      <c r="L21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5" s="7">
        <f>-IF(AND(Main[[#This Row],[مقدار (کیلوگرم)]]&lt;0,Main[[#This Row],[تاريخ میلادی]]&gt;44276),Main[[#This Row],[مقدار (کیلوگرم)]],0)</f>
        <v>5078</v>
      </c>
      <c r="N2115" s="6">
        <f ca="1">Main[[#This Row],[بدهکار (کیلوگرم)]]-Main[[#This Row],[بدهی تسویه نشده (کیلوگرم)]]</f>
        <v>5078</v>
      </c>
      <c r="O2115" s="6">
        <f ca="1">Main[[#This Row],[تفکیک]]</f>
        <v>0</v>
      </c>
      <c r="P2115" s="6">
        <f ca="1">IF(Main[[#This Row],[تاخیر از سررسید]]&gt;0,Main[[#This Row],[بدهی تسویه نشده (کیلوگرم)]],0)</f>
        <v>0</v>
      </c>
      <c r="Q2115" s="6">
        <f ca="1">IF(Main[[#This Row],[بدهی تسویه نشده (کیلوگرم)]]&gt;0,'گزارش فردی'!$B$7-Main[[#This Row],[تاريخ میلادی]],0)</f>
        <v>0</v>
      </c>
      <c r="R2115" s="6">
        <f ca="1">IF(Main[[#This Row],[بدهی تسویه نشده (کیلوگرم)]]&gt;0,'گزارش فردی'!$B$7-Main[[#This Row],[تاريخ میلادی]]-'گزارش فردی'!$B$8,0)</f>
        <v>0</v>
      </c>
      <c r="S2115" s="6">
        <f ca="1">Main[[#This Row],[روز از ارسال سفارش]]*Main[[#This Row],[بدهی تسویه نشده (کیلوگرم)]]</f>
        <v>0</v>
      </c>
      <c r="T2115" s="6">
        <f ca="1">Main[[#This Row],[بدهی سررسید شده (کیلوگرم)]]*Main[[#This Row],[روز از ارسال سفارش]]</f>
        <v>0</v>
      </c>
      <c r="U2115" s="6">
        <f>-SUBTOTAL(9,INDEX(Main[مقدار (کیلوگرم)],1):Main[[#This Row],[مقدار (کیلوگرم)]])</f>
        <v>43707</v>
      </c>
      <c r="V21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5" s="6">
        <f>Main[[#This Row],[تعداد کل روزهای بدهکار (روز)]]*Main[[#This Row],[مانده در خط کل (کیلوگرم)]]</f>
        <v>0</v>
      </c>
      <c r="X2115" s="6">
        <f ca="1">-SUBTOTAL(9,INDEX(Main[مقدار تسویه شده (کیلوگرم)],1):Main[[#This Row],[مقدار تسویه شده (کیلوگرم)]])</f>
        <v>43707</v>
      </c>
      <c r="Y2115" s="6">
        <f ca="1">IF(Main[[#This Row],[مانده در خط تسویه شده (کیلوگرم)]]&lt;&gt;0,Main[[#This Row],[تعداد کل روزهای بدهکار (روز)]],0)</f>
        <v>0</v>
      </c>
      <c r="Z2115" s="6">
        <f ca="1">Main[[#This Row],[تعداد روزهای بدهکار تسویه شده (روز)]]*Main[[#This Row],[مانده در خط تسویه شده (کیلوگرم)]]</f>
        <v>0</v>
      </c>
      <c r="AA2115" s="6">
        <f ca="1">SUBTOTAL(9,INDEX(Main[بدهی تسویه نشده (کیلوگرم)],1):Main[[#This Row],[بدهی تسویه نشده (کیلوگرم)]])</f>
        <v>0</v>
      </c>
      <c r="AB2115" s="6">
        <f ca="1">IF(Main[[#This Row],[مانده در خط تسویه نشده (کیلوگرم)]]&lt;&gt;0,Main[[#This Row],[تعداد کل روزهای بدهکار (روز)]],0)</f>
        <v>0</v>
      </c>
      <c r="AC2115" s="6">
        <f ca="1">Main[[#This Row],[تعداد روزهای بدهکار  تسویه نشده (روز)]]*Main[[#This Row],[مانده در خط تسویه نشده (کیلوگرم)]]</f>
        <v>0</v>
      </c>
      <c r="AD2115" s="6">
        <f ca="1">SUBTOTAL(9,INDEX(Main[بدهی سررسید شده (کیلوگرم)],1):Main[[#This Row],[بدهی سررسید شده (کیلوگرم)]])</f>
        <v>0</v>
      </c>
      <c r="AE2115" s="6">
        <f ca="1">IF(Main[[#This Row],[مانده در خط سررسید شده (کیلوگرم)]]&lt;&gt;0,Main[[#This Row],[تعداد کل روزهای بدهکار (روز)]],0)</f>
        <v>0</v>
      </c>
      <c r="AF2115" s="6">
        <f ca="1">Main[[#This Row],[تعداد روزهای بدهکار سررسید شده (روز)]]*Main[[#This Row],[مانده در خط سررسید شده (کیلوگرم)]]</f>
        <v>0</v>
      </c>
    </row>
    <row r="2116" spans="1:32" x14ac:dyDescent="0.35">
      <c r="A2116" s="5">
        <f>ROW()-ROW(INDEX(Main[ردیف],1))+1</f>
        <v>2114</v>
      </c>
      <c r="B2116" s="31">
        <f>SUBTOTAL(2,INDEX(Main[ردیف],1):Main[[#This Row],[ردیف]])</f>
        <v>191</v>
      </c>
      <c r="C2116" s="32" t="s">
        <v>758</v>
      </c>
      <c r="D2116" s="32" t="str">
        <f>_xlfn.CONCAT("14",Main[[#This Row],[تاريخ]])</f>
        <v>1400/08/22</v>
      </c>
      <c r="E2116" s="33">
        <v>44513</v>
      </c>
      <c r="F2116" s="32">
        <v>10003</v>
      </c>
      <c r="G2116" s="5" t="str">
        <f>INDEX(customer[عنوان],MATCH(Main[[#This Row],[کد ردیابی]],customer[کد],0))</f>
        <v>اصغر نورعلی</v>
      </c>
      <c r="H2116">
        <v>2282</v>
      </c>
      <c r="I2116" s="6">
        <f ca="1">-Main[[#This Row],[بدهی تسویه شده (کیلوگرم)]]+Main[[#This Row],[بستانکار (کیلوگرم)]]</f>
        <v>2282</v>
      </c>
      <c r="J2116" s="6">
        <f>IF(Main[[#This Row],[مقدار (کیلوگرم)]]&gt;0,Main[[#This Row],[مقدار (کیلوگرم)]],0)</f>
        <v>2282</v>
      </c>
      <c r="K2116" s="6">
        <f>-IF(Main[[#This Row],[مقدار (کیلوگرم)]]&lt;0,Main[[#This Row],[مقدار (کیلوگرم)]],0)</f>
        <v>0</v>
      </c>
      <c r="L21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6" s="7">
        <f>-IF(AND(Main[[#This Row],[مقدار (کیلوگرم)]]&lt;0,Main[[#This Row],[تاريخ میلادی]]&gt;44276),Main[[#This Row],[مقدار (کیلوگرم)]],0)</f>
        <v>0</v>
      </c>
      <c r="N2116" s="6">
        <f ca="1">Main[[#This Row],[بدهکار (کیلوگرم)]]-Main[[#This Row],[بدهی تسویه نشده (کیلوگرم)]]</f>
        <v>0</v>
      </c>
      <c r="O2116" s="6">
        <f ca="1">Main[[#This Row],[تفکیک]]</f>
        <v>0</v>
      </c>
      <c r="P2116" s="6">
        <f ca="1">IF(Main[[#This Row],[تاخیر از سررسید]]&gt;0,Main[[#This Row],[بدهی تسویه نشده (کیلوگرم)]],0)</f>
        <v>0</v>
      </c>
      <c r="Q2116" s="6">
        <f ca="1">IF(Main[[#This Row],[بدهی تسویه نشده (کیلوگرم)]]&gt;0,'گزارش فردی'!$B$7-Main[[#This Row],[تاريخ میلادی]],0)</f>
        <v>0</v>
      </c>
      <c r="R2116" s="6">
        <f ca="1">IF(Main[[#This Row],[بدهی تسویه نشده (کیلوگرم)]]&gt;0,'گزارش فردی'!$B$7-Main[[#This Row],[تاريخ میلادی]]-'گزارش فردی'!$B$8,0)</f>
        <v>0</v>
      </c>
      <c r="S2116" s="6">
        <f ca="1">Main[[#This Row],[روز از ارسال سفارش]]*Main[[#This Row],[بدهی تسویه نشده (کیلوگرم)]]</f>
        <v>0</v>
      </c>
      <c r="T2116" s="6">
        <f ca="1">Main[[#This Row],[بدهی سررسید شده (کیلوگرم)]]*Main[[#This Row],[روز از ارسال سفارش]]</f>
        <v>0</v>
      </c>
      <c r="U2116" s="6">
        <f>-SUBTOTAL(9,INDEX(Main[مقدار (کیلوگرم)],1):Main[[#This Row],[مقدار (کیلوگرم)]])</f>
        <v>41425</v>
      </c>
      <c r="V21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6" s="6">
        <f>Main[[#This Row],[تعداد کل روزهای بدهکار (روز)]]*Main[[#This Row],[مانده در خط کل (کیلوگرم)]]</f>
        <v>0</v>
      </c>
      <c r="X2116" s="6">
        <f ca="1">-SUBTOTAL(9,INDEX(Main[مقدار تسویه شده (کیلوگرم)],1):Main[[#This Row],[مقدار تسویه شده (کیلوگرم)]])</f>
        <v>41425</v>
      </c>
      <c r="Y2116" s="6">
        <f ca="1">IF(Main[[#This Row],[مانده در خط تسویه شده (کیلوگرم)]]&lt;&gt;0,Main[[#This Row],[تعداد کل روزهای بدهکار (روز)]],0)</f>
        <v>0</v>
      </c>
      <c r="Z2116" s="6">
        <f ca="1">Main[[#This Row],[تعداد روزهای بدهکار تسویه شده (روز)]]*Main[[#This Row],[مانده در خط تسویه شده (کیلوگرم)]]</f>
        <v>0</v>
      </c>
      <c r="AA2116" s="6">
        <f ca="1">SUBTOTAL(9,INDEX(Main[بدهی تسویه نشده (کیلوگرم)],1):Main[[#This Row],[بدهی تسویه نشده (کیلوگرم)]])</f>
        <v>0</v>
      </c>
      <c r="AB2116" s="6">
        <f ca="1">IF(Main[[#This Row],[مانده در خط تسویه نشده (کیلوگرم)]]&lt;&gt;0,Main[[#This Row],[تعداد کل روزهای بدهکار (روز)]],0)</f>
        <v>0</v>
      </c>
      <c r="AC2116" s="6">
        <f ca="1">Main[[#This Row],[تعداد روزهای بدهکار  تسویه نشده (روز)]]*Main[[#This Row],[مانده در خط تسویه نشده (کیلوگرم)]]</f>
        <v>0</v>
      </c>
      <c r="AD2116" s="6">
        <f ca="1">SUBTOTAL(9,INDEX(Main[بدهی سررسید شده (کیلوگرم)],1):Main[[#This Row],[بدهی سررسید شده (کیلوگرم)]])</f>
        <v>0</v>
      </c>
      <c r="AE2116" s="6">
        <f ca="1">IF(Main[[#This Row],[مانده در خط سررسید شده (کیلوگرم)]]&lt;&gt;0,Main[[#This Row],[تعداد کل روزهای بدهکار (روز)]],0)</f>
        <v>0</v>
      </c>
      <c r="AF2116" s="6">
        <f ca="1">Main[[#This Row],[تعداد روزهای بدهکار سررسید شده (روز)]]*Main[[#This Row],[مانده در خط سررسید شده (کیلوگرم)]]</f>
        <v>0</v>
      </c>
    </row>
    <row r="2117" spans="1:32" hidden="1" x14ac:dyDescent="0.35">
      <c r="A2117" s="5">
        <f>ROW()-ROW(INDEX(Main[ردیف],1))+1</f>
        <v>2115</v>
      </c>
      <c r="B2117" s="31">
        <f>SUBTOTAL(2,INDEX(Main[ردیف],1):Main[[#This Row],[ردیف]])</f>
        <v>191</v>
      </c>
      <c r="C2117" s="32" t="s">
        <v>758</v>
      </c>
      <c r="D2117" s="32" t="str">
        <f>_xlfn.CONCAT("14",Main[[#This Row],[تاريخ]])</f>
        <v>1400/08/22</v>
      </c>
      <c r="E2117" s="33">
        <v>44513</v>
      </c>
      <c r="F2117" s="32">
        <v>10069</v>
      </c>
      <c r="G2117" s="5" t="str">
        <f>INDEX(customer[عنوان],MATCH(Main[[#This Row],[کد ردیابی]],customer[کد],0))</f>
        <v xml:space="preserve">جواد عرب </v>
      </c>
      <c r="H2117">
        <v>-2002</v>
      </c>
      <c r="I2117" s="6">
        <f ca="1">-Main[[#This Row],[بدهی تسویه شده (کیلوگرم)]]+Main[[#This Row],[بستانکار (کیلوگرم)]]</f>
        <v>-2002</v>
      </c>
      <c r="J2117" s="6">
        <f>IF(Main[[#This Row],[مقدار (کیلوگرم)]]&gt;0,Main[[#This Row],[مقدار (کیلوگرم)]],0)</f>
        <v>0</v>
      </c>
      <c r="K2117" s="6">
        <f>-IF(Main[[#This Row],[مقدار (کیلوگرم)]]&lt;0,Main[[#This Row],[مقدار (کیلوگرم)]],0)</f>
        <v>2002</v>
      </c>
      <c r="L21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7" s="7">
        <f>-IF(AND(Main[[#This Row],[مقدار (کیلوگرم)]]&lt;0,Main[[#This Row],[تاريخ میلادی]]&gt;44276),Main[[#This Row],[مقدار (کیلوگرم)]],0)</f>
        <v>2002</v>
      </c>
      <c r="N2117" s="6">
        <f ca="1">Main[[#This Row],[بدهکار (کیلوگرم)]]-Main[[#This Row],[بدهی تسویه نشده (کیلوگرم)]]</f>
        <v>2002</v>
      </c>
      <c r="O2117" s="6">
        <f ca="1">Main[[#This Row],[تفکیک]]</f>
        <v>0</v>
      </c>
      <c r="P2117" s="6">
        <f ca="1">IF(Main[[#This Row],[تاخیر از سررسید]]&gt;0,Main[[#This Row],[بدهی تسویه نشده (کیلوگرم)]],0)</f>
        <v>0</v>
      </c>
      <c r="Q2117" s="6">
        <f ca="1">IF(Main[[#This Row],[بدهی تسویه نشده (کیلوگرم)]]&gt;0,'گزارش فردی'!$B$7-Main[[#This Row],[تاريخ میلادی]],0)</f>
        <v>0</v>
      </c>
      <c r="R2117" s="6">
        <f ca="1">IF(Main[[#This Row],[بدهی تسویه نشده (کیلوگرم)]]&gt;0,'گزارش فردی'!$B$7-Main[[#This Row],[تاريخ میلادی]]-'گزارش فردی'!$B$8,0)</f>
        <v>0</v>
      </c>
      <c r="S2117" s="6">
        <f ca="1">Main[[#This Row],[روز از ارسال سفارش]]*Main[[#This Row],[بدهی تسویه نشده (کیلوگرم)]]</f>
        <v>0</v>
      </c>
      <c r="T2117" s="6">
        <f ca="1">Main[[#This Row],[بدهی سررسید شده (کیلوگرم)]]*Main[[#This Row],[روز از ارسال سفارش]]</f>
        <v>0</v>
      </c>
      <c r="U2117" s="6">
        <f>-SUBTOTAL(9,INDEX(Main[مقدار (کیلوگرم)],1):Main[[#This Row],[مقدار (کیلوگرم)]])</f>
        <v>41425</v>
      </c>
      <c r="V21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7" s="6">
        <f>Main[[#This Row],[تعداد کل روزهای بدهکار (روز)]]*Main[[#This Row],[مانده در خط کل (کیلوگرم)]]</f>
        <v>0</v>
      </c>
      <c r="X2117" s="6">
        <f ca="1">-SUBTOTAL(9,INDEX(Main[مقدار تسویه شده (کیلوگرم)],1):Main[[#This Row],[مقدار تسویه شده (کیلوگرم)]])</f>
        <v>41425</v>
      </c>
      <c r="Y2117" s="6">
        <f ca="1">IF(Main[[#This Row],[مانده در خط تسویه شده (کیلوگرم)]]&lt;&gt;0,Main[[#This Row],[تعداد کل روزهای بدهکار (روز)]],0)</f>
        <v>0</v>
      </c>
      <c r="Z2117" s="6">
        <f ca="1">Main[[#This Row],[تعداد روزهای بدهکار تسویه شده (روز)]]*Main[[#This Row],[مانده در خط تسویه شده (کیلوگرم)]]</f>
        <v>0</v>
      </c>
      <c r="AA2117" s="6">
        <f ca="1">SUBTOTAL(9,INDEX(Main[بدهی تسویه نشده (کیلوگرم)],1):Main[[#This Row],[بدهی تسویه نشده (کیلوگرم)]])</f>
        <v>0</v>
      </c>
      <c r="AB2117" s="6">
        <f ca="1">IF(Main[[#This Row],[مانده در خط تسویه نشده (کیلوگرم)]]&lt;&gt;0,Main[[#This Row],[تعداد کل روزهای بدهکار (روز)]],0)</f>
        <v>0</v>
      </c>
      <c r="AC2117" s="6">
        <f ca="1">Main[[#This Row],[تعداد روزهای بدهکار  تسویه نشده (روز)]]*Main[[#This Row],[مانده در خط تسویه نشده (کیلوگرم)]]</f>
        <v>0</v>
      </c>
      <c r="AD2117" s="6">
        <f ca="1">SUBTOTAL(9,INDEX(Main[بدهی سررسید شده (کیلوگرم)],1):Main[[#This Row],[بدهی سررسید شده (کیلوگرم)]])</f>
        <v>0</v>
      </c>
      <c r="AE2117" s="6">
        <f ca="1">IF(Main[[#This Row],[مانده در خط سررسید شده (کیلوگرم)]]&lt;&gt;0,Main[[#This Row],[تعداد کل روزهای بدهکار (روز)]],0)</f>
        <v>0</v>
      </c>
      <c r="AF2117" s="6">
        <f ca="1">Main[[#This Row],[تعداد روزهای بدهکار سررسید شده (روز)]]*Main[[#This Row],[مانده در خط سررسید شده (کیلوگرم)]]</f>
        <v>0</v>
      </c>
    </row>
    <row r="2118" spans="1:32" hidden="1" x14ac:dyDescent="0.35">
      <c r="A2118" s="5">
        <f>ROW()-ROW(INDEX(Main[ردیف],1))+1</f>
        <v>2116</v>
      </c>
      <c r="B2118" s="31">
        <f>SUBTOTAL(2,INDEX(Main[ردیف],1):Main[[#This Row],[ردیف]])</f>
        <v>191</v>
      </c>
      <c r="C2118" s="32" t="s">
        <v>758</v>
      </c>
      <c r="D2118" s="32" t="str">
        <f>_xlfn.CONCAT("14",Main[[#This Row],[تاريخ]])</f>
        <v>1400/08/22</v>
      </c>
      <c r="E2118" s="33">
        <v>44513</v>
      </c>
      <c r="F2118" s="32">
        <v>10070</v>
      </c>
      <c r="G2118" s="5" t="str">
        <f>INDEX(customer[عنوان],MATCH(Main[[#This Row],[کد ردیابی]],customer[کد],0))</f>
        <v xml:space="preserve">حمیدرضا شفیعی </v>
      </c>
      <c r="H2118">
        <v>1202</v>
      </c>
      <c r="I2118" s="6">
        <f ca="1">-Main[[#This Row],[بدهی تسویه شده (کیلوگرم)]]+Main[[#This Row],[بستانکار (کیلوگرم)]]</f>
        <v>1202</v>
      </c>
      <c r="J2118" s="6">
        <f>IF(Main[[#This Row],[مقدار (کیلوگرم)]]&gt;0,Main[[#This Row],[مقدار (کیلوگرم)]],0)</f>
        <v>1202</v>
      </c>
      <c r="K2118" s="6">
        <f>-IF(Main[[#This Row],[مقدار (کیلوگرم)]]&lt;0,Main[[#This Row],[مقدار (کیلوگرم)]],0)</f>
        <v>0</v>
      </c>
      <c r="L21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8" s="7">
        <f>-IF(AND(Main[[#This Row],[مقدار (کیلوگرم)]]&lt;0,Main[[#This Row],[تاريخ میلادی]]&gt;44276),Main[[#This Row],[مقدار (کیلوگرم)]],0)</f>
        <v>0</v>
      </c>
      <c r="N2118" s="6">
        <f ca="1">Main[[#This Row],[بدهکار (کیلوگرم)]]-Main[[#This Row],[بدهی تسویه نشده (کیلوگرم)]]</f>
        <v>0</v>
      </c>
      <c r="O2118" s="6">
        <f ca="1">Main[[#This Row],[تفکیک]]</f>
        <v>0</v>
      </c>
      <c r="P2118" s="6">
        <f ca="1">IF(Main[[#This Row],[تاخیر از سررسید]]&gt;0,Main[[#This Row],[بدهی تسویه نشده (کیلوگرم)]],0)</f>
        <v>0</v>
      </c>
      <c r="Q2118" s="6">
        <f ca="1">IF(Main[[#This Row],[بدهی تسویه نشده (کیلوگرم)]]&gt;0,'گزارش فردی'!$B$7-Main[[#This Row],[تاريخ میلادی]],0)</f>
        <v>0</v>
      </c>
      <c r="R2118" s="6">
        <f ca="1">IF(Main[[#This Row],[بدهی تسویه نشده (کیلوگرم)]]&gt;0,'گزارش فردی'!$B$7-Main[[#This Row],[تاريخ میلادی]]-'گزارش فردی'!$B$8,0)</f>
        <v>0</v>
      </c>
      <c r="S2118" s="6">
        <f ca="1">Main[[#This Row],[روز از ارسال سفارش]]*Main[[#This Row],[بدهی تسویه نشده (کیلوگرم)]]</f>
        <v>0</v>
      </c>
      <c r="T2118" s="6">
        <f ca="1">Main[[#This Row],[بدهی سررسید شده (کیلوگرم)]]*Main[[#This Row],[روز از ارسال سفارش]]</f>
        <v>0</v>
      </c>
      <c r="U2118" s="6">
        <f>-SUBTOTAL(9,INDEX(Main[مقدار (کیلوگرم)],1):Main[[#This Row],[مقدار (کیلوگرم)]])</f>
        <v>41425</v>
      </c>
      <c r="V21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8" s="6">
        <f>Main[[#This Row],[تعداد کل روزهای بدهکار (روز)]]*Main[[#This Row],[مانده در خط کل (کیلوگرم)]]</f>
        <v>0</v>
      </c>
      <c r="X2118" s="6">
        <f ca="1">-SUBTOTAL(9,INDEX(Main[مقدار تسویه شده (کیلوگرم)],1):Main[[#This Row],[مقدار تسویه شده (کیلوگرم)]])</f>
        <v>41425</v>
      </c>
      <c r="Y2118" s="6">
        <f ca="1">IF(Main[[#This Row],[مانده در خط تسویه شده (کیلوگرم)]]&lt;&gt;0,Main[[#This Row],[تعداد کل روزهای بدهکار (روز)]],0)</f>
        <v>0</v>
      </c>
      <c r="Z2118" s="6">
        <f ca="1">Main[[#This Row],[تعداد روزهای بدهکار تسویه شده (روز)]]*Main[[#This Row],[مانده در خط تسویه شده (کیلوگرم)]]</f>
        <v>0</v>
      </c>
      <c r="AA2118" s="6">
        <f ca="1">SUBTOTAL(9,INDEX(Main[بدهی تسویه نشده (کیلوگرم)],1):Main[[#This Row],[بدهی تسویه نشده (کیلوگرم)]])</f>
        <v>0</v>
      </c>
      <c r="AB2118" s="6">
        <f ca="1">IF(Main[[#This Row],[مانده در خط تسویه نشده (کیلوگرم)]]&lt;&gt;0,Main[[#This Row],[تعداد کل روزهای بدهکار (روز)]],0)</f>
        <v>0</v>
      </c>
      <c r="AC2118" s="6">
        <f ca="1">Main[[#This Row],[تعداد روزهای بدهکار  تسویه نشده (روز)]]*Main[[#This Row],[مانده در خط تسویه نشده (کیلوگرم)]]</f>
        <v>0</v>
      </c>
      <c r="AD2118" s="6">
        <f ca="1">SUBTOTAL(9,INDEX(Main[بدهی سررسید شده (کیلوگرم)],1):Main[[#This Row],[بدهی سررسید شده (کیلوگرم)]])</f>
        <v>0</v>
      </c>
      <c r="AE2118" s="6">
        <f ca="1">IF(Main[[#This Row],[مانده در خط سررسید شده (کیلوگرم)]]&lt;&gt;0,Main[[#This Row],[تعداد کل روزهای بدهکار (روز)]],0)</f>
        <v>0</v>
      </c>
      <c r="AF2118" s="6">
        <f ca="1">Main[[#This Row],[تعداد روزهای بدهکار سررسید شده (روز)]]*Main[[#This Row],[مانده در خط سررسید شده (کیلوگرم)]]</f>
        <v>0</v>
      </c>
    </row>
    <row r="2119" spans="1:32" hidden="1" x14ac:dyDescent="0.35">
      <c r="A2119" s="5">
        <f>ROW()-ROW(INDEX(Main[ردیف],1))+1</f>
        <v>2117</v>
      </c>
      <c r="B2119" s="31">
        <f>SUBTOTAL(2,INDEX(Main[ردیف],1):Main[[#This Row],[ردیف]])</f>
        <v>191</v>
      </c>
      <c r="C2119" s="32" t="s">
        <v>758</v>
      </c>
      <c r="D2119" s="32" t="str">
        <f>_xlfn.CONCAT("14",Main[[#This Row],[تاريخ]])</f>
        <v>1400/08/22</v>
      </c>
      <c r="E2119" s="33">
        <v>44513</v>
      </c>
      <c r="F2119" s="32">
        <v>10020</v>
      </c>
      <c r="G2119" s="5" t="str">
        <f>INDEX(customer[عنوان],MATCH(Main[[#This Row],[کد ردیابی]],customer[کد],0))</f>
        <v>فرزاد اسماعیل زاده</v>
      </c>
      <c r="H2119">
        <v>-500</v>
      </c>
      <c r="I2119" s="6">
        <f ca="1">-Main[[#This Row],[بدهی تسویه شده (کیلوگرم)]]+Main[[#This Row],[بستانکار (کیلوگرم)]]</f>
        <v>-500</v>
      </c>
      <c r="J2119" s="6">
        <f>IF(Main[[#This Row],[مقدار (کیلوگرم)]]&gt;0,Main[[#This Row],[مقدار (کیلوگرم)]],0)</f>
        <v>0</v>
      </c>
      <c r="K2119" s="6">
        <f>-IF(Main[[#This Row],[مقدار (کیلوگرم)]]&lt;0,Main[[#This Row],[مقدار (کیلوگرم)]],0)</f>
        <v>500</v>
      </c>
      <c r="L21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9" s="7">
        <f>-IF(AND(Main[[#This Row],[مقدار (کیلوگرم)]]&lt;0,Main[[#This Row],[تاريخ میلادی]]&gt;44276),Main[[#This Row],[مقدار (کیلوگرم)]],0)</f>
        <v>500</v>
      </c>
      <c r="N2119" s="6">
        <f ca="1">Main[[#This Row],[بدهکار (کیلوگرم)]]-Main[[#This Row],[بدهی تسویه نشده (کیلوگرم)]]</f>
        <v>500</v>
      </c>
      <c r="O2119" s="6">
        <f ca="1">Main[[#This Row],[تفکیک]]</f>
        <v>0</v>
      </c>
      <c r="P2119" s="6">
        <f ca="1">IF(Main[[#This Row],[تاخیر از سررسید]]&gt;0,Main[[#This Row],[بدهی تسویه نشده (کیلوگرم)]],0)</f>
        <v>0</v>
      </c>
      <c r="Q2119" s="6">
        <f ca="1">IF(Main[[#This Row],[بدهی تسویه نشده (کیلوگرم)]]&gt;0,'گزارش فردی'!$B$7-Main[[#This Row],[تاريخ میلادی]],0)</f>
        <v>0</v>
      </c>
      <c r="R2119" s="6">
        <f ca="1">IF(Main[[#This Row],[بدهی تسویه نشده (کیلوگرم)]]&gt;0,'گزارش فردی'!$B$7-Main[[#This Row],[تاريخ میلادی]]-'گزارش فردی'!$B$8,0)</f>
        <v>0</v>
      </c>
      <c r="S2119" s="6">
        <f ca="1">Main[[#This Row],[روز از ارسال سفارش]]*Main[[#This Row],[بدهی تسویه نشده (کیلوگرم)]]</f>
        <v>0</v>
      </c>
      <c r="T2119" s="6">
        <f ca="1">Main[[#This Row],[بدهی سررسید شده (کیلوگرم)]]*Main[[#This Row],[روز از ارسال سفارش]]</f>
        <v>0</v>
      </c>
      <c r="U2119" s="6">
        <f>-SUBTOTAL(9,INDEX(Main[مقدار (کیلوگرم)],1):Main[[#This Row],[مقدار (کیلوگرم)]])</f>
        <v>41425</v>
      </c>
      <c r="V21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9" s="6">
        <f>Main[[#This Row],[تعداد کل روزهای بدهکار (روز)]]*Main[[#This Row],[مانده در خط کل (کیلوگرم)]]</f>
        <v>0</v>
      </c>
      <c r="X2119" s="6">
        <f ca="1">-SUBTOTAL(9,INDEX(Main[مقدار تسویه شده (کیلوگرم)],1):Main[[#This Row],[مقدار تسویه شده (کیلوگرم)]])</f>
        <v>41425</v>
      </c>
      <c r="Y2119" s="6">
        <f ca="1">IF(Main[[#This Row],[مانده در خط تسویه شده (کیلوگرم)]]&lt;&gt;0,Main[[#This Row],[تعداد کل روزهای بدهکار (روز)]],0)</f>
        <v>0</v>
      </c>
      <c r="Z2119" s="6">
        <f ca="1">Main[[#This Row],[تعداد روزهای بدهکار تسویه شده (روز)]]*Main[[#This Row],[مانده در خط تسویه شده (کیلوگرم)]]</f>
        <v>0</v>
      </c>
      <c r="AA2119" s="6">
        <f ca="1">SUBTOTAL(9,INDEX(Main[بدهی تسویه نشده (کیلوگرم)],1):Main[[#This Row],[بدهی تسویه نشده (کیلوگرم)]])</f>
        <v>0</v>
      </c>
      <c r="AB2119" s="6">
        <f ca="1">IF(Main[[#This Row],[مانده در خط تسویه نشده (کیلوگرم)]]&lt;&gt;0,Main[[#This Row],[تعداد کل روزهای بدهکار (روز)]],0)</f>
        <v>0</v>
      </c>
      <c r="AC2119" s="6">
        <f ca="1">Main[[#This Row],[تعداد روزهای بدهکار  تسویه نشده (روز)]]*Main[[#This Row],[مانده در خط تسویه نشده (کیلوگرم)]]</f>
        <v>0</v>
      </c>
      <c r="AD2119" s="6">
        <f ca="1">SUBTOTAL(9,INDEX(Main[بدهی سررسید شده (کیلوگرم)],1):Main[[#This Row],[بدهی سررسید شده (کیلوگرم)]])</f>
        <v>0</v>
      </c>
      <c r="AE2119" s="6">
        <f ca="1">IF(Main[[#This Row],[مانده در خط سررسید شده (کیلوگرم)]]&lt;&gt;0,Main[[#This Row],[تعداد کل روزهای بدهکار (روز)]],0)</f>
        <v>0</v>
      </c>
      <c r="AF2119" s="6">
        <f ca="1">Main[[#This Row],[تعداد روزهای بدهکار سررسید شده (روز)]]*Main[[#This Row],[مانده در خط سررسید شده (کیلوگرم)]]</f>
        <v>0</v>
      </c>
    </row>
    <row r="2120" spans="1:32" hidden="1" x14ac:dyDescent="0.35">
      <c r="A2120" s="5">
        <f>ROW()-ROW(INDEX(Main[ردیف],1))+1</f>
        <v>2118</v>
      </c>
      <c r="B2120" s="31">
        <f>SUBTOTAL(2,INDEX(Main[ردیف],1):Main[[#This Row],[ردیف]])</f>
        <v>191</v>
      </c>
      <c r="C2120" s="32" t="s">
        <v>758</v>
      </c>
      <c r="D2120" s="32" t="str">
        <f>_xlfn.CONCAT("14",Main[[#This Row],[تاريخ]])</f>
        <v>1400/08/22</v>
      </c>
      <c r="E2120" s="33">
        <v>44513</v>
      </c>
      <c r="F2120" s="32">
        <v>10018</v>
      </c>
      <c r="G2120" s="5" t="str">
        <f>INDEX(customer[عنوان],MATCH(Main[[#This Row],[کد ردیابی]],customer[کد],0))</f>
        <v xml:space="preserve">کوهی </v>
      </c>
      <c r="H2120">
        <v>298</v>
      </c>
      <c r="I2120" s="6">
        <f ca="1">-Main[[#This Row],[بدهی تسویه شده (کیلوگرم)]]+Main[[#This Row],[بستانکار (کیلوگرم)]]</f>
        <v>298</v>
      </c>
      <c r="J2120" s="6">
        <f>IF(Main[[#This Row],[مقدار (کیلوگرم)]]&gt;0,Main[[#This Row],[مقدار (کیلوگرم)]],0)</f>
        <v>298</v>
      </c>
      <c r="K2120" s="6">
        <f>-IF(Main[[#This Row],[مقدار (کیلوگرم)]]&lt;0,Main[[#This Row],[مقدار (کیلوگرم)]],0)</f>
        <v>0</v>
      </c>
      <c r="L21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0" s="7">
        <f>-IF(AND(Main[[#This Row],[مقدار (کیلوگرم)]]&lt;0,Main[[#This Row],[تاريخ میلادی]]&gt;44276),Main[[#This Row],[مقدار (کیلوگرم)]],0)</f>
        <v>0</v>
      </c>
      <c r="N2120" s="6">
        <f ca="1">Main[[#This Row],[بدهکار (کیلوگرم)]]-Main[[#This Row],[بدهی تسویه نشده (کیلوگرم)]]</f>
        <v>0</v>
      </c>
      <c r="O2120" s="6">
        <f ca="1">Main[[#This Row],[تفکیک]]</f>
        <v>0</v>
      </c>
      <c r="P2120" s="6">
        <f ca="1">IF(Main[[#This Row],[تاخیر از سررسید]]&gt;0,Main[[#This Row],[بدهی تسویه نشده (کیلوگرم)]],0)</f>
        <v>0</v>
      </c>
      <c r="Q2120" s="6">
        <f ca="1">IF(Main[[#This Row],[بدهی تسویه نشده (کیلوگرم)]]&gt;0,'گزارش فردی'!$B$7-Main[[#This Row],[تاريخ میلادی]],0)</f>
        <v>0</v>
      </c>
      <c r="R2120" s="6">
        <f ca="1">IF(Main[[#This Row],[بدهی تسویه نشده (کیلوگرم)]]&gt;0,'گزارش فردی'!$B$7-Main[[#This Row],[تاريخ میلادی]]-'گزارش فردی'!$B$8,0)</f>
        <v>0</v>
      </c>
      <c r="S2120" s="6">
        <f ca="1">Main[[#This Row],[روز از ارسال سفارش]]*Main[[#This Row],[بدهی تسویه نشده (کیلوگرم)]]</f>
        <v>0</v>
      </c>
      <c r="T2120" s="6">
        <f ca="1">Main[[#This Row],[بدهی سررسید شده (کیلوگرم)]]*Main[[#This Row],[روز از ارسال سفارش]]</f>
        <v>0</v>
      </c>
      <c r="U2120" s="6">
        <f>-SUBTOTAL(9,INDEX(Main[مقدار (کیلوگرم)],1):Main[[#This Row],[مقدار (کیلوگرم)]])</f>
        <v>41425</v>
      </c>
      <c r="V21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20" s="6">
        <f>Main[[#This Row],[تعداد کل روزهای بدهکار (روز)]]*Main[[#This Row],[مانده در خط کل (کیلوگرم)]]</f>
        <v>0</v>
      </c>
      <c r="X2120" s="6">
        <f ca="1">-SUBTOTAL(9,INDEX(Main[مقدار تسویه شده (کیلوگرم)],1):Main[[#This Row],[مقدار تسویه شده (کیلوگرم)]])</f>
        <v>41425</v>
      </c>
      <c r="Y2120" s="6">
        <f ca="1">IF(Main[[#This Row],[مانده در خط تسویه شده (کیلوگرم)]]&lt;&gt;0,Main[[#This Row],[تعداد کل روزهای بدهکار (روز)]],0)</f>
        <v>0</v>
      </c>
      <c r="Z2120" s="6">
        <f ca="1">Main[[#This Row],[تعداد روزهای بدهکار تسویه شده (روز)]]*Main[[#This Row],[مانده در خط تسویه شده (کیلوگرم)]]</f>
        <v>0</v>
      </c>
      <c r="AA2120" s="6">
        <f ca="1">SUBTOTAL(9,INDEX(Main[بدهی تسویه نشده (کیلوگرم)],1):Main[[#This Row],[بدهی تسویه نشده (کیلوگرم)]])</f>
        <v>0</v>
      </c>
      <c r="AB2120" s="6">
        <f ca="1">IF(Main[[#This Row],[مانده در خط تسویه نشده (کیلوگرم)]]&lt;&gt;0,Main[[#This Row],[تعداد کل روزهای بدهکار (روز)]],0)</f>
        <v>0</v>
      </c>
      <c r="AC2120" s="6">
        <f ca="1">Main[[#This Row],[تعداد روزهای بدهکار  تسویه نشده (روز)]]*Main[[#This Row],[مانده در خط تسویه نشده (کیلوگرم)]]</f>
        <v>0</v>
      </c>
      <c r="AD2120" s="6">
        <f ca="1">SUBTOTAL(9,INDEX(Main[بدهی سررسید شده (کیلوگرم)],1):Main[[#This Row],[بدهی سررسید شده (کیلوگرم)]])</f>
        <v>0</v>
      </c>
      <c r="AE2120" s="6">
        <f ca="1">IF(Main[[#This Row],[مانده در خط سررسید شده (کیلوگرم)]]&lt;&gt;0,Main[[#This Row],[تعداد کل روزهای بدهکار (روز)]],0)</f>
        <v>0</v>
      </c>
      <c r="AF2120" s="6">
        <f ca="1">Main[[#This Row],[تعداد روزهای بدهکار سررسید شده (روز)]]*Main[[#This Row],[مانده در خط سررسید شده (کیلوگرم)]]</f>
        <v>0</v>
      </c>
    </row>
    <row r="2121" spans="1:32" x14ac:dyDescent="0.35">
      <c r="A2121" s="5">
        <f>ROW()-ROW(INDEX(Main[ردیف],1))+1</f>
        <v>2119</v>
      </c>
      <c r="B2121" s="31">
        <f>SUBTOTAL(2,INDEX(Main[ردیف],1):Main[[#This Row],[ردیف]])</f>
        <v>192</v>
      </c>
      <c r="C2121" s="32" t="s">
        <v>758</v>
      </c>
      <c r="D2121" s="32" t="str">
        <f>_xlfn.CONCAT("14",Main[[#This Row],[تاريخ]])</f>
        <v>1400/08/22</v>
      </c>
      <c r="E2121" s="33">
        <v>44513</v>
      </c>
      <c r="F2121" s="32">
        <v>10003</v>
      </c>
      <c r="G2121" s="5" t="str">
        <f>INDEX(customer[عنوان],MATCH(Main[[#This Row],[کد ردیابی]],customer[کد],0))</f>
        <v>اصغر نورعلی</v>
      </c>
      <c r="H2121">
        <v>-4565</v>
      </c>
      <c r="I2121" s="6">
        <f ca="1">-Main[[#This Row],[بدهی تسویه شده (کیلوگرم)]]+Main[[#This Row],[بستانکار (کیلوگرم)]]</f>
        <v>-4565</v>
      </c>
      <c r="J2121" s="6">
        <f>IF(Main[[#This Row],[مقدار (کیلوگرم)]]&gt;0,Main[[#This Row],[مقدار (کیلوگرم)]],0)</f>
        <v>0</v>
      </c>
      <c r="K2121" s="6">
        <f>-IF(Main[[#This Row],[مقدار (کیلوگرم)]]&lt;0,Main[[#This Row],[مقدار (کیلوگرم)]],0)</f>
        <v>4565</v>
      </c>
      <c r="L21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1" s="7">
        <f>-IF(AND(Main[[#This Row],[مقدار (کیلوگرم)]]&lt;0,Main[[#This Row],[تاريخ میلادی]]&gt;44276),Main[[#This Row],[مقدار (کیلوگرم)]],0)</f>
        <v>4565</v>
      </c>
      <c r="N2121" s="6">
        <f ca="1">Main[[#This Row],[بدهکار (کیلوگرم)]]-Main[[#This Row],[بدهی تسویه نشده (کیلوگرم)]]</f>
        <v>4565</v>
      </c>
      <c r="O2121" s="6">
        <f ca="1">Main[[#This Row],[تفکیک]]</f>
        <v>0</v>
      </c>
      <c r="P2121" s="6">
        <f ca="1">IF(Main[[#This Row],[تاخیر از سررسید]]&gt;0,Main[[#This Row],[بدهی تسویه نشده (کیلوگرم)]],0)</f>
        <v>0</v>
      </c>
      <c r="Q2121" s="6">
        <f ca="1">IF(Main[[#This Row],[بدهی تسویه نشده (کیلوگرم)]]&gt;0,'گزارش فردی'!$B$7-Main[[#This Row],[تاريخ میلادی]],0)</f>
        <v>0</v>
      </c>
      <c r="R2121" s="6">
        <f ca="1">IF(Main[[#This Row],[بدهی تسویه نشده (کیلوگرم)]]&gt;0,'گزارش فردی'!$B$7-Main[[#This Row],[تاريخ میلادی]]-'گزارش فردی'!$B$8,0)</f>
        <v>0</v>
      </c>
      <c r="S2121" s="6">
        <f ca="1">Main[[#This Row],[روز از ارسال سفارش]]*Main[[#This Row],[بدهی تسویه نشده (کیلوگرم)]]</f>
        <v>0</v>
      </c>
      <c r="T2121" s="6">
        <f ca="1">Main[[#This Row],[بدهی سررسید شده (کیلوگرم)]]*Main[[#This Row],[روز از ارسال سفارش]]</f>
        <v>0</v>
      </c>
      <c r="U2121" s="6">
        <f>-SUBTOTAL(9,INDEX(Main[مقدار (کیلوگرم)],1):Main[[#This Row],[مقدار (کیلوگرم)]])</f>
        <v>45990</v>
      </c>
      <c r="V21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1" s="6">
        <f>Main[[#This Row],[تعداد کل روزهای بدهکار (روز)]]*Main[[#This Row],[مانده در خط کل (کیلوگرم)]]</f>
        <v>45990</v>
      </c>
      <c r="X2121" s="6">
        <f ca="1">-SUBTOTAL(9,INDEX(Main[مقدار تسویه شده (کیلوگرم)],1):Main[[#This Row],[مقدار تسویه شده (کیلوگرم)]])</f>
        <v>45990</v>
      </c>
      <c r="Y2121" s="6">
        <f ca="1">IF(Main[[#This Row],[مانده در خط تسویه شده (کیلوگرم)]]&lt;&gt;0,Main[[#This Row],[تعداد کل روزهای بدهکار (روز)]],0)</f>
        <v>1</v>
      </c>
      <c r="Z2121" s="6">
        <f ca="1">Main[[#This Row],[تعداد روزهای بدهکار تسویه شده (روز)]]*Main[[#This Row],[مانده در خط تسویه شده (کیلوگرم)]]</f>
        <v>45990</v>
      </c>
      <c r="AA2121" s="6">
        <f ca="1">SUBTOTAL(9,INDEX(Main[بدهی تسویه نشده (کیلوگرم)],1):Main[[#This Row],[بدهی تسویه نشده (کیلوگرم)]])</f>
        <v>0</v>
      </c>
      <c r="AB2121" s="6">
        <f ca="1">IF(Main[[#This Row],[مانده در خط تسویه نشده (کیلوگرم)]]&lt;&gt;0,Main[[#This Row],[تعداد کل روزهای بدهکار (روز)]],0)</f>
        <v>0</v>
      </c>
      <c r="AC2121" s="6">
        <f ca="1">Main[[#This Row],[تعداد روزهای بدهکار  تسویه نشده (روز)]]*Main[[#This Row],[مانده در خط تسویه نشده (کیلوگرم)]]</f>
        <v>0</v>
      </c>
      <c r="AD2121" s="6">
        <f ca="1">SUBTOTAL(9,INDEX(Main[بدهی سررسید شده (کیلوگرم)],1):Main[[#This Row],[بدهی سررسید شده (کیلوگرم)]])</f>
        <v>0</v>
      </c>
      <c r="AE2121" s="6">
        <f ca="1">IF(Main[[#This Row],[مانده در خط سررسید شده (کیلوگرم)]]&lt;&gt;0,Main[[#This Row],[تعداد کل روزهای بدهکار (روز)]],0)</f>
        <v>0</v>
      </c>
      <c r="AF2121" s="6">
        <f ca="1">Main[[#This Row],[تعداد روزهای بدهکار سررسید شده (روز)]]*Main[[#This Row],[مانده در خط سررسید شده (کیلوگرم)]]</f>
        <v>0</v>
      </c>
    </row>
    <row r="2122" spans="1:32" hidden="1" x14ac:dyDescent="0.35">
      <c r="A2122" s="5">
        <f>ROW()-ROW(INDEX(Main[ردیف],1))+1</f>
        <v>2120</v>
      </c>
      <c r="B2122" s="31">
        <f>SUBTOTAL(2,INDEX(Main[ردیف],1):Main[[#This Row],[ردیف]])</f>
        <v>192</v>
      </c>
      <c r="C2122" s="32" t="s">
        <v>758</v>
      </c>
      <c r="D2122" s="32" t="str">
        <f>_xlfn.CONCAT("14",Main[[#This Row],[تاريخ]])</f>
        <v>1400/08/22</v>
      </c>
      <c r="E2122" s="33">
        <v>44513</v>
      </c>
      <c r="F2122" s="32">
        <v>10018</v>
      </c>
      <c r="G2122" s="5" t="str">
        <f>INDEX(customer[عنوان],MATCH(Main[[#This Row],[کد ردیابی]],customer[کد],0))</f>
        <v xml:space="preserve">کوهی </v>
      </c>
      <c r="H2122">
        <v>14</v>
      </c>
      <c r="I2122" s="6">
        <f ca="1">-Main[[#This Row],[بدهی تسویه شده (کیلوگرم)]]+Main[[#This Row],[بستانکار (کیلوگرم)]]</f>
        <v>14</v>
      </c>
      <c r="J2122" s="6">
        <f>IF(Main[[#This Row],[مقدار (کیلوگرم)]]&gt;0,Main[[#This Row],[مقدار (کیلوگرم)]],0)</f>
        <v>14</v>
      </c>
      <c r="K2122" s="6">
        <f>-IF(Main[[#This Row],[مقدار (کیلوگرم)]]&lt;0,Main[[#This Row],[مقدار (کیلوگرم)]],0)</f>
        <v>0</v>
      </c>
      <c r="L21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2" s="7">
        <f>-IF(AND(Main[[#This Row],[مقدار (کیلوگرم)]]&lt;0,Main[[#This Row],[تاريخ میلادی]]&gt;44276),Main[[#This Row],[مقدار (کیلوگرم)]],0)</f>
        <v>0</v>
      </c>
      <c r="N2122" s="6">
        <f ca="1">Main[[#This Row],[بدهکار (کیلوگرم)]]-Main[[#This Row],[بدهی تسویه نشده (کیلوگرم)]]</f>
        <v>0</v>
      </c>
      <c r="O2122" s="6">
        <f ca="1">Main[[#This Row],[تفکیک]]</f>
        <v>0</v>
      </c>
      <c r="P2122" s="6">
        <f ca="1">IF(Main[[#This Row],[تاخیر از سررسید]]&gt;0,Main[[#This Row],[بدهی تسویه نشده (کیلوگرم)]],0)</f>
        <v>0</v>
      </c>
      <c r="Q2122" s="6">
        <f ca="1">IF(Main[[#This Row],[بدهی تسویه نشده (کیلوگرم)]]&gt;0,'گزارش فردی'!$B$7-Main[[#This Row],[تاريخ میلادی]],0)</f>
        <v>0</v>
      </c>
      <c r="R2122" s="6">
        <f ca="1">IF(Main[[#This Row],[بدهی تسویه نشده (کیلوگرم)]]&gt;0,'گزارش فردی'!$B$7-Main[[#This Row],[تاريخ میلادی]]-'گزارش فردی'!$B$8,0)</f>
        <v>0</v>
      </c>
      <c r="S2122" s="6">
        <f ca="1">Main[[#This Row],[روز از ارسال سفارش]]*Main[[#This Row],[بدهی تسویه نشده (کیلوگرم)]]</f>
        <v>0</v>
      </c>
      <c r="T2122" s="6">
        <f ca="1">Main[[#This Row],[بدهی سررسید شده (کیلوگرم)]]*Main[[#This Row],[روز از ارسال سفارش]]</f>
        <v>0</v>
      </c>
      <c r="U2122" s="6">
        <f>-SUBTOTAL(9,INDEX(Main[مقدار (کیلوگرم)],1):Main[[#This Row],[مقدار (کیلوگرم)]])</f>
        <v>45990</v>
      </c>
      <c r="V21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2" s="6">
        <f>Main[[#This Row],[تعداد کل روزهای بدهکار (روز)]]*Main[[#This Row],[مانده در خط کل (کیلوگرم)]]</f>
        <v>45990</v>
      </c>
      <c r="X2122" s="6">
        <f ca="1">-SUBTOTAL(9,INDEX(Main[مقدار تسویه شده (کیلوگرم)],1):Main[[#This Row],[مقدار تسویه شده (کیلوگرم)]])</f>
        <v>45990</v>
      </c>
      <c r="Y2122" s="6">
        <f ca="1">IF(Main[[#This Row],[مانده در خط تسویه شده (کیلوگرم)]]&lt;&gt;0,Main[[#This Row],[تعداد کل روزهای بدهکار (روز)]],0)</f>
        <v>1</v>
      </c>
      <c r="Z2122" s="6">
        <f ca="1">Main[[#This Row],[تعداد روزهای بدهکار تسویه شده (روز)]]*Main[[#This Row],[مانده در خط تسویه شده (کیلوگرم)]]</f>
        <v>45990</v>
      </c>
      <c r="AA2122" s="6">
        <f ca="1">SUBTOTAL(9,INDEX(Main[بدهی تسویه نشده (کیلوگرم)],1):Main[[#This Row],[بدهی تسویه نشده (کیلوگرم)]])</f>
        <v>0</v>
      </c>
      <c r="AB2122" s="6">
        <f ca="1">IF(Main[[#This Row],[مانده در خط تسویه نشده (کیلوگرم)]]&lt;&gt;0,Main[[#This Row],[تعداد کل روزهای بدهکار (روز)]],0)</f>
        <v>0</v>
      </c>
      <c r="AC2122" s="6">
        <f ca="1">Main[[#This Row],[تعداد روزهای بدهکار  تسویه نشده (روز)]]*Main[[#This Row],[مانده در خط تسویه نشده (کیلوگرم)]]</f>
        <v>0</v>
      </c>
      <c r="AD2122" s="6">
        <f ca="1">SUBTOTAL(9,INDEX(Main[بدهی سررسید شده (کیلوگرم)],1):Main[[#This Row],[بدهی سررسید شده (کیلوگرم)]])</f>
        <v>0</v>
      </c>
      <c r="AE2122" s="6">
        <f ca="1">IF(Main[[#This Row],[مانده در خط سررسید شده (کیلوگرم)]]&lt;&gt;0,Main[[#This Row],[تعداد کل روزهای بدهکار (روز)]],0)</f>
        <v>0</v>
      </c>
      <c r="AF2122" s="6">
        <f ca="1">Main[[#This Row],[تعداد روزهای بدهکار سررسید شده (روز)]]*Main[[#This Row],[مانده در خط سررسید شده (کیلوگرم)]]</f>
        <v>0</v>
      </c>
    </row>
    <row r="2123" spans="1:32" hidden="1" x14ac:dyDescent="0.35">
      <c r="A2123" s="5">
        <f>ROW()-ROW(INDEX(Main[ردیف],1))+1</f>
        <v>2121</v>
      </c>
      <c r="B2123" s="31">
        <f>SUBTOTAL(2,INDEX(Main[ردیف],1):Main[[#This Row],[ردیف]])</f>
        <v>192</v>
      </c>
      <c r="C2123" s="32" t="s">
        <v>758</v>
      </c>
      <c r="D2123" s="32" t="str">
        <f>_xlfn.CONCAT("14",Main[[#This Row],[تاريخ]])</f>
        <v>1400/08/22</v>
      </c>
      <c r="E2123" s="33">
        <v>44513</v>
      </c>
      <c r="F2123" s="32">
        <v>10018</v>
      </c>
      <c r="G2123" s="5" t="str">
        <f>INDEX(customer[عنوان],MATCH(Main[[#This Row],[کد ردیابی]],customer[کد],0))</f>
        <v xml:space="preserve">کوهی </v>
      </c>
      <c r="H2123">
        <v>-736</v>
      </c>
      <c r="I2123" s="6">
        <f ca="1">-Main[[#This Row],[بدهی تسویه شده (کیلوگرم)]]+Main[[#This Row],[بستانکار (کیلوگرم)]]</f>
        <v>-736</v>
      </c>
      <c r="J2123" s="6">
        <f>IF(Main[[#This Row],[مقدار (کیلوگرم)]]&gt;0,Main[[#This Row],[مقدار (کیلوگرم)]],0)</f>
        <v>0</v>
      </c>
      <c r="K2123" s="6">
        <f>-IF(Main[[#This Row],[مقدار (کیلوگرم)]]&lt;0,Main[[#This Row],[مقدار (کیلوگرم)]],0)</f>
        <v>736</v>
      </c>
      <c r="L21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3" s="7">
        <f>-IF(AND(Main[[#This Row],[مقدار (کیلوگرم)]]&lt;0,Main[[#This Row],[تاريخ میلادی]]&gt;44276),Main[[#This Row],[مقدار (کیلوگرم)]],0)</f>
        <v>736</v>
      </c>
      <c r="N2123" s="6">
        <f ca="1">Main[[#This Row],[بدهکار (کیلوگرم)]]-Main[[#This Row],[بدهی تسویه نشده (کیلوگرم)]]</f>
        <v>736</v>
      </c>
      <c r="O2123" s="6">
        <f ca="1">Main[[#This Row],[تفکیک]]</f>
        <v>0</v>
      </c>
      <c r="P2123" s="6">
        <f ca="1">IF(Main[[#This Row],[تاخیر از سررسید]]&gt;0,Main[[#This Row],[بدهی تسویه نشده (کیلوگرم)]],0)</f>
        <v>0</v>
      </c>
      <c r="Q2123" s="6">
        <f ca="1">IF(Main[[#This Row],[بدهی تسویه نشده (کیلوگرم)]]&gt;0,'گزارش فردی'!$B$7-Main[[#This Row],[تاريخ میلادی]],0)</f>
        <v>0</v>
      </c>
      <c r="R2123" s="6">
        <f ca="1">IF(Main[[#This Row],[بدهی تسویه نشده (کیلوگرم)]]&gt;0,'گزارش فردی'!$B$7-Main[[#This Row],[تاريخ میلادی]]-'گزارش فردی'!$B$8,0)</f>
        <v>0</v>
      </c>
      <c r="S2123" s="6">
        <f ca="1">Main[[#This Row],[روز از ارسال سفارش]]*Main[[#This Row],[بدهی تسویه نشده (کیلوگرم)]]</f>
        <v>0</v>
      </c>
      <c r="T2123" s="6">
        <f ca="1">Main[[#This Row],[بدهی سررسید شده (کیلوگرم)]]*Main[[#This Row],[روز از ارسال سفارش]]</f>
        <v>0</v>
      </c>
      <c r="U2123" s="6">
        <f>-SUBTOTAL(9,INDEX(Main[مقدار (کیلوگرم)],1):Main[[#This Row],[مقدار (کیلوگرم)]])</f>
        <v>45990</v>
      </c>
      <c r="V21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3" s="6">
        <f>Main[[#This Row],[تعداد کل روزهای بدهکار (روز)]]*Main[[#This Row],[مانده در خط کل (کیلوگرم)]]</f>
        <v>45990</v>
      </c>
      <c r="X2123" s="6">
        <f ca="1">-SUBTOTAL(9,INDEX(Main[مقدار تسویه شده (کیلوگرم)],1):Main[[#This Row],[مقدار تسویه شده (کیلوگرم)]])</f>
        <v>45990</v>
      </c>
      <c r="Y2123" s="6">
        <f ca="1">IF(Main[[#This Row],[مانده در خط تسویه شده (کیلوگرم)]]&lt;&gt;0,Main[[#This Row],[تعداد کل روزهای بدهکار (روز)]],0)</f>
        <v>1</v>
      </c>
      <c r="Z2123" s="6">
        <f ca="1">Main[[#This Row],[تعداد روزهای بدهکار تسویه شده (روز)]]*Main[[#This Row],[مانده در خط تسویه شده (کیلوگرم)]]</f>
        <v>45990</v>
      </c>
      <c r="AA2123" s="6">
        <f ca="1">SUBTOTAL(9,INDEX(Main[بدهی تسویه نشده (کیلوگرم)],1):Main[[#This Row],[بدهی تسویه نشده (کیلوگرم)]])</f>
        <v>0</v>
      </c>
      <c r="AB2123" s="6">
        <f ca="1">IF(Main[[#This Row],[مانده در خط تسویه نشده (کیلوگرم)]]&lt;&gt;0,Main[[#This Row],[تعداد کل روزهای بدهکار (روز)]],0)</f>
        <v>0</v>
      </c>
      <c r="AC2123" s="6">
        <f ca="1">Main[[#This Row],[تعداد روزهای بدهکار  تسویه نشده (روز)]]*Main[[#This Row],[مانده در خط تسویه نشده (کیلوگرم)]]</f>
        <v>0</v>
      </c>
      <c r="AD2123" s="6">
        <f ca="1">SUBTOTAL(9,INDEX(Main[بدهی سررسید شده (کیلوگرم)],1):Main[[#This Row],[بدهی سررسید شده (کیلوگرم)]])</f>
        <v>0</v>
      </c>
      <c r="AE2123" s="6">
        <f ca="1">IF(Main[[#This Row],[مانده در خط سررسید شده (کیلوگرم)]]&lt;&gt;0,Main[[#This Row],[تعداد کل روزهای بدهکار (روز)]],0)</f>
        <v>0</v>
      </c>
      <c r="AF2123" s="6">
        <f ca="1">Main[[#This Row],[تعداد روزهای بدهکار سررسید شده (روز)]]*Main[[#This Row],[مانده در خط سررسید شده (کیلوگرم)]]</f>
        <v>0</v>
      </c>
    </row>
    <row r="2124" spans="1:32" hidden="1" x14ac:dyDescent="0.35">
      <c r="A2124" s="5">
        <f>ROW()-ROW(INDEX(Main[ردیف],1))+1</f>
        <v>2122</v>
      </c>
      <c r="B2124" s="31">
        <f>SUBTOTAL(2,INDEX(Main[ردیف],1):Main[[#This Row],[ردیف]])</f>
        <v>192</v>
      </c>
      <c r="C2124" s="32" t="s">
        <v>758</v>
      </c>
      <c r="D2124" s="32" t="str">
        <f>_xlfn.CONCAT("14",Main[[#This Row],[تاريخ]])</f>
        <v>1400/08/22</v>
      </c>
      <c r="E2124" s="33">
        <v>44513</v>
      </c>
      <c r="F2124" s="32">
        <v>10069</v>
      </c>
      <c r="G2124" s="5" t="str">
        <f>INDEX(customer[عنوان],MATCH(Main[[#This Row],[کد ردیابی]],customer[کد],0))</f>
        <v xml:space="preserve">جواد عرب </v>
      </c>
      <c r="H2124">
        <v>1774</v>
      </c>
      <c r="I2124" s="6">
        <f ca="1">-Main[[#This Row],[بدهی تسویه شده (کیلوگرم)]]+Main[[#This Row],[بستانکار (کیلوگرم)]]</f>
        <v>1774</v>
      </c>
      <c r="J2124" s="6">
        <f>IF(Main[[#This Row],[مقدار (کیلوگرم)]]&gt;0,Main[[#This Row],[مقدار (کیلوگرم)]],0)</f>
        <v>1774</v>
      </c>
      <c r="K2124" s="6">
        <f>-IF(Main[[#This Row],[مقدار (کیلوگرم)]]&lt;0,Main[[#This Row],[مقدار (کیلوگرم)]],0)</f>
        <v>0</v>
      </c>
      <c r="L21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4" s="7">
        <f>-IF(AND(Main[[#This Row],[مقدار (کیلوگرم)]]&lt;0,Main[[#This Row],[تاريخ میلادی]]&gt;44276),Main[[#This Row],[مقدار (کیلوگرم)]],0)</f>
        <v>0</v>
      </c>
      <c r="N2124" s="6">
        <f ca="1">Main[[#This Row],[بدهکار (کیلوگرم)]]-Main[[#This Row],[بدهی تسویه نشده (کیلوگرم)]]</f>
        <v>0</v>
      </c>
      <c r="O2124" s="6">
        <f ca="1">Main[[#This Row],[تفکیک]]</f>
        <v>0</v>
      </c>
      <c r="P2124" s="6">
        <f ca="1">IF(Main[[#This Row],[تاخیر از سررسید]]&gt;0,Main[[#This Row],[بدهی تسویه نشده (کیلوگرم)]],0)</f>
        <v>0</v>
      </c>
      <c r="Q2124" s="6">
        <f ca="1">IF(Main[[#This Row],[بدهی تسویه نشده (کیلوگرم)]]&gt;0,'گزارش فردی'!$B$7-Main[[#This Row],[تاريخ میلادی]],0)</f>
        <v>0</v>
      </c>
      <c r="R2124" s="6">
        <f ca="1">IF(Main[[#This Row],[بدهی تسویه نشده (کیلوگرم)]]&gt;0,'گزارش فردی'!$B$7-Main[[#This Row],[تاريخ میلادی]]-'گزارش فردی'!$B$8,0)</f>
        <v>0</v>
      </c>
      <c r="S2124" s="6">
        <f ca="1">Main[[#This Row],[روز از ارسال سفارش]]*Main[[#This Row],[بدهی تسویه نشده (کیلوگرم)]]</f>
        <v>0</v>
      </c>
      <c r="T2124" s="6">
        <f ca="1">Main[[#This Row],[بدهی سررسید شده (کیلوگرم)]]*Main[[#This Row],[روز از ارسال سفارش]]</f>
        <v>0</v>
      </c>
      <c r="U2124" s="6">
        <f>-SUBTOTAL(9,INDEX(Main[مقدار (کیلوگرم)],1):Main[[#This Row],[مقدار (کیلوگرم)]])</f>
        <v>45990</v>
      </c>
      <c r="V21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4" s="6">
        <f>Main[[#This Row],[تعداد کل روزهای بدهکار (روز)]]*Main[[#This Row],[مانده در خط کل (کیلوگرم)]]</f>
        <v>45990</v>
      </c>
      <c r="X2124" s="6">
        <f ca="1">-SUBTOTAL(9,INDEX(Main[مقدار تسویه شده (کیلوگرم)],1):Main[[#This Row],[مقدار تسویه شده (کیلوگرم)]])</f>
        <v>45990</v>
      </c>
      <c r="Y2124" s="6">
        <f ca="1">IF(Main[[#This Row],[مانده در خط تسویه شده (کیلوگرم)]]&lt;&gt;0,Main[[#This Row],[تعداد کل روزهای بدهکار (روز)]],0)</f>
        <v>1</v>
      </c>
      <c r="Z2124" s="6">
        <f ca="1">Main[[#This Row],[تعداد روزهای بدهکار تسویه شده (روز)]]*Main[[#This Row],[مانده در خط تسویه شده (کیلوگرم)]]</f>
        <v>45990</v>
      </c>
      <c r="AA2124" s="6">
        <f ca="1">SUBTOTAL(9,INDEX(Main[بدهی تسویه نشده (کیلوگرم)],1):Main[[#This Row],[بدهی تسویه نشده (کیلوگرم)]])</f>
        <v>0</v>
      </c>
      <c r="AB2124" s="6">
        <f ca="1">IF(Main[[#This Row],[مانده در خط تسویه نشده (کیلوگرم)]]&lt;&gt;0,Main[[#This Row],[تعداد کل روزهای بدهکار (روز)]],0)</f>
        <v>0</v>
      </c>
      <c r="AC2124" s="6">
        <f ca="1">Main[[#This Row],[تعداد روزهای بدهکار  تسویه نشده (روز)]]*Main[[#This Row],[مانده در خط تسویه نشده (کیلوگرم)]]</f>
        <v>0</v>
      </c>
      <c r="AD2124" s="6">
        <f ca="1">SUBTOTAL(9,INDEX(Main[بدهی سررسید شده (کیلوگرم)],1):Main[[#This Row],[بدهی سررسید شده (کیلوگرم)]])</f>
        <v>0</v>
      </c>
      <c r="AE2124" s="6">
        <f ca="1">IF(Main[[#This Row],[مانده در خط سررسید شده (کیلوگرم)]]&lt;&gt;0,Main[[#This Row],[تعداد کل روزهای بدهکار (روز)]],0)</f>
        <v>0</v>
      </c>
      <c r="AF2124" s="6">
        <f ca="1">Main[[#This Row],[تعداد روزهای بدهکار سررسید شده (روز)]]*Main[[#This Row],[مانده در خط سررسید شده (کیلوگرم)]]</f>
        <v>0</v>
      </c>
    </row>
    <row r="2125" spans="1:32" hidden="1" x14ac:dyDescent="0.35">
      <c r="A2125" s="5">
        <f>ROW()-ROW(INDEX(Main[ردیف],1))+1</f>
        <v>2123</v>
      </c>
      <c r="B2125" s="31">
        <f>SUBTOTAL(2,INDEX(Main[ردیف],1):Main[[#This Row],[ردیف]])</f>
        <v>192</v>
      </c>
      <c r="C2125" s="32" t="s">
        <v>758</v>
      </c>
      <c r="D2125" s="32" t="str">
        <f>_xlfn.CONCAT("14",Main[[#This Row],[تاريخ]])</f>
        <v>1400/08/22</v>
      </c>
      <c r="E2125" s="33">
        <v>44513</v>
      </c>
      <c r="F2125" s="32">
        <v>30124</v>
      </c>
      <c r="G2125" s="5" t="str">
        <f>INDEX(customer[عنوان],MATCH(Main[[#This Row],[کد ردیابی]],customer[کد],0))</f>
        <v>شرکت لنگرمرواریدسبز</v>
      </c>
      <c r="H2125">
        <v>218</v>
      </c>
      <c r="I2125" s="6">
        <f ca="1">-Main[[#This Row],[بدهی تسویه شده (کیلوگرم)]]+Main[[#This Row],[بستانکار (کیلوگرم)]]</f>
        <v>218</v>
      </c>
      <c r="J2125" s="6">
        <f>IF(Main[[#This Row],[مقدار (کیلوگرم)]]&gt;0,Main[[#This Row],[مقدار (کیلوگرم)]],0)</f>
        <v>218</v>
      </c>
      <c r="K2125" s="6">
        <f>-IF(Main[[#This Row],[مقدار (کیلوگرم)]]&lt;0,Main[[#This Row],[مقدار (کیلوگرم)]],0)</f>
        <v>0</v>
      </c>
      <c r="L21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5" s="7">
        <f>-IF(AND(Main[[#This Row],[مقدار (کیلوگرم)]]&lt;0,Main[[#This Row],[تاريخ میلادی]]&gt;44276),Main[[#This Row],[مقدار (کیلوگرم)]],0)</f>
        <v>0</v>
      </c>
      <c r="N2125" s="6">
        <f ca="1">Main[[#This Row],[بدهکار (کیلوگرم)]]-Main[[#This Row],[بدهی تسویه نشده (کیلوگرم)]]</f>
        <v>0</v>
      </c>
      <c r="O2125" s="6">
        <f ca="1">Main[[#This Row],[تفکیک]]</f>
        <v>0</v>
      </c>
      <c r="P2125" s="6">
        <f ca="1">IF(Main[[#This Row],[تاخیر از سررسید]]&gt;0,Main[[#This Row],[بدهی تسویه نشده (کیلوگرم)]],0)</f>
        <v>0</v>
      </c>
      <c r="Q2125" s="6">
        <f ca="1">IF(Main[[#This Row],[بدهی تسویه نشده (کیلوگرم)]]&gt;0,'گزارش فردی'!$B$7-Main[[#This Row],[تاريخ میلادی]],0)</f>
        <v>0</v>
      </c>
      <c r="R2125" s="6">
        <f ca="1">IF(Main[[#This Row],[بدهی تسویه نشده (کیلوگرم)]]&gt;0,'گزارش فردی'!$B$7-Main[[#This Row],[تاريخ میلادی]]-'گزارش فردی'!$B$8,0)</f>
        <v>0</v>
      </c>
      <c r="S2125" s="6">
        <f ca="1">Main[[#This Row],[روز از ارسال سفارش]]*Main[[#This Row],[بدهی تسویه نشده (کیلوگرم)]]</f>
        <v>0</v>
      </c>
      <c r="T2125" s="6">
        <f ca="1">Main[[#This Row],[بدهی سررسید شده (کیلوگرم)]]*Main[[#This Row],[روز از ارسال سفارش]]</f>
        <v>0</v>
      </c>
      <c r="U2125" s="6">
        <f>-SUBTOTAL(9,INDEX(Main[مقدار (کیلوگرم)],1):Main[[#This Row],[مقدار (کیلوگرم)]])</f>
        <v>45990</v>
      </c>
      <c r="V21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5" s="6">
        <f>Main[[#This Row],[تعداد کل روزهای بدهکار (روز)]]*Main[[#This Row],[مانده در خط کل (کیلوگرم)]]</f>
        <v>45990</v>
      </c>
      <c r="X2125" s="6">
        <f ca="1">-SUBTOTAL(9,INDEX(Main[مقدار تسویه شده (کیلوگرم)],1):Main[[#This Row],[مقدار تسویه شده (کیلوگرم)]])</f>
        <v>45990</v>
      </c>
      <c r="Y2125" s="6">
        <f ca="1">IF(Main[[#This Row],[مانده در خط تسویه شده (کیلوگرم)]]&lt;&gt;0,Main[[#This Row],[تعداد کل روزهای بدهکار (روز)]],0)</f>
        <v>1</v>
      </c>
      <c r="Z2125" s="6">
        <f ca="1">Main[[#This Row],[تعداد روزهای بدهکار تسویه شده (روز)]]*Main[[#This Row],[مانده در خط تسویه شده (کیلوگرم)]]</f>
        <v>45990</v>
      </c>
      <c r="AA2125" s="6">
        <f ca="1">SUBTOTAL(9,INDEX(Main[بدهی تسویه نشده (کیلوگرم)],1):Main[[#This Row],[بدهی تسویه نشده (کیلوگرم)]])</f>
        <v>0</v>
      </c>
      <c r="AB2125" s="6">
        <f ca="1">IF(Main[[#This Row],[مانده در خط تسویه نشده (کیلوگرم)]]&lt;&gt;0,Main[[#This Row],[تعداد کل روزهای بدهکار (روز)]],0)</f>
        <v>0</v>
      </c>
      <c r="AC2125" s="6">
        <f ca="1">Main[[#This Row],[تعداد روزهای بدهکار  تسویه نشده (روز)]]*Main[[#This Row],[مانده در خط تسویه نشده (کیلوگرم)]]</f>
        <v>0</v>
      </c>
      <c r="AD2125" s="6">
        <f ca="1">SUBTOTAL(9,INDEX(Main[بدهی سررسید شده (کیلوگرم)],1):Main[[#This Row],[بدهی سررسید شده (کیلوگرم)]])</f>
        <v>0</v>
      </c>
      <c r="AE2125" s="6">
        <f ca="1">IF(Main[[#This Row],[مانده در خط سررسید شده (کیلوگرم)]]&lt;&gt;0,Main[[#This Row],[تعداد کل روزهای بدهکار (روز)]],0)</f>
        <v>0</v>
      </c>
      <c r="AF2125" s="6">
        <f ca="1">Main[[#This Row],[تعداد روزهای بدهکار سررسید شده (روز)]]*Main[[#This Row],[مانده در خط سررسید شده (کیلوگرم)]]</f>
        <v>0</v>
      </c>
    </row>
    <row r="2126" spans="1:32" hidden="1" x14ac:dyDescent="0.35">
      <c r="A2126" s="5">
        <f>ROW()-ROW(INDEX(Main[ردیف],1))+1</f>
        <v>2124</v>
      </c>
      <c r="B2126" s="31">
        <f>SUBTOTAL(2,INDEX(Main[ردیف],1):Main[[#This Row],[ردیف]])</f>
        <v>192</v>
      </c>
      <c r="C2126" s="32" t="s">
        <v>758</v>
      </c>
      <c r="D2126" s="32" t="str">
        <f>_xlfn.CONCAT("14",Main[[#This Row],[تاريخ]])</f>
        <v>1400/08/22</v>
      </c>
      <c r="E2126" s="33">
        <v>44513</v>
      </c>
      <c r="F2126" s="32">
        <v>30124</v>
      </c>
      <c r="G2126" s="5" t="str">
        <f>INDEX(customer[عنوان],MATCH(Main[[#This Row],[کد ردیابی]],customer[کد],0))</f>
        <v>شرکت لنگرمرواریدسبز</v>
      </c>
      <c r="H2126">
        <v>1102</v>
      </c>
      <c r="I2126" s="6">
        <f ca="1">-Main[[#This Row],[بدهی تسویه شده (کیلوگرم)]]+Main[[#This Row],[بستانکار (کیلوگرم)]]</f>
        <v>1102</v>
      </c>
      <c r="J2126" s="6">
        <f>IF(Main[[#This Row],[مقدار (کیلوگرم)]]&gt;0,Main[[#This Row],[مقدار (کیلوگرم)]],0)</f>
        <v>1102</v>
      </c>
      <c r="K2126" s="6">
        <f>-IF(Main[[#This Row],[مقدار (کیلوگرم)]]&lt;0,Main[[#This Row],[مقدار (کیلوگرم)]],0)</f>
        <v>0</v>
      </c>
      <c r="L21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6" s="7">
        <f>-IF(AND(Main[[#This Row],[مقدار (کیلوگرم)]]&lt;0,Main[[#This Row],[تاريخ میلادی]]&gt;44276),Main[[#This Row],[مقدار (کیلوگرم)]],0)</f>
        <v>0</v>
      </c>
      <c r="N2126" s="6">
        <f ca="1">Main[[#This Row],[بدهکار (کیلوگرم)]]-Main[[#This Row],[بدهی تسویه نشده (کیلوگرم)]]</f>
        <v>0</v>
      </c>
      <c r="O2126" s="6">
        <f ca="1">Main[[#This Row],[تفکیک]]</f>
        <v>0</v>
      </c>
      <c r="P2126" s="6">
        <f ca="1">IF(Main[[#This Row],[تاخیر از سررسید]]&gt;0,Main[[#This Row],[بدهی تسویه نشده (کیلوگرم)]],0)</f>
        <v>0</v>
      </c>
      <c r="Q2126" s="6">
        <f ca="1">IF(Main[[#This Row],[بدهی تسویه نشده (کیلوگرم)]]&gt;0,'گزارش فردی'!$B$7-Main[[#This Row],[تاريخ میلادی]],0)</f>
        <v>0</v>
      </c>
      <c r="R2126" s="6">
        <f ca="1">IF(Main[[#This Row],[بدهی تسویه نشده (کیلوگرم)]]&gt;0,'گزارش فردی'!$B$7-Main[[#This Row],[تاريخ میلادی]]-'گزارش فردی'!$B$8,0)</f>
        <v>0</v>
      </c>
      <c r="S2126" s="6">
        <f ca="1">Main[[#This Row],[روز از ارسال سفارش]]*Main[[#This Row],[بدهی تسویه نشده (کیلوگرم)]]</f>
        <v>0</v>
      </c>
      <c r="T2126" s="6">
        <f ca="1">Main[[#This Row],[بدهی سررسید شده (کیلوگرم)]]*Main[[#This Row],[روز از ارسال سفارش]]</f>
        <v>0</v>
      </c>
      <c r="U2126" s="6">
        <f>-SUBTOTAL(9,INDEX(Main[مقدار (کیلوگرم)],1):Main[[#This Row],[مقدار (کیلوگرم)]])</f>
        <v>45990</v>
      </c>
      <c r="V21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6" s="6">
        <f>Main[[#This Row],[تعداد کل روزهای بدهکار (روز)]]*Main[[#This Row],[مانده در خط کل (کیلوگرم)]]</f>
        <v>45990</v>
      </c>
      <c r="X2126" s="6">
        <f ca="1">-SUBTOTAL(9,INDEX(Main[مقدار تسویه شده (کیلوگرم)],1):Main[[#This Row],[مقدار تسویه شده (کیلوگرم)]])</f>
        <v>45990</v>
      </c>
      <c r="Y2126" s="6">
        <f ca="1">IF(Main[[#This Row],[مانده در خط تسویه شده (کیلوگرم)]]&lt;&gt;0,Main[[#This Row],[تعداد کل روزهای بدهکار (روز)]],0)</f>
        <v>1</v>
      </c>
      <c r="Z2126" s="6">
        <f ca="1">Main[[#This Row],[تعداد روزهای بدهکار تسویه شده (روز)]]*Main[[#This Row],[مانده در خط تسویه شده (کیلوگرم)]]</f>
        <v>45990</v>
      </c>
      <c r="AA2126" s="6">
        <f ca="1">SUBTOTAL(9,INDEX(Main[بدهی تسویه نشده (کیلوگرم)],1):Main[[#This Row],[بدهی تسویه نشده (کیلوگرم)]])</f>
        <v>0</v>
      </c>
      <c r="AB2126" s="6">
        <f ca="1">IF(Main[[#This Row],[مانده در خط تسویه نشده (کیلوگرم)]]&lt;&gt;0,Main[[#This Row],[تعداد کل روزهای بدهکار (روز)]],0)</f>
        <v>0</v>
      </c>
      <c r="AC2126" s="6">
        <f ca="1">Main[[#This Row],[تعداد روزهای بدهکار  تسویه نشده (روز)]]*Main[[#This Row],[مانده در خط تسویه نشده (کیلوگرم)]]</f>
        <v>0</v>
      </c>
      <c r="AD2126" s="6">
        <f ca="1">SUBTOTAL(9,INDEX(Main[بدهی سررسید شده (کیلوگرم)],1):Main[[#This Row],[بدهی سررسید شده (کیلوگرم)]])</f>
        <v>0</v>
      </c>
      <c r="AE2126" s="6">
        <f ca="1">IF(Main[[#This Row],[مانده در خط سررسید شده (کیلوگرم)]]&lt;&gt;0,Main[[#This Row],[تعداد کل روزهای بدهکار (روز)]],0)</f>
        <v>0</v>
      </c>
      <c r="AF2126" s="6">
        <f ca="1">Main[[#This Row],[تعداد روزهای بدهکار سررسید شده (روز)]]*Main[[#This Row],[مانده در خط سررسید شده (کیلوگرم)]]</f>
        <v>0</v>
      </c>
    </row>
    <row r="2127" spans="1:32" hidden="1" x14ac:dyDescent="0.35">
      <c r="A2127" s="5">
        <f>ROW()-ROW(INDEX(Main[ردیف],1))+1</f>
        <v>2125</v>
      </c>
      <c r="B2127" s="31">
        <f>SUBTOTAL(2,INDEX(Main[ردیف],1):Main[[#This Row],[ردیف]])</f>
        <v>192</v>
      </c>
      <c r="C2127" s="32" t="s">
        <v>758</v>
      </c>
      <c r="D2127" s="32" t="str">
        <f>_xlfn.CONCAT("14",Main[[#This Row],[تاريخ]])</f>
        <v>1400/08/22</v>
      </c>
      <c r="E2127" s="33">
        <v>44513</v>
      </c>
      <c r="F2127" s="32">
        <v>10026</v>
      </c>
      <c r="G2127" s="5" t="str">
        <f>INDEX(customer[عنوان],MATCH(Main[[#This Row],[کد ردیابی]],customer[کد],0))</f>
        <v xml:space="preserve">محسن فیاض بخش </v>
      </c>
      <c r="H2127">
        <v>3000</v>
      </c>
      <c r="I2127" s="6">
        <f ca="1">-Main[[#This Row],[بدهی تسویه شده (کیلوگرم)]]+Main[[#This Row],[بستانکار (کیلوگرم)]]</f>
        <v>3000</v>
      </c>
      <c r="J2127" s="6">
        <f>IF(Main[[#This Row],[مقدار (کیلوگرم)]]&gt;0,Main[[#This Row],[مقدار (کیلوگرم)]],0)</f>
        <v>3000</v>
      </c>
      <c r="K2127" s="6">
        <f>-IF(Main[[#This Row],[مقدار (کیلوگرم)]]&lt;0,Main[[#This Row],[مقدار (کیلوگرم)]],0)</f>
        <v>0</v>
      </c>
      <c r="L21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7" s="7">
        <f>-IF(AND(Main[[#This Row],[مقدار (کیلوگرم)]]&lt;0,Main[[#This Row],[تاريخ میلادی]]&gt;44276),Main[[#This Row],[مقدار (کیلوگرم)]],0)</f>
        <v>0</v>
      </c>
      <c r="N2127" s="6">
        <f ca="1">Main[[#This Row],[بدهکار (کیلوگرم)]]-Main[[#This Row],[بدهی تسویه نشده (کیلوگرم)]]</f>
        <v>0</v>
      </c>
      <c r="O2127" s="6">
        <f ca="1">Main[[#This Row],[تفکیک]]</f>
        <v>0</v>
      </c>
      <c r="P2127" s="6">
        <f ca="1">IF(Main[[#This Row],[تاخیر از سررسید]]&gt;0,Main[[#This Row],[بدهی تسویه نشده (کیلوگرم)]],0)</f>
        <v>0</v>
      </c>
      <c r="Q2127" s="6">
        <f ca="1">IF(Main[[#This Row],[بدهی تسویه نشده (کیلوگرم)]]&gt;0,'گزارش فردی'!$B$7-Main[[#This Row],[تاريخ میلادی]],0)</f>
        <v>0</v>
      </c>
      <c r="R2127" s="6">
        <f ca="1">IF(Main[[#This Row],[بدهی تسویه نشده (کیلوگرم)]]&gt;0,'گزارش فردی'!$B$7-Main[[#This Row],[تاريخ میلادی]]-'گزارش فردی'!$B$8,0)</f>
        <v>0</v>
      </c>
      <c r="S2127" s="6">
        <f ca="1">Main[[#This Row],[روز از ارسال سفارش]]*Main[[#This Row],[بدهی تسویه نشده (کیلوگرم)]]</f>
        <v>0</v>
      </c>
      <c r="T2127" s="6">
        <f ca="1">Main[[#This Row],[بدهی سررسید شده (کیلوگرم)]]*Main[[#This Row],[روز از ارسال سفارش]]</f>
        <v>0</v>
      </c>
      <c r="U2127" s="6">
        <f>-SUBTOTAL(9,INDEX(Main[مقدار (کیلوگرم)],1):Main[[#This Row],[مقدار (کیلوگرم)]])</f>
        <v>45990</v>
      </c>
      <c r="V21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7" s="6">
        <f>Main[[#This Row],[تعداد کل روزهای بدهکار (روز)]]*Main[[#This Row],[مانده در خط کل (کیلوگرم)]]</f>
        <v>45990</v>
      </c>
      <c r="X2127" s="6">
        <f ca="1">-SUBTOTAL(9,INDEX(Main[مقدار تسویه شده (کیلوگرم)],1):Main[[#This Row],[مقدار تسویه شده (کیلوگرم)]])</f>
        <v>45990</v>
      </c>
      <c r="Y2127" s="6">
        <f ca="1">IF(Main[[#This Row],[مانده در خط تسویه شده (کیلوگرم)]]&lt;&gt;0,Main[[#This Row],[تعداد کل روزهای بدهکار (روز)]],0)</f>
        <v>1</v>
      </c>
      <c r="Z2127" s="6">
        <f ca="1">Main[[#This Row],[تعداد روزهای بدهکار تسویه شده (روز)]]*Main[[#This Row],[مانده در خط تسویه شده (کیلوگرم)]]</f>
        <v>45990</v>
      </c>
      <c r="AA2127" s="6">
        <f ca="1">SUBTOTAL(9,INDEX(Main[بدهی تسویه نشده (کیلوگرم)],1):Main[[#This Row],[بدهی تسویه نشده (کیلوگرم)]])</f>
        <v>0</v>
      </c>
      <c r="AB2127" s="6">
        <f ca="1">IF(Main[[#This Row],[مانده در خط تسویه نشده (کیلوگرم)]]&lt;&gt;0,Main[[#This Row],[تعداد کل روزهای بدهکار (روز)]],0)</f>
        <v>0</v>
      </c>
      <c r="AC2127" s="6">
        <f ca="1">Main[[#This Row],[تعداد روزهای بدهکار  تسویه نشده (روز)]]*Main[[#This Row],[مانده در خط تسویه نشده (کیلوگرم)]]</f>
        <v>0</v>
      </c>
      <c r="AD2127" s="6">
        <f ca="1">SUBTOTAL(9,INDEX(Main[بدهی سررسید شده (کیلوگرم)],1):Main[[#This Row],[بدهی سررسید شده (کیلوگرم)]])</f>
        <v>0</v>
      </c>
      <c r="AE2127" s="6">
        <f ca="1">IF(Main[[#This Row],[مانده در خط سررسید شده (کیلوگرم)]]&lt;&gt;0,Main[[#This Row],[تعداد کل روزهای بدهکار (روز)]],0)</f>
        <v>0</v>
      </c>
      <c r="AF2127" s="6">
        <f ca="1">Main[[#This Row],[تعداد روزهای بدهکار سررسید شده (روز)]]*Main[[#This Row],[مانده در خط سررسید شده (کیلوگرم)]]</f>
        <v>0</v>
      </c>
    </row>
    <row r="2128" spans="1:32" hidden="1" x14ac:dyDescent="0.35">
      <c r="A2128" s="5">
        <f>ROW()-ROW(INDEX(Main[ردیف],1))+1</f>
        <v>2126</v>
      </c>
      <c r="B2128" s="31">
        <f>SUBTOTAL(2,INDEX(Main[ردیف],1):Main[[#This Row],[ردیف]])</f>
        <v>192</v>
      </c>
      <c r="C2128" s="32" t="s">
        <v>758</v>
      </c>
      <c r="D2128" s="32" t="str">
        <f>_xlfn.CONCAT("14",Main[[#This Row],[تاريخ]])</f>
        <v>1400/08/22</v>
      </c>
      <c r="E2128" s="33">
        <v>44513</v>
      </c>
      <c r="F2128" s="32">
        <v>10029</v>
      </c>
      <c r="G2128" s="5" t="str">
        <f>INDEX(customer[عنوان],MATCH(Main[[#This Row],[کد ردیابی]],customer[کد],0))</f>
        <v>رضا شریعتی</v>
      </c>
      <c r="H2128">
        <v>13491</v>
      </c>
      <c r="I2128" s="6">
        <f ca="1">-Main[[#This Row],[بدهی تسویه شده (کیلوگرم)]]+Main[[#This Row],[بستانکار (کیلوگرم)]]</f>
        <v>13491</v>
      </c>
      <c r="J2128" s="6">
        <f>IF(Main[[#This Row],[مقدار (کیلوگرم)]]&gt;0,Main[[#This Row],[مقدار (کیلوگرم)]],0)</f>
        <v>13491</v>
      </c>
      <c r="K2128" s="6">
        <f>-IF(Main[[#This Row],[مقدار (کیلوگرم)]]&lt;0,Main[[#This Row],[مقدار (کیلوگرم)]],0)</f>
        <v>0</v>
      </c>
      <c r="L21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8" s="7">
        <f>-IF(AND(Main[[#This Row],[مقدار (کیلوگرم)]]&lt;0,Main[[#This Row],[تاريخ میلادی]]&gt;44276),Main[[#This Row],[مقدار (کیلوگرم)]],0)</f>
        <v>0</v>
      </c>
      <c r="N2128" s="6">
        <f ca="1">Main[[#This Row],[بدهکار (کیلوگرم)]]-Main[[#This Row],[بدهی تسویه نشده (کیلوگرم)]]</f>
        <v>0</v>
      </c>
      <c r="O2128" s="6">
        <f ca="1">Main[[#This Row],[تفکیک]]</f>
        <v>0</v>
      </c>
      <c r="P2128" s="6">
        <f ca="1">IF(Main[[#This Row],[تاخیر از سررسید]]&gt;0,Main[[#This Row],[بدهی تسویه نشده (کیلوگرم)]],0)</f>
        <v>0</v>
      </c>
      <c r="Q2128" s="6">
        <f ca="1">IF(Main[[#This Row],[بدهی تسویه نشده (کیلوگرم)]]&gt;0,'گزارش فردی'!$B$7-Main[[#This Row],[تاريخ میلادی]],0)</f>
        <v>0</v>
      </c>
      <c r="R2128" s="6">
        <f ca="1">IF(Main[[#This Row],[بدهی تسویه نشده (کیلوگرم)]]&gt;0,'گزارش فردی'!$B$7-Main[[#This Row],[تاريخ میلادی]]-'گزارش فردی'!$B$8,0)</f>
        <v>0</v>
      </c>
      <c r="S2128" s="6">
        <f ca="1">Main[[#This Row],[روز از ارسال سفارش]]*Main[[#This Row],[بدهی تسویه نشده (کیلوگرم)]]</f>
        <v>0</v>
      </c>
      <c r="T2128" s="6">
        <f ca="1">Main[[#This Row],[بدهی سررسید شده (کیلوگرم)]]*Main[[#This Row],[روز از ارسال سفارش]]</f>
        <v>0</v>
      </c>
      <c r="U2128" s="6">
        <f>-SUBTOTAL(9,INDEX(Main[مقدار (کیلوگرم)],1):Main[[#This Row],[مقدار (کیلوگرم)]])</f>
        <v>45990</v>
      </c>
      <c r="V21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8" s="6">
        <f>Main[[#This Row],[تعداد کل روزهای بدهکار (روز)]]*Main[[#This Row],[مانده در خط کل (کیلوگرم)]]</f>
        <v>45990</v>
      </c>
      <c r="X2128" s="6">
        <f ca="1">-SUBTOTAL(9,INDEX(Main[مقدار تسویه شده (کیلوگرم)],1):Main[[#This Row],[مقدار تسویه شده (کیلوگرم)]])</f>
        <v>45990</v>
      </c>
      <c r="Y2128" s="6">
        <f ca="1">IF(Main[[#This Row],[مانده در خط تسویه شده (کیلوگرم)]]&lt;&gt;0,Main[[#This Row],[تعداد کل روزهای بدهکار (روز)]],0)</f>
        <v>1</v>
      </c>
      <c r="Z2128" s="6">
        <f ca="1">Main[[#This Row],[تعداد روزهای بدهکار تسویه شده (روز)]]*Main[[#This Row],[مانده در خط تسویه شده (کیلوگرم)]]</f>
        <v>45990</v>
      </c>
      <c r="AA2128" s="6">
        <f ca="1">SUBTOTAL(9,INDEX(Main[بدهی تسویه نشده (کیلوگرم)],1):Main[[#This Row],[بدهی تسویه نشده (کیلوگرم)]])</f>
        <v>0</v>
      </c>
      <c r="AB2128" s="6">
        <f ca="1">IF(Main[[#This Row],[مانده در خط تسویه نشده (کیلوگرم)]]&lt;&gt;0,Main[[#This Row],[تعداد کل روزهای بدهکار (روز)]],0)</f>
        <v>0</v>
      </c>
      <c r="AC2128" s="6">
        <f ca="1">Main[[#This Row],[تعداد روزهای بدهکار  تسویه نشده (روز)]]*Main[[#This Row],[مانده در خط تسویه نشده (کیلوگرم)]]</f>
        <v>0</v>
      </c>
      <c r="AD2128" s="6">
        <f ca="1">SUBTOTAL(9,INDEX(Main[بدهی سررسید شده (کیلوگرم)],1):Main[[#This Row],[بدهی سررسید شده (کیلوگرم)]])</f>
        <v>0</v>
      </c>
      <c r="AE2128" s="6">
        <f ca="1">IF(Main[[#This Row],[مانده در خط سررسید شده (کیلوگرم)]]&lt;&gt;0,Main[[#This Row],[تعداد کل روزهای بدهکار (روز)]],0)</f>
        <v>0</v>
      </c>
      <c r="AF2128" s="6">
        <f ca="1">Main[[#This Row],[تعداد روزهای بدهکار سررسید شده (روز)]]*Main[[#This Row],[مانده در خط سررسید شده (کیلوگرم)]]</f>
        <v>0</v>
      </c>
    </row>
    <row r="2129" spans="1:32" hidden="1" x14ac:dyDescent="0.35">
      <c r="A2129" s="5">
        <f>ROW()-ROW(INDEX(Main[ردیف],1))+1</f>
        <v>2127</v>
      </c>
      <c r="B2129" s="31">
        <f>SUBTOTAL(2,INDEX(Main[ردیف],1):Main[[#This Row],[ردیف]])</f>
        <v>192</v>
      </c>
      <c r="C2129" s="32" t="s">
        <v>759</v>
      </c>
      <c r="D2129" s="32" t="str">
        <f>_xlfn.CONCAT("14",Main[[#This Row],[تاريخ]])</f>
        <v>1400/08/23</v>
      </c>
      <c r="E2129" s="33">
        <v>44514</v>
      </c>
      <c r="F2129" s="32">
        <v>30099</v>
      </c>
      <c r="G2129" s="5" t="str">
        <f>INDEX(customer[عنوان],MATCH(Main[[#This Row],[کد ردیابی]],customer[کد],0))</f>
        <v>ایران شرق نیشابور</v>
      </c>
      <c r="H2129">
        <v>-1176</v>
      </c>
      <c r="I2129" s="6">
        <f ca="1">-Main[[#This Row],[بدهی تسویه شده (کیلوگرم)]]+Main[[#This Row],[بستانکار (کیلوگرم)]]</f>
        <v>-1176</v>
      </c>
      <c r="J2129" s="6">
        <f>IF(Main[[#This Row],[مقدار (کیلوگرم)]]&gt;0,Main[[#This Row],[مقدار (کیلوگرم)]],0)</f>
        <v>0</v>
      </c>
      <c r="K2129" s="6">
        <f>-IF(Main[[#This Row],[مقدار (کیلوگرم)]]&lt;0,Main[[#This Row],[مقدار (کیلوگرم)]],0)</f>
        <v>1176</v>
      </c>
      <c r="L21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9" s="7">
        <f>-IF(AND(Main[[#This Row],[مقدار (کیلوگرم)]]&lt;0,Main[[#This Row],[تاريخ میلادی]]&gt;44276),Main[[#This Row],[مقدار (کیلوگرم)]],0)</f>
        <v>1176</v>
      </c>
      <c r="N2129" s="6">
        <f ca="1">Main[[#This Row],[بدهکار (کیلوگرم)]]-Main[[#This Row],[بدهی تسویه نشده (کیلوگرم)]]</f>
        <v>1176</v>
      </c>
      <c r="O2129" s="6">
        <f ca="1">Main[[#This Row],[تفکیک]]</f>
        <v>0</v>
      </c>
      <c r="P2129" s="6">
        <f ca="1">IF(Main[[#This Row],[تاخیر از سررسید]]&gt;0,Main[[#This Row],[بدهی تسویه نشده (کیلوگرم)]],0)</f>
        <v>0</v>
      </c>
      <c r="Q2129" s="6">
        <f ca="1">IF(Main[[#This Row],[بدهی تسویه نشده (کیلوگرم)]]&gt;0,'گزارش فردی'!$B$7-Main[[#This Row],[تاريخ میلادی]],0)</f>
        <v>0</v>
      </c>
      <c r="R2129" s="6">
        <f ca="1">IF(Main[[#This Row],[بدهی تسویه نشده (کیلوگرم)]]&gt;0,'گزارش فردی'!$B$7-Main[[#This Row],[تاريخ میلادی]]-'گزارش فردی'!$B$8,0)</f>
        <v>0</v>
      </c>
      <c r="S2129" s="6">
        <f ca="1">Main[[#This Row],[روز از ارسال سفارش]]*Main[[#This Row],[بدهی تسویه نشده (کیلوگرم)]]</f>
        <v>0</v>
      </c>
      <c r="T2129" s="6">
        <f ca="1">Main[[#This Row],[بدهی سررسید شده (کیلوگرم)]]*Main[[#This Row],[روز از ارسال سفارش]]</f>
        <v>0</v>
      </c>
      <c r="U2129" s="6">
        <f>-SUBTOTAL(9,INDEX(Main[مقدار (کیلوگرم)],1):Main[[#This Row],[مقدار (کیلوگرم)]])</f>
        <v>45990</v>
      </c>
      <c r="V21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29" s="6">
        <f>Main[[#This Row],[تعداد کل روزهای بدهکار (روز)]]*Main[[#This Row],[مانده در خط کل (کیلوگرم)]]</f>
        <v>0</v>
      </c>
      <c r="X2129" s="6">
        <f ca="1">-SUBTOTAL(9,INDEX(Main[مقدار تسویه شده (کیلوگرم)],1):Main[[#This Row],[مقدار تسویه شده (کیلوگرم)]])</f>
        <v>45990</v>
      </c>
      <c r="Y2129" s="6">
        <f ca="1">IF(Main[[#This Row],[مانده در خط تسویه شده (کیلوگرم)]]&lt;&gt;0,Main[[#This Row],[تعداد کل روزهای بدهکار (روز)]],0)</f>
        <v>0</v>
      </c>
      <c r="Z2129" s="6">
        <f ca="1">Main[[#This Row],[تعداد روزهای بدهکار تسویه شده (روز)]]*Main[[#This Row],[مانده در خط تسویه شده (کیلوگرم)]]</f>
        <v>0</v>
      </c>
      <c r="AA2129" s="6">
        <f ca="1">SUBTOTAL(9,INDEX(Main[بدهی تسویه نشده (کیلوگرم)],1):Main[[#This Row],[بدهی تسویه نشده (کیلوگرم)]])</f>
        <v>0</v>
      </c>
      <c r="AB2129" s="6">
        <f ca="1">IF(Main[[#This Row],[مانده در خط تسویه نشده (کیلوگرم)]]&lt;&gt;0,Main[[#This Row],[تعداد کل روزهای بدهکار (روز)]],0)</f>
        <v>0</v>
      </c>
      <c r="AC2129" s="6">
        <f ca="1">Main[[#This Row],[تعداد روزهای بدهکار  تسویه نشده (روز)]]*Main[[#This Row],[مانده در خط تسویه نشده (کیلوگرم)]]</f>
        <v>0</v>
      </c>
      <c r="AD2129" s="6">
        <f ca="1">SUBTOTAL(9,INDEX(Main[بدهی سررسید شده (کیلوگرم)],1):Main[[#This Row],[بدهی سررسید شده (کیلوگرم)]])</f>
        <v>0</v>
      </c>
      <c r="AE2129" s="6">
        <f ca="1">IF(Main[[#This Row],[مانده در خط سررسید شده (کیلوگرم)]]&lt;&gt;0,Main[[#This Row],[تعداد کل روزهای بدهکار (روز)]],0)</f>
        <v>0</v>
      </c>
      <c r="AF2129" s="6">
        <f ca="1">Main[[#This Row],[تعداد روزهای بدهکار سررسید شده (روز)]]*Main[[#This Row],[مانده در خط سررسید شده (کیلوگرم)]]</f>
        <v>0</v>
      </c>
    </row>
    <row r="2130" spans="1:32" hidden="1" x14ac:dyDescent="0.35">
      <c r="A2130" s="5">
        <f>ROW()-ROW(INDEX(Main[ردیف],1))+1</f>
        <v>2128</v>
      </c>
      <c r="B2130" s="31">
        <f>SUBTOTAL(2,INDEX(Main[ردیف],1):Main[[#This Row],[ردیف]])</f>
        <v>192</v>
      </c>
      <c r="C2130" s="32" t="s">
        <v>759</v>
      </c>
      <c r="D2130" s="32" t="str">
        <f>_xlfn.CONCAT("14",Main[[#This Row],[تاريخ]])</f>
        <v>1400/08/23</v>
      </c>
      <c r="E2130" s="33">
        <v>44514</v>
      </c>
      <c r="F2130" s="32">
        <v>10018</v>
      </c>
      <c r="G2130" s="5" t="str">
        <f>INDEX(customer[عنوان],MATCH(Main[[#This Row],[کد ردیابی]],customer[کد],0))</f>
        <v xml:space="preserve">کوهی </v>
      </c>
      <c r="H2130">
        <v>377</v>
      </c>
      <c r="I2130" s="6">
        <f ca="1">-Main[[#This Row],[بدهی تسویه شده (کیلوگرم)]]+Main[[#This Row],[بستانکار (کیلوگرم)]]</f>
        <v>377</v>
      </c>
      <c r="J2130" s="6">
        <f>IF(Main[[#This Row],[مقدار (کیلوگرم)]]&gt;0,Main[[#This Row],[مقدار (کیلوگرم)]],0)</f>
        <v>377</v>
      </c>
      <c r="K2130" s="6">
        <f>-IF(Main[[#This Row],[مقدار (کیلوگرم)]]&lt;0,Main[[#This Row],[مقدار (کیلوگرم)]],0)</f>
        <v>0</v>
      </c>
      <c r="L21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0" s="7">
        <f>-IF(AND(Main[[#This Row],[مقدار (کیلوگرم)]]&lt;0,Main[[#This Row],[تاريخ میلادی]]&gt;44276),Main[[#This Row],[مقدار (کیلوگرم)]],0)</f>
        <v>0</v>
      </c>
      <c r="N2130" s="6">
        <f ca="1">Main[[#This Row],[بدهکار (کیلوگرم)]]-Main[[#This Row],[بدهی تسویه نشده (کیلوگرم)]]</f>
        <v>0</v>
      </c>
      <c r="O2130" s="6">
        <f ca="1">Main[[#This Row],[تفکیک]]</f>
        <v>0</v>
      </c>
      <c r="P2130" s="6">
        <f ca="1">IF(Main[[#This Row],[تاخیر از سررسید]]&gt;0,Main[[#This Row],[بدهی تسویه نشده (کیلوگرم)]],0)</f>
        <v>0</v>
      </c>
      <c r="Q2130" s="6">
        <f ca="1">IF(Main[[#This Row],[بدهی تسویه نشده (کیلوگرم)]]&gt;0,'گزارش فردی'!$B$7-Main[[#This Row],[تاريخ میلادی]],0)</f>
        <v>0</v>
      </c>
      <c r="R2130" s="6">
        <f ca="1">IF(Main[[#This Row],[بدهی تسویه نشده (کیلوگرم)]]&gt;0,'گزارش فردی'!$B$7-Main[[#This Row],[تاريخ میلادی]]-'گزارش فردی'!$B$8,0)</f>
        <v>0</v>
      </c>
      <c r="S2130" s="6">
        <f ca="1">Main[[#This Row],[روز از ارسال سفارش]]*Main[[#This Row],[بدهی تسویه نشده (کیلوگرم)]]</f>
        <v>0</v>
      </c>
      <c r="T2130" s="6">
        <f ca="1">Main[[#This Row],[بدهی سررسید شده (کیلوگرم)]]*Main[[#This Row],[روز از ارسال سفارش]]</f>
        <v>0</v>
      </c>
      <c r="U2130" s="6">
        <f>-SUBTOTAL(9,INDEX(Main[مقدار (کیلوگرم)],1):Main[[#This Row],[مقدار (کیلوگرم)]])</f>
        <v>45990</v>
      </c>
      <c r="V21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0" s="6">
        <f>Main[[#This Row],[تعداد کل روزهای بدهکار (روز)]]*Main[[#This Row],[مانده در خط کل (کیلوگرم)]]</f>
        <v>0</v>
      </c>
      <c r="X2130" s="6">
        <f ca="1">-SUBTOTAL(9,INDEX(Main[مقدار تسویه شده (کیلوگرم)],1):Main[[#This Row],[مقدار تسویه شده (کیلوگرم)]])</f>
        <v>45990</v>
      </c>
      <c r="Y2130" s="6">
        <f ca="1">IF(Main[[#This Row],[مانده در خط تسویه شده (کیلوگرم)]]&lt;&gt;0,Main[[#This Row],[تعداد کل روزهای بدهکار (روز)]],0)</f>
        <v>0</v>
      </c>
      <c r="Z2130" s="6">
        <f ca="1">Main[[#This Row],[تعداد روزهای بدهکار تسویه شده (روز)]]*Main[[#This Row],[مانده در خط تسویه شده (کیلوگرم)]]</f>
        <v>0</v>
      </c>
      <c r="AA2130" s="6">
        <f ca="1">SUBTOTAL(9,INDEX(Main[بدهی تسویه نشده (کیلوگرم)],1):Main[[#This Row],[بدهی تسویه نشده (کیلوگرم)]])</f>
        <v>0</v>
      </c>
      <c r="AB2130" s="6">
        <f ca="1">IF(Main[[#This Row],[مانده در خط تسویه نشده (کیلوگرم)]]&lt;&gt;0,Main[[#This Row],[تعداد کل روزهای بدهکار (روز)]],0)</f>
        <v>0</v>
      </c>
      <c r="AC2130" s="6">
        <f ca="1">Main[[#This Row],[تعداد روزهای بدهکار  تسویه نشده (روز)]]*Main[[#This Row],[مانده در خط تسویه نشده (کیلوگرم)]]</f>
        <v>0</v>
      </c>
      <c r="AD2130" s="6">
        <f ca="1">SUBTOTAL(9,INDEX(Main[بدهی سررسید شده (کیلوگرم)],1):Main[[#This Row],[بدهی سررسید شده (کیلوگرم)]])</f>
        <v>0</v>
      </c>
      <c r="AE2130" s="6">
        <f ca="1">IF(Main[[#This Row],[مانده در خط سررسید شده (کیلوگرم)]]&lt;&gt;0,Main[[#This Row],[تعداد کل روزهای بدهکار (روز)]],0)</f>
        <v>0</v>
      </c>
      <c r="AF2130" s="6">
        <f ca="1">Main[[#This Row],[تعداد روزهای بدهکار سررسید شده (روز)]]*Main[[#This Row],[مانده در خط سررسید شده (کیلوگرم)]]</f>
        <v>0</v>
      </c>
    </row>
    <row r="2131" spans="1:32" hidden="1" x14ac:dyDescent="0.35">
      <c r="A2131" s="5">
        <f>ROW()-ROW(INDEX(Main[ردیف],1))+1</f>
        <v>2129</v>
      </c>
      <c r="B2131" s="31">
        <f>SUBTOTAL(2,INDEX(Main[ردیف],1):Main[[#This Row],[ردیف]])</f>
        <v>192</v>
      </c>
      <c r="C2131" s="32" t="s">
        <v>759</v>
      </c>
      <c r="D2131" s="32" t="str">
        <f>_xlfn.CONCAT("14",Main[[#This Row],[تاريخ]])</f>
        <v>1400/08/23</v>
      </c>
      <c r="E2131" s="33">
        <v>44514</v>
      </c>
      <c r="F2131" s="32">
        <v>30101</v>
      </c>
      <c r="G2131" s="5" t="str">
        <f>INDEX(customer[عنوان],MATCH(Main[[#This Row],[کد ردیابی]],customer[کد],0))</f>
        <v>شرکت قاره سبز</v>
      </c>
      <c r="H2131">
        <v>-524</v>
      </c>
      <c r="I2131" s="6">
        <f ca="1">-Main[[#This Row],[بدهی تسویه شده (کیلوگرم)]]+Main[[#This Row],[بستانکار (کیلوگرم)]]</f>
        <v>-524</v>
      </c>
      <c r="J2131" s="6">
        <f>IF(Main[[#This Row],[مقدار (کیلوگرم)]]&gt;0,Main[[#This Row],[مقدار (کیلوگرم)]],0)</f>
        <v>0</v>
      </c>
      <c r="K2131" s="6">
        <f>-IF(Main[[#This Row],[مقدار (کیلوگرم)]]&lt;0,Main[[#This Row],[مقدار (کیلوگرم)]],0)</f>
        <v>524</v>
      </c>
      <c r="L21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1" s="7">
        <f>-IF(AND(Main[[#This Row],[مقدار (کیلوگرم)]]&lt;0,Main[[#This Row],[تاريخ میلادی]]&gt;44276),Main[[#This Row],[مقدار (کیلوگرم)]],0)</f>
        <v>524</v>
      </c>
      <c r="N2131" s="6">
        <f ca="1">Main[[#This Row],[بدهکار (کیلوگرم)]]-Main[[#This Row],[بدهی تسویه نشده (کیلوگرم)]]</f>
        <v>524</v>
      </c>
      <c r="O2131" s="6">
        <f ca="1">Main[[#This Row],[تفکیک]]</f>
        <v>0</v>
      </c>
      <c r="P2131" s="6">
        <f ca="1">IF(Main[[#This Row],[تاخیر از سررسید]]&gt;0,Main[[#This Row],[بدهی تسویه نشده (کیلوگرم)]],0)</f>
        <v>0</v>
      </c>
      <c r="Q2131" s="6">
        <f ca="1">IF(Main[[#This Row],[بدهی تسویه نشده (کیلوگرم)]]&gt;0,'گزارش فردی'!$B$7-Main[[#This Row],[تاريخ میلادی]],0)</f>
        <v>0</v>
      </c>
      <c r="R2131" s="6">
        <f ca="1">IF(Main[[#This Row],[بدهی تسویه نشده (کیلوگرم)]]&gt;0,'گزارش فردی'!$B$7-Main[[#This Row],[تاريخ میلادی]]-'گزارش فردی'!$B$8,0)</f>
        <v>0</v>
      </c>
      <c r="S2131" s="6">
        <f ca="1">Main[[#This Row],[روز از ارسال سفارش]]*Main[[#This Row],[بدهی تسویه نشده (کیلوگرم)]]</f>
        <v>0</v>
      </c>
      <c r="T2131" s="6">
        <f ca="1">Main[[#This Row],[بدهی سررسید شده (کیلوگرم)]]*Main[[#This Row],[روز از ارسال سفارش]]</f>
        <v>0</v>
      </c>
      <c r="U2131" s="6">
        <f>-SUBTOTAL(9,INDEX(Main[مقدار (کیلوگرم)],1):Main[[#This Row],[مقدار (کیلوگرم)]])</f>
        <v>45990</v>
      </c>
      <c r="V21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1" s="6">
        <f>Main[[#This Row],[تعداد کل روزهای بدهکار (روز)]]*Main[[#This Row],[مانده در خط کل (کیلوگرم)]]</f>
        <v>0</v>
      </c>
      <c r="X2131" s="6">
        <f ca="1">-SUBTOTAL(9,INDEX(Main[مقدار تسویه شده (کیلوگرم)],1):Main[[#This Row],[مقدار تسویه شده (کیلوگرم)]])</f>
        <v>45990</v>
      </c>
      <c r="Y2131" s="6">
        <f ca="1">IF(Main[[#This Row],[مانده در خط تسویه شده (کیلوگرم)]]&lt;&gt;0,Main[[#This Row],[تعداد کل روزهای بدهکار (روز)]],0)</f>
        <v>0</v>
      </c>
      <c r="Z2131" s="6">
        <f ca="1">Main[[#This Row],[تعداد روزهای بدهکار تسویه شده (روز)]]*Main[[#This Row],[مانده در خط تسویه شده (کیلوگرم)]]</f>
        <v>0</v>
      </c>
      <c r="AA2131" s="6">
        <f ca="1">SUBTOTAL(9,INDEX(Main[بدهی تسویه نشده (کیلوگرم)],1):Main[[#This Row],[بدهی تسویه نشده (کیلوگرم)]])</f>
        <v>0</v>
      </c>
      <c r="AB2131" s="6">
        <f ca="1">IF(Main[[#This Row],[مانده در خط تسویه نشده (کیلوگرم)]]&lt;&gt;0,Main[[#This Row],[تعداد کل روزهای بدهکار (روز)]],0)</f>
        <v>0</v>
      </c>
      <c r="AC2131" s="6">
        <f ca="1">Main[[#This Row],[تعداد روزهای بدهکار  تسویه نشده (روز)]]*Main[[#This Row],[مانده در خط تسویه نشده (کیلوگرم)]]</f>
        <v>0</v>
      </c>
      <c r="AD2131" s="6">
        <f ca="1">SUBTOTAL(9,INDEX(Main[بدهی سررسید شده (کیلوگرم)],1):Main[[#This Row],[بدهی سررسید شده (کیلوگرم)]])</f>
        <v>0</v>
      </c>
      <c r="AE2131" s="6">
        <f ca="1">IF(Main[[#This Row],[مانده در خط سررسید شده (کیلوگرم)]]&lt;&gt;0,Main[[#This Row],[تعداد کل روزهای بدهکار (روز)]],0)</f>
        <v>0</v>
      </c>
      <c r="AF2131" s="6">
        <f ca="1">Main[[#This Row],[تعداد روزهای بدهکار سررسید شده (روز)]]*Main[[#This Row],[مانده در خط سررسید شده (کیلوگرم)]]</f>
        <v>0</v>
      </c>
    </row>
    <row r="2132" spans="1:32" hidden="1" x14ac:dyDescent="0.35">
      <c r="A2132" s="5">
        <f>ROW()-ROW(INDEX(Main[ردیف],1))+1</f>
        <v>2130</v>
      </c>
      <c r="B2132" s="31">
        <f>SUBTOTAL(2,INDEX(Main[ردیف],1):Main[[#This Row],[ردیف]])</f>
        <v>192</v>
      </c>
      <c r="C2132" s="32" t="s">
        <v>759</v>
      </c>
      <c r="D2132" s="32" t="str">
        <f>_xlfn.CONCAT("14",Main[[#This Row],[تاريخ]])</f>
        <v>1400/08/23</v>
      </c>
      <c r="E2132" s="33">
        <v>44514</v>
      </c>
      <c r="F2132" s="32">
        <v>30009</v>
      </c>
      <c r="G2132" s="5" t="str">
        <f>INDEX(customer[عنوان],MATCH(Main[[#This Row],[کد ردیابی]],customer[کد],0))</f>
        <v>شرکت ایمن تک پیشرو</v>
      </c>
      <c r="H2132">
        <v>1268</v>
      </c>
      <c r="I2132" s="6">
        <f ca="1">-Main[[#This Row],[بدهی تسویه شده (کیلوگرم)]]+Main[[#This Row],[بستانکار (کیلوگرم)]]</f>
        <v>1268</v>
      </c>
      <c r="J2132" s="6">
        <f>IF(Main[[#This Row],[مقدار (کیلوگرم)]]&gt;0,Main[[#This Row],[مقدار (کیلوگرم)]],0)</f>
        <v>1268</v>
      </c>
      <c r="K2132" s="6">
        <f>-IF(Main[[#This Row],[مقدار (کیلوگرم)]]&lt;0,Main[[#This Row],[مقدار (کیلوگرم)]],0)</f>
        <v>0</v>
      </c>
      <c r="L21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2" s="7">
        <f>-IF(AND(Main[[#This Row],[مقدار (کیلوگرم)]]&lt;0,Main[[#This Row],[تاريخ میلادی]]&gt;44276),Main[[#This Row],[مقدار (کیلوگرم)]],0)</f>
        <v>0</v>
      </c>
      <c r="N2132" s="6">
        <f ca="1">Main[[#This Row],[بدهکار (کیلوگرم)]]-Main[[#This Row],[بدهی تسویه نشده (کیلوگرم)]]</f>
        <v>0</v>
      </c>
      <c r="O2132" s="6">
        <f ca="1">Main[[#This Row],[تفکیک]]</f>
        <v>0</v>
      </c>
      <c r="P2132" s="6">
        <f ca="1">IF(Main[[#This Row],[تاخیر از سررسید]]&gt;0,Main[[#This Row],[بدهی تسویه نشده (کیلوگرم)]],0)</f>
        <v>0</v>
      </c>
      <c r="Q2132" s="6">
        <f ca="1">IF(Main[[#This Row],[بدهی تسویه نشده (کیلوگرم)]]&gt;0,'گزارش فردی'!$B$7-Main[[#This Row],[تاريخ میلادی]],0)</f>
        <v>0</v>
      </c>
      <c r="R2132" s="6">
        <f ca="1">IF(Main[[#This Row],[بدهی تسویه نشده (کیلوگرم)]]&gt;0,'گزارش فردی'!$B$7-Main[[#This Row],[تاريخ میلادی]]-'گزارش فردی'!$B$8,0)</f>
        <v>0</v>
      </c>
      <c r="S2132" s="6">
        <f ca="1">Main[[#This Row],[روز از ارسال سفارش]]*Main[[#This Row],[بدهی تسویه نشده (کیلوگرم)]]</f>
        <v>0</v>
      </c>
      <c r="T2132" s="6">
        <f ca="1">Main[[#This Row],[بدهی سررسید شده (کیلوگرم)]]*Main[[#This Row],[روز از ارسال سفارش]]</f>
        <v>0</v>
      </c>
      <c r="U2132" s="6">
        <f>-SUBTOTAL(9,INDEX(Main[مقدار (کیلوگرم)],1):Main[[#This Row],[مقدار (کیلوگرم)]])</f>
        <v>45990</v>
      </c>
      <c r="V21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2" s="6">
        <f>Main[[#This Row],[تعداد کل روزهای بدهکار (روز)]]*Main[[#This Row],[مانده در خط کل (کیلوگرم)]]</f>
        <v>0</v>
      </c>
      <c r="X2132" s="6">
        <f ca="1">-SUBTOTAL(9,INDEX(Main[مقدار تسویه شده (کیلوگرم)],1):Main[[#This Row],[مقدار تسویه شده (کیلوگرم)]])</f>
        <v>45990</v>
      </c>
      <c r="Y2132" s="6">
        <f ca="1">IF(Main[[#This Row],[مانده در خط تسویه شده (کیلوگرم)]]&lt;&gt;0,Main[[#This Row],[تعداد کل روزهای بدهکار (روز)]],0)</f>
        <v>0</v>
      </c>
      <c r="Z2132" s="6">
        <f ca="1">Main[[#This Row],[تعداد روزهای بدهکار تسویه شده (روز)]]*Main[[#This Row],[مانده در خط تسویه شده (کیلوگرم)]]</f>
        <v>0</v>
      </c>
      <c r="AA2132" s="6">
        <f ca="1">SUBTOTAL(9,INDEX(Main[بدهی تسویه نشده (کیلوگرم)],1):Main[[#This Row],[بدهی تسویه نشده (کیلوگرم)]])</f>
        <v>0</v>
      </c>
      <c r="AB2132" s="6">
        <f ca="1">IF(Main[[#This Row],[مانده در خط تسویه نشده (کیلوگرم)]]&lt;&gt;0,Main[[#This Row],[تعداد کل روزهای بدهکار (روز)]],0)</f>
        <v>0</v>
      </c>
      <c r="AC2132" s="6">
        <f ca="1">Main[[#This Row],[تعداد روزهای بدهکار  تسویه نشده (روز)]]*Main[[#This Row],[مانده در خط تسویه نشده (کیلوگرم)]]</f>
        <v>0</v>
      </c>
      <c r="AD2132" s="6">
        <f ca="1">SUBTOTAL(9,INDEX(Main[بدهی سررسید شده (کیلوگرم)],1):Main[[#This Row],[بدهی سررسید شده (کیلوگرم)]])</f>
        <v>0</v>
      </c>
      <c r="AE2132" s="6">
        <f ca="1">IF(Main[[#This Row],[مانده در خط سررسید شده (کیلوگرم)]]&lt;&gt;0,Main[[#This Row],[تعداد کل روزهای بدهکار (روز)]],0)</f>
        <v>0</v>
      </c>
      <c r="AF2132" s="6">
        <f ca="1">Main[[#This Row],[تعداد روزهای بدهکار سررسید شده (روز)]]*Main[[#This Row],[مانده در خط سررسید شده (کیلوگرم)]]</f>
        <v>0</v>
      </c>
    </row>
    <row r="2133" spans="1:32" hidden="1" x14ac:dyDescent="0.35">
      <c r="A2133" s="5">
        <f>ROW()-ROW(INDEX(Main[ردیف],1))+1</f>
        <v>2131</v>
      </c>
      <c r="B2133" s="31">
        <f>SUBTOTAL(2,INDEX(Main[ردیف],1):Main[[#This Row],[ردیف]])</f>
        <v>192</v>
      </c>
      <c r="C2133" s="32" t="s">
        <v>759</v>
      </c>
      <c r="D2133" s="32" t="str">
        <f>_xlfn.CONCAT("14",Main[[#This Row],[تاريخ]])</f>
        <v>1400/08/23</v>
      </c>
      <c r="E2133" s="33">
        <v>44514</v>
      </c>
      <c r="F2133" s="32">
        <v>30186</v>
      </c>
      <c r="G2133" s="5" t="str">
        <f>INDEX(customer[عنوان],MATCH(Main[[#This Row],[کد ردیابی]],customer[کد],0))</f>
        <v>سارا گاز</v>
      </c>
      <c r="H2133">
        <v>-1987</v>
      </c>
      <c r="I2133" s="6">
        <f ca="1">-Main[[#This Row],[بدهی تسویه شده (کیلوگرم)]]+Main[[#This Row],[بستانکار (کیلوگرم)]]</f>
        <v>-1987</v>
      </c>
      <c r="J2133" s="6">
        <f>IF(Main[[#This Row],[مقدار (کیلوگرم)]]&gt;0,Main[[#This Row],[مقدار (کیلوگرم)]],0)</f>
        <v>0</v>
      </c>
      <c r="K2133" s="6">
        <f>-IF(Main[[#This Row],[مقدار (کیلوگرم)]]&lt;0,Main[[#This Row],[مقدار (کیلوگرم)]],0)</f>
        <v>1987</v>
      </c>
      <c r="L21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3" s="7">
        <f>-IF(AND(Main[[#This Row],[مقدار (کیلوگرم)]]&lt;0,Main[[#This Row],[تاريخ میلادی]]&gt;44276),Main[[#This Row],[مقدار (کیلوگرم)]],0)</f>
        <v>1987</v>
      </c>
      <c r="N2133" s="6">
        <f ca="1">Main[[#This Row],[بدهکار (کیلوگرم)]]-Main[[#This Row],[بدهی تسویه نشده (کیلوگرم)]]</f>
        <v>1987</v>
      </c>
      <c r="O2133" s="6">
        <f ca="1">Main[[#This Row],[تفکیک]]</f>
        <v>0</v>
      </c>
      <c r="P2133" s="6">
        <f ca="1">IF(Main[[#This Row],[تاخیر از سررسید]]&gt;0,Main[[#This Row],[بدهی تسویه نشده (کیلوگرم)]],0)</f>
        <v>0</v>
      </c>
      <c r="Q2133" s="6">
        <f ca="1">IF(Main[[#This Row],[بدهی تسویه نشده (کیلوگرم)]]&gt;0,'گزارش فردی'!$B$7-Main[[#This Row],[تاريخ میلادی]],0)</f>
        <v>0</v>
      </c>
      <c r="R2133" s="6">
        <f ca="1">IF(Main[[#This Row],[بدهی تسویه نشده (کیلوگرم)]]&gt;0,'گزارش فردی'!$B$7-Main[[#This Row],[تاريخ میلادی]]-'گزارش فردی'!$B$8,0)</f>
        <v>0</v>
      </c>
      <c r="S2133" s="6">
        <f ca="1">Main[[#This Row],[روز از ارسال سفارش]]*Main[[#This Row],[بدهی تسویه نشده (کیلوگرم)]]</f>
        <v>0</v>
      </c>
      <c r="T2133" s="6">
        <f ca="1">Main[[#This Row],[بدهی سررسید شده (کیلوگرم)]]*Main[[#This Row],[روز از ارسال سفارش]]</f>
        <v>0</v>
      </c>
      <c r="U2133" s="6">
        <f>-SUBTOTAL(9,INDEX(Main[مقدار (کیلوگرم)],1):Main[[#This Row],[مقدار (کیلوگرم)]])</f>
        <v>45990</v>
      </c>
      <c r="V21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3" s="6">
        <f>Main[[#This Row],[تعداد کل روزهای بدهکار (روز)]]*Main[[#This Row],[مانده در خط کل (کیلوگرم)]]</f>
        <v>0</v>
      </c>
      <c r="X2133" s="6">
        <f ca="1">-SUBTOTAL(9,INDEX(Main[مقدار تسویه شده (کیلوگرم)],1):Main[[#This Row],[مقدار تسویه شده (کیلوگرم)]])</f>
        <v>45990</v>
      </c>
      <c r="Y2133" s="6">
        <f ca="1">IF(Main[[#This Row],[مانده در خط تسویه شده (کیلوگرم)]]&lt;&gt;0,Main[[#This Row],[تعداد کل روزهای بدهکار (روز)]],0)</f>
        <v>0</v>
      </c>
      <c r="Z2133" s="6">
        <f ca="1">Main[[#This Row],[تعداد روزهای بدهکار تسویه شده (روز)]]*Main[[#This Row],[مانده در خط تسویه شده (کیلوگرم)]]</f>
        <v>0</v>
      </c>
      <c r="AA2133" s="6">
        <f ca="1">SUBTOTAL(9,INDEX(Main[بدهی تسویه نشده (کیلوگرم)],1):Main[[#This Row],[بدهی تسویه نشده (کیلوگرم)]])</f>
        <v>0</v>
      </c>
      <c r="AB2133" s="6">
        <f ca="1">IF(Main[[#This Row],[مانده در خط تسویه نشده (کیلوگرم)]]&lt;&gt;0,Main[[#This Row],[تعداد کل روزهای بدهکار (روز)]],0)</f>
        <v>0</v>
      </c>
      <c r="AC2133" s="6">
        <f ca="1">Main[[#This Row],[تعداد روزهای بدهکار  تسویه نشده (روز)]]*Main[[#This Row],[مانده در خط تسویه نشده (کیلوگرم)]]</f>
        <v>0</v>
      </c>
      <c r="AD2133" s="6">
        <f ca="1">SUBTOTAL(9,INDEX(Main[بدهی سررسید شده (کیلوگرم)],1):Main[[#This Row],[بدهی سررسید شده (کیلوگرم)]])</f>
        <v>0</v>
      </c>
      <c r="AE2133" s="6">
        <f ca="1">IF(Main[[#This Row],[مانده در خط سررسید شده (کیلوگرم)]]&lt;&gt;0,Main[[#This Row],[تعداد کل روزهای بدهکار (روز)]],0)</f>
        <v>0</v>
      </c>
      <c r="AF2133" s="6">
        <f ca="1">Main[[#This Row],[تعداد روزهای بدهکار سررسید شده (روز)]]*Main[[#This Row],[مانده در خط سررسید شده (کیلوگرم)]]</f>
        <v>0</v>
      </c>
    </row>
    <row r="2134" spans="1:32" hidden="1" x14ac:dyDescent="0.35">
      <c r="A2134" s="5">
        <f>ROW()-ROW(INDEX(Main[ردیف],1))+1</f>
        <v>2132</v>
      </c>
      <c r="B2134" s="31">
        <f>SUBTOTAL(2,INDEX(Main[ردیف],1):Main[[#This Row],[ردیف]])</f>
        <v>192</v>
      </c>
      <c r="C2134" s="32" t="s">
        <v>759</v>
      </c>
      <c r="D2134" s="32" t="str">
        <f>_xlfn.CONCAT("14",Main[[#This Row],[تاريخ]])</f>
        <v>1400/08/23</v>
      </c>
      <c r="E2134" s="33">
        <v>44514</v>
      </c>
      <c r="F2134" s="32">
        <v>30186</v>
      </c>
      <c r="G2134" s="5" t="str">
        <f>INDEX(customer[عنوان],MATCH(Main[[#This Row],[کد ردیابی]],customer[کد],0))</f>
        <v>سارا گاز</v>
      </c>
      <c r="H2134">
        <v>706</v>
      </c>
      <c r="I2134" s="6">
        <f ca="1">-Main[[#This Row],[بدهی تسویه شده (کیلوگرم)]]+Main[[#This Row],[بستانکار (کیلوگرم)]]</f>
        <v>706</v>
      </c>
      <c r="J2134" s="6">
        <f>IF(Main[[#This Row],[مقدار (کیلوگرم)]]&gt;0,Main[[#This Row],[مقدار (کیلوگرم)]],0)</f>
        <v>706</v>
      </c>
      <c r="K2134" s="6">
        <f>-IF(Main[[#This Row],[مقدار (کیلوگرم)]]&lt;0,Main[[#This Row],[مقدار (کیلوگرم)]],0)</f>
        <v>0</v>
      </c>
      <c r="L21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4" s="7">
        <f>-IF(AND(Main[[#This Row],[مقدار (کیلوگرم)]]&lt;0,Main[[#This Row],[تاريخ میلادی]]&gt;44276),Main[[#This Row],[مقدار (کیلوگرم)]],0)</f>
        <v>0</v>
      </c>
      <c r="N2134" s="6">
        <f ca="1">Main[[#This Row],[بدهکار (کیلوگرم)]]-Main[[#This Row],[بدهی تسویه نشده (کیلوگرم)]]</f>
        <v>0</v>
      </c>
      <c r="O2134" s="6">
        <f ca="1">Main[[#This Row],[تفکیک]]</f>
        <v>0</v>
      </c>
      <c r="P2134" s="6">
        <f ca="1">IF(Main[[#This Row],[تاخیر از سررسید]]&gt;0,Main[[#This Row],[بدهی تسویه نشده (کیلوگرم)]],0)</f>
        <v>0</v>
      </c>
      <c r="Q2134" s="6">
        <f ca="1">IF(Main[[#This Row],[بدهی تسویه نشده (کیلوگرم)]]&gt;0,'گزارش فردی'!$B$7-Main[[#This Row],[تاريخ میلادی]],0)</f>
        <v>0</v>
      </c>
      <c r="R2134" s="6">
        <f ca="1">IF(Main[[#This Row],[بدهی تسویه نشده (کیلوگرم)]]&gt;0,'گزارش فردی'!$B$7-Main[[#This Row],[تاريخ میلادی]]-'گزارش فردی'!$B$8,0)</f>
        <v>0</v>
      </c>
      <c r="S2134" s="6">
        <f ca="1">Main[[#This Row],[روز از ارسال سفارش]]*Main[[#This Row],[بدهی تسویه نشده (کیلوگرم)]]</f>
        <v>0</v>
      </c>
      <c r="T2134" s="6">
        <f ca="1">Main[[#This Row],[بدهی سررسید شده (کیلوگرم)]]*Main[[#This Row],[روز از ارسال سفارش]]</f>
        <v>0</v>
      </c>
      <c r="U2134" s="6">
        <f>-SUBTOTAL(9,INDEX(Main[مقدار (کیلوگرم)],1):Main[[#This Row],[مقدار (کیلوگرم)]])</f>
        <v>45990</v>
      </c>
      <c r="V21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4" s="6">
        <f>Main[[#This Row],[تعداد کل روزهای بدهکار (روز)]]*Main[[#This Row],[مانده در خط کل (کیلوگرم)]]</f>
        <v>0</v>
      </c>
      <c r="X2134" s="6">
        <f ca="1">-SUBTOTAL(9,INDEX(Main[مقدار تسویه شده (کیلوگرم)],1):Main[[#This Row],[مقدار تسویه شده (کیلوگرم)]])</f>
        <v>45990</v>
      </c>
      <c r="Y2134" s="6">
        <f ca="1">IF(Main[[#This Row],[مانده در خط تسویه شده (کیلوگرم)]]&lt;&gt;0,Main[[#This Row],[تعداد کل روزهای بدهکار (روز)]],0)</f>
        <v>0</v>
      </c>
      <c r="Z2134" s="6">
        <f ca="1">Main[[#This Row],[تعداد روزهای بدهکار تسویه شده (روز)]]*Main[[#This Row],[مانده در خط تسویه شده (کیلوگرم)]]</f>
        <v>0</v>
      </c>
      <c r="AA2134" s="6">
        <f ca="1">SUBTOTAL(9,INDEX(Main[بدهی تسویه نشده (کیلوگرم)],1):Main[[#This Row],[بدهی تسویه نشده (کیلوگرم)]])</f>
        <v>0</v>
      </c>
      <c r="AB2134" s="6">
        <f ca="1">IF(Main[[#This Row],[مانده در خط تسویه نشده (کیلوگرم)]]&lt;&gt;0,Main[[#This Row],[تعداد کل روزهای بدهکار (روز)]],0)</f>
        <v>0</v>
      </c>
      <c r="AC2134" s="6">
        <f ca="1">Main[[#This Row],[تعداد روزهای بدهکار  تسویه نشده (روز)]]*Main[[#This Row],[مانده در خط تسویه نشده (کیلوگرم)]]</f>
        <v>0</v>
      </c>
      <c r="AD2134" s="6">
        <f ca="1">SUBTOTAL(9,INDEX(Main[بدهی سررسید شده (کیلوگرم)],1):Main[[#This Row],[بدهی سررسید شده (کیلوگرم)]])</f>
        <v>0</v>
      </c>
      <c r="AE2134" s="6">
        <f ca="1">IF(Main[[#This Row],[مانده در خط سررسید شده (کیلوگرم)]]&lt;&gt;0,Main[[#This Row],[تعداد کل روزهای بدهکار (روز)]],0)</f>
        <v>0</v>
      </c>
      <c r="AF2134" s="6">
        <f ca="1">Main[[#This Row],[تعداد روزهای بدهکار سررسید شده (روز)]]*Main[[#This Row],[مانده در خط سررسید شده (کیلوگرم)]]</f>
        <v>0</v>
      </c>
    </row>
    <row r="2135" spans="1:32" hidden="1" x14ac:dyDescent="0.35">
      <c r="A2135" s="5">
        <f>ROW()-ROW(INDEX(Main[ردیف],1))+1</f>
        <v>2133</v>
      </c>
      <c r="B2135" s="31">
        <f>SUBTOTAL(2,INDEX(Main[ردیف],1):Main[[#This Row],[ردیف]])</f>
        <v>192</v>
      </c>
      <c r="C2135" s="32" t="s">
        <v>759</v>
      </c>
      <c r="D2135" s="32" t="str">
        <f>_xlfn.CONCAT("14",Main[[#This Row],[تاريخ]])</f>
        <v>1400/08/23</v>
      </c>
      <c r="E2135" s="33">
        <v>44514</v>
      </c>
      <c r="F2135" s="32">
        <v>10131</v>
      </c>
      <c r="G2135" s="5" t="str">
        <f>INDEX(customer[عنوان],MATCH(Main[[#This Row],[کد ردیابی]],customer[کد],0))</f>
        <v>بهرام چرخیان</v>
      </c>
      <c r="H2135">
        <v>-353</v>
      </c>
      <c r="I2135" s="6">
        <f ca="1">-Main[[#This Row],[بدهی تسویه شده (کیلوگرم)]]+Main[[#This Row],[بستانکار (کیلوگرم)]]</f>
        <v>-353</v>
      </c>
      <c r="J2135" s="6">
        <f>IF(Main[[#This Row],[مقدار (کیلوگرم)]]&gt;0,Main[[#This Row],[مقدار (کیلوگرم)]],0)</f>
        <v>0</v>
      </c>
      <c r="K2135" s="6">
        <f>-IF(Main[[#This Row],[مقدار (کیلوگرم)]]&lt;0,Main[[#This Row],[مقدار (کیلوگرم)]],0)</f>
        <v>353</v>
      </c>
      <c r="L21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5" s="7">
        <f>-IF(AND(Main[[#This Row],[مقدار (کیلوگرم)]]&lt;0,Main[[#This Row],[تاريخ میلادی]]&gt;44276),Main[[#This Row],[مقدار (کیلوگرم)]],0)</f>
        <v>353</v>
      </c>
      <c r="N2135" s="6">
        <f ca="1">Main[[#This Row],[بدهکار (کیلوگرم)]]-Main[[#This Row],[بدهی تسویه نشده (کیلوگرم)]]</f>
        <v>353</v>
      </c>
      <c r="O2135" s="6">
        <f ca="1">Main[[#This Row],[تفکیک]]</f>
        <v>0</v>
      </c>
      <c r="P2135" s="6">
        <f ca="1">IF(Main[[#This Row],[تاخیر از سررسید]]&gt;0,Main[[#This Row],[بدهی تسویه نشده (کیلوگرم)]],0)</f>
        <v>0</v>
      </c>
      <c r="Q2135" s="6">
        <f ca="1">IF(Main[[#This Row],[بدهی تسویه نشده (کیلوگرم)]]&gt;0,'گزارش فردی'!$B$7-Main[[#This Row],[تاريخ میلادی]],0)</f>
        <v>0</v>
      </c>
      <c r="R2135" s="6">
        <f ca="1">IF(Main[[#This Row],[بدهی تسویه نشده (کیلوگرم)]]&gt;0,'گزارش فردی'!$B$7-Main[[#This Row],[تاريخ میلادی]]-'گزارش فردی'!$B$8,0)</f>
        <v>0</v>
      </c>
      <c r="S2135" s="6">
        <f ca="1">Main[[#This Row],[روز از ارسال سفارش]]*Main[[#This Row],[بدهی تسویه نشده (کیلوگرم)]]</f>
        <v>0</v>
      </c>
      <c r="T2135" s="6">
        <f ca="1">Main[[#This Row],[بدهی سررسید شده (کیلوگرم)]]*Main[[#This Row],[روز از ارسال سفارش]]</f>
        <v>0</v>
      </c>
      <c r="U2135" s="6">
        <f>-SUBTOTAL(9,INDEX(Main[مقدار (کیلوگرم)],1):Main[[#This Row],[مقدار (کیلوگرم)]])</f>
        <v>45990</v>
      </c>
      <c r="V21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5" s="6">
        <f>Main[[#This Row],[تعداد کل روزهای بدهکار (روز)]]*Main[[#This Row],[مانده در خط کل (کیلوگرم)]]</f>
        <v>0</v>
      </c>
      <c r="X2135" s="6">
        <f ca="1">-SUBTOTAL(9,INDEX(Main[مقدار تسویه شده (کیلوگرم)],1):Main[[#This Row],[مقدار تسویه شده (کیلوگرم)]])</f>
        <v>45990</v>
      </c>
      <c r="Y2135" s="6">
        <f ca="1">IF(Main[[#This Row],[مانده در خط تسویه شده (کیلوگرم)]]&lt;&gt;0,Main[[#This Row],[تعداد کل روزهای بدهکار (روز)]],0)</f>
        <v>0</v>
      </c>
      <c r="Z2135" s="6">
        <f ca="1">Main[[#This Row],[تعداد روزهای بدهکار تسویه شده (روز)]]*Main[[#This Row],[مانده در خط تسویه شده (کیلوگرم)]]</f>
        <v>0</v>
      </c>
      <c r="AA2135" s="6">
        <f ca="1">SUBTOTAL(9,INDEX(Main[بدهی تسویه نشده (کیلوگرم)],1):Main[[#This Row],[بدهی تسویه نشده (کیلوگرم)]])</f>
        <v>0</v>
      </c>
      <c r="AB2135" s="6">
        <f ca="1">IF(Main[[#This Row],[مانده در خط تسویه نشده (کیلوگرم)]]&lt;&gt;0,Main[[#This Row],[تعداد کل روزهای بدهکار (روز)]],0)</f>
        <v>0</v>
      </c>
      <c r="AC2135" s="6">
        <f ca="1">Main[[#This Row],[تعداد روزهای بدهکار  تسویه نشده (روز)]]*Main[[#This Row],[مانده در خط تسویه نشده (کیلوگرم)]]</f>
        <v>0</v>
      </c>
      <c r="AD2135" s="6">
        <f ca="1">SUBTOTAL(9,INDEX(Main[بدهی سررسید شده (کیلوگرم)],1):Main[[#This Row],[بدهی سررسید شده (کیلوگرم)]])</f>
        <v>0</v>
      </c>
      <c r="AE2135" s="6">
        <f ca="1">IF(Main[[#This Row],[مانده در خط سررسید شده (کیلوگرم)]]&lt;&gt;0,Main[[#This Row],[تعداد کل روزهای بدهکار (روز)]],0)</f>
        <v>0</v>
      </c>
      <c r="AF2135" s="6">
        <f ca="1">Main[[#This Row],[تعداد روزهای بدهکار سررسید شده (روز)]]*Main[[#This Row],[مانده در خط سررسید شده (کیلوگرم)]]</f>
        <v>0</v>
      </c>
    </row>
    <row r="2136" spans="1:32" hidden="1" x14ac:dyDescent="0.35">
      <c r="A2136" s="5">
        <f>ROW()-ROW(INDEX(Main[ردیف],1))+1</f>
        <v>2134</v>
      </c>
      <c r="B2136" s="31">
        <f>SUBTOTAL(2,INDEX(Main[ردیف],1):Main[[#This Row],[ردیف]])</f>
        <v>192</v>
      </c>
      <c r="C2136" s="32" t="s">
        <v>759</v>
      </c>
      <c r="D2136" s="32" t="str">
        <f>_xlfn.CONCAT("14",Main[[#This Row],[تاريخ]])</f>
        <v>1400/08/23</v>
      </c>
      <c r="E2136" s="33">
        <v>44514</v>
      </c>
      <c r="F2136" s="32">
        <v>10084</v>
      </c>
      <c r="G2136" s="5" t="str">
        <f>INDEX(customer[عنوان],MATCH(Main[[#This Row],[کد ردیابی]],customer[کد],0))</f>
        <v xml:space="preserve">سیدحمید کاظمی </v>
      </c>
      <c r="H2136">
        <v>1169</v>
      </c>
      <c r="I2136" s="6">
        <f ca="1">-Main[[#This Row],[بدهی تسویه شده (کیلوگرم)]]+Main[[#This Row],[بستانکار (کیلوگرم)]]</f>
        <v>1169</v>
      </c>
      <c r="J2136" s="6">
        <f>IF(Main[[#This Row],[مقدار (کیلوگرم)]]&gt;0,Main[[#This Row],[مقدار (کیلوگرم)]],0)</f>
        <v>1169</v>
      </c>
      <c r="K2136" s="6">
        <f>-IF(Main[[#This Row],[مقدار (کیلوگرم)]]&lt;0,Main[[#This Row],[مقدار (کیلوگرم)]],0)</f>
        <v>0</v>
      </c>
      <c r="L21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6" s="7">
        <f>-IF(AND(Main[[#This Row],[مقدار (کیلوگرم)]]&lt;0,Main[[#This Row],[تاريخ میلادی]]&gt;44276),Main[[#This Row],[مقدار (کیلوگرم)]],0)</f>
        <v>0</v>
      </c>
      <c r="N2136" s="6">
        <f ca="1">Main[[#This Row],[بدهکار (کیلوگرم)]]-Main[[#This Row],[بدهی تسویه نشده (کیلوگرم)]]</f>
        <v>0</v>
      </c>
      <c r="O2136" s="6">
        <f ca="1">Main[[#This Row],[تفکیک]]</f>
        <v>0</v>
      </c>
      <c r="P2136" s="6">
        <f ca="1">IF(Main[[#This Row],[تاخیر از سررسید]]&gt;0,Main[[#This Row],[بدهی تسویه نشده (کیلوگرم)]],0)</f>
        <v>0</v>
      </c>
      <c r="Q2136" s="6">
        <f ca="1">IF(Main[[#This Row],[بدهی تسویه نشده (کیلوگرم)]]&gt;0,'گزارش فردی'!$B$7-Main[[#This Row],[تاريخ میلادی]],0)</f>
        <v>0</v>
      </c>
      <c r="R2136" s="6">
        <f ca="1">IF(Main[[#This Row],[بدهی تسویه نشده (کیلوگرم)]]&gt;0,'گزارش فردی'!$B$7-Main[[#This Row],[تاريخ میلادی]]-'گزارش فردی'!$B$8,0)</f>
        <v>0</v>
      </c>
      <c r="S2136" s="6">
        <f ca="1">Main[[#This Row],[روز از ارسال سفارش]]*Main[[#This Row],[بدهی تسویه نشده (کیلوگرم)]]</f>
        <v>0</v>
      </c>
      <c r="T2136" s="6">
        <f ca="1">Main[[#This Row],[بدهی سررسید شده (کیلوگرم)]]*Main[[#This Row],[روز از ارسال سفارش]]</f>
        <v>0</v>
      </c>
      <c r="U2136" s="6">
        <f>-SUBTOTAL(9,INDEX(Main[مقدار (کیلوگرم)],1):Main[[#This Row],[مقدار (کیلوگرم)]])</f>
        <v>45990</v>
      </c>
      <c r="V21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6" s="6">
        <f>Main[[#This Row],[تعداد کل روزهای بدهکار (روز)]]*Main[[#This Row],[مانده در خط کل (کیلوگرم)]]</f>
        <v>0</v>
      </c>
      <c r="X2136" s="6">
        <f ca="1">-SUBTOTAL(9,INDEX(Main[مقدار تسویه شده (کیلوگرم)],1):Main[[#This Row],[مقدار تسویه شده (کیلوگرم)]])</f>
        <v>45990</v>
      </c>
      <c r="Y2136" s="6">
        <f ca="1">IF(Main[[#This Row],[مانده در خط تسویه شده (کیلوگرم)]]&lt;&gt;0,Main[[#This Row],[تعداد کل روزهای بدهکار (روز)]],0)</f>
        <v>0</v>
      </c>
      <c r="Z2136" s="6">
        <f ca="1">Main[[#This Row],[تعداد روزهای بدهکار تسویه شده (روز)]]*Main[[#This Row],[مانده در خط تسویه شده (کیلوگرم)]]</f>
        <v>0</v>
      </c>
      <c r="AA2136" s="6">
        <f ca="1">SUBTOTAL(9,INDEX(Main[بدهی تسویه نشده (کیلوگرم)],1):Main[[#This Row],[بدهی تسویه نشده (کیلوگرم)]])</f>
        <v>0</v>
      </c>
      <c r="AB2136" s="6">
        <f ca="1">IF(Main[[#This Row],[مانده در خط تسویه نشده (کیلوگرم)]]&lt;&gt;0,Main[[#This Row],[تعداد کل روزهای بدهکار (روز)]],0)</f>
        <v>0</v>
      </c>
      <c r="AC2136" s="6">
        <f ca="1">Main[[#This Row],[تعداد روزهای بدهکار  تسویه نشده (روز)]]*Main[[#This Row],[مانده در خط تسویه نشده (کیلوگرم)]]</f>
        <v>0</v>
      </c>
      <c r="AD2136" s="6">
        <f ca="1">SUBTOTAL(9,INDEX(Main[بدهی سررسید شده (کیلوگرم)],1):Main[[#This Row],[بدهی سررسید شده (کیلوگرم)]])</f>
        <v>0</v>
      </c>
      <c r="AE2136" s="6">
        <f ca="1">IF(Main[[#This Row],[مانده در خط سررسید شده (کیلوگرم)]]&lt;&gt;0,Main[[#This Row],[تعداد کل روزهای بدهکار (روز)]],0)</f>
        <v>0</v>
      </c>
      <c r="AF2136" s="6">
        <f ca="1">Main[[#This Row],[تعداد روزهای بدهکار سررسید شده (روز)]]*Main[[#This Row],[مانده در خط سررسید شده (کیلوگرم)]]</f>
        <v>0</v>
      </c>
    </row>
    <row r="2137" spans="1:32" x14ac:dyDescent="0.35">
      <c r="A2137" s="5">
        <f>ROW()-ROW(INDEX(Main[ردیف],1))+1</f>
        <v>2135</v>
      </c>
      <c r="B2137" s="31">
        <f>SUBTOTAL(2,INDEX(Main[ردیف],1):Main[[#This Row],[ردیف]])</f>
        <v>193</v>
      </c>
      <c r="C2137" s="32" t="s">
        <v>759</v>
      </c>
      <c r="D2137" s="32" t="str">
        <f>_xlfn.CONCAT("14",Main[[#This Row],[تاريخ]])</f>
        <v>1400/08/23</v>
      </c>
      <c r="E2137" s="33">
        <v>44514</v>
      </c>
      <c r="F2137" s="32">
        <v>10003</v>
      </c>
      <c r="G2137" s="5" t="str">
        <f>INDEX(customer[عنوان],MATCH(Main[[#This Row],[کد ردیابی]],customer[کد],0))</f>
        <v>اصغر نورعلی</v>
      </c>
      <c r="H2137">
        <v>-1101</v>
      </c>
      <c r="I2137" s="6">
        <f ca="1">-Main[[#This Row],[بدهی تسویه شده (کیلوگرم)]]+Main[[#This Row],[بستانکار (کیلوگرم)]]</f>
        <v>-1101</v>
      </c>
      <c r="J2137" s="6">
        <f>IF(Main[[#This Row],[مقدار (کیلوگرم)]]&gt;0,Main[[#This Row],[مقدار (کیلوگرم)]],0)</f>
        <v>0</v>
      </c>
      <c r="K2137" s="6">
        <f>-IF(Main[[#This Row],[مقدار (کیلوگرم)]]&lt;0,Main[[#This Row],[مقدار (کیلوگرم)]],0)</f>
        <v>1101</v>
      </c>
      <c r="L21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7" s="7">
        <f>-IF(AND(Main[[#This Row],[مقدار (کیلوگرم)]]&lt;0,Main[[#This Row],[تاريخ میلادی]]&gt;44276),Main[[#This Row],[مقدار (کیلوگرم)]],0)</f>
        <v>1101</v>
      </c>
      <c r="N2137" s="6">
        <f ca="1">Main[[#This Row],[بدهکار (کیلوگرم)]]-Main[[#This Row],[بدهی تسویه نشده (کیلوگرم)]]</f>
        <v>1101</v>
      </c>
      <c r="O2137" s="6">
        <f ca="1">Main[[#This Row],[تفکیک]]</f>
        <v>0</v>
      </c>
      <c r="P2137" s="6">
        <f ca="1">IF(Main[[#This Row],[تاخیر از سررسید]]&gt;0,Main[[#This Row],[بدهی تسویه نشده (کیلوگرم)]],0)</f>
        <v>0</v>
      </c>
      <c r="Q2137" s="6">
        <f ca="1">IF(Main[[#This Row],[بدهی تسویه نشده (کیلوگرم)]]&gt;0,'گزارش فردی'!$B$7-Main[[#This Row],[تاريخ میلادی]],0)</f>
        <v>0</v>
      </c>
      <c r="R2137" s="6">
        <f ca="1">IF(Main[[#This Row],[بدهی تسویه نشده (کیلوگرم)]]&gt;0,'گزارش فردی'!$B$7-Main[[#This Row],[تاريخ میلادی]]-'گزارش فردی'!$B$8,0)</f>
        <v>0</v>
      </c>
      <c r="S2137" s="6">
        <f ca="1">Main[[#This Row],[روز از ارسال سفارش]]*Main[[#This Row],[بدهی تسویه نشده (کیلوگرم)]]</f>
        <v>0</v>
      </c>
      <c r="T2137" s="6">
        <f ca="1">Main[[#This Row],[بدهی سررسید شده (کیلوگرم)]]*Main[[#This Row],[روز از ارسال سفارش]]</f>
        <v>0</v>
      </c>
      <c r="U2137" s="6">
        <f>-SUBTOTAL(9,INDEX(Main[مقدار (کیلوگرم)],1):Main[[#This Row],[مقدار (کیلوگرم)]])</f>
        <v>47091</v>
      </c>
      <c r="V21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7" s="6">
        <f>Main[[#This Row],[تعداد کل روزهای بدهکار (روز)]]*Main[[#This Row],[مانده در خط کل (کیلوگرم)]]</f>
        <v>0</v>
      </c>
      <c r="X2137" s="6">
        <f ca="1">-SUBTOTAL(9,INDEX(Main[مقدار تسویه شده (کیلوگرم)],1):Main[[#This Row],[مقدار تسویه شده (کیلوگرم)]])</f>
        <v>47091</v>
      </c>
      <c r="Y2137" s="6">
        <f ca="1">IF(Main[[#This Row],[مانده در خط تسویه شده (کیلوگرم)]]&lt;&gt;0,Main[[#This Row],[تعداد کل روزهای بدهکار (روز)]],0)</f>
        <v>0</v>
      </c>
      <c r="Z2137" s="6">
        <f ca="1">Main[[#This Row],[تعداد روزهای بدهکار تسویه شده (روز)]]*Main[[#This Row],[مانده در خط تسویه شده (کیلوگرم)]]</f>
        <v>0</v>
      </c>
      <c r="AA2137" s="6">
        <f ca="1">SUBTOTAL(9,INDEX(Main[بدهی تسویه نشده (کیلوگرم)],1):Main[[#This Row],[بدهی تسویه نشده (کیلوگرم)]])</f>
        <v>0</v>
      </c>
      <c r="AB2137" s="6">
        <f ca="1">IF(Main[[#This Row],[مانده در خط تسویه نشده (کیلوگرم)]]&lt;&gt;0,Main[[#This Row],[تعداد کل روزهای بدهکار (روز)]],0)</f>
        <v>0</v>
      </c>
      <c r="AC2137" s="6">
        <f ca="1">Main[[#This Row],[تعداد روزهای بدهکار  تسویه نشده (روز)]]*Main[[#This Row],[مانده در خط تسویه نشده (کیلوگرم)]]</f>
        <v>0</v>
      </c>
      <c r="AD2137" s="6">
        <f ca="1">SUBTOTAL(9,INDEX(Main[بدهی سررسید شده (کیلوگرم)],1):Main[[#This Row],[بدهی سررسید شده (کیلوگرم)]])</f>
        <v>0</v>
      </c>
      <c r="AE2137" s="6">
        <f ca="1">IF(Main[[#This Row],[مانده در خط سررسید شده (کیلوگرم)]]&lt;&gt;0,Main[[#This Row],[تعداد کل روزهای بدهکار (روز)]],0)</f>
        <v>0</v>
      </c>
      <c r="AF2137" s="6">
        <f ca="1">Main[[#This Row],[تعداد روزهای بدهکار سررسید شده (روز)]]*Main[[#This Row],[مانده در خط سررسید شده (کیلوگرم)]]</f>
        <v>0</v>
      </c>
    </row>
    <row r="2138" spans="1:32" hidden="1" x14ac:dyDescent="0.35">
      <c r="A2138" s="5">
        <f>ROW()-ROW(INDEX(Main[ردیف],1))+1</f>
        <v>2136</v>
      </c>
      <c r="B2138" s="31">
        <f>SUBTOTAL(2,INDEX(Main[ردیف],1):Main[[#This Row],[ردیف]])</f>
        <v>193</v>
      </c>
      <c r="C2138" s="32" t="s">
        <v>759</v>
      </c>
      <c r="D2138" s="32" t="str">
        <f>_xlfn.CONCAT("14",Main[[#This Row],[تاريخ]])</f>
        <v>1400/08/23</v>
      </c>
      <c r="E2138" s="33">
        <v>44514</v>
      </c>
      <c r="F2138" s="32">
        <v>30186</v>
      </c>
      <c r="G2138" s="5" t="str">
        <f>INDEX(customer[عنوان],MATCH(Main[[#This Row],[کد ردیابی]],customer[کد],0))</f>
        <v>سارا گاز</v>
      </c>
      <c r="H2138">
        <v>1696</v>
      </c>
      <c r="I2138" s="6">
        <f ca="1">-Main[[#This Row],[بدهی تسویه شده (کیلوگرم)]]+Main[[#This Row],[بستانکار (کیلوگرم)]]</f>
        <v>1696</v>
      </c>
      <c r="J2138" s="6">
        <f>IF(Main[[#This Row],[مقدار (کیلوگرم)]]&gt;0,Main[[#This Row],[مقدار (کیلوگرم)]],0)</f>
        <v>1696</v>
      </c>
      <c r="K2138" s="6">
        <f>-IF(Main[[#This Row],[مقدار (کیلوگرم)]]&lt;0,Main[[#This Row],[مقدار (کیلوگرم)]],0)</f>
        <v>0</v>
      </c>
      <c r="L21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8" s="7">
        <f>-IF(AND(Main[[#This Row],[مقدار (کیلوگرم)]]&lt;0,Main[[#This Row],[تاريخ میلادی]]&gt;44276),Main[[#This Row],[مقدار (کیلوگرم)]],0)</f>
        <v>0</v>
      </c>
      <c r="N2138" s="6">
        <f ca="1">Main[[#This Row],[بدهکار (کیلوگرم)]]-Main[[#This Row],[بدهی تسویه نشده (کیلوگرم)]]</f>
        <v>0</v>
      </c>
      <c r="O2138" s="6">
        <f ca="1">Main[[#This Row],[تفکیک]]</f>
        <v>0</v>
      </c>
      <c r="P2138" s="6">
        <f ca="1">IF(Main[[#This Row],[تاخیر از سررسید]]&gt;0,Main[[#This Row],[بدهی تسویه نشده (کیلوگرم)]],0)</f>
        <v>0</v>
      </c>
      <c r="Q2138" s="6">
        <f ca="1">IF(Main[[#This Row],[بدهی تسویه نشده (کیلوگرم)]]&gt;0,'گزارش فردی'!$B$7-Main[[#This Row],[تاريخ میلادی]],0)</f>
        <v>0</v>
      </c>
      <c r="R2138" s="6">
        <f ca="1">IF(Main[[#This Row],[بدهی تسویه نشده (کیلوگرم)]]&gt;0,'گزارش فردی'!$B$7-Main[[#This Row],[تاريخ میلادی]]-'گزارش فردی'!$B$8,0)</f>
        <v>0</v>
      </c>
      <c r="S2138" s="6">
        <f ca="1">Main[[#This Row],[روز از ارسال سفارش]]*Main[[#This Row],[بدهی تسویه نشده (کیلوگرم)]]</f>
        <v>0</v>
      </c>
      <c r="T2138" s="6">
        <f ca="1">Main[[#This Row],[بدهی سررسید شده (کیلوگرم)]]*Main[[#This Row],[روز از ارسال سفارش]]</f>
        <v>0</v>
      </c>
      <c r="U2138" s="6">
        <f>-SUBTOTAL(9,INDEX(Main[مقدار (کیلوگرم)],1):Main[[#This Row],[مقدار (کیلوگرم)]])</f>
        <v>47091</v>
      </c>
      <c r="V21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8" s="6">
        <f>Main[[#This Row],[تعداد کل روزهای بدهکار (روز)]]*Main[[#This Row],[مانده در خط کل (کیلوگرم)]]</f>
        <v>0</v>
      </c>
      <c r="X2138" s="6">
        <f ca="1">-SUBTOTAL(9,INDEX(Main[مقدار تسویه شده (کیلوگرم)],1):Main[[#This Row],[مقدار تسویه شده (کیلوگرم)]])</f>
        <v>47091</v>
      </c>
      <c r="Y2138" s="6">
        <f ca="1">IF(Main[[#This Row],[مانده در خط تسویه شده (کیلوگرم)]]&lt;&gt;0,Main[[#This Row],[تعداد کل روزهای بدهکار (روز)]],0)</f>
        <v>0</v>
      </c>
      <c r="Z2138" s="6">
        <f ca="1">Main[[#This Row],[تعداد روزهای بدهکار تسویه شده (روز)]]*Main[[#This Row],[مانده در خط تسویه شده (کیلوگرم)]]</f>
        <v>0</v>
      </c>
      <c r="AA2138" s="6">
        <f ca="1">SUBTOTAL(9,INDEX(Main[بدهی تسویه نشده (کیلوگرم)],1):Main[[#This Row],[بدهی تسویه نشده (کیلوگرم)]])</f>
        <v>0</v>
      </c>
      <c r="AB2138" s="6">
        <f ca="1">IF(Main[[#This Row],[مانده در خط تسویه نشده (کیلوگرم)]]&lt;&gt;0,Main[[#This Row],[تعداد کل روزهای بدهکار (روز)]],0)</f>
        <v>0</v>
      </c>
      <c r="AC2138" s="6">
        <f ca="1">Main[[#This Row],[تعداد روزهای بدهکار  تسویه نشده (روز)]]*Main[[#This Row],[مانده در خط تسویه نشده (کیلوگرم)]]</f>
        <v>0</v>
      </c>
      <c r="AD2138" s="6">
        <f ca="1">SUBTOTAL(9,INDEX(Main[بدهی سررسید شده (کیلوگرم)],1):Main[[#This Row],[بدهی سررسید شده (کیلوگرم)]])</f>
        <v>0</v>
      </c>
      <c r="AE2138" s="6">
        <f ca="1">IF(Main[[#This Row],[مانده در خط سررسید شده (کیلوگرم)]]&lt;&gt;0,Main[[#This Row],[تعداد کل روزهای بدهکار (روز)]],0)</f>
        <v>0</v>
      </c>
      <c r="AF2138" s="6">
        <f ca="1">Main[[#This Row],[تعداد روزهای بدهکار سررسید شده (روز)]]*Main[[#This Row],[مانده در خط سررسید شده (کیلوگرم)]]</f>
        <v>0</v>
      </c>
    </row>
    <row r="2139" spans="1:32" hidden="1" x14ac:dyDescent="0.35">
      <c r="A2139" s="5">
        <f>ROW()-ROW(INDEX(Main[ردیف],1))+1</f>
        <v>2137</v>
      </c>
      <c r="B2139" s="31">
        <f>SUBTOTAL(2,INDEX(Main[ردیف],1):Main[[#This Row],[ردیف]])</f>
        <v>193</v>
      </c>
      <c r="C2139" s="32" t="s">
        <v>759</v>
      </c>
      <c r="D2139" s="32" t="str">
        <f>_xlfn.CONCAT("14",Main[[#This Row],[تاريخ]])</f>
        <v>1400/08/23</v>
      </c>
      <c r="E2139" s="33">
        <v>44514</v>
      </c>
      <c r="F2139" s="32">
        <v>10070</v>
      </c>
      <c r="G2139" s="5" t="str">
        <f>INDEX(customer[عنوان],MATCH(Main[[#This Row],[کد ردیابی]],customer[کد],0))</f>
        <v xml:space="preserve">حمیدرضا شفیعی </v>
      </c>
      <c r="H2139">
        <v>-50</v>
      </c>
      <c r="I2139" s="6">
        <f ca="1">-Main[[#This Row],[بدهی تسویه شده (کیلوگرم)]]+Main[[#This Row],[بستانکار (کیلوگرم)]]</f>
        <v>-50</v>
      </c>
      <c r="J2139" s="6">
        <f>IF(Main[[#This Row],[مقدار (کیلوگرم)]]&gt;0,Main[[#This Row],[مقدار (کیلوگرم)]],0)</f>
        <v>0</v>
      </c>
      <c r="K2139" s="6">
        <f>-IF(Main[[#This Row],[مقدار (کیلوگرم)]]&lt;0,Main[[#This Row],[مقدار (کیلوگرم)]],0)</f>
        <v>50</v>
      </c>
      <c r="L21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9" s="7">
        <f>-IF(AND(Main[[#This Row],[مقدار (کیلوگرم)]]&lt;0,Main[[#This Row],[تاريخ میلادی]]&gt;44276),Main[[#This Row],[مقدار (کیلوگرم)]],0)</f>
        <v>50</v>
      </c>
      <c r="N2139" s="6">
        <f ca="1">Main[[#This Row],[بدهکار (کیلوگرم)]]-Main[[#This Row],[بدهی تسویه نشده (کیلوگرم)]]</f>
        <v>50</v>
      </c>
      <c r="O2139" s="6">
        <f ca="1">Main[[#This Row],[تفکیک]]</f>
        <v>0</v>
      </c>
      <c r="P2139" s="6">
        <f ca="1">IF(Main[[#This Row],[تاخیر از سررسید]]&gt;0,Main[[#This Row],[بدهی تسویه نشده (کیلوگرم)]],0)</f>
        <v>0</v>
      </c>
      <c r="Q2139" s="6">
        <f ca="1">IF(Main[[#This Row],[بدهی تسویه نشده (کیلوگرم)]]&gt;0,'گزارش فردی'!$B$7-Main[[#This Row],[تاريخ میلادی]],0)</f>
        <v>0</v>
      </c>
      <c r="R2139" s="6">
        <f ca="1">IF(Main[[#This Row],[بدهی تسویه نشده (کیلوگرم)]]&gt;0,'گزارش فردی'!$B$7-Main[[#This Row],[تاريخ میلادی]]-'گزارش فردی'!$B$8,0)</f>
        <v>0</v>
      </c>
      <c r="S2139" s="6">
        <f ca="1">Main[[#This Row],[روز از ارسال سفارش]]*Main[[#This Row],[بدهی تسویه نشده (کیلوگرم)]]</f>
        <v>0</v>
      </c>
      <c r="T2139" s="6">
        <f ca="1">Main[[#This Row],[بدهی سررسید شده (کیلوگرم)]]*Main[[#This Row],[روز از ارسال سفارش]]</f>
        <v>0</v>
      </c>
      <c r="U2139" s="6">
        <f>-SUBTOTAL(9,INDEX(Main[مقدار (کیلوگرم)],1):Main[[#This Row],[مقدار (کیلوگرم)]])</f>
        <v>47091</v>
      </c>
      <c r="V21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9" s="6">
        <f>Main[[#This Row],[تعداد کل روزهای بدهکار (روز)]]*Main[[#This Row],[مانده در خط کل (کیلوگرم)]]</f>
        <v>0</v>
      </c>
      <c r="X2139" s="6">
        <f ca="1">-SUBTOTAL(9,INDEX(Main[مقدار تسویه شده (کیلوگرم)],1):Main[[#This Row],[مقدار تسویه شده (کیلوگرم)]])</f>
        <v>47091</v>
      </c>
      <c r="Y2139" s="6">
        <f ca="1">IF(Main[[#This Row],[مانده در خط تسویه شده (کیلوگرم)]]&lt;&gt;0,Main[[#This Row],[تعداد کل روزهای بدهکار (روز)]],0)</f>
        <v>0</v>
      </c>
      <c r="Z2139" s="6">
        <f ca="1">Main[[#This Row],[تعداد روزهای بدهکار تسویه شده (روز)]]*Main[[#This Row],[مانده در خط تسویه شده (کیلوگرم)]]</f>
        <v>0</v>
      </c>
      <c r="AA2139" s="6">
        <f ca="1">SUBTOTAL(9,INDEX(Main[بدهی تسویه نشده (کیلوگرم)],1):Main[[#This Row],[بدهی تسویه نشده (کیلوگرم)]])</f>
        <v>0</v>
      </c>
      <c r="AB2139" s="6">
        <f ca="1">IF(Main[[#This Row],[مانده در خط تسویه نشده (کیلوگرم)]]&lt;&gt;0,Main[[#This Row],[تعداد کل روزهای بدهکار (روز)]],0)</f>
        <v>0</v>
      </c>
      <c r="AC2139" s="6">
        <f ca="1">Main[[#This Row],[تعداد روزهای بدهکار  تسویه نشده (روز)]]*Main[[#This Row],[مانده در خط تسویه نشده (کیلوگرم)]]</f>
        <v>0</v>
      </c>
      <c r="AD2139" s="6">
        <f ca="1">SUBTOTAL(9,INDEX(Main[بدهی سررسید شده (کیلوگرم)],1):Main[[#This Row],[بدهی سررسید شده (کیلوگرم)]])</f>
        <v>0</v>
      </c>
      <c r="AE2139" s="6">
        <f ca="1">IF(Main[[#This Row],[مانده در خط سررسید شده (کیلوگرم)]]&lt;&gt;0,Main[[#This Row],[تعداد کل روزهای بدهکار (روز)]],0)</f>
        <v>0</v>
      </c>
      <c r="AF2139" s="6">
        <f ca="1">Main[[#This Row],[تعداد روزهای بدهکار سررسید شده (روز)]]*Main[[#This Row],[مانده در خط سررسید شده (کیلوگرم)]]</f>
        <v>0</v>
      </c>
    </row>
    <row r="2140" spans="1:32" hidden="1" x14ac:dyDescent="0.35">
      <c r="A2140" s="5">
        <f>ROW()-ROW(INDEX(Main[ردیف],1))+1</f>
        <v>2138</v>
      </c>
      <c r="B2140" s="31">
        <f>SUBTOTAL(2,INDEX(Main[ردیف],1):Main[[#This Row],[ردیف]])</f>
        <v>193</v>
      </c>
      <c r="C2140" s="32" t="s">
        <v>759</v>
      </c>
      <c r="D2140" s="32" t="str">
        <f>_xlfn.CONCAT("14",Main[[#This Row],[تاريخ]])</f>
        <v>1400/08/23</v>
      </c>
      <c r="E2140" s="33">
        <v>44514</v>
      </c>
      <c r="F2140" s="32">
        <v>30186</v>
      </c>
      <c r="G2140" s="5" t="str">
        <f>INDEX(customer[عنوان],MATCH(Main[[#This Row],[کد ردیابی]],customer[کد],0))</f>
        <v>سارا گاز</v>
      </c>
      <c r="H2140">
        <v>917</v>
      </c>
      <c r="I2140" s="6">
        <f ca="1">-Main[[#This Row],[بدهی تسویه شده (کیلوگرم)]]+Main[[#This Row],[بستانکار (کیلوگرم)]]</f>
        <v>917</v>
      </c>
      <c r="J2140" s="6">
        <f>IF(Main[[#This Row],[مقدار (کیلوگرم)]]&gt;0,Main[[#This Row],[مقدار (کیلوگرم)]],0)</f>
        <v>917</v>
      </c>
      <c r="K2140" s="6">
        <f>-IF(Main[[#This Row],[مقدار (کیلوگرم)]]&lt;0,Main[[#This Row],[مقدار (کیلوگرم)]],0)</f>
        <v>0</v>
      </c>
      <c r="L21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0" s="7">
        <f>-IF(AND(Main[[#This Row],[مقدار (کیلوگرم)]]&lt;0,Main[[#This Row],[تاريخ میلادی]]&gt;44276),Main[[#This Row],[مقدار (کیلوگرم)]],0)</f>
        <v>0</v>
      </c>
      <c r="N2140" s="6">
        <f ca="1">Main[[#This Row],[بدهکار (کیلوگرم)]]-Main[[#This Row],[بدهی تسویه نشده (کیلوگرم)]]</f>
        <v>0</v>
      </c>
      <c r="O2140" s="6">
        <f ca="1">Main[[#This Row],[تفکیک]]</f>
        <v>0</v>
      </c>
      <c r="P2140" s="6">
        <f ca="1">IF(Main[[#This Row],[تاخیر از سررسید]]&gt;0,Main[[#This Row],[بدهی تسویه نشده (کیلوگرم)]],0)</f>
        <v>0</v>
      </c>
      <c r="Q2140" s="6">
        <f ca="1">IF(Main[[#This Row],[بدهی تسویه نشده (کیلوگرم)]]&gt;0,'گزارش فردی'!$B$7-Main[[#This Row],[تاريخ میلادی]],0)</f>
        <v>0</v>
      </c>
      <c r="R2140" s="6">
        <f ca="1">IF(Main[[#This Row],[بدهی تسویه نشده (کیلوگرم)]]&gt;0,'گزارش فردی'!$B$7-Main[[#This Row],[تاريخ میلادی]]-'گزارش فردی'!$B$8,0)</f>
        <v>0</v>
      </c>
      <c r="S2140" s="6">
        <f ca="1">Main[[#This Row],[روز از ارسال سفارش]]*Main[[#This Row],[بدهی تسویه نشده (کیلوگرم)]]</f>
        <v>0</v>
      </c>
      <c r="T2140" s="6">
        <f ca="1">Main[[#This Row],[بدهی سررسید شده (کیلوگرم)]]*Main[[#This Row],[روز از ارسال سفارش]]</f>
        <v>0</v>
      </c>
      <c r="U2140" s="6">
        <f>-SUBTOTAL(9,INDEX(Main[مقدار (کیلوگرم)],1):Main[[#This Row],[مقدار (کیلوگرم)]])</f>
        <v>47091</v>
      </c>
      <c r="V21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0" s="6">
        <f>Main[[#This Row],[تعداد کل روزهای بدهکار (روز)]]*Main[[#This Row],[مانده در خط کل (کیلوگرم)]]</f>
        <v>0</v>
      </c>
      <c r="X2140" s="6">
        <f ca="1">-SUBTOTAL(9,INDEX(Main[مقدار تسویه شده (کیلوگرم)],1):Main[[#This Row],[مقدار تسویه شده (کیلوگرم)]])</f>
        <v>47091</v>
      </c>
      <c r="Y2140" s="6">
        <f ca="1">IF(Main[[#This Row],[مانده در خط تسویه شده (کیلوگرم)]]&lt;&gt;0,Main[[#This Row],[تعداد کل روزهای بدهکار (روز)]],0)</f>
        <v>0</v>
      </c>
      <c r="Z2140" s="6">
        <f ca="1">Main[[#This Row],[تعداد روزهای بدهکار تسویه شده (روز)]]*Main[[#This Row],[مانده در خط تسویه شده (کیلوگرم)]]</f>
        <v>0</v>
      </c>
      <c r="AA2140" s="6">
        <f ca="1">SUBTOTAL(9,INDEX(Main[بدهی تسویه نشده (کیلوگرم)],1):Main[[#This Row],[بدهی تسویه نشده (کیلوگرم)]])</f>
        <v>0</v>
      </c>
      <c r="AB2140" s="6">
        <f ca="1">IF(Main[[#This Row],[مانده در خط تسویه نشده (کیلوگرم)]]&lt;&gt;0,Main[[#This Row],[تعداد کل روزهای بدهکار (روز)]],0)</f>
        <v>0</v>
      </c>
      <c r="AC2140" s="6">
        <f ca="1">Main[[#This Row],[تعداد روزهای بدهکار  تسویه نشده (روز)]]*Main[[#This Row],[مانده در خط تسویه نشده (کیلوگرم)]]</f>
        <v>0</v>
      </c>
      <c r="AD2140" s="6">
        <f ca="1">SUBTOTAL(9,INDEX(Main[بدهی سررسید شده (کیلوگرم)],1):Main[[#This Row],[بدهی سررسید شده (کیلوگرم)]])</f>
        <v>0</v>
      </c>
      <c r="AE2140" s="6">
        <f ca="1">IF(Main[[#This Row],[مانده در خط سررسید شده (کیلوگرم)]]&lt;&gt;0,Main[[#This Row],[تعداد کل روزهای بدهکار (روز)]],0)</f>
        <v>0</v>
      </c>
      <c r="AF2140" s="6">
        <f ca="1">Main[[#This Row],[تعداد روزهای بدهکار سررسید شده (روز)]]*Main[[#This Row],[مانده در خط سررسید شده (کیلوگرم)]]</f>
        <v>0</v>
      </c>
    </row>
    <row r="2141" spans="1:32" hidden="1" x14ac:dyDescent="0.35">
      <c r="A2141" s="5">
        <f>ROW()-ROW(INDEX(Main[ردیف],1))+1</f>
        <v>2139</v>
      </c>
      <c r="B2141" s="31">
        <f>SUBTOTAL(2,INDEX(Main[ردیف],1):Main[[#This Row],[ردیف]])</f>
        <v>193</v>
      </c>
      <c r="C2141" s="32" t="s">
        <v>759</v>
      </c>
      <c r="D2141" s="32" t="str">
        <f>_xlfn.CONCAT("14",Main[[#This Row],[تاريخ]])</f>
        <v>1400/08/23</v>
      </c>
      <c r="E2141" s="33">
        <v>44514</v>
      </c>
      <c r="F2141" s="32">
        <v>10084</v>
      </c>
      <c r="G2141" s="5" t="str">
        <f>INDEX(customer[عنوان],MATCH(Main[[#This Row],[کد ردیابی]],customer[کد],0))</f>
        <v xml:space="preserve">سیدحمید کاظمی </v>
      </c>
      <c r="H2141">
        <v>-993</v>
      </c>
      <c r="I2141" s="6">
        <f ca="1">-Main[[#This Row],[بدهی تسویه شده (کیلوگرم)]]+Main[[#This Row],[بستانکار (کیلوگرم)]]</f>
        <v>-993</v>
      </c>
      <c r="J2141" s="6">
        <f>IF(Main[[#This Row],[مقدار (کیلوگرم)]]&gt;0,Main[[#This Row],[مقدار (کیلوگرم)]],0)</f>
        <v>0</v>
      </c>
      <c r="K2141" s="6">
        <f>-IF(Main[[#This Row],[مقدار (کیلوگرم)]]&lt;0,Main[[#This Row],[مقدار (کیلوگرم)]],0)</f>
        <v>993</v>
      </c>
      <c r="L21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1" s="7">
        <f>-IF(AND(Main[[#This Row],[مقدار (کیلوگرم)]]&lt;0,Main[[#This Row],[تاريخ میلادی]]&gt;44276),Main[[#This Row],[مقدار (کیلوگرم)]],0)</f>
        <v>993</v>
      </c>
      <c r="N2141" s="6">
        <f ca="1">Main[[#This Row],[بدهکار (کیلوگرم)]]-Main[[#This Row],[بدهی تسویه نشده (کیلوگرم)]]</f>
        <v>993</v>
      </c>
      <c r="O2141" s="6">
        <f ca="1">Main[[#This Row],[تفکیک]]</f>
        <v>0</v>
      </c>
      <c r="P2141" s="6">
        <f ca="1">IF(Main[[#This Row],[تاخیر از سررسید]]&gt;0,Main[[#This Row],[بدهی تسویه نشده (کیلوگرم)]],0)</f>
        <v>0</v>
      </c>
      <c r="Q2141" s="6">
        <f ca="1">IF(Main[[#This Row],[بدهی تسویه نشده (کیلوگرم)]]&gt;0,'گزارش فردی'!$B$7-Main[[#This Row],[تاريخ میلادی]],0)</f>
        <v>0</v>
      </c>
      <c r="R2141" s="6">
        <f ca="1">IF(Main[[#This Row],[بدهی تسویه نشده (کیلوگرم)]]&gt;0,'گزارش فردی'!$B$7-Main[[#This Row],[تاريخ میلادی]]-'گزارش فردی'!$B$8,0)</f>
        <v>0</v>
      </c>
      <c r="S2141" s="6">
        <f ca="1">Main[[#This Row],[روز از ارسال سفارش]]*Main[[#This Row],[بدهی تسویه نشده (کیلوگرم)]]</f>
        <v>0</v>
      </c>
      <c r="T2141" s="6">
        <f ca="1">Main[[#This Row],[بدهی سررسید شده (کیلوگرم)]]*Main[[#This Row],[روز از ارسال سفارش]]</f>
        <v>0</v>
      </c>
      <c r="U2141" s="6">
        <f>-SUBTOTAL(9,INDEX(Main[مقدار (کیلوگرم)],1):Main[[#This Row],[مقدار (کیلوگرم)]])</f>
        <v>47091</v>
      </c>
      <c r="V21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1" s="6">
        <f>Main[[#This Row],[تعداد کل روزهای بدهکار (روز)]]*Main[[#This Row],[مانده در خط کل (کیلوگرم)]]</f>
        <v>0</v>
      </c>
      <c r="X2141" s="6">
        <f ca="1">-SUBTOTAL(9,INDEX(Main[مقدار تسویه شده (کیلوگرم)],1):Main[[#This Row],[مقدار تسویه شده (کیلوگرم)]])</f>
        <v>47091</v>
      </c>
      <c r="Y2141" s="6">
        <f ca="1">IF(Main[[#This Row],[مانده در خط تسویه شده (کیلوگرم)]]&lt;&gt;0,Main[[#This Row],[تعداد کل روزهای بدهکار (روز)]],0)</f>
        <v>0</v>
      </c>
      <c r="Z2141" s="6">
        <f ca="1">Main[[#This Row],[تعداد روزهای بدهکار تسویه شده (روز)]]*Main[[#This Row],[مانده در خط تسویه شده (کیلوگرم)]]</f>
        <v>0</v>
      </c>
      <c r="AA2141" s="6">
        <f ca="1">SUBTOTAL(9,INDEX(Main[بدهی تسویه نشده (کیلوگرم)],1):Main[[#This Row],[بدهی تسویه نشده (کیلوگرم)]])</f>
        <v>0</v>
      </c>
      <c r="AB2141" s="6">
        <f ca="1">IF(Main[[#This Row],[مانده در خط تسویه نشده (کیلوگرم)]]&lt;&gt;0,Main[[#This Row],[تعداد کل روزهای بدهکار (روز)]],0)</f>
        <v>0</v>
      </c>
      <c r="AC2141" s="6">
        <f ca="1">Main[[#This Row],[تعداد روزهای بدهکار  تسویه نشده (روز)]]*Main[[#This Row],[مانده در خط تسویه نشده (کیلوگرم)]]</f>
        <v>0</v>
      </c>
      <c r="AD2141" s="6">
        <f ca="1">SUBTOTAL(9,INDEX(Main[بدهی سررسید شده (کیلوگرم)],1):Main[[#This Row],[بدهی سررسید شده (کیلوگرم)]])</f>
        <v>0</v>
      </c>
      <c r="AE2141" s="6">
        <f ca="1">IF(Main[[#This Row],[مانده در خط سررسید شده (کیلوگرم)]]&lt;&gt;0,Main[[#This Row],[تعداد کل روزهای بدهکار (روز)]],0)</f>
        <v>0</v>
      </c>
      <c r="AF2141" s="6">
        <f ca="1">Main[[#This Row],[تعداد روزهای بدهکار سررسید شده (روز)]]*Main[[#This Row],[مانده در خط سررسید شده (کیلوگرم)]]</f>
        <v>0</v>
      </c>
    </row>
    <row r="2142" spans="1:32" hidden="1" x14ac:dyDescent="0.35">
      <c r="A2142" s="5">
        <f>ROW()-ROW(INDEX(Main[ردیف],1))+1</f>
        <v>2140</v>
      </c>
      <c r="B2142" s="31">
        <f>SUBTOTAL(2,INDEX(Main[ردیف],1):Main[[#This Row],[ردیف]])</f>
        <v>193</v>
      </c>
      <c r="C2142" s="32" t="s">
        <v>759</v>
      </c>
      <c r="D2142" s="32" t="str">
        <f>_xlfn.CONCAT("14",Main[[#This Row],[تاريخ]])</f>
        <v>1400/08/23</v>
      </c>
      <c r="E2142" s="33">
        <v>44514</v>
      </c>
      <c r="F2142" s="32">
        <v>30026</v>
      </c>
      <c r="G2142" s="5" t="str">
        <f>INDEX(customer[عنوان],MATCH(Main[[#This Row],[کد ردیابی]],customer[کد],0))</f>
        <v>آبکامه</v>
      </c>
      <c r="H2142">
        <v>328</v>
      </c>
      <c r="I2142" s="6">
        <f ca="1">-Main[[#This Row],[بدهی تسویه شده (کیلوگرم)]]+Main[[#This Row],[بستانکار (کیلوگرم)]]</f>
        <v>328</v>
      </c>
      <c r="J2142" s="6">
        <f>IF(Main[[#This Row],[مقدار (کیلوگرم)]]&gt;0,Main[[#This Row],[مقدار (کیلوگرم)]],0)</f>
        <v>328</v>
      </c>
      <c r="K2142" s="6">
        <f>-IF(Main[[#This Row],[مقدار (کیلوگرم)]]&lt;0,Main[[#This Row],[مقدار (کیلوگرم)]],0)</f>
        <v>0</v>
      </c>
      <c r="L21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2" s="7">
        <f>-IF(AND(Main[[#This Row],[مقدار (کیلوگرم)]]&lt;0,Main[[#This Row],[تاريخ میلادی]]&gt;44276),Main[[#This Row],[مقدار (کیلوگرم)]],0)</f>
        <v>0</v>
      </c>
      <c r="N2142" s="6">
        <f ca="1">Main[[#This Row],[بدهکار (کیلوگرم)]]-Main[[#This Row],[بدهی تسویه نشده (کیلوگرم)]]</f>
        <v>0</v>
      </c>
      <c r="O2142" s="6">
        <f ca="1">Main[[#This Row],[تفکیک]]</f>
        <v>0</v>
      </c>
      <c r="P2142" s="6">
        <f ca="1">IF(Main[[#This Row],[تاخیر از سررسید]]&gt;0,Main[[#This Row],[بدهی تسویه نشده (کیلوگرم)]],0)</f>
        <v>0</v>
      </c>
      <c r="Q2142" s="6">
        <f ca="1">IF(Main[[#This Row],[بدهی تسویه نشده (کیلوگرم)]]&gt;0,'گزارش فردی'!$B$7-Main[[#This Row],[تاريخ میلادی]],0)</f>
        <v>0</v>
      </c>
      <c r="R2142" s="6">
        <f ca="1">IF(Main[[#This Row],[بدهی تسویه نشده (کیلوگرم)]]&gt;0,'گزارش فردی'!$B$7-Main[[#This Row],[تاريخ میلادی]]-'گزارش فردی'!$B$8,0)</f>
        <v>0</v>
      </c>
      <c r="S2142" s="6">
        <f ca="1">Main[[#This Row],[روز از ارسال سفارش]]*Main[[#This Row],[بدهی تسویه نشده (کیلوگرم)]]</f>
        <v>0</v>
      </c>
      <c r="T2142" s="6">
        <f ca="1">Main[[#This Row],[بدهی سررسید شده (کیلوگرم)]]*Main[[#This Row],[روز از ارسال سفارش]]</f>
        <v>0</v>
      </c>
      <c r="U2142" s="6">
        <f>-SUBTOTAL(9,INDEX(Main[مقدار (کیلوگرم)],1):Main[[#This Row],[مقدار (کیلوگرم)]])</f>
        <v>47091</v>
      </c>
      <c r="V21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2" s="6">
        <f>Main[[#This Row],[تعداد کل روزهای بدهکار (روز)]]*Main[[#This Row],[مانده در خط کل (کیلوگرم)]]</f>
        <v>0</v>
      </c>
      <c r="X2142" s="6">
        <f ca="1">-SUBTOTAL(9,INDEX(Main[مقدار تسویه شده (کیلوگرم)],1):Main[[#This Row],[مقدار تسویه شده (کیلوگرم)]])</f>
        <v>47091</v>
      </c>
      <c r="Y2142" s="6">
        <f ca="1">IF(Main[[#This Row],[مانده در خط تسویه شده (کیلوگرم)]]&lt;&gt;0,Main[[#This Row],[تعداد کل روزهای بدهکار (روز)]],0)</f>
        <v>0</v>
      </c>
      <c r="Z2142" s="6">
        <f ca="1">Main[[#This Row],[تعداد روزهای بدهکار تسویه شده (روز)]]*Main[[#This Row],[مانده در خط تسویه شده (کیلوگرم)]]</f>
        <v>0</v>
      </c>
      <c r="AA2142" s="6">
        <f ca="1">SUBTOTAL(9,INDEX(Main[بدهی تسویه نشده (کیلوگرم)],1):Main[[#This Row],[بدهی تسویه نشده (کیلوگرم)]])</f>
        <v>0</v>
      </c>
      <c r="AB2142" s="6">
        <f ca="1">IF(Main[[#This Row],[مانده در خط تسویه نشده (کیلوگرم)]]&lt;&gt;0,Main[[#This Row],[تعداد کل روزهای بدهکار (روز)]],0)</f>
        <v>0</v>
      </c>
      <c r="AC2142" s="6">
        <f ca="1">Main[[#This Row],[تعداد روزهای بدهکار  تسویه نشده (روز)]]*Main[[#This Row],[مانده در خط تسویه نشده (کیلوگرم)]]</f>
        <v>0</v>
      </c>
      <c r="AD2142" s="6">
        <f ca="1">SUBTOTAL(9,INDEX(Main[بدهی سررسید شده (کیلوگرم)],1):Main[[#This Row],[بدهی سررسید شده (کیلوگرم)]])</f>
        <v>0</v>
      </c>
      <c r="AE2142" s="6">
        <f ca="1">IF(Main[[#This Row],[مانده در خط سررسید شده (کیلوگرم)]]&lt;&gt;0,Main[[#This Row],[تعداد کل روزهای بدهکار (روز)]],0)</f>
        <v>0</v>
      </c>
      <c r="AF2142" s="6">
        <f ca="1">Main[[#This Row],[تعداد روزهای بدهکار سررسید شده (روز)]]*Main[[#This Row],[مانده در خط سررسید شده (کیلوگرم)]]</f>
        <v>0</v>
      </c>
    </row>
    <row r="2143" spans="1:32" hidden="1" x14ac:dyDescent="0.35">
      <c r="A2143" s="5">
        <f>ROW()-ROW(INDEX(Main[ردیف],1))+1</f>
        <v>2141</v>
      </c>
      <c r="B2143" s="31">
        <f>SUBTOTAL(2,INDEX(Main[ردیف],1):Main[[#This Row],[ردیف]])</f>
        <v>193</v>
      </c>
      <c r="C2143" s="32" t="s">
        <v>759</v>
      </c>
      <c r="D2143" s="32" t="str">
        <f>_xlfn.CONCAT("14",Main[[#This Row],[تاريخ]])</f>
        <v>1400/08/23</v>
      </c>
      <c r="E2143" s="33">
        <v>44514</v>
      </c>
      <c r="F2143" s="32">
        <v>10131</v>
      </c>
      <c r="G2143" s="5" t="str">
        <f>INDEX(customer[عنوان],MATCH(Main[[#This Row],[کد ردیابی]],customer[کد],0))</f>
        <v>بهرام چرخیان</v>
      </c>
      <c r="H2143">
        <v>334</v>
      </c>
      <c r="I2143" s="6">
        <f ca="1">-Main[[#This Row],[بدهی تسویه شده (کیلوگرم)]]+Main[[#This Row],[بستانکار (کیلوگرم)]]</f>
        <v>334</v>
      </c>
      <c r="J2143" s="6">
        <f>IF(Main[[#This Row],[مقدار (کیلوگرم)]]&gt;0,Main[[#This Row],[مقدار (کیلوگرم)]],0)</f>
        <v>334</v>
      </c>
      <c r="K2143" s="6">
        <f>-IF(Main[[#This Row],[مقدار (کیلوگرم)]]&lt;0,Main[[#This Row],[مقدار (کیلوگرم)]],0)</f>
        <v>0</v>
      </c>
      <c r="L21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3" s="7">
        <f>-IF(AND(Main[[#This Row],[مقدار (کیلوگرم)]]&lt;0,Main[[#This Row],[تاريخ میلادی]]&gt;44276),Main[[#This Row],[مقدار (کیلوگرم)]],0)</f>
        <v>0</v>
      </c>
      <c r="N2143" s="6">
        <f ca="1">Main[[#This Row],[بدهکار (کیلوگرم)]]-Main[[#This Row],[بدهی تسویه نشده (کیلوگرم)]]</f>
        <v>0</v>
      </c>
      <c r="O2143" s="6">
        <f ca="1">Main[[#This Row],[تفکیک]]</f>
        <v>0</v>
      </c>
      <c r="P2143" s="6">
        <f ca="1">IF(Main[[#This Row],[تاخیر از سررسید]]&gt;0,Main[[#This Row],[بدهی تسویه نشده (کیلوگرم)]],0)</f>
        <v>0</v>
      </c>
      <c r="Q2143" s="6">
        <f ca="1">IF(Main[[#This Row],[بدهی تسویه نشده (کیلوگرم)]]&gt;0,'گزارش فردی'!$B$7-Main[[#This Row],[تاريخ میلادی]],0)</f>
        <v>0</v>
      </c>
      <c r="R2143" s="6">
        <f ca="1">IF(Main[[#This Row],[بدهی تسویه نشده (کیلوگرم)]]&gt;0,'گزارش فردی'!$B$7-Main[[#This Row],[تاريخ میلادی]]-'گزارش فردی'!$B$8,0)</f>
        <v>0</v>
      </c>
      <c r="S2143" s="6">
        <f ca="1">Main[[#This Row],[روز از ارسال سفارش]]*Main[[#This Row],[بدهی تسویه نشده (کیلوگرم)]]</f>
        <v>0</v>
      </c>
      <c r="T2143" s="6">
        <f ca="1">Main[[#This Row],[بدهی سررسید شده (کیلوگرم)]]*Main[[#This Row],[روز از ارسال سفارش]]</f>
        <v>0</v>
      </c>
      <c r="U2143" s="6">
        <f>-SUBTOTAL(9,INDEX(Main[مقدار (کیلوگرم)],1):Main[[#This Row],[مقدار (کیلوگرم)]])</f>
        <v>47091</v>
      </c>
      <c r="V21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3" s="6">
        <f>Main[[#This Row],[تعداد کل روزهای بدهکار (روز)]]*Main[[#This Row],[مانده در خط کل (کیلوگرم)]]</f>
        <v>0</v>
      </c>
      <c r="X2143" s="6">
        <f ca="1">-SUBTOTAL(9,INDEX(Main[مقدار تسویه شده (کیلوگرم)],1):Main[[#This Row],[مقدار تسویه شده (کیلوگرم)]])</f>
        <v>47091</v>
      </c>
      <c r="Y2143" s="6">
        <f ca="1">IF(Main[[#This Row],[مانده در خط تسویه شده (کیلوگرم)]]&lt;&gt;0,Main[[#This Row],[تعداد کل روزهای بدهکار (روز)]],0)</f>
        <v>0</v>
      </c>
      <c r="Z2143" s="6">
        <f ca="1">Main[[#This Row],[تعداد روزهای بدهکار تسویه شده (روز)]]*Main[[#This Row],[مانده در خط تسویه شده (کیلوگرم)]]</f>
        <v>0</v>
      </c>
      <c r="AA2143" s="6">
        <f ca="1">SUBTOTAL(9,INDEX(Main[بدهی تسویه نشده (کیلوگرم)],1):Main[[#This Row],[بدهی تسویه نشده (کیلوگرم)]])</f>
        <v>0</v>
      </c>
      <c r="AB2143" s="6">
        <f ca="1">IF(Main[[#This Row],[مانده در خط تسویه نشده (کیلوگرم)]]&lt;&gt;0,Main[[#This Row],[تعداد کل روزهای بدهکار (روز)]],0)</f>
        <v>0</v>
      </c>
      <c r="AC2143" s="6">
        <f ca="1">Main[[#This Row],[تعداد روزهای بدهکار  تسویه نشده (روز)]]*Main[[#This Row],[مانده در خط تسویه نشده (کیلوگرم)]]</f>
        <v>0</v>
      </c>
      <c r="AD2143" s="6">
        <f ca="1">SUBTOTAL(9,INDEX(Main[بدهی سررسید شده (کیلوگرم)],1):Main[[#This Row],[بدهی سررسید شده (کیلوگرم)]])</f>
        <v>0</v>
      </c>
      <c r="AE2143" s="6">
        <f ca="1">IF(Main[[#This Row],[مانده در خط سررسید شده (کیلوگرم)]]&lt;&gt;0,Main[[#This Row],[تعداد کل روزهای بدهکار (روز)]],0)</f>
        <v>0</v>
      </c>
      <c r="AF2143" s="6">
        <f ca="1">Main[[#This Row],[تعداد روزهای بدهکار سررسید شده (روز)]]*Main[[#This Row],[مانده در خط سررسید شده (کیلوگرم)]]</f>
        <v>0</v>
      </c>
    </row>
    <row r="2144" spans="1:32" hidden="1" x14ac:dyDescent="0.35">
      <c r="A2144" s="5">
        <f>ROW()-ROW(INDEX(Main[ردیف],1))+1</f>
        <v>2142</v>
      </c>
      <c r="B2144" s="31">
        <f>SUBTOTAL(2,INDEX(Main[ردیف],1):Main[[#This Row],[ردیف]])</f>
        <v>193</v>
      </c>
      <c r="C2144" s="32" t="s">
        <v>759</v>
      </c>
      <c r="D2144" s="32" t="str">
        <f>_xlfn.CONCAT("14",Main[[#This Row],[تاريخ]])</f>
        <v>1400/08/23</v>
      </c>
      <c r="E2144" s="33">
        <v>44514</v>
      </c>
      <c r="F2144" s="32">
        <v>30026</v>
      </c>
      <c r="G2144" s="5" t="str">
        <f>INDEX(customer[عنوان],MATCH(Main[[#This Row],[کد ردیابی]],customer[کد],0))</f>
        <v>آبکامه</v>
      </c>
      <c r="H2144">
        <v>176</v>
      </c>
      <c r="I2144" s="6">
        <f ca="1">-Main[[#This Row],[بدهی تسویه شده (کیلوگرم)]]+Main[[#This Row],[بستانکار (کیلوگرم)]]</f>
        <v>176</v>
      </c>
      <c r="J2144" s="6">
        <f>IF(Main[[#This Row],[مقدار (کیلوگرم)]]&gt;0,Main[[#This Row],[مقدار (کیلوگرم)]],0)</f>
        <v>176</v>
      </c>
      <c r="K2144" s="6">
        <f>-IF(Main[[#This Row],[مقدار (کیلوگرم)]]&lt;0,Main[[#This Row],[مقدار (کیلوگرم)]],0)</f>
        <v>0</v>
      </c>
      <c r="L21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4" s="7">
        <f>-IF(AND(Main[[#This Row],[مقدار (کیلوگرم)]]&lt;0,Main[[#This Row],[تاريخ میلادی]]&gt;44276),Main[[#This Row],[مقدار (کیلوگرم)]],0)</f>
        <v>0</v>
      </c>
      <c r="N2144" s="6">
        <f ca="1">Main[[#This Row],[بدهکار (کیلوگرم)]]-Main[[#This Row],[بدهی تسویه نشده (کیلوگرم)]]</f>
        <v>0</v>
      </c>
      <c r="O2144" s="6">
        <f ca="1">Main[[#This Row],[تفکیک]]</f>
        <v>0</v>
      </c>
      <c r="P2144" s="6">
        <f ca="1">IF(Main[[#This Row],[تاخیر از سررسید]]&gt;0,Main[[#This Row],[بدهی تسویه نشده (کیلوگرم)]],0)</f>
        <v>0</v>
      </c>
      <c r="Q2144" s="6">
        <f ca="1">IF(Main[[#This Row],[بدهی تسویه نشده (کیلوگرم)]]&gt;0,'گزارش فردی'!$B$7-Main[[#This Row],[تاريخ میلادی]],0)</f>
        <v>0</v>
      </c>
      <c r="R2144" s="6">
        <f ca="1">IF(Main[[#This Row],[بدهی تسویه نشده (کیلوگرم)]]&gt;0,'گزارش فردی'!$B$7-Main[[#This Row],[تاريخ میلادی]]-'گزارش فردی'!$B$8,0)</f>
        <v>0</v>
      </c>
      <c r="S2144" s="6">
        <f ca="1">Main[[#This Row],[روز از ارسال سفارش]]*Main[[#This Row],[بدهی تسویه نشده (کیلوگرم)]]</f>
        <v>0</v>
      </c>
      <c r="T2144" s="6">
        <f ca="1">Main[[#This Row],[بدهی سررسید شده (کیلوگرم)]]*Main[[#This Row],[روز از ارسال سفارش]]</f>
        <v>0</v>
      </c>
      <c r="U2144" s="6">
        <f>-SUBTOTAL(9,INDEX(Main[مقدار (کیلوگرم)],1):Main[[#This Row],[مقدار (کیلوگرم)]])</f>
        <v>47091</v>
      </c>
      <c r="V21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4" s="6">
        <f>Main[[#This Row],[تعداد کل روزهای بدهکار (روز)]]*Main[[#This Row],[مانده در خط کل (کیلوگرم)]]</f>
        <v>0</v>
      </c>
      <c r="X2144" s="6">
        <f ca="1">-SUBTOTAL(9,INDEX(Main[مقدار تسویه شده (کیلوگرم)],1):Main[[#This Row],[مقدار تسویه شده (کیلوگرم)]])</f>
        <v>47091</v>
      </c>
      <c r="Y2144" s="6">
        <f ca="1">IF(Main[[#This Row],[مانده در خط تسویه شده (کیلوگرم)]]&lt;&gt;0,Main[[#This Row],[تعداد کل روزهای بدهکار (روز)]],0)</f>
        <v>0</v>
      </c>
      <c r="Z2144" s="6">
        <f ca="1">Main[[#This Row],[تعداد روزهای بدهکار تسویه شده (روز)]]*Main[[#This Row],[مانده در خط تسویه شده (کیلوگرم)]]</f>
        <v>0</v>
      </c>
      <c r="AA2144" s="6">
        <f ca="1">SUBTOTAL(9,INDEX(Main[بدهی تسویه نشده (کیلوگرم)],1):Main[[#This Row],[بدهی تسویه نشده (کیلوگرم)]])</f>
        <v>0</v>
      </c>
      <c r="AB2144" s="6">
        <f ca="1">IF(Main[[#This Row],[مانده در خط تسویه نشده (کیلوگرم)]]&lt;&gt;0,Main[[#This Row],[تعداد کل روزهای بدهکار (روز)]],0)</f>
        <v>0</v>
      </c>
      <c r="AC2144" s="6">
        <f ca="1">Main[[#This Row],[تعداد روزهای بدهکار  تسویه نشده (روز)]]*Main[[#This Row],[مانده در خط تسویه نشده (کیلوگرم)]]</f>
        <v>0</v>
      </c>
      <c r="AD2144" s="6">
        <f ca="1">SUBTOTAL(9,INDEX(Main[بدهی سررسید شده (کیلوگرم)],1):Main[[#This Row],[بدهی سررسید شده (کیلوگرم)]])</f>
        <v>0</v>
      </c>
      <c r="AE2144" s="6">
        <f ca="1">IF(Main[[#This Row],[مانده در خط سررسید شده (کیلوگرم)]]&lt;&gt;0,Main[[#This Row],[تعداد کل روزهای بدهکار (روز)]],0)</f>
        <v>0</v>
      </c>
      <c r="AF2144" s="6">
        <f ca="1">Main[[#This Row],[تعداد روزهای بدهکار سررسید شده (روز)]]*Main[[#This Row],[مانده در خط سررسید شده (کیلوگرم)]]</f>
        <v>0</v>
      </c>
    </row>
    <row r="2145" spans="1:32" x14ac:dyDescent="0.35">
      <c r="A2145" s="5">
        <f>ROW()-ROW(INDEX(Main[ردیف],1))+1</f>
        <v>2143</v>
      </c>
      <c r="B2145" s="31">
        <f>SUBTOTAL(2,INDEX(Main[ردیف],1):Main[[#This Row],[ردیف]])</f>
        <v>194</v>
      </c>
      <c r="C2145" s="32" t="s">
        <v>759</v>
      </c>
      <c r="D2145" s="32" t="str">
        <f>_xlfn.CONCAT("14",Main[[#This Row],[تاريخ]])</f>
        <v>1400/08/23</v>
      </c>
      <c r="E2145" s="33">
        <v>44514</v>
      </c>
      <c r="F2145" s="32">
        <v>10003</v>
      </c>
      <c r="G2145" s="5" t="str">
        <f>INDEX(customer[عنوان],MATCH(Main[[#This Row],[کد ردیابی]],customer[کد],0))</f>
        <v>اصغر نورعلی</v>
      </c>
      <c r="H2145">
        <v>3085</v>
      </c>
      <c r="I2145" s="6">
        <f ca="1">-Main[[#This Row],[بدهی تسویه شده (کیلوگرم)]]+Main[[#This Row],[بستانکار (کیلوگرم)]]</f>
        <v>3085</v>
      </c>
      <c r="J2145" s="6">
        <f>IF(Main[[#This Row],[مقدار (کیلوگرم)]]&gt;0,Main[[#This Row],[مقدار (کیلوگرم)]],0)</f>
        <v>3085</v>
      </c>
      <c r="K2145" s="6">
        <f>-IF(Main[[#This Row],[مقدار (کیلوگرم)]]&lt;0,Main[[#This Row],[مقدار (کیلوگرم)]],0)</f>
        <v>0</v>
      </c>
      <c r="L21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5" s="7">
        <f>-IF(AND(Main[[#This Row],[مقدار (کیلوگرم)]]&lt;0,Main[[#This Row],[تاريخ میلادی]]&gt;44276),Main[[#This Row],[مقدار (کیلوگرم)]],0)</f>
        <v>0</v>
      </c>
      <c r="N2145" s="6">
        <f ca="1">Main[[#This Row],[بدهکار (کیلوگرم)]]-Main[[#This Row],[بدهی تسویه نشده (کیلوگرم)]]</f>
        <v>0</v>
      </c>
      <c r="O2145" s="6">
        <f ca="1">Main[[#This Row],[تفکیک]]</f>
        <v>0</v>
      </c>
      <c r="P2145" s="6">
        <f ca="1">IF(Main[[#This Row],[تاخیر از سررسید]]&gt;0,Main[[#This Row],[بدهی تسویه نشده (کیلوگرم)]],0)</f>
        <v>0</v>
      </c>
      <c r="Q2145" s="6">
        <f ca="1">IF(Main[[#This Row],[بدهی تسویه نشده (کیلوگرم)]]&gt;0,'گزارش فردی'!$B$7-Main[[#This Row],[تاريخ میلادی]],0)</f>
        <v>0</v>
      </c>
      <c r="R2145" s="6">
        <f ca="1">IF(Main[[#This Row],[بدهی تسویه نشده (کیلوگرم)]]&gt;0,'گزارش فردی'!$B$7-Main[[#This Row],[تاريخ میلادی]]-'گزارش فردی'!$B$8,0)</f>
        <v>0</v>
      </c>
      <c r="S2145" s="6">
        <f ca="1">Main[[#This Row],[روز از ارسال سفارش]]*Main[[#This Row],[بدهی تسویه نشده (کیلوگرم)]]</f>
        <v>0</v>
      </c>
      <c r="T2145" s="6">
        <f ca="1">Main[[#This Row],[بدهی سررسید شده (کیلوگرم)]]*Main[[#This Row],[روز از ارسال سفارش]]</f>
        <v>0</v>
      </c>
      <c r="U2145" s="6">
        <f>-SUBTOTAL(9,INDEX(Main[مقدار (کیلوگرم)],1):Main[[#This Row],[مقدار (کیلوگرم)]])</f>
        <v>44006</v>
      </c>
      <c r="V21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5" s="6">
        <f>Main[[#This Row],[تعداد کل روزهای بدهکار (روز)]]*Main[[#This Row],[مانده در خط کل (کیلوگرم)]]</f>
        <v>0</v>
      </c>
      <c r="X2145" s="6">
        <f ca="1">-SUBTOTAL(9,INDEX(Main[مقدار تسویه شده (کیلوگرم)],1):Main[[#This Row],[مقدار تسویه شده (کیلوگرم)]])</f>
        <v>44006</v>
      </c>
      <c r="Y2145" s="6">
        <f ca="1">IF(Main[[#This Row],[مانده در خط تسویه شده (کیلوگرم)]]&lt;&gt;0,Main[[#This Row],[تعداد کل روزهای بدهکار (روز)]],0)</f>
        <v>0</v>
      </c>
      <c r="Z2145" s="6">
        <f ca="1">Main[[#This Row],[تعداد روزهای بدهکار تسویه شده (روز)]]*Main[[#This Row],[مانده در خط تسویه شده (کیلوگرم)]]</f>
        <v>0</v>
      </c>
      <c r="AA2145" s="6">
        <f ca="1">SUBTOTAL(9,INDEX(Main[بدهی تسویه نشده (کیلوگرم)],1):Main[[#This Row],[بدهی تسویه نشده (کیلوگرم)]])</f>
        <v>0</v>
      </c>
      <c r="AB2145" s="6">
        <f ca="1">IF(Main[[#This Row],[مانده در خط تسویه نشده (کیلوگرم)]]&lt;&gt;0,Main[[#This Row],[تعداد کل روزهای بدهکار (روز)]],0)</f>
        <v>0</v>
      </c>
      <c r="AC2145" s="6">
        <f ca="1">Main[[#This Row],[تعداد روزهای بدهکار  تسویه نشده (روز)]]*Main[[#This Row],[مانده در خط تسویه نشده (کیلوگرم)]]</f>
        <v>0</v>
      </c>
      <c r="AD2145" s="6">
        <f ca="1">SUBTOTAL(9,INDEX(Main[بدهی سررسید شده (کیلوگرم)],1):Main[[#This Row],[بدهی سررسید شده (کیلوگرم)]])</f>
        <v>0</v>
      </c>
      <c r="AE2145" s="6">
        <f ca="1">IF(Main[[#This Row],[مانده در خط سررسید شده (کیلوگرم)]]&lt;&gt;0,Main[[#This Row],[تعداد کل روزهای بدهکار (روز)]],0)</f>
        <v>0</v>
      </c>
      <c r="AF2145" s="6">
        <f ca="1">Main[[#This Row],[تعداد روزهای بدهکار سررسید شده (روز)]]*Main[[#This Row],[مانده در خط سررسید شده (کیلوگرم)]]</f>
        <v>0</v>
      </c>
    </row>
    <row r="2146" spans="1:32" x14ac:dyDescent="0.35">
      <c r="A2146" s="5">
        <f>ROW()-ROW(INDEX(Main[ردیف],1))+1</f>
        <v>2144</v>
      </c>
      <c r="B2146" s="31">
        <f>SUBTOTAL(2,INDEX(Main[ردیف],1):Main[[#This Row],[ردیف]])</f>
        <v>195</v>
      </c>
      <c r="C2146" s="32" t="s">
        <v>759</v>
      </c>
      <c r="D2146" s="32" t="str">
        <f>_xlfn.CONCAT("14",Main[[#This Row],[تاريخ]])</f>
        <v>1400/08/23</v>
      </c>
      <c r="E2146" s="33">
        <v>44514</v>
      </c>
      <c r="F2146" s="32">
        <v>10003</v>
      </c>
      <c r="G2146" s="5" t="str">
        <f>INDEX(customer[عنوان],MATCH(Main[[#This Row],[کد ردیابی]],customer[کد],0))</f>
        <v>اصغر نورعلی</v>
      </c>
      <c r="H2146">
        <v>1930</v>
      </c>
      <c r="I2146" s="6">
        <f ca="1">-Main[[#This Row],[بدهی تسویه شده (کیلوگرم)]]+Main[[#This Row],[بستانکار (کیلوگرم)]]</f>
        <v>1930</v>
      </c>
      <c r="J2146" s="6">
        <f>IF(Main[[#This Row],[مقدار (کیلوگرم)]]&gt;0,Main[[#This Row],[مقدار (کیلوگرم)]],0)</f>
        <v>1930</v>
      </c>
      <c r="K2146" s="6">
        <f>-IF(Main[[#This Row],[مقدار (کیلوگرم)]]&lt;0,Main[[#This Row],[مقدار (کیلوگرم)]],0)</f>
        <v>0</v>
      </c>
      <c r="L21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6" s="7">
        <f>-IF(AND(Main[[#This Row],[مقدار (کیلوگرم)]]&lt;0,Main[[#This Row],[تاريخ میلادی]]&gt;44276),Main[[#This Row],[مقدار (کیلوگرم)]],0)</f>
        <v>0</v>
      </c>
      <c r="N2146" s="6">
        <f ca="1">Main[[#This Row],[بدهکار (کیلوگرم)]]-Main[[#This Row],[بدهی تسویه نشده (کیلوگرم)]]</f>
        <v>0</v>
      </c>
      <c r="O2146" s="6">
        <f ca="1">Main[[#This Row],[تفکیک]]</f>
        <v>0</v>
      </c>
      <c r="P2146" s="6">
        <f ca="1">IF(Main[[#This Row],[تاخیر از سررسید]]&gt;0,Main[[#This Row],[بدهی تسویه نشده (کیلوگرم)]],0)</f>
        <v>0</v>
      </c>
      <c r="Q2146" s="6">
        <f ca="1">IF(Main[[#This Row],[بدهی تسویه نشده (کیلوگرم)]]&gt;0,'گزارش فردی'!$B$7-Main[[#This Row],[تاريخ میلادی]],0)</f>
        <v>0</v>
      </c>
      <c r="R2146" s="6">
        <f ca="1">IF(Main[[#This Row],[بدهی تسویه نشده (کیلوگرم)]]&gt;0,'گزارش فردی'!$B$7-Main[[#This Row],[تاريخ میلادی]]-'گزارش فردی'!$B$8,0)</f>
        <v>0</v>
      </c>
      <c r="S2146" s="6">
        <f ca="1">Main[[#This Row],[روز از ارسال سفارش]]*Main[[#This Row],[بدهی تسویه نشده (کیلوگرم)]]</f>
        <v>0</v>
      </c>
      <c r="T2146" s="6">
        <f ca="1">Main[[#This Row],[بدهی سررسید شده (کیلوگرم)]]*Main[[#This Row],[روز از ارسال سفارش]]</f>
        <v>0</v>
      </c>
      <c r="U2146" s="6">
        <f>-SUBTOTAL(9,INDEX(Main[مقدار (کیلوگرم)],1):Main[[#This Row],[مقدار (کیلوگرم)]])</f>
        <v>42076</v>
      </c>
      <c r="V21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6" s="6">
        <f>Main[[#This Row],[تعداد کل روزهای بدهکار (روز)]]*Main[[#This Row],[مانده در خط کل (کیلوگرم)]]</f>
        <v>42076</v>
      </c>
      <c r="X2146" s="6">
        <f ca="1">-SUBTOTAL(9,INDEX(Main[مقدار تسویه شده (کیلوگرم)],1):Main[[#This Row],[مقدار تسویه شده (کیلوگرم)]])</f>
        <v>42076</v>
      </c>
      <c r="Y2146" s="6">
        <f ca="1">IF(Main[[#This Row],[مانده در خط تسویه شده (کیلوگرم)]]&lt;&gt;0,Main[[#This Row],[تعداد کل روزهای بدهکار (روز)]],0)</f>
        <v>1</v>
      </c>
      <c r="Z2146" s="6">
        <f ca="1">Main[[#This Row],[تعداد روزهای بدهکار تسویه شده (روز)]]*Main[[#This Row],[مانده در خط تسویه شده (کیلوگرم)]]</f>
        <v>42076</v>
      </c>
      <c r="AA2146" s="6">
        <f ca="1">SUBTOTAL(9,INDEX(Main[بدهی تسویه نشده (کیلوگرم)],1):Main[[#This Row],[بدهی تسویه نشده (کیلوگرم)]])</f>
        <v>0</v>
      </c>
      <c r="AB2146" s="6">
        <f ca="1">IF(Main[[#This Row],[مانده در خط تسویه نشده (کیلوگرم)]]&lt;&gt;0,Main[[#This Row],[تعداد کل روزهای بدهکار (روز)]],0)</f>
        <v>0</v>
      </c>
      <c r="AC2146" s="6">
        <f ca="1">Main[[#This Row],[تعداد روزهای بدهکار  تسویه نشده (روز)]]*Main[[#This Row],[مانده در خط تسویه نشده (کیلوگرم)]]</f>
        <v>0</v>
      </c>
      <c r="AD2146" s="6">
        <f ca="1">SUBTOTAL(9,INDEX(Main[بدهی سررسید شده (کیلوگرم)],1):Main[[#This Row],[بدهی سررسید شده (کیلوگرم)]])</f>
        <v>0</v>
      </c>
      <c r="AE2146" s="6">
        <f ca="1">IF(Main[[#This Row],[مانده در خط سررسید شده (کیلوگرم)]]&lt;&gt;0,Main[[#This Row],[تعداد کل روزهای بدهکار (روز)]],0)</f>
        <v>0</v>
      </c>
      <c r="AF2146" s="6">
        <f ca="1">Main[[#This Row],[تعداد روزهای بدهکار سررسید شده (روز)]]*Main[[#This Row],[مانده در خط سررسید شده (کیلوگرم)]]</f>
        <v>0</v>
      </c>
    </row>
    <row r="2147" spans="1:32" hidden="1" x14ac:dyDescent="0.35">
      <c r="A2147" s="5">
        <f>ROW()-ROW(INDEX(Main[ردیف],1))+1</f>
        <v>2145</v>
      </c>
      <c r="B2147" s="31">
        <f>SUBTOTAL(2,INDEX(Main[ردیف],1):Main[[#This Row],[ردیف]])</f>
        <v>195</v>
      </c>
      <c r="C2147" s="32" t="s">
        <v>762</v>
      </c>
      <c r="D2147" s="32" t="str">
        <f>_xlfn.CONCAT("14",Main[[#This Row],[تاريخ]])</f>
        <v>1400/08/24</v>
      </c>
      <c r="E2147" s="33">
        <v>44515</v>
      </c>
      <c r="F2147" s="32">
        <v>30196</v>
      </c>
      <c r="G2147" s="5" t="str">
        <f>INDEX(customer[عنوان],MATCH(Main[[#This Row],[کد ردیابی]],customer[کد],0))</f>
        <v>شرکت فردوس</v>
      </c>
      <c r="H2147">
        <v>-2579</v>
      </c>
      <c r="I2147" s="6">
        <f ca="1">-Main[[#This Row],[بدهی تسویه شده (کیلوگرم)]]+Main[[#This Row],[بستانکار (کیلوگرم)]]</f>
        <v>-2579</v>
      </c>
      <c r="J2147" s="6">
        <f>IF(Main[[#This Row],[مقدار (کیلوگرم)]]&gt;0,Main[[#This Row],[مقدار (کیلوگرم)]],0)</f>
        <v>0</v>
      </c>
      <c r="K2147" s="6">
        <f>-IF(Main[[#This Row],[مقدار (کیلوگرم)]]&lt;0,Main[[#This Row],[مقدار (کیلوگرم)]],0)</f>
        <v>2579</v>
      </c>
      <c r="L21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7" s="7">
        <f>-IF(AND(Main[[#This Row],[مقدار (کیلوگرم)]]&lt;0,Main[[#This Row],[تاريخ میلادی]]&gt;44276),Main[[#This Row],[مقدار (کیلوگرم)]],0)</f>
        <v>2579</v>
      </c>
      <c r="N2147" s="6">
        <f ca="1">Main[[#This Row],[بدهکار (کیلوگرم)]]-Main[[#This Row],[بدهی تسویه نشده (کیلوگرم)]]</f>
        <v>2579</v>
      </c>
      <c r="O2147" s="6">
        <f ca="1">Main[[#This Row],[تفکیک]]</f>
        <v>0</v>
      </c>
      <c r="P2147" s="6">
        <f ca="1">IF(Main[[#This Row],[تاخیر از سررسید]]&gt;0,Main[[#This Row],[بدهی تسویه نشده (کیلوگرم)]],0)</f>
        <v>0</v>
      </c>
      <c r="Q2147" s="6">
        <f ca="1">IF(Main[[#This Row],[بدهی تسویه نشده (کیلوگرم)]]&gt;0,'گزارش فردی'!$B$7-Main[[#This Row],[تاريخ میلادی]],0)</f>
        <v>0</v>
      </c>
      <c r="R2147" s="6">
        <f ca="1">IF(Main[[#This Row],[بدهی تسویه نشده (کیلوگرم)]]&gt;0,'گزارش فردی'!$B$7-Main[[#This Row],[تاريخ میلادی]]-'گزارش فردی'!$B$8,0)</f>
        <v>0</v>
      </c>
      <c r="S2147" s="6">
        <f ca="1">Main[[#This Row],[روز از ارسال سفارش]]*Main[[#This Row],[بدهی تسویه نشده (کیلوگرم)]]</f>
        <v>0</v>
      </c>
      <c r="T2147" s="6">
        <f ca="1">Main[[#This Row],[بدهی سررسید شده (کیلوگرم)]]*Main[[#This Row],[روز از ارسال سفارش]]</f>
        <v>0</v>
      </c>
      <c r="U2147" s="6">
        <f>-SUBTOTAL(9,INDEX(Main[مقدار (کیلوگرم)],1):Main[[#This Row],[مقدار (کیلوگرم)]])</f>
        <v>42076</v>
      </c>
      <c r="V21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7" s="6">
        <f>Main[[#This Row],[تعداد کل روزهای بدهکار (روز)]]*Main[[#This Row],[مانده در خط کل (کیلوگرم)]]</f>
        <v>0</v>
      </c>
      <c r="X2147" s="6">
        <f ca="1">-SUBTOTAL(9,INDEX(Main[مقدار تسویه شده (کیلوگرم)],1):Main[[#This Row],[مقدار تسویه شده (کیلوگرم)]])</f>
        <v>42076</v>
      </c>
      <c r="Y2147" s="6">
        <f ca="1">IF(Main[[#This Row],[مانده در خط تسویه شده (کیلوگرم)]]&lt;&gt;0,Main[[#This Row],[تعداد کل روزهای بدهکار (روز)]],0)</f>
        <v>0</v>
      </c>
      <c r="Z2147" s="6">
        <f ca="1">Main[[#This Row],[تعداد روزهای بدهکار تسویه شده (روز)]]*Main[[#This Row],[مانده در خط تسویه شده (کیلوگرم)]]</f>
        <v>0</v>
      </c>
      <c r="AA2147" s="6">
        <f ca="1">SUBTOTAL(9,INDEX(Main[بدهی تسویه نشده (کیلوگرم)],1):Main[[#This Row],[بدهی تسویه نشده (کیلوگرم)]])</f>
        <v>0</v>
      </c>
      <c r="AB2147" s="6">
        <f ca="1">IF(Main[[#This Row],[مانده در خط تسویه نشده (کیلوگرم)]]&lt;&gt;0,Main[[#This Row],[تعداد کل روزهای بدهکار (روز)]],0)</f>
        <v>0</v>
      </c>
      <c r="AC2147" s="6">
        <f ca="1">Main[[#This Row],[تعداد روزهای بدهکار  تسویه نشده (روز)]]*Main[[#This Row],[مانده در خط تسویه نشده (کیلوگرم)]]</f>
        <v>0</v>
      </c>
      <c r="AD2147" s="6">
        <f ca="1">SUBTOTAL(9,INDEX(Main[بدهی سررسید شده (کیلوگرم)],1):Main[[#This Row],[بدهی سررسید شده (کیلوگرم)]])</f>
        <v>0</v>
      </c>
      <c r="AE2147" s="6">
        <f ca="1">IF(Main[[#This Row],[مانده در خط سررسید شده (کیلوگرم)]]&lt;&gt;0,Main[[#This Row],[تعداد کل روزهای بدهکار (روز)]],0)</f>
        <v>0</v>
      </c>
      <c r="AF2147" s="6">
        <f ca="1">Main[[#This Row],[تعداد روزهای بدهکار سررسید شده (روز)]]*Main[[#This Row],[مانده در خط سررسید شده (کیلوگرم)]]</f>
        <v>0</v>
      </c>
    </row>
    <row r="2148" spans="1:32" x14ac:dyDescent="0.35">
      <c r="A2148" s="5">
        <f>ROW()-ROW(INDEX(Main[ردیف],1))+1</f>
        <v>2146</v>
      </c>
      <c r="B2148" s="31">
        <f>SUBTOTAL(2,INDEX(Main[ردیف],1):Main[[#This Row],[ردیف]])</f>
        <v>196</v>
      </c>
      <c r="C2148" s="32" t="s">
        <v>762</v>
      </c>
      <c r="D2148" s="32" t="str">
        <f>_xlfn.CONCAT("14",Main[[#This Row],[تاريخ]])</f>
        <v>1400/08/24</v>
      </c>
      <c r="E2148" s="33">
        <v>44515</v>
      </c>
      <c r="F2148" s="32">
        <v>10003</v>
      </c>
      <c r="G2148" s="5" t="str">
        <f>INDEX(customer[عنوان],MATCH(Main[[#This Row],[کد ردیابی]],customer[کد],0))</f>
        <v>اصغر نورعلی</v>
      </c>
      <c r="H2148">
        <v>7000</v>
      </c>
      <c r="I2148" s="6">
        <f ca="1">-Main[[#This Row],[بدهی تسویه شده (کیلوگرم)]]+Main[[#This Row],[بستانکار (کیلوگرم)]]</f>
        <v>7000</v>
      </c>
      <c r="J2148" s="6">
        <f>IF(Main[[#This Row],[مقدار (کیلوگرم)]]&gt;0,Main[[#This Row],[مقدار (کیلوگرم)]],0)</f>
        <v>7000</v>
      </c>
      <c r="K2148" s="6">
        <f>-IF(Main[[#This Row],[مقدار (کیلوگرم)]]&lt;0,Main[[#This Row],[مقدار (کیلوگرم)]],0)</f>
        <v>0</v>
      </c>
      <c r="L21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8" s="7">
        <f>-IF(AND(Main[[#This Row],[مقدار (کیلوگرم)]]&lt;0,Main[[#This Row],[تاريخ میلادی]]&gt;44276),Main[[#This Row],[مقدار (کیلوگرم)]],0)</f>
        <v>0</v>
      </c>
      <c r="N2148" s="6">
        <f ca="1">Main[[#This Row],[بدهکار (کیلوگرم)]]-Main[[#This Row],[بدهی تسویه نشده (کیلوگرم)]]</f>
        <v>0</v>
      </c>
      <c r="O2148" s="6">
        <f ca="1">Main[[#This Row],[تفکیک]]</f>
        <v>0</v>
      </c>
      <c r="P2148" s="6">
        <f ca="1">IF(Main[[#This Row],[تاخیر از سررسید]]&gt;0,Main[[#This Row],[بدهی تسویه نشده (کیلوگرم)]],0)</f>
        <v>0</v>
      </c>
      <c r="Q2148" s="6">
        <f ca="1">IF(Main[[#This Row],[بدهی تسویه نشده (کیلوگرم)]]&gt;0,'گزارش فردی'!$B$7-Main[[#This Row],[تاريخ میلادی]],0)</f>
        <v>0</v>
      </c>
      <c r="R2148" s="6">
        <f ca="1">IF(Main[[#This Row],[بدهی تسویه نشده (کیلوگرم)]]&gt;0,'گزارش فردی'!$B$7-Main[[#This Row],[تاريخ میلادی]]-'گزارش فردی'!$B$8,0)</f>
        <v>0</v>
      </c>
      <c r="S2148" s="6">
        <f ca="1">Main[[#This Row],[روز از ارسال سفارش]]*Main[[#This Row],[بدهی تسویه نشده (کیلوگرم)]]</f>
        <v>0</v>
      </c>
      <c r="T2148" s="6">
        <f ca="1">Main[[#This Row],[بدهی سررسید شده (کیلوگرم)]]*Main[[#This Row],[روز از ارسال سفارش]]</f>
        <v>0</v>
      </c>
      <c r="U2148" s="6">
        <f>-SUBTOTAL(9,INDEX(Main[مقدار (کیلوگرم)],1):Main[[#This Row],[مقدار (کیلوگرم)]])</f>
        <v>35076</v>
      </c>
      <c r="V21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8" s="6">
        <f>Main[[#This Row],[تعداد کل روزهای بدهکار (روز)]]*Main[[#This Row],[مانده در خط کل (کیلوگرم)]]</f>
        <v>35076</v>
      </c>
      <c r="X2148" s="6">
        <f ca="1">-SUBTOTAL(9,INDEX(Main[مقدار تسویه شده (کیلوگرم)],1):Main[[#This Row],[مقدار تسویه شده (کیلوگرم)]])</f>
        <v>35076</v>
      </c>
      <c r="Y2148" s="6">
        <f ca="1">IF(Main[[#This Row],[مانده در خط تسویه شده (کیلوگرم)]]&lt;&gt;0,Main[[#This Row],[تعداد کل روزهای بدهکار (روز)]],0)</f>
        <v>1</v>
      </c>
      <c r="Z2148" s="6">
        <f ca="1">Main[[#This Row],[تعداد روزهای بدهکار تسویه شده (روز)]]*Main[[#This Row],[مانده در خط تسویه شده (کیلوگرم)]]</f>
        <v>35076</v>
      </c>
      <c r="AA2148" s="6">
        <f ca="1">SUBTOTAL(9,INDEX(Main[بدهی تسویه نشده (کیلوگرم)],1):Main[[#This Row],[بدهی تسویه نشده (کیلوگرم)]])</f>
        <v>0</v>
      </c>
      <c r="AB2148" s="6">
        <f ca="1">IF(Main[[#This Row],[مانده در خط تسویه نشده (کیلوگرم)]]&lt;&gt;0,Main[[#This Row],[تعداد کل روزهای بدهکار (روز)]],0)</f>
        <v>0</v>
      </c>
      <c r="AC2148" s="6">
        <f ca="1">Main[[#This Row],[تعداد روزهای بدهکار  تسویه نشده (روز)]]*Main[[#This Row],[مانده در خط تسویه نشده (کیلوگرم)]]</f>
        <v>0</v>
      </c>
      <c r="AD2148" s="6">
        <f ca="1">SUBTOTAL(9,INDEX(Main[بدهی سررسید شده (کیلوگرم)],1):Main[[#This Row],[بدهی سررسید شده (کیلوگرم)]])</f>
        <v>0</v>
      </c>
      <c r="AE2148" s="6">
        <f ca="1">IF(Main[[#This Row],[مانده در خط سررسید شده (کیلوگرم)]]&lt;&gt;0,Main[[#This Row],[تعداد کل روزهای بدهکار (روز)]],0)</f>
        <v>0</v>
      </c>
      <c r="AF2148" s="6">
        <f ca="1">Main[[#This Row],[تعداد روزهای بدهکار سررسید شده (روز)]]*Main[[#This Row],[مانده در خط سررسید شده (کیلوگرم)]]</f>
        <v>0</v>
      </c>
    </row>
    <row r="2149" spans="1:32" hidden="1" x14ac:dyDescent="0.35">
      <c r="A2149" s="5">
        <f>ROW()-ROW(INDEX(Main[ردیف],1))+1</f>
        <v>2147</v>
      </c>
      <c r="B2149" s="31">
        <f>SUBTOTAL(2,INDEX(Main[ردیف],1):Main[[#This Row],[ردیف]])</f>
        <v>196</v>
      </c>
      <c r="C2149" s="32" t="s">
        <v>762</v>
      </c>
      <c r="D2149" s="32" t="str">
        <f>_xlfn.CONCAT("14",Main[[#This Row],[تاريخ]])</f>
        <v>1400/08/24</v>
      </c>
      <c r="E2149" s="33">
        <v>44515</v>
      </c>
      <c r="F2149" s="32">
        <v>10070</v>
      </c>
      <c r="G2149" s="5" t="str">
        <f>INDEX(customer[عنوان],MATCH(Main[[#This Row],[کد ردیابی]],customer[کد],0))</f>
        <v xml:space="preserve">حمیدرضا شفیعی </v>
      </c>
      <c r="H2149">
        <v>-982</v>
      </c>
      <c r="I2149" s="6">
        <f ca="1">-Main[[#This Row],[بدهی تسویه شده (کیلوگرم)]]+Main[[#This Row],[بستانکار (کیلوگرم)]]</f>
        <v>-982</v>
      </c>
      <c r="J2149" s="6">
        <f>IF(Main[[#This Row],[مقدار (کیلوگرم)]]&gt;0,Main[[#This Row],[مقدار (کیلوگرم)]],0)</f>
        <v>0</v>
      </c>
      <c r="K2149" s="6">
        <f>-IF(Main[[#This Row],[مقدار (کیلوگرم)]]&lt;0,Main[[#This Row],[مقدار (کیلوگرم)]],0)</f>
        <v>982</v>
      </c>
      <c r="L21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9" s="7">
        <f>-IF(AND(Main[[#This Row],[مقدار (کیلوگرم)]]&lt;0,Main[[#This Row],[تاريخ میلادی]]&gt;44276),Main[[#This Row],[مقدار (کیلوگرم)]],0)</f>
        <v>982</v>
      </c>
      <c r="N2149" s="6">
        <f ca="1">Main[[#This Row],[بدهکار (کیلوگرم)]]-Main[[#This Row],[بدهی تسویه نشده (کیلوگرم)]]</f>
        <v>982</v>
      </c>
      <c r="O2149" s="6">
        <f ca="1">Main[[#This Row],[تفکیک]]</f>
        <v>0</v>
      </c>
      <c r="P2149" s="6">
        <f ca="1">IF(Main[[#This Row],[تاخیر از سررسید]]&gt;0,Main[[#This Row],[بدهی تسویه نشده (کیلوگرم)]],0)</f>
        <v>0</v>
      </c>
      <c r="Q2149" s="6">
        <f ca="1">IF(Main[[#This Row],[بدهی تسویه نشده (کیلوگرم)]]&gt;0,'گزارش فردی'!$B$7-Main[[#This Row],[تاريخ میلادی]],0)</f>
        <v>0</v>
      </c>
      <c r="R2149" s="6">
        <f ca="1">IF(Main[[#This Row],[بدهی تسویه نشده (کیلوگرم)]]&gt;0,'گزارش فردی'!$B$7-Main[[#This Row],[تاريخ میلادی]]-'گزارش فردی'!$B$8,0)</f>
        <v>0</v>
      </c>
      <c r="S2149" s="6">
        <f ca="1">Main[[#This Row],[روز از ارسال سفارش]]*Main[[#This Row],[بدهی تسویه نشده (کیلوگرم)]]</f>
        <v>0</v>
      </c>
      <c r="T2149" s="6">
        <f ca="1">Main[[#This Row],[بدهی سررسید شده (کیلوگرم)]]*Main[[#This Row],[روز از ارسال سفارش]]</f>
        <v>0</v>
      </c>
      <c r="U2149" s="6">
        <f>-SUBTOTAL(9,INDEX(Main[مقدار (کیلوگرم)],1):Main[[#This Row],[مقدار (کیلوگرم)]])</f>
        <v>35076</v>
      </c>
      <c r="V21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9" s="6">
        <f>Main[[#This Row],[تعداد کل روزهای بدهکار (روز)]]*Main[[#This Row],[مانده در خط کل (کیلوگرم)]]</f>
        <v>35076</v>
      </c>
      <c r="X2149" s="6">
        <f ca="1">-SUBTOTAL(9,INDEX(Main[مقدار تسویه شده (کیلوگرم)],1):Main[[#This Row],[مقدار تسویه شده (کیلوگرم)]])</f>
        <v>35076</v>
      </c>
      <c r="Y2149" s="6">
        <f ca="1">IF(Main[[#This Row],[مانده در خط تسویه شده (کیلوگرم)]]&lt;&gt;0,Main[[#This Row],[تعداد کل روزهای بدهکار (روز)]],0)</f>
        <v>1</v>
      </c>
      <c r="Z2149" s="6">
        <f ca="1">Main[[#This Row],[تعداد روزهای بدهکار تسویه شده (روز)]]*Main[[#This Row],[مانده در خط تسویه شده (کیلوگرم)]]</f>
        <v>35076</v>
      </c>
      <c r="AA2149" s="6">
        <f ca="1">SUBTOTAL(9,INDEX(Main[بدهی تسویه نشده (کیلوگرم)],1):Main[[#This Row],[بدهی تسویه نشده (کیلوگرم)]])</f>
        <v>0</v>
      </c>
      <c r="AB2149" s="6">
        <f ca="1">IF(Main[[#This Row],[مانده در خط تسویه نشده (کیلوگرم)]]&lt;&gt;0,Main[[#This Row],[تعداد کل روزهای بدهکار (روز)]],0)</f>
        <v>0</v>
      </c>
      <c r="AC2149" s="6">
        <f ca="1">Main[[#This Row],[تعداد روزهای بدهکار  تسویه نشده (روز)]]*Main[[#This Row],[مانده در خط تسویه نشده (کیلوگرم)]]</f>
        <v>0</v>
      </c>
      <c r="AD2149" s="6">
        <f ca="1">SUBTOTAL(9,INDEX(Main[بدهی سررسید شده (کیلوگرم)],1):Main[[#This Row],[بدهی سررسید شده (کیلوگرم)]])</f>
        <v>0</v>
      </c>
      <c r="AE2149" s="6">
        <f ca="1">IF(Main[[#This Row],[مانده در خط سررسید شده (کیلوگرم)]]&lt;&gt;0,Main[[#This Row],[تعداد کل روزهای بدهکار (روز)]],0)</f>
        <v>0</v>
      </c>
      <c r="AF2149" s="6">
        <f ca="1">Main[[#This Row],[تعداد روزهای بدهکار سررسید شده (روز)]]*Main[[#This Row],[مانده در خط سررسید شده (کیلوگرم)]]</f>
        <v>0</v>
      </c>
    </row>
    <row r="2150" spans="1:32" hidden="1" x14ac:dyDescent="0.35">
      <c r="A2150" s="5">
        <f>ROW()-ROW(INDEX(Main[ردیف],1))+1</f>
        <v>2148</v>
      </c>
      <c r="B2150" s="31">
        <f>SUBTOTAL(2,INDEX(Main[ردیف],1):Main[[#This Row],[ردیف]])</f>
        <v>196</v>
      </c>
      <c r="C2150" s="32" t="s">
        <v>762</v>
      </c>
      <c r="D2150" s="32" t="str">
        <f>_xlfn.CONCAT("14",Main[[#This Row],[تاريخ]])</f>
        <v>1400/08/24</v>
      </c>
      <c r="E2150" s="33">
        <v>44515</v>
      </c>
      <c r="F2150" s="32">
        <v>30186</v>
      </c>
      <c r="G2150" s="5" t="str">
        <f>INDEX(customer[عنوان],MATCH(Main[[#This Row],[کد ردیابی]],customer[کد],0))</f>
        <v>سارا گاز</v>
      </c>
      <c r="H2150">
        <v>1091</v>
      </c>
      <c r="I2150" s="6">
        <f ca="1">-Main[[#This Row],[بدهی تسویه شده (کیلوگرم)]]+Main[[#This Row],[بستانکار (کیلوگرم)]]</f>
        <v>1091</v>
      </c>
      <c r="J2150" s="6">
        <f>IF(Main[[#This Row],[مقدار (کیلوگرم)]]&gt;0,Main[[#This Row],[مقدار (کیلوگرم)]],0)</f>
        <v>1091</v>
      </c>
      <c r="K2150" s="6">
        <f>-IF(Main[[#This Row],[مقدار (کیلوگرم)]]&lt;0,Main[[#This Row],[مقدار (کیلوگرم)]],0)</f>
        <v>0</v>
      </c>
      <c r="L21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0" s="7">
        <f>-IF(AND(Main[[#This Row],[مقدار (کیلوگرم)]]&lt;0,Main[[#This Row],[تاريخ میلادی]]&gt;44276),Main[[#This Row],[مقدار (کیلوگرم)]],0)</f>
        <v>0</v>
      </c>
      <c r="N2150" s="6">
        <f ca="1">Main[[#This Row],[بدهکار (کیلوگرم)]]-Main[[#This Row],[بدهی تسویه نشده (کیلوگرم)]]</f>
        <v>0</v>
      </c>
      <c r="O2150" s="6">
        <f ca="1">Main[[#This Row],[تفکیک]]</f>
        <v>0</v>
      </c>
      <c r="P2150" s="6">
        <f ca="1">IF(Main[[#This Row],[تاخیر از سررسید]]&gt;0,Main[[#This Row],[بدهی تسویه نشده (کیلوگرم)]],0)</f>
        <v>0</v>
      </c>
      <c r="Q2150" s="6">
        <f ca="1">IF(Main[[#This Row],[بدهی تسویه نشده (کیلوگرم)]]&gt;0,'گزارش فردی'!$B$7-Main[[#This Row],[تاريخ میلادی]],0)</f>
        <v>0</v>
      </c>
      <c r="R2150" s="6">
        <f ca="1">IF(Main[[#This Row],[بدهی تسویه نشده (کیلوگرم)]]&gt;0,'گزارش فردی'!$B$7-Main[[#This Row],[تاريخ میلادی]]-'گزارش فردی'!$B$8,0)</f>
        <v>0</v>
      </c>
      <c r="S2150" s="6">
        <f ca="1">Main[[#This Row],[روز از ارسال سفارش]]*Main[[#This Row],[بدهی تسویه نشده (کیلوگرم)]]</f>
        <v>0</v>
      </c>
      <c r="T2150" s="6">
        <f ca="1">Main[[#This Row],[بدهی سررسید شده (کیلوگرم)]]*Main[[#This Row],[روز از ارسال سفارش]]</f>
        <v>0</v>
      </c>
      <c r="U2150" s="6">
        <f>-SUBTOTAL(9,INDEX(Main[مقدار (کیلوگرم)],1):Main[[#This Row],[مقدار (کیلوگرم)]])</f>
        <v>35076</v>
      </c>
      <c r="V21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0" s="6">
        <f>Main[[#This Row],[تعداد کل روزهای بدهکار (روز)]]*Main[[#This Row],[مانده در خط کل (کیلوگرم)]]</f>
        <v>35076</v>
      </c>
      <c r="X2150" s="6">
        <f ca="1">-SUBTOTAL(9,INDEX(Main[مقدار تسویه شده (کیلوگرم)],1):Main[[#This Row],[مقدار تسویه شده (کیلوگرم)]])</f>
        <v>35076</v>
      </c>
      <c r="Y2150" s="6">
        <f ca="1">IF(Main[[#This Row],[مانده در خط تسویه شده (کیلوگرم)]]&lt;&gt;0,Main[[#This Row],[تعداد کل روزهای بدهکار (روز)]],0)</f>
        <v>1</v>
      </c>
      <c r="Z2150" s="6">
        <f ca="1">Main[[#This Row],[تعداد روزهای بدهکار تسویه شده (روز)]]*Main[[#This Row],[مانده در خط تسویه شده (کیلوگرم)]]</f>
        <v>35076</v>
      </c>
      <c r="AA2150" s="6">
        <f ca="1">SUBTOTAL(9,INDEX(Main[بدهی تسویه نشده (کیلوگرم)],1):Main[[#This Row],[بدهی تسویه نشده (کیلوگرم)]])</f>
        <v>0</v>
      </c>
      <c r="AB2150" s="6">
        <f ca="1">IF(Main[[#This Row],[مانده در خط تسویه نشده (کیلوگرم)]]&lt;&gt;0,Main[[#This Row],[تعداد کل روزهای بدهکار (روز)]],0)</f>
        <v>0</v>
      </c>
      <c r="AC2150" s="6">
        <f ca="1">Main[[#This Row],[تعداد روزهای بدهکار  تسویه نشده (روز)]]*Main[[#This Row],[مانده در خط تسویه نشده (کیلوگرم)]]</f>
        <v>0</v>
      </c>
      <c r="AD2150" s="6">
        <f ca="1">SUBTOTAL(9,INDEX(Main[بدهی سررسید شده (کیلوگرم)],1):Main[[#This Row],[بدهی سررسید شده (کیلوگرم)]])</f>
        <v>0</v>
      </c>
      <c r="AE2150" s="6">
        <f ca="1">IF(Main[[#This Row],[مانده در خط سررسید شده (کیلوگرم)]]&lt;&gt;0,Main[[#This Row],[تعداد کل روزهای بدهکار (روز)]],0)</f>
        <v>0</v>
      </c>
      <c r="AF2150" s="6">
        <f ca="1">Main[[#This Row],[تعداد روزهای بدهکار سررسید شده (روز)]]*Main[[#This Row],[مانده در خط سررسید شده (کیلوگرم)]]</f>
        <v>0</v>
      </c>
    </row>
    <row r="2151" spans="1:32" hidden="1" x14ac:dyDescent="0.35">
      <c r="A2151" s="5">
        <f>ROW()-ROW(INDEX(Main[ردیف],1))+1</f>
        <v>2149</v>
      </c>
      <c r="B2151" s="31">
        <f>SUBTOTAL(2,INDEX(Main[ردیف],1):Main[[#This Row],[ردیف]])</f>
        <v>196</v>
      </c>
      <c r="C2151" s="32" t="s">
        <v>762</v>
      </c>
      <c r="D2151" s="32" t="str">
        <f>_xlfn.CONCAT("14",Main[[#This Row],[تاريخ]])</f>
        <v>1400/08/24</v>
      </c>
      <c r="E2151" s="33">
        <v>44515</v>
      </c>
      <c r="F2151" s="32">
        <v>10070</v>
      </c>
      <c r="G2151" s="5" t="str">
        <f>INDEX(customer[عنوان],MATCH(Main[[#This Row],[کد ردیابی]],customer[کد],0))</f>
        <v xml:space="preserve">حمیدرضا شفیعی </v>
      </c>
      <c r="H2151">
        <v>-551</v>
      </c>
      <c r="I2151" s="6">
        <f ca="1">-Main[[#This Row],[بدهی تسویه شده (کیلوگرم)]]+Main[[#This Row],[بستانکار (کیلوگرم)]]</f>
        <v>-551</v>
      </c>
      <c r="J2151" s="6">
        <f>IF(Main[[#This Row],[مقدار (کیلوگرم)]]&gt;0,Main[[#This Row],[مقدار (کیلوگرم)]],0)</f>
        <v>0</v>
      </c>
      <c r="K2151" s="6">
        <f>-IF(Main[[#This Row],[مقدار (کیلوگرم)]]&lt;0,Main[[#This Row],[مقدار (کیلوگرم)]],0)</f>
        <v>551</v>
      </c>
      <c r="L21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1" s="7">
        <f>-IF(AND(Main[[#This Row],[مقدار (کیلوگرم)]]&lt;0,Main[[#This Row],[تاريخ میلادی]]&gt;44276),Main[[#This Row],[مقدار (کیلوگرم)]],0)</f>
        <v>551</v>
      </c>
      <c r="N2151" s="6">
        <f ca="1">Main[[#This Row],[بدهکار (کیلوگرم)]]-Main[[#This Row],[بدهی تسویه نشده (کیلوگرم)]]</f>
        <v>551</v>
      </c>
      <c r="O2151" s="6">
        <f ca="1">Main[[#This Row],[تفکیک]]</f>
        <v>0</v>
      </c>
      <c r="P2151" s="6">
        <f ca="1">IF(Main[[#This Row],[تاخیر از سررسید]]&gt;0,Main[[#This Row],[بدهی تسویه نشده (کیلوگرم)]],0)</f>
        <v>0</v>
      </c>
      <c r="Q2151" s="6">
        <f ca="1">IF(Main[[#This Row],[بدهی تسویه نشده (کیلوگرم)]]&gt;0,'گزارش فردی'!$B$7-Main[[#This Row],[تاريخ میلادی]],0)</f>
        <v>0</v>
      </c>
      <c r="R2151" s="6">
        <f ca="1">IF(Main[[#This Row],[بدهی تسویه نشده (کیلوگرم)]]&gt;0,'گزارش فردی'!$B$7-Main[[#This Row],[تاريخ میلادی]]-'گزارش فردی'!$B$8,0)</f>
        <v>0</v>
      </c>
      <c r="S2151" s="6">
        <f ca="1">Main[[#This Row],[روز از ارسال سفارش]]*Main[[#This Row],[بدهی تسویه نشده (کیلوگرم)]]</f>
        <v>0</v>
      </c>
      <c r="T2151" s="6">
        <f ca="1">Main[[#This Row],[بدهی سررسید شده (کیلوگرم)]]*Main[[#This Row],[روز از ارسال سفارش]]</f>
        <v>0</v>
      </c>
      <c r="U2151" s="6">
        <f>-SUBTOTAL(9,INDEX(Main[مقدار (کیلوگرم)],1):Main[[#This Row],[مقدار (کیلوگرم)]])</f>
        <v>35076</v>
      </c>
      <c r="V21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1" s="6">
        <f>Main[[#This Row],[تعداد کل روزهای بدهکار (روز)]]*Main[[#This Row],[مانده در خط کل (کیلوگرم)]]</f>
        <v>35076</v>
      </c>
      <c r="X2151" s="6">
        <f ca="1">-SUBTOTAL(9,INDEX(Main[مقدار تسویه شده (کیلوگرم)],1):Main[[#This Row],[مقدار تسویه شده (کیلوگرم)]])</f>
        <v>35076</v>
      </c>
      <c r="Y2151" s="6">
        <f ca="1">IF(Main[[#This Row],[مانده در خط تسویه شده (کیلوگرم)]]&lt;&gt;0,Main[[#This Row],[تعداد کل روزهای بدهکار (روز)]],0)</f>
        <v>1</v>
      </c>
      <c r="Z2151" s="6">
        <f ca="1">Main[[#This Row],[تعداد روزهای بدهکار تسویه شده (روز)]]*Main[[#This Row],[مانده در خط تسویه شده (کیلوگرم)]]</f>
        <v>35076</v>
      </c>
      <c r="AA2151" s="6">
        <f ca="1">SUBTOTAL(9,INDEX(Main[بدهی تسویه نشده (کیلوگرم)],1):Main[[#This Row],[بدهی تسویه نشده (کیلوگرم)]])</f>
        <v>0</v>
      </c>
      <c r="AB2151" s="6">
        <f ca="1">IF(Main[[#This Row],[مانده در خط تسویه نشده (کیلوگرم)]]&lt;&gt;0,Main[[#This Row],[تعداد کل روزهای بدهکار (روز)]],0)</f>
        <v>0</v>
      </c>
      <c r="AC2151" s="6">
        <f ca="1">Main[[#This Row],[تعداد روزهای بدهکار  تسویه نشده (روز)]]*Main[[#This Row],[مانده در خط تسویه نشده (کیلوگرم)]]</f>
        <v>0</v>
      </c>
      <c r="AD2151" s="6">
        <f ca="1">SUBTOTAL(9,INDEX(Main[بدهی سررسید شده (کیلوگرم)],1):Main[[#This Row],[بدهی سررسید شده (کیلوگرم)]])</f>
        <v>0</v>
      </c>
      <c r="AE2151" s="6">
        <f ca="1">IF(Main[[#This Row],[مانده در خط سررسید شده (کیلوگرم)]]&lt;&gt;0,Main[[#This Row],[تعداد کل روزهای بدهکار (روز)]],0)</f>
        <v>0</v>
      </c>
      <c r="AF2151" s="6">
        <f ca="1">Main[[#This Row],[تعداد روزهای بدهکار سررسید شده (روز)]]*Main[[#This Row],[مانده در خط سررسید شده (کیلوگرم)]]</f>
        <v>0</v>
      </c>
    </row>
    <row r="2152" spans="1:32" hidden="1" x14ac:dyDescent="0.35">
      <c r="A2152" s="5">
        <f>ROW()-ROW(INDEX(Main[ردیف],1))+1</f>
        <v>2150</v>
      </c>
      <c r="B2152" s="31">
        <f>SUBTOTAL(2,INDEX(Main[ردیف],1):Main[[#This Row],[ردیف]])</f>
        <v>196</v>
      </c>
      <c r="C2152" s="32" t="s">
        <v>762</v>
      </c>
      <c r="D2152" s="32" t="str">
        <f>_xlfn.CONCAT("14",Main[[#This Row],[تاريخ]])</f>
        <v>1400/08/24</v>
      </c>
      <c r="E2152" s="33">
        <v>44515</v>
      </c>
      <c r="F2152" s="32">
        <v>30081</v>
      </c>
      <c r="G2152" s="5" t="str">
        <f>INDEX(customer[عنوان],MATCH(Main[[#This Row],[کد ردیابی]],customer[کد],0))</f>
        <v xml:space="preserve">شیرآلات بهداشتی راسان </v>
      </c>
      <c r="H2152">
        <v>2812</v>
      </c>
      <c r="I2152" s="6">
        <f ca="1">-Main[[#This Row],[بدهی تسویه شده (کیلوگرم)]]+Main[[#This Row],[بستانکار (کیلوگرم)]]</f>
        <v>2812</v>
      </c>
      <c r="J2152" s="6">
        <f>IF(Main[[#This Row],[مقدار (کیلوگرم)]]&gt;0,Main[[#This Row],[مقدار (کیلوگرم)]],0)</f>
        <v>2812</v>
      </c>
      <c r="K2152" s="6">
        <f>-IF(Main[[#This Row],[مقدار (کیلوگرم)]]&lt;0,Main[[#This Row],[مقدار (کیلوگرم)]],0)</f>
        <v>0</v>
      </c>
      <c r="L21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2" s="7">
        <f>-IF(AND(Main[[#This Row],[مقدار (کیلوگرم)]]&lt;0,Main[[#This Row],[تاريخ میلادی]]&gt;44276),Main[[#This Row],[مقدار (کیلوگرم)]],0)</f>
        <v>0</v>
      </c>
      <c r="N2152" s="6">
        <f ca="1">Main[[#This Row],[بدهکار (کیلوگرم)]]-Main[[#This Row],[بدهی تسویه نشده (کیلوگرم)]]</f>
        <v>0</v>
      </c>
      <c r="O2152" s="6">
        <f ca="1">Main[[#This Row],[تفکیک]]</f>
        <v>0</v>
      </c>
      <c r="P2152" s="6">
        <f ca="1">IF(Main[[#This Row],[تاخیر از سررسید]]&gt;0,Main[[#This Row],[بدهی تسویه نشده (کیلوگرم)]],0)</f>
        <v>0</v>
      </c>
      <c r="Q2152" s="6">
        <f ca="1">IF(Main[[#This Row],[بدهی تسویه نشده (کیلوگرم)]]&gt;0,'گزارش فردی'!$B$7-Main[[#This Row],[تاريخ میلادی]],0)</f>
        <v>0</v>
      </c>
      <c r="R2152" s="6">
        <f ca="1">IF(Main[[#This Row],[بدهی تسویه نشده (کیلوگرم)]]&gt;0,'گزارش فردی'!$B$7-Main[[#This Row],[تاريخ میلادی]]-'گزارش فردی'!$B$8,0)</f>
        <v>0</v>
      </c>
      <c r="S2152" s="6">
        <f ca="1">Main[[#This Row],[روز از ارسال سفارش]]*Main[[#This Row],[بدهی تسویه نشده (کیلوگرم)]]</f>
        <v>0</v>
      </c>
      <c r="T2152" s="6">
        <f ca="1">Main[[#This Row],[بدهی سررسید شده (کیلوگرم)]]*Main[[#This Row],[روز از ارسال سفارش]]</f>
        <v>0</v>
      </c>
      <c r="U2152" s="6">
        <f>-SUBTOTAL(9,INDEX(Main[مقدار (کیلوگرم)],1):Main[[#This Row],[مقدار (کیلوگرم)]])</f>
        <v>35076</v>
      </c>
      <c r="V21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2" s="6">
        <f>Main[[#This Row],[تعداد کل روزهای بدهکار (روز)]]*Main[[#This Row],[مانده در خط کل (کیلوگرم)]]</f>
        <v>35076</v>
      </c>
      <c r="X2152" s="6">
        <f ca="1">-SUBTOTAL(9,INDEX(Main[مقدار تسویه شده (کیلوگرم)],1):Main[[#This Row],[مقدار تسویه شده (کیلوگرم)]])</f>
        <v>35076</v>
      </c>
      <c r="Y2152" s="6">
        <f ca="1">IF(Main[[#This Row],[مانده در خط تسویه شده (کیلوگرم)]]&lt;&gt;0,Main[[#This Row],[تعداد کل روزهای بدهکار (روز)]],0)</f>
        <v>1</v>
      </c>
      <c r="Z2152" s="6">
        <f ca="1">Main[[#This Row],[تعداد روزهای بدهکار تسویه شده (روز)]]*Main[[#This Row],[مانده در خط تسویه شده (کیلوگرم)]]</f>
        <v>35076</v>
      </c>
      <c r="AA2152" s="6">
        <f ca="1">SUBTOTAL(9,INDEX(Main[بدهی تسویه نشده (کیلوگرم)],1):Main[[#This Row],[بدهی تسویه نشده (کیلوگرم)]])</f>
        <v>0</v>
      </c>
      <c r="AB2152" s="6">
        <f ca="1">IF(Main[[#This Row],[مانده در خط تسویه نشده (کیلوگرم)]]&lt;&gt;0,Main[[#This Row],[تعداد کل روزهای بدهکار (روز)]],0)</f>
        <v>0</v>
      </c>
      <c r="AC2152" s="6">
        <f ca="1">Main[[#This Row],[تعداد روزهای بدهکار  تسویه نشده (روز)]]*Main[[#This Row],[مانده در خط تسویه نشده (کیلوگرم)]]</f>
        <v>0</v>
      </c>
      <c r="AD2152" s="6">
        <f ca="1">SUBTOTAL(9,INDEX(Main[بدهی سررسید شده (کیلوگرم)],1):Main[[#This Row],[بدهی سررسید شده (کیلوگرم)]])</f>
        <v>0</v>
      </c>
      <c r="AE2152" s="6">
        <f ca="1">IF(Main[[#This Row],[مانده در خط سررسید شده (کیلوگرم)]]&lt;&gt;0,Main[[#This Row],[تعداد کل روزهای بدهکار (روز)]],0)</f>
        <v>0</v>
      </c>
      <c r="AF2152" s="6">
        <f ca="1">Main[[#This Row],[تعداد روزهای بدهکار سررسید شده (روز)]]*Main[[#This Row],[مانده در خط سررسید شده (کیلوگرم)]]</f>
        <v>0</v>
      </c>
    </row>
    <row r="2153" spans="1:32" hidden="1" x14ac:dyDescent="0.35">
      <c r="A2153" s="5">
        <f>ROW()-ROW(INDEX(Main[ردیف],1))+1</f>
        <v>2151</v>
      </c>
      <c r="B2153" s="31">
        <f>SUBTOTAL(2,INDEX(Main[ردیف],1):Main[[#This Row],[ردیف]])</f>
        <v>196</v>
      </c>
      <c r="C2153" s="32" t="s">
        <v>762</v>
      </c>
      <c r="D2153" s="32" t="str">
        <f>_xlfn.CONCAT("14",Main[[#This Row],[تاريخ]])</f>
        <v>1400/08/24</v>
      </c>
      <c r="E2153" s="33">
        <v>44515</v>
      </c>
      <c r="F2153" s="32">
        <v>10027</v>
      </c>
      <c r="G2153" s="5" t="str">
        <f>INDEX(customer[عنوان],MATCH(Main[[#This Row],[کد ردیابی]],customer[کد],0))</f>
        <v xml:space="preserve">مصطفی نورعلی </v>
      </c>
      <c r="H2153">
        <v>-1878</v>
      </c>
      <c r="I2153" s="6">
        <f ca="1">-Main[[#This Row],[بدهی تسویه شده (کیلوگرم)]]+Main[[#This Row],[بستانکار (کیلوگرم)]]</f>
        <v>-1878</v>
      </c>
      <c r="J2153" s="6">
        <f>IF(Main[[#This Row],[مقدار (کیلوگرم)]]&gt;0,Main[[#This Row],[مقدار (کیلوگرم)]],0)</f>
        <v>0</v>
      </c>
      <c r="K2153" s="6">
        <f>-IF(Main[[#This Row],[مقدار (کیلوگرم)]]&lt;0,Main[[#This Row],[مقدار (کیلوگرم)]],0)</f>
        <v>1878</v>
      </c>
      <c r="L21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3" s="7">
        <f>-IF(AND(Main[[#This Row],[مقدار (کیلوگرم)]]&lt;0,Main[[#This Row],[تاريخ میلادی]]&gt;44276),Main[[#This Row],[مقدار (کیلوگرم)]],0)</f>
        <v>1878</v>
      </c>
      <c r="N2153" s="6">
        <f ca="1">Main[[#This Row],[بدهکار (کیلوگرم)]]-Main[[#This Row],[بدهی تسویه نشده (کیلوگرم)]]</f>
        <v>1878</v>
      </c>
      <c r="O2153" s="6">
        <f ca="1">Main[[#This Row],[تفکیک]]</f>
        <v>0</v>
      </c>
      <c r="P2153" s="6">
        <f ca="1">IF(Main[[#This Row],[تاخیر از سررسید]]&gt;0,Main[[#This Row],[بدهی تسویه نشده (کیلوگرم)]],0)</f>
        <v>0</v>
      </c>
      <c r="Q2153" s="6">
        <f ca="1">IF(Main[[#This Row],[بدهی تسویه نشده (کیلوگرم)]]&gt;0,'گزارش فردی'!$B$7-Main[[#This Row],[تاريخ میلادی]],0)</f>
        <v>0</v>
      </c>
      <c r="R2153" s="6">
        <f ca="1">IF(Main[[#This Row],[بدهی تسویه نشده (کیلوگرم)]]&gt;0,'گزارش فردی'!$B$7-Main[[#This Row],[تاريخ میلادی]]-'گزارش فردی'!$B$8,0)</f>
        <v>0</v>
      </c>
      <c r="S2153" s="6">
        <f ca="1">Main[[#This Row],[روز از ارسال سفارش]]*Main[[#This Row],[بدهی تسویه نشده (کیلوگرم)]]</f>
        <v>0</v>
      </c>
      <c r="T2153" s="6">
        <f ca="1">Main[[#This Row],[بدهی سررسید شده (کیلوگرم)]]*Main[[#This Row],[روز از ارسال سفارش]]</f>
        <v>0</v>
      </c>
      <c r="U2153" s="6">
        <f>-SUBTOTAL(9,INDEX(Main[مقدار (کیلوگرم)],1):Main[[#This Row],[مقدار (کیلوگرم)]])</f>
        <v>35076</v>
      </c>
      <c r="V21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3" s="6">
        <f>Main[[#This Row],[تعداد کل روزهای بدهکار (روز)]]*Main[[#This Row],[مانده در خط کل (کیلوگرم)]]</f>
        <v>35076</v>
      </c>
      <c r="X2153" s="6">
        <f ca="1">-SUBTOTAL(9,INDEX(Main[مقدار تسویه شده (کیلوگرم)],1):Main[[#This Row],[مقدار تسویه شده (کیلوگرم)]])</f>
        <v>35076</v>
      </c>
      <c r="Y2153" s="6">
        <f ca="1">IF(Main[[#This Row],[مانده در خط تسویه شده (کیلوگرم)]]&lt;&gt;0,Main[[#This Row],[تعداد کل روزهای بدهکار (روز)]],0)</f>
        <v>1</v>
      </c>
      <c r="Z2153" s="6">
        <f ca="1">Main[[#This Row],[تعداد روزهای بدهکار تسویه شده (روز)]]*Main[[#This Row],[مانده در خط تسویه شده (کیلوگرم)]]</f>
        <v>35076</v>
      </c>
      <c r="AA2153" s="6">
        <f ca="1">SUBTOTAL(9,INDEX(Main[بدهی تسویه نشده (کیلوگرم)],1):Main[[#This Row],[بدهی تسویه نشده (کیلوگرم)]])</f>
        <v>0</v>
      </c>
      <c r="AB2153" s="6">
        <f ca="1">IF(Main[[#This Row],[مانده در خط تسویه نشده (کیلوگرم)]]&lt;&gt;0,Main[[#This Row],[تعداد کل روزهای بدهکار (روز)]],0)</f>
        <v>0</v>
      </c>
      <c r="AC2153" s="6">
        <f ca="1">Main[[#This Row],[تعداد روزهای بدهکار  تسویه نشده (روز)]]*Main[[#This Row],[مانده در خط تسویه نشده (کیلوگرم)]]</f>
        <v>0</v>
      </c>
      <c r="AD2153" s="6">
        <f ca="1">SUBTOTAL(9,INDEX(Main[بدهی سررسید شده (کیلوگرم)],1):Main[[#This Row],[بدهی سررسید شده (کیلوگرم)]])</f>
        <v>0</v>
      </c>
      <c r="AE2153" s="6">
        <f ca="1">IF(Main[[#This Row],[مانده در خط سررسید شده (کیلوگرم)]]&lt;&gt;0,Main[[#This Row],[تعداد کل روزهای بدهکار (روز)]],0)</f>
        <v>0</v>
      </c>
      <c r="AF2153" s="6">
        <f ca="1">Main[[#This Row],[تعداد روزهای بدهکار سررسید شده (روز)]]*Main[[#This Row],[مانده در خط سررسید شده (کیلوگرم)]]</f>
        <v>0</v>
      </c>
    </row>
    <row r="2154" spans="1:32" hidden="1" x14ac:dyDescent="0.35">
      <c r="A2154" s="5">
        <f>ROW()-ROW(INDEX(Main[ردیف],1))+1</f>
        <v>2152</v>
      </c>
      <c r="B2154" s="31">
        <f>SUBTOTAL(2,INDEX(Main[ردیف],1):Main[[#This Row],[ردیف]])</f>
        <v>196</v>
      </c>
      <c r="C2154" s="32" t="s">
        <v>762</v>
      </c>
      <c r="D2154" s="32" t="str">
        <f>_xlfn.CONCAT("14",Main[[#This Row],[تاريخ]])</f>
        <v>1400/08/24</v>
      </c>
      <c r="E2154" s="33">
        <v>44515</v>
      </c>
      <c r="F2154" s="32">
        <v>30127</v>
      </c>
      <c r="G2154" s="5" t="str">
        <f>INDEX(customer[عنوان],MATCH(Main[[#This Row],[کد ردیابی]],customer[کد],0))</f>
        <v>شیر گاز آذران</v>
      </c>
      <c r="H2154">
        <v>14584</v>
      </c>
      <c r="I2154" s="6">
        <f ca="1">-Main[[#This Row],[بدهی تسویه شده (کیلوگرم)]]+Main[[#This Row],[بستانکار (کیلوگرم)]]</f>
        <v>14584</v>
      </c>
      <c r="J2154" s="6">
        <f>IF(Main[[#This Row],[مقدار (کیلوگرم)]]&gt;0,Main[[#This Row],[مقدار (کیلوگرم)]],0)</f>
        <v>14584</v>
      </c>
      <c r="K2154" s="6">
        <f>-IF(Main[[#This Row],[مقدار (کیلوگرم)]]&lt;0,Main[[#This Row],[مقدار (کیلوگرم)]],0)</f>
        <v>0</v>
      </c>
      <c r="L21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4" s="7">
        <f>-IF(AND(Main[[#This Row],[مقدار (کیلوگرم)]]&lt;0,Main[[#This Row],[تاريخ میلادی]]&gt;44276),Main[[#This Row],[مقدار (کیلوگرم)]],0)</f>
        <v>0</v>
      </c>
      <c r="N2154" s="6">
        <f ca="1">Main[[#This Row],[بدهکار (کیلوگرم)]]-Main[[#This Row],[بدهی تسویه نشده (کیلوگرم)]]</f>
        <v>0</v>
      </c>
      <c r="O2154" s="6">
        <f ca="1">Main[[#This Row],[تفکیک]]</f>
        <v>0</v>
      </c>
      <c r="P2154" s="6">
        <f ca="1">IF(Main[[#This Row],[تاخیر از سررسید]]&gt;0,Main[[#This Row],[بدهی تسویه نشده (کیلوگرم)]],0)</f>
        <v>0</v>
      </c>
      <c r="Q2154" s="6">
        <f ca="1">IF(Main[[#This Row],[بدهی تسویه نشده (کیلوگرم)]]&gt;0,'گزارش فردی'!$B$7-Main[[#This Row],[تاريخ میلادی]],0)</f>
        <v>0</v>
      </c>
      <c r="R2154" s="6">
        <f ca="1">IF(Main[[#This Row],[بدهی تسویه نشده (کیلوگرم)]]&gt;0,'گزارش فردی'!$B$7-Main[[#This Row],[تاريخ میلادی]]-'گزارش فردی'!$B$8,0)</f>
        <v>0</v>
      </c>
      <c r="S2154" s="6">
        <f ca="1">Main[[#This Row],[روز از ارسال سفارش]]*Main[[#This Row],[بدهی تسویه نشده (کیلوگرم)]]</f>
        <v>0</v>
      </c>
      <c r="T2154" s="6">
        <f ca="1">Main[[#This Row],[بدهی سررسید شده (کیلوگرم)]]*Main[[#This Row],[روز از ارسال سفارش]]</f>
        <v>0</v>
      </c>
      <c r="U2154" s="6">
        <f>-SUBTOTAL(9,INDEX(Main[مقدار (کیلوگرم)],1):Main[[#This Row],[مقدار (کیلوگرم)]])</f>
        <v>35076</v>
      </c>
      <c r="V21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4" s="6">
        <f>Main[[#This Row],[تعداد کل روزهای بدهکار (روز)]]*Main[[#This Row],[مانده در خط کل (کیلوگرم)]]</f>
        <v>35076</v>
      </c>
      <c r="X2154" s="6">
        <f ca="1">-SUBTOTAL(9,INDEX(Main[مقدار تسویه شده (کیلوگرم)],1):Main[[#This Row],[مقدار تسویه شده (کیلوگرم)]])</f>
        <v>35076</v>
      </c>
      <c r="Y2154" s="6">
        <f ca="1">IF(Main[[#This Row],[مانده در خط تسویه شده (کیلوگرم)]]&lt;&gt;0,Main[[#This Row],[تعداد کل روزهای بدهکار (روز)]],0)</f>
        <v>1</v>
      </c>
      <c r="Z2154" s="6">
        <f ca="1">Main[[#This Row],[تعداد روزهای بدهکار تسویه شده (روز)]]*Main[[#This Row],[مانده در خط تسویه شده (کیلوگرم)]]</f>
        <v>35076</v>
      </c>
      <c r="AA2154" s="6">
        <f ca="1">SUBTOTAL(9,INDEX(Main[بدهی تسویه نشده (کیلوگرم)],1):Main[[#This Row],[بدهی تسویه نشده (کیلوگرم)]])</f>
        <v>0</v>
      </c>
      <c r="AB2154" s="6">
        <f ca="1">IF(Main[[#This Row],[مانده در خط تسویه نشده (کیلوگرم)]]&lt;&gt;0,Main[[#This Row],[تعداد کل روزهای بدهکار (روز)]],0)</f>
        <v>0</v>
      </c>
      <c r="AC2154" s="6">
        <f ca="1">Main[[#This Row],[تعداد روزهای بدهکار  تسویه نشده (روز)]]*Main[[#This Row],[مانده در خط تسویه نشده (کیلوگرم)]]</f>
        <v>0</v>
      </c>
      <c r="AD2154" s="6">
        <f ca="1">SUBTOTAL(9,INDEX(Main[بدهی سررسید شده (کیلوگرم)],1):Main[[#This Row],[بدهی سررسید شده (کیلوگرم)]])</f>
        <v>0</v>
      </c>
      <c r="AE2154" s="6">
        <f ca="1">IF(Main[[#This Row],[مانده در خط سررسید شده (کیلوگرم)]]&lt;&gt;0,Main[[#This Row],[تعداد کل روزهای بدهکار (روز)]],0)</f>
        <v>0</v>
      </c>
      <c r="AF2154" s="6">
        <f ca="1">Main[[#This Row],[تعداد روزهای بدهکار سررسید شده (روز)]]*Main[[#This Row],[مانده در خط سررسید شده (کیلوگرم)]]</f>
        <v>0</v>
      </c>
    </row>
    <row r="2155" spans="1:32" hidden="1" x14ac:dyDescent="0.35">
      <c r="A2155" s="5">
        <f>ROW()-ROW(INDEX(Main[ردیف],1))+1</f>
        <v>2153</v>
      </c>
      <c r="B2155" s="31">
        <f>SUBTOTAL(2,INDEX(Main[ردیف],1):Main[[#This Row],[ردیف]])</f>
        <v>196</v>
      </c>
      <c r="C2155" s="32" t="s">
        <v>762</v>
      </c>
      <c r="D2155" s="32" t="str">
        <f>_xlfn.CONCAT("14",Main[[#This Row],[تاريخ]])</f>
        <v>1400/08/24</v>
      </c>
      <c r="E2155" s="33">
        <v>44515</v>
      </c>
      <c r="F2155" s="32">
        <v>10048</v>
      </c>
      <c r="G2155" s="5" t="str">
        <f>INDEX(customer[عنوان],MATCH(Main[[#This Row],[کد ردیابی]],customer[کد],0))</f>
        <v xml:space="preserve">حسام کریمان  </v>
      </c>
      <c r="H2155">
        <v>-46</v>
      </c>
      <c r="I2155" s="6">
        <f ca="1">-Main[[#This Row],[بدهی تسویه شده (کیلوگرم)]]+Main[[#This Row],[بستانکار (کیلوگرم)]]</f>
        <v>-46</v>
      </c>
      <c r="J2155" s="6">
        <f>IF(Main[[#This Row],[مقدار (کیلوگرم)]]&gt;0,Main[[#This Row],[مقدار (کیلوگرم)]],0)</f>
        <v>0</v>
      </c>
      <c r="K2155" s="6">
        <f>-IF(Main[[#This Row],[مقدار (کیلوگرم)]]&lt;0,Main[[#This Row],[مقدار (کیلوگرم)]],0)</f>
        <v>46</v>
      </c>
      <c r="L21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5" s="7">
        <f>-IF(AND(Main[[#This Row],[مقدار (کیلوگرم)]]&lt;0,Main[[#This Row],[تاريخ میلادی]]&gt;44276),Main[[#This Row],[مقدار (کیلوگرم)]],0)</f>
        <v>46</v>
      </c>
      <c r="N2155" s="6">
        <f ca="1">Main[[#This Row],[بدهکار (کیلوگرم)]]-Main[[#This Row],[بدهی تسویه نشده (کیلوگرم)]]</f>
        <v>46</v>
      </c>
      <c r="O2155" s="6">
        <f ca="1">Main[[#This Row],[تفکیک]]</f>
        <v>0</v>
      </c>
      <c r="P2155" s="6">
        <f ca="1">IF(Main[[#This Row],[تاخیر از سررسید]]&gt;0,Main[[#This Row],[بدهی تسویه نشده (کیلوگرم)]],0)</f>
        <v>0</v>
      </c>
      <c r="Q2155" s="6">
        <f ca="1">IF(Main[[#This Row],[بدهی تسویه نشده (کیلوگرم)]]&gt;0,'گزارش فردی'!$B$7-Main[[#This Row],[تاريخ میلادی]],0)</f>
        <v>0</v>
      </c>
      <c r="R2155" s="6">
        <f ca="1">IF(Main[[#This Row],[بدهی تسویه نشده (کیلوگرم)]]&gt;0,'گزارش فردی'!$B$7-Main[[#This Row],[تاريخ میلادی]]-'گزارش فردی'!$B$8,0)</f>
        <v>0</v>
      </c>
      <c r="S2155" s="6">
        <f ca="1">Main[[#This Row],[روز از ارسال سفارش]]*Main[[#This Row],[بدهی تسویه نشده (کیلوگرم)]]</f>
        <v>0</v>
      </c>
      <c r="T2155" s="6">
        <f ca="1">Main[[#This Row],[بدهی سررسید شده (کیلوگرم)]]*Main[[#This Row],[روز از ارسال سفارش]]</f>
        <v>0</v>
      </c>
      <c r="U2155" s="6">
        <f>-SUBTOTAL(9,INDEX(Main[مقدار (کیلوگرم)],1):Main[[#This Row],[مقدار (کیلوگرم)]])</f>
        <v>35076</v>
      </c>
      <c r="V21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5" s="6">
        <f>Main[[#This Row],[تعداد کل روزهای بدهکار (روز)]]*Main[[#This Row],[مانده در خط کل (کیلوگرم)]]</f>
        <v>35076</v>
      </c>
      <c r="X2155" s="6">
        <f ca="1">-SUBTOTAL(9,INDEX(Main[مقدار تسویه شده (کیلوگرم)],1):Main[[#This Row],[مقدار تسویه شده (کیلوگرم)]])</f>
        <v>35076</v>
      </c>
      <c r="Y2155" s="6">
        <f ca="1">IF(Main[[#This Row],[مانده در خط تسویه شده (کیلوگرم)]]&lt;&gt;0,Main[[#This Row],[تعداد کل روزهای بدهکار (روز)]],0)</f>
        <v>1</v>
      </c>
      <c r="Z2155" s="6">
        <f ca="1">Main[[#This Row],[تعداد روزهای بدهکار تسویه شده (روز)]]*Main[[#This Row],[مانده در خط تسویه شده (کیلوگرم)]]</f>
        <v>35076</v>
      </c>
      <c r="AA2155" s="6">
        <f ca="1">SUBTOTAL(9,INDEX(Main[بدهی تسویه نشده (کیلوگرم)],1):Main[[#This Row],[بدهی تسویه نشده (کیلوگرم)]])</f>
        <v>0</v>
      </c>
      <c r="AB2155" s="6">
        <f ca="1">IF(Main[[#This Row],[مانده در خط تسویه نشده (کیلوگرم)]]&lt;&gt;0,Main[[#This Row],[تعداد کل روزهای بدهکار (روز)]],0)</f>
        <v>0</v>
      </c>
      <c r="AC2155" s="6">
        <f ca="1">Main[[#This Row],[تعداد روزهای بدهکار  تسویه نشده (روز)]]*Main[[#This Row],[مانده در خط تسویه نشده (کیلوگرم)]]</f>
        <v>0</v>
      </c>
      <c r="AD2155" s="6">
        <f ca="1">SUBTOTAL(9,INDEX(Main[بدهی سررسید شده (کیلوگرم)],1):Main[[#This Row],[بدهی سررسید شده (کیلوگرم)]])</f>
        <v>0</v>
      </c>
      <c r="AE2155" s="6">
        <f ca="1">IF(Main[[#This Row],[مانده در خط سررسید شده (کیلوگرم)]]&lt;&gt;0,Main[[#This Row],[تعداد کل روزهای بدهکار (روز)]],0)</f>
        <v>0</v>
      </c>
      <c r="AF2155" s="6">
        <f ca="1">Main[[#This Row],[تعداد روزهای بدهکار سررسید شده (روز)]]*Main[[#This Row],[مانده در خط سررسید شده (کیلوگرم)]]</f>
        <v>0</v>
      </c>
    </row>
    <row r="2156" spans="1:32" hidden="1" x14ac:dyDescent="0.35">
      <c r="A2156" s="5">
        <f>ROW()-ROW(INDEX(Main[ردیف],1))+1</f>
        <v>2154</v>
      </c>
      <c r="B2156" s="31">
        <f>SUBTOTAL(2,INDEX(Main[ردیف],1):Main[[#This Row],[ردیف]])</f>
        <v>196</v>
      </c>
      <c r="C2156" s="32" t="s">
        <v>763</v>
      </c>
      <c r="D2156" s="32" t="str">
        <f>_xlfn.CONCAT("14",Main[[#This Row],[تاريخ]])</f>
        <v>1400/08/25</v>
      </c>
      <c r="E2156" s="33">
        <v>44516</v>
      </c>
      <c r="F2156" s="32">
        <v>10055</v>
      </c>
      <c r="G2156" s="5" t="str">
        <f>INDEX(customer[عنوان],MATCH(Main[[#This Row],[کد ردیابی]],customer[کد],0))</f>
        <v xml:space="preserve">مریم فیض آبادی  </v>
      </c>
      <c r="H2156">
        <v>6479</v>
      </c>
      <c r="I2156" s="6">
        <f ca="1">-Main[[#This Row],[بدهی تسویه شده (کیلوگرم)]]+Main[[#This Row],[بستانکار (کیلوگرم)]]</f>
        <v>6479</v>
      </c>
      <c r="J2156" s="6">
        <f>IF(Main[[#This Row],[مقدار (کیلوگرم)]]&gt;0,Main[[#This Row],[مقدار (کیلوگرم)]],0)</f>
        <v>6479</v>
      </c>
      <c r="K2156" s="6">
        <f>-IF(Main[[#This Row],[مقدار (کیلوگرم)]]&lt;0,Main[[#This Row],[مقدار (کیلوگرم)]],0)</f>
        <v>0</v>
      </c>
      <c r="L21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6" s="7">
        <f>-IF(AND(Main[[#This Row],[مقدار (کیلوگرم)]]&lt;0,Main[[#This Row],[تاريخ میلادی]]&gt;44276),Main[[#This Row],[مقدار (کیلوگرم)]],0)</f>
        <v>0</v>
      </c>
      <c r="N2156" s="6">
        <f ca="1">Main[[#This Row],[بدهکار (کیلوگرم)]]-Main[[#This Row],[بدهی تسویه نشده (کیلوگرم)]]</f>
        <v>0</v>
      </c>
      <c r="O2156" s="6">
        <f ca="1">Main[[#This Row],[تفکیک]]</f>
        <v>0</v>
      </c>
      <c r="P2156" s="6">
        <f ca="1">IF(Main[[#This Row],[تاخیر از سررسید]]&gt;0,Main[[#This Row],[بدهی تسویه نشده (کیلوگرم)]],0)</f>
        <v>0</v>
      </c>
      <c r="Q2156" s="6">
        <f ca="1">IF(Main[[#This Row],[بدهی تسویه نشده (کیلوگرم)]]&gt;0,'گزارش فردی'!$B$7-Main[[#This Row],[تاريخ میلادی]],0)</f>
        <v>0</v>
      </c>
      <c r="R2156" s="6">
        <f ca="1">IF(Main[[#This Row],[بدهی تسویه نشده (کیلوگرم)]]&gt;0,'گزارش فردی'!$B$7-Main[[#This Row],[تاريخ میلادی]]-'گزارش فردی'!$B$8,0)</f>
        <v>0</v>
      </c>
      <c r="S2156" s="6">
        <f ca="1">Main[[#This Row],[روز از ارسال سفارش]]*Main[[#This Row],[بدهی تسویه نشده (کیلوگرم)]]</f>
        <v>0</v>
      </c>
      <c r="T2156" s="6">
        <f ca="1">Main[[#This Row],[بدهی سررسید شده (کیلوگرم)]]*Main[[#This Row],[روز از ارسال سفارش]]</f>
        <v>0</v>
      </c>
      <c r="U2156" s="6">
        <f>-SUBTOTAL(9,INDEX(Main[مقدار (کیلوگرم)],1):Main[[#This Row],[مقدار (کیلوگرم)]])</f>
        <v>35076</v>
      </c>
      <c r="V21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6" s="6">
        <f>Main[[#This Row],[تعداد کل روزهای بدهکار (روز)]]*Main[[#This Row],[مانده در خط کل (کیلوگرم)]]</f>
        <v>0</v>
      </c>
      <c r="X2156" s="6">
        <f ca="1">-SUBTOTAL(9,INDEX(Main[مقدار تسویه شده (کیلوگرم)],1):Main[[#This Row],[مقدار تسویه شده (کیلوگرم)]])</f>
        <v>35076</v>
      </c>
      <c r="Y2156" s="6">
        <f ca="1">IF(Main[[#This Row],[مانده در خط تسویه شده (کیلوگرم)]]&lt;&gt;0,Main[[#This Row],[تعداد کل روزهای بدهکار (روز)]],0)</f>
        <v>0</v>
      </c>
      <c r="Z2156" s="6">
        <f ca="1">Main[[#This Row],[تعداد روزهای بدهکار تسویه شده (روز)]]*Main[[#This Row],[مانده در خط تسویه شده (کیلوگرم)]]</f>
        <v>0</v>
      </c>
      <c r="AA2156" s="6">
        <f ca="1">SUBTOTAL(9,INDEX(Main[بدهی تسویه نشده (کیلوگرم)],1):Main[[#This Row],[بدهی تسویه نشده (کیلوگرم)]])</f>
        <v>0</v>
      </c>
      <c r="AB2156" s="6">
        <f ca="1">IF(Main[[#This Row],[مانده در خط تسویه نشده (کیلوگرم)]]&lt;&gt;0,Main[[#This Row],[تعداد کل روزهای بدهکار (روز)]],0)</f>
        <v>0</v>
      </c>
      <c r="AC2156" s="6">
        <f ca="1">Main[[#This Row],[تعداد روزهای بدهکار  تسویه نشده (روز)]]*Main[[#This Row],[مانده در خط تسویه نشده (کیلوگرم)]]</f>
        <v>0</v>
      </c>
      <c r="AD2156" s="6">
        <f ca="1">SUBTOTAL(9,INDEX(Main[بدهی سررسید شده (کیلوگرم)],1):Main[[#This Row],[بدهی سررسید شده (کیلوگرم)]])</f>
        <v>0</v>
      </c>
      <c r="AE2156" s="6">
        <f ca="1">IF(Main[[#This Row],[مانده در خط سررسید شده (کیلوگرم)]]&lt;&gt;0,Main[[#This Row],[تعداد کل روزهای بدهکار (روز)]],0)</f>
        <v>0</v>
      </c>
      <c r="AF2156" s="6">
        <f ca="1">Main[[#This Row],[تعداد روزهای بدهکار سررسید شده (روز)]]*Main[[#This Row],[مانده در خط سررسید شده (کیلوگرم)]]</f>
        <v>0</v>
      </c>
    </row>
    <row r="2157" spans="1:32" hidden="1" x14ac:dyDescent="0.35">
      <c r="A2157" s="5">
        <f>ROW()-ROW(INDEX(Main[ردیف],1))+1</f>
        <v>2155</v>
      </c>
      <c r="B2157" s="31">
        <f>SUBTOTAL(2,INDEX(Main[ردیف],1):Main[[#This Row],[ردیف]])</f>
        <v>196</v>
      </c>
      <c r="C2157" s="32" t="s">
        <v>763</v>
      </c>
      <c r="D2157" s="32" t="str">
        <f>_xlfn.CONCAT("14",Main[[#This Row],[تاريخ]])</f>
        <v>1400/08/25</v>
      </c>
      <c r="E2157" s="33">
        <v>44516</v>
      </c>
      <c r="F2157" s="32">
        <v>30019</v>
      </c>
      <c r="G2157" s="5" t="str">
        <f>INDEX(customer[عنوان],MATCH(Main[[#This Row],[کد ردیابی]],customer[کد],0))</f>
        <v xml:space="preserve">گسترش ارتباطات بهداد </v>
      </c>
      <c r="H2157">
        <v>-146</v>
      </c>
      <c r="I2157" s="6">
        <f ca="1">-Main[[#This Row],[بدهی تسویه شده (کیلوگرم)]]+Main[[#This Row],[بستانکار (کیلوگرم)]]</f>
        <v>-146</v>
      </c>
      <c r="J2157" s="6">
        <f>IF(Main[[#This Row],[مقدار (کیلوگرم)]]&gt;0,Main[[#This Row],[مقدار (کیلوگرم)]],0)</f>
        <v>0</v>
      </c>
      <c r="K2157" s="6">
        <f>-IF(Main[[#This Row],[مقدار (کیلوگرم)]]&lt;0,Main[[#This Row],[مقدار (کیلوگرم)]],0)</f>
        <v>146</v>
      </c>
      <c r="L21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7" s="7">
        <f>-IF(AND(Main[[#This Row],[مقدار (کیلوگرم)]]&lt;0,Main[[#This Row],[تاريخ میلادی]]&gt;44276),Main[[#This Row],[مقدار (کیلوگرم)]],0)</f>
        <v>146</v>
      </c>
      <c r="N2157" s="6">
        <f ca="1">Main[[#This Row],[بدهکار (کیلوگرم)]]-Main[[#This Row],[بدهی تسویه نشده (کیلوگرم)]]</f>
        <v>146</v>
      </c>
      <c r="O2157" s="6">
        <f ca="1">Main[[#This Row],[تفکیک]]</f>
        <v>0</v>
      </c>
      <c r="P2157" s="6">
        <f ca="1">IF(Main[[#This Row],[تاخیر از سررسید]]&gt;0,Main[[#This Row],[بدهی تسویه نشده (کیلوگرم)]],0)</f>
        <v>0</v>
      </c>
      <c r="Q2157" s="6">
        <f ca="1">IF(Main[[#This Row],[بدهی تسویه نشده (کیلوگرم)]]&gt;0,'گزارش فردی'!$B$7-Main[[#This Row],[تاريخ میلادی]],0)</f>
        <v>0</v>
      </c>
      <c r="R2157" s="6">
        <f ca="1">IF(Main[[#This Row],[بدهی تسویه نشده (کیلوگرم)]]&gt;0,'گزارش فردی'!$B$7-Main[[#This Row],[تاريخ میلادی]]-'گزارش فردی'!$B$8,0)</f>
        <v>0</v>
      </c>
      <c r="S2157" s="6">
        <f ca="1">Main[[#This Row],[روز از ارسال سفارش]]*Main[[#This Row],[بدهی تسویه نشده (کیلوگرم)]]</f>
        <v>0</v>
      </c>
      <c r="T2157" s="6">
        <f ca="1">Main[[#This Row],[بدهی سررسید شده (کیلوگرم)]]*Main[[#This Row],[روز از ارسال سفارش]]</f>
        <v>0</v>
      </c>
      <c r="U2157" s="6">
        <f>-SUBTOTAL(9,INDEX(Main[مقدار (کیلوگرم)],1):Main[[#This Row],[مقدار (کیلوگرم)]])</f>
        <v>35076</v>
      </c>
      <c r="V21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7" s="6">
        <f>Main[[#This Row],[تعداد کل روزهای بدهکار (روز)]]*Main[[#This Row],[مانده در خط کل (کیلوگرم)]]</f>
        <v>0</v>
      </c>
      <c r="X2157" s="6">
        <f ca="1">-SUBTOTAL(9,INDEX(Main[مقدار تسویه شده (کیلوگرم)],1):Main[[#This Row],[مقدار تسویه شده (کیلوگرم)]])</f>
        <v>35076</v>
      </c>
      <c r="Y2157" s="6">
        <f ca="1">IF(Main[[#This Row],[مانده در خط تسویه شده (کیلوگرم)]]&lt;&gt;0,Main[[#This Row],[تعداد کل روزهای بدهکار (روز)]],0)</f>
        <v>0</v>
      </c>
      <c r="Z2157" s="6">
        <f ca="1">Main[[#This Row],[تعداد روزهای بدهکار تسویه شده (روز)]]*Main[[#This Row],[مانده در خط تسویه شده (کیلوگرم)]]</f>
        <v>0</v>
      </c>
      <c r="AA2157" s="6">
        <f ca="1">SUBTOTAL(9,INDEX(Main[بدهی تسویه نشده (کیلوگرم)],1):Main[[#This Row],[بدهی تسویه نشده (کیلوگرم)]])</f>
        <v>0</v>
      </c>
      <c r="AB2157" s="6">
        <f ca="1">IF(Main[[#This Row],[مانده در خط تسویه نشده (کیلوگرم)]]&lt;&gt;0,Main[[#This Row],[تعداد کل روزهای بدهکار (روز)]],0)</f>
        <v>0</v>
      </c>
      <c r="AC2157" s="6">
        <f ca="1">Main[[#This Row],[تعداد روزهای بدهکار  تسویه نشده (روز)]]*Main[[#This Row],[مانده در خط تسویه نشده (کیلوگرم)]]</f>
        <v>0</v>
      </c>
      <c r="AD2157" s="6">
        <f ca="1">SUBTOTAL(9,INDEX(Main[بدهی سررسید شده (کیلوگرم)],1):Main[[#This Row],[بدهی سررسید شده (کیلوگرم)]])</f>
        <v>0</v>
      </c>
      <c r="AE2157" s="6">
        <f ca="1">IF(Main[[#This Row],[مانده در خط سررسید شده (کیلوگرم)]]&lt;&gt;0,Main[[#This Row],[تعداد کل روزهای بدهکار (روز)]],0)</f>
        <v>0</v>
      </c>
      <c r="AF2157" s="6">
        <f ca="1">Main[[#This Row],[تعداد روزهای بدهکار سررسید شده (روز)]]*Main[[#This Row],[مانده در خط سررسید شده (کیلوگرم)]]</f>
        <v>0</v>
      </c>
    </row>
    <row r="2158" spans="1:32" hidden="1" x14ac:dyDescent="0.35">
      <c r="A2158" s="5">
        <f>ROW()-ROW(INDEX(Main[ردیف],1))+1</f>
        <v>2156</v>
      </c>
      <c r="B2158" s="31">
        <f>SUBTOTAL(2,INDEX(Main[ردیف],1):Main[[#This Row],[ردیف]])</f>
        <v>196</v>
      </c>
      <c r="C2158" s="32" t="s">
        <v>763</v>
      </c>
      <c r="D2158" s="32" t="str">
        <f>_xlfn.CONCAT("14",Main[[#This Row],[تاريخ]])</f>
        <v>1400/08/25</v>
      </c>
      <c r="E2158" s="33">
        <v>44516</v>
      </c>
      <c r="F2158" s="32">
        <v>10141</v>
      </c>
      <c r="G2158" s="5" t="str">
        <f>INDEX(customer[عنوان],MATCH(Main[[#This Row],[کد ردیابی]],customer[کد],0))</f>
        <v>حسین ریاحی</v>
      </c>
      <c r="H2158">
        <v>380</v>
      </c>
      <c r="I2158" s="6">
        <f ca="1">-Main[[#This Row],[بدهی تسویه شده (کیلوگرم)]]+Main[[#This Row],[بستانکار (کیلوگرم)]]</f>
        <v>380</v>
      </c>
      <c r="J2158" s="6">
        <f>IF(Main[[#This Row],[مقدار (کیلوگرم)]]&gt;0,Main[[#This Row],[مقدار (کیلوگرم)]],0)</f>
        <v>380</v>
      </c>
      <c r="K2158" s="6">
        <f>-IF(Main[[#This Row],[مقدار (کیلوگرم)]]&lt;0,Main[[#This Row],[مقدار (کیلوگرم)]],0)</f>
        <v>0</v>
      </c>
      <c r="L21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8" s="7">
        <f>-IF(AND(Main[[#This Row],[مقدار (کیلوگرم)]]&lt;0,Main[[#This Row],[تاريخ میلادی]]&gt;44276),Main[[#This Row],[مقدار (کیلوگرم)]],0)</f>
        <v>0</v>
      </c>
      <c r="N2158" s="6">
        <f ca="1">Main[[#This Row],[بدهکار (کیلوگرم)]]-Main[[#This Row],[بدهی تسویه نشده (کیلوگرم)]]</f>
        <v>0</v>
      </c>
      <c r="O2158" s="6">
        <f ca="1">Main[[#This Row],[تفکیک]]</f>
        <v>0</v>
      </c>
      <c r="P2158" s="6">
        <f ca="1">IF(Main[[#This Row],[تاخیر از سررسید]]&gt;0,Main[[#This Row],[بدهی تسویه نشده (کیلوگرم)]],0)</f>
        <v>0</v>
      </c>
      <c r="Q2158" s="6">
        <f ca="1">IF(Main[[#This Row],[بدهی تسویه نشده (کیلوگرم)]]&gt;0,'گزارش فردی'!$B$7-Main[[#This Row],[تاريخ میلادی]],0)</f>
        <v>0</v>
      </c>
      <c r="R2158" s="6">
        <f ca="1">IF(Main[[#This Row],[بدهی تسویه نشده (کیلوگرم)]]&gt;0,'گزارش فردی'!$B$7-Main[[#This Row],[تاريخ میلادی]]-'گزارش فردی'!$B$8,0)</f>
        <v>0</v>
      </c>
      <c r="S2158" s="6">
        <f ca="1">Main[[#This Row],[روز از ارسال سفارش]]*Main[[#This Row],[بدهی تسویه نشده (کیلوگرم)]]</f>
        <v>0</v>
      </c>
      <c r="T2158" s="6">
        <f ca="1">Main[[#This Row],[بدهی سررسید شده (کیلوگرم)]]*Main[[#This Row],[روز از ارسال سفارش]]</f>
        <v>0</v>
      </c>
      <c r="U2158" s="6">
        <f>-SUBTOTAL(9,INDEX(Main[مقدار (کیلوگرم)],1):Main[[#This Row],[مقدار (کیلوگرم)]])</f>
        <v>35076</v>
      </c>
      <c r="V21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8" s="6">
        <f>Main[[#This Row],[تعداد کل روزهای بدهکار (روز)]]*Main[[#This Row],[مانده در خط کل (کیلوگرم)]]</f>
        <v>0</v>
      </c>
      <c r="X2158" s="6">
        <f ca="1">-SUBTOTAL(9,INDEX(Main[مقدار تسویه شده (کیلوگرم)],1):Main[[#This Row],[مقدار تسویه شده (کیلوگرم)]])</f>
        <v>35076</v>
      </c>
      <c r="Y2158" s="6">
        <f ca="1">IF(Main[[#This Row],[مانده در خط تسویه شده (کیلوگرم)]]&lt;&gt;0,Main[[#This Row],[تعداد کل روزهای بدهکار (روز)]],0)</f>
        <v>0</v>
      </c>
      <c r="Z2158" s="6">
        <f ca="1">Main[[#This Row],[تعداد روزهای بدهکار تسویه شده (روز)]]*Main[[#This Row],[مانده در خط تسویه شده (کیلوگرم)]]</f>
        <v>0</v>
      </c>
      <c r="AA2158" s="6">
        <f ca="1">SUBTOTAL(9,INDEX(Main[بدهی تسویه نشده (کیلوگرم)],1):Main[[#This Row],[بدهی تسویه نشده (کیلوگرم)]])</f>
        <v>0</v>
      </c>
      <c r="AB2158" s="6">
        <f ca="1">IF(Main[[#This Row],[مانده در خط تسویه نشده (کیلوگرم)]]&lt;&gt;0,Main[[#This Row],[تعداد کل روزهای بدهکار (روز)]],0)</f>
        <v>0</v>
      </c>
      <c r="AC2158" s="6">
        <f ca="1">Main[[#This Row],[تعداد روزهای بدهکار  تسویه نشده (روز)]]*Main[[#This Row],[مانده در خط تسویه نشده (کیلوگرم)]]</f>
        <v>0</v>
      </c>
      <c r="AD2158" s="6">
        <f ca="1">SUBTOTAL(9,INDEX(Main[بدهی سررسید شده (کیلوگرم)],1):Main[[#This Row],[بدهی سررسید شده (کیلوگرم)]])</f>
        <v>0</v>
      </c>
      <c r="AE2158" s="6">
        <f ca="1">IF(Main[[#This Row],[مانده در خط سررسید شده (کیلوگرم)]]&lt;&gt;0,Main[[#This Row],[تعداد کل روزهای بدهکار (روز)]],0)</f>
        <v>0</v>
      </c>
      <c r="AF2158" s="6">
        <f ca="1">Main[[#This Row],[تعداد روزهای بدهکار سررسید شده (روز)]]*Main[[#This Row],[مانده در خط سررسید شده (کیلوگرم)]]</f>
        <v>0</v>
      </c>
    </row>
    <row r="2159" spans="1:32" hidden="1" x14ac:dyDescent="0.35">
      <c r="A2159" s="5">
        <f>ROW()-ROW(INDEX(Main[ردیف],1))+1</f>
        <v>2157</v>
      </c>
      <c r="B2159" s="31">
        <f>SUBTOTAL(2,INDEX(Main[ردیف],1):Main[[#This Row],[ردیف]])</f>
        <v>196</v>
      </c>
      <c r="C2159" s="32" t="s">
        <v>763</v>
      </c>
      <c r="D2159" s="32" t="str">
        <f>_xlfn.CONCAT("14",Main[[#This Row],[تاريخ]])</f>
        <v>1400/08/25</v>
      </c>
      <c r="E2159" s="33">
        <v>44516</v>
      </c>
      <c r="F2159" s="32">
        <v>30004</v>
      </c>
      <c r="G2159" s="5" t="str">
        <f>INDEX(customer[عنوان],MATCH(Main[[#This Row],[کد ردیابی]],customer[کد],0))</f>
        <v>تولیدی صنعتی صفاشیر پارس</v>
      </c>
      <c r="H2159">
        <v>-4462</v>
      </c>
      <c r="I2159" s="6">
        <f ca="1">-Main[[#This Row],[بدهی تسویه شده (کیلوگرم)]]+Main[[#This Row],[بستانکار (کیلوگرم)]]</f>
        <v>-4462</v>
      </c>
      <c r="J2159" s="6">
        <f>IF(Main[[#This Row],[مقدار (کیلوگرم)]]&gt;0,Main[[#This Row],[مقدار (کیلوگرم)]],0)</f>
        <v>0</v>
      </c>
      <c r="K2159" s="6">
        <f>-IF(Main[[#This Row],[مقدار (کیلوگرم)]]&lt;0,Main[[#This Row],[مقدار (کیلوگرم)]],0)</f>
        <v>4462</v>
      </c>
      <c r="L21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9" s="7">
        <f>-IF(AND(Main[[#This Row],[مقدار (کیلوگرم)]]&lt;0,Main[[#This Row],[تاريخ میلادی]]&gt;44276),Main[[#This Row],[مقدار (کیلوگرم)]],0)</f>
        <v>4462</v>
      </c>
      <c r="N2159" s="6">
        <f ca="1">Main[[#This Row],[بدهکار (کیلوگرم)]]-Main[[#This Row],[بدهی تسویه نشده (کیلوگرم)]]</f>
        <v>4462</v>
      </c>
      <c r="O2159" s="6">
        <f ca="1">Main[[#This Row],[تفکیک]]</f>
        <v>0</v>
      </c>
      <c r="P2159" s="6">
        <f ca="1">IF(Main[[#This Row],[تاخیر از سررسید]]&gt;0,Main[[#This Row],[بدهی تسویه نشده (کیلوگرم)]],0)</f>
        <v>0</v>
      </c>
      <c r="Q2159" s="6">
        <f ca="1">IF(Main[[#This Row],[بدهی تسویه نشده (کیلوگرم)]]&gt;0,'گزارش فردی'!$B$7-Main[[#This Row],[تاريخ میلادی]],0)</f>
        <v>0</v>
      </c>
      <c r="R2159" s="6">
        <f ca="1">IF(Main[[#This Row],[بدهی تسویه نشده (کیلوگرم)]]&gt;0,'گزارش فردی'!$B$7-Main[[#This Row],[تاريخ میلادی]]-'گزارش فردی'!$B$8,0)</f>
        <v>0</v>
      </c>
      <c r="S2159" s="6">
        <f ca="1">Main[[#This Row],[روز از ارسال سفارش]]*Main[[#This Row],[بدهی تسویه نشده (کیلوگرم)]]</f>
        <v>0</v>
      </c>
      <c r="T2159" s="6">
        <f ca="1">Main[[#This Row],[بدهی سررسید شده (کیلوگرم)]]*Main[[#This Row],[روز از ارسال سفارش]]</f>
        <v>0</v>
      </c>
      <c r="U2159" s="6">
        <f>-SUBTOTAL(9,INDEX(Main[مقدار (کیلوگرم)],1):Main[[#This Row],[مقدار (کیلوگرم)]])</f>
        <v>35076</v>
      </c>
      <c r="V21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9" s="6">
        <f>Main[[#This Row],[تعداد کل روزهای بدهکار (روز)]]*Main[[#This Row],[مانده در خط کل (کیلوگرم)]]</f>
        <v>0</v>
      </c>
      <c r="X2159" s="6">
        <f ca="1">-SUBTOTAL(9,INDEX(Main[مقدار تسویه شده (کیلوگرم)],1):Main[[#This Row],[مقدار تسویه شده (کیلوگرم)]])</f>
        <v>35076</v>
      </c>
      <c r="Y2159" s="6">
        <f ca="1">IF(Main[[#This Row],[مانده در خط تسویه شده (کیلوگرم)]]&lt;&gt;0,Main[[#This Row],[تعداد کل روزهای بدهکار (روز)]],0)</f>
        <v>0</v>
      </c>
      <c r="Z2159" s="6">
        <f ca="1">Main[[#This Row],[تعداد روزهای بدهکار تسویه شده (روز)]]*Main[[#This Row],[مانده در خط تسویه شده (کیلوگرم)]]</f>
        <v>0</v>
      </c>
      <c r="AA2159" s="6">
        <f ca="1">SUBTOTAL(9,INDEX(Main[بدهی تسویه نشده (کیلوگرم)],1):Main[[#This Row],[بدهی تسویه نشده (کیلوگرم)]])</f>
        <v>0</v>
      </c>
      <c r="AB2159" s="6">
        <f ca="1">IF(Main[[#This Row],[مانده در خط تسویه نشده (کیلوگرم)]]&lt;&gt;0,Main[[#This Row],[تعداد کل روزهای بدهکار (روز)]],0)</f>
        <v>0</v>
      </c>
      <c r="AC2159" s="6">
        <f ca="1">Main[[#This Row],[تعداد روزهای بدهکار  تسویه نشده (روز)]]*Main[[#This Row],[مانده در خط تسویه نشده (کیلوگرم)]]</f>
        <v>0</v>
      </c>
      <c r="AD2159" s="6">
        <f ca="1">SUBTOTAL(9,INDEX(Main[بدهی سررسید شده (کیلوگرم)],1):Main[[#This Row],[بدهی سررسید شده (کیلوگرم)]])</f>
        <v>0</v>
      </c>
      <c r="AE2159" s="6">
        <f ca="1">IF(Main[[#This Row],[مانده در خط سررسید شده (کیلوگرم)]]&lt;&gt;0,Main[[#This Row],[تعداد کل روزهای بدهکار (روز)]],0)</f>
        <v>0</v>
      </c>
      <c r="AF2159" s="6">
        <f ca="1">Main[[#This Row],[تعداد روزهای بدهکار سررسید شده (روز)]]*Main[[#This Row],[مانده در خط سررسید شده (کیلوگرم)]]</f>
        <v>0</v>
      </c>
    </row>
    <row r="2160" spans="1:32" hidden="1" x14ac:dyDescent="0.35">
      <c r="A2160" s="5">
        <f>ROW()-ROW(INDEX(Main[ردیف],1))+1</f>
        <v>2158</v>
      </c>
      <c r="B2160" s="31">
        <f>SUBTOTAL(2,INDEX(Main[ردیف],1):Main[[#This Row],[ردیف]])</f>
        <v>196</v>
      </c>
      <c r="C2160" s="32" t="s">
        <v>763</v>
      </c>
      <c r="D2160" s="32" t="str">
        <f>_xlfn.CONCAT("14",Main[[#This Row],[تاريخ]])</f>
        <v>1400/08/25</v>
      </c>
      <c r="E2160" s="33">
        <v>44516</v>
      </c>
      <c r="F2160" s="32">
        <v>10026</v>
      </c>
      <c r="G2160" s="5" t="str">
        <f>INDEX(customer[عنوان],MATCH(Main[[#This Row],[کد ردیابی]],customer[کد],0))</f>
        <v xml:space="preserve">محسن فیاض بخش </v>
      </c>
      <c r="H2160">
        <v>6000</v>
      </c>
      <c r="I2160" s="6">
        <f ca="1">-Main[[#This Row],[بدهی تسویه شده (کیلوگرم)]]+Main[[#This Row],[بستانکار (کیلوگرم)]]</f>
        <v>6000</v>
      </c>
      <c r="J2160" s="6">
        <f>IF(Main[[#This Row],[مقدار (کیلوگرم)]]&gt;0,Main[[#This Row],[مقدار (کیلوگرم)]],0)</f>
        <v>6000</v>
      </c>
      <c r="K2160" s="6">
        <f>-IF(Main[[#This Row],[مقدار (کیلوگرم)]]&lt;0,Main[[#This Row],[مقدار (کیلوگرم)]],0)</f>
        <v>0</v>
      </c>
      <c r="L21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0" s="7">
        <f>-IF(AND(Main[[#This Row],[مقدار (کیلوگرم)]]&lt;0,Main[[#This Row],[تاريخ میلادی]]&gt;44276),Main[[#This Row],[مقدار (کیلوگرم)]],0)</f>
        <v>0</v>
      </c>
      <c r="N2160" s="6">
        <f ca="1">Main[[#This Row],[بدهکار (کیلوگرم)]]-Main[[#This Row],[بدهی تسویه نشده (کیلوگرم)]]</f>
        <v>0</v>
      </c>
      <c r="O2160" s="6">
        <f ca="1">Main[[#This Row],[تفکیک]]</f>
        <v>0</v>
      </c>
      <c r="P2160" s="6">
        <f ca="1">IF(Main[[#This Row],[تاخیر از سررسید]]&gt;0,Main[[#This Row],[بدهی تسویه نشده (کیلوگرم)]],0)</f>
        <v>0</v>
      </c>
      <c r="Q2160" s="6">
        <f ca="1">IF(Main[[#This Row],[بدهی تسویه نشده (کیلوگرم)]]&gt;0,'گزارش فردی'!$B$7-Main[[#This Row],[تاريخ میلادی]],0)</f>
        <v>0</v>
      </c>
      <c r="R2160" s="6">
        <f ca="1">IF(Main[[#This Row],[بدهی تسویه نشده (کیلوگرم)]]&gt;0,'گزارش فردی'!$B$7-Main[[#This Row],[تاريخ میلادی]]-'گزارش فردی'!$B$8,0)</f>
        <v>0</v>
      </c>
      <c r="S2160" s="6">
        <f ca="1">Main[[#This Row],[روز از ارسال سفارش]]*Main[[#This Row],[بدهی تسویه نشده (کیلوگرم)]]</f>
        <v>0</v>
      </c>
      <c r="T2160" s="6">
        <f ca="1">Main[[#This Row],[بدهی سررسید شده (کیلوگرم)]]*Main[[#This Row],[روز از ارسال سفارش]]</f>
        <v>0</v>
      </c>
      <c r="U2160" s="6">
        <f>-SUBTOTAL(9,INDEX(Main[مقدار (کیلوگرم)],1):Main[[#This Row],[مقدار (کیلوگرم)]])</f>
        <v>35076</v>
      </c>
      <c r="V21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0" s="6">
        <f>Main[[#This Row],[تعداد کل روزهای بدهکار (روز)]]*Main[[#This Row],[مانده در خط کل (کیلوگرم)]]</f>
        <v>0</v>
      </c>
      <c r="X2160" s="6">
        <f ca="1">-SUBTOTAL(9,INDEX(Main[مقدار تسویه شده (کیلوگرم)],1):Main[[#This Row],[مقدار تسویه شده (کیلوگرم)]])</f>
        <v>35076</v>
      </c>
      <c r="Y2160" s="6">
        <f ca="1">IF(Main[[#This Row],[مانده در خط تسویه شده (کیلوگرم)]]&lt;&gt;0,Main[[#This Row],[تعداد کل روزهای بدهکار (روز)]],0)</f>
        <v>0</v>
      </c>
      <c r="Z2160" s="6">
        <f ca="1">Main[[#This Row],[تعداد روزهای بدهکار تسویه شده (روز)]]*Main[[#This Row],[مانده در خط تسویه شده (کیلوگرم)]]</f>
        <v>0</v>
      </c>
      <c r="AA2160" s="6">
        <f ca="1">SUBTOTAL(9,INDEX(Main[بدهی تسویه نشده (کیلوگرم)],1):Main[[#This Row],[بدهی تسویه نشده (کیلوگرم)]])</f>
        <v>0</v>
      </c>
      <c r="AB2160" s="6">
        <f ca="1">IF(Main[[#This Row],[مانده در خط تسویه نشده (کیلوگرم)]]&lt;&gt;0,Main[[#This Row],[تعداد کل روزهای بدهکار (روز)]],0)</f>
        <v>0</v>
      </c>
      <c r="AC2160" s="6">
        <f ca="1">Main[[#This Row],[تعداد روزهای بدهکار  تسویه نشده (روز)]]*Main[[#This Row],[مانده در خط تسویه نشده (کیلوگرم)]]</f>
        <v>0</v>
      </c>
      <c r="AD2160" s="6">
        <f ca="1">SUBTOTAL(9,INDEX(Main[بدهی سررسید شده (کیلوگرم)],1):Main[[#This Row],[بدهی سررسید شده (کیلوگرم)]])</f>
        <v>0</v>
      </c>
      <c r="AE2160" s="6">
        <f ca="1">IF(Main[[#This Row],[مانده در خط سررسید شده (کیلوگرم)]]&lt;&gt;0,Main[[#This Row],[تعداد کل روزهای بدهکار (روز)]],0)</f>
        <v>0</v>
      </c>
      <c r="AF2160" s="6">
        <f ca="1">Main[[#This Row],[تعداد روزهای بدهکار سررسید شده (روز)]]*Main[[#This Row],[مانده در خط سررسید شده (کیلوگرم)]]</f>
        <v>0</v>
      </c>
    </row>
    <row r="2161" spans="1:32" hidden="1" x14ac:dyDescent="0.35">
      <c r="A2161" s="5">
        <f>ROW()-ROW(INDEX(Main[ردیف],1))+1</f>
        <v>2159</v>
      </c>
      <c r="B2161" s="31">
        <f>SUBTOTAL(2,INDEX(Main[ردیف],1):Main[[#This Row],[ردیف]])</f>
        <v>196</v>
      </c>
      <c r="C2161" s="32" t="s">
        <v>763</v>
      </c>
      <c r="D2161" s="32" t="str">
        <f>_xlfn.CONCAT("14",Main[[#This Row],[تاريخ]])</f>
        <v>1400/08/25</v>
      </c>
      <c r="E2161" s="33">
        <v>44516</v>
      </c>
      <c r="F2161" s="32">
        <v>30146</v>
      </c>
      <c r="G2161" s="5" t="str">
        <f>INDEX(customer[عنوان],MATCH(Main[[#This Row],[کد ردیابی]],customer[کد],0))</f>
        <v>شرکت آذرپاد</v>
      </c>
      <c r="H2161">
        <v>-5165</v>
      </c>
      <c r="I2161" s="6">
        <f ca="1">-Main[[#This Row],[بدهی تسویه شده (کیلوگرم)]]+Main[[#This Row],[بستانکار (کیلوگرم)]]</f>
        <v>-5165</v>
      </c>
      <c r="J2161" s="6">
        <f>IF(Main[[#This Row],[مقدار (کیلوگرم)]]&gt;0,Main[[#This Row],[مقدار (کیلوگرم)]],0)</f>
        <v>0</v>
      </c>
      <c r="K2161" s="6">
        <f>-IF(Main[[#This Row],[مقدار (کیلوگرم)]]&lt;0,Main[[#This Row],[مقدار (کیلوگرم)]],0)</f>
        <v>5165</v>
      </c>
      <c r="L21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1" s="7">
        <f>-IF(AND(Main[[#This Row],[مقدار (کیلوگرم)]]&lt;0,Main[[#This Row],[تاريخ میلادی]]&gt;44276),Main[[#This Row],[مقدار (کیلوگرم)]],0)</f>
        <v>5165</v>
      </c>
      <c r="N2161" s="6">
        <f ca="1">Main[[#This Row],[بدهکار (کیلوگرم)]]-Main[[#This Row],[بدهی تسویه نشده (کیلوگرم)]]</f>
        <v>5165</v>
      </c>
      <c r="O2161" s="6">
        <f ca="1">Main[[#This Row],[تفکیک]]</f>
        <v>0</v>
      </c>
      <c r="P2161" s="6">
        <f ca="1">IF(Main[[#This Row],[تاخیر از سررسید]]&gt;0,Main[[#This Row],[بدهی تسویه نشده (کیلوگرم)]],0)</f>
        <v>0</v>
      </c>
      <c r="Q2161" s="6">
        <f ca="1">IF(Main[[#This Row],[بدهی تسویه نشده (کیلوگرم)]]&gt;0,'گزارش فردی'!$B$7-Main[[#This Row],[تاريخ میلادی]],0)</f>
        <v>0</v>
      </c>
      <c r="R2161" s="6">
        <f ca="1">IF(Main[[#This Row],[بدهی تسویه نشده (کیلوگرم)]]&gt;0,'گزارش فردی'!$B$7-Main[[#This Row],[تاريخ میلادی]]-'گزارش فردی'!$B$8,0)</f>
        <v>0</v>
      </c>
      <c r="S2161" s="6">
        <f ca="1">Main[[#This Row],[روز از ارسال سفارش]]*Main[[#This Row],[بدهی تسویه نشده (کیلوگرم)]]</f>
        <v>0</v>
      </c>
      <c r="T2161" s="6">
        <f ca="1">Main[[#This Row],[بدهی سررسید شده (کیلوگرم)]]*Main[[#This Row],[روز از ارسال سفارش]]</f>
        <v>0</v>
      </c>
      <c r="U2161" s="6">
        <f>-SUBTOTAL(9,INDEX(Main[مقدار (کیلوگرم)],1):Main[[#This Row],[مقدار (کیلوگرم)]])</f>
        <v>35076</v>
      </c>
      <c r="V21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1" s="6">
        <f>Main[[#This Row],[تعداد کل روزهای بدهکار (روز)]]*Main[[#This Row],[مانده در خط کل (کیلوگرم)]]</f>
        <v>0</v>
      </c>
      <c r="X2161" s="6">
        <f ca="1">-SUBTOTAL(9,INDEX(Main[مقدار تسویه شده (کیلوگرم)],1):Main[[#This Row],[مقدار تسویه شده (کیلوگرم)]])</f>
        <v>35076</v>
      </c>
      <c r="Y2161" s="6">
        <f ca="1">IF(Main[[#This Row],[مانده در خط تسویه شده (کیلوگرم)]]&lt;&gt;0,Main[[#This Row],[تعداد کل روزهای بدهکار (روز)]],0)</f>
        <v>0</v>
      </c>
      <c r="Z2161" s="6">
        <f ca="1">Main[[#This Row],[تعداد روزهای بدهکار تسویه شده (روز)]]*Main[[#This Row],[مانده در خط تسویه شده (کیلوگرم)]]</f>
        <v>0</v>
      </c>
      <c r="AA2161" s="6">
        <f ca="1">SUBTOTAL(9,INDEX(Main[بدهی تسویه نشده (کیلوگرم)],1):Main[[#This Row],[بدهی تسویه نشده (کیلوگرم)]])</f>
        <v>0</v>
      </c>
      <c r="AB2161" s="6">
        <f ca="1">IF(Main[[#This Row],[مانده در خط تسویه نشده (کیلوگرم)]]&lt;&gt;0,Main[[#This Row],[تعداد کل روزهای بدهکار (روز)]],0)</f>
        <v>0</v>
      </c>
      <c r="AC2161" s="6">
        <f ca="1">Main[[#This Row],[تعداد روزهای بدهکار  تسویه نشده (روز)]]*Main[[#This Row],[مانده در خط تسویه نشده (کیلوگرم)]]</f>
        <v>0</v>
      </c>
      <c r="AD2161" s="6">
        <f ca="1">SUBTOTAL(9,INDEX(Main[بدهی سررسید شده (کیلوگرم)],1):Main[[#This Row],[بدهی سررسید شده (کیلوگرم)]])</f>
        <v>0</v>
      </c>
      <c r="AE2161" s="6">
        <f ca="1">IF(Main[[#This Row],[مانده در خط سررسید شده (کیلوگرم)]]&lt;&gt;0,Main[[#This Row],[تعداد کل روزهای بدهکار (روز)]],0)</f>
        <v>0</v>
      </c>
      <c r="AF2161" s="6">
        <f ca="1">Main[[#This Row],[تعداد روزهای بدهکار سررسید شده (روز)]]*Main[[#This Row],[مانده در خط سررسید شده (کیلوگرم)]]</f>
        <v>0</v>
      </c>
    </row>
    <row r="2162" spans="1:32" hidden="1" x14ac:dyDescent="0.35">
      <c r="A2162" s="5">
        <f>ROW()-ROW(INDEX(Main[ردیف],1))+1</f>
        <v>2160</v>
      </c>
      <c r="B2162" s="31">
        <f>SUBTOTAL(2,INDEX(Main[ردیف],1):Main[[#This Row],[ردیف]])</f>
        <v>196</v>
      </c>
      <c r="C2162" s="32" t="s">
        <v>763</v>
      </c>
      <c r="D2162" s="32" t="str">
        <f>_xlfn.CONCAT("14",Main[[#This Row],[تاريخ]])</f>
        <v>1400/08/25</v>
      </c>
      <c r="E2162" s="33">
        <v>44516</v>
      </c>
      <c r="F2162" s="32">
        <v>10141</v>
      </c>
      <c r="G2162" s="5" t="str">
        <f>INDEX(customer[عنوان],MATCH(Main[[#This Row],[کد ردیابی]],customer[کد],0))</f>
        <v>حسین ریاحی</v>
      </c>
      <c r="H2162">
        <v>320</v>
      </c>
      <c r="I2162" s="6">
        <f ca="1">-Main[[#This Row],[بدهی تسویه شده (کیلوگرم)]]+Main[[#This Row],[بستانکار (کیلوگرم)]]</f>
        <v>320</v>
      </c>
      <c r="J2162" s="6">
        <f>IF(Main[[#This Row],[مقدار (کیلوگرم)]]&gt;0,Main[[#This Row],[مقدار (کیلوگرم)]],0)</f>
        <v>320</v>
      </c>
      <c r="K2162" s="6">
        <f>-IF(Main[[#This Row],[مقدار (کیلوگرم)]]&lt;0,Main[[#This Row],[مقدار (کیلوگرم)]],0)</f>
        <v>0</v>
      </c>
      <c r="L21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2" s="7">
        <f>-IF(AND(Main[[#This Row],[مقدار (کیلوگرم)]]&lt;0,Main[[#This Row],[تاريخ میلادی]]&gt;44276),Main[[#This Row],[مقدار (کیلوگرم)]],0)</f>
        <v>0</v>
      </c>
      <c r="N2162" s="6">
        <f ca="1">Main[[#This Row],[بدهکار (کیلوگرم)]]-Main[[#This Row],[بدهی تسویه نشده (کیلوگرم)]]</f>
        <v>0</v>
      </c>
      <c r="O2162" s="6">
        <f ca="1">Main[[#This Row],[تفکیک]]</f>
        <v>0</v>
      </c>
      <c r="P2162" s="6">
        <f ca="1">IF(Main[[#This Row],[تاخیر از سررسید]]&gt;0,Main[[#This Row],[بدهی تسویه نشده (کیلوگرم)]],0)</f>
        <v>0</v>
      </c>
      <c r="Q2162" s="6">
        <f ca="1">IF(Main[[#This Row],[بدهی تسویه نشده (کیلوگرم)]]&gt;0,'گزارش فردی'!$B$7-Main[[#This Row],[تاريخ میلادی]],0)</f>
        <v>0</v>
      </c>
      <c r="R2162" s="6">
        <f ca="1">IF(Main[[#This Row],[بدهی تسویه نشده (کیلوگرم)]]&gt;0,'گزارش فردی'!$B$7-Main[[#This Row],[تاريخ میلادی]]-'گزارش فردی'!$B$8,0)</f>
        <v>0</v>
      </c>
      <c r="S2162" s="6">
        <f ca="1">Main[[#This Row],[روز از ارسال سفارش]]*Main[[#This Row],[بدهی تسویه نشده (کیلوگرم)]]</f>
        <v>0</v>
      </c>
      <c r="T2162" s="6">
        <f ca="1">Main[[#This Row],[بدهی سررسید شده (کیلوگرم)]]*Main[[#This Row],[روز از ارسال سفارش]]</f>
        <v>0</v>
      </c>
      <c r="U2162" s="6">
        <f>-SUBTOTAL(9,INDEX(Main[مقدار (کیلوگرم)],1):Main[[#This Row],[مقدار (کیلوگرم)]])</f>
        <v>35076</v>
      </c>
      <c r="V21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2" s="6">
        <f>Main[[#This Row],[تعداد کل روزهای بدهکار (روز)]]*Main[[#This Row],[مانده در خط کل (کیلوگرم)]]</f>
        <v>0</v>
      </c>
      <c r="X2162" s="6">
        <f ca="1">-SUBTOTAL(9,INDEX(Main[مقدار تسویه شده (کیلوگرم)],1):Main[[#This Row],[مقدار تسویه شده (کیلوگرم)]])</f>
        <v>35076</v>
      </c>
      <c r="Y2162" s="6">
        <f ca="1">IF(Main[[#This Row],[مانده در خط تسویه شده (کیلوگرم)]]&lt;&gt;0,Main[[#This Row],[تعداد کل روزهای بدهکار (روز)]],0)</f>
        <v>0</v>
      </c>
      <c r="Z2162" s="6">
        <f ca="1">Main[[#This Row],[تعداد روزهای بدهکار تسویه شده (روز)]]*Main[[#This Row],[مانده در خط تسویه شده (کیلوگرم)]]</f>
        <v>0</v>
      </c>
      <c r="AA2162" s="6">
        <f ca="1">SUBTOTAL(9,INDEX(Main[بدهی تسویه نشده (کیلوگرم)],1):Main[[#This Row],[بدهی تسویه نشده (کیلوگرم)]])</f>
        <v>0</v>
      </c>
      <c r="AB2162" s="6">
        <f ca="1">IF(Main[[#This Row],[مانده در خط تسویه نشده (کیلوگرم)]]&lt;&gt;0,Main[[#This Row],[تعداد کل روزهای بدهکار (روز)]],0)</f>
        <v>0</v>
      </c>
      <c r="AC2162" s="6">
        <f ca="1">Main[[#This Row],[تعداد روزهای بدهکار  تسویه نشده (روز)]]*Main[[#This Row],[مانده در خط تسویه نشده (کیلوگرم)]]</f>
        <v>0</v>
      </c>
      <c r="AD2162" s="6">
        <f ca="1">SUBTOTAL(9,INDEX(Main[بدهی سررسید شده (کیلوگرم)],1):Main[[#This Row],[بدهی سررسید شده (کیلوگرم)]])</f>
        <v>0</v>
      </c>
      <c r="AE2162" s="6">
        <f ca="1">IF(Main[[#This Row],[مانده در خط سررسید شده (کیلوگرم)]]&lt;&gt;0,Main[[#This Row],[تعداد کل روزهای بدهکار (روز)]],0)</f>
        <v>0</v>
      </c>
      <c r="AF2162" s="6">
        <f ca="1">Main[[#This Row],[تعداد روزهای بدهکار سررسید شده (روز)]]*Main[[#This Row],[مانده در خط سررسید شده (کیلوگرم)]]</f>
        <v>0</v>
      </c>
    </row>
    <row r="2163" spans="1:32" hidden="1" x14ac:dyDescent="0.35">
      <c r="A2163" s="5">
        <f>ROW()-ROW(INDEX(Main[ردیف],1))+1</f>
        <v>2161</v>
      </c>
      <c r="B2163" s="31">
        <f>SUBTOTAL(2,INDEX(Main[ردیف],1):Main[[#This Row],[ردیف]])</f>
        <v>196</v>
      </c>
      <c r="C2163" s="32" t="s">
        <v>763</v>
      </c>
      <c r="D2163" s="32" t="str">
        <f>_xlfn.CONCAT("14",Main[[#This Row],[تاريخ]])</f>
        <v>1400/08/25</v>
      </c>
      <c r="E2163" s="33">
        <v>44516</v>
      </c>
      <c r="F2163" s="32">
        <v>10070</v>
      </c>
      <c r="G2163" s="5" t="str">
        <f>INDEX(customer[عنوان],MATCH(Main[[#This Row],[کد ردیابی]],customer[کد],0))</f>
        <v xml:space="preserve">حمیدرضا شفیعی </v>
      </c>
      <c r="H2163">
        <v>-485</v>
      </c>
      <c r="I2163" s="6">
        <f ca="1">-Main[[#This Row],[بدهی تسویه شده (کیلوگرم)]]+Main[[#This Row],[بستانکار (کیلوگرم)]]</f>
        <v>-485</v>
      </c>
      <c r="J2163" s="6">
        <f>IF(Main[[#This Row],[مقدار (کیلوگرم)]]&gt;0,Main[[#This Row],[مقدار (کیلوگرم)]],0)</f>
        <v>0</v>
      </c>
      <c r="K2163" s="6">
        <f>-IF(Main[[#This Row],[مقدار (کیلوگرم)]]&lt;0,Main[[#This Row],[مقدار (کیلوگرم)]],0)</f>
        <v>485</v>
      </c>
      <c r="L21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3" s="7">
        <f>-IF(AND(Main[[#This Row],[مقدار (کیلوگرم)]]&lt;0,Main[[#This Row],[تاريخ میلادی]]&gt;44276),Main[[#This Row],[مقدار (کیلوگرم)]],0)</f>
        <v>485</v>
      </c>
      <c r="N2163" s="6">
        <f ca="1">Main[[#This Row],[بدهکار (کیلوگرم)]]-Main[[#This Row],[بدهی تسویه نشده (کیلوگرم)]]</f>
        <v>485</v>
      </c>
      <c r="O2163" s="6">
        <f ca="1">Main[[#This Row],[تفکیک]]</f>
        <v>0</v>
      </c>
      <c r="P2163" s="6">
        <f ca="1">IF(Main[[#This Row],[تاخیر از سررسید]]&gt;0,Main[[#This Row],[بدهی تسویه نشده (کیلوگرم)]],0)</f>
        <v>0</v>
      </c>
      <c r="Q2163" s="6">
        <f ca="1">IF(Main[[#This Row],[بدهی تسویه نشده (کیلوگرم)]]&gt;0,'گزارش فردی'!$B$7-Main[[#This Row],[تاريخ میلادی]],0)</f>
        <v>0</v>
      </c>
      <c r="R2163" s="6">
        <f ca="1">IF(Main[[#This Row],[بدهی تسویه نشده (کیلوگرم)]]&gt;0,'گزارش فردی'!$B$7-Main[[#This Row],[تاريخ میلادی]]-'گزارش فردی'!$B$8,0)</f>
        <v>0</v>
      </c>
      <c r="S2163" s="6">
        <f ca="1">Main[[#This Row],[روز از ارسال سفارش]]*Main[[#This Row],[بدهی تسویه نشده (کیلوگرم)]]</f>
        <v>0</v>
      </c>
      <c r="T2163" s="6">
        <f ca="1">Main[[#This Row],[بدهی سررسید شده (کیلوگرم)]]*Main[[#This Row],[روز از ارسال سفارش]]</f>
        <v>0</v>
      </c>
      <c r="U2163" s="6">
        <f>-SUBTOTAL(9,INDEX(Main[مقدار (کیلوگرم)],1):Main[[#This Row],[مقدار (کیلوگرم)]])</f>
        <v>35076</v>
      </c>
      <c r="V21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3" s="6">
        <f>Main[[#This Row],[تعداد کل روزهای بدهکار (روز)]]*Main[[#This Row],[مانده در خط کل (کیلوگرم)]]</f>
        <v>0</v>
      </c>
      <c r="X2163" s="6">
        <f ca="1">-SUBTOTAL(9,INDEX(Main[مقدار تسویه شده (کیلوگرم)],1):Main[[#This Row],[مقدار تسویه شده (کیلوگرم)]])</f>
        <v>35076</v>
      </c>
      <c r="Y2163" s="6">
        <f ca="1">IF(Main[[#This Row],[مانده در خط تسویه شده (کیلوگرم)]]&lt;&gt;0,Main[[#This Row],[تعداد کل روزهای بدهکار (روز)]],0)</f>
        <v>0</v>
      </c>
      <c r="Z2163" s="6">
        <f ca="1">Main[[#This Row],[تعداد روزهای بدهکار تسویه شده (روز)]]*Main[[#This Row],[مانده در خط تسویه شده (کیلوگرم)]]</f>
        <v>0</v>
      </c>
      <c r="AA2163" s="6">
        <f ca="1">SUBTOTAL(9,INDEX(Main[بدهی تسویه نشده (کیلوگرم)],1):Main[[#This Row],[بدهی تسویه نشده (کیلوگرم)]])</f>
        <v>0</v>
      </c>
      <c r="AB2163" s="6">
        <f ca="1">IF(Main[[#This Row],[مانده در خط تسویه نشده (کیلوگرم)]]&lt;&gt;0,Main[[#This Row],[تعداد کل روزهای بدهکار (روز)]],0)</f>
        <v>0</v>
      </c>
      <c r="AC2163" s="6">
        <f ca="1">Main[[#This Row],[تعداد روزهای بدهکار  تسویه نشده (روز)]]*Main[[#This Row],[مانده در خط تسویه نشده (کیلوگرم)]]</f>
        <v>0</v>
      </c>
      <c r="AD2163" s="6">
        <f ca="1">SUBTOTAL(9,INDEX(Main[بدهی سررسید شده (کیلوگرم)],1):Main[[#This Row],[بدهی سررسید شده (کیلوگرم)]])</f>
        <v>0</v>
      </c>
      <c r="AE2163" s="6">
        <f ca="1">IF(Main[[#This Row],[مانده در خط سررسید شده (کیلوگرم)]]&lt;&gt;0,Main[[#This Row],[تعداد کل روزهای بدهکار (روز)]],0)</f>
        <v>0</v>
      </c>
      <c r="AF2163" s="6">
        <f ca="1">Main[[#This Row],[تعداد روزهای بدهکار سررسید شده (روز)]]*Main[[#This Row],[مانده در خط سررسید شده (کیلوگرم)]]</f>
        <v>0</v>
      </c>
    </row>
    <row r="2164" spans="1:32" hidden="1" x14ac:dyDescent="0.35">
      <c r="A2164" s="5">
        <f>ROW()-ROW(INDEX(Main[ردیف],1))+1</f>
        <v>2162</v>
      </c>
      <c r="B2164" s="31">
        <f>SUBTOTAL(2,INDEX(Main[ردیف],1):Main[[#This Row],[ردیف]])</f>
        <v>196</v>
      </c>
      <c r="C2164" s="32" t="s">
        <v>763</v>
      </c>
      <c r="D2164" s="32" t="str">
        <f>_xlfn.CONCAT("14",Main[[#This Row],[تاريخ]])</f>
        <v>1400/08/25</v>
      </c>
      <c r="E2164" s="33">
        <v>44516</v>
      </c>
      <c r="F2164" s="32">
        <v>30205</v>
      </c>
      <c r="G2164" s="5" t="str">
        <f>INDEX(customer[عنوان],MATCH(Main[[#This Row],[کد ردیابی]],customer[کد],0))</f>
        <v>ایران پالاد</v>
      </c>
      <c r="H2164">
        <v>312</v>
      </c>
      <c r="I2164" s="6">
        <f ca="1">-Main[[#This Row],[بدهی تسویه شده (کیلوگرم)]]+Main[[#This Row],[بستانکار (کیلوگرم)]]</f>
        <v>312</v>
      </c>
      <c r="J2164" s="6">
        <f>IF(Main[[#This Row],[مقدار (کیلوگرم)]]&gt;0,Main[[#This Row],[مقدار (کیلوگرم)]],0)</f>
        <v>312</v>
      </c>
      <c r="K2164" s="6">
        <f>-IF(Main[[#This Row],[مقدار (کیلوگرم)]]&lt;0,Main[[#This Row],[مقدار (کیلوگرم)]],0)</f>
        <v>0</v>
      </c>
      <c r="L21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4" s="7">
        <f>-IF(AND(Main[[#This Row],[مقدار (کیلوگرم)]]&lt;0,Main[[#This Row],[تاريخ میلادی]]&gt;44276),Main[[#This Row],[مقدار (کیلوگرم)]],0)</f>
        <v>0</v>
      </c>
      <c r="N2164" s="6">
        <f ca="1">Main[[#This Row],[بدهکار (کیلوگرم)]]-Main[[#This Row],[بدهی تسویه نشده (کیلوگرم)]]</f>
        <v>0</v>
      </c>
      <c r="O2164" s="6">
        <f ca="1">Main[[#This Row],[تفکیک]]</f>
        <v>0</v>
      </c>
      <c r="P2164" s="6">
        <f ca="1">IF(Main[[#This Row],[تاخیر از سررسید]]&gt;0,Main[[#This Row],[بدهی تسویه نشده (کیلوگرم)]],0)</f>
        <v>0</v>
      </c>
      <c r="Q2164" s="6">
        <f ca="1">IF(Main[[#This Row],[بدهی تسویه نشده (کیلوگرم)]]&gt;0,'گزارش فردی'!$B$7-Main[[#This Row],[تاريخ میلادی]],0)</f>
        <v>0</v>
      </c>
      <c r="R2164" s="6">
        <f ca="1">IF(Main[[#This Row],[بدهی تسویه نشده (کیلوگرم)]]&gt;0,'گزارش فردی'!$B$7-Main[[#This Row],[تاريخ میلادی]]-'گزارش فردی'!$B$8,0)</f>
        <v>0</v>
      </c>
      <c r="S2164" s="6">
        <f ca="1">Main[[#This Row],[روز از ارسال سفارش]]*Main[[#This Row],[بدهی تسویه نشده (کیلوگرم)]]</f>
        <v>0</v>
      </c>
      <c r="T2164" s="6">
        <f ca="1">Main[[#This Row],[بدهی سررسید شده (کیلوگرم)]]*Main[[#This Row],[روز از ارسال سفارش]]</f>
        <v>0</v>
      </c>
      <c r="U2164" s="6">
        <f>-SUBTOTAL(9,INDEX(Main[مقدار (کیلوگرم)],1):Main[[#This Row],[مقدار (کیلوگرم)]])</f>
        <v>35076</v>
      </c>
      <c r="V21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4" s="6">
        <f>Main[[#This Row],[تعداد کل روزهای بدهکار (روز)]]*Main[[#This Row],[مانده در خط کل (کیلوگرم)]]</f>
        <v>0</v>
      </c>
      <c r="X2164" s="6">
        <f ca="1">-SUBTOTAL(9,INDEX(Main[مقدار تسویه شده (کیلوگرم)],1):Main[[#This Row],[مقدار تسویه شده (کیلوگرم)]])</f>
        <v>35076</v>
      </c>
      <c r="Y2164" s="6">
        <f ca="1">IF(Main[[#This Row],[مانده در خط تسویه شده (کیلوگرم)]]&lt;&gt;0,Main[[#This Row],[تعداد کل روزهای بدهکار (روز)]],0)</f>
        <v>0</v>
      </c>
      <c r="Z2164" s="6">
        <f ca="1">Main[[#This Row],[تعداد روزهای بدهکار تسویه شده (روز)]]*Main[[#This Row],[مانده در خط تسویه شده (کیلوگرم)]]</f>
        <v>0</v>
      </c>
      <c r="AA2164" s="6">
        <f ca="1">SUBTOTAL(9,INDEX(Main[بدهی تسویه نشده (کیلوگرم)],1):Main[[#This Row],[بدهی تسویه نشده (کیلوگرم)]])</f>
        <v>0</v>
      </c>
      <c r="AB2164" s="6">
        <f ca="1">IF(Main[[#This Row],[مانده در خط تسویه نشده (کیلوگرم)]]&lt;&gt;0,Main[[#This Row],[تعداد کل روزهای بدهکار (روز)]],0)</f>
        <v>0</v>
      </c>
      <c r="AC2164" s="6">
        <f ca="1">Main[[#This Row],[تعداد روزهای بدهکار  تسویه نشده (روز)]]*Main[[#This Row],[مانده در خط تسویه نشده (کیلوگرم)]]</f>
        <v>0</v>
      </c>
      <c r="AD2164" s="6">
        <f ca="1">SUBTOTAL(9,INDEX(Main[بدهی سررسید شده (کیلوگرم)],1):Main[[#This Row],[بدهی سررسید شده (کیلوگرم)]])</f>
        <v>0</v>
      </c>
      <c r="AE2164" s="6">
        <f ca="1">IF(Main[[#This Row],[مانده در خط سررسید شده (کیلوگرم)]]&lt;&gt;0,Main[[#This Row],[تعداد کل روزهای بدهکار (روز)]],0)</f>
        <v>0</v>
      </c>
      <c r="AF2164" s="6">
        <f ca="1">Main[[#This Row],[تعداد روزهای بدهکار سررسید شده (روز)]]*Main[[#This Row],[مانده در خط سررسید شده (کیلوگرم)]]</f>
        <v>0</v>
      </c>
    </row>
    <row r="2165" spans="1:32" hidden="1" x14ac:dyDescent="0.35">
      <c r="A2165" s="5">
        <f>ROW()-ROW(INDEX(Main[ردیف],1))+1</f>
        <v>2163</v>
      </c>
      <c r="B2165" s="31">
        <f>SUBTOTAL(2,INDEX(Main[ردیف],1):Main[[#This Row],[ردیف]])</f>
        <v>196</v>
      </c>
      <c r="C2165" s="32" t="s">
        <v>763</v>
      </c>
      <c r="D2165" s="32" t="str">
        <f>_xlfn.CONCAT("14",Main[[#This Row],[تاريخ]])</f>
        <v>1400/08/25</v>
      </c>
      <c r="E2165" s="33">
        <v>44516</v>
      </c>
      <c r="F2165" s="32">
        <v>30186</v>
      </c>
      <c r="G2165" s="5" t="str">
        <f>INDEX(customer[عنوان],MATCH(Main[[#This Row],[کد ردیابی]],customer[کد],0))</f>
        <v>سارا گاز</v>
      </c>
      <c r="H2165">
        <v>-2042</v>
      </c>
      <c r="I2165" s="6">
        <f ca="1">-Main[[#This Row],[بدهی تسویه شده (کیلوگرم)]]+Main[[#This Row],[بستانکار (کیلوگرم)]]</f>
        <v>-2042</v>
      </c>
      <c r="J2165" s="6">
        <f>IF(Main[[#This Row],[مقدار (کیلوگرم)]]&gt;0,Main[[#This Row],[مقدار (کیلوگرم)]],0)</f>
        <v>0</v>
      </c>
      <c r="K2165" s="6">
        <f>-IF(Main[[#This Row],[مقدار (کیلوگرم)]]&lt;0,Main[[#This Row],[مقدار (کیلوگرم)]],0)</f>
        <v>2042</v>
      </c>
      <c r="L21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5" s="7">
        <f>-IF(AND(Main[[#This Row],[مقدار (کیلوگرم)]]&lt;0,Main[[#This Row],[تاريخ میلادی]]&gt;44276),Main[[#This Row],[مقدار (کیلوگرم)]],0)</f>
        <v>2042</v>
      </c>
      <c r="N2165" s="6">
        <f ca="1">Main[[#This Row],[بدهکار (کیلوگرم)]]-Main[[#This Row],[بدهی تسویه نشده (کیلوگرم)]]</f>
        <v>2042</v>
      </c>
      <c r="O2165" s="6">
        <f ca="1">Main[[#This Row],[تفکیک]]</f>
        <v>0</v>
      </c>
      <c r="P2165" s="6">
        <f ca="1">IF(Main[[#This Row],[تاخیر از سررسید]]&gt;0,Main[[#This Row],[بدهی تسویه نشده (کیلوگرم)]],0)</f>
        <v>0</v>
      </c>
      <c r="Q2165" s="6">
        <f ca="1">IF(Main[[#This Row],[بدهی تسویه نشده (کیلوگرم)]]&gt;0,'گزارش فردی'!$B$7-Main[[#This Row],[تاريخ میلادی]],0)</f>
        <v>0</v>
      </c>
      <c r="R2165" s="6">
        <f ca="1">IF(Main[[#This Row],[بدهی تسویه نشده (کیلوگرم)]]&gt;0,'گزارش فردی'!$B$7-Main[[#This Row],[تاريخ میلادی]]-'گزارش فردی'!$B$8,0)</f>
        <v>0</v>
      </c>
      <c r="S2165" s="6">
        <f ca="1">Main[[#This Row],[روز از ارسال سفارش]]*Main[[#This Row],[بدهی تسویه نشده (کیلوگرم)]]</f>
        <v>0</v>
      </c>
      <c r="T2165" s="6">
        <f ca="1">Main[[#This Row],[بدهی سررسید شده (کیلوگرم)]]*Main[[#This Row],[روز از ارسال سفارش]]</f>
        <v>0</v>
      </c>
      <c r="U2165" s="6">
        <f>-SUBTOTAL(9,INDEX(Main[مقدار (کیلوگرم)],1):Main[[#This Row],[مقدار (کیلوگرم)]])</f>
        <v>35076</v>
      </c>
      <c r="V21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5" s="6">
        <f>Main[[#This Row],[تعداد کل روزهای بدهکار (روز)]]*Main[[#This Row],[مانده در خط کل (کیلوگرم)]]</f>
        <v>0</v>
      </c>
      <c r="X2165" s="6">
        <f ca="1">-SUBTOTAL(9,INDEX(Main[مقدار تسویه شده (کیلوگرم)],1):Main[[#This Row],[مقدار تسویه شده (کیلوگرم)]])</f>
        <v>35076</v>
      </c>
      <c r="Y2165" s="6">
        <f ca="1">IF(Main[[#This Row],[مانده در خط تسویه شده (کیلوگرم)]]&lt;&gt;0,Main[[#This Row],[تعداد کل روزهای بدهکار (روز)]],0)</f>
        <v>0</v>
      </c>
      <c r="Z2165" s="6">
        <f ca="1">Main[[#This Row],[تعداد روزهای بدهکار تسویه شده (روز)]]*Main[[#This Row],[مانده در خط تسویه شده (کیلوگرم)]]</f>
        <v>0</v>
      </c>
      <c r="AA2165" s="6">
        <f ca="1">SUBTOTAL(9,INDEX(Main[بدهی تسویه نشده (کیلوگرم)],1):Main[[#This Row],[بدهی تسویه نشده (کیلوگرم)]])</f>
        <v>0</v>
      </c>
      <c r="AB2165" s="6">
        <f ca="1">IF(Main[[#This Row],[مانده در خط تسویه نشده (کیلوگرم)]]&lt;&gt;0,Main[[#This Row],[تعداد کل روزهای بدهکار (روز)]],0)</f>
        <v>0</v>
      </c>
      <c r="AC2165" s="6">
        <f ca="1">Main[[#This Row],[تعداد روزهای بدهکار  تسویه نشده (روز)]]*Main[[#This Row],[مانده در خط تسویه نشده (کیلوگرم)]]</f>
        <v>0</v>
      </c>
      <c r="AD2165" s="6">
        <f ca="1">SUBTOTAL(9,INDEX(Main[بدهی سررسید شده (کیلوگرم)],1):Main[[#This Row],[بدهی سررسید شده (کیلوگرم)]])</f>
        <v>0</v>
      </c>
      <c r="AE2165" s="6">
        <f ca="1">IF(Main[[#This Row],[مانده در خط سررسید شده (کیلوگرم)]]&lt;&gt;0,Main[[#This Row],[تعداد کل روزهای بدهکار (روز)]],0)</f>
        <v>0</v>
      </c>
      <c r="AF2165" s="6">
        <f ca="1">Main[[#This Row],[تعداد روزهای بدهکار سررسید شده (روز)]]*Main[[#This Row],[مانده در خط سررسید شده (کیلوگرم)]]</f>
        <v>0</v>
      </c>
    </row>
    <row r="2166" spans="1:32" hidden="1" x14ac:dyDescent="0.35">
      <c r="A2166" s="5">
        <f>ROW()-ROW(INDEX(Main[ردیف],1))+1</f>
        <v>2164</v>
      </c>
      <c r="B2166" s="31">
        <f>SUBTOTAL(2,INDEX(Main[ردیف],1):Main[[#This Row],[ردیف]])</f>
        <v>196</v>
      </c>
      <c r="C2166" s="32" t="s">
        <v>763</v>
      </c>
      <c r="D2166" s="32" t="str">
        <f>_xlfn.CONCAT("14",Main[[#This Row],[تاريخ]])</f>
        <v>1400/08/25</v>
      </c>
      <c r="E2166" s="33">
        <v>44516</v>
      </c>
      <c r="F2166" s="32">
        <v>30205</v>
      </c>
      <c r="G2166" s="5" t="str">
        <f>INDEX(customer[عنوان],MATCH(Main[[#This Row],[کد ردیابی]],customer[کد],0))</f>
        <v>ایران پالاد</v>
      </c>
      <c r="H2166">
        <v>4482</v>
      </c>
      <c r="I2166" s="6">
        <f ca="1">-Main[[#This Row],[بدهی تسویه شده (کیلوگرم)]]+Main[[#This Row],[بستانکار (کیلوگرم)]]</f>
        <v>4482</v>
      </c>
      <c r="J2166" s="6">
        <f>IF(Main[[#This Row],[مقدار (کیلوگرم)]]&gt;0,Main[[#This Row],[مقدار (کیلوگرم)]],0)</f>
        <v>4482</v>
      </c>
      <c r="K2166" s="6">
        <f>-IF(Main[[#This Row],[مقدار (کیلوگرم)]]&lt;0,Main[[#This Row],[مقدار (کیلوگرم)]],0)</f>
        <v>0</v>
      </c>
      <c r="L21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6" s="7">
        <f>-IF(AND(Main[[#This Row],[مقدار (کیلوگرم)]]&lt;0,Main[[#This Row],[تاريخ میلادی]]&gt;44276),Main[[#This Row],[مقدار (کیلوگرم)]],0)</f>
        <v>0</v>
      </c>
      <c r="N2166" s="6">
        <f ca="1">Main[[#This Row],[بدهکار (کیلوگرم)]]-Main[[#This Row],[بدهی تسویه نشده (کیلوگرم)]]</f>
        <v>0</v>
      </c>
      <c r="O2166" s="6">
        <f ca="1">Main[[#This Row],[تفکیک]]</f>
        <v>0</v>
      </c>
      <c r="P2166" s="6">
        <f ca="1">IF(Main[[#This Row],[تاخیر از سررسید]]&gt;0,Main[[#This Row],[بدهی تسویه نشده (کیلوگرم)]],0)</f>
        <v>0</v>
      </c>
      <c r="Q2166" s="6">
        <f ca="1">IF(Main[[#This Row],[بدهی تسویه نشده (کیلوگرم)]]&gt;0,'گزارش فردی'!$B$7-Main[[#This Row],[تاريخ میلادی]],0)</f>
        <v>0</v>
      </c>
      <c r="R2166" s="6">
        <f ca="1">IF(Main[[#This Row],[بدهی تسویه نشده (کیلوگرم)]]&gt;0,'گزارش فردی'!$B$7-Main[[#This Row],[تاريخ میلادی]]-'گزارش فردی'!$B$8,0)</f>
        <v>0</v>
      </c>
      <c r="S2166" s="6">
        <f ca="1">Main[[#This Row],[روز از ارسال سفارش]]*Main[[#This Row],[بدهی تسویه نشده (کیلوگرم)]]</f>
        <v>0</v>
      </c>
      <c r="T2166" s="6">
        <f ca="1">Main[[#This Row],[بدهی سررسید شده (کیلوگرم)]]*Main[[#This Row],[روز از ارسال سفارش]]</f>
        <v>0</v>
      </c>
      <c r="U2166" s="6">
        <f>-SUBTOTAL(9,INDEX(Main[مقدار (کیلوگرم)],1):Main[[#This Row],[مقدار (کیلوگرم)]])</f>
        <v>35076</v>
      </c>
      <c r="V21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6" s="6">
        <f>Main[[#This Row],[تعداد کل روزهای بدهکار (روز)]]*Main[[#This Row],[مانده در خط کل (کیلوگرم)]]</f>
        <v>0</v>
      </c>
      <c r="X2166" s="6">
        <f ca="1">-SUBTOTAL(9,INDEX(Main[مقدار تسویه شده (کیلوگرم)],1):Main[[#This Row],[مقدار تسویه شده (کیلوگرم)]])</f>
        <v>35076</v>
      </c>
      <c r="Y2166" s="6">
        <f ca="1">IF(Main[[#This Row],[مانده در خط تسویه شده (کیلوگرم)]]&lt;&gt;0,Main[[#This Row],[تعداد کل روزهای بدهکار (روز)]],0)</f>
        <v>0</v>
      </c>
      <c r="Z2166" s="6">
        <f ca="1">Main[[#This Row],[تعداد روزهای بدهکار تسویه شده (روز)]]*Main[[#This Row],[مانده در خط تسویه شده (کیلوگرم)]]</f>
        <v>0</v>
      </c>
      <c r="AA2166" s="6">
        <f ca="1">SUBTOTAL(9,INDEX(Main[بدهی تسویه نشده (کیلوگرم)],1):Main[[#This Row],[بدهی تسویه نشده (کیلوگرم)]])</f>
        <v>0</v>
      </c>
      <c r="AB2166" s="6">
        <f ca="1">IF(Main[[#This Row],[مانده در خط تسویه نشده (کیلوگرم)]]&lt;&gt;0,Main[[#This Row],[تعداد کل روزهای بدهکار (روز)]],0)</f>
        <v>0</v>
      </c>
      <c r="AC2166" s="6">
        <f ca="1">Main[[#This Row],[تعداد روزهای بدهکار  تسویه نشده (روز)]]*Main[[#This Row],[مانده در خط تسویه نشده (کیلوگرم)]]</f>
        <v>0</v>
      </c>
      <c r="AD2166" s="6">
        <f ca="1">SUBTOTAL(9,INDEX(Main[بدهی سررسید شده (کیلوگرم)],1):Main[[#This Row],[بدهی سررسید شده (کیلوگرم)]])</f>
        <v>0</v>
      </c>
      <c r="AE2166" s="6">
        <f ca="1">IF(Main[[#This Row],[مانده در خط سررسید شده (کیلوگرم)]]&lt;&gt;0,Main[[#This Row],[تعداد کل روزهای بدهکار (روز)]],0)</f>
        <v>0</v>
      </c>
      <c r="AF2166" s="6">
        <f ca="1">Main[[#This Row],[تعداد روزهای بدهکار سررسید شده (روز)]]*Main[[#This Row],[مانده در خط سررسید شده (کیلوگرم)]]</f>
        <v>0</v>
      </c>
    </row>
    <row r="2167" spans="1:32" hidden="1" x14ac:dyDescent="0.35">
      <c r="A2167" s="5">
        <f>ROW()-ROW(INDEX(Main[ردیف],1))+1</f>
        <v>2165</v>
      </c>
      <c r="B2167" s="31">
        <f>SUBTOTAL(2,INDEX(Main[ردیف],1):Main[[#This Row],[ردیف]])</f>
        <v>196</v>
      </c>
      <c r="C2167" s="32" t="s">
        <v>763</v>
      </c>
      <c r="D2167" s="32" t="str">
        <f>_xlfn.CONCAT("14",Main[[#This Row],[تاريخ]])</f>
        <v>1400/08/25</v>
      </c>
      <c r="E2167" s="33">
        <v>44516</v>
      </c>
      <c r="F2167" s="32">
        <v>10119</v>
      </c>
      <c r="G2167" s="5" t="str">
        <f>INDEX(customer[عنوان],MATCH(Main[[#This Row],[کد ردیابی]],customer[کد],0))</f>
        <v>سیف الله اکبری</v>
      </c>
      <c r="H2167">
        <v>-292</v>
      </c>
      <c r="I2167" s="6">
        <f ca="1">-Main[[#This Row],[بدهی تسویه شده (کیلوگرم)]]+Main[[#This Row],[بستانکار (کیلوگرم)]]</f>
        <v>-292</v>
      </c>
      <c r="J2167" s="6">
        <f>IF(Main[[#This Row],[مقدار (کیلوگرم)]]&gt;0,Main[[#This Row],[مقدار (کیلوگرم)]],0)</f>
        <v>0</v>
      </c>
      <c r="K2167" s="6">
        <f>-IF(Main[[#This Row],[مقدار (کیلوگرم)]]&lt;0,Main[[#This Row],[مقدار (کیلوگرم)]],0)</f>
        <v>292</v>
      </c>
      <c r="L21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7" s="7">
        <f>-IF(AND(Main[[#This Row],[مقدار (کیلوگرم)]]&lt;0,Main[[#This Row],[تاريخ میلادی]]&gt;44276),Main[[#This Row],[مقدار (کیلوگرم)]],0)</f>
        <v>292</v>
      </c>
      <c r="N2167" s="6">
        <f ca="1">Main[[#This Row],[بدهکار (کیلوگرم)]]-Main[[#This Row],[بدهی تسویه نشده (کیلوگرم)]]</f>
        <v>292</v>
      </c>
      <c r="O2167" s="6">
        <f ca="1">Main[[#This Row],[تفکیک]]</f>
        <v>0</v>
      </c>
      <c r="P2167" s="6">
        <f ca="1">IF(Main[[#This Row],[تاخیر از سررسید]]&gt;0,Main[[#This Row],[بدهی تسویه نشده (کیلوگرم)]],0)</f>
        <v>0</v>
      </c>
      <c r="Q2167" s="6">
        <f ca="1">IF(Main[[#This Row],[بدهی تسویه نشده (کیلوگرم)]]&gt;0,'گزارش فردی'!$B$7-Main[[#This Row],[تاريخ میلادی]],0)</f>
        <v>0</v>
      </c>
      <c r="R2167" s="6">
        <f ca="1">IF(Main[[#This Row],[بدهی تسویه نشده (کیلوگرم)]]&gt;0,'گزارش فردی'!$B$7-Main[[#This Row],[تاريخ میلادی]]-'گزارش فردی'!$B$8,0)</f>
        <v>0</v>
      </c>
      <c r="S2167" s="6">
        <f ca="1">Main[[#This Row],[روز از ارسال سفارش]]*Main[[#This Row],[بدهی تسویه نشده (کیلوگرم)]]</f>
        <v>0</v>
      </c>
      <c r="T2167" s="6">
        <f ca="1">Main[[#This Row],[بدهی سررسید شده (کیلوگرم)]]*Main[[#This Row],[روز از ارسال سفارش]]</f>
        <v>0</v>
      </c>
      <c r="U2167" s="6">
        <f>-SUBTOTAL(9,INDEX(Main[مقدار (کیلوگرم)],1):Main[[#This Row],[مقدار (کیلوگرم)]])</f>
        <v>35076</v>
      </c>
      <c r="V21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7" s="6">
        <f>Main[[#This Row],[تعداد کل روزهای بدهکار (روز)]]*Main[[#This Row],[مانده در خط کل (کیلوگرم)]]</f>
        <v>0</v>
      </c>
      <c r="X2167" s="6">
        <f ca="1">-SUBTOTAL(9,INDEX(Main[مقدار تسویه شده (کیلوگرم)],1):Main[[#This Row],[مقدار تسویه شده (کیلوگرم)]])</f>
        <v>35076</v>
      </c>
      <c r="Y2167" s="6">
        <f ca="1">IF(Main[[#This Row],[مانده در خط تسویه شده (کیلوگرم)]]&lt;&gt;0,Main[[#This Row],[تعداد کل روزهای بدهکار (روز)]],0)</f>
        <v>0</v>
      </c>
      <c r="Z2167" s="6">
        <f ca="1">Main[[#This Row],[تعداد روزهای بدهکار تسویه شده (روز)]]*Main[[#This Row],[مانده در خط تسویه شده (کیلوگرم)]]</f>
        <v>0</v>
      </c>
      <c r="AA2167" s="6">
        <f ca="1">SUBTOTAL(9,INDEX(Main[بدهی تسویه نشده (کیلوگرم)],1):Main[[#This Row],[بدهی تسویه نشده (کیلوگرم)]])</f>
        <v>0</v>
      </c>
      <c r="AB2167" s="6">
        <f ca="1">IF(Main[[#This Row],[مانده در خط تسویه نشده (کیلوگرم)]]&lt;&gt;0,Main[[#This Row],[تعداد کل روزهای بدهکار (روز)]],0)</f>
        <v>0</v>
      </c>
      <c r="AC2167" s="6">
        <f ca="1">Main[[#This Row],[تعداد روزهای بدهکار  تسویه نشده (روز)]]*Main[[#This Row],[مانده در خط تسویه نشده (کیلوگرم)]]</f>
        <v>0</v>
      </c>
      <c r="AD2167" s="6">
        <f ca="1">SUBTOTAL(9,INDEX(Main[بدهی سررسید شده (کیلوگرم)],1):Main[[#This Row],[بدهی سررسید شده (کیلوگرم)]])</f>
        <v>0</v>
      </c>
      <c r="AE2167" s="6">
        <f ca="1">IF(Main[[#This Row],[مانده در خط سررسید شده (کیلوگرم)]]&lt;&gt;0,Main[[#This Row],[تعداد کل روزهای بدهکار (روز)]],0)</f>
        <v>0</v>
      </c>
      <c r="AF2167" s="6">
        <f ca="1">Main[[#This Row],[تعداد روزهای بدهکار سررسید شده (روز)]]*Main[[#This Row],[مانده در خط سررسید شده (کیلوگرم)]]</f>
        <v>0</v>
      </c>
    </row>
    <row r="2168" spans="1:32" hidden="1" x14ac:dyDescent="0.35">
      <c r="A2168" s="5">
        <f>ROW()-ROW(INDEX(Main[ردیف],1))+1</f>
        <v>2166</v>
      </c>
      <c r="B2168" s="31">
        <f>SUBTOTAL(2,INDEX(Main[ردیف],1):Main[[#This Row],[ردیف]])</f>
        <v>196</v>
      </c>
      <c r="C2168" s="32" t="s">
        <v>763</v>
      </c>
      <c r="D2168" s="32" t="str">
        <f>_xlfn.CONCAT("14",Main[[#This Row],[تاريخ]])</f>
        <v>1400/08/25</v>
      </c>
      <c r="E2168" s="33">
        <v>44516</v>
      </c>
      <c r="F2168" s="32">
        <v>30186</v>
      </c>
      <c r="G2168" s="5" t="str">
        <f>INDEX(customer[عنوان],MATCH(Main[[#This Row],[کد ردیابی]],customer[کد],0))</f>
        <v>سارا گاز</v>
      </c>
      <c r="H2168">
        <v>812</v>
      </c>
      <c r="I2168" s="6">
        <f ca="1">-Main[[#This Row],[بدهی تسویه شده (کیلوگرم)]]+Main[[#This Row],[بستانکار (کیلوگرم)]]</f>
        <v>812</v>
      </c>
      <c r="J2168" s="6">
        <f>IF(Main[[#This Row],[مقدار (کیلوگرم)]]&gt;0,Main[[#This Row],[مقدار (کیلوگرم)]],0)</f>
        <v>812</v>
      </c>
      <c r="K2168" s="6">
        <f>-IF(Main[[#This Row],[مقدار (کیلوگرم)]]&lt;0,Main[[#This Row],[مقدار (کیلوگرم)]],0)</f>
        <v>0</v>
      </c>
      <c r="L21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8" s="7">
        <f>-IF(AND(Main[[#This Row],[مقدار (کیلوگرم)]]&lt;0,Main[[#This Row],[تاريخ میلادی]]&gt;44276),Main[[#This Row],[مقدار (کیلوگرم)]],0)</f>
        <v>0</v>
      </c>
      <c r="N2168" s="6">
        <f ca="1">Main[[#This Row],[بدهکار (کیلوگرم)]]-Main[[#This Row],[بدهی تسویه نشده (کیلوگرم)]]</f>
        <v>0</v>
      </c>
      <c r="O2168" s="6">
        <f ca="1">Main[[#This Row],[تفکیک]]</f>
        <v>0</v>
      </c>
      <c r="P2168" s="6">
        <f ca="1">IF(Main[[#This Row],[تاخیر از سررسید]]&gt;0,Main[[#This Row],[بدهی تسویه نشده (کیلوگرم)]],0)</f>
        <v>0</v>
      </c>
      <c r="Q2168" s="6">
        <f ca="1">IF(Main[[#This Row],[بدهی تسویه نشده (کیلوگرم)]]&gt;0,'گزارش فردی'!$B$7-Main[[#This Row],[تاريخ میلادی]],0)</f>
        <v>0</v>
      </c>
      <c r="R2168" s="6">
        <f ca="1">IF(Main[[#This Row],[بدهی تسویه نشده (کیلوگرم)]]&gt;0,'گزارش فردی'!$B$7-Main[[#This Row],[تاريخ میلادی]]-'گزارش فردی'!$B$8,0)</f>
        <v>0</v>
      </c>
      <c r="S2168" s="6">
        <f ca="1">Main[[#This Row],[روز از ارسال سفارش]]*Main[[#This Row],[بدهی تسویه نشده (کیلوگرم)]]</f>
        <v>0</v>
      </c>
      <c r="T2168" s="6">
        <f ca="1">Main[[#This Row],[بدهی سررسید شده (کیلوگرم)]]*Main[[#This Row],[روز از ارسال سفارش]]</f>
        <v>0</v>
      </c>
      <c r="U2168" s="6">
        <f>-SUBTOTAL(9,INDEX(Main[مقدار (کیلوگرم)],1):Main[[#This Row],[مقدار (کیلوگرم)]])</f>
        <v>35076</v>
      </c>
      <c r="V21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8" s="6">
        <f>Main[[#This Row],[تعداد کل روزهای بدهکار (روز)]]*Main[[#This Row],[مانده در خط کل (کیلوگرم)]]</f>
        <v>0</v>
      </c>
      <c r="X2168" s="6">
        <f ca="1">-SUBTOTAL(9,INDEX(Main[مقدار تسویه شده (کیلوگرم)],1):Main[[#This Row],[مقدار تسویه شده (کیلوگرم)]])</f>
        <v>35076</v>
      </c>
      <c r="Y2168" s="6">
        <f ca="1">IF(Main[[#This Row],[مانده در خط تسویه شده (کیلوگرم)]]&lt;&gt;0,Main[[#This Row],[تعداد کل روزهای بدهکار (روز)]],0)</f>
        <v>0</v>
      </c>
      <c r="Z2168" s="6">
        <f ca="1">Main[[#This Row],[تعداد روزهای بدهکار تسویه شده (روز)]]*Main[[#This Row],[مانده در خط تسویه شده (کیلوگرم)]]</f>
        <v>0</v>
      </c>
      <c r="AA2168" s="6">
        <f ca="1">SUBTOTAL(9,INDEX(Main[بدهی تسویه نشده (کیلوگرم)],1):Main[[#This Row],[بدهی تسویه نشده (کیلوگرم)]])</f>
        <v>0</v>
      </c>
      <c r="AB2168" s="6">
        <f ca="1">IF(Main[[#This Row],[مانده در خط تسویه نشده (کیلوگرم)]]&lt;&gt;0,Main[[#This Row],[تعداد کل روزهای بدهکار (روز)]],0)</f>
        <v>0</v>
      </c>
      <c r="AC2168" s="6">
        <f ca="1">Main[[#This Row],[تعداد روزهای بدهکار  تسویه نشده (روز)]]*Main[[#This Row],[مانده در خط تسویه نشده (کیلوگرم)]]</f>
        <v>0</v>
      </c>
      <c r="AD2168" s="6">
        <f ca="1">SUBTOTAL(9,INDEX(Main[بدهی سررسید شده (کیلوگرم)],1):Main[[#This Row],[بدهی سررسید شده (کیلوگرم)]])</f>
        <v>0</v>
      </c>
      <c r="AE2168" s="6">
        <f ca="1">IF(Main[[#This Row],[مانده در خط سررسید شده (کیلوگرم)]]&lt;&gt;0,Main[[#This Row],[تعداد کل روزهای بدهکار (روز)]],0)</f>
        <v>0</v>
      </c>
      <c r="AF2168" s="6">
        <f ca="1">Main[[#This Row],[تعداد روزهای بدهکار سررسید شده (روز)]]*Main[[#This Row],[مانده در خط سررسید شده (کیلوگرم)]]</f>
        <v>0</v>
      </c>
    </row>
    <row r="2169" spans="1:32" hidden="1" x14ac:dyDescent="0.35">
      <c r="A2169" s="5">
        <f>ROW()-ROW(INDEX(Main[ردیف],1))+1</f>
        <v>2167</v>
      </c>
      <c r="B2169" s="31">
        <f>SUBTOTAL(2,INDEX(Main[ردیف],1):Main[[#This Row],[ردیف]])</f>
        <v>196</v>
      </c>
      <c r="C2169" s="32" t="s">
        <v>763</v>
      </c>
      <c r="D2169" s="32" t="str">
        <f>_xlfn.CONCAT("14",Main[[#This Row],[تاريخ]])</f>
        <v>1400/08/25</v>
      </c>
      <c r="E2169" s="33">
        <v>44516</v>
      </c>
      <c r="F2169" s="32">
        <v>10026</v>
      </c>
      <c r="G2169" s="5" t="str">
        <f>INDEX(customer[عنوان],MATCH(Main[[#This Row],[کد ردیابی]],customer[کد],0))</f>
        <v xml:space="preserve">محسن فیاض بخش </v>
      </c>
      <c r="H2169">
        <v>-2030</v>
      </c>
      <c r="I2169" s="6">
        <f ca="1">-Main[[#This Row],[بدهی تسویه شده (کیلوگرم)]]+Main[[#This Row],[بستانکار (کیلوگرم)]]</f>
        <v>-2030</v>
      </c>
      <c r="J2169" s="6">
        <f>IF(Main[[#This Row],[مقدار (کیلوگرم)]]&gt;0,Main[[#This Row],[مقدار (کیلوگرم)]],0)</f>
        <v>0</v>
      </c>
      <c r="K2169" s="6">
        <f>-IF(Main[[#This Row],[مقدار (کیلوگرم)]]&lt;0,Main[[#This Row],[مقدار (کیلوگرم)]],0)</f>
        <v>2030</v>
      </c>
      <c r="L21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9" s="7">
        <f>-IF(AND(Main[[#This Row],[مقدار (کیلوگرم)]]&lt;0,Main[[#This Row],[تاريخ میلادی]]&gt;44276),Main[[#This Row],[مقدار (کیلوگرم)]],0)</f>
        <v>2030</v>
      </c>
      <c r="N2169" s="6">
        <f ca="1">Main[[#This Row],[بدهکار (کیلوگرم)]]-Main[[#This Row],[بدهی تسویه نشده (کیلوگرم)]]</f>
        <v>2030</v>
      </c>
      <c r="O2169" s="6">
        <f ca="1">Main[[#This Row],[تفکیک]]</f>
        <v>0</v>
      </c>
      <c r="P2169" s="6">
        <f ca="1">IF(Main[[#This Row],[تاخیر از سررسید]]&gt;0,Main[[#This Row],[بدهی تسویه نشده (کیلوگرم)]],0)</f>
        <v>0</v>
      </c>
      <c r="Q2169" s="6">
        <f ca="1">IF(Main[[#This Row],[بدهی تسویه نشده (کیلوگرم)]]&gt;0,'گزارش فردی'!$B$7-Main[[#This Row],[تاريخ میلادی]],0)</f>
        <v>0</v>
      </c>
      <c r="R2169" s="6">
        <f ca="1">IF(Main[[#This Row],[بدهی تسویه نشده (کیلوگرم)]]&gt;0,'گزارش فردی'!$B$7-Main[[#This Row],[تاريخ میلادی]]-'گزارش فردی'!$B$8,0)</f>
        <v>0</v>
      </c>
      <c r="S2169" s="6">
        <f ca="1">Main[[#This Row],[روز از ارسال سفارش]]*Main[[#This Row],[بدهی تسویه نشده (کیلوگرم)]]</f>
        <v>0</v>
      </c>
      <c r="T2169" s="6">
        <f ca="1">Main[[#This Row],[بدهی سررسید شده (کیلوگرم)]]*Main[[#This Row],[روز از ارسال سفارش]]</f>
        <v>0</v>
      </c>
      <c r="U2169" s="6">
        <f>-SUBTOTAL(9,INDEX(Main[مقدار (کیلوگرم)],1):Main[[#This Row],[مقدار (کیلوگرم)]])</f>
        <v>35076</v>
      </c>
      <c r="V21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9" s="6">
        <f>Main[[#This Row],[تعداد کل روزهای بدهکار (روز)]]*Main[[#This Row],[مانده در خط کل (کیلوگرم)]]</f>
        <v>0</v>
      </c>
      <c r="X2169" s="6">
        <f ca="1">-SUBTOTAL(9,INDEX(Main[مقدار تسویه شده (کیلوگرم)],1):Main[[#This Row],[مقدار تسویه شده (کیلوگرم)]])</f>
        <v>35076</v>
      </c>
      <c r="Y2169" s="6">
        <f ca="1">IF(Main[[#This Row],[مانده در خط تسویه شده (کیلوگرم)]]&lt;&gt;0,Main[[#This Row],[تعداد کل روزهای بدهکار (روز)]],0)</f>
        <v>0</v>
      </c>
      <c r="Z2169" s="6">
        <f ca="1">Main[[#This Row],[تعداد روزهای بدهکار تسویه شده (روز)]]*Main[[#This Row],[مانده در خط تسویه شده (کیلوگرم)]]</f>
        <v>0</v>
      </c>
      <c r="AA2169" s="6">
        <f ca="1">SUBTOTAL(9,INDEX(Main[بدهی تسویه نشده (کیلوگرم)],1):Main[[#This Row],[بدهی تسویه نشده (کیلوگرم)]])</f>
        <v>0</v>
      </c>
      <c r="AB2169" s="6">
        <f ca="1">IF(Main[[#This Row],[مانده در خط تسویه نشده (کیلوگرم)]]&lt;&gt;0,Main[[#This Row],[تعداد کل روزهای بدهکار (روز)]],0)</f>
        <v>0</v>
      </c>
      <c r="AC2169" s="6">
        <f ca="1">Main[[#This Row],[تعداد روزهای بدهکار  تسویه نشده (روز)]]*Main[[#This Row],[مانده در خط تسویه نشده (کیلوگرم)]]</f>
        <v>0</v>
      </c>
      <c r="AD2169" s="6">
        <f ca="1">SUBTOTAL(9,INDEX(Main[بدهی سررسید شده (کیلوگرم)],1):Main[[#This Row],[بدهی سررسید شده (کیلوگرم)]])</f>
        <v>0</v>
      </c>
      <c r="AE2169" s="6">
        <f ca="1">IF(Main[[#This Row],[مانده در خط سررسید شده (کیلوگرم)]]&lt;&gt;0,Main[[#This Row],[تعداد کل روزهای بدهکار (روز)]],0)</f>
        <v>0</v>
      </c>
      <c r="AF2169" s="6">
        <f ca="1">Main[[#This Row],[تعداد روزهای بدهکار سررسید شده (روز)]]*Main[[#This Row],[مانده در خط سررسید شده (کیلوگرم)]]</f>
        <v>0</v>
      </c>
    </row>
    <row r="2170" spans="1:32" hidden="1" x14ac:dyDescent="0.35">
      <c r="A2170" s="5">
        <f>ROW()-ROW(INDEX(Main[ردیف],1))+1</f>
        <v>2168</v>
      </c>
      <c r="B2170" s="31">
        <f>SUBTOTAL(2,INDEX(Main[ردیف],1):Main[[#This Row],[ردیف]])</f>
        <v>196</v>
      </c>
      <c r="C2170" s="32" t="s">
        <v>763</v>
      </c>
      <c r="D2170" s="32" t="str">
        <f>_xlfn.CONCAT("14",Main[[#This Row],[تاريخ]])</f>
        <v>1400/08/25</v>
      </c>
      <c r="E2170" s="33">
        <v>44516</v>
      </c>
      <c r="F2170" s="32">
        <v>10119</v>
      </c>
      <c r="G2170" s="5" t="str">
        <f>INDEX(customer[عنوان],MATCH(Main[[#This Row],[کد ردیابی]],customer[کد],0))</f>
        <v>سیف الله اکبری</v>
      </c>
      <c r="H2170">
        <v>52</v>
      </c>
      <c r="I2170" s="6">
        <f ca="1">-Main[[#This Row],[بدهی تسویه شده (کیلوگرم)]]+Main[[#This Row],[بستانکار (کیلوگرم)]]</f>
        <v>52</v>
      </c>
      <c r="J2170" s="6">
        <f>IF(Main[[#This Row],[مقدار (کیلوگرم)]]&gt;0,Main[[#This Row],[مقدار (کیلوگرم)]],0)</f>
        <v>52</v>
      </c>
      <c r="K2170" s="6">
        <f>-IF(Main[[#This Row],[مقدار (کیلوگرم)]]&lt;0,Main[[#This Row],[مقدار (کیلوگرم)]],0)</f>
        <v>0</v>
      </c>
      <c r="L21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0" s="7">
        <f>-IF(AND(Main[[#This Row],[مقدار (کیلوگرم)]]&lt;0,Main[[#This Row],[تاريخ میلادی]]&gt;44276),Main[[#This Row],[مقدار (کیلوگرم)]],0)</f>
        <v>0</v>
      </c>
      <c r="N2170" s="6">
        <f ca="1">Main[[#This Row],[بدهکار (کیلوگرم)]]-Main[[#This Row],[بدهی تسویه نشده (کیلوگرم)]]</f>
        <v>0</v>
      </c>
      <c r="O2170" s="6">
        <f ca="1">Main[[#This Row],[تفکیک]]</f>
        <v>0</v>
      </c>
      <c r="P2170" s="6">
        <f ca="1">IF(Main[[#This Row],[تاخیر از سررسید]]&gt;0,Main[[#This Row],[بدهی تسویه نشده (کیلوگرم)]],0)</f>
        <v>0</v>
      </c>
      <c r="Q2170" s="6">
        <f ca="1">IF(Main[[#This Row],[بدهی تسویه نشده (کیلوگرم)]]&gt;0,'گزارش فردی'!$B$7-Main[[#This Row],[تاريخ میلادی]],0)</f>
        <v>0</v>
      </c>
      <c r="R2170" s="6">
        <f ca="1">IF(Main[[#This Row],[بدهی تسویه نشده (کیلوگرم)]]&gt;0,'گزارش فردی'!$B$7-Main[[#This Row],[تاريخ میلادی]]-'گزارش فردی'!$B$8,0)</f>
        <v>0</v>
      </c>
      <c r="S2170" s="6">
        <f ca="1">Main[[#This Row],[روز از ارسال سفارش]]*Main[[#This Row],[بدهی تسویه نشده (کیلوگرم)]]</f>
        <v>0</v>
      </c>
      <c r="T2170" s="6">
        <f ca="1">Main[[#This Row],[بدهی سررسید شده (کیلوگرم)]]*Main[[#This Row],[روز از ارسال سفارش]]</f>
        <v>0</v>
      </c>
      <c r="U2170" s="6">
        <f>-SUBTOTAL(9,INDEX(Main[مقدار (کیلوگرم)],1):Main[[#This Row],[مقدار (کیلوگرم)]])</f>
        <v>35076</v>
      </c>
      <c r="V21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0" s="6">
        <f>Main[[#This Row],[تعداد کل روزهای بدهکار (روز)]]*Main[[#This Row],[مانده در خط کل (کیلوگرم)]]</f>
        <v>0</v>
      </c>
      <c r="X2170" s="6">
        <f ca="1">-SUBTOTAL(9,INDEX(Main[مقدار تسویه شده (کیلوگرم)],1):Main[[#This Row],[مقدار تسویه شده (کیلوگرم)]])</f>
        <v>35076</v>
      </c>
      <c r="Y2170" s="6">
        <f ca="1">IF(Main[[#This Row],[مانده در خط تسویه شده (کیلوگرم)]]&lt;&gt;0,Main[[#This Row],[تعداد کل روزهای بدهکار (روز)]],0)</f>
        <v>0</v>
      </c>
      <c r="Z2170" s="6">
        <f ca="1">Main[[#This Row],[تعداد روزهای بدهکار تسویه شده (روز)]]*Main[[#This Row],[مانده در خط تسویه شده (کیلوگرم)]]</f>
        <v>0</v>
      </c>
      <c r="AA2170" s="6">
        <f ca="1">SUBTOTAL(9,INDEX(Main[بدهی تسویه نشده (کیلوگرم)],1):Main[[#This Row],[بدهی تسویه نشده (کیلوگرم)]])</f>
        <v>0</v>
      </c>
      <c r="AB2170" s="6">
        <f ca="1">IF(Main[[#This Row],[مانده در خط تسویه نشده (کیلوگرم)]]&lt;&gt;0,Main[[#This Row],[تعداد کل روزهای بدهکار (روز)]],0)</f>
        <v>0</v>
      </c>
      <c r="AC2170" s="6">
        <f ca="1">Main[[#This Row],[تعداد روزهای بدهکار  تسویه نشده (روز)]]*Main[[#This Row],[مانده در خط تسویه نشده (کیلوگرم)]]</f>
        <v>0</v>
      </c>
      <c r="AD2170" s="6">
        <f ca="1">SUBTOTAL(9,INDEX(Main[بدهی سررسید شده (کیلوگرم)],1):Main[[#This Row],[بدهی سررسید شده (کیلوگرم)]])</f>
        <v>0</v>
      </c>
      <c r="AE2170" s="6">
        <f ca="1">IF(Main[[#This Row],[مانده در خط سررسید شده (کیلوگرم)]]&lt;&gt;0,Main[[#This Row],[تعداد کل روزهای بدهکار (روز)]],0)</f>
        <v>0</v>
      </c>
      <c r="AF2170" s="6">
        <f ca="1">Main[[#This Row],[تعداد روزهای بدهکار سررسید شده (روز)]]*Main[[#This Row],[مانده در خط سررسید شده (کیلوگرم)]]</f>
        <v>0</v>
      </c>
    </row>
    <row r="2171" spans="1:32" x14ac:dyDescent="0.35">
      <c r="A2171" s="5">
        <f>ROW()-ROW(INDEX(Main[ردیف],1))+1</f>
        <v>2169</v>
      </c>
      <c r="B2171" s="31">
        <f>SUBTOTAL(2,INDEX(Main[ردیف],1):Main[[#This Row],[ردیف]])</f>
        <v>197</v>
      </c>
      <c r="C2171" s="32" t="s">
        <v>763</v>
      </c>
      <c r="D2171" s="32" t="str">
        <f>_xlfn.CONCAT("14",Main[[#This Row],[تاريخ]])</f>
        <v>1400/08/25</v>
      </c>
      <c r="E2171" s="33">
        <v>44516</v>
      </c>
      <c r="F2171" s="32">
        <v>10003</v>
      </c>
      <c r="G2171" s="5" t="str">
        <f>INDEX(customer[عنوان],MATCH(Main[[#This Row],[کد ردیابی]],customer[کد],0))</f>
        <v>اصغر نورعلی</v>
      </c>
      <c r="H2171">
        <v>-1806</v>
      </c>
      <c r="I2171" s="6">
        <f ca="1">-Main[[#This Row],[بدهی تسویه شده (کیلوگرم)]]+Main[[#This Row],[بستانکار (کیلوگرم)]]</f>
        <v>-1806</v>
      </c>
      <c r="J2171" s="6">
        <f>IF(Main[[#This Row],[مقدار (کیلوگرم)]]&gt;0,Main[[#This Row],[مقدار (کیلوگرم)]],0)</f>
        <v>0</v>
      </c>
      <c r="K2171" s="6">
        <f>-IF(Main[[#This Row],[مقدار (کیلوگرم)]]&lt;0,Main[[#This Row],[مقدار (کیلوگرم)]],0)</f>
        <v>1806</v>
      </c>
      <c r="L21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1" s="7">
        <f>-IF(AND(Main[[#This Row],[مقدار (کیلوگرم)]]&lt;0,Main[[#This Row],[تاريخ میلادی]]&gt;44276),Main[[#This Row],[مقدار (کیلوگرم)]],0)</f>
        <v>1806</v>
      </c>
      <c r="N2171" s="6">
        <f ca="1">Main[[#This Row],[بدهکار (کیلوگرم)]]-Main[[#This Row],[بدهی تسویه نشده (کیلوگرم)]]</f>
        <v>1806</v>
      </c>
      <c r="O2171" s="6">
        <f ca="1">Main[[#This Row],[تفکیک]]</f>
        <v>0</v>
      </c>
      <c r="P2171" s="6">
        <f ca="1">IF(Main[[#This Row],[تاخیر از سررسید]]&gt;0,Main[[#This Row],[بدهی تسویه نشده (کیلوگرم)]],0)</f>
        <v>0</v>
      </c>
      <c r="Q2171" s="6">
        <f ca="1">IF(Main[[#This Row],[بدهی تسویه نشده (کیلوگرم)]]&gt;0,'گزارش فردی'!$B$7-Main[[#This Row],[تاريخ میلادی]],0)</f>
        <v>0</v>
      </c>
      <c r="R2171" s="6">
        <f ca="1">IF(Main[[#This Row],[بدهی تسویه نشده (کیلوگرم)]]&gt;0,'گزارش فردی'!$B$7-Main[[#This Row],[تاريخ میلادی]]-'گزارش فردی'!$B$8,0)</f>
        <v>0</v>
      </c>
      <c r="S2171" s="6">
        <f ca="1">Main[[#This Row],[روز از ارسال سفارش]]*Main[[#This Row],[بدهی تسویه نشده (کیلوگرم)]]</f>
        <v>0</v>
      </c>
      <c r="T2171" s="6">
        <f ca="1">Main[[#This Row],[بدهی سررسید شده (کیلوگرم)]]*Main[[#This Row],[روز از ارسال سفارش]]</f>
        <v>0</v>
      </c>
      <c r="U2171" s="6">
        <f>-SUBTOTAL(9,INDEX(Main[مقدار (کیلوگرم)],1):Main[[#This Row],[مقدار (کیلوگرم)]])</f>
        <v>36882</v>
      </c>
      <c r="V21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1" s="6">
        <f>Main[[#This Row],[تعداد کل روزهای بدهکار (روز)]]*Main[[#This Row],[مانده در خط کل (کیلوگرم)]]</f>
        <v>0</v>
      </c>
      <c r="X2171" s="6">
        <f ca="1">-SUBTOTAL(9,INDEX(Main[مقدار تسویه شده (کیلوگرم)],1):Main[[#This Row],[مقدار تسویه شده (کیلوگرم)]])</f>
        <v>36882</v>
      </c>
      <c r="Y2171" s="6">
        <f ca="1">IF(Main[[#This Row],[مانده در خط تسویه شده (کیلوگرم)]]&lt;&gt;0,Main[[#This Row],[تعداد کل روزهای بدهکار (روز)]],0)</f>
        <v>0</v>
      </c>
      <c r="Z2171" s="6">
        <f ca="1">Main[[#This Row],[تعداد روزهای بدهکار تسویه شده (روز)]]*Main[[#This Row],[مانده در خط تسویه شده (کیلوگرم)]]</f>
        <v>0</v>
      </c>
      <c r="AA2171" s="6">
        <f ca="1">SUBTOTAL(9,INDEX(Main[بدهی تسویه نشده (کیلوگرم)],1):Main[[#This Row],[بدهی تسویه نشده (کیلوگرم)]])</f>
        <v>0</v>
      </c>
      <c r="AB2171" s="6">
        <f ca="1">IF(Main[[#This Row],[مانده در خط تسویه نشده (کیلوگرم)]]&lt;&gt;0,Main[[#This Row],[تعداد کل روزهای بدهکار (روز)]],0)</f>
        <v>0</v>
      </c>
      <c r="AC2171" s="6">
        <f ca="1">Main[[#This Row],[تعداد روزهای بدهکار  تسویه نشده (روز)]]*Main[[#This Row],[مانده در خط تسویه نشده (کیلوگرم)]]</f>
        <v>0</v>
      </c>
      <c r="AD2171" s="6">
        <f ca="1">SUBTOTAL(9,INDEX(Main[بدهی سررسید شده (کیلوگرم)],1):Main[[#This Row],[بدهی سررسید شده (کیلوگرم)]])</f>
        <v>0</v>
      </c>
      <c r="AE2171" s="6">
        <f ca="1">IF(Main[[#This Row],[مانده در خط سررسید شده (کیلوگرم)]]&lt;&gt;0,Main[[#This Row],[تعداد کل روزهای بدهکار (روز)]],0)</f>
        <v>0</v>
      </c>
      <c r="AF2171" s="6">
        <f ca="1">Main[[#This Row],[تعداد روزهای بدهکار سررسید شده (روز)]]*Main[[#This Row],[مانده در خط سررسید شده (کیلوگرم)]]</f>
        <v>0</v>
      </c>
    </row>
    <row r="2172" spans="1:32" hidden="1" x14ac:dyDescent="0.35">
      <c r="A2172" s="5">
        <f>ROW()-ROW(INDEX(Main[ردیف],1))+1</f>
        <v>2170</v>
      </c>
      <c r="B2172" s="31">
        <f>SUBTOTAL(2,INDEX(Main[ردیف],1):Main[[#This Row],[ردیف]])</f>
        <v>197</v>
      </c>
      <c r="C2172" s="32" t="s">
        <v>763</v>
      </c>
      <c r="D2172" s="32" t="str">
        <f>_xlfn.CONCAT("14",Main[[#This Row],[تاريخ]])</f>
        <v>1400/08/25</v>
      </c>
      <c r="E2172" s="33">
        <v>44516</v>
      </c>
      <c r="F2172" s="32">
        <v>10119</v>
      </c>
      <c r="G2172" s="5" t="str">
        <f>INDEX(customer[عنوان],MATCH(Main[[#This Row],[کد ردیابی]],customer[کد],0))</f>
        <v>سیف الله اکبری</v>
      </c>
      <c r="H2172">
        <v>54</v>
      </c>
      <c r="I2172" s="6">
        <f ca="1">-Main[[#This Row],[بدهی تسویه شده (کیلوگرم)]]+Main[[#This Row],[بستانکار (کیلوگرم)]]</f>
        <v>54</v>
      </c>
      <c r="J2172" s="6">
        <f>IF(Main[[#This Row],[مقدار (کیلوگرم)]]&gt;0,Main[[#This Row],[مقدار (کیلوگرم)]],0)</f>
        <v>54</v>
      </c>
      <c r="K2172" s="6">
        <f>-IF(Main[[#This Row],[مقدار (کیلوگرم)]]&lt;0,Main[[#This Row],[مقدار (کیلوگرم)]],0)</f>
        <v>0</v>
      </c>
      <c r="L21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2" s="7">
        <f>-IF(AND(Main[[#This Row],[مقدار (کیلوگرم)]]&lt;0,Main[[#This Row],[تاريخ میلادی]]&gt;44276),Main[[#This Row],[مقدار (کیلوگرم)]],0)</f>
        <v>0</v>
      </c>
      <c r="N2172" s="6">
        <f ca="1">Main[[#This Row],[بدهکار (کیلوگرم)]]-Main[[#This Row],[بدهی تسویه نشده (کیلوگرم)]]</f>
        <v>0</v>
      </c>
      <c r="O2172" s="6">
        <f ca="1">Main[[#This Row],[تفکیک]]</f>
        <v>0</v>
      </c>
      <c r="P2172" s="6">
        <f ca="1">IF(Main[[#This Row],[تاخیر از سررسید]]&gt;0,Main[[#This Row],[بدهی تسویه نشده (کیلوگرم)]],0)</f>
        <v>0</v>
      </c>
      <c r="Q2172" s="6">
        <f ca="1">IF(Main[[#This Row],[بدهی تسویه نشده (کیلوگرم)]]&gt;0,'گزارش فردی'!$B$7-Main[[#This Row],[تاريخ میلادی]],0)</f>
        <v>0</v>
      </c>
      <c r="R2172" s="6">
        <f ca="1">IF(Main[[#This Row],[بدهی تسویه نشده (کیلوگرم)]]&gt;0,'گزارش فردی'!$B$7-Main[[#This Row],[تاريخ میلادی]]-'گزارش فردی'!$B$8,0)</f>
        <v>0</v>
      </c>
      <c r="S2172" s="6">
        <f ca="1">Main[[#This Row],[روز از ارسال سفارش]]*Main[[#This Row],[بدهی تسویه نشده (کیلوگرم)]]</f>
        <v>0</v>
      </c>
      <c r="T2172" s="6">
        <f ca="1">Main[[#This Row],[بدهی سررسید شده (کیلوگرم)]]*Main[[#This Row],[روز از ارسال سفارش]]</f>
        <v>0</v>
      </c>
      <c r="U2172" s="6">
        <f>-SUBTOTAL(9,INDEX(Main[مقدار (کیلوگرم)],1):Main[[#This Row],[مقدار (کیلوگرم)]])</f>
        <v>36882</v>
      </c>
      <c r="V21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2" s="6">
        <f>Main[[#This Row],[تعداد کل روزهای بدهکار (روز)]]*Main[[#This Row],[مانده در خط کل (کیلوگرم)]]</f>
        <v>0</v>
      </c>
      <c r="X2172" s="6">
        <f ca="1">-SUBTOTAL(9,INDEX(Main[مقدار تسویه شده (کیلوگرم)],1):Main[[#This Row],[مقدار تسویه شده (کیلوگرم)]])</f>
        <v>36882</v>
      </c>
      <c r="Y2172" s="6">
        <f ca="1">IF(Main[[#This Row],[مانده در خط تسویه شده (کیلوگرم)]]&lt;&gt;0,Main[[#This Row],[تعداد کل روزهای بدهکار (روز)]],0)</f>
        <v>0</v>
      </c>
      <c r="Z2172" s="6">
        <f ca="1">Main[[#This Row],[تعداد روزهای بدهکار تسویه شده (روز)]]*Main[[#This Row],[مانده در خط تسویه شده (کیلوگرم)]]</f>
        <v>0</v>
      </c>
      <c r="AA2172" s="6">
        <f ca="1">SUBTOTAL(9,INDEX(Main[بدهی تسویه نشده (کیلوگرم)],1):Main[[#This Row],[بدهی تسویه نشده (کیلوگرم)]])</f>
        <v>0</v>
      </c>
      <c r="AB2172" s="6">
        <f ca="1">IF(Main[[#This Row],[مانده در خط تسویه نشده (کیلوگرم)]]&lt;&gt;0,Main[[#This Row],[تعداد کل روزهای بدهکار (روز)]],0)</f>
        <v>0</v>
      </c>
      <c r="AC2172" s="6">
        <f ca="1">Main[[#This Row],[تعداد روزهای بدهکار  تسویه نشده (روز)]]*Main[[#This Row],[مانده در خط تسویه نشده (کیلوگرم)]]</f>
        <v>0</v>
      </c>
      <c r="AD2172" s="6">
        <f ca="1">SUBTOTAL(9,INDEX(Main[بدهی سررسید شده (کیلوگرم)],1):Main[[#This Row],[بدهی سررسید شده (کیلوگرم)]])</f>
        <v>0</v>
      </c>
      <c r="AE2172" s="6">
        <f ca="1">IF(Main[[#This Row],[مانده در خط سررسید شده (کیلوگرم)]]&lt;&gt;0,Main[[#This Row],[تعداد کل روزهای بدهکار (روز)]],0)</f>
        <v>0</v>
      </c>
      <c r="AF2172" s="6">
        <f ca="1">Main[[#This Row],[تعداد روزهای بدهکار سررسید شده (روز)]]*Main[[#This Row],[مانده در خط سررسید شده (کیلوگرم)]]</f>
        <v>0</v>
      </c>
    </row>
    <row r="2173" spans="1:32" hidden="1" x14ac:dyDescent="0.35">
      <c r="A2173" s="5">
        <f>ROW()-ROW(INDEX(Main[ردیف],1))+1</f>
        <v>2171</v>
      </c>
      <c r="B2173" s="31">
        <f>SUBTOTAL(2,INDEX(Main[ردیف],1):Main[[#This Row],[ردیف]])</f>
        <v>197</v>
      </c>
      <c r="C2173" s="32" t="s">
        <v>763</v>
      </c>
      <c r="D2173" s="32" t="str">
        <f>_xlfn.CONCAT("14",Main[[#This Row],[تاريخ]])</f>
        <v>1400/08/25</v>
      </c>
      <c r="E2173" s="33">
        <v>44516</v>
      </c>
      <c r="F2173" s="32">
        <v>10027</v>
      </c>
      <c r="G2173" s="5" t="str">
        <f>INDEX(customer[عنوان],MATCH(Main[[#This Row],[کد ردیابی]],customer[کد],0))</f>
        <v xml:space="preserve">مصطفی نورعلی </v>
      </c>
      <c r="H2173">
        <v>-1881</v>
      </c>
      <c r="I2173" s="6">
        <f ca="1">-Main[[#This Row],[بدهی تسویه شده (کیلوگرم)]]+Main[[#This Row],[بستانکار (کیلوگرم)]]</f>
        <v>-1881</v>
      </c>
      <c r="J2173" s="6">
        <f>IF(Main[[#This Row],[مقدار (کیلوگرم)]]&gt;0,Main[[#This Row],[مقدار (کیلوگرم)]],0)</f>
        <v>0</v>
      </c>
      <c r="K2173" s="6">
        <f>-IF(Main[[#This Row],[مقدار (کیلوگرم)]]&lt;0,Main[[#This Row],[مقدار (کیلوگرم)]],0)</f>
        <v>1881</v>
      </c>
      <c r="L21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3" s="7">
        <f>-IF(AND(Main[[#This Row],[مقدار (کیلوگرم)]]&lt;0,Main[[#This Row],[تاريخ میلادی]]&gt;44276),Main[[#This Row],[مقدار (کیلوگرم)]],0)</f>
        <v>1881</v>
      </c>
      <c r="N2173" s="6">
        <f ca="1">Main[[#This Row],[بدهکار (کیلوگرم)]]-Main[[#This Row],[بدهی تسویه نشده (کیلوگرم)]]</f>
        <v>1881</v>
      </c>
      <c r="O2173" s="6">
        <f ca="1">Main[[#This Row],[تفکیک]]</f>
        <v>0</v>
      </c>
      <c r="P2173" s="6">
        <f ca="1">IF(Main[[#This Row],[تاخیر از سررسید]]&gt;0,Main[[#This Row],[بدهی تسویه نشده (کیلوگرم)]],0)</f>
        <v>0</v>
      </c>
      <c r="Q2173" s="6">
        <f ca="1">IF(Main[[#This Row],[بدهی تسویه نشده (کیلوگرم)]]&gt;0,'گزارش فردی'!$B$7-Main[[#This Row],[تاريخ میلادی]],0)</f>
        <v>0</v>
      </c>
      <c r="R2173" s="6">
        <f ca="1">IF(Main[[#This Row],[بدهی تسویه نشده (کیلوگرم)]]&gt;0,'گزارش فردی'!$B$7-Main[[#This Row],[تاريخ میلادی]]-'گزارش فردی'!$B$8,0)</f>
        <v>0</v>
      </c>
      <c r="S2173" s="6">
        <f ca="1">Main[[#This Row],[روز از ارسال سفارش]]*Main[[#This Row],[بدهی تسویه نشده (کیلوگرم)]]</f>
        <v>0</v>
      </c>
      <c r="T2173" s="6">
        <f ca="1">Main[[#This Row],[بدهی سررسید شده (کیلوگرم)]]*Main[[#This Row],[روز از ارسال سفارش]]</f>
        <v>0</v>
      </c>
      <c r="U2173" s="6">
        <f>-SUBTOTAL(9,INDEX(Main[مقدار (کیلوگرم)],1):Main[[#This Row],[مقدار (کیلوگرم)]])</f>
        <v>36882</v>
      </c>
      <c r="V21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3" s="6">
        <f>Main[[#This Row],[تعداد کل روزهای بدهکار (روز)]]*Main[[#This Row],[مانده در خط کل (کیلوگرم)]]</f>
        <v>0</v>
      </c>
      <c r="X2173" s="6">
        <f ca="1">-SUBTOTAL(9,INDEX(Main[مقدار تسویه شده (کیلوگرم)],1):Main[[#This Row],[مقدار تسویه شده (کیلوگرم)]])</f>
        <v>36882</v>
      </c>
      <c r="Y2173" s="6">
        <f ca="1">IF(Main[[#This Row],[مانده در خط تسویه شده (کیلوگرم)]]&lt;&gt;0,Main[[#This Row],[تعداد کل روزهای بدهکار (روز)]],0)</f>
        <v>0</v>
      </c>
      <c r="Z2173" s="6">
        <f ca="1">Main[[#This Row],[تعداد روزهای بدهکار تسویه شده (روز)]]*Main[[#This Row],[مانده در خط تسویه شده (کیلوگرم)]]</f>
        <v>0</v>
      </c>
      <c r="AA2173" s="6">
        <f ca="1">SUBTOTAL(9,INDEX(Main[بدهی تسویه نشده (کیلوگرم)],1):Main[[#This Row],[بدهی تسویه نشده (کیلوگرم)]])</f>
        <v>0</v>
      </c>
      <c r="AB2173" s="6">
        <f ca="1">IF(Main[[#This Row],[مانده در خط تسویه نشده (کیلوگرم)]]&lt;&gt;0,Main[[#This Row],[تعداد کل روزهای بدهکار (روز)]],0)</f>
        <v>0</v>
      </c>
      <c r="AC2173" s="6">
        <f ca="1">Main[[#This Row],[تعداد روزهای بدهکار  تسویه نشده (روز)]]*Main[[#This Row],[مانده در خط تسویه نشده (کیلوگرم)]]</f>
        <v>0</v>
      </c>
      <c r="AD2173" s="6">
        <f ca="1">SUBTOTAL(9,INDEX(Main[بدهی سررسید شده (کیلوگرم)],1):Main[[#This Row],[بدهی سررسید شده (کیلوگرم)]])</f>
        <v>0</v>
      </c>
      <c r="AE2173" s="6">
        <f ca="1">IF(Main[[#This Row],[مانده در خط سررسید شده (کیلوگرم)]]&lt;&gt;0,Main[[#This Row],[تعداد کل روزهای بدهکار (روز)]],0)</f>
        <v>0</v>
      </c>
      <c r="AF2173" s="6">
        <f ca="1">Main[[#This Row],[تعداد روزهای بدهکار سررسید شده (روز)]]*Main[[#This Row],[مانده در خط سررسید شده (کیلوگرم)]]</f>
        <v>0</v>
      </c>
    </row>
    <row r="2174" spans="1:32" hidden="1" x14ac:dyDescent="0.35">
      <c r="A2174" s="5">
        <f>ROW()-ROW(INDEX(Main[ردیف],1))+1</f>
        <v>2172</v>
      </c>
      <c r="B2174" s="31">
        <f>SUBTOTAL(2,INDEX(Main[ردیف],1):Main[[#This Row],[ردیف]])</f>
        <v>197</v>
      </c>
      <c r="C2174" s="32" t="s">
        <v>763</v>
      </c>
      <c r="D2174" s="32" t="str">
        <f>_xlfn.CONCAT("14",Main[[#This Row],[تاريخ]])</f>
        <v>1400/08/25</v>
      </c>
      <c r="E2174" s="33">
        <v>44516</v>
      </c>
      <c r="F2174" s="32">
        <v>30009</v>
      </c>
      <c r="G2174" s="5" t="str">
        <f>INDEX(customer[عنوان],MATCH(Main[[#This Row],[کد ردیابی]],customer[کد],0))</f>
        <v>شرکت ایمن تک پیشرو</v>
      </c>
      <c r="H2174">
        <v>1379</v>
      </c>
      <c r="I2174" s="6">
        <f ca="1">-Main[[#This Row],[بدهی تسویه شده (کیلوگرم)]]+Main[[#This Row],[بستانکار (کیلوگرم)]]</f>
        <v>1379</v>
      </c>
      <c r="J2174" s="6">
        <f>IF(Main[[#This Row],[مقدار (کیلوگرم)]]&gt;0,Main[[#This Row],[مقدار (کیلوگرم)]],0)</f>
        <v>1379</v>
      </c>
      <c r="K2174" s="6">
        <f>-IF(Main[[#This Row],[مقدار (کیلوگرم)]]&lt;0,Main[[#This Row],[مقدار (کیلوگرم)]],0)</f>
        <v>0</v>
      </c>
      <c r="L21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4" s="7">
        <f>-IF(AND(Main[[#This Row],[مقدار (کیلوگرم)]]&lt;0,Main[[#This Row],[تاريخ میلادی]]&gt;44276),Main[[#This Row],[مقدار (کیلوگرم)]],0)</f>
        <v>0</v>
      </c>
      <c r="N2174" s="6">
        <f ca="1">Main[[#This Row],[بدهکار (کیلوگرم)]]-Main[[#This Row],[بدهی تسویه نشده (کیلوگرم)]]</f>
        <v>0</v>
      </c>
      <c r="O2174" s="6">
        <f ca="1">Main[[#This Row],[تفکیک]]</f>
        <v>0</v>
      </c>
      <c r="P2174" s="6">
        <f ca="1">IF(Main[[#This Row],[تاخیر از سررسید]]&gt;0,Main[[#This Row],[بدهی تسویه نشده (کیلوگرم)]],0)</f>
        <v>0</v>
      </c>
      <c r="Q2174" s="6">
        <f ca="1">IF(Main[[#This Row],[بدهی تسویه نشده (کیلوگرم)]]&gt;0,'گزارش فردی'!$B$7-Main[[#This Row],[تاريخ میلادی]],0)</f>
        <v>0</v>
      </c>
      <c r="R2174" s="6">
        <f ca="1">IF(Main[[#This Row],[بدهی تسویه نشده (کیلوگرم)]]&gt;0,'گزارش فردی'!$B$7-Main[[#This Row],[تاريخ میلادی]]-'گزارش فردی'!$B$8,0)</f>
        <v>0</v>
      </c>
      <c r="S2174" s="6">
        <f ca="1">Main[[#This Row],[روز از ارسال سفارش]]*Main[[#This Row],[بدهی تسویه نشده (کیلوگرم)]]</f>
        <v>0</v>
      </c>
      <c r="T2174" s="6">
        <f ca="1">Main[[#This Row],[بدهی سررسید شده (کیلوگرم)]]*Main[[#This Row],[روز از ارسال سفارش]]</f>
        <v>0</v>
      </c>
      <c r="U2174" s="6">
        <f>-SUBTOTAL(9,INDEX(Main[مقدار (کیلوگرم)],1):Main[[#This Row],[مقدار (کیلوگرم)]])</f>
        <v>36882</v>
      </c>
      <c r="V21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4" s="6">
        <f>Main[[#This Row],[تعداد کل روزهای بدهکار (روز)]]*Main[[#This Row],[مانده در خط کل (کیلوگرم)]]</f>
        <v>0</v>
      </c>
      <c r="X2174" s="6">
        <f ca="1">-SUBTOTAL(9,INDEX(Main[مقدار تسویه شده (کیلوگرم)],1):Main[[#This Row],[مقدار تسویه شده (کیلوگرم)]])</f>
        <v>36882</v>
      </c>
      <c r="Y2174" s="6">
        <f ca="1">IF(Main[[#This Row],[مانده در خط تسویه شده (کیلوگرم)]]&lt;&gt;0,Main[[#This Row],[تعداد کل روزهای بدهکار (روز)]],0)</f>
        <v>0</v>
      </c>
      <c r="Z2174" s="6">
        <f ca="1">Main[[#This Row],[تعداد روزهای بدهکار تسویه شده (روز)]]*Main[[#This Row],[مانده در خط تسویه شده (کیلوگرم)]]</f>
        <v>0</v>
      </c>
      <c r="AA2174" s="6">
        <f ca="1">SUBTOTAL(9,INDEX(Main[بدهی تسویه نشده (کیلوگرم)],1):Main[[#This Row],[بدهی تسویه نشده (کیلوگرم)]])</f>
        <v>0</v>
      </c>
      <c r="AB2174" s="6">
        <f ca="1">IF(Main[[#This Row],[مانده در خط تسویه نشده (کیلوگرم)]]&lt;&gt;0,Main[[#This Row],[تعداد کل روزهای بدهکار (روز)]],0)</f>
        <v>0</v>
      </c>
      <c r="AC2174" s="6">
        <f ca="1">Main[[#This Row],[تعداد روزهای بدهکار  تسویه نشده (روز)]]*Main[[#This Row],[مانده در خط تسویه نشده (کیلوگرم)]]</f>
        <v>0</v>
      </c>
      <c r="AD2174" s="6">
        <f ca="1">SUBTOTAL(9,INDEX(Main[بدهی سررسید شده (کیلوگرم)],1):Main[[#This Row],[بدهی سررسید شده (کیلوگرم)]])</f>
        <v>0</v>
      </c>
      <c r="AE2174" s="6">
        <f ca="1">IF(Main[[#This Row],[مانده در خط سررسید شده (کیلوگرم)]]&lt;&gt;0,Main[[#This Row],[تعداد کل روزهای بدهکار (روز)]],0)</f>
        <v>0</v>
      </c>
      <c r="AF2174" s="6">
        <f ca="1">Main[[#This Row],[تعداد روزهای بدهکار سررسید شده (روز)]]*Main[[#This Row],[مانده در خط سررسید شده (کیلوگرم)]]</f>
        <v>0</v>
      </c>
    </row>
    <row r="2175" spans="1:32" hidden="1" x14ac:dyDescent="0.35">
      <c r="A2175" s="5">
        <f>ROW()-ROW(INDEX(Main[ردیف],1))+1</f>
        <v>2173</v>
      </c>
      <c r="B2175" s="31">
        <f>SUBTOTAL(2,INDEX(Main[ردیف],1):Main[[#This Row],[ردیف]])</f>
        <v>197</v>
      </c>
      <c r="C2175" s="32" t="s">
        <v>763</v>
      </c>
      <c r="D2175" s="32" t="str">
        <f>_xlfn.CONCAT("14",Main[[#This Row],[تاريخ]])</f>
        <v>1400/08/25</v>
      </c>
      <c r="E2175" s="33">
        <v>44516</v>
      </c>
      <c r="F2175" s="32">
        <v>10109</v>
      </c>
      <c r="G2175" s="5" t="str">
        <f>INDEX(customer[عنوان],MATCH(Main[[#This Row],[کد ردیابی]],customer[کد],0))</f>
        <v>فردی مجتبی</v>
      </c>
      <c r="H2175">
        <v>-2010</v>
      </c>
      <c r="I2175" s="6">
        <f ca="1">-Main[[#This Row],[بدهی تسویه شده (کیلوگرم)]]+Main[[#This Row],[بستانکار (کیلوگرم)]]</f>
        <v>-2010</v>
      </c>
      <c r="J2175" s="6">
        <f>IF(Main[[#This Row],[مقدار (کیلوگرم)]]&gt;0,Main[[#This Row],[مقدار (کیلوگرم)]],0)</f>
        <v>0</v>
      </c>
      <c r="K2175" s="6">
        <f>-IF(Main[[#This Row],[مقدار (کیلوگرم)]]&lt;0,Main[[#This Row],[مقدار (کیلوگرم)]],0)</f>
        <v>2010</v>
      </c>
      <c r="L21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5" s="7">
        <f>-IF(AND(Main[[#This Row],[مقدار (کیلوگرم)]]&lt;0,Main[[#This Row],[تاريخ میلادی]]&gt;44276),Main[[#This Row],[مقدار (کیلوگرم)]],0)</f>
        <v>2010</v>
      </c>
      <c r="N2175" s="6">
        <f ca="1">Main[[#This Row],[بدهکار (کیلوگرم)]]-Main[[#This Row],[بدهی تسویه نشده (کیلوگرم)]]</f>
        <v>2010</v>
      </c>
      <c r="O2175" s="6">
        <f ca="1">Main[[#This Row],[تفکیک]]</f>
        <v>0</v>
      </c>
      <c r="P2175" s="6">
        <f ca="1">IF(Main[[#This Row],[تاخیر از سررسید]]&gt;0,Main[[#This Row],[بدهی تسویه نشده (کیلوگرم)]],0)</f>
        <v>0</v>
      </c>
      <c r="Q2175" s="6">
        <f ca="1">IF(Main[[#This Row],[بدهی تسویه نشده (کیلوگرم)]]&gt;0,'گزارش فردی'!$B$7-Main[[#This Row],[تاريخ میلادی]],0)</f>
        <v>0</v>
      </c>
      <c r="R2175" s="6">
        <f ca="1">IF(Main[[#This Row],[بدهی تسویه نشده (کیلوگرم)]]&gt;0,'گزارش فردی'!$B$7-Main[[#This Row],[تاريخ میلادی]]-'گزارش فردی'!$B$8,0)</f>
        <v>0</v>
      </c>
      <c r="S2175" s="6">
        <f ca="1">Main[[#This Row],[روز از ارسال سفارش]]*Main[[#This Row],[بدهی تسویه نشده (کیلوگرم)]]</f>
        <v>0</v>
      </c>
      <c r="T2175" s="6">
        <f ca="1">Main[[#This Row],[بدهی سررسید شده (کیلوگرم)]]*Main[[#This Row],[روز از ارسال سفارش]]</f>
        <v>0</v>
      </c>
      <c r="U2175" s="6">
        <f>-SUBTOTAL(9,INDEX(Main[مقدار (کیلوگرم)],1):Main[[#This Row],[مقدار (کیلوگرم)]])</f>
        <v>36882</v>
      </c>
      <c r="V21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5" s="6">
        <f>Main[[#This Row],[تعداد کل روزهای بدهکار (روز)]]*Main[[#This Row],[مانده در خط کل (کیلوگرم)]]</f>
        <v>0</v>
      </c>
      <c r="X2175" s="6">
        <f ca="1">-SUBTOTAL(9,INDEX(Main[مقدار تسویه شده (کیلوگرم)],1):Main[[#This Row],[مقدار تسویه شده (کیلوگرم)]])</f>
        <v>36882</v>
      </c>
      <c r="Y2175" s="6">
        <f ca="1">IF(Main[[#This Row],[مانده در خط تسویه شده (کیلوگرم)]]&lt;&gt;0,Main[[#This Row],[تعداد کل روزهای بدهکار (روز)]],0)</f>
        <v>0</v>
      </c>
      <c r="Z2175" s="6">
        <f ca="1">Main[[#This Row],[تعداد روزهای بدهکار تسویه شده (روز)]]*Main[[#This Row],[مانده در خط تسویه شده (کیلوگرم)]]</f>
        <v>0</v>
      </c>
      <c r="AA2175" s="6">
        <f ca="1">SUBTOTAL(9,INDEX(Main[بدهی تسویه نشده (کیلوگرم)],1):Main[[#This Row],[بدهی تسویه نشده (کیلوگرم)]])</f>
        <v>0</v>
      </c>
      <c r="AB2175" s="6">
        <f ca="1">IF(Main[[#This Row],[مانده در خط تسویه نشده (کیلوگرم)]]&lt;&gt;0,Main[[#This Row],[تعداد کل روزهای بدهکار (روز)]],0)</f>
        <v>0</v>
      </c>
      <c r="AC2175" s="6">
        <f ca="1">Main[[#This Row],[تعداد روزهای بدهکار  تسویه نشده (روز)]]*Main[[#This Row],[مانده در خط تسویه نشده (کیلوگرم)]]</f>
        <v>0</v>
      </c>
      <c r="AD2175" s="6">
        <f ca="1">SUBTOTAL(9,INDEX(Main[بدهی سررسید شده (کیلوگرم)],1):Main[[#This Row],[بدهی سررسید شده (کیلوگرم)]])</f>
        <v>0</v>
      </c>
      <c r="AE2175" s="6">
        <f ca="1">IF(Main[[#This Row],[مانده در خط سررسید شده (کیلوگرم)]]&lt;&gt;0,Main[[#This Row],[تعداد کل روزهای بدهکار (روز)]],0)</f>
        <v>0</v>
      </c>
      <c r="AF2175" s="6">
        <f ca="1">Main[[#This Row],[تعداد روزهای بدهکار سررسید شده (روز)]]*Main[[#This Row],[مانده در خط سررسید شده (کیلوگرم)]]</f>
        <v>0</v>
      </c>
    </row>
    <row r="2176" spans="1:32" x14ac:dyDescent="0.35">
      <c r="A2176" s="5">
        <f>ROW()-ROW(INDEX(Main[ردیف],1))+1</f>
        <v>2174</v>
      </c>
      <c r="B2176" s="31">
        <f>SUBTOTAL(2,INDEX(Main[ردیف],1):Main[[#This Row],[ردیف]])</f>
        <v>198</v>
      </c>
      <c r="C2176" s="32" t="s">
        <v>763</v>
      </c>
      <c r="D2176" s="32" t="str">
        <f>_xlfn.CONCAT("14",Main[[#This Row],[تاريخ]])</f>
        <v>1400/08/25</v>
      </c>
      <c r="E2176" s="33">
        <v>44516</v>
      </c>
      <c r="F2176" s="32">
        <v>10003</v>
      </c>
      <c r="G2176" s="5" t="str">
        <f>INDEX(customer[عنوان],MATCH(Main[[#This Row],[کد ردیابی]],customer[کد],0))</f>
        <v>اصغر نورعلی</v>
      </c>
      <c r="H2176">
        <v>2773</v>
      </c>
      <c r="I2176" s="6">
        <f ca="1">-Main[[#This Row],[بدهی تسویه شده (کیلوگرم)]]+Main[[#This Row],[بستانکار (کیلوگرم)]]</f>
        <v>2773</v>
      </c>
      <c r="J2176" s="6">
        <f>IF(Main[[#This Row],[مقدار (کیلوگرم)]]&gt;0,Main[[#This Row],[مقدار (کیلوگرم)]],0)</f>
        <v>2773</v>
      </c>
      <c r="K2176" s="6">
        <f>-IF(Main[[#This Row],[مقدار (کیلوگرم)]]&lt;0,Main[[#This Row],[مقدار (کیلوگرم)]],0)</f>
        <v>0</v>
      </c>
      <c r="L21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6" s="7">
        <f>-IF(AND(Main[[#This Row],[مقدار (کیلوگرم)]]&lt;0,Main[[#This Row],[تاريخ میلادی]]&gt;44276),Main[[#This Row],[مقدار (کیلوگرم)]],0)</f>
        <v>0</v>
      </c>
      <c r="N2176" s="6">
        <f ca="1">Main[[#This Row],[بدهکار (کیلوگرم)]]-Main[[#This Row],[بدهی تسویه نشده (کیلوگرم)]]</f>
        <v>0</v>
      </c>
      <c r="O2176" s="6">
        <f ca="1">Main[[#This Row],[تفکیک]]</f>
        <v>0</v>
      </c>
      <c r="P2176" s="6">
        <f ca="1">IF(Main[[#This Row],[تاخیر از سررسید]]&gt;0,Main[[#This Row],[بدهی تسویه نشده (کیلوگرم)]],0)</f>
        <v>0</v>
      </c>
      <c r="Q2176" s="6">
        <f ca="1">IF(Main[[#This Row],[بدهی تسویه نشده (کیلوگرم)]]&gt;0,'گزارش فردی'!$B$7-Main[[#This Row],[تاريخ میلادی]],0)</f>
        <v>0</v>
      </c>
      <c r="R2176" s="6">
        <f ca="1">IF(Main[[#This Row],[بدهی تسویه نشده (کیلوگرم)]]&gt;0,'گزارش فردی'!$B$7-Main[[#This Row],[تاريخ میلادی]]-'گزارش فردی'!$B$8,0)</f>
        <v>0</v>
      </c>
      <c r="S2176" s="6">
        <f ca="1">Main[[#This Row],[روز از ارسال سفارش]]*Main[[#This Row],[بدهی تسویه نشده (کیلوگرم)]]</f>
        <v>0</v>
      </c>
      <c r="T2176" s="6">
        <f ca="1">Main[[#This Row],[بدهی سررسید شده (کیلوگرم)]]*Main[[#This Row],[روز از ارسال سفارش]]</f>
        <v>0</v>
      </c>
      <c r="U2176" s="6">
        <f>-SUBTOTAL(9,INDEX(Main[مقدار (کیلوگرم)],1):Main[[#This Row],[مقدار (کیلوگرم)]])</f>
        <v>34109</v>
      </c>
      <c r="V21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76" s="6">
        <f>Main[[#This Row],[تعداد کل روزهای بدهکار (روز)]]*Main[[#This Row],[مانده در خط کل (کیلوگرم)]]</f>
        <v>34109</v>
      </c>
      <c r="X2176" s="6">
        <f ca="1">-SUBTOTAL(9,INDEX(Main[مقدار تسویه شده (کیلوگرم)],1):Main[[#This Row],[مقدار تسویه شده (کیلوگرم)]])</f>
        <v>34109</v>
      </c>
      <c r="Y2176" s="6">
        <f ca="1">IF(Main[[#This Row],[مانده در خط تسویه شده (کیلوگرم)]]&lt;&gt;0,Main[[#This Row],[تعداد کل روزهای بدهکار (روز)]],0)</f>
        <v>1</v>
      </c>
      <c r="Z2176" s="6">
        <f ca="1">Main[[#This Row],[تعداد روزهای بدهکار تسویه شده (روز)]]*Main[[#This Row],[مانده در خط تسویه شده (کیلوگرم)]]</f>
        <v>34109</v>
      </c>
      <c r="AA2176" s="6">
        <f ca="1">SUBTOTAL(9,INDEX(Main[بدهی تسویه نشده (کیلوگرم)],1):Main[[#This Row],[بدهی تسویه نشده (کیلوگرم)]])</f>
        <v>0</v>
      </c>
      <c r="AB2176" s="6">
        <f ca="1">IF(Main[[#This Row],[مانده در خط تسویه نشده (کیلوگرم)]]&lt;&gt;0,Main[[#This Row],[تعداد کل روزهای بدهکار (روز)]],0)</f>
        <v>0</v>
      </c>
      <c r="AC2176" s="6">
        <f ca="1">Main[[#This Row],[تعداد روزهای بدهکار  تسویه نشده (روز)]]*Main[[#This Row],[مانده در خط تسویه نشده (کیلوگرم)]]</f>
        <v>0</v>
      </c>
      <c r="AD2176" s="6">
        <f ca="1">SUBTOTAL(9,INDEX(Main[بدهی سررسید شده (کیلوگرم)],1):Main[[#This Row],[بدهی سررسید شده (کیلوگرم)]])</f>
        <v>0</v>
      </c>
      <c r="AE2176" s="6">
        <f ca="1">IF(Main[[#This Row],[مانده در خط سررسید شده (کیلوگرم)]]&lt;&gt;0,Main[[#This Row],[تعداد کل روزهای بدهکار (روز)]],0)</f>
        <v>0</v>
      </c>
      <c r="AF2176" s="6">
        <f ca="1">Main[[#This Row],[تعداد روزهای بدهکار سررسید شده (روز)]]*Main[[#This Row],[مانده در خط سررسید شده (کیلوگرم)]]</f>
        <v>0</v>
      </c>
    </row>
    <row r="2177" spans="1:32" hidden="1" x14ac:dyDescent="0.35">
      <c r="A2177" s="5">
        <f>ROW()-ROW(INDEX(Main[ردیف],1))+1</f>
        <v>2175</v>
      </c>
      <c r="B2177" s="31">
        <f>SUBTOTAL(2,INDEX(Main[ردیف],1):Main[[#This Row],[ردیف]])</f>
        <v>198</v>
      </c>
      <c r="C2177" s="32" t="s">
        <v>763</v>
      </c>
      <c r="D2177" s="32" t="str">
        <f>_xlfn.CONCAT("14",Main[[#This Row],[تاريخ]])</f>
        <v>1400/08/25</v>
      </c>
      <c r="E2177" s="33">
        <v>44516</v>
      </c>
      <c r="F2177" s="32">
        <v>10104</v>
      </c>
      <c r="G2177" s="5" t="str">
        <f>INDEX(customer[عنوان],MATCH(Main[[#This Row],[کد ردیابی]],customer[کد],0))</f>
        <v>بهزادی فر اصغر</v>
      </c>
      <c r="H2177">
        <v>-2128</v>
      </c>
      <c r="I2177" s="6">
        <f ca="1">-Main[[#This Row],[بدهی تسویه شده (کیلوگرم)]]+Main[[#This Row],[بستانکار (کیلوگرم)]]</f>
        <v>-2128</v>
      </c>
      <c r="J2177" s="6">
        <f>IF(Main[[#This Row],[مقدار (کیلوگرم)]]&gt;0,Main[[#This Row],[مقدار (کیلوگرم)]],0)</f>
        <v>0</v>
      </c>
      <c r="K2177" s="6">
        <f>-IF(Main[[#This Row],[مقدار (کیلوگرم)]]&lt;0,Main[[#This Row],[مقدار (کیلوگرم)]],0)</f>
        <v>2128</v>
      </c>
      <c r="L21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7" s="7">
        <f>-IF(AND(Main[[#This Row],[مقدار (کیلوگرم)]]&lt;0,Main[[#This Row],[تاريخ میلادی]]&gt;44276),Main[[#This Row],[مقدار (کیلوگرم)]],0)</f>
        <v>2128</v>
      </c>
      <c r="N2177" s="6">
        <f ca="1">Main[[#This Row],[بدهکار (کیلوگرم)]]-Main[[#This Row],[بدهی تسویه نشده (کیلوگرم)]]</f>
        <v>2128</v>
      </c>
      <c r="O2177" s="6">
        <f ca="1">Main[[#This Row],[تفکیک]]</f>
        <v>0</v>
      </c>
      <c r="P2177" s="6">
        <f ca="1">IF(Main[[#This Row],[تاخیر از سررسید]]&gt;0,Main[[#This Row],[بدهی تسویه نشده (کیلوگرم)]],0)</f>
        <v>0</v>
      </c>
      <c r="Q2177" s="6">
        <f ca="1">IF(Main[[#This Row],[بدهی تسویه نشده (کیلوگرم)]]&gt;0,'گزارش فردی'!$B$7-Main[[#This Row],[تاريخ میلادی]],0)</f>
        <v>0</v>
      </c>
      <c r="R2177" s="6">
        <f ca="1">IF(Main[[#This Row],[بدهی تسویه نشده (کیلوگرم)]]&gt;0,'گزارش فردی'!$B$7-Main[[#This Row],[تاريخ میلادی]]-'گزارش فردی'!$B$8,0)</f>
        <v>0</v>
      </c>
      <c r="S2177" s="6">
        <f ca="1">Main[[#This Row],[روز از ارسال سفارش]]*Main[[#This Row],[بدهی تسویه نشده (کیلوگرم)]]</f>
        <v>0</v>
      </c>
      <c r="T2177" s="6">
        <f ca="1">Main[[#This Row],[بدهی سررسید شده (کیلوگرم)]]*Main[[#This Row],[روز از ارسال سفارش]]</f>
        <v>0</v>
      </c>
      <c r="U2177" s="6">
        <f>-SUBTOTAL(9,INDEX(Main[مقدار (کیلوگرم)],1):Main[[#This Row],[مقدار (کیلوگرم)]])</f>
        <v>34109</v>
      </c>
      <c r="V21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77" s="6">
        <f>Main[[#This Row],[تعداد کل روزهای بدهکار (روز)]]*Main[[#This Row],[مانده در خط کل (کیلوگرم)]]</f>
        <v>34109</v>
      </c>
      <c r="X2177" s="6">
        <f ca="1">-SUBTOTAL(9,INDEX(Main[مقدار تسویه شده (کیلوگرم)],1):Main[[#This Row],[مقدار تسویه شده (کیلوگرم)]])</f>
        <v>34109</v>
      </c>
      <c r="Y2177" s="6">
        <f ca="1">IF(Main[[#This Row],[مانده در خط تسویه شده (کیلوگرم)]]&lt;&gt;0,Main[[#This Row],[تعداد کل روزهای بدهکار (روز)]],0)</f>
        <v>1</v>
      </c>
      <c r="Z2177" s="6">
        <f ca="1">Main[[#This Row],[تعداد روزهای بدهکار تسویه شده (روز)]]*Main[[#This Row],[مانده در خط تسویه شده (کیلوگرم)]]</f>
        <v>34109</v>
      </c>
      <c r="AA2177" s="6">
        <f ca="1">SUBTOTAL(9,INDEX(Main[بدهی تسویه نشده (کیلوگرم)],1):Main[[#This Row],[بدهی تسویه نشده (کیلوگرم)]])</f>
        <v>0</v>
      </c>
      <c r="AB2177" s="6">
        <f ca="1">IF(Main[[#This Row],[مانده در خط تسویه نشده (کیلوگرم)]]&lt;&gt;0,Main[[#This Row],[تعداد کل روزهای بدهکار (روز)]],0)</f>
        <v>0</v>
      </c>
      <c r="AC2177" s="6">
        <f ca="1">Main[[#This Row],[تعداد روزهای بدهکار  تسویه نشده (روز)]]*Main[[#This Row],[مانده در خط تسویه نشده (کیلوگرم)]]</f>
        <v>0</v>
      </c>
      <c r="AD2177" s="6">
        <f ca="1">SUBTOTAL(9,INDEX(Main[بدهی سررسید شده (کیلوگرم)],1):Main[[#This Row],[بدهی سررسید شده (کیلوگرم)]])</f>
        <v>0</v>
      </c>
      <c r="AE2177" s="6">
        <f ca="1">IF(Main[[#This Row],[مانده در خط سررسید شده (کیلوگرم)]]&lt;&gt;0,Main[[#This Row],[تعداد کل روزهای بدهکار (روز)]],0)</f>
        <v>0</v>
      </c>
      <c r="AF2177" s="6">
        <f ca="1">Main[[#This Row],[تعداد روزهای بدهکار سررسید شده (روز)]]*Main[[#This Row],[مانده در خط سررسید شده (کیلوگرم)]]</f>
        <v>0</v>
      </c>
    </row>
    <row r="2178" spans="1:32" hidden="1" x14ac:dyDescent="0.35">
      <c r="A2178" s="5">
        <f>ROW()-ROW(INDEX(Main[ردیف],1))+1</f>
        <v>2176</v>
      </c>
      <c r="B2178" s="31">
        <f>SUBTOTAL(2,INDEX(Main[ردیف],1):Main[[#This Row],[ردیف]])</f>
        <v>198</v>
      </c>
      <c r="C2178" s="32" t="s">
        <v>763</v>
      </c>
      <c r="D2178" s="32" t="str">
        <f>_xlfn.CONCAT("14",Main[[#This Row],[تاريخ]])</f>
        <v>1400/08/25</v>
      </c>
      <c r="E2178" s="33">
        <v>44516</v>
      </c>
      <c r="F2178" s="32">
        <v>30004</v>
      </c>
      <c r="G2178" s="5" t="str">
        <f>INDEX(customer[عنوان],MATCH(Main[[#This Row],[کد ردیابی]],customer[کد],0))</f>
        <v>تولیدی صنعتی صفاشیر پارس</v>
      </c>
      <c r="H2178">
        <v>3067</v>
      </c>
      <c r="I2178" s="6">
        <f ca="1">-Main[[#This Row],[بدهی تسویه شده (کیلوگرم)]]+Main[[#This Row],[بستانکار (کیلوگرم)]]</f>
        <v>3067</v>
      </c>
      <c r="J2178" s="6">
        <f>IF(Main[[#This Row],[مقدار (کیلوگرم)]]&gt;0,Main[[#This Row],[مقدار (کیلوگرم)]],0)</f>
        <v>3067</v>
      </c>
      <c r="K2178" s="6">
        <f>-IF(Main[[#This Row],[مقدار (کیلوگرم)]]&lt;0,Main[[#This Row],[مقدار (کیلوگرم)]],0)</f>
        <v>0</v>
      </c>
      <c r="L21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8" s="7">
        <f>-IF(AND(Main[[#This Row],[مقدار (کیلوگرم)]]&lt;0,Main[[#This Row],[تاريخ میلادی]]&gt;44276),Main[[#This Row],[مقدار (کیلوگرم)]],0)</f>
        <v>0</v>
      </c>
      <c r="N2178" s="6">
        <f ca="1">Main[[#This Row],[بدهکار (کیلوگرم)]]-Main[[#This Row],[بدهی تسویه نشده (کیلوگرم)]]</f>
        <v>0</v>
      </c>
      <c r="O2178" s="6">
        <f ca="1">Main[[#This Row],[تفکیک]]</f>
        <v>0</v>
      </c>
      <c r="P2178" s="6">
        <f ca="1">IF(Main[[#This Row],[تاخیر از سررسید]]&gt;0,Main[[#This Row],[بدهی تسویه نشده (کیلوگرم)]],0)</f>
        <v>0</v>
      </c>
      <c r="Q2178" s="6">
        <f ca="1">IF(Main[[#This Row],[بدهی تسویه نشده (کیلوگرم)]]&gt;0,'گزارش فردی'!$B$7-Main[[#This Row],[تاريخ میلادی]],0)</f>
        <v>0</v>
      </c>
      <c r="R2178" s="6">
        <f ca="1">IF(Main[[#This Row],[بدهی تسویه نشده (کیلوگرم)]]&gt;0,'گزارش فردی'!$B$7-Main[[#This Row],[تاريخ میلادی]]-'گزارش فردی'!$B$8,0)</f>
        <v>0</v>
      </c>
      <c r="S2178" s="6">
        <f ca="1">Main[[#This Row],[روز از ارسال سفارش]]*Main[[#This Row],[بدهی تسویه نشده (کیلوگرم)]]</f>
        <v>0</v>
      </c>
      <c r="T2178" s="6">
        <f ca="1">Main[[#This Row],[بدهی سررسید شده (کیلوگرم)]]*Main[[#This Row],[روز از ارسال سفارش]]</f>
        <v>0</v>
      </c>
      <c r="U2178" s="6">
        <f>-SUBTOTAL(9,INDEX(Main[مقدار (کیلوگرم)],1):Main[[#This Row],[مقدار (کیلوگرم)]])</f>
        <v>34109</v>
      </c>
      <c r="V21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78" s="6">
        <f>Main[[#This Row],[تعداد کل روزهای بدهکار (روز)]]*Main[[#This Row],[مانده در خط کل (کیلوگرم)]]</f>
        <v>34109</v>
      </c>
      <c r="X2178" s="6">
        <f ca="1">-SUBTOTAL(9,INDEX(Main[مقدار تسویه شده (کیلوگرم)],1):Main[[#This Row],[مقدار تسویه شده (کیلوگرم)]])</f>
        <v>34109</v>
      </c>
      <c r="Y2178" s="6">
        <f ca="1">IF(Main[[#This Row],[مانده در خط تسویه شده (کیلوگرم)]]&lt;&gt;0,Main[[#This Row],[تعداد کل روزهای بدهکار (روز)]],0)</f>
        <v>1</v>
      </c>
      <c r="Z2178" s="6">
        <f ca="1">Main[[#This Row],[تعداد روزهای بدهکار تسویه شده (روز)]]*Main[[#This Row],[مانده در خط تسویه شده (کیلوگرم)]]</f>
        <v>34109</v>
      </c>
      <c r="AA2178" s="6">
        <f ca="1">SUBTOTAL(9,INDEX(Main[بدهی تسویه نشده (کیلوگرم)],1):Main[[#This Row],[بدهی تسویه نشده (کیلوگرم)]])</f>
        <v>0</v>
      </c>
      <c r="AB2178" s="6">
        <f ca="1">IF(Main[[#This Row],[مانده در خط تسویه نشده (کیلوگرم)]]&lt;&gt;0,Main[[#This Row],[تعداد کل روزهای بدهکار (روز)]],0)</f>
        <v>0</v>
      </c>
      <c r="AC2178" s="6">
        <f ca="1">Main[[#This Row],[تعداد روزهای بدهکار  تسویه نشده (روز)]]*Main[[#This Row],[مانده در خط تسویه نشده (کیلوگرم)]]</f>
        <v>0</v>
      </c>
      <c r="AD2178" s="6">
        <f ca="1">SUBTOTAL(9,INDEX(Main[بدهی سررسید شده (کیلوگرم)],1):Main[[#This Row],[بدهی سررسید شده (کیلوگرم)]])</f>
        <v>0</v>
      </c>
      <c r="AE2178" s="6">
        <f ca="1">IF(Main[[#This Row],[مانده در خط سررسید شده (کیلوگرم)]]&lt;&gt;0,Main[[#This Row],[تعداد کل روزهای بدهکار (روز)]],0)</f>
        <v>0</v>
      </c>
      <c r="AF2178" s="6">
        <f ca="1">Main[[#This Row],[تعداد روزهای بدهکار سررسید شده (روز)]]*Main[[#This Row],[مانده در خط سررسید شده (کیلوگرم)]]</f>
        <v>0</v>
      </c>
    </row>
    <row r="2179" spans="1:32" hidden="1" x14ac:dyDescent="0.35">
      <c r="A2179" s="5">
        <f>ROW()-ROW(INDEX(Main[ردیف],1))+1</f>
        <v>2177</v>
      </c>
      <c r="B2179" s="31">
        <f>SUBTOTAL(2,INDEX(Main[ردیف],1):Main[[#This Row],[ردیف]])</f>
        <v>198</v>
      </c>
      <c r="C2179" s="32" t="s">
        <v>766</v>
      </c>
      <c r="D2179" s="32" t="str">
        <f>_xlfn.CONCAT("14",Main[[#This Row],[تاريخ]])</f>
        <v>1400/08/26</v>
      </c>
      <c r="E2179" s="33">
        <v>44517</v>
      </c>
      <c r="F2179" s="32">
        <v>30196</v>
      </c>
      <c r="G2179" s="5" t="str">
        <f>INDEX(customer[عنوان],MATCH(Main[[#This Row],[کد ردیابی]],customer[کد],0))</f>
        <v>شرکت فردوس</v>
      </c>
      <c r="H2179">
        <v>-2505</v>
      </c>
      <c r="I2179" s="6">
        <f ca="1">-Main[[#This Row],[بدهی تسویه شده (کیلوگرم)]]+Main[[#This Row],[بستانکار (کیلوگرم)]]</f>
        <v>-2505</v>
      </c>
      <c r="J2179" s="6">
        <f>IF(Main[[#This Row],[مقدار (کیلوگرم)]]&gt;0,Main[[#This Row],[مقدار (کیلوگرم)]],0)</f>
        <v>0</v>
      </c>
      <c r="K2179" s="6">
        <f>-IF(Main[[#This Row],[مقدار (کیلوگرم)]]&lt;0,Main[[#This Row],[مقدار (کیلوگرم)]],0)</f>
        <v>2505</v>
      </c>
      <c r="L21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9" s="7">
        <f>-IF(AND(Main[[#This Row],[مقدار (کیلوگرم)]]&lt;0,Main[[#This Row],[تاريخ میلادی]]&gt;44276),Main[[#This Row],[مقدار (کیلوگرم)]],0)</f>
        <v>2505</v>
      </c>
      <c r="N2179" s="6">
        <f ca="1">Main[[#This Row],[بدهکار (کیلوگرم)]]-Main[[#This Row],[بدهی تسویه نشده (کیلوگرم)]]</f>
        <v>2505</v>
      </c>
      <c r="O2179" s="6">
        <f ca="1">Main[[#This Row],[تفکیک]]</f>
        <v>0</v>
      </c>
      <c r="P2179" s="6">
        <f ca="1">IF(Main[[#This Row],[تاخیر از سررسید]]&gt;0,Main[[#This Row],[بدهی تسویه نشده (کیلوگرم)]],0)</f>
        <v>0</v>
      </c>
      <c r="Q2179" s="6">
        <f ca="1">IF(Main[[#This Row],[بدهی تسویه نشده (کیلوگرم)]]&gt;0,'گزارش فردی'!$B$7-Main[[#This Row],[تاريخ میلادی]],0)</f>
        <v>0</v>
      </c>
      <c r="R2179" s="6">
        <f ca="1">IF(Main[[#This Row],[بدهی تسویه نشده (کیلوگرم)]]&gt;0,'گزارش فردی'!$B$7-Main[[#This Row],[تاريخ میلادی]]-'گزارش فردی'!$B$8,0)</f>
        <v>0</v>
      </c>
      <c r="S2179" s="6">
        <f ca="1">Main[[#This Row],[روز از ارسال سفارش]]*Main[[#This Row],[بدهی تسویه نشده (کیلوگرم)]]</f>
        <v>0</v>
      </c>
      <c r="T2179" s="6">
        <f ca="1">Main[[#This Row],[بدهی سررسید شده (کیلوگرم)]]*Main[[#This Row],[روز از ارسال سفارش]]</f>
        <v>0</v>
      </c>
      <c r="U2179" s="6">
        <f>-SUBTOTAL(9,INDEX(Main[مقدار (کیلوگرم)],1):Main[[#This Row],[مقدار (کیلوگرم)]])</f>
        <v>34109</v>
      </c>
      <c r="V21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9" s="6">
        <f>Main[[#This Row],[تعداد کل روزهای بدهکار (روز)]]*Main[[#This Row],[مانده در خط کل (کیلوگرم)]]</f>
        <v>0</v>
      </c>
      <c r="X2179" s="6">
        <f ca="1">-SUBTOTAL(9,INDEX(Main[مقدار تسویه شده (کیلوگرم)],1):Main[[#This Row],[مقدار تسویه شده (کیلوگرم)]])</f>
        <v>34109</v>
      </c>
      <c r="Y2179" s="6">
        <f ca="1">IF(Main[[#This Row],[مانده در خط تسویه شده (کیلوگرم)]]&lt;&gt;0,Main[[#This Row],[تعداد کل روزهای بدهکار (روز)]],0)</f>
        <v>0</v>
      </c>
      <c r="Z2179" s="6">
        <f ca="1">Main[[#This Row],[تعداد روزهای بدهکار تسویه شده (روز)]]*Main[[#This Row],[مانده در خط تسویه شده (کیلوگرم)]]</f>
        <v>0</v>
      </c>
      <c r="AA2179" s="6">
        <f ca="1">SUBTOTAL(9,INDEX(Main[بدهی تسویه نشده (کیلوگرم)],1):Main[[#This Row],[بدهی تسویه نشده (کیلوگرم)]])</f>
        <v>0</v>
      </c>
      <c r="AB2179" s="6">
        <f ca="1">IF(Main[[#This Row],[مانده در خط تسویه نشده (کیلوگرم)]]&lt;&gt;0,Main[[#This Row],[تعداد کل روزهای بدهکار (روز)]],0)</f>
        <v>0</v>
      </c>
      <c r="AC2179" s="6">
        <f ca="1">Main[[#This Row],[تعداد روزهای بدهکار  تسویه نشده (روز)]]*Main[[#This Row],[مانده در خط تسویه نشده (کیلوگرم)]]</f>
        <v>0</v>
      </c>
      <c r="AD2179" s="6">
        <f ca="1">SUBTOTAL(9,INDEX(Main[بدهی سررسید شده (کیلوگرم)],1):Main[[#This Row],[بدهی سررسید شده (کیلوگرم)]])</f>
        <v>0</v>
      </c>
      <c r="AE2179" s="6">
        <f ca="1">IF(Main[[#This Row],[مانده در خط سررسید شده (کیلوگرم)]]&lt;&gt;0,Main[[#This Row],[تعداد کل روزهای بدهکار (روز)]],0)</f>
        <v>0</v>
      </c>
      <c r="AF2179" s="6">
        <f ca="1">Main[[#This Row],[تعداد روزهای بدهکار سررسید شده (روز)]]*Main[[#This Row],[مانده در خط سررسید شده (کیلوگرم)]]</f>
        <v>0</v>
      </c>
    </row>
    <row r="2180" spans="1:32" hidden="1" x14ac:dyDescent="0.35">
      <c r="A2180" s="5">
        <f>ROW()-ROW(INDEX(Main[ردیف],1))+1</f>
        <v>2178</v>
      </c>
      <c r="B2180" s="31">
        <f>SUBTOTAL(2,INDEX(Main[ردیف],1):Main[[#This Row],[ردیف]])</f>
        <v>198</v>
      </c>
      <c r="C2180" s="32" t="s">
        <v>766</v>
      </c>
      <c r="D2180" s="32" t="str">
        <f>_xlfn.CONCAT("14",Main[[#This Row],[تاريخ]])</f>
        <v>1400/08/26</v>
      </c>
      <c r="E2180" s="33">
        <v>44517</v>
      </c>
      <c r="F2180" s="32">
        <v>30155</v>
      </c>
      <c r="G2180" s="5" t="str">
        <f>INDEX(customer[عنوان],MATCH(Main[[#This Row],[کد ردیابی]],customer[کد],0))</f>
        <v>سری تراشی طاهری</v>
      </c>
      <c r="H2180">
        <v>643</v>
      </c>
      <c r="I2180" s="6">
        <f ca="1">-Main[[#This Row],[بدهی تسویه شده (کیلوگرم)]]+Main[[#This Row],[بستانکار (کیلوگرم)]]</f>
        <v>643</v>
      </c>
      <c r="J2180" s="6">
        <f>IF(Main[[#This Row],[مقدار (کیلوگرم)]]&gt;0,Main[[#This Row],[مقدار (کیلوگرم)]],0)</f>
        <v>643</v>
      </c>
      <c r="K2180" s="6">
        <f>-IF(Main[[#This Row],[مقدار (کیلوگرم)]]&lt;0,Main[[#This Row],[مقدار (کیلوگرم)]],0)</f>
        <v>0</v>
      </c>
      <c r="L21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0" s="7">
        <f>-IF(AND(Main[[#This Row],[مقدار (کیلوگرم)]]&lt;0,Main[[#This Row],[تاريخ میلادی]]&gt;44276),Main[[#This Row],[مقدار (کیلوگرم)]],0)</f>
        <v>0</v>
      </c>
      <c r="N2180" s="6">
        <f ca="1">Main[[#This Row],[بدهکار (کیلوگرم)]]-Main[[#This Row],[بدهی تسویه نشده (کیلوگرم)]]</f>
        <v>0</v>
      </c>
      <c r="O2180" s="6">
        <f ca="1">Main[[#This Row],[تفکیک]]</f>
        <v>0</v>
      </c>
      <c r="P2180" s="6">
        <f ca="1">IF(Main[[#This Row],[تاخیر از سررسید]]&gt;0,Main[[#This Row],[بدهی تسویه نشده (کیلوگرم)]],0)</f>
        <v>0</v>
      </c>
      <c r="Q2180" s="6">
        <f ca="1">IF(Main[[#This Row],[بدهی تسویه نشده (کیلوگرم)]]&gt;0,'گزارش فردی'!$B$7-Main[[#This Row],[تاريخ میلادی]],0)</f>
        <v>0</v>
      </c>
      <c r="R2180" s="6">
        <f ca="1">IF(Main[[#This Row],[بدهی تسویه نشده (کیلوگرم)]]&gt;0,'گزارش فردی'!$B$7-Main[[#This Row],[تاريخ میلادی]]-'گزارش فردی'!$B$8,0)</f>
        <v>0</v>
      </c>
      <c r="S2180" s="6">
        <f ca="1">Main[[#This Row],[روز از ارسال سفارش]]*Main[[#This Row],[بدهی تسویه نشده (کیلوگرم)]]</f>
        <v>0</v>
      </c>
      <c r="T2180" s="6">
        <f ca="1">Main[[#This Row],[بدهی سررسید شده (کیلوگرم)]]*Main[[#This Row],[روز از ارسال سفارش]]</f>
        <v>0</v>
      </c>
      <c r="U2180" s="6">
        <f>-SUBTOTAL(9,INDEX(Main[مقدار (کیلوگرم)],1):Main[[#This Row],[مقدار (کیلوگرم)]])</f>
        <v>34109</v>
      </c>
      <c r="V21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0" s="6">
        <f>Main[[#This Row],[تعداد کل روزهای بدهکار (روز)]]*Main[[#This Row],[مانده در خط کل (کیلوگرم)]]</f>
        <v>0</v>
      </c>
      <c r="X2180" s="6">
        <f ca="1">-SUBTOTAL(9,INDEX(Main[مقدار تسویه شده (کیلوگرم)],1):Main[[#This Row],[مقدار تسویه شده (کیلوگرم)]])</f>
        <v>34109</v>
      </c>
      <c r="Y2180" s="6">
        <f ca="1">IF(Main[[#This Row],[مانده در خط تسویه شده (کیلوگرم)]]&lt;&gt;0,Main[[#This Row],[تعداد کل روزهای بدهکار (روز)]],0)</f>
        <v>0</v>
      </c>
      <c r="Z2180" s="6">
        <f ca="1">Main[[#This Row],[تعداد روزهای بدهکار تسویه شده (روز)]]*Main[[#This Row],[مانده در خط تسویه شده (کیلوگرم)]]</f>
        <v>0</v>
      </c>
      <c r="AA2180" s="6">
        <f ca="1">SUBTOTAL(9,INDEX(Main[بدهی تسویه نشده (کیلوگرم)],1):Main[[#This Row],[بدهی تسویه نشده (کیلوگرم)]])</f>
        <v>0</v>
      </c>
      <c r="AB2180" s="6">
        <f ca="1">IF(Main[[#This Row],[مانده در خط تسویه نشده (کیلوگرم)]]&lt;&gt;0,Main[[#This Row],[تعداد کل روزهای بدهکار (روز)]],0)</f>
        <v>0</v>
      </c>
      <c r="AC2180" s="6">
        <f ca="1">Main[[#This Row],[تعداد روزهای بدهکار  تسویه نشده (روز)]]*Main[[#This Row],[مانده در خط تسویه نشده (کیلوگرم)]]</f>
        <v>0</v>
      </c>
      <c r="AD2180" s="6">
        <f ca="1">SUBTOTAL(9,INDEX(Main[بدهی سررسید شده (کیلوگرم)],1):Main[[#This Row],[بدهی سررسید شده (کیلوگرم)]])</f>
        <v>0</v>
      </c>
      <c r="AE2180" s="6">
        <f ca="1">IF(Main[[#This Row],[مانده در خط سررسید شده (کیلوگرم)]]&lt;&gt;0,Main[[#This Row],[تعداد کل روزهای بدهکار (روز)]],0)</f>
        <v>0</v>
      </c>
      <c r="AF2180" s="6">
        <f ca="1">Main[[#This Row],[تعداد روزهای بدهکار سررسید شده (روز)]]*Main[[#This Row],[مانده در خط سررسید شده (کیلوگرم)]]</f>
        <v>0</v>
      </c>
    </row>
    <row r="2181" spans="1:32" hidden="1" x14ac:dyDescent="0.35">
      <c r="A2181" s="5">
        <f>ROW()-ROW(INDEX(Main[ردیف],1))+1</f>
        <v>2179</v>
      </c>
      <c r="B2181" s="31">
        <f>SUBTOTAL(2,INDEX(Main[ردیف],1):Main[[#This Row],[ردیف]])</f>
        <v>198</v>
      </c>
      <c r="C2181" s="32" t="s">
        <v>766</v>
      </c>
      <c r="D2181" s="32" t="str">
        <f>_xlfn.CONCAT("14",Main[[#This Row],[تاريخ]])</f>
        <v>1400/08/26</v>
      </c>
      <c r="E2181" s="33">
        <v>44517</v>
      </c>
      <c r="F2181" s="32">
        <v>30155</v>
      </c>
      <c r="G2181" s="5" t="str">
        <f>INDEX(customer[عنوان],MATCH(Main[[#This Row],[کد ردیابی]],customer[کد],0))</f>
        <v>سری تراشی طاهری</v>
      </c>
      <c r="H2181">
        <v>-2026</v>
      </c>
      <c r="I2181" s="6">
        <f ca="1">-Main[[#This Row],[بدهی تسویه شده (کیلوگرم)]]+Main[[#This Row],[بستانکار (کیلوگرم)]]</f>
        <v>-2026</v>
      </c>
      <c r="J2181" s="6">
        <f>IF(Main[[#This Row],[مقدار (کیلوگرم)]]&gt;0,Main[[#This Row],[مقدار (کیلوگرم)]],0)</f>
        <v>0</v>
      </c>
      <c r="K2181" s="6">
        <f>-IF(Main[[#This Row],[مقدار (کیلوگرم)]]&lt;0,Main[[#This Row],[مقدار (کیلوگرم)]],0)</f>
        <v>2026</v>
      </c>
      <c r="L21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1" s="7">
        <f>-IF(AND(Main[[#This Row],[مقدار (کیلوگرم)]]&lt;0,Main[[#This Row],[تاريخ میلادی]]&gt;44276),Main[[#This Row],[مقدار (کیلوگرم)]],0)</f>
        <v>2026</v>
      </c>
      <c r="N2181" s="6">
        <f ca="1">Main[[#This Row],[بدهکار (کیلوگرم)]]-Main[[#This Row],[بدهی تسویه نشده (کیلوگرم)]]</f>
        <v>2026</v>
      </c>
      <c r="O2181" s="6">
        <f ca="1">Main[[#This Row],[تفکیک]]</f>
        <v>0</v>
      </c>
      <c r="P2181" s="6">
        <f ca="1">IF(Main[[#This Row],[تاخیر از سررسید]]&gt;0,Main[[#This Row],[بدهی تسویه نشده (کیلوگرم)]],0)</f>
        <v>0</v>
      </c>
      <c r="Q2181" s="6">
        <f ca="1">IF(Main[[#This Row],[بدهی تسویه نشده (کیلوگرم)]]&gt;0,'گزارش فردی'!$B$7-Main[[#This Row],[تاريخ میلادی]],0)</f>
        <v>0</v>
      </c>
      <c r="R2181" s="6">
        <f ca="1">IF(Main[[#This Row],[بدهی تسویه نشده (کیلوگرم)]]&gt;0,'گزارش فردی'!$B$7-Main[[#This Row],[تاريخ میلادی]]-'گزارش فردی'!$B$8,0)</f>
        <v>0</v>
      </c>
      <c r="S2181" s="6">
        <f ca="1">Main[[#This Row],[روز از ارسال سفارش]]*Main[[#This Row],[بدهی تسویه نشده (کیلوگرم)]]</f>
        <v>0</v>
      </c>
      <c r="T2181" s="6">
        <f ca="1">Main[[#This Row],[بدهی سررسید شده (کیلوگرم)]]*Main[[#This Row],[روز از ارسال سفارش]]</f>
        <v>0</v>
      </c>
      <c r="U2181" s="6">
        <f>-SUBTOTAL(9,INDEX(Main[مقدار (کیلوگرم)],1):Main[[#This Row],[مقدار (کیلوگرم)]])</f>
        <v>34109</v>
      </c>
      <c r="V21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1" s="6">
        <f>Main[[#This Row],[تعداد کل روزهای بدهکار (روز)]]*Main[[#This Row],[مانده در خط کل (کیلوگرم)]]</f>
        <v>0</v>
      </c>
      <c r="X2181" s="6">
        <f ca="1">-SUBTOTAL(9,INDEX(Main[مقدار تسویه شده (کیلوگرم)],1):Main[[#This Row],[مقدار تسویه شده (کیلوگرم)]])</f>
        <v>34109</v>
      </c>
      <c r="Y2181" s="6">
        <f ca="1">IF(Main[[#This Row],[مانده در خط تسویه شده (کیلوگرم)]]&lt;&gt;0,Main[[#This Row],[تعداد کل روزهای بدهکار (روز)]],0)</f>
        <v>0</v>
      </c>
      <c r="Z2181" s="6">
        <f ca="1">Main[[#This Row],[تعداد روزهای بدهکار تسویه شده (روز)]]*Main[[#This Row],[مانده در خط تسویه شده (کیلوگرم)]]</f>
        <v>0</v>
      </c>
      <c r="AA2181" s="6">
        <f ca="1">SUBTOTAL(9,INDEX(Main[بدهی تسویه نشده (کیلوگرم)],1):Main[[#This Row],[بدهی تسویه نشده (کیلوگرم)]])</f>
        <v>0</v>
      </c>
      <c r="AB2181" s="6">
        <f ca="1">IF(Main[[#This Row],[مانده در خط تسویه نشده (کیلوگرم)]]&lt;&gt;0,Main[[#This Row],[تعداد کل روزهای بدهکار (روز)]],0)</f>
        <v>0</v>
      </c>
      <c r="AC2181" s="6">
        <f ca="1">Main[[#This Row],[تعداد روزهای بدهکار  تسویه نشده (روز)]]*Main[[#This Row],[مانده در خط تسویه نشده (کیلوگرم)]]</f>
        <v>0</v>
      </c>
      <c r="AD2181" s="6">
        <f ca="1">SUBTOTAL(9,INDEX(Main[بدهی سررسید شده (کیلوگرم)],1):Main[[#This Row],[بدهی سررسید شده (کیلوگرم)]])</f>
        <v>0</v>
      </c>
      <c r="AE2181" s="6">
        <f ca="1">IF(Main[[#This Row],[مانده در خط سررسید شده (کیلوگرم)]]&lt;&gt;0,Main[[#This Row],[تعداد کل روزهای بدهکار (روز)]],0)</f>
        <v>0</v>
      </c>
      <c r="AF2181" s="6">
        <f ca="1">Main[[#This Row],[تعداد روزهای بدهکار سررسید شده (روز)]]*Main[[#This Row],[مانده در خط سررسید شده (کیلوگرم)]]</f>
        <v>0</v>
      </c>
    </row>
    <row r="2182" spans="1:32" hidden="1" x14ac:dyDescent="0.35">
      <c r="A2182" s="5">
        <f>ROW()-ROW(INDEX(Main[ردیف],1))+1</f>
        <v>2180</v>
      </c>
      <c r="B2182" s="31">
        <f>SUBTOTAL(2,INDEX(Main[ردیف],1):Main[[#This Row],[ردیف]])</f>
        <v>198</v>
      </c>
      <c r="C2182" s="32" t="s">
        <v>766</v>
      </c>
      <c r="D2182" s="32" t="str">
        <f>_xlfn.CONCAT("14",Main[[#This Row],[تاريخ]])</f>
        <v>1400/08/26</v>
      </c>
      <c r="E2182" s="33">
        <v>44517</v>
      </c>
      <c r="F2182" s="32">
        <v>30155</v>
      </c>
      <c r="G2182" s="5" t="str">
        <f>INDEX(customer[عنوان],MATCH(Main[[#This Row],[کد ردیابی]],customer[کد],0))</f>
        <v>سری تراشی طاهری</v>
      </c>
      <c r="H2182">
        <v>578</v>
      </c>
      <c r="I2182" s="6">
        <f ca="1">-Main[[#This Row],[بدهی تسویه شده (کیلوگرم)]]+Main[[#This Row],[بستانکار (کیلوگرم)]]</f>
        <v>578</v>
      </c>
      <c r="J2182" s="6">
        <f>IF(Main[[#This Row],[مقدار (کیلوگرم)]]&gt;0,Main[[#This Row],[مقدار (کیلوگرم)]],0)</f>
        <v>578</v>
      </c>
      <c r="K2182" s="6">
        <f>-IF(Main[[#This Row],[مقدار (کیلوگرم)]]&lt;0,Main[[#This Row],[مقدار (کیلوگرم)]],0)</f>
        <v>0</v>
      </c>
      <c r="L21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2" s="7">
        <f>-IF(AND(Main[[#This Row],[مقدار (کیلوگرم)]]&lt;0,Main[[#This Row],[تاريخ میلادی]]&gt;44276),Main[[#This Row],[مقدار (کیلوگرم)]],0)</f>
        <v>0</v>
      </c>
      <c r="N2182" s="6">
        <f ca="1">Main[[#This Row],[بدهکار (کیلوگرم)]]-Main[[#This Row],[بدهی تسویه نشده (کیلوگرم)]]</f>
        <v>0</v>
      </c>
      <c r="O2182" s="6">
        <f ca="1">Main[[#This Row],[تفکیک]]</f>
        <v>0</v>
      </c>
      <c r="P2182" s="6">
        <f ca="1">IF(Main[[#This Row],[تاخیر از سررسید]]&gt;0,Main[[#This Row],[بدهی تسویه نشده (کیلوگرم)]],0)</f>
        <v>0</v>
      </c>
      <c r="Q2182" s="6">
        <f ca="1">IF(Main[[#This Row],[بدهی تسویه نشده (کیلوگرم)]]&gt;0,'گزارش فردی'!$B$7-Main[[#This Row],[تاريخ میلادی]],0)</f>
        <v>0</v>
      </c>
      <c r="R2182" s="6">
        <f ca="1">IF(Main[[#This Row],[بدهی تسویه نشده (کیلوگرم)]]&gt;0,'گزارش فردی'!$B$7-Main[[#This Row],[تاريخ میلادی]]-'گزارش فردی'!$B$8,0)</f>
        <v>0</v>
      </c>
      <c r="S2182" s="6">
        <f ca="1">Main[[#This Row],[روز از ارسال سفارش]]*Main[[#This Row],[بدهی تسویه نشده (کیلوگرم)]]</f>
        <v>0</v>
      </c>
      <c r="T2182" s="6">
        <f ca="1">Main[[#This Row],[بدهی سررسید شده (کیلوگرم)]]*Main[[#This Row],[روز از ارسال سفارش]]</f>
        <v>0</v>
      </c>
      <c r="U2182" s="6">
        <f>-SUBTOTAL(9,INDEX(Main[مقدار (کیلوگرم)],1):Main[[#This Row],[مقدار (کیلوگرم)]])</f>
        <v>34109</v>
      </c>
      <c r="V21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2" s="6">
        <f>Main[[#This Row],[تعداد کل روزهای بدهکار (روز)]]*Main[[#This Row],[مانده در خط کل (کیلوگرم)]]</f>
        <v>0</v>
      </c>
      <c r="X2182" s="6">
        <f ca="1">-SUBTOTAL(9,INDEX(Main[مقدار تسویه شده (کیلوگرم)],1):Main[[#This Row],[مقدار تسویه شده (کیلوگرم)]])</f>
        <v>34109</v>
      </c>
      <c r="Y2182" s="6">
        <f ca="1">IF(Main[[#This Row],[مانده در خط تسویه شده (کیلوگرم)]]&lt;&gt;0,Main[[#This Row],[تعداد کل روزهای بدهکار (روز)]],0)</f>
        <v>0</v>
      </c>
      <c r="Z2182" s="6">
        <f ca="1">Main[[#This Row],[تعداد روزهای بدهکار تسویه شده (روز)]]*Main[[#This Row],[مانده در خط تسویه شده (کیلوگرم)]]</f>
        <v>0</v>
      </c>
      <c r="AA2182" s="6">
        <f ca="1">SUBTOTAL(9,INDEX(Main[بدهی تسویه نشده (کیلوگرم)],1):Main[[#This Row],[بدهی تسویه نشده (کیلوگرم)]])</f>
        <v>0</v>
      </c>
      <c r="AB2182" s="6">
        <f ca="1">IF(Main[[#This Row],[مانده در خط تسویه نشده (کیلوگرم)]]&lt;&gt;0,Main[[#This Row],[تعداد کل روزهای بدهکار (روز)]],0)</f>
        <v>0</v>
      </c>
      <c r="AC2182" s="6">
        <f ca="1">Main[[#This Row],[تعداد روزهای بدهکار  تسویه نشده (روز)]]*Main[[#This Row],[مانده در خط تسویه نشده (کیلوگرم)]]</f>
        <v>0</v>
      </c>
      <c r="AD2182" s="6">
        <f ca="1">SUBTOTAL(9,INDEX(Main[بدهی سررسید شده (کیلوگرم)],1):Main[[#This Row],[بدهی سررسید شده (کیلوگرم)]])</f>
        <v>0</v>
      </c>
      <c r="AE2182" s="6">
        <f ca="1">IF(Main[[#This Row],[مانده در خط سررسید شده (کیلوگرم)]]&lt;&gt;0,Main[[#This Row],[تعداد کل روزهای بدهکار (روز)]],0)</f>
        <v>0</v>
      </c>
      <c r="AF2182" s="6">
        <f ca="1">Main[[#This Row],[تعداد روزهای بدهکار سررسید شده (روز)]]*Main[[#This Row],[مانده در خط سررسید شده (کیلوگرم)]]</f>
        <v>0</v>
      </c>
    </row>
    <row r="2183" spans="1:32" x14ac:dyDescent="0.35">
      <c r="A2183" s="5">
        <f>ROW()-ROW(INDEX(Main[ردیف],1))+1</f>
        <v>2181</v>
      </c>
      <c r="B2183" s="31">
        <f>SUBTOTAL(2,INDEX(Main[ردیف],1):Main[[#This Row],[ردیف]])</f>
        <v>199</v>
      </c>
      <c r="C2183" s="32" t="s">
        <v>766</v>
      </c>
      <c r="D2183" s="32" t="str">
        <f>_xlfn.CONCAT("14",Main[[#This Row],[تاريخ]])</f>
        <v>1400/08/26</v>
      </c>
      <c r="E2183" s="33">
        <v>44517</v>
      </c>
      <c r="F2183" s="32">
        <v>10003</v>
      </c>
      <c r="G2183" s="5" t="str">
        <f>INDEX(customer[عنوان],MATCH(Main[[#This Row],[کد ردیابی]],customer[کد],0))</f>
        <v>اصغر نورعلی</v>
      </c>
      <c r="H2183">
        <v>-1585</v>
      </c>
      <c r="I2183" s="6">
        <f ca="1">-Main[[#This Row],[بدهی تسویه شده (کیلوگرم)]]+Main[[#This Row],[بستانکار (کیلوگرم)]]</f>
        <v>-1585</v>
      </c>
      <c r="J2183" s="6">
        <f>IF(Main[[#This Row],[مقدار (کیلوگرم)]]&gt;0,Main[[#This Row],[مقدار (کیلوگرم)]],0)</f>
        <v>0</v>
      </c>
      <c r="K2183" s="6">
        <f>-IF(Main[[#This Row],[مقدار (کیلوگرم)]]&lt;0,Main[[#This Row],[مقدار (کیلوگرم)]],0)</f>
        <v>1585</v>
      </c>
      <c r="L21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3" s="7">
        <f>-IF(AND(Main[[#This Row],[مقدار (کیلوگرم)]]&lt;0,Main[[#This Row],[تاريخ میلادی]]&gt;44276),Main[[#This Row],[مقدار (کیلوگرم)]],0)</f>
        <v>1585</v>
      </c>
      <c r="N2183" s="6">
        <f ca="1">Main[[#This Row],[بدهکار (کیلوگرم)]]-Main[[#This Row],[بدهی تسویه نشده (کیلوگرم)]]</f>
        <v>1585</v>
      </c>
      <c r="O2183" s="6">
        <f ca="1">Main[[#This Row],[تفکیک]]</f>
        <v>0</v>
      </c>
      <c r="P2183" s="6">
        <f ca="1">IF(Main[[#This Row],[تاخیر از سررسید]]&gt;0,Main[[#This Row],[بدهی تسویه نشده (کیلوگرم)]],0)</f>
        <v>0</v>
      </c>
      <c r="Q2183" s="6">
        <f ca="1">IF(Main[[#This Row],[بدهی تسویه نشده (کیلوگرم)]]&gt;0,'گزارش فردی'!$B$7-Main[[#This Row],[تاريخ میلادی]],0)</f>
        <v>0</v>
      </c>
      <c r="R2183" s="6">
        <f ca="1">IF(Main[[#This Row],[بدهی تسویه نشده (کیلوگرم)]]&gt;0,'گزارش فردی'!$B$7-Main[[#This Row],[تاريخ میلادی]]-'گزارش فردی'!$B$8,0)</f>
        <v>0</v>
      </c>
      <c r="S2183" s="6">
        <f ca="1">Main[[#This Row],[روز از ارسال سفارش]]*Main[[#This Row],[بدهی تسویه نشده (کیلوگرم)]]</f>
        <v>0</v>
      </c>
      <c r="T2183" s="6">
        <f ca="1">Main[[#This Row],[بدهی سررسید شده (کیلوگرم)]]*Main[[#This Row],[روز از ارسال سفارش]]</f>
        <v>0</v>
      </c>
      <c r="U2183" s="6">
        <f>-SUBTOTAL(9,INDEX(Main[مقدار (کیلوگرم)],1):Main[[#This Row],[مقدار (کیلوگرم)]])</f>
        <v>35694</v>
      </c>
      <c r="V21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3" s="6">
        <f>Main[[#This Row],[تعداد کل روزهای بدهکار (روز)]]*Main[[#This Row],[مانده در خط کل (کیلوگرم)]]</f>
        <v>0</v>
      </c>
      <c r="X2183" s="6">
        <f ca="1">-SUBTOTAL(9,INDEX(Main[مقدار تسویه شده (کیلوگرم)],1):Main[[#This Row],[مقدار تسویه شده (کیلوگرم)]])</f>
        <v>35694</v>
      </c>
      <c r="Y2183" s="6">
        <f ca="1">IF(Main[[#This Row],[مانده در خط تسویه شده (کیلوگرم)]]&lt;&gt;0,Main[[#This Row],[تعداد کل روزهای بدهکار (روز)]],0)</f>
        <v>0</v>
      </c>
      <c r="Z2183" s="6">
        <f ca="1">Main[[#This Row],[تعداد روزهای بدهکار تسویه شده (روز)]]*Main[[#This Row],[مانده در خط تسویه شده (کیلوگرم)]]</f>
        <v>0</v>
      </c>
      <c r="AA2183" s="6">
        <f ca="1">SUBTOTAL(9,INDEX(Main[بدهی تسویه نشده (کیلوگرم)],1):Main[[#This Row],[بدهی تسویه نشده (کیلوگرم)]])</f>
        <v>0</v>
      </c>
      <c r="AB2183" s="6">
        <f ca="1">IF(Main[[#This Row],[مانده در خط تسویه نشده (کیلوگرم)]]&lt;&gt;0,Main[[#This Row],[تعداد کل روزهای بدهکار (روز)]],0)</f>
        <v>0</v>
      </c>
      <c r="AC2183" s="6">
        <f ca="1">Main[[#This Row],[تعداد روزهای بدهکار  تسویه نشده (روز)]]*Main[[#This Row],[مانده در خط تسویه نشده (کیلوگرم)]]</f>
        <v>0</v>
      </c>
      <c r="AD2183" s="6">
        <f ca="1">SUBTOTAL(9,INDEX(Main[بدهی سررسید شده (کیلوگرم)],1):Main[[#This Row],[بدهی سررسید شده (کیلوگرم)]])</f>
        <v>0</v>
      </c>
      <c r="AE2183" s="6">
        <f ca="1">IF(Main[[#This Row],[مانده در خط سررسید شده (کیلوگرم)]]&lt;&gt;0,Main[[#This Row],[تعداد کل روزهای بدهکار (روز)]],0)</f>
        <v>0</v>
      </c>
      <c r="AF2183" s="6">
        <f ca="1">Main[[#This Row],[تعداد روزهای بدهکار سررسید شده (روز)]]*Main[[#This Row],[مانده در خط سررسید شده (کیلوگرم)]]</f>
        <v>0</v>
      </c>
    </row>
    <row r="2184" spans="1:32" hidden="1" x14ac:dyDescent="0.35">
      <c r="A2184" s="5">
        <f>ROW()-ROW(INDEX(Main[ردیف],1))+1</f>
        <v>2182</v>
      </c>
      <c r="B2184" s="31">
        <f>SUBTOTAL(2,INDEX(Main[ردیف],1):Main[[#This Row],[ردیف]])</f>
        <v>199</v>
      </c>
      <c r="C2184" s="32" t="s">
        <v>766</v>
      </c>
      <c r="D2184" s="32" t="str">
        <f>_xlfn.CONCAT("14",Main[[#This Row],[تاريخ]])</f>
        <v>1400/08/26</v>
      </c>
      <c r="E2184" s="33">
        <v>44517</v>
      </c>
      <c r="F2184" s="32">
        <v>30155</v>
      </c>
      <c r="G2184" s="5" t="str">
        <f>INDEX(customer[عنوان],MATCH(Main[[#This Row],[کد ردیابی]],customer[کد],0))</f>
        <v>سری تراشی طاهری</v>
      </c>
      <c r="H2184">
        <v>17</v>
      </c>
      <c r="I2184" s="6">
        <f ca="1">-Main[[#This Row],[بدهی تسویه شده (کیلوگرم)]]+Main[[#This Row],[بستانکار (کیلوگرم)]]</f>
        <v>17</v>
      </c>
      <c r="J2184" s="6">
        <f>IF(Main[[#This Row],[مقدار (کیلوگرم)]]&gt;0,Main[[#This Row],[مقدار (کیلوگرم)]],0)</f>
        <v>17</v>
      </c>
      <c r="K2184" s="6">
        <f>-IF(Main[[#This Row],[مقدار (کیلوگرم)]]&lt;0,Main[[#This Row],[مقدار (کیلوگرم)]],0)</f>
        <v>0</v>
      </c>
      <c r="L21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4" s="7">
        <f>-IF(AND(Main[[#This Row],[مقدار (کیلوگرم)]]&lt;0,Main[[#This Row],[تاريخ میلادی]]&gt;44276),Main[[#This Row],[مقدار (کیلوگرم)]],0)</f>
        <v>0</v>
      </c>
      <c r="N2184" s="6">
        <f ca="1">Main[[#This Row],[بدهکار (کیلوگرم)]]-Main[[#This Row],[بدهی تسویه نشده (کیلوگرم)]]</f>
        <v>0</v>
      </c>
      <c r="O2184" s="6">
        <f ca="1">Main[[#This Row],[تفکیک]]</f>
        <v>0</v>
      </c>
      <c r="P2184" s="6">
        <f ca="1">IF(Main[[#This Row],[تاخیر از سررسید]]&gt;0,Main[[#This Row],[بدهی تسویه نشده (کیلوگرم)]],0)</f>
        <v>0</v>
      </c>
      <c r="Q2184" s="6">
        <f ca="1">IF(Main[[#This Row],[بدهی تسویه نشده (کیلوگرم)]]&gt;0,'گزارش فردی'!$B$7-Main[[#This Row],[تاريخ میلادی]],0)</f>
        <v>0</v>
      </c>
      <c r="R2184" s="6">
        <f ca="1">IF(Main[[#This Row],[بدهی تسویه نشده (کیلوگرم)]]&gt;0,'گزارش فردی'!$B$7-Main[[#This Row],[تاريخ میلادی]]-'گزارش فردی'!$B$8,0)</f>
        <v>0</v>
      </c>
      <c r="S2184" s="6">
        <f ca="1">Main[[#This Row],[روز از ارسال سفارش]]*Main[[#This Row],[بدهی تسویه نشده (کیلوگرم)]]</f>
        <v>0</v>
      </c>
      <c r="T2184" s="6">
        <f ca="1">Main[[#This Row],[بدهی سررسید شده (کیلوگرم)]]*Main[[#This Row],[روز از ارسال سفارش]]</f>
        <v>0</v>
      </c>
      <c r="U2184" s="6">
        <f>-SUBTOTAL(9,INDEX(Main[مقدار (کیلوگرم)],1):Main[[#This Row],[مقدار (کیلوگرم)]])</f>
        <v>35694</v>
      </c>
      <c r="V21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4" s="6">
        <f>Main[[#This Row],[تعداد کل روزهای بدهکار (روز)]]*Main[[#This Row],[مانده در خط کل (کیلوگرم)]]</f>
        <v>0</v>
      </c>
      <c r="X2184" s="6">
        <f ca="1">-SUBTOTAL(9,INDEX(Main[مقدار تسویه شده (کیلوگرم)],1):Main[[#This Row],[مقدار تسویه شده (کیلوگرم)]])</f>
        <v>35694</v>
      </c>
      <c r="Y2184" s="6">
        <f ca="1">IF(Main[[#This Row],[مانده در خط تسویه شده (کیلوگرم)]]&lt;&gt;0,Main[[#This Row],[تعداد کل روزهای بدهکار (روز)]],0)</f>
        <v>0</v>
      </c>
      <c r="Z2184" s="6">
        <f ca="1">Main[[#This Row],[تعداد روزهای بدهکار تسویه شده (روز)]]*Main[[#This Row],[مانده در خط تسویه شده (کیلوگرم)]]</f>
        <v>0</v>
      </c>
      <c r="AA2184" s="6">
        <f ca="1">SUBTOTAL(9,INDEX(Main[بدهی تسویه نشده (کیلوگرم)],1):Main[[#This Row],[بدهی تسویه نشده (کیلوگرم)]])</f>
        <v>0</v>
      </c>
      <c r="AB2184" s="6">
        <f ca="1">IF(Main[[#This Row],[مانده در خط تسویه نشده (کیلوگرم)]]&lt;&gt;0,Main[[#This Row],[تعداد کل روزهای بدهکار (روز)]],0)</f>
        <v>0</v>
      </c>
      <c r="AC2184" s="6">
        <f ca="1">Main[[#This Row],[تعداد روزهای بدهکار  تسویه نشده (روز)]]*Main[[#This Row],[مانده در خط تسویه نشده (کیلوگرم)]]</f>
        <v>0</v>
      </c>
      <c r="AD2184" s="6">
        <f ca="1">SUBTOTAL(9,INDEX(Main[بدهی سررسید شده (کیلوگرم)],1):Main[[#This Row],[بدهی سررسید شده (کیلوگرم)]])</f>
        <v>0</v>
      </c>
      <c r="AE2184" s="6">
        <f ca="1">IF(Main[[#This Row],[مانده در خط سررسید شده (کیلوگرم)]]&lt;&gt;0,Main[[#This Row],[تعداد کل روزهای بدهکار (روز)]],0)</f>
        <v>0</v>
      </c>
      <c r="AF2184" s="6">
        <f ca="1">Main[[#This Row],[تعداد روزهای بدهکار سررسید شده (روز)]]*Main[[#This Row],[مانده در خط سررسید شده (کیلوگرم)]]</f>
        <v>0</v>
      </c>
    </row>
    <row r="2185" spans="1:32" hidden="1" x14ac:dyDescent="0.35">
      <c r="A2185" s="5">
        <f>ROW()-ROW(INDEX(Main[ردیف],1))+1</f>
        <v>2183</v>
      </c>
      <c r="B2185" s="31">
        <f>SUBTOTAL(2,INDEX(Main[ردیف],1):Main[[#This Row],[ردیف]])</f>
        <v>199</v>
      </c>
      <c r="C2185" s="32" t="s">
        <v>766</v>
      </c>
      <c r="D2185" s="32" t="str">
        <f>_xlfn.CONCAT("14",Main[[#This Row],[تاريخ]])</f>
        <v>1400/08/26</v>
      </c>
      <c r="E2185" s="33">
        <v>44517</v>
      </c>
      <c r="F2185" s="32">
        <v>30205</v>
      </c>
      <c r="G2185" s="5" t="str">
        <f>INDEX(customer[عنوان],MATCH(Main[[#This Row],[کد ردیابی]],customer[کد],0))</f>
        <v>ایران پالاد</v>
      </c>
      <c r="H2185">
        <v>-3734</v>
      </c>
      <c r="I2185" s="6">
        <f ca="1">-Main[[#This Row],[بدهی تسویه شده (کیلوگرم)]]+Main[[#This Row],[بستانکار (کیلوگرم)]]</f>
        <v>-3734</v>
      </c>
      <c r="J2185" s="6">
        <f>IF(Main[[#This Row],[مقدار (کیلوگرم)]]&gt;0,Main[[#This Row],[مقدار (کیلوگرم)]],0)</f>
        <v>0</v>
      </c>
      <c r="K2185" s="6">
        <f>-IF(Main[[#This Row],[مقدار (کیلوگرم)]]&lt;0,Main[[#This Row],[مقدار (کیلوگرم)]],0)</f>
        <v>3734</v>
      </c>
      <c r="L21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5" s="7">
        <f>-IF(AND(Main[[#This Row],[مقدار (کیلوگرم)]]&lt;0,Main[[#This Row],[تاريخ میلادی]]&gt;44276),Main[[#This Row],[مقدار (کیلوگرم)]],0)</f>
        <v>3734</v>
      </c>
      <c r="N2185" s="6">
        <f ca="1">Main[[#This Row],[بدهکار (کیلوگرم)]]-Main[[#This Row],[بدهی تسویه نشده (کیلوگرم)]]</f>
        <v>3734</v>
      </c>
      <c r="O2185" s="6">
        <f ca="1">Main[[#This Row],[تفکیک]]</f>
        <v>0</v>
      </c>
      <c r="P2185" s="6">
        <f ca="1">IF(Main[[#This Row],[تاخیر از سررسید]]&gt;0,Main[[#This Row],[بدهی تسویه نشده (کیلوگرم)]],0)</f>
        <v>0</v>
      </c>
      <c r="Q2185" s="6">
        <f ca="1">IF(Main[[#This Row],[بدهی تسویه نشده (کیلوگرم)]]&gt;0,'گزارش فردی'!$B$7-Main[[#This Row],[تاريخ میلادی]],0)</f>
        <v>0</v>
      </c>
      <c r="R2185" s="6">
        <f ca="1">IF(Main[[#This Row],[بدهی تسویه نشده (کیلوگرم)]]&gt;0,'گزارش فردی'!$B$7-Main[[#This Row],[تاريخ میلادی]]-'گزارش فردی'!$B$8,0)</f>
        <v>0</v>
      </c>
      <c r="S2185" s="6">
        <f ca="1">Main[[#This Row],[روز از ارسال سفارش]]*Main[[#This Row],[بدهی تسویه نشده (کیلوگرم)]]</f>
        <v>0</v>
      </c>
      <c r="T2185" s="6">
        <f ca="1">Main[[#This Row],[بدهی سررسید شده (کیلوگرم)]]*Main[[#This Row],[روز از ارسال سفارش]]</f>
        <v>0</v>
      </c>
      <c r="U2185" s="6">
        <f>-SUBTOTAL(9,INDEX(Main[مقدار (کیلوگرم)],1):Main[[#This Row],[مقدار (کیلوگرم)]])</f>
        <v>35694</v>
      </c>
      <c r="V21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5" s="6">
        <f>Main[[#This Row],[تعداد کل روزهای بدهکار (روز)]]*Main[[#This Row],[مانده در خط کل (کیلوگرم)]]</f>
        <v>0</v>
      </c>
      <c r="X2185" s="6">
        <f ca="1">-SUBTOTAL(9,INDEX(Main[مقدار تسویه شده (کیلوگرم)],1):Main[[#This Row],[مقدار تسویه شده (کیلوگرم)]])</f>
        <v>35694</v>
      </c>
      <c r="Y2185" s="6">
        <f ca="1">IF(Main[[#This Row],[مانده در خط تسویه شده (کیلوگرم)]]&lt;&gt;0,Main[[#This Row],[تعداد کل روزهای بدهکار (روز)]],0)</f>
        <v>0</v>
      </c>
      <c r="Z2185" s="6">
        <f ca="1">Main[[#This Row],[تعداد روزهای بدهکار تسویه شده (روز)]]*Main[[#This Row],[مانده در خط تسویه شده (کیلوگرم)]]</f>
        <v>0</v>
      </c>
      <c r="AA2185" s="6">
        <f ca="1">SUBTOTAL(9,INDEX(Main[بدهی تسویه نشده (کیلوگرم)],1):Main[[#This Row],[بدهی تسویه نشده (کیلوگرم)]])</f>
        <v>0</v>
      </c>
      <c r="AB2185" s="6">
        <f ca="1">IF(Main[[#This Row],[مانده در خط تسویه نشده (کیلوگرم)]]&lt;&gt;0,Main[[#This Row],[تعداد کل روزهای بدهکار (روز)]],0)</f>
        <v>0</v>
      </c>
      <c r="AC2185" s="6">
        <f ca="1">Main[[#This Row],[تعداد روزهای بدهکار  تسویه نشده (روز)]]*Main[[#This Row],[مانده در خط تسویه نشده (کیلوگرم)]]</f>
        <v>0</v>
      </c>
      <c r="AD2185" s="6">
        <f ca="1">SUBTOTAL(9,INDEX(Main[بدهی سررسید شده (کیلوگرم)],1):Main[[#This Row],[بدهی سررسید شده (کیلوگرم)]])</f>
        <v>0</v>
      </c>
      <c r="AE2185" s="6">
        <f ca="1">IF(Main[[#This Row],[مانده در خط سررسید شده (کیلوگرم)]]&lt;&gt;0,Main[[#This Row],[تعداد کل روزهای بدهکار (روز)]],0)</f>
        <v>0</v>
      </c>
      <c r="AF2185" s="6">
        <f ca="1">Main[[#This Row],[تعداد روزهای بدهکار سررسید شده (روز)]]*Main[[#This Row],[مانده در خط سررسید شده (کیلوگرم)]]</f>
        <v>0</v>
      </c>
    </row>
    <row r="2186" spans="1:32" hidden="1" x14ac:dyDescent="0.35">
      <c r="A2186" s="5">
        <f>ROW()-ROW(INDEX(Main[ردیف],1))+1</f>
        <v>2184</v>
      </c>
      <c r="B2186" s="31">
        <f>SUBTOTAL(2,INDEX(Main[ردیف],1):Main[[#This Row],[ردیف]])</f>
        <v>199</v>
      </c>
      <c r="C2186" s="32" t="s">
        <v>766</v>
      </c>
      <c r="D2186" s="32" t="str">
        <f>_xlfn.CONCAT("14",Main[[#This Row],[تاريخ]])</f>
        <v>1400/08/26</v>
      </c>
      <c r="E2186" s="33">
        <v>44517</v>
      </c>
      <c r="F2186" s="32">
        <v>30191</v>
      </c>
      <c r="G2186" s="5" t="str">
        <f>INDEX(customer[عنوان],MATCH(Main[[#This Row],[کد ردیابی]],customer[کد],0))</f>
        <v>ایران گرما</v>
      </c>
      <c r="H2186">
        <v>153</v>
      </c>
      <c r="I2186" s="6">
        <f ca="1">-Main[[#This Row],[بدهی تسویه شده (کیلوگرم)]]+Main[[#This Row],[بستانکار (کیلوگرم)]]</f>
        <v>153</v>
      </c>
      <c r="J2186" s="6">
        <f>IF(Main[[#This Row],[مقدار (کیلوگرم)]]&gt;0,Main[[#This Row],[مقدار (کیلوگرم)]],0)</f>
        <v>153</v>
      </c>
      <c r="K2186" s="6">
        <f>-IF(Main[[#This Row],[مقدار (کیلوگرم)]]&lt;0,Main[[#This Row],[مقدار (کیلوگرم)]],0)</f>
        <v>0</v>
      </c>
      <c r="L21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6" s="7">
        <f>-IF(AND(Main[[#This Row],[مقدار (کیلوگرم)]]&lt;0,Main[[#This Row],[تاريخ میلادی]]&gt;44276),Main[[#This Row],[مقدار (کیلوگرم)]],0)</f>
        <v>0</v>
      </c>
      <c r="N2186" s="6">
        <f ca="1">Main[[#This Row],[بدهکار (کیلوگرم)]]-Main[[#This Row],[بدهی تسویه نشده (کیلوگرم)]]</f>
        <v>0</v>
      </c>
      <c r="O2186" s="6">
        <f ca="1">Main[[#This Row],[تفکیک]]</f>
        <v>0</v>
      </c>
      <c r="P2186" s="6">
        <f ca="1">IF(Main[[#This Row],[تاخیر از سررسید]]&gt;0,Main[[#This Row],[بدهی تسویه نشده (کیلوگرم)]],0)</f>
        <v>0</v>
      </c>
      <c r="Q2186" s="6">
        <f ca="1">IF(Main[[#This Row],[بدهی تسویه نشده (کیلوگرم)]]&gt;0,'گزارش فردی'!$B$7-Main[[#This Row],[تاريخ میلادی]],0)</f>
        <v>0</v>
      </c>
      <c r="R2186" s="6">
        <f ca="1">IF(Main[[#This Row],[بدهی تسویه نشده (کیلوگرم)]]&gt;0,'گزارش فردی'!$B$7-Main[[#This Row],[تاريخ میلادی]]-'گزارش فردی'!$B$8,0)</f>
        <v>0</v>
      </c>
      <c r="S2186" s="6">
        <f ca="1">Main[[#This Row],[روز از ارسال سفارش]]*Main[[#This Row],[بدهی تسویه نشده (کیلوگرم)]]</f>
        <v>0</v>
      </c>
      <c r="T2186" s="6">
        <f ca="1">Main[[#This Row],[بدهی سررسید شده (کیلوگرم)]]*Main[[#This Row],[روز از ارسال سفارش]]</f>
        <v>0</v>
      </c>
      <c r="U2186" s="6">
        <f>-SUBTOTAL(9,INDEX(Main[مقدار (کیلوگرم)],1):Main[[#This Row],[مقدار (کیلوگرم)]])</f>
        <v>35694</v>
      </c>
      <c r="V21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6" s="6">
        <f>Main[[#This Row],[تعداد کل روزهای بدهکار (روز)]]*Main[[#This Row],[مانده در خط کل (کیلوگرم)]]</f>
        <v>0</v>
      </c>
      <c r="X2186" s="6">
        <f ca="1">-SUBTOTAL(9,INDEX(Main[مقدار تسویه شده (کیلوگرم)],1):Main[[#This Row],[مقدار تسویه شده (کیلوگرم)]])</f>
        <v>35694</v>
      </c>
      <c r="Y2186" s="6">
        <f ca="1">IF(Main[[#This Row],[مانده در خط تسویه شده (کیلوگرم)]]&lt;&gt;0,Main[[#This Row],[تعداد کل روزهای بدهکار (روز)]],0)</f>
        <v>0</v>
      </c>
      <c r="Z2186" s="6">
        <f ca="1">Main[[#This Row],[تعداد روزهای بدهکار تسویه شده (روز)]]*Main[[#This Row],[مانده در خط تسویه شده (کیلوگرم)]]</f>
        <v>0</v>
      </c>
      <c r="AA2186" s="6">
        <f ca="1">SUBTOTAL(9,INDEX(Main[بدهی تسویه نشده (کیلوگرم)],1):Main[[#This Row],[بدهی تسویه نشده (کیلوگرم)]])</f>
        <v>0</v>
      </c>
      <c r="AB2186" s="6">
        <f ca="1">IF(Main[[#This Row],[مانده در خط تسویه نشده (کیلوگرم)]]&lt;&gt;0,Main[[#This Row],[تعداد کل روزهای بدهکار (روز)]],0)</f>
        <v>0</v>
      </c>
      <c r="AC2186" s="6">
        <f ca="1">Main[[#This Row],[تعداد روزهای بدهکار  تسویه نشده (روز)]]*Main[[#This Row],[مانده در خط تسویه نشده (کیلوگرم)]]</f>
        <v>0</v>
      </c>
      <c r="AD2186" s="6">
        <f ca="1">SUBTOTAL(9,INDEX(Main[بدهی سررسید شده (کیلوگرم)],1):Main[[#This Row],[بدهی سررسید شده (کیلوگرم)]])</f>
        <v>0</v>
      </c>
      <c r="AE2186" s="6">
        <f ca="1">IF(Main[[#This Row],[مانده در خط سررسید شده (کیلوگرم)]]&lt;&gt;0,Main[[#This Row],[تعداد کل روزهای بدهکار (روز)]],0)</f>
        <v>0</v>
      </c>
      <c r="AF2186" s="6">
        <f ca="1">Main[[#This Row],[تعداد روزهای بدهکار سررسید شده (روز)]]*Main[[#This Row],[مانده در خط سررسید شده (کیلوگرم)]]</f>
        <v>0</v>
      </c>
    </row>
    <row r="2187" spans="1:32" hidden="1" x14ac:dyDescent="0.35">
      <c r="A2187" s="5">
        <f>ROW()-ROW(INDEX(Main[ردیف],1))+1</f>
        <v>2185</v>
      </c>
      <c r="B2187" s="31">
        <f>SUBTOTAL(2,INDEX(Main[ردیف],1):Main[[#This Row],[ردیف]])</f>
        <v>199</v>
      </c>
      <c r="C2187" s="32" t="s">
        <v>766</v>
      </c>
      <c r="D2187" s="32" t="str">
        <f>_xlfn.CONCAT("14",Main[[#This Row],[تاريخ]])</f>
        <v>1400/08/26</v>
      </c>
      <c r="E2187" s="33">
        <v>44517</v>
      </c>
      <c r="F2187" s="32">
        <v>30131</v>
      </c>
      <c r="G2187" s="5" t="str">
        <f>INDEX(customer[عنوان],MATCH(Main[[#This Row],[کد ردیابی]],customer[کد],0))</f>
        <v>ادهم مس تبریز</v>
      </c>
      <c r="H2187">
        <v>-6001</v>
      </c>
      <c r="I2187" s="6">
        <f ca="1">-Main[[#This Row],[بدهی تسویه شده (کیلوگرم)]]+Main[[#This Row],[بستانکار (کیلوگرم)]]</f>
        <v>-6001</v>
      </c>
      <c r="J2187" s="6">
        <f>IF(Main[[#This Row],[مقدار (کیلوگرم)]]&gt;0,Main[[#This Row],[مقدار (کیلوگرم)]],0)</f>
        <v>0</v>
      </c>
      <c r="K2187" s="6">
        <f>-IF(Main[[#This Row],[مقدار (کیلوگرم)]]&lt;0,Main[[#This Row],[مقدار (کیلوگرم)]],0)</f>
        <v>6001</v>
      </c>
      <c r="L21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7" s="7">
        <f>-IF(AND(Main[[#This Row],[مقدار (کیلوگرم)]]&lt;0,Main[[#This Row],[تاريخ میلادی]]&gt;44276),Main[[#This Row],[مقدار (کیلوگرم)]],0)</f>
        <v>6001</v>
      </c>
      <c r="N2187" s="6">
        <f ca="1">Main[[#This Row],[بدهکار (کیلوگرم)]]-Main[[#This Row],[بدهی تسویه نشده (کیلوگرم)]]</f>
        <v>6001</v>
      </c>
      <c r="O2187" s="6">
        <f ca="1">Main[[#This Row],[تفکیک]]</f>
        <v>0</v>
      </c>
      <c r="P2187" s="6">
        <f ca="1">IF(Main[[#This Row],[تاخیر از سررسید]]&gt;0,Main[[#This Row],[بدهی تسویه نشده (کیلوگرم)]],0)</f>
        <v>0</v>
      </c>
      <c r="Q2187" s="6">
        <f ca="1">IF(Main[[#This Row],[بدهی تسویه نشده (کیلوگرم)]]&gt;0,'گزارش فردی'!$B$7-Main[[#This Row],[تاريخ میلادی]],0)</f>
        <v>0</v>
      </c>
      <c r="R2187" s="6">
        <f ca="1">IF(Main[[#This Row],[بدهی تسویه نشده (کیلوگرم)]]&gt;0,'گزارش فردی'!$B$7-Main[[#This Row],[تاريخ میلادی]]-'گزارش فردی'!$B$8,0)</f>
        <v>0</v>
      </c>
      <c r="S2187" s="6">
        <f ca="1">Main[[#This Row],[روز از ارسال سفارش]]*Main[[#This Row],[بدهی تسویه نشده (کیلوگرم)]]</f>
        <v>0</v>
      </c>
      <c r="T2187" s="6">
        <f ca="1">Main[[#This Row],[بدهی سررسید شده (کیلوگرم)]]*Main[[#This Row],[روز از ارسال سفارش]]</f>
        <v>0</v>
      </c>
      <c r="U2187" s="6">
        <f>-SUBTOTAL(9,INDEX(Main[مقدار (کیلوگرم)],1):Main[[#This Row],[مقدار (کیلوگرم)]])</f>
        <v>35694</v>
      </c>
      <c r="V21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7" s="6">
        <f>Main[[#This Row],[تعداد کل روزهای بدهکار (روز)]]*Main[[#This Row],[مانده در خط کل (کیلوگرم)]]</f>
        <v>0</v>
      </c>
      <c r="X2187" s="6">
        <f ca="1">-SUBTOTAL(9,INDEX(Main[مقدار تسویه شده (کیلوگرم)],1):Main[[#This Row],[مقدار تسویه شده (کیلوگرم)]])</f>
        <v>35694</v>
      </c>
      <c r="Y2187" s="6">
        <f ca="1">IF(Main[[#This Row],[مانده در خط تسویه شده (کیلوگرم)]]&lt;&gt;0,Main[[#This Row],[تعداد کل روزهای بدهکار (روز)]],0)</f>
        <v>0</v>
      </c>
      <c r="Z2187" s="6">
        <f ca="1">Main[[#This Row],[تعداد روزهای بدهکار تسویه شده (روز)]]*Main[[#This Row],[مانده در خط تسویه شده (کیلوگرم)]]</f>
        <v>0</v>
      </c>
      <c r="AA2187" s="6">
        <f ca="1">SUBTOTAL(9,INDEX(Main[بدهی تسویه نشده (کیلوگرم)],1):Main[[#This Row],[بدهی تسویه نشده (کیلوگرم)]])</f>
        <v>0</v>
      </c>
      <c r="AB2187" s="6">
        <f ca="1">IF(Main[[#This Row],[مانده در خط تسویه نشده (کیلوگرم)]]&lt;&gt;0,Main[[#This Row],[تعداد کل روزهای بدهکار (روز)]],0)</f>
        <v>0</v>
      </c>
      <c r="AC2187" s="6">
        <f ca="1">Main[[#This Row],[تعداد روزهای بدهکار  تسویه نشده (روز)]]*Main[[#This Row],[مانده در خط تسویه نشده (کیلوگرم)]]</f>
        <v>0</v>
      </c>
      <c r="AD2187" s="6">
        <f ca="1">SUBTOTAL(9,INDEX(Main[بدهی سررسید شده (کیلوگرم)],1):Main[[#This Row],[بدهی سررسید شده (کیلوگرم)]])</f>
        <v>0</v>
      </c>
      <c r="AE2187" s="6">
        <f ca="1">IF(Main[[#This Row],[مانده در خط سررسید شده (کیلوگرم)]]&lt;&gt;0,Main[[#This Row],[تعداد کل روزهای بدهکار (روز)]],0)</f>
        <v>0</v>
      </c>
      <c r="AF2187" s="6">
        <f ca="1">Main[[#This Row],[تعداد روزهای بدهکار سررسید شده (روز)]]*Main[[#This Row],[مانده در خط سررسید شده (کیلوگرم)]]</f>
        <v>0</v>
      </c>
    </row>
    <row r="2188" spans="1:32" hidden="1" x14ac:dyDescent="0.35">
      <c r="A2188" s="5">
        <f>ROW()-ROW(INDEX(Main[ردیف],1))+1</f>
        <v>2186</v>
      </c>
      <c r="B2188" s="31">
        <f>SUBTOTAL(2,INDEX(Main[ردیف],1):Main[[#This Row],[ردیف]])</f>
        <v>199</v>
      </c>
      <c r="C2188" s="32" t="s">
        <v>766</v>
      </c>
      <c r="D2188" s="32" t="str">
        <f>_xlfn.CONCAT("14",Main[[#This Row],[تاريخ]])</f>
        <v>1400/08/26</v>
      </c>
      <c r="E2188" s="33">
        <v>44517</v>
      </c>
      <c r="F2188" s="32">
        <v>10020</v>
      </c>
      <c r="G2188" s="5" t="str">
        <f>INDEX(customer[عنوان],MATCH(Main[[#This Row],[کد ردیابی]],customer[کد],0))</f>
        <v>فرزاد اسماعیل زاده</v>
      </c>
      <c r="H2188">
        <v>325</v>
      </c>
      <c r="I2188" s="6">
        <f ca="1">-Main[[#This Row],[بدهی تسویه شده (کیلوگرم)]]+Main[[#This Row],[بستانکار (کیلوگرم)]]</f>
        <v>325</v>
      </c>
      <c r="J2188" s="6">
        <f>IF(Main[[#This Row],[مقدار (کیلوگرم)]]&gt;0,Main[[#This Row],[مقدار (کیلوگرم)]],0)</f>
        <v>325</v>
      </c>
      <c r="K2188" s="6">
        <f>-IF(Main[[#This Row],[مقدار (کیلوگرم)]]&lt;0,Main[[#This Row],[مقدار (کیلوگرم)]],0)</f>
        <v>0</v>
      </c>
      <c r="L21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8" s="7">
        <f>-IF(AND(Main[[#This Row],[مقدار (کیلوگرم)]]&lt;0,Main[[#This Row],[تاريخ میلادی]]&gt;44276),Main[[#This Row],[مقدار (کیلوگرم)]],0)</f>
        <v>0</v>
      </c>
      <c r="N2188" s="6">
        <f ca="1">Main[[#This Row],[بدهکار (کیلوگرم)]]-Main[[#This Row],[بدهی تسویه نشده (کیلوگرم)]]</f>
        <v>0</v>
      </c>
      <c r="O2188" s="6">
        <f ca="1">Main[[#This Row],[تفکیک]]</f>
        <v>0</v>
      </c>
      <c r="P2188" s="6">
        <f ca="1">IF(Main[[#This Row],[تاخیر از سررسید]]&gt;0,Main[[#This Row],[بدهی تسویه نشده (کیلوگرم)]],0)</f>
        <v>0</v>
      </c>
      <c r="Q2188" s="6">
        <f ca="1">IF(Main[[#This Row],[بدهی تسویه نشده (کیلوگرم)]]&gt;0,'گزارش فردی'!$B$7-Main[[#This Row],[تاريخ میلادی]],0)</f>
        <v>0</v>
      </c>
      <c r="R2188" s="6">
        <f ca="1">IF(Main[[#This Row],[بدهی تسویه نشده (کیلوگرم)]]&gt;0,'گزارش فردی'!$B$7-Main[[#This Row],[تاريخ میلادی]]-'گزارش فردی'!$B$8,0)</f>
        <v>0</v>
      </c>
      <c r="S2188" s="6">
        <f ca="1">Main[[#This Row],[روز از ارسال سفارش]]*Main[[#This Row],[بدهی تسویه نشده (کیلوگرم)]]</f>
        <v>0</v>
      </c>
      <c r="T2188" s="6">
        <f ca="1">Main[[#This Row],[بدهی سررسید شده (کیلوگرم)]]*Main[[#This Row],[روز از ارسال سفارش]]</f>
        <v>0</v>
      </c>
      <c r="U2188" s="6">
        <f>-SUBTOTAL(9,INDEX(Main[مقدار (کیلوگرم)],1):Main[[#This Row],[مقدار (کیلوگرم)]])</f>
        <v>35694</v>
      </c>
      <c r="V21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8" s="6">
        <f>Main[[#This Row],[تعداد کل روزهای بدهکار (روز)]]*Main[[#This Row],[مانده در خط کل (کیلوگرم)]]</f>
        <v>0</v>
      </c>
      <c r="X2188" s="6">
        <f ca="1">-SUBTOTAL(9,INDEX(Main[مقدار تسویه شده (کیلوگرم)],1):Main[[#This Row],[مقدار تسویه شده (کیلوگرم)]])</f>
        <v>35694</v>
      </c>
      <c r="Y2188" s="6">
        <f ca="1">IF(Main[[#This Row],[مانده در خط تسویه شده (کیلوگرم)]]&lt;&gt;0,Main[[#This Row],[تعداد کل روزهای بدهکار (روز)]],0)</f>
        <v>0</v>
      </c>
      <c r="Z2188" s="6">
        <f ca="1">Main[[#This Row],[تعداد روزهای بدهکار تسویه شده (روز)]]*Main[[#This Row],[مانده در خط تسویه شده (کیلوگرم)]]</f>
        <v>0</v>
      </c>
      <c r="AA2188" s="6">
        <f ca="1">SUBTOTAL(9,INDEX(Main[بدهی تسویه نشده (کیلوگرم)],1):Main[[#This Row],[بدهی تسویه نشده (کیلوگرم)]])</f>
        <v>0</v>
      </c>
      <c r="AB2188" s="6">
        <f ca="1">IF(Main[[#This Row],[مانده در خط تسویه نشده (کیلوگرم)]]&lt;&gt;0,Main[[#This Row],[تعداد کل روزهای بدهکار (روز)]],0)</f>
        <v>0</v>
      </c>
      <c r="AC2188" s="6">
        <f ca="1">Main[[#This Row],[تعداد روزهای بدهکار  تسویه نشده (روز)]]*Main[[#This Row],[مانده در خط تسویه نشده (کیلوگرم)]]</f>
        <v>0</v>
      </c>
      <c r="AD2188" s="6">
        <f ca="1">SUBTOTAL(9,INDEX(Main[بدهی سررسید شده (کیلوگرم)],1):Main[[#This Row],[بدهی سررسید شده (کیلوگرم)]])</f>
        <v>0</v>
      </c>
      <c r="AE2188" s="6">
        <f ca="1">IF(Main[[#This Row],[مانده در خط سررسید شده (کیلوگرم)]]&lt;&gt;0,Main[[#This Row],[تعداد کل روزهای بدهکار (روز)]],0)</f>
        <v>0</v>
      </c>
      <c r="AF2188" s="6">
        <f ca="1">Main[[#This Row],[تعداد روزهای بدهکار سررسید شده (روز)]]*Main[[#This Row],[مانده در خط سررسید شده (کیلوگرم)]]</f>
        <v>0</v>
      </c>
    </row>
    <row r="2189" spans="1:32" hidden="1" x14ac:dyDescent="0.35">
      <c r="A2189" s="5">
        <f>ROW()-ROW(INDEX(Main[ردیف],1))+1</f>
        <v>2187</v>
      </c>
      <c r="B2189" s="31">
        <f>SUBTOTAL(2,INDEX(Main[ردیف],1):Main[[#This Row],[ردیف]])</f>
        <v>199</v>
      </c>
      <c r="C2189" s="32" t="s">
        <v>766</v>
      </c>
      <c r="D2189" s="32" t="str">
        <f>_xlfn.CONCAT("14",Main[[#This Row],[تاريخ]])</f>
        <v>1400/08/26</v>
      </c>
      <c r="E2189" s="33">
        <v>44517</v>
      </c>
      <c r="F2189" s="32">
        <v>10020</v>
      </c>
      <c r="G2189" s="5" t="str">
        <f>INDEX(customer[عنوان],MATCH(Main[[#This Row],[کد ردیابی]],customer[کد],0))</f>
        <v>فرزاد اسماعیل زاده</v>
      </c>
      <c r="H2189">
        <v>-714</v>
      </c>
      <c r="I2189" s="6">
        <f ca="1">-Main[[#This Row],[بدهی تسویه شده (کیلوگرم)]]+Main[[#This Row],[بستانکار (کیلوگرم)]]</f>
        <v>-714</v>
      </c>
      <c r="J2189" s="6">
        <f>IF(Main[[#This Row],[مقدار (کیلوگرم)]]&gt;0,Main[[#This Row],[مقدار (کیلوگرم)]],0)</f>
        <v>0</v>
      </c>
      <c r="K2189" s="6">
        <f>-IF(Main[[#This Row],[مقدار (کیلوگرم)]]&lt;0,Main[[#This Row],[مقدار (کیلوگرم)]],0)</f>
        <v>714</v>
      </c>
      <c r="L21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9" s="7">
        <f>-IF(AND(Main[[#This Row],[مقدار (کیلوگرم)]]&lt;0,Main[[#This Row],[تاريخ میلادی]]&gt;44276),Main[[#This Row],[مقدار (کیلوگرم)]],0)</f>
        <v>714</v>
      </c>
      <c r="N2189" s="6">
        <f ca="1">Main[[#This Row],[بدهکار (کیلوگرم)]]-Main[[#This Row],[بدهی تسویه نشده (کیلوگرم)]]</f>
        <v>714</v>
      </c>
      <c r="O2189" s="6">
        <f ca="1">Main[[#This Row],[تفکیک]]</f>
        <v>0</v>
      </c>
      <c r="P2189" s="6">
        <f ca="1">IF(Main[[#This Row],[تاخیر از سررسید]]&gt;0,Main[[#This Row],[بدهی تسویه نشده (کیلوگرم)]],0)</f>
        <v>0</v>
      </c>
      <c r="Q2189" s="6">
        <f ca="1">IF(Main[[#This Row],[بدهی تسویه نشده (کیلوگرم)]]&gt;0,'گزارش فردی'!$B$7-Main[[#This Row],[تاريخ میلادی]],0)</f>
        <v>0</v>
      </c>
      <c r="R2189" s="6">
        <f ca="1">IF(Main[[#This Row],[بدهی تسویه نشده (کیلوگرم)]]&gt;0,'گزارش فردی'!$B$7-Main[[#This Row],[تاريخ میلادی]]-'گزارش فردی'!$B$8,0)</f>
        <v>0</v>
      </c>
      <c r="S2189" s="6">
        <f ca="1">Main[[#This Row],[روز از ارسال سفارش]]*Main[[#This Row],[بدهی تسویه نشده (کیلوگرم)]]</f>
        <v>0</v>
      </c>
      <c r="T2189" s="6">
        <f ca="1">Main[[#This Row],[بدهی سررسید شده (کیلوگرم)]]*Main[[#This Row],[روز از ارسال سفارش]]</f>
        <v>0</v>
      </c>
      <c r="U2189" s="6">
        <f>-SUBTOTAL(9,INDEX(Main[مقدار (کیلوگرم)],1):Main[[#This Row],[مقدار (کیلوگرم)]])</f>
        <v>35694</v>
      </c>
      <c r="V21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9" s="6">
        <f>Main[[#This Row],[تعداد کل روزهای بدهکار (روز)]]*Main[[#This Row],[مانده در خط کل (کیلوگرم)]]</f>
        <v>0</v>
      </c>
      <c r="X2189" s="6">
        <f ca="1">-SUBTOTAL(9,INDEX(Main[مقدار تسویه شده (کیلوگرم)],1):Main[[#This Row],[مقدار تسویه شده (کیلوگرم)]])</f>
        <v>35694</v>
      </c>
      <c r="Y2189" s="6">
        <f ca="1">IF(Main[[#This Row],[مانده در خط تسویه شده (کیلوگرم)]]&lt;&gt;0,Main[[#This Row],[تعداد کل روزهای بدهکار (روز)]],0)</f>
        <v>0</v>
      </c>
      <c r="Z2189" s="6">
        <f ca="1">Main[[#This Row],[تعداد روزهای بدهکار تسویه شده (روز)]]*Main[[#This Row],[مانده در خط تسویه شده (کیلوگرم)]]</f>
        <v>0</v>
      </c>
      <c r="AA2189" s="6">
        <f ca="1">SUBTOTAL(9,INDEX(Main[بدهی تسویه نشده (کیلوگرم)],1):Main[[#This Row],[بدهی تسویه نشده (کیلوگرم)]])</f>
        <v>0</v>
      </c>
      <c r="AB2189" s="6">
        <f ca="1">IF(Main[[#This Row],[مانده در خط تسویه نشده (کیلوگرم)]]&lt;&gt;0,Main[[#This Row],[تعداد کل روزهای بدهکار (روز)]],0)</f>
        <v>0</v>
      </c>
      <c r="AC2189" s="6">
        <f ca="1">Main[[#This Row],[تعداد روزهای بدهکار  تسویه نشده (روز)]]*Main[[#This Row],[مانده در خط تسویه نشده (کیلوگرم)]]</f>
        <v>0</v>
      </c>
      <c r="AD2189" s="6">
        <f ca="1">SUBTOTAL(9,INDEX(Main[بدهی سررسید شده (کیلوگرم)],1):Main[[#This Row],[بدهی سررسید شده (کیلوگرم)]])</f>
        <v>0</v>
      </c>
      <c r="AE2189" s="6">
        <f ca="1">IF(Main[[#This Row],[مانده در خط سررسید شده (کیلوگرم)]]&lt;&gt;0,Main[[#This Row],[تعداد کل روزهای بدهکار (روز)]],0)</f>
        <v>0</v>
      </c>
      <c r="AF2189" s="6">
        <f ca="1">Main[[#This Row],[تعداد روزهای بدهکار سررسید شده (روز)]]*Main[[#This Row],[مانده در خط سررسید شده (کیلوگرم)]]</f>
        <v>0</v>
      </c>
    </row>
    <row r="2190" spans="1:32" hidden="1" x14ac:dyDescent="0.35">
      <c r="A2190" s="5">
        <f>ROW()-ROW(INDEX(Main[ردیف],1))+1</f>
        <v>2188</v>
      </c>
      <c r="B2190" s="31">
        <f>SUBTOTAL(2,INDEX(Main[ردیف],1):Main[[#This Row],[ردیف]])</f>
        <v>199</v>
      </c>
      <c r="C2190" s="32" t="s">
        <v>766</v>
      </c>
      <c r="D2190" s="32" t="str">
        <f>_xlfn.CONCAT("14",Main[[#This Row],[تاريخ]])</f>
        <v>1400/08/26</v>
      </c>
      <c r="E2190" s="33">
        <v>44517</v>
      </c>
      <c r="F2190" s="32">
        <v>30191</v>
      </c>
      <c r="G2190" s="5" t="str">
        <f>INDEX(customer[عنوان],MATCH(Main[[#This Row],[کد ردیابی]],customer[کد],0))</f>
        <v>ایران گرما</v>
      </c>
      <c r="H2190">
        <v>346</v>
      </c>
      <c r="I2190" s="6">
        <f ca="1">-Main[[#This Row],[بدهی تسویه شده (کیلوگرم)]]+Main[[#This Row],[بستانکار (کیلوگرم)]]</f>
        <v>346</v>
      </c>
      <c r="J2190" s="6">
        <f>IF(Main[[#This Row],[مقدار (کیلوگرم)]]&gt;0,Main[[#This Row],[مقدار (کیلوگرم)]],0)</f>
        <v>346</v>
      </c>
      <c r="K2190" s="6">
        <f>-IF(Main[[#This Row],[مقدار (کیلوگرم)]]&lt;0,Main[[#This Row],[مقدار (کیلوگرم)]],0)</f>
        <v>0</v>
      </c>
      <c r="L21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0" s="7">
        <f>-IF(AND(Main[[#This Row],[مقدار (کیلوگرم)]]&lt;0,Main[[#This Row],[تاريخ میلادی]]&gt;44276),Main[[#This Row],[مقدار (کیلوگرم)]],0)</f>
        <v>0</v>
      </c>
      <c r="N2190" s="6">
        <f ca="1">Main[[#This Row],[بدهکار (کیلوگرم)]]-Main[[#This Row],[بدهی تسویه نشده (کیلوگرم)]]</f>
        <v>0</v>
      </c>
      <c r="O2190" s="6">
        <f ca="1">Main[[#This Row],[تفکیک]]</f>
        <v>0</v>
      </c>
      <c r="P2190" s="6">
        <f ca="1">IF(Main[[#This Row],[تاخیر از سررسید]]&gt;0,Main[[#This Row],[بدهی تسویه نشده (کیلوگرم)]],0)</f>
        <v>0</v>
      </c>
      <c r="Q2190" s="6">
        <f ca="1">IF(Main[[#This Row],[بدهی تسویه نشده (کیلوگرم)]]&gt;0,'گزارش فردی'!$B$7-Main[[#This Row],[تاريخ میلادی]],0)</f>
        <v>0</v>
      </c>
      <c r="R2190" s="6">
        <f ca="1">IF(Main[[#This Row],[بدهی تسویه نشده (کیلوگرم)]]&gt;0,'گزارش فردی'!$B$7-Main[[#This Row],[تاريخ میلادی]]-'گزارش فردی'!$B$8,0)</f>
        <v>0</v>
      </c>
      <c r="S2190" s="6">
        <f ca="1">Main[[#This Row],[روز از ارسال سفارش]]*Main[[#This Row],[بدهی تسویه نشده (کیلوگرم)]]</f>
        <v>0</v>
      </c>
      <c r="T2190" s="6">
        <f ca="1">Main[[#This Row],[بدهی سررسید شده (کیلوگرم)]]*Main[[#This Row],[روز از ارسال سفارش]]</f>
        <v>0</v>
      </c>
      <c r="U2190" s="6">
        <f>-SUBTOTAL(9,INDEX(Main[مقدار (کیلوگرم)],1):Main[[#This Row],[مقدار (کیلوگرم)]])</f>
        <v>35694</v>
      </c>
      <c r="V21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90" s="6">
        <f>Main[[#This Row],[تعداد کل روزهای بدهکار (روز)]]*Main[[#This Row],[مانده در خط کل (کیلوگرم)]]</f>
        <v>0</v>
      </c>
      <c r="X2190" s="6">
        <f ca="1">-SUBTOTAL(9,INDEX(Main[مقدار تسویه شده (کیلوگرم)],1):Main[[#This Row],[مقدار تسویه شده (کیلوگرم)]])</f>
        <v>35694</v>
      </c>
      <c r="Y2190" s="6">
        <f ca="1">IF(Main[[#This Row],[مانده در خط تسویه شده (کیلوگرم)]]&lt;&gt;0,Main[[#This Row],[تعداد کل روزهای بدهکار (روز)]],0)</f>
        <v>0</v>
      </c>
      <c r="Z2190" s="6">
        <f ca="1">Main[[#This Row],[تعداد روزهای بدهکار تسویه شده (روز)]]*Main[[#This Row],[مانده در خط تسویه شده (کیلوگرم)]]</f>
        <v>0</v>
      </c>
      <c r="AA2190" s="6">
        <f ca="1">SUBTOTAL(9,INDEX(Main[بدهی تسویه نشده (کیلوگرم)],1):Main[[#This Row],[بدهی تسویه نشده (کیلوگرم)]])</f>
        <v>0</v>
      </c>
      <c r="AB2190" s="6">
        <f ca="1">IF(Main[[#This Row],[مانده در خط تسویه نشده (کیلوگرم)]]&lt;&gt;0,Main[[#This Row],[تعداد کل روزهای بدهکار (روز)]],0)</f>
        <v>0</v>
      </c>
      <c r="AC2190" s="6">
        <f ca="1">Main[[#This Row],[تعداد روزهای بدهکار  تسویه نشده (روز)]]*Main[[#This Row],[مانده در خط تسویه نشده (کیلوگرم)]]</f>
        <v>0</v>
      </c>
      <c r="AD2190" s="6">
        <f ca="1">SUBTOTAL(9,INDEX(Main[بدهی سررسید شده (کیلوگرم)],1):Main[[#This Row],[بدهی سررسید شده (کیلوگرم)]])</f>
        <v>0</v>
      </c>
      <c r="AE2190" s="6">
        <f ca="1">IF(Main[[#This Row],[مانده در خط سررسید شده (کیلوگرم)]]&lt;&gt;0,Main[[#This Row],[تعداد کل روزهای بدهکار (روز)]],0)</f>
        <v>0</v>
      </c>
      <c r="AF2190" s="6">
        <f ca="1">Main[[#This Row],[تعداد روزهای بدهکار سررسید شده (روز)]]*Main[[#This Row],[مانده در خط سررسید شده (کیلوگرم)]]</f>
        <v>0</v>
      </c>
    </row>
    <row r="2191" spans="1:32" x14ac:dyDescent="0.35">
      <c r="A2191" s="5">
        <f>ROW()-ROW(INDEX(Main[ردیف],1))+1</f>
        <v>2189</v>
      </c>
      <c r="B2191" s="31">
        <f>SUBTOTAL(2,INDEX(Main[ردیف],1):Main[[#This Row],[ردیف]])</f>
        <v>200</v>
      </c>
      <c r="C2191" s="32" t="s">
        <v>766</v>
      </c>
      <c r="D2191" s="32" t="str">
        <f>_xlfn.CONCAT("14",Main[[#This Row],[تاريخ]])</f>
        <v>1400/08/26</v>
      </c>
      <c r="E2191" s="33">
        <v>44517</v>
      </c>
      <c r="F2191" s="32">
        <v>10003</v>
      </c>
      <c r="G2191" s="5" t="str">
        <f>INDEX(customer[عنوان],MATCH(Main[[#This Row],[کد ردیابی]],customer[کد],0))</f>
        <v>اصغر نورعلی</v>
      </c>
      <c r="H2191">
        <v>-4388</v>
      </c>
      <c r="I2191" s="6">
        <f ca="1">-Main[[#This Row],[بدهی تسویه شده (کیلوگرم)]]+Main[[#This Row],[بستانکار (کیلوگرم)]]</f>
        <v>-4388</v>
      </c>
      <c r="J2191" s="6">
        <f>IF(Main[[#This Row],[مقدار (کیلوگرم)]]&gt;0,Main[[#This Row],[مقدار (کیلوگرم)]],0)</f>
        <v>0</v>
      </c>
      <c r="K2191" s="6">
        <f>-IF(Main[[#This Row],[مقدار (کیلوگرم)]]&lt;0,Main[[#This Row],[مقدار (کیلوگرم)]],0)</f>
        <v>4388</v>
      </c>
      <c r="L21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1" s="7">
        <f>-IF(AND(Main[[#This Row],[مقدار (کیلوگرم)]]&lt;0,Main[[#This Row],[تاريخ میلادی]]&gt;44276),Main[[#This Row],[مقدار (کیلوگرم)]],0)</f>
        <v>4388</v>
      </c>
      <c r="N2191" s="6">
        <f ca="1">Main[[#This Row],[بدهکار (کیلوگرم)]]-Main[[#This Row],[بدهی تسویه نشده (کیلوگرم)]]</f>
        <v>4388</v>
      </c>
      <c r="O2191" s="6">
        <f ca="1">Main[[#This Row],[تفکیک]]</f>
        <v>0</v>
      </c>
      <c r="P2191" s="6">
        <f ca="1">IF(Main[[#This Row],[تاخیر از سررسید]]&gt;0,Main[[#This Row],[بدهی تسویه نشده (کیلوگرم)]],0)</f>
        <v>0</v>
      </c>
      <c r="Q2191" s="6">
        <f ca="1">IF(Main[[#This Row],[بدهی تسویه نشده (کیلوگرم)]]&gt;0,'گزارش فردی'!$B$7-Main[[#This Row],[تاريخ میلادی]],0)</f>
        <v>0</v>
      </c>
      <c r="R2191" s="6">
        <f ca="1">IF(Main[[#This Row],[بدهی تسویه نشده (کیلوگرم)]]&gt;0,'گزارش فردی'!$B$7-Main[[#This Row],[تاريخ میلادی]]-'گزارش فردی'!$B$8,0)</f>
        <v>0</v>
      </c>
      <c r="S2191" s="6">
        <f ca="1">Main[[#This Row],[روز از ارسال سفارش]]*Main[[#This Row],[بدهی تسویه نشده (کیلوگرم)]]</f>
        <v>0</v>
      </c>
      <c r="T2191" s="6">
        <f ca="1">Main[[#This Row],[بدهی سررسید شده (کیلوگرم)]]*Main[[#This Row],[روز از ارسال سفارش]]</f>
        <v>0</v>
      </c>
      <c r="U2191" s="6">
        <f>-SUBTOTAL(9,INDEX(Main[مقدار (کیلوگرم)],1):Main[[#This Row],[مقدار (کیلوگرم)]])</f>
        <v>40082</v>
      </c>
      <c r="V21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1" s="6">
        <f>Main[[#This Row],[تعداد کل روزهای بدهکار (روز)]]*Main[[#This Row],[مانده در خط کل (کیلوگرم)]]</f>
        <v>40082</v>
      </c>
      <c r="X2191" s="6">
        <f ca="1">-SUBTOTAL(9,INDEX(Main[مقدار تسویه شده (کیلوگرم)],1):Main[[#This Row],[مقدار تسویه شده (کیلوگرم)]])</f>
        <v>40082</v>
      </c>
      <c r="Y2191" s="6">
        <f ca="1">IF(Main[[#This Row],[مانده در خط تسویه شده (کیلوگرم)]]&lt;&gt;0,Main[[#This Row],[تعداد کل روزهای بدهکار (روز)]],0)</f>
        <v>1</v>
      </c>
      <c r="Z2191" s="6">
        <f ca="1">Main[[#This Row],[تعداد روزهای بدهکار تسویه شده (روز)]]*Main[[#This Row],[مانده در خط تسویه شده (کیلوگرم)]]</f>
        <v>40082</v>
      </c>
      <c r="AA2191" s="6">
        <f ca="1">SUBTOTAL(9,INDEX(Main[بدهی تسویه نشده (کیلوگرم)],1):Main[[#This Row],[بدهی تسویه نشده (کیلوگرم)]])</f>
        <v>0</v>
      </c>
      <c r="AB2191" s="6">
        <f ca="1">IF(Main[[#This Row],[مانده در خط تسویه نشده (کیلوگرم)]]&lt;&gt;0,Main[[#This Row],[تعداد کل روزهای بدهکار (روز)]],0)</f>
        <v>0</v>
      </c>
      <c r="AC2191" s="6">
        <f ca="1">Main[[#This Row],[تعداد روزهای بدهکار  تسویه نشده (روز)]]*Main[[#This Row],[مانده در خط تسویه نشده (کیلوگرم)]]</f>
        <v>0</v>
      </c>
      <c r="AD2191" s="6">
        <f ca="1">SUBTOTAL(9,INDEX(Main[بدهی سررسید شده (کیلوگرم)],1):Main[[#This Row],[بدهی سررسید شده (کیلوگرم)]])</f>
        <v>0</v>
      </c>
      <c r="AE2191" s="6">
        <f ca="1">IF(Main[[#This Row],[مانده در خط سررسید شده (کیلوگرم)]]&lt;&gt;0,Main[[#This Row],[تعداد کل روزهای بدهکار (روز)]],0)</f>
        <v>0</v>
      </c>
      <c r="AF2191" s="6">
        <f ca="1">Main[[#This Row],[تعداد روزهای بدهکار سررسید شده (روز)]]*Main[[#This Row],[مانده در خط سررسید شده (کیلوگرم)]]</f>
        <v>0</v>
      </c>
    </row>
    <row r="2192" spans="1:32" hidden="1" x14ac:dyDescent="0.35">
      <c r="A2192" s="5">
        <f>ROW()-ROW(INDEX(Main[ردیف],1))+1</f>
        <v>2190</v>
      </c>
      <c r="B2192" s="31">
        <f>SUBTOTAL(2,INDEX(Main[ردیف],1):Main[[#This Row],[ردیف]])</f>
        <v>200</v>
      </c>
      <c r="C2192" s="32" t="s">
        <v>766</v>
      </c>
      <c r="D2192" s="32" t="str">
        <f>_xlfn.CONCAT("14",Main[[#This Row],[تاريخ]])</f>
        <v>1400/08/26</v>
      </c>
      <c r="E2192" s="33">
        <v>44517</v>
      </c>
      <c r="F2192" s="32">
        <v>30191</v>
      </c>
      <c r="G2192" s="5" t="str">
        <f>INDEX(customer[عنوان],MATCH(Main[[#This Row],[کد ردیابی]],customer[کد],0))</f>
        <v>ایران گرما</v>
      </c>
      <c r="H2192">
        <v>203</v>
      </c>
      <c r="I2192" s="6">
        <f ca="1">-Main[[#This Row],[بدهی تسویه شده (کیلوگرم)]]+Main[[#This Row],[بستانکار (کیلوگرم)]]</f>
        <v>203</v>
      </c>
      <c r="J2192" s="6">
        <f>IF(Main[[#This Row],[مقدار (کیلوگرم)]]&gt;0,Main[[#This Row],[مقدار (کیلوگرم)]],0)</f>
        <v>203</v>
      </c>
      <c r="K2192" s="6">
        <f>-IF(Main[[#This Row],[مقدار (کیلوگرم)]]&lt;0,Main[[#This Row],[مقدار (کیلوگرم)]],0)</f>
        <v>0</v>
      </c>
      <c r="L21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2" s="7">
        <f>-IF(AND(Main[[#This Row],[مقدار (کیلوگرم)]]&lt;0,Main[[#This Row],[تاريخ میلادی]]&gt;44276),Main[[#This Row],[مقدار (کیلوگرم)]],0)</f>
        <v>0</v>
      </c>
      <c r="N2192" s="6">
        <f ca="1">Main[[#This Row],[بدهکار (کیلوگرم)]]-Main[[#This Row],[بدهی تسویه نشده (کیلوگرم)]]</f>
        <v>0</v>
      </c>
      <c r="O2192" s="6">
        <f ca="1">Main[[#This Row],[تفکیک]]</f>
        <v>0</v>
      </c>
      <c r="P2192" s="6">
        <f ca="1">IF(Main[[#This Row],[تاخیر از سررسید]]&gt;0,Main[[#This Row],[بدهی تسویه نشده (کیلوگرم)]],0)</f>
        <v>0</v>
      </c>
      <c r="Q2192" s="6">
        <f ca="1">IF(Main[[#This Row],[بدهی تسویه نشده (کیلوگرم)]]&gt;0,'گزارش فردی'!$B$7-Main[[#This Row],[تاريخ میلادی]],0)</f>
        <v>0</v>
      </c>
      <c r="R2192" s="6">
        <f ca="1">IF(Main[[#This Row],[بدهی تسویه نشده (کیلوگرم)]]&gt;0,'گزارش فردی'!$B$7-Main[[#This Row],[تاريخ میلادی]]-'گزارش فردی'!$B$8,0)</f>
        <v>0</v>
      </c>
      <c r="S2192" s="6">
        <f ca="1">Main[[#This Row],[روز از ارسال سفارش]]*Main[[#This Row],[بدهی تسویه نشده (کیلوگرم)]]</f>
        <v>0</v>
      </c>
      <c r="T2192" s="6">
        <f ca="1">Main[[#This Row],[بدهی سررسید شده (کیلوگرم)]]*Main[[#This Row],[روز از ارسال سفارش]]</f>
        <v>0</v>
      </c>
      <c r="U2192" s="6">
        <f>-SUBTOTAL(9,INDEX(Main[مقدار (کیلوگرم)],1):Main[[#This Row],[مقدار (کیلوگرم)]])</f>
        <v>40082</v>
      </c>
      <c r="V21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2" s="6">
        <f>Main[[#This Row],[تعداد کل روزهای بدهکار (روز)]]*Main[[#This Row],[مانده در خط کل (کیلوگرم)]]</f>
        <v>40082</v>
      </c>
      <c r="X2192" s="6">
        <f ca="1">-SUBTOTAL(9,INDEX(Main[مقدار تسویه شده (کیلوگرم)],1):Main[[#This Row],[مقدار تسویه شده (کیلوگرم)]])</f>
        <v>40082</v>
      </c>
      <c r="Y2192" s="6">
        <f ca="1">IF(Main[[#This Row],[مانده در خط تسویه شده (کیلوگرم)]]&lt;&gt;0,Main[[#This Row],[تعداد کل روزهای بدهکار (روز)]],0)</f>
        <v>1</v>
      </c>
      <c r="Z2192" s="6">
        <f ca="1">Main[[#This Row],[تعداد روزهای بدهکار تسویه شده (روز)]]*Main[[#This Row],[مانده در خط تسویه شده (کیلوگرم)]]</f>
        <v>40082</v>
      </c>
      <c r="AA2192" s="6">
        <f ca="1">SUBTOTAL(9,INDEX(Main[بدهی تسویه نشده (کیلوگرم)],1):Main[[#This Row],[بدهی تسویه نشده (کیلوگرم)]])</f>
        <v>0</v>
      </c>
      <c r="AB2192" s="6">
        <f ca="1">IF(Main[[#This Row],[مانده در خط تسویه نشده (کیلوگرم)]]&lt;&gt;0,Main[[#This Row],[تعداد کل روزهای بدهکار (روز)]],0)</f>
        <v>0</v>
      </c>
      <c r="AC2192" s="6">
        <f ca="1">Main[[#This Row],[تعداد روزهای بدهکار  تسویه نشده (روز)]]*Main[[#This Row],[مانده در خط تسویه نشده (کیلوگرم)]]</f>
        <v>0</v>
      </c>
      <c r="AD2192" s="6">
        <f ca="1">SUBTOTAL(9,INDEX(Main[بدهی سررسید شده (کیلوگرم)],1):Main[[#This Row],[بدهی سررسید شده (کیلوگرم)]])</f>
        <v>0</v>
      </c>
      <c r="AE2192" s="6">
        <f ca="1">IF(Main[[#This Row],[مانده در خط سررسید شده (کیلوگرم)]]&lt;&gt;0,Main[[#This Row],[تعداد کل روزهای بدهکار (روز)]],0)</f>
        <v>0</v>
      </c>
      <c r="AF2192" s="6">
        <f ca="1">Main[[#This Row],[تعداد روزهای بدهکار سررسید شده (روز)]]*Main[[#This Row],[مانده در خط سررسید شده (کیلوگرم)]]</f>
        <v>0</v>
      </c>
    </row>
    <row r="2193" spans="1:32" hidden="1" x14ac:dyDescent="0.35">
      <c r="A2193" s="5">
        <f>ROW()-ROW(INDEX(Main[ردیف],1))+1</f>
        <v>2191</v>
      </c>
      <c r="B2193" s="31">
        <f>SUBTOTAL(2,INDEX(Main[ردیف],1):Main[[#This Row],[ردیف]])</f>
        <v>200</v>
      </c>
      <c r="C2193" s="32" t="s">
        <v>766</v>
      </c>
      <c r="D2193" s="32" t="str">
        <f>_xlfn.CONCAT("14",Main[[#This Row],[تاريخ]])</f>
        <v>1400/08/26</v>
      </c>
      <c r="E2193" s="33">
        <v>44517</v>
      </c>
      <c r="F2193" s="32">
        <v>30019</v>
      </c>
      <c r="G2193" s="5" t="str">
        <f>INDEX(customer[عنوان],MATCH(Main[[#This Row],[کد ردیابی]],customer[کد],0))</f>
        <v xml:space="preserve">گسترش ارتباطات بهداد </v>
      </c>
      <c r="H2193">
        <v>-1936</v>
      </c>
      <c r="I2193" s="6">
        <f ca="1">-Main[[#This Row],[بدهی تسویه شده (کیلوگرم)]]+Main[[#This Row],[بستانکار (کیلوگرم)]]</f>
        <v>-1936</v>
      </c>
      <c r="J2193" s="6">
        <f>IF(Main[[#This Row],[مقدار (کیلوگرم)]]&gt;0,Main[[#This Row],[مقدار (کیلوگرم)]],0)</f>
        <v>0</v>
      </c>
      <c r="K2193" s="6">
        <f>-IF(Main[[#This Row],[مقدار (کیلوگرم)]]&lt;0,Main[[#This Row],[مقدار (کیلوگرم)]],0)</f>
        <v>1936</v>
      </c>
      <c r="L21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3" s="7">
        <f>-IF(AND(Main[[#This Row],[مقدار (کیلوگرم)]]&lt;0,Main[[#This Row],[تاريخ میلادی]]&gt;44276),Main[[#This Row],[مقدار (کیلوگرم)]],0)</f>
        <v>1936</v>
      </c>
      <c r="N2193" s="6">
        <f ca="1">Main[[#This Row],[بدهکار (کیلوگرم)]]-Main[[#This Row],[بدهی تسویه نشده (کیلوگرم)]]</f>
        <v>1936</v>
      </c>
      <c r="O2193" s="6">
        <f ca="1">Main[[#This Row],[تفکیک]]</f>
        <v>0</v>
      </c>
      <c r="P2193" s="6">
        <f ca="1">IF(Main[[#This Row],[تاخیر از سررسید]]&gt;0,Main[[#This Row],[بدهی تسویه نشده (کیلوگرم)]],0)</f>
        <v>0</v>
      </c>
      <c r="Q2193" s="6">
        <f ca="1">IF(Main[[#This Row],[بدهی تسویه نشده (کیلوگرم)]]&gt;0,'گزارش فردی'!$B$7-Main[[#This Row],[تاريخ میلادی]],0)</f>
        <v>0</v>
      </c>
      <c r="R2193" s="6">
        <f ca="1">IF(Main[[#This Row],[بدهی تسویه نشده (کیلوگرم)]]&gt;0,'گزارش فردی'!$B$7-Main[[#This Row],[تاريخ میلادی]]-'گزارش فردی'!$B$8,0)</f>
        <v>0</v>
      </c>
      <c r="S2193" s="6">
        <f ca="1">Main[[#This Row],[روز از ارسال سفارش]]*Main[[#This Row],[بدهی تسویه نشده (کیلوگرم)]]</f>
        <v>0</v>
      </c>
      <c r="T2193" s="6">
        <f ca="1">Main[[#This Row],[بدهی سررسید شده (کیلوگرم)]]*Main[[#This Row],[روز از ارسال سفارش]]</f>
        <v>0</v>
      </c>
      <c r="U2193" s="6">
        <f>-SUBTOTAL(9,INDEX(Main[مقدار (کیلوگرم)],1):Main[[#This Row],[مقدار (کیلوگرم)]])</f>
        <v>40082</v>
      </c>
      <c r="V21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3" s="6">
        <f>Main[[#This Row],[تعداد کل روزهای بدهکار (روز)]]*Main[[#This Row],[مانده در خط کل (کیلوگرم)]]</f>
        <v>40082</v>
      </c>
      <c r="X2193" s="6">
        <f ca="1">-SUBTOTAL(9,INDEX(Main[مقدار تسویه شده (کیلوگرم)],1):Main[[#This Row],[مقدار تسویه شده (کیلوگرم)]])</f>
        <v>40082</v>
      </c>
      <c r="Y2193" s="6">
        <f ca="1">IF(Main[[#This Row],[مانده در خط تسویه شده (کیلوگرم)]]&lt;&gt;0,Main[[#This Row],[تعداد کل روزهای بدهکار (روز)]],0)</f>
        <v>1</v>
      </c>
      <c r="Z2193" s="6">
        <f ca="1">Main[[#This Row],[تعداد روزهای بدهکار تسویه شده (روز)]]*Main[[#This Row],[مانده در خط تسویه شده (کیلوگرم)]]</f>
        <v>40082</v>
      </c>
      <c r="AA2193" s="6">
        <f ca="1">SUBTOTAL(9,INDEX(Main[بدهی تسویه نشده (کیلوگرم)],1):Main[[#This Row],[بدهی تسویه نشده (کیلوگرم)]])</f>
        <v>0</v>
      </c>
      <c r="AB2193" s="6">
        <f ca="1">IF(Main[[#This Row],[مانده در خط تسویه نشده (کیلوگرم)]]&lt;&gt;0,Main[[#This Row],[تعداد کل روزهای بدهکار (روز)]],0)</f>
        <v>0</v>
      </c>
      <c r="AC2193" s="6">
        <f ca="1">Main[[#This Row],[تعداد روزهای بدهکار  تسویه نشده (روز)]]*Main[[#This Row],[مانده در خط تسویه نشده (کیلوگرم)]]</f>
        <v>0</v>
      </c>
      <c r="AD2193" s="6">
        <f ca="1">SUBTOTAL(9,INDEX(Main[بدهی سررسید شده (کیلوگرم)],1):Main[[#This Row],[بدهی سررسید شده (کیلوگرم)]])</f>
        <v>0</v>
      </c>
      <c r="AE2193" s="6">
        <f ca="1">IF(Main[[#This Row],[مانده در خط سررسید شده (کیلوگرم)]]&lt;&gt;0,Main[[#This Row],[تعداد کل روزهای بدهکار (روز)]],0)</f>
        <v>0</v>
      </c>
      <c r="AF2193" s="6">
        <f ca="1">Main[[#This Row],[تعداد روزهای بدهکار سررسید شده (روز)]]*Main[[#This Row],[مانده در خط سررسید شده (کیلوگرم)]]</f>
        <v>0</v>
      </c>
    </row>
    <row r="2194" spans="1:32" hidden="1" x14ac:dyDescent="0.35">
      <c r="A2194" s="5">
        <f>ROW()-ROW(INDEX(Main[ردیف],1))+1</f>
        <v>2192</v>
      </c>
      <c r="B2194" s="31">
        <f>SUBTOTAL(2,INDEX(Main[ردیف],1):Main[[#This Row],[ردیف]])</f>
        <v>200</v>
      </c>
      <c r="C2194" s="32" t="s">
        <v>766</v>
      </c>
      <c r="D2194" s="32" t="str">
        <f>_xlfn.CONCAT("14",Main[[#This Row],[تاريخ]])</f>
        <v>1400/08/26</v>
      </c>
      <c r="E2194" s="33">
        <v>44517</v>
      </c>
      <c r="F2194" s="32">
        <v>30131</v>
      </c>
      <c r="G2194" s="5" t="str">
        <f>INDEX(customer[عنوان],MATCH(Main[[#This Row],[کد ردیابی]],customer[کد],0))</f>
        <v>ادهم مس تبریز</v>
      </c>
      <c r="H2194">
        <v>4437</v>
      </c>
      <c r="I2194" s="6">
        <f ca="1">-Main[[#This Row],[بدهی تسویه شده (کیلوگرم)]]+Main[[#This Row],[بستانکار (کیلوگرم)]]</f>
        <v>4437</v>
      </c>
      <c r="J2194" s="6">
        <f>IF(Main[[#This Row],[مقدار (کیلوگرم)]]&gt;0,Main[[#This Row],[مقدار (کیلوگرم)]],0)</f>
        <v>4437</v>
      </c>
      <c r="K2194" s="6">
        <f>-IF(Main[[#This Row],[مقدار (کیلوگرم)]]&lt;0,Main[[#This Row],[مقدار (کیلوگرم)]],0)</f>
        <v>0</v>
      </c>
      <c r="L21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4" s="7">
        <f>-IF(AND(Main[[#This Row],[مقدار (کیلوگرم)]]&lt;0,Main[[#This Row],[تاريخ میلادی]]&gt;44276),Main[[#This Row],[مقدار (کیلوگرم)]],0)</f>
        <v>0</v>
      </c>
      <c r="N2194" s="6">
        <f ca="1">Main[[#This Row],[بدهکار (کیلوگرم)]]-Main[[#This Row],[بدهی تسویه نشده (کیلوگرم)]]</f>
        <v>0</v>
      </c>
      <c r="O2194" s="6">
        <f ca="1">Main[[#This Row],[تفکیک]]</f>
        <v>0</v>
      </c>
      <c r="P2194" s="6">
        <f ca="1">IF(Main[[#This Row],[تاخیر از سررسید]]&gt;0,Main[[#This Row],[بدهی تسویه نشده (کیلوگرم)]],0)</f>
        <v>0</v>
      </c>
      <c r="Q2194" s="6">
        <f ca="1">IF(Main[[#This Row],[بدهی تسویه نشده (کیلوگرم)]]&gt;0,'گزارش فردی'!$B$7-Main[[#This Row],[تاريخ میلادی]],0)</f>
        <v>0</v>
      </c>
      <c r="R2194" s="6">
        <f ca="1">IF(Main[[#This Row],[بدهی تسویه نشده (کیلوگرم)]]&gt;0,'گزارش فردی'!$B$7-Main[[#This Row],[تاريخ میلادی]]-'گزارش فردی'!$B$8,0)</f>
        <v>0</v>
      </c>
      <c r="S2194" s="6">
        <f ca="1">Main[[#This Row],[روز از ارسال سفارش]]*Main[[#This Row],[بدهی تسویه نشده (کیلوگرم)]]</f>
        <v>0</v>
      </c>
      <c r="T2194" s="6">
        <f ca="1">Main[[#This Row],[بدهی سررسید شده (کیلوگرم)]]*Main[[#This Row],[روز از ارسال سفارش]]</f>
        <v>0</v>
      </c>
      <c r="U2194" s="6">
        <f>-SUBTOTAL(9,INDEX(Main[مقدار (کیلوگرم)],1):Main[[#This Row],[مقدار (کیلوگرم)]])</f>
        <v>40082</v>
      </c>
      <c r="V21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4" s="6">
        <f>Main[[#This Row],[تعداد کل روزهای بدهکار (روز)]]*Main[[#This Row],[مانده در خط کل (کیلوگرم)]]</f>
        <v>40082</v>
      </c>
      <c r="X2194" s="6">
        <f ca="1">-SUBTOTAL(9,INDEX(Main[مقدار تسویه شده (کیلوگرم)],1):Main[[#This Row],[مقدار تسویه شده (کیلوگرم)]])</f>
        <v>40082</v>
      </c>
      <c r="Y2194" s="6">
        <f ca="1">IF(Main[[#This Row],[مانده در خط تسویه شده (کیلوگرم)]]&lt;&gt;0,Main[[#This Row],[تعداد کل روزهای بدهکار (روز)]],0)</f>
        <v>1</v>
      </c>
      <c r="Z2194" s="6">
        <f ca="1">Main[[#This Row],[تعداد روزهای بدهکار تسویه شده (روز)]]*Main[[#This Row],[مانده در خط تسویه شده (کیلوگرم)]]</f>
        <v>40082</v>
      </c>
      <c r="AA2194" s="6">
        <f ca="1">SUBTOTAL(9,INDEX(Main[بدهی تسویه نشده (کیلوگرم)],1):Main[[#This Row],[بدهی تسویه نشده (کیلوگرم)]])</f>
        <v>0</v>
      </c>
      <c r="AB2194" s="6">
        <f ca="1">IF(Main[[#This Row],[مانده در خط تسویه نشده (کیلوگرم)]]&lt;&gt;0,Main[[#This Row],[تعداد کل روزهای بدهکار (روز)]],0)</f>
        <v>0</v>
      </c>
      <c r="AC2194" s="6">
        <f ca="1">Main[[#This Row],[تعداد روزهای بدهکار  تسویه نشده (روز)]]*Main[[#This Row],[مانده در خط تسویه نشده (کیلوگرم)]]</f>
        <v>0</v>
      </c>
      <c r="AD2194" s="6">
        <f ca="1">SUBTOTAL(9,INDEX(Main[بدهی سررسید شده (کیلوگرم)],1):Main[[#This Row],[بدهی سررسید شده (کیلوگرم)]])</f>
        <v>0</v>
      </c>
      <c r="AE2194" s="6">
        <f ca="1">IF(Main[[#This Row],[مانده در خط سررسید شده (کیلوگرم)]]&lt;&gt;0,Main[[#This Row],[تعداد کل روزهای بدهکار (روز)]],0)</f>
        <v>0</v>
      </c>
      <c r="AF2194" s="6">
        <f ca="1">Main[[#This Row],[تعداد روزهای بدهکار سررسید شده (روز)]]*Main[[#This Row],[مانده در خط سررسید شده (کیلوگرم)]]</f>
        <v>0</v>
      </c>
    </row>
    <row r="2195" spans="1:32" hidden="1" x14ac:dyDescent="0.35">
      <c r="A2195" s="5">
        <f>ROW()-ROW(INDEX(Main[ردیف],1))+1</f>
        <v>2193</v>
      </c>
      <c r="B2195" s="31">
        <f>SUBTOTAL(2,INDEX(Main[ردیف],1):Main[[#This Row],[ردیف]])</f>
        <v>200</v>
      </c>
      <c r="C2195" s="32" t="s">
        <v>766</v>
      </c>
      <c r="D2195" s="32" t="str">
        <f>_xlfn.CONCAT("14",Main[[#This Row],[تاريخ]])</f>
        <v>1400/08/26</v>
      </c>
      <c r="E2195" s="33">
        <v>44517</v>
      </c>
      <c r="F2195" s="32">
        <v>10026</v>
      </c>
      <c r="G2195" s="5" t="str">
        <f>INDEX(customer[عنوان],MATCH(Main[[#This Row],[کد ردیابی]],customer[کد],0))</f>
        <v xml:space="preserve">محسن فیاض بخش </v>
      </c>
      <c r="H2195">
        <v>-2043</v>
      </c>
      <c r="I2195" s="6">
        <f ca="1">-Main[[#This Row],[بدهی تسویه شده (کیلوگرم)]]+Main[[#This Row],[بستانکار (کیلوگرم)]]</f>
        <v>-2043</v>
      </c>
      <c r="J2195" s="6">
        <f>IF(Main[[#This Row],[مقدار (کیلوگرم)]]&gt;0,Main[[#This Row],[مقدار (کیلوگرم)]],0)</f>
        <v>0</v>
      </c>
      <c r="K2195" s="6">
        <f>-IF(Main[[#This Row],[مقدار (کیلوگرم)]]&lt;0,Main[[#This Row],[مقدار (کیلوگرم)]],0)</f>
        <v>2043</v>
      </c>
      <c r="L21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5" s="7">
        <f>-IF(AND(Main[[#This Row],[مقدار (کیلوگرم)]]&lt;0,Main[[#This Row],[تاريخ میلادی]]&gt;44276),Main[[#This Row],[مقدار (کیلوگرم)]],0)</f>
        <v>2043</v>
      </c>
      <c r="N2195" s="6">
        <f ca="1">Main[[#This Row],[بدهکار (کیلوگرم)]]-Main[[#This Row],[بدهی تسویه نشده (کیلوگرم)]]</f>
        <v>2043</v>
      </c>
      <c r="O2195" s="6">
        <f ca="1">Main[[#This Row],[تفکیک]]</f>
        <v>0</v>
      </c>
      <c r="P2195" s="6">
        <f ca="1">IF(Main[[#This Row],[تاخیر از سررسید]]&gt;0,Main[[#This Row],[بدهی تسویه نشده (کیلوگرم)]],0)</f>
        <v>0</v>
      </c>
      <c r="Q2195" s="6">
        <f ca="1">IF(Main[[#This Row],[بدهی تسویه نشده (کیلوگرم)]]&gt;0,'گزارش فردی'!$B$7-Main[[#This Row],[تاريخ میلادی]],0)</f>
        <v>0</v>
      </c>
      <c r="R2195" s="6">
        <f ca="1">IF(Main[[#This Row],[بدهی تسویه نشده (کیلوگرم)]]&gt;0,'گزارش فردی'!$B$7-Main[[#This Row],[تاريخ میلادی]]-'گزارش فردی'!$B$8,0)</f>
        <v>0</v>
      </c>
      <c r="S2195" s="6">
        <f ca="1">Main[[#This Row],[روز از ارسال سفارش]]*Main[[#This Row],[بدهی تسویه نشده (کیلوگرم)]]</f>
        <v>0</v>
      </c>
      <c r="T2195" s="6">
        <f ca="1">Main[[#This Row],[بدهی سررسید شده (کیلوگرم)]]*Main[[#This Row],[روز از ارسال سفارش]]</f>
        <v>0</v>
      </c>
      <c r="U2195" s="6">
        <f>-SUBTOTAL(9,INDEX(Main[مقدار (کیلوگرم)],1):Main[[#This Row],[مقدار (کیلوگرم)]])</f>
        <v>40082</v>
      </c>
      <c r="V21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5" s="6">
        <f>Main[[#This Row],[تعداد کل روزهای بدهکار (روز)]]*Main[[#This Row],[مانده در خط کل (کیلوگرم)]]</f>
        <v>40082</v>
      </c>
      <c r="X2195" s="6">
        <f ca="1">-SUBTOTAL(9,INDEX(Main[مقدار تسویه شده (کیلوگرم)],1):Main[[#This Row],[مقدار تسویه شده (کیلوگرم)]])</f>
        <v>40082</v>
      </c>
      <c r="Y2195" s="6">
        <f ca="1">IF(Main[[#This Row],[مانده در خط تسویه شده (کیلوگرم)]]&lt;&gt;0,Main[[#This Row],[تعداد کل روزهای بدهکار (روز)]],0)</f>
        <v>1</v>
      </c>
      <c r="Z2195" s="6">
        <f ca="1">Main[[#This Row],[تعداد روزهای بدهکار تسویه شده (روز)]]*Main[[#This Row],[مانده در خط تسویه شده (کیلوگرم)]]</f>
        <v>40082</v>
      </c>
      <c r="AA2195" s="6">
        <f ca="1">SUBTOTAL(9,INDEX(Main[بدهی تسویه نشده (کیلوگرم)],1):Main[[#This Row],[بدهی تسویه نشده (کیلوگرم)]])</f>
        <v>0</v>
      </c>
      <c r="AB2195" s="6">
        <f ca="1">IF(Main[[#This Row],[مانده در خط تسویه نشده (کیلوگرم)]]&lt;&gt;0,Main[[#This Row],[تعداد کل روزهای بدهکار (روز)]],0)</f>
        <v>0</v>
      </c>
      <c r="AC2195" s="6">
        <f ca="1">Main[[#This Row],[تعداد روزهای بدهکار  تسویه نشده (روز)]]*Main[[#This Row],[مانده در خط تسویه نشده (کیلوگرم)]]</f>
        <v>0</v>
      </c>
      <c r="AD2195" s="6">
        <f ca="1">SUBTOTAL(9,INDEX(Main[بدهی سررسید شده (کیلوگرم)],1):Main[[#This Row],[بدهی سررسید شده (کیلوگرم)]])</f>
        <v>0</v>
      </c>
      <c r="AE2195" s="6">
        <f ca="1">IF(Main[[#This Row],[مانده در خط سررسید شده (کیلوگرم)]]&lt;&gt;0,Main[[#This Row],[تعداد کل روزهای بدهکار (روز)]],0)</f>
        <v>0</v>
      </c>
      <c r="AF2195" s="6">
        <f ca="1">Main[[#This Row],[تعداد روزهای بدهکار سررسید شده (روز)]]*Main[[#This Row],[مانده در خط سررسید شده (کیلوگرم)]]</f>
        <v>0</v>
      </c>
    </row>
    <row r="2196" spans="1:32" hidden="1" x14ac:dyDescent="0.35">
      <c r="A2196" s="5">
        <f>ROW()-ROW(INDEX(Main[ردیف],1))+1</f>
        <v>2194</v>
      </c>
      <c r="B2196" s="31">
        <f>SUBTOTAL(2,INDEX(Main[ردیف],1):Main[[#This Row],[ردیف]])</f>
        <v>200</v>
      </c>
      <c r="C2196" s="32" t="s">
        <v>766</v>
      </c>
      <c r="D2196" s="32" t="str">
        <f>_xlfn.CONCAT("14",Main[[#This Row],[تاريخ]])</f>
        <v>1400/08/26</v>
      </c>
      <c r="E2196" s="33">
        <v>44517</v>
      </c>
      <c r="F2196" s="32">
        <v>30131</v>
      </c>
      <c r="G2196" s="5" t="str">
        <f>INDEX(customer[عنوان],MATCH(Main[[#This Row],[کد ردیابی]],customer[کد],0))</f>
        <v>ادهم مس تبریز</v>
      </c>
      <c r="H2196">
        <v>1018</v>
      </c>
      <c r="I2196" s="6">
        <f ca="1">-Main[[#This Row],[بدهی تسویه شده (کیلوگرم)]]+Main[[#This Row],[بستانکار (کیلوگرم)]]</f>
        <v>1018</v>
      </c>
      <c r="J2196" s="6">
        <f>IF(Main[[#This Row],[مقدار (کیلوگرم)]]&gt;0,Main[[#This Row],[مقدار (کیلوگرم)]],0)</f>
        <v>1018</v>
      </c>
      <c r="K2196" s="6">
        <f>-IF(Main[[#This Row],[مقدار (کیلوگرم)]]&lt;0,Main[[#This Row],[مقدار (کیلوگرم)]],0)</f>
        <v>0</v>
      </c>
      <c r="L21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6" s="7">
        <f>-IF(AND(Main[[#This Row],[مقدار (کیلوگرم)]]&lt;0,Main[[#This Row],[تاريخ میلادی]]&gt;44276),Main[[#This Row],[مقدار (کیلوگرم)]],0)</f>
        <v>0</v>
      </c>
      <c r="N2196" s="6">
        <f ca="1">Main[[#This Row],[بدهکار (کیلوگرم)]]-Main[[#This Row],[بدهی تسویه نشده (کیلوگرم)]]</f>
        <v>0</v>
      </c>
      <c r="O2196" s="6">
        <f ca="1">Main[[#This Row],[تفکیک]]</f>
        <v>0</v>
      </c>
      <c r="P2196" s="6">
        <f ca="1">IF(Main[[#This Row],[تاخیر از سررسید]]&gt;0,Main[[#This Row],[بدهی تسویه نشده (کیلوگرم)]],0)</f>
        <v>0</v>
      </c>
      <c r="Q2196" s="6">
        <f ca="1">IF(Main[[#This Row],[بدهی تسویه نشده (کیلوگرم)]]&gt;0,'گزارش فردی'!$B$7-Main[[#This Row],[تاريخ میلادی]],0)</f>
        <v>0</v>
      </c>
      <c r="R2196" s="6">
        <f ca="1">IF(Main[[#This Row],[بدهی تسویه نشده (کیلوگرم)]]&gt;0,'گزارش فردی'!$B$7-Main[[#This Row],[تاريخ میلادی]]-'گزارش فردی'!$B$8,0)</f>
        <v>0</v>
      </c>
      <c r="S2196" s="6">
        <f ca="1">Main[[#This Row],[روز از ارسال سفارش]]*Main[[#This Row],[بدهی تسویه نشده (کیلوگرم)]]</f>
        <v>0</v>
      </c>
      <c r="T2196" s="6">
        <f ca="1">Main[[#This Row],[بدهی سررسید شده (کیلوگرم)]]*Main[[#This Row],[روز از ارسال سفارش]]</f>
        <v>0</v>
      </c>
      <c r="U2196" s="6">
        <f>-SUBTOTAL(9,INDEX(Main[مقدار (کیلوگرم)],1):Main[[#This Row],[مقدار (کیلوگرم)]])</f>
        <v>40082</v>
      </c>
      <c r="V21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6" s="6">
        <f>Main[[#This Row],[تعداد کل روزهای بدهکار (روز)]]*Main[[#This Row],[مانده در خط کل (کیلوگرم)]]</f>
        <v>40082</v>
      </c>
      <c r="X2196" s="6">
        <f ca="1">-SUBTOTAL(9,INDEX(Main[مقدار تسویه شده (کیلوگرم)],1):Main[[#This Row],[مقدار تسویه شده (کیلوگرم)]])</f>
        <v>40082</v>
      </c>
      <c r="Y2196" s="6">
        <f ca="1">IF(Main[[#This Row],[مانده در خط تسویه شده (کیلوگرم)]]&lt;&gt;0,Main[[#This Row],[تعداد کل روزهای بدهکار (روز)]],0)</f>
        <v>1</v>
      </c>
      <c r="Z2196" s="6">
        <f ca="1">Main[[#This Row],[تعداد روزهای بدهکار تسویه شده (روز)]]*Main[[#This Row],[مانده در خط تسویه شده (کیلوگرم)]]</f>
        <v>40082</v>
      </c>
      <c r="AA2196" s="6">
        <f ca="1">SUBTOTAL(9,INDEX(Main[بدهی تسویه نشده (کیلوگرم)],1):Main[[#This Row],[بدهی تسویه نشده (کیلوگرم)]])</f>
        <v>0</v>
      </c>
      <c r="AB2196" s="6">
        <f ca="1">IF(Main[[#This Row],[مانده در خط تسویه نشده (کیلوگرم)]]&lt;&gt;0,Main[[#This Row],[تعداد کل روزهای بدهکار (روز)]],0)</f>
        <v>0</v>
      </c>
      <c r="AC2196" s="6">
        <f ca="1">Main[[#This Row],[تعداد روزهای بدهکار  تسویه نشده (روز)]]*Main[[#This Row],[مانده در خط تسویه نشده (کیلوگرم)]]</f>
        <v>0</v>
      </c>
      <c r="AD2196" s="6">
        <f ca="1">SUBTOTAL(9,INDEX(Main[بدهی سررسید شده (کیلوگرم)],1):Main[[#This Row],[بدهی سررسید شده (کیلوگرم)]])</f>
        <v>0</v>
      </c>
      <c r="AE2196" s="6">
        <f ca="1">IF(Main[[#This Row],[مانده در خط سررسید شده (کیلوگرم)]]&lt;&gt;0,Main[[#This Row],[تعداد کل روزهای بدهکار (روز)]],0)</f>
        <v>0</v>
      </c>
      <c r="AF2196" s="6">
        <f ca="1">Main[[#This Row],[تعداد روزهای بدهکار سررسید شده (روز)]]*Main[[#This Row],[مانده در خط سررسید شده (کیلوگرم)]]</f>
        <v>0</v>
      </c>
    </row>
    <row r="2197" spans="1:32" hidden="1" x14ac:dyDescent="0.35">
      <c r="A2197" s="5">
        <f>ROW()-ROW(INDEX(Main[ردیف],1))+1</f>
        <v>2195</v>
      </c>
      <c r="B2197" s="31">
        <f>SUBTOTAL(2,INDEX(Main[ردیف],1):Main[[#This Row],[ردیف]])</f>
        <v>200</v>
      </c>
      <c r="C2197" s="32" t="s">
        <v>766</v>
      </c>
      <c r="D2197" s="32" t="str">
        <f>_xlfn.CONCAT("14",Main[[#This Row],[تاريخ]])</f>
        <v>1400/08/26</v>
      </c>
      <c r="E2197" s="33">
        <v>44517</v>
      </c>
      <c r="F2197" s="32">
        <v>30131</v>
      </c>
      <c r="G2197" s="5" t="str">
        <f>INDEX(customer[عنوان],MATCH(Main[[#This Row],[کد ردیابی]],customer[کد],0))</f>
        <v>ادهم مس تبریز</v>
      </c>
      <c r="H2197">
        <v>651</v>
      </c>
      <c r="I2197" s="6">
        <f ca="1">-Main[[#This Row],[بدهی تسویه شده (کیلوگرم)]]+Main[[#This Row],[بستانکار (کیلوگرم)]]</f>
        <v>651</v>
      </c>
      <c r="J2197" s="6">
        <f>IF(Main[[#This Row],[مقدار (کیلوگرم)]]&gt;0,Main[[#This Row],[مقدار (کیلوگرم)]],0)</f>
        <v>651</v>
      </c>
      <c r="K2197" s="6">
        <f>-IF(Main[[#This Row],[مقدار (کیلوگرم)]]&lt;0,Main[[#This Row],[مقدار (کیلوگرم)]],0)</f>
        <v>0</v>
      </c>
      <c r="L21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7" s="7">
        <f>-IF(AND(Main[[#This Row],[مقدار (کیلوگرم)]]&lt;0,Main[[#This Row],[تاريخ میلادی]]&gt;44276),Main[[#This Row],[مقدار (کیلوگرم)]],0)</f>
        <v>0</v>
      </c>
      <c r="N2197" s="6">
        <f ca="1">Main[[#This Row],[بدهکار (کیلوگرم)]]-Main[[#This Row],[بدهی تسویه نشده (کیلوگرم)]]</f>
        <v>0</v>
      </c>
      <c r="O2197" s="6">
        <f ca="1">Main[[#This Row],[تفکیک]]</f>
        <v>0</v>
      </c>
      <c r="P2197" s="6">
        <f ca="1">IF(Main[[#This Row],[تاخیر از سررسید]]&gt;0,Main[[#This Row],[بدهی تسویه نشده (کیلوگرم)]],0)</f>
        <v>0</v>
      </c>
      <c r="Q2197" s="6">
        <f ca="1">IF(Main[[#This Row],[بدهی تسویه نشده (کیلوگرم)]]&gt;0,'گزارش فردی'!$B$7-Main[[#This Row],[تاريخ میلادی]],0)</f>
        <v>0</v>
      </c>
      <c r="R2197" s="6">
        <f ca="1">IF(Main[[#This Row],[بدهی تسویه نشده (کیلوگرم)]]&gt;0,'گزارش فردی'!$B$7-Main[[#This Row],[تاريخ میلادی]]-'گزارش فردی'!$B$8,0)</f>
        <v>0</v>
      </c>
      <c r="S2197" s="6">
        <f ca="1">Main[[#This Row],[روز از ارسال سفارش]]*Main[[#This Row],[بدهی تسویه نشده (کیلوگرم)]]</f>
        <v>0</v>
      </c>
      <c r="T2197" s="6">
        <f ca="1">Main[[#This Row],[بدهی سررسید شده (کیلوگرم)]]*Main[[#This Row],[روز از ارسال سفارش]]</f>
        <v>0</v>
      </c>
      <c r="U2197" s="6">
        <f>-SUBTOTAL(9,INDEX(Main[مقدار (کیلوگرم)],1):Main[[#This Row],[مقدار (کیلوگرم)]])</f>
        <v>40082</v>
      </c>
      <c r="V21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7" s="6">
        <f>Main[[#This Row],[تعداد کل روزهای بدهکار (روز)]]*Main[[#This Row],[مانده در خط کل (کیلوگرم)]]</f>
        <v>40082</v>
      </c>
      <c r="X2197" s="6">
        <f ca="1">-SUBTOTAL(9,INDEX(Main[مقدار تسویه شده (کیلوگرم)],1):Main[[#This Row],[مقدار تسویه شده (کیلوگرم)]])</f>
        <v>40082</v>
      </c>
      <c r="Y2197" s="6">
        <f ca="1">IF(Main[[#This Row],[مانده در خط تسویه شده (کیلوگرم)]]&lt;&gt;0,Main[[#This Row],[تعداد کل روزهای بدهکار (روز)]],0)</f>
        <v>1</v>
      </c>
      <c r="Z2197" s="6">
        <f ca="1">Main[[#This Row],[تعداد روزهای بدهکار تسویه شده (روز)]]*Main[[#This Row],[مانده در خط تسویه شده (کیلوگرم)]]</f>
        <v>40082</v>
      </c>
      <c r="AA2197" s="6">
        <f ca="1">SUBTOTAL(9,INDEX(Main[بدهی تسویه نشده (کیلوگرم)],1):Main[[#This Row],[بدهی تسویه نشده (کیلوگرم)]])</f>
        <v>0</v>
      </c>
      <c r="AB2197" s="6">
        <f ca="1">IF(Main[[#This Row],[مانده در خط تسویه نشده (کیلوگرم)]]&lt;&gt;0,Main[[#This Row],[تعداد کل روزهای بدهکار (روز)]],0)</f>
        <v>0</v>
      </c>
      <c r="AC2197" s="6">
        <f ca="1">Main[[#This Row],[تعداد روزهای بدهکار  تسویه نشده (روز)]]*Main[[#This Row],[مانده در خط تسویه نشده (کیلوگرم)]]</f>
        <v>0</v>
      </c>
      <c r="AD2197" s="6">
        <f ca="1">SUBTOTAL(9,INDEX(Main[بدهی سررسید شده (کیلوگرم)],1):Main[[#This Row],[بدهی سررسید شده (کیلوگرم)]])</f>
        <v>0</v>
      </c>
      <c r="AE2197" s="6">
        <f ca="1">IF(Main[[#This Row],[مانده در خط سررسید شده (کیلوگرم)]]&lt;&gt;0,Main[[#This Row],[تعداد کل روزهای بدهکار (روز)]],0)</f>
        <v>0</v>
      </c>
      <c r="AF2197" s="6">
        <f ca="1">Main[[#This Row],[تعداد روزهای بدهکار سررسید شده (روز)]]*Main[[#This Row],[مانده در خط سررسید شده (کیلوگرم)]]</f>
        <v>0</v>
      </c>
    </row>
    <row r="2198" spans="1:32" hidden="1" x14ac:dyDescent="0.35">
      <c r="A2198" s="5">
        <f>ROW()-ROW(INDEX(Main[ردیف],1))+1</f>
        <v>2196</v>
      </c>
      <c r="B2198" s="31">
        <f>SUBTOTAL(2,INDEX(Main[ردیف],1):Main[[#This Row],[ردیف]])</f>
        <v>200</v>
      </c>
      <c r="C2198" s="32" t="s">
        <v>766</v>
      </c>
      <c r="D2198" s="32" t="str">
        <f>_xlfn.CONCAT("14",Main[[#This Row],[تاريخ]])</f>
        <v>1400/08/26</v>
      </c>
      <c r="E2198" s="33">
        <v>44517</v>
      </c>
      <c r="F2198" s="32">
        <v>30140</v>
      </c>
      <c r="G2198" s="5" t="str">
        <f>INDEX(customer[عنوان],MATCH(Main[[#This Row],[کد ردیابی]],customer[کد],0))</f>
        <v>شرکت سیتکو</v>
      </c>
      <c r="H2198">
        <v>862</v>
      </c>
      <c r="I2198" s="6">
        <f ca="1">-Main[[#This Row],[بدهی تسویه شده (کیلوگرم)]]+Main[[#This Row],[بستانکار (کیلوگرم)]]</f>
        <v>862</v>
      </c>
      <c r="J2198" s="6">
        <f>IF(Main[[#This Row],[مقدار (کیلوگرم)]]&gt;0,Main[[#This Row],[مقدار (کیلوگرم)]],0)</f>
        <v>862</v>
      </c>
      <c r="K2198" s="6">
        <f>-IF(Main[[#This Row],[مقدار (کیلوگرم)]]&lt;0,Main[[#This Row],[مقدار (کیلوگرم)]],0)</f>
        <v>0</v>
      </c>
      <c r="L21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8" s="7">
        <f>-IF(AND(Main[[#This Row],[مقدار (کیلوگرم)]]&lt;0,Main[[#This Row],[تاريخ میلادی]]&gt;44276),Main[[#This Row],[مقدار (کیلوگرم)]],0)</f>
        <v>0</v>
      </c>
      <c r="N2198" s="6">
        <f ca="1">Main[[#This Row],[بدهکار (کیلوگرم)]]-Main[[#This Row],[بدهی تسویه نشده (کیلوگرم)]]</f>
        <v>0</v>
      </c>
      <c r="O2198" s="6">
        <f ca="1">Main[[#This Row],[تفکیک]]</f>
        <v>0</v>
      </c>
      <c r="P2198" s="6">
        <f ca="1">IF(Main[[#This Row],[تاخیر از سررسید]]&gt;0,Main[[#This Row],[بدهی تسویه نشده (کیلوگرم)]],0)</f>
        <v>0</v>
      </c>
      <c r="Q2198" s="6">
        <f ca="1">IF(Main[[#This Row],[بدهی تسویه نشده (کیلوگرم)]]&gt;0,'گزارش فردی'!$B$7-Main[[#This Row],[تاريخ میلادی]],0)</f>
        <v>0</v>
      </c>
      <c r="R2198" s="6">
        <f ca="1">IF(Main[[#This Row],[بدهی تسویه نشده (کیلوگرم)]]&gt;0,'گزارش فردی'!$B$7-Main[[#This Row],[تاريخ میلادی]]-'گزارش فردی'!$B$8,0)</f>
        <v>0</v>
      </c>
      <c r="S2198" s="6">
        <f ca="1">Main[[#This Row],[روز از ارسال سفارش]]*Main[[#This Row],[بدهی تسویه نشده (کیلوگرم)]]</f>
        <v>0</v>
      </c>
      <c r="T2198" s="6">
        <f ca="1">Main[[#This Row],[بدهی سررسید شده (کیلوگرم)]]*Main[[#This Row],[روز از ارسال سفارش]]</f>
        <v>0</v>
      </c>
      <c r="U2198" s="6">
        <f>-SUBTOTAL(9,INDEX(Main[مقدار (کیلوگرم)],1):Main[[#This Row],[مقدار (کیلوگرم)]])</f>
        <v>40082</v>
      </c>
      <c r="V21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8" s="6">
        <f>Main[[#This Row],[تعداد کل روزهای بدهکار (روز)]]*Main[[#This Row],[مانده در خط کل (کیلوگرم)]]</f>
        <v>40082</v>
      </c>
      <c r="X2198" s="6">
        <f ca="1">-SUBTOTAL(9,INDEX(Main[مقدار تسویه شده (کیلوگرم)],1):Main[[#This Row],[مقدار تسویه شده (کیلوگرم)]])</f>
        <v>40082</v>
      </c>
      <c r="Y2198" s="6">
        <f ca="1">IF(Main[[#This Row],[مانده در خط تسویه شده (کیلوگرم)]]&lt;&gt;0,Main[[#This Row],[تعداد کل روزهای بدهکار (روز)]],0)</f>
        <v>1</v>
      </c>
      <c r="Z2198" s="6">
        <f ca="1">Main[[#This Row],[تعداد روزهای بدهکار تسویه شده (روز)]]*Main[[#This Row],[مانده در خط تسویه شده (کیلوگرم)]]</f>
        <v>40082</v>
      </c>
      <c r="AA2198" s="6">
        <f ca="1">SUBTOTAL(9,INDEX(Main[بدهی تسویه نشده (کیلوگرم)],1):Main[[#This Row],[بدهی تسویه نشده (کیلوگرم)]])</f>
        <v>0</v>
      </c>
      <c r="AB2198" s="6">
        <f ca="1">IF(Main[[#This Row],[مانده در خط تسویه نشده (کیلوگرم)]]&lt;&gt;0,Main[[#This Row],[تعداد کل روزهای بدهکار (روز)]],0)</f>
        <v>0</v>
      </c>
      <c r="AC2198" s="6">
        <f ca="1">Main[[#This Row],[تعداد روزهای بدهکار  تسویه نشده (روز)]]*Main[[#This Row],[مانده در خط تسویه نشده (کیلوگرم)]]</f>
        <v>0</v>
      </c>
      <c r="AD2198" s="6">
        <f ca="1">SUBTOTAL(9,INDEX(Main[بدهی سررسید شده (کیلوگرم)],1):Main[[#This Row],[بدهی سررسید شده (کیلوگرم)]])</f>
        <v>0</v>
      </c>
      <c r="AE2198" s="6">
        <f ca="1">IF(Main[[#This Row],[مانده در خط سررسید شده (کیلوگرم)]]&lt;&gt;0,Main[[#This Row],[تعداد کل روزهای بدهکار (روز)]],0)</f>
        <v>0</v>
      </c>
      <c r="AF2198" s="6">
        <f ca="1">Main[[#This Row],[تعداد روزهای بدهکار سررسید شده (روز)]]*Main[[#This Row],[مانده در خط سررسید شده (کیلوگرم)]]</f>
        <v>0</v>
      </c>
    </row>
    <row r="2199" spans="1:32" hidden="1" x14ac:dyDescent="0.35">
      <c r="A2199" s="5">
        <f>ROW()-ROW(INDEX(Main[ردیف],1))+1</f>
        <v>2197</v>
      </c>
      <c r="B2199" s="31">
        <f>SUBTOTAL(2,INDEX(Main[ردیف],1):Main[[#This Row],[ردیف]])</f>
        <v>200</v>
      </c>
      <c r="C2199" s="32" t="s">
        <v>766</v>
      </c>
      <c r="D2199" s="32" t="str">
        <f>_xlfn.CONCAT("14",Main[[#This Row],[تاريخ]])</f>
        <v>1400/08/26</v>
      </c>
      <c r="E2199" s="33">
        <v>44517</v>
      </c>
      <c r="F2199" s="32">
        <v>30155</v>
      </c>
      <c r="G2199" s="5" t="str">
        <f>INDEX(customer[عنوان],MATCH(Main[[#This Row],[کد ردیابی]],customer[کد],0))</f>
        <v>سری تراشی طاهری</v>
      </c>
      <c r="H2199">
        <v>828</v>
      </c>
      <c r="I2199" s="6">
        <f ca="1">-Main[[#This Row],[بدهی تسویه شده (کیلوگرم)]]+Main[[#This Row],[بستانکار (کیلوگرم)]]</f>
        <v>828</v>
      </c>
      <c r="J2199" s="6">
        <f>IF(Main[[#This Row],[مقدار (کیلوگرم)]]&gt;0,Main[[#This Row],[مقدار (کیلوگرم)]],0)</f>
        <v>828</v>
      </c>
      <c r="K2199" s="6">
        <f>-IF(Main[[#This Row],[مقدار (کیلوگرم)]]&lt;0,Main[[#This Row],[مقدار (کیلوگرم)]],0)</f>
        <v>0</v>
      </c>
      <c r="L21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9" s="7">
        <f>-IF(AND(Main[[#This Row],[مقدار (کیلوگرم)]]&lt;0,Main[[#This Row],[تاريخ میلادی]]&gt;44276),Main[[#This Row],[مقدار (کیلوگرم)]],0)</f>
        <v>0</v>
      </c>
      <c r="N2199" s="6">
        <f ca="1">Main[[#This Row],[بدهکار (کیلوگرم)]]-Main[[#This Row],[بدهی تسویه نشده (کیلوگرم)]]</f>
        <v>0</v>
      </c>
      <c r="O2199" s="6">
        <f ca="1">Main[[#This Row],[تفکیک]]</f>
        <v>0</v>
      </c>
      <c r="P2199" s="6">
        <f ca="1">IF(Main[[#This Row],[تاخیر از سررسید]]&gt;0,Main[[#This Row],[بدهی تسویه نشده (کیلوگرم)]],0)</f>
        <v>0</v>
      </c>
      <c r="Q2199" s="6">
        <f ca="1">IF(Main[[#This Row],[بدهی تسویه نشده (کیلوگرم)]]&gt;0,'گزارش فردی'!$B$7-Main[[#This Row],[تاريخ میلادی]],0)</f>
        <v>0</v>
      </c>
      <c r="R2199" s="6">
        <f ca="1">IF(Main[[#This Row],[بدهی تسویه نشده (کیلوگرم)]]&gt;0,'گزارش فردی'!$B$7-Main[[#This Row],[تاريخ میلادی]]-'گزارش فردی'!$B$8,0)</f>
        <v>0</v>
      </c>
      <c r="S2199" s="6">
        <f ca="1">Main[[#This Row],[روز از ارسال سفارش]]*Main[[#This Row],[بدهی تسویه نشده (کیلوگرم)]]</f>
        <v>0</v>
      </c>
      <c r="T2199" s="6">
        <f ca="1">Main[[#This Row],[بدهی سررسید شده (کیلوگرم)]]*Main[[#This Row],[روز از ارسال سفارش]]</f>
        <v>0</v>
      </c>
      <c r="U2199" s="6">
        <f>-SUBTOTAL(9,INDEX(Main[مقدار (کیلوگرم)],1):Main[[#This Row],[مقدار (کیلوگرم)]])</f>
        <v>40082</v>
      </c>
      <c r="V21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9" s="6">
        <f>Main[[#This Row],[تعداد کل روزهای بدهکار (روز)]]*Main[[#This Row],[مانده در خط کل (کیلوگرم)]]</f>
        <v>40082</v>
      </c>
      <c r="X2199" s="6">
        <f ca="1">-SUBTOTAL(9,INDEX(Main[مقدار تسویه شده (کیلوگرم)],1):Main[[#This Row],[مقدار تسویه شده (کیلوگرم)]])</f>
        <v>40082</v>
      </c>
      <c r="Y2199" s="6">
        <f ca="1">IF(Main[[#This Row],[مانده در خط تسویه شده (کیلوگرم)]]&lt;&gt;0,Main[[#This Row],[تعداد کل روزهای بدهکار (روز)]],0)</f>
        <v>1</v>
      </c>
      <c r="Z2199" s="6">
        <f ca="1">Main[[#This Row],[تعداد روزهای بدهکار تسویه شده (روز)]]*Main[[#This Row],[مانده در خط تسویه شده (کیلوگرم)]]</f>
        <v>40082</v>
      </c>
      <c r="AA2199" s="6">
        <f ca="1">SUBTOTAL(9,INDEX(Main[بدهی تسویه نشده (کیلوگرم)],1):Main[[#This Row],[بدهی تسویه نشده (کیلوگرم)]])</f>
        <v>0</v>
      </c>
      <c r="AB2199" s="6">
        <f ca="1">IF(Main[[#This Row],[مانده در خط تسویه نشده (کیلوگرم)]]&lt;&gt;0,Main[[#This Row],[تعداد کل روزهای بدهکار (روز)]],0)</f>
        <v>0</v>
      </c>
      <c r="AC2199" s="6">
        <f ca="1">Main[[#This Row],[تعداد روزهای بدهکار  تسویه نشده (روز)]]*Main[[#This Row],[مانده در خط تسویه نشده (کیلوگرم)]]</f>
        <v>0</v>
      </c>
      <c r="AD2199" s="6">
        <f ca="1">SUBTOTAL(9,INDEX(Main[بدهی سررسید شده (کیلوگرم)],1):Main[[#This Row],[بدهی سررسید شده (کیلوگرم)]])</f>
        <v>0</v>
      </c>
      <c r="AE2199" s="6">
        <f ca="1">IF(Main[[#This Row],[مانده در خط سررسید شده (کیلوگرم)]]&lt;&gt;0,Main[[#This Row],[تعداد کل روزهای بدهکار (روز)]],0)</f>
        <v>0</v>
      </c>
      <c r="AF2199" s="6">
        <f ca="1">Main[[#This Row],[تعداد روزهای بدهکار سررسید شده (روز)]]*Main[[#This Row],[مانده در خط سررسید شده (کیلوگرم)]]</f>
        <v>0</v>
      </c>
    </row>
    <row r="2200" spans="1:32" hidden="1" x14ac:dyDescent="0.35">
      <c r="A2200" s="5">
        <f>ROW()-ROW(INDEX(Main[ردیف],1))+1</f>
        <v>2198</v>
      </c>
      <c r="B2200" s="31">
        <f>SUBTOTAL(2,INDEX(Main[ردیف],1):Main[[#This Row],[ردیف]])</f>
        <v>200</v>
      </c>
      <c r="C2200" s="32" t="s">
        <v>766</v>
      </c>
      <c r="D2200" s="32" t="str">
        <f>_xlfn.CONCAT("14",Main[[#This Row],[تاريخ]])</f>
        <v>1400/08/26</v>
      </c>
      <c r="E2200" s="33">
        <v>44517</v>
      </c>
      <c r="F2200" s="32">
        <v>30066</v>
      </c>
      <c r="G2200" s="5" t="str">
        <f>INDEX(customer[عنوان],MATCH(Main[[#This Row],[کد ردیابی]],customer[کد],0))</f>
        <v xml:space="preserve">شیر آلات بهداشتی قهرمان </v>
      </c>
      <c r="H2200">
        <v>2870</v>
      </c>
      <c r="I2200" s="6">
        <f ca="1">-Main[[#This Row],[بدهی تسویه شده (کیلوگرم)]]+Main[[#This Row],[بستانکار (کیلوگرم)]]</f>
        <v>2870</v>
      </c>
      <c r="J2200" s="6">
        <f>IF(Main[[#This Row],[مقدار (کیلوگرم)]]&gt;0,Main[[#This Row],[مقدار (کیلوگرم)]],0)</f>
        <v>2870</v>
      </c>
      <c r="K2200" s="6">
        <f>-IF(Main[[#This Row],[مقدار (کیلوگرم)]]&lt;0,Main[[#This Row],[مقدار (کیلوگرم)]],0)</f>
        <v>0</v>
      </c>
      <c r="L22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0" s="7">
        <f>-IF(AND(Main[[#This Row],[مقدار (کیلوگرم)]]&lt;0,Main[[#This Row],[تاريخ میلادی]]&gt;44276),Main[[#This Row],[مقدار (کیلوگرم)]],0)</f>
        <v>0</v>
      </c>
      <c r="N2200" s="6">
        <f ca="1">Main[[#This Row],[بدهکار (کیلوگرم)]]-Main[[#This Row],[بدهی تسویه نشده (کیلوگرم)]]</f>
        <v>0</v>
      </c>
      <c r="O2200" s="6">
        <f ca="1">Main[[#This Row],[تفکیک]]</f>
        <v>0</v>
      </c>
      <c r="P2200" s="6">
        <f ca="1">IF(Main[[#This Row],[تاخیر از سررسید]]&gt;0,Main[[#This Row],[بدهی تسویه نشده (کیلوگرم)]],0)</f>
        <v>0</v>
      </c>
      <c r="Q2200" s="6">
        <f ca="1">IF(Main[[#This Row],[بدهی تسویه نشده (کیلوگرم)]]&gt;0,'گزارش فردی'!$B$7-Main[[#This Row],[تاريخ میلادی]],0)</f>
        <v>0</v>
      </c>
      <c r="R2200" s="6">
        <f ca="1">IF(Main[[#This Row],[بدهی تسویه نشده (کیلوگرم)]]&gt;0,'گزارش فردی'!$B$7-Main[[#This Row],[تاريخ میلادی]]-'گزارش فردی'!$B$8,0)</f>
        <v>0</v>
      </c>
      <c r="S2200" s="6">
        <f ca="1">Main[[#This Row],[روز از ارسال سفارش]]*Main[[#This Row],[بدهی تسویه نشده (کیلوگرم)]]</f>
        <v>0</v>
      </c>
      <c r="T2200" s="6">
        <f ca="1">Main[[#This Row],[بدهی سررسید شده (کیلوگرم)]]*Main[[#This Row],[روز از ارسال سفارش]]</f>
        <v>0</v>
      </c>
      <c r="U2200" s="6">
        <f>-SUBTOTAL(9,INDEX(Main[مقدار (کیلوگرم)],1):Main[[#This Row],[مقدار (کیلوگرم)]])</f>
        <v>40082</v>
      </c>
      <c r="V22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00" s="6">
        <f>Main[[#This Row],[تعداد کل روزهای بدهکار (روز)]]*Main[[#This Row],[مانده در خط کل (کیلوگرم)]]</f>
        <v>40082</v>
      </c>
      <c r="X2200" s="6">
        <f ca="1">-SUBTOTAL(9,INDEX(Main[مقدار تسویه شده (کیلوگرم)],1):Main[[#This Row],[مقدار تسویه شده (کیلوگرم)]])</f>
        <v>40082</v>
      </c>
      <c r="Y2200" s="6">
        <f ca="1">IF(Main[[#This Row],[مانده در خط تسویه شده (کیلوگرم)]]&lt;&gt;0,Main[[#This Row],[تعداد کل روزهای بدهکار (روز)]],0)</f>
        <v>1</v>
      </c>
      <c r="Z2200" s="6">
        <f ca="1">Main[[#This Row],[تعداد روزهای بدهکار تسویه شده (روز)]]*Main[[#This Row],[مانده در خط تسویه شده (کیلوگرم)]]</f>
        <v>40082</v>
      </c>
      <c r="AA2200" s="6">
        <f ca="1">SUBTOTAL(9,INDEX(Main[بدهی تسویه نشده (کیلوگرم)],1):Main[[#This Row],[بدهی تسویه نشده (کیلوگرم)]])</f>
        <v>0</v>
      </c>
      <c r="AB2200" s="6">
        <f ca="1">IF(Main[[#This Row],[مانده در خط تسویه نشده (کیلوگرم)]]&lt;&gt;0,Main[[#This Row],[تعداد کل روزهای بدهکار (روز)]],0)</f>
        <v>0</v>
      </c>
      <c r="AC2200" s="6">
        <f ca="1">Main[[#This Row],[تعداد روزهای بدهکار  تسویه نشده (روز)]]*Main[[#This Row],[مانده در خط تسویه نشده (کیلوگرم)]]</f>
        <v>0</v>
      </c>
      <c r="AD2200" s="6">
        <f ca="1">SUBTOTAL(9,INDEX(Main[بدهی سررسید شده (کیلوگرم)],1):Main[[#This Row],[بدهی سررسید شده (کیلوگرم)]])</f>
        <v>0</v>
      </c>
      <c r="AE2200" s="6">
        <f ca="1">IF(Main[[#This Row],[مانده در خط سررسید شده (کیلوگرم)]]&lt;&gt;0,Main[[#This Row],[تعداد کل روزهای بدهکار (روز)]],0)</f>
        <v>0</v>
      </c>
      <c r="AF2200" s="6">
        <f ca="1">Main[[#This Row],[تعداد روزهای بدهکار سررسید شده (روز)]]*Main[[#This Row],[مانده در خط سررسید شده (کیلوگرم)]]</f>
        <v>0</v>
      </c>
    </row>
    <row r="2201" spans="1:32" hidden="1" x14ac:dyDescent="0.35">
      <c r="A2201" s="5">
        <f>ROW()-ROW(INDEX(Main[ردیف],1))+1</f>
        <v>2199</v>
      </c>
      <c r="B2201" s="31">
        <f>SUBTOTAL(2,INDEX(Main[ردیف],1):Main[[#This Row],[ردیف]])</f>
        <v>200</v>
      </c>
      <c r="C2201" s="32" t="s">
        <v>766</v>
      </c>
      <c r="D2201" s="32" t="str">
        <f>_xlfn.CONCAT("14",Main[[#This Row],[تاريخ]])</f>
        <v>1400/08/26</v>
      </c>
      <c r="E2201" s="33">
        <v>44517</v>
      </c>
      <c r="F2201" s="32">
        <v>30140</v>
      </c>
      <c r="G2201" s="5" t="str">
        <f>INDEX(customer[عنوان],MATCH(Main[[#This Row],[کد ردیابی]],customer[کد],0))</f>
        <v>شرکت سیتکو</v>
      </c>
      <c r="H2201">
        <v>870</v>
      </c>
      <c r="I2201" s="6">
        <f ca="1">-Main[[#This Row],[بدهی تسویه شده (کیلوگرم)]]+Main[[#This Row],[بستانکار (کیلوگرم)]]</f>
        <v>870</v>
      </c>
      <c r="J2201" s="6">
        <f>IF(Main[[#This Row],[مقدار (کیلوگرم)]]&gt;0,Main[[#This Row],[مقدار (کیلوگرم)]],0)</f>
        <v>870</v>
      </c>
      <c r="K2201" s="6">
        <f>-IF(Main[[#This Row],[مقدار (کیلوگرم)]]&lt;0,Main[[#This Row],[مقدار (کیلوگرم)]],0)</f>
        <v>0</v>
      </c>
      <c r="L22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1" s="7">
        <f>-IF(AND(Main[[#This Row],[مقدار (کیلوگرم)]]&lt;0,Main[[#This Row],[تاريخ میلادی]]&gt;44276),Main[[#This Row],[مقدار (کیلوگرم)]],0)</f>
        <v>0</v>
      </c>
      <c r="N2201" s="6">
        <f ca="1">Main[[#This Row],[بدهکار (کیلوگرم)]]-Main[[#This Row],[بدهی تسویه نشده (کیلوگرم)]]</f>
        <v>0</v>
      </c>
      <c r="O2201" s="6">
        <f ca="1">Main[[#This Row],[تفکیک]]</f>
        <v>0</v>
      </c>
      <c r="P2201" s="6">
        <f ca="1">IF(Main[[#This Row],[تاخیر از سررسید]]&gt;0,Main[[#This Row],[بدهی تسویه نشده (کیلوگرم)]],0)</f>
        <v>0</v>
      </c>
      <c r="Q2201" s="6">
        <f ca="1">IF(Main[[#This Row],[بدهی تسویه نشده (کیلوگرم)]]&gt;0,'گزارش فردی'!$B$7-Main[[#This Row],[تاريخ میلادی]],0)</f>
        <v>0</v>
      </c>
      <c r="R2201" s="6">
        <f ca="1">IF(Main[[#This Row],[بدهی تسویه نشده (کیلوگرم)]]&gt;0,'گزارش فردی'!$B$7-Main[[#This Row],[تاريخ میلادی]]-'گزارش فردی'!$B$8,0)</f>
        <v>0</v>
      </c>
      <c r="S2201" s="6">
        <f ca="1">Main[[#This Row],[روز از ارسال سفارش]]*Main[[#This Row],[بدهی تسویه نشده (کیلوگرم)]]</f>
        <v>0</v>
      </c>
      <c r="T2201" s="6">
        <f ca="1">Main[[#This Row],[بدهی سررسید شده (کیلوگرم)]]*Main[[#This Row],[روز از ارسال سفارش]]</f>
        <v>0</v>
      </c>
      <c r="U2201" s="6">
        <f>-SUBTOTAL(9,INDEX(Main[مقدار (کیلوگرم)],1):Main[[#This Row],[مقدار (کیلوگرم)]])</f>
        <v>40082</v>
      </c>
      <c r="V22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01" s="6">
        <f>Main[[#This Row],[تعداد کل روزهای بدهکار (روز)]]*Main[[#This Row],[مانده در خط کل (کیلوگرم)]]</f>
        <v>40082</v>
      </c>
      <c r="X2201" s="6">
        <f ca="1">-SUBTOTAL(9,INDEX(Main[مقدار تسویه شده (کیلوگرم)],1):Main[[#This Row],[مقدار تسویه شده (کیلوگرم)]])</f>
        <v>40082</v>
      </c>
      <c r="Y2201" s="6">
        <f ca="1">IF(Main[[#This Row],[مانده در خط تسویه شده (کیلوگرم)]]&lt;&gt;0,Main[[#This Row],[تعداد کل روزهای بدهکار (روز)]],0)</f>
        <v>1</v>
      </c>
      <c r="Z2201" s="6">
        <f ca="1">Main[[#This Row],[تعداد روزهای بدهکار تسویه شده (روز)]]*Main[[#This Row],[مانده در خط تسویه شده (کیلوگرم)]]</f>
        <v>40082</v>
      </c>
      <c r="AA2201" s="6">
        <f ca="1">SUBTOTAL(9,INDEX(Main[بدهی تسویه نشده (کیلوگرم)],1):Main[[#This Row],[بدهی تسویه نشده (کیلوگرم)]])</f>
        <v>0</v>
      </c>
      <c r="AB2201" s="6">
        <f ca="1">IF(Main[[#This Row],[مانده در خط تسویه نشده (کیلوگرم)]]&lt;&gt;0,Main[[#This Row],[تعداد کل روزهای بدهکار (روز)]],0)</f>
        <v>0</v>
      </c>
      <c r="AC2201" s="6">
        <f ca="1">Main[[#This Row],[تعداد روزهای بدهکار  تسویه نشده (روز)]]*Main[[#This Row],[مانده در خط تسویه نشده (کیلوگرم)]]</f>
        <v>0</v>
      </c>
      <c r="AD2201" s="6">
        <f ca="1">SUBTOTAL(9,INDEX(Main[بدهی سررسید شده (کیلوگرم)],1):Main[[#This Row],[بدهی سررسید شده (کیلوگرم)]])</f>
        <v>0</v>
      </c>
      <c r="AE2201" s="6">
        <f ca="1">IF(Main[[#This Row],[مانده در خط سررسید شده (کیلوگرم)]]&lt;&gt;0,Main[[#This Row],[تعداد کل روزهای بدهکار (روز)]],0)</f>
        <v>0</v>
      </c>
      <c r="AF2201" s="6">
        <f ca="1">Main[[#This Row],[تعداد روزهای بدهکار سررسید شده (روز)]]*Main[[#This Row],[مانده در خط سررسید شده (کیلوگرم)]]</f>
        <v>0</v>
      </c>
    </row>
    <row r="2202" spans="1:32" hidden="1" x14ac:dyDescent="0.35">
      <c r="A2202" s="5">
        <f>ROW()-ROW(INDEX(Main[ردیف],1))+1</f>
        <v>2200</v>
      </c>
      <c r="B2202" s="31">
        <f>SUBTOTAL(2,INDEX(Main[ردیف],1):Main[[#This Row],[ردیف]])</f>
        <v>200</v>
      </c>
      <c r="C2202" s="32" t="s">
        <v>767</v>
      </c>
      <c r="D2202" s="32" t="str">
        <f>_xlfn.CONCAT("14",Main[[#This Row],[تاريخ]])</f>
        <v>1400/08/27</v>
      </c>
      <c r="E2202" s="33">
        <v>44518</v>
      </c>
      <c r="F2202" s="32">
        <v>30004</v>
      </c>
      <c r="G2202" s="5" t="str">
        <f>INDEX(customer[عنوان],MATCH(Main[[#This Row],[کد ردیابی]],customer[کد],0))</f>
        <v>تولیدی صنعتی صفاشیر پارس</v>
      </c>
      <c r="H2202">
        <v>-3204</v>
      </c>
      <c r="I2202" s="6">
        <f ca="1">-Main[[#This Row],[بدهی تسویه شده (کیلوگرم)]]+Main[[#This Row],[بستانکار (کیلوگرم)]]</f>
        <v>-3204</v>
      </c>
      <c r="J2202" s="6">
        <f>IF(Main[[#This Row],[مقدار (کیلوگرم)]]&gt;0,Main[[#This Row],[مقدار (کیلوگرم)]],0)</f>
        <v>0</v>
      </c>
      <c r="K2202" s="6">
        <f>-IF(Main[[#This Row],[مقدار (کیلوگرم)]]&lt;0,Main[[#This Row],[مقدار (کیلوگرم)]],0)</f>
        <v>3204</v>
      </c>
      <c r="L22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2" s="7">
        <f>-IF(AND(Main[[#This Row],[مقدار (کیلوگرم)]]&lt;0,Main[[#This Row],[تاريخ میلادی]]&gt;44276),Main[[#This Row],[مقدار (کیلوگرم)]],0)</f>
        <v>3204</v>
      </c>
      <c r="N2202" s="6">
        <f ca="1">Main[[#This Row],[بدهکار (کیلوگرم)]]-Main[[#This Row],[بدهی تسویه نشده (کیلوگرم)]]</f>
        <v>3204</v>
      </c>
      <c r="O2202" s="6">
        <f ca="1">Main[[#This Row],[تفکیک]]</f>
        <v>0</v>
      </c>
      <c r="P2202" s="6">
        <f ca="1">IF(Main[[#This Row],[تاخیر از سررسید]]&gt;0,Main[[#This Row],[بدهی تسویه نشده (کیلوگرم)]],0)</f>
        <v>0</v>
      </c>
      <c r="Q2202" s="6">
        <f ca="1">IF(Main[[#This Row],[بدهی تسویه نشده (کیلوگرم)]]&gt;0,'گزارش فردی'!$B$7-Main[[#This Row],[تاريخ میلادی]],0)</f>
        <v>0</v>
      </c>
      <c r="R2202" s="6">
        <f ca="1">IF(Main[[#This Row],[بدهی تسویه نشده (کیلوگرم)]]&gt;0,'گزارش فردی'!$B$7-Main[[#This Row],[تاريخ میلادی]]-'گزارش فردی'!$B$8,0)</f>
        <v>0</v>
      </c>
      <c r="S2202" s="6">
        <f ca="1">Main[[#This Row],[روز از ارسال سفارش]]*Main[[#This Row],[بدهی تسویه نشده (کیلوگرم)]]</f>
        <v>0</v>
      </c>
      <c r="T2202" s="6">
        <f ca="1">Main[[#This Row],[بدهی سررسید شده (کیلوگرم)]]*Main[[#This Row],[روز از ارسال سفارش]]</f>
        <v>0</v>
      </c>
      <c r="U2202" s="6">
        <f>-SUBTOTAL(9,INDEX(Main[مقدار (کیلوگرم)],1):Main[[#This Row],[مقدار (کیلوگرم)]])</f>
        <v>40082</v>
      </c>
      <c r="V22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2" s="6">
        <f>Main[[#This Row],[تعداد کل روزهای بدهکار (روز)]]*Main[[#This Row],[مانده در خط کل (کیلوگرم)]]</f>
        <v>0</v>
      </c>
      <c r="X2202" s="6">
        <f ca="1">-SUBTOTAL(9,INDEX(Main[مقدار تسویه شده (کیلوگرم)],1):Main[[#This Row],[مقدار تسویه شده (کیلوگرم)]])</f>
        <v>40082</v>
      </c>
      <c r="Y2202" s="6">
        <f ca="1">IF(Main[[#This Row],[مانده در خط تسویه شده (کیلوگرم)]]&lt;&gt;0,Main[[#This Row],[تعداد کل روزهای بدهکار (روز)]],0)</f>
        <v>0</v>
      </c>
      <c r="Z2202" s="6">
        <f ca="1">Main[[#This Row],[تعداد روزهای بدهکار تسویه شده (روز)]]*Main[[#This Row],[مانده در خط تسویه شده (کیلوگرم)]]</f>
        <v>0</v>
      </c>
      <c r="AA2202" s="6">
        <f ca="1">SUBTOTAL(9,INDEX(Main[بدهی تسویه نشده (کیلوگرم)],1):Main[[#This Row],[بدهی تسویه نشده (کیلوگرم)]])</f>
        <v>0</v>
      </c>
      <c r="AB2202" s="6">
        <f ca="1">IF(Main[[#This Row],[مانده در خط تسویه نشده (کیلوگرم)]]&lt;&gt;0,Main[[#This Row],[تعداد کل روزهای بدهکار (روز)]],0)</f>
        <v>0</v>
      </c>
      <c r="AC2202" s="6">
        <f ca="1">Main[[#This Row],[تعداد روزهای بدهکار  تسویه نشده (روز)]]*Main[[#This Row],[مانده در خط تسویه نشده (کیلوگرم)]]</f>
        <v>0</v>
      </c>
      <c r="AD2202" s="6">
        <f ca="1">SUBTOTAL(9,INDEX(Main[بدهی سررسید شده (کیلوگرم)],1):Main[[#This Row],[بدهی سررسید شده (کیلوگرم)]])</f>
        <v>0</v>
      </c>
      <c r="AE2202" s="6">
        <f ca="1">IF(Main[[#This Row],[مانده در خط سررسید شده (کیلوگرم)]]&lt;&gt;0,Main[[#This Row],[تعداد کل روزهای بدهکار (روز)]],0)</f>
        <v>0</v>
      </c>
      <c r="AF2202" s="6">
        <f ca="1">Main[[#This Row],[تعداد روزهای بدهکار سررسید شده (روز)]]*Main[[#This Row],[مانده در خط سررسید شده (کیلوگرم)]]</f>
        <v>0</v>
      </c>
    </row>
    <row r="2203" spans="1:32" x14ac:dyDescent="0.35">
      <c r="A2203" s="5">
        <f>ROW()-ROW(INDEX(Main[ردیف],1))+1</f>
        <v>2201</v>
      </c>
      <c r="B2203" s="31">
        <f>SUBTOTAL(2,INDEX(Main[ردیف],1):Main[[#This Row],[ردیف]])</f>
        <v>201</v>
      </c>
      <c r="C2203" s="32" t="s">
        <v>767</v>
      </c>
      <c r="D2203" s="32" t="str">
        <f>_xlfn.CONCAT("14",Main[[#This Row],[تاريخ]])</f>
        <v>1400/08/27</v>
      </c>
      <c r="E2203" s="33">
        <v>44518</v>
      </c>
      <c r="F2203" s="32">
        <v>10003</v>
      </c>
      <c r="G2203" s="5" t="str">
        <f>INDEX(customer[عنوان],MATCH(Main[[#This Row],[کد ردیابی]],customer[کد],0))</f>
        <v>اصغر نورعلی</v>
      </c>
      <c r="H2203">
        <v>2810</v>
      </c>
      <c r="I2203" s="6">
        <f ca="1">-Main[[#This Row],[بدهی تسویه شده (کیلوگرم)]]+Main[[#This Row],[بستانکار (کیلوگرم)]]</f>
        <v>2810</v>
      </c>
      <c r="J2203" s="6">
        <f>IF(Main[[#This Row],[مقدار (کیلوگرم)]]&gt;0,Main[[#This Row],[مقدار (کیلوگرم)]],0)</f>
        <v>2810</v>
      </c>
      <c r="K2203" s="6">
        <f>-IF(Main[[#This Row],[مقدار (کیلوگرم)]]&lt;0,Main[[#This Row],[مقدار (کیلوگرم)]],0)</f>
        <v>0</v>
      </c>
      <c r="L22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3" s="7">
        <f>-IF(AND(Main[[#This Row],[مقدار (کیلوگرم)]]&lt;0,Main[[#This Row],[تاريخ میلادی]]&gt;44276),Main[[#This Row],[مقدار (کیلوگرم)]],0)</f>
        <v>0</v>
      </c>
      <c r="N2203" s="6">
        <f ca="1">Main[[#This Row],[بدهکار (کیلوگرم)]]-Main[[#This Row],[بدهی تسویه نشده (کیلوگرم)]]</f>
        <v>0</v>
      </c>
      <c r="O2203" s="6">
        <f ca="1">Main[[#This Row],[تفکیک]]</f>
        <v>0</v>
      </c>
      <c r="P2203" s="6">
        <f ca="1">IF(Main[[#This Row],[تاخیر از سررسید]]&gt;0,Main[[#This Row],[بدهی تسویه نشده (کیلوگرم)]],0)</f>
        <v>0</v>
      </c>
      <c r="Q2203" s="6">
        <f ca="1">IF(Main[[#This Row],[بدهی تسویه نشده (کیلوگرم)]]&gt;0,'گزارش فردی'!$B$7-Main[[#This Row],[تاريخ میلادی]],0)</f>
        <v>0</v>
      </c>
      <c r="R2203" s="6">
        <f ca="1">IF(Main[[#This Row],[بدهی تسویه نشده (کیلوگرم)]]&gt;0,'گزارش فردی'!$B$7-Main[[#This Row],[تاريخ میلادی]]-'گزارش فردی'!$B$8,0)</f>
        <v>0</v>
      </c>
      <c r="S2203" s="6">
        <f ca="1">Main[[#This Row],[روز از ارسال سفارش]]*Main[[#This Row],[بدهی تسویه نشده (کیلوگرم)]]</f>
        <v>0</v>
      </c>
      <c r="T2203" s="6">
        <f ca="1">Main[[#This Row],[بدهی سررسید شده (کیلوگرم)]]*Main[[#This Row],[روز از ارسال سفارش]]</f>
        <v>0</v>
      </c>
      <c r="U2203" s="6">
        <f>-SUBTOTAL(9,INDEX(Main[مقدار (کیلوگرم)],1):Main[[#This Row],[مقدار (کیلوگرم)]])</f>
        <v>37272</v>
      </c>
      <c r="V22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3" s="6">
        <f>Main[[#This Row],[تعداد کل روزهای بدهکار (روز)]]*Main[[#This Row],[مانده در خط کل (کیلوگرم)]]</f>
        <v>0</v>
      </c>
      <c r="X2203" s="6">
        <f ca="1">-SUBTOTAL(9,INDEX(Main[مقدار تسویه شده (کیلوگرم)],1):Main[[#This Row],[مقدار تسویه شده (کیلوگرم)]])</f>
        <v>37272</v>
      </c>
      <c r="Y2203" s="6">
        <f ca="1">IF(Main[[#This Row],[مانده در خط تسویه شده (کیلوگرم)]]&lt;&gt;0,Main[[#This Row],[تعداد کل روزهای بدهکار (روز)]],0)</f>
        <v>0</v>
      </c>
      <c r="Z2203" s="6">
        <f ca="1">Main[[#This Row],[تعداد روزهای بدهکار تسویه شده (روز)]]*Main[[#This Row],[مانده در خط تسویه شده (کیلوگرم)]]</f>
        <v>0</v>
      </c>
      <c r="AA2203" s="6">
        <f ca="1">SUBTOTAL(9,INDEX(Main[بدهی تسویه نشده (کیلوگرم)],1):Main[[#This Row],[بدهی تسویه نشده (کیلوگرم)]])</f>
        <v>0</v>
      </c>
      <c r="AB2203" s="6">
        <f ca="1">IF(Main[[#This Row],[مانده در خط تسویه نشده (کیلوگرم)]]&lt;&gt;0,Main[[#This Row],[تعداد کل روزهای بدهکار (روز)]],0)</f>
        <v>0</v>
      </c>
      <c r="AC2203" s="6">
        <f ca="1">Main[[#This Row],[تعداد روزهای بدهکار  تسویه نشده (روز)]]*Main[[#This Row],[مانده در خط تسویه نشده (کیلوگرم)]]</f>
        <v>0</v>
      </c>
      <c r="AD2203" s="6">
        <f ca="1">SUBTOTAL(9,INDEX(Main[بدهی سررسید شده (کیلوگرم)],1):Main[[#This Row],[بدهی سررسید شده (کیلوگرم)]])</f>
        <v>0</v>
      </c>
      <c r="AE2203" s="6">
        <f ca="1">IF(Main[[#This Row],[مانده در خط سررسید شده (کیلوگرم)]]&lt;&gt;0,Main[[#This Row],[تعداد کل روزهای بدهکار (روز)]],0)</f>
        <v>0</v>
      </c>
      <c r="AF2203" s="6">
        <f ca="1">Main[[#This Row],[تعداد روزهای بدهکار سررسید شده (روز)]]*Main[[#This Row],[مانده در خط سررسید شده (کیلوگرم)]]</f>
        <v>0</v>
      </c>
    </row>
    <row r="2204" spans="1:32" hidden="1" x14ac:dyDescent="0.35">
      <c r="A2204" s="5">
        <f>ROW()-ROW(INDEX(Main[ردیف],1))+1</f>
        <v>2202</v>
      </c>
      <c r="B2204" s="31">
        <f>SUBTOTAL(2,INDEX(Main[ردیف],1):Main[[#This Row],[ردیف]])</f>
        <v>201</v>
      </c>
      <c r="C2204" s="32" t="s">
        <v>767</v>
      </c>
      <c r="D2204" s="32" t="str">
        <f>_xlfn.CONCAT("14",Main[[#This Row],[تاريخ]])</f>
        <v>1400/08/27</v>
      </c>
      <c r="E2204" s="33">
        <v>44518</v>
      </c>
      <c r="F2204" s="32">
        <v>30018</v>
      </c>
      <c r="G2204" s="5" t="str">
        <f>INDEX(customer[عنوان],MATCH(Main[[#This Row],[کد ردیابی]],customer[کد],0))</f>
        <v xml:space="preserve">تولیدی شیر سازی غریب پویا </v>
      </c>
      <c r="H2204">
        <v>-2040</v>
      </c>
      <c r="I2204" s="6">
        <f ca="1">-Main[[#This Row],[بدهی تسویه شده (کیلوگرم)]]+Main[[#This Row],[بستانکار (کیلوگرم)]]</f>
        <v>-2040</v>
      </c>
      <c r="J2204" s="6">
        <f>IF(Main[[#This Row],[مقدار (کیلوگرم)]]&gt;0,Main[[#This Row],[مقدار (کیلوگرم)]],0)</f>
        <v>0</v>
      </c>
      <c r="K2204" s="6">
        <f>-IF(Main[[#This Row],[مقدار (کیلوگرم)]]&lt;0,Main[[#This Row],[مقدار (کیلوگرم)]],0)</f>
        <v>2040</v>
      </c>
      <c r="L22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4" s="7">
        <f>-IF(AND(Main[[#This Row],[مقدار (کیلوگرم)]]&lt;0,Main[[#This Row],[تاريخ میلادی]]&gt;44276),Main[[#This Row],[مقدار (کیلوگرم)]],0)</f>
        <v>2040</v>
      </c>
      <c r="N2204" s="6">
        <f ca="1">Main[[#This Row],[بدهکار (کیلوگرم)]]-Main[[#This Row],[بدهی تسویه نشده (کیلوگرم)]]</f>
        <v>2040</v>
      </c>
      <c r="O2204" s="6">
        <f ca="1">Main[[#This Row],[تفکیک]]</f>
        <v>0</v>
      </c>
      <c r="P2204" s="6">
        <f ca="1">IF(Main[[#This Row],[تاخیر از سررسید]]&gt;0,Main[[#This Row],[بدهی تسویه نشده (کیلوگرم)]],0)</f>
        <v>0</v>
      </c>
      <c r="Q2204" s="6">
        <f ca="1">IF(Main[[#This Row],[بدهی تسویه نشده (کیلوگرم)]]&gt;0,'گزارش فردی'!$B$7-Main[[#This Row],[تاريخ میلادی]],0)</f>
        <v>0</v>
      </c>
      <c r="R2204" s="6">
        <f ca="1">IF(Main[[#This Row],[بدهی تسویه نشده (کیلوگرم)]]&gt;0,'گزارش فردی'!$B$7-Main[[#This Row],[تاريخ میلادی]]-'گزارش فردی'!$B$8,0)</f>
        <v>0</v>
      </c>
      <c r="S2204" s="6">
        <f ca="1">Main[[#This Row],[روز از ارسال سفارش]]*Main[[#This Row],[بدهی تسویه نشده (کیلوگرم)]]</f>
        <v>0</v>
      </c>
      <c r="T2204" s="6">
        <f ca="1">Main[[#This Row],[بدهی سررسید شده (کیلوگرم)]]*Main[[#This Row],[روز از ارسال سفارش]]</f>
        <v>0</v>
      </c>
      <c r="U2204" s="6">
        <f>-SUBTOTAL(9,INDEX(Main[مقدار (کیلوگرم)],1):Main[[#This Row],[مقدار (کیلوگرم)]])</f>
        <v>37272</v>
      </c>
      <c r="V22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4" s="6">
        <f>Main[[#This Row],[تعداد کل روزهای بدهکار (روز)]]*Main[[#This Row],[مانده در خط کل (کیلوگرم)]]</f>
        <v>0</v>
      </c>
      <c r="X2204" s="6">
        <f ca="1">-SUBTOTAL(9,INDEX(Main[مقدار تسویه شده (کیلوگرم)],1):Main[[#This Row],[مقدار تسویه شده (کیلوگرم)]])</f>
        <v>37272</v>
      </c>
      <c r="Y2204" s="6">
        <f ca="1">IF(Main[[#This Row],[مانده در خط تسویه شده (کیلوگرم)]]&lt;&gt;0,Main[[#This Row],[تعداد کل روزهای بدهکار (روز)]],0)</f>
        <v>0</v>
      </c>
      <c r="Z2204" s="6">
        <f ca="1">Main[[#This Row],[تعداد روزهای بدهکار تسویه شده (روز)]]*Main[[#This Row],[مانده در خط تسویه شده (کیلوگرم)]]</f>
        <v>0</v>
      </c>
      <c r="AA2204" s="6">
        <f ca="1">SUBTOTAL(9,INDEX(Main[بدهی تسویه نشده (کیلوگرم)],1):Main[[#This Row],[بدهی تسویه نشده (کیلوگرم)]])</f>
        <v>0</v>
      </c>
      <c r="AB2204" s="6">
        <f ca="1">IF(Main[[#This Row],[مانده در خط تسویه نشده (کیلوگرم)]]&lt;&gt;0,Main[[#This Row],[تعداد کل روزهای بدهکار (روز)]],0)</f>
        <v>0</v>
      </c>
      <c r="AC2204" s="6">
        <f ca="1">Main[[#This Row],[تعداد روزهای بدهکار  تسویه نشده (روز)]]*Main[[#This Row],[مانده در خط تسویه نشده (کیلوگرم)]]</f>
        <v>0</v>
      </c>
      <c r="AD2204" s="6">
        <f ca="1">SUBTOTAL(9,INDEX(Main[بدهی سررسید شده (کیلوگرم)],1):Main[[#This Row],[بدهی سررسید شده (کیلوگرم)]])</f>
        <v>0</v>
      </c>
      <c r="AE2204" s="6">
        <f ca="1">IF(Main[[#This Row],[مانده در خط سررسید شده (کیلوگرم)]]&lt;&gt;0,Main[[#This Row],[تعداد کل روزهای بدهکار (روز)]],0)</f>
        <v>0</v>
      </c>
      <c r="AF2204" s="6">
        <f ca="1">Main[[#This Row],[تعداد روزهای بدهکار سررسید شده (روز)]]*Main[[#This Row],[مانده در خط سررسید شده (کیلوگرم)]]</f>
        <v>0</v>
      </c>
    </row>
    <row r="2205" spans="1:32" hidden="1" x14ac:dyDescent="0.35">
      <c r="A2205" s="5">
        <f>ROW()-ROW(INDEX(Main[ردیف],1))+1</f>
        <v>2203</v>
      </c>
      <c r="B2205" s="31">
        <f>SUBTOTAL(2,INDEX(Main[ردیف],1):Main[[#This Row],[ردیف]])</f>
        <v>201</v>
      </c>
      <c r="C2205" s="32" t="s">
        <v>767</v>
      </c>
      <c r="D2205" s="32" t="str">
        <f>_xlfn.CONCAT("14",Main[[#This Row],[تاريخ]])</f>
        <v>1400/08/27</v>
      </c>
      <c r="E2205" s="33">
        <v>44518</v>
      </c>
      <c r="F2205" s="32">
        <v>30186</v>
      </c>
      <c r="G2205" s="5" t="str">
        <f>INDEX(customer[عنوان],MATCH(Main[[#This Row],[کد ردیابی]],customer[کد],0))</f>
        <v>سارا گاز</v>
      </c>
      <c r="H2205">
        <v>1576</v>
      </c>
      <c r="I2205" s="6">
        <f ca="1">-Main[[#This Row],[بدهی تسویه شده (کیلوگرم)]]+Main[[#This Row],[بستانکار (کیلوگرم)]]</f>
        <v>1576</v>
      </c>
      <c r="J2205" s="6">
        <f>IF(Main[[#This Row],[مقدار (کیلوگرم)]]&gt;0,Main[[#This Row],[مقدار (کیلوگرم)]],0)</f>
        <v>1576</v>
      </c>
      <c r="K2205" s="6">
        <f>-IF(Main[[#This Row],[مقدار (کیلوگرم)]]&lt;0,Main[[#This Row],[مقدار (کیلوگرم)]],0)</f>
        <v>0</v>
      </c>
      <c r="L22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5" s="7">
        <f>-IF(AND(Main[[#This Row],[مقدار (کیلوگرم)]]&lt;0,Main[[#This Row],[تاريخ میلادی]]&gt;44276),Main[[#This Row],[مقدار (کیلوگرم)]],0)</f>
        <v>0</v>
      </c>
      <c r="N2205" s="6">
        <f ca="1">Main[[#This Row],[بدهکار (کیلوگرم)]]-Main[[#This Row],[بدهی تسویه نشده (کیلوگرم)]]</f>
        <v>0</v>
      </c>
      <c r="O2205" s="6">
        <f ca="1">Main[[#This Row],[تفکیک]]</f>
        <v>0</v>
      </c>
      <c r="P2205" s="6">
        <f ca="1">IF(Main[[#This Row],[تاخیر از سررسید]]&gt;0,Main[[#This Row],[بدهی تسویه نشده (کیلوگرم)]],0)</f>
        <v>0</v>
      </c>
      <c r="Q2205" s="6">
        <f ca="1">IF(Main[[#This Row],[بدهی تسویه نشده (کیلوگرم)]]&gt;0,'گزارش فردی'!$B$7-Main[[#This Row],[تاريخ میلادی]],0)</f>
        <v>0</v>
      </c>
      <c r="R2205" s="6">
        <f ca="1">IF(Main[[#This Row],[بدهی تسویه نشده (کیلوگرم)]]&gt;0,'گزارش فردی'!$B$7-Main[[#This Row],[تاريخ میلادی]]-'گزارش فردی'!$B$8,0)</f>
        <v>0</v>
      </c>
      <c r="S2205" s="6">
        <f ca="1">Main[[#This Row],[روز از ارسال سفارش]]*Main[[#This Row],[بدهی تسویه نشده (کیلوگرم)]]</f>
        <v>0</v>
      </c>
      <c r="T2205" s="6">
        <f ca="1">Main[[#This Row],[بدهی سررسید شده (کیلوگرم)]]*Main[[#This Row],[روز از ارسال سفارش]]</f>
        <v>0</v>
      </c>
      <c r="U2205" s="6">
        <f>-SUBTOTAL(9,INDEX(Main[مقدار (کیلوگرم)],1):Main[[#This Row],[مقدار (کیلوگرم)]])</f>
        <v>37272</v>
      </c>
      <c r="V22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5" s="6">
        <f>Main[[#This Row],[تعداد کل روزهای بدهکار (روز)]]*Main[[#This Row],[مانده در خط کل (کیلوگرم)]]</f>
        <v>0</v>
      </c>
      <c r="X2205" s="6">
        <f ca="1">-SUBTOTAL(9,INDEX(Main[مقدار تسویه شده (کیلوگرم)],1):Main[[#This Row],[مقدار تسویه شده (کیلوگرم)]])</f>
        <v>37272</v>
      </c>
      <c r="Y2205" s="6">
        <f ca="1">IF(Main[[#This Row],[مانده در خط تسویه شده (کیلوگرم)]]&lt;&gt;0,Main[[#This Row],[تعداد کل روزهای بدهکار (روز)]],0)</f>
        <v>0</v>
      </c>
      <c r="Z2205" s="6">
        <f ca="1">Main[[#This Row],[تعداد روزهای بدهکار تسویه شده (روز)]]*Main[[#This Row],[مانده در خط تسویه شده (کیلوگرم)]]</f>
        <v>0</v>
      </c>
      <c r="AA2205" s="6">
        <f ca="1">SUBTOTAL(9,INDEX(Main[بدهی تسویه نشده (کیلوگرم)],1):Main[[#This Row],[بدهی تسویه نشده (کیلوگرم)]])</f>
        <v>0</v>
      </c>
      <c r="AB2205" s="6">
        <f ca="1">IF(Main[[#This Row],[مانده در خط تسویه نشده (کیلوگرم)]]&lt;&gt;0,Main[[#This Row],[تعداد کل روزهای بدهکار (روز)]],0)</f>
        <v>0</v>
      </c>
      <c r="AC2205" s="6">
        <f ca="1">Main[[#This Row],[تعداد روزهای بدهکار  تسویه نشده (روز)]]*Main[[#This Row],[مانده در خط تسویه نشده (کیلوگرم)]]</f>
        <v>0</v>
      </c>
      <c r="AD2205" s="6">
        <f ca="1">SUBTOTAL(9,INDEX(Main[بدهی سررسید شده (کیلوگرم)],1):Main[[#This Row],[بدهی سررسید شده (کیلوگرم)]])</f>
        <v>0</v>
      </c>
      <c r="AE2205" s="6">
        <f ca="1">IF(Main[[#This Row],[مانده در خط سررسید شده (کیلوگرم)]]&lt;&gt;0,Main[[#This Row],[تعداد کل روزهای بدهکار (روز)]],0)</f>
        <v>0</v>
      </c>
      <c r="AF2205" s="6">
        <f ca="1">Main[[#This Row],[تعداد روزهای بدهکار سررسید شده (روز)]]*Main[[#This Row],[مانده در خط سررسید شده (کیلوگرم)]]</f>
        <v>0</v>
      </c>
    </row>
    <row r="2206" spans="1:32" hidden="1" x14ac:dyDescent="0.35">
      <c r="A2206" s="5">
        <f>ROW()-ROW(INDEX(Main[ردیف],1))+1</f>
        <v>2204</v>
      </c>
      <c r="B2206" s="31">
        <f>SUBTOTAL(2,INDEX(Main[ردیف],1):Main[[#This Row],[ردیف]])</f>
        <v>201</v>
      </c>
      <c r="C2206" s="32" t="s">
        <v>767</v>
      </c>
      <c r="D2206" s="32" t="str">
        <f>_xlfn.CONCAT("14",Main[[#This Row],[تاريخ]])</f>
        <v>1400/08/27</v>
      </c>
      <c r="E2206" s="33">
        <v>44518</v>
      </c>
      <c r="F2206" s="32">
        <v>30186</v>
      </c>
      <c r="G2206" s="5" t="str">
        <f>INDEX(customer[عنوان],MATCH(Main[[#This Row],[کد ردیابی]],customer[کد],0))</f>
        <v>سارا گاز</v>
      </c>
      <c r="H2206">
        <v>-1983</v>
      </c>
      <c r="I2206" s="6">
        <f ca="1">-Main[[#This Row],[بدهی تسویه شده (کیلوگرم)]]+Main[[#This Row],[بستانکار (کیلوگرم)]]</f>
        <v>-1983</v>
      </c>
      <c r="J2206" s="6">
        <f>IF(Main[[#This Row],[مقدار (کیلوگرم)]]&gt;0,Main[[#This Row],[مقدار (کیلوگرم)]],0)</f>
        <v>0</v>
      </c>
      <c r="K2206" s="6">
        <f>-IF(Main[[#This Row],[مقدار (کیلوگرم)]]&lt;0,Main[[#This Row],[مقدار (کیلوگرم)]],0)</f>
        <v>1983</v>
      </c>
      <c r="L22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6" s="7">
        <f>-IF(AND(Main[[#This Row],[مقدار (کیلوگرم)]]&lt;0,Main[[#This Row],[تاريخ میلادی]]&gt;44276),Main[[#This Row],[مقدار (کیلوگرم)]],0)</f>
        <v>1983</v>
      </c>
      <c r="N2206" s="6">
        <f ca="1">Main[[#This Row],[بدهکار (کیلوگرم)]]-Main[[#This Row],[بدهی تسویه نشده (کیلوگرم)]]</f>
        <v>1983</v>
      </c>
      <c r="O2206" s="6">
        <f ca="1">Main[[#This Row],[تفکیک]]</f>
        <v>0</v>
      </c>
      <c r="P2206" s="6">
        <f ca="1">IF(Main[[#This Row],[تاخیر از سررسید]]&gt;0,Main[[#This Row],[بدهی تسویه نشده (کیلوگرم)]],0)</f>
        <v>0</v>
      </c>
      <c r="Q2206" s="6">
        <f ca="1">IF(Main[[#This Row],[بدهی تسویه نشده (کیلوگرم)]]&gt;0,'گزارش فردی'!$B$7-Main[[#This Row],[تاريخ میلادی]],0)</f>
        <v>0</v>
      </c>
      <c r="R2206" s="6">
        <f ca="1">IF(Main[[#This Row],[بدهی تسویه نشده (کیلوگرم)]]&gt;0,'گزارش فردی'!$B$7-Main[[#This Row],[تاريخ میلادی]]-'گزارش فردی'!$B$8,0)</f>
        <v>0</v>
      </c>
      <c r="S2206" s="6">
        <f ca="1">Main[[#This Row],[روز از ارسال سفارش]]*Main[[#This Row],[بدهی تسویه نشده (کیلوگرم)]]</f>
        <v>0</v>
      </c>
      <c r="T2206" s="6">
        <f ca="1">Main[[#This Row],[بدهی سررسید شده (کیلوگرم)]]*Main[[#This Row],[روز از ارسال سفارش]]</f>
        <v>0</v>
      </c>
      <c r="U2206" s="6">
        <f>-SUBTOTAL(9,INDEX(Main[مقدار (کیلوگرم)],1):Main[[#This Row],[مقدار (کیلوگرم)]])</f>
        <v>37272</v>
      </c>
      <c r="V22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6" s="6">
        <f>Main[[#This Row],[تعداد کل روزهای بدهکار (روز)]]*Main[[#This Row],[مانده در خط کل (کیلوگرم)]]</f>
        <v>0</v>
      </c>
      <c r="X2206" s="6">
        <f ca="1">-SUBTOTAL(9,INDEX(Main[مقدار تسویه شده (کیلوگرم)],1):Main[[#This Row],[مقدار تسویه شده (کیلوگرم)]])</f>
        <v>37272</v>
      </c>
      <c r="Y2206" s="6">
        <f ca="1">IF(Main[[#This Row],[مانده در خط تسویه شده (کیلوگرم)]]&lt;&gt;0,Main[[#This Row],[تعداد کل روزهای بدهکار (روز)]],0)</f>
        <v>0</v>
      </c>
      <c r="Z2206" s="6">
        <f ca="1">Main[[#This Row],[تعداد روزهای بدهکار تسویه شده (روز)]]*Main[[#This Row],[مانده در خط تسویه شده (کیلوگرم)]]</f>
        <v>0</v>
      </c>
      <c r="AA2206" s="6">
        <f ca="1">SUBTOTAL(9,INDEX(Main[بدهی تسویه نشده (کیلوگرم)],1):Main[[#This Row],[بدهی تسویه نشده (کیلوگرم)]])</f>
        <v>0</v>
      </c>
      <c r="AB2206" s="6">
        <f ca="1">IF(Main[[#This Row],[مانده در خط تسویه نشده (کیلوگرم)]]&lt;&gt;0,Main[[#This Row],[تعداد کل روزهای بدهکار (روز)]],0)</f>
        <v>0</v>
      </c>
      <c r="AC2206" s="6">
        <f ca="1">Main[[#This Row],[تعداد روزهای بدهکار  تسویه نشده (روز)]]*Main[[#This Row],[مانده در خط تسویه نشده (کیلوگرم)]]</f>
        <v>0</v>
      </c>
      <c r="AD2206" s="6">
        <f ca="1">SUBTOTAL(9,INDEX(Main[بدهی سررسید شده (کیلوگرم)],1):Main[[#This Row],[بدهی سررسید شده (کیلوگرم)]])</f>
        <v>0</v>
      </c>
      <c r="AE2206" s="6">
        <f ca="1">IF(Main[[#This Row],[مانده در خط سررسید شده (کیلوگرم)]]&lt;&gt;0,Main[[#This Row],[تعداد کل روزهای بدهکار (روز)]],0)</f>
        <v>0</v>
      </c>
      <c r="AF2206" s="6">
        <f ca="1">Main[[#This Row],[تعداد روزهای بدهکار سررسید شده (روز)]]*Main[[#This Row],[مانده در خط سررسید شده (کیلوگرم)]]</f>
        <v>0</v>
      </c>
    </row>
    <row r="2207" spans="1:32" hidden="1" x14ac:dyDescent="0.35">
      <c r="A2207" s="5">
        <f>ROW()-ROW(INDEX(Main[ردیف],1))+1</f>
        <v>2205</v>
      </c>
      <c r="B2207" s="31">
        <f>SUBTOTAL(2,INDEX(Main[ردیف],1):Main[[#This Row],[ردیف]])</f>
        <v>201</v>
      </c>
      <c r="C2207" s="32" t="s">
        <v>767</v>
      </c>
      <c r="D2207" s="32" t="str">
        <f>_xlfn.CONCAT("14",Main[[#This Row],[تاريخ]])</f>
        <v>1400/08/27</v>
      </c>
      <c r="E2207" s="33">
        <v>44518</v>
      </c>
      <c r="F2207" s="32">
        <v>30018</v>
      </c>
      <c r="G2207" s="5" t="str">
        <f>INDEX(customer[عنوان],MATCH(Main[[#This Row],[کد ردیابی]],customer[کد],0))</f>
        <v xml:space="preserve">تولیدی شیر سازی غریب پویا </v>
      </c>
      <c r="H2207">
        <v>2469</v>
      </c>
      <c r="I2207" s="6">
        <f ca="1">-Main[[#This Row],[بدهی تسویه شده (کیلوگرم)]]+Main[[#This Row],[بستانکار (کیلوگرم)]]</f>
        <v>2469</v>
      </c>
      <c r="J2207" s="6">
        <f>IF(Main[[#This Row],[مقدار (کیلوگرم)]]&gt;0,Main[[#This Row],[مقدار (کیلوگرم)]],0)</f>
        <v>2469</v>
      </c>
      <c r="K2207" s="6">
        <f>-IF(Main[[#This Row],[مقدار (کیلوگرم)]]&lt;0,Main[[#This Row],[مقدار (کیلوگرم)]],0)</f>
        <v>0</v>
      </c>
      <c r="L22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7" s="7">
        <f>-IF(AND(Main[[#This Row],[مقدار (کیلوگرم)]]&lt;0,Main[[#This Row],[تاريخ میلادی]]&gt;44276),Main[[#This Row],[مقدار (کیلوگرم)]],0)</f>
        <v>0</v>
      </c>
      <c r="N2207" s="6">
        <f ca="1">Main[[#This Row],[بدهکار (کیلوگرم)]]-Main[[#This Row],[بدهی تسویه نشده (کیلوگرم)]]</f>
        <v>0</v>
      </c>
      <c r="O2207" s="6">
        <f ca="1">Main[[#This Row],[تفکیک]]</f>
        <v>0</v>
      </c>
      <c r="P2207" s="6">
        <f ca="1">IF(Main[[#This Row],[تاخیر از سررسید]]&gt;0,Main[[#This Row],[بدهی تسویه نشده (کیلوگرم)]],0)</f>
        <v>0</v>
      </c>
      <c r="Q2207" s="6">
        <f ca="1">IF(Main[[#This Row],[بدهی تسویه نشده (کیلوگرم)]]&gt;0,'گزارش فردی'!$B$7-Main[[#This Row],[تاريخ میلادی]],0)</f>
        <v>0</v>
      </c>
      <c r="R2207" s="6">
        <f ca="1">IF(Main[[#This Row],[بدهی تسویه نشده (کیلوگرم)]]&gt;0,'گزارش فردی'!$B$7-Main[[#This Row],[تاريخ میلادی]]-'گزارش فردی'!$B$8,0)</f>
        <v>0</v>
      </c>
      <c r="S2207" s="6">
        <f ca="1">Main[[#This Row],[روز از ارسال سفارش]]*Main[[#This Row],[بدهی تسویه نشده (کیلوگرم)]]</f>
        <v>0</v>
      </c>
      <c r="T2207" s="6">
        <f ca="1">Main[[#This Row],[بدهی سررسید شده (کیلوگرم)]]*Main[[#This Row],[روز از ارسال سفارش]]</f>
        <v>0</v>
      </c>
      <c r="U2207" s="6">
        <f>-SUBTOTAL(9,INDEX(Main[مقدار (کیلوگرم)],1):Main[[#This Row],[مقدار (کیلوگرم)]])</f>
        <v>37272</v>
      </c>
      <c r="V22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7" s="6">
        <f>Main[[#This Row],[تعداد کل روزهای بدهکار (روز)]]*Main[[#This Row],[مانده در خط کل (کیلوگرم)]]</f>
        <v>0</v>
      </c>
      <c r="X2207" s="6">
        <f ca="1">-SUBTOTAL(9,INDEX(Main[مقدار تسویه شده (کیلوگرم)],1):Main[[#This Row],[مقدار تسویه شده (کیلوگرم)]])</f>
        <v>37272</v>
      </c>
      <c r="Y2207" s="6">
        <f ca="1">IF(Main[[#This Row],[مانده در خط تسویه شده (کیلوگرم)]]&lt;&gt;0,Main[[#This Row],[تعداد کل روزهای بدهکار (روز)]],0)</f>
        <v>0</v>
      </c>
      <c r="Z2207" s="6">
        <f ca="1">Main[[#This Row],[تعداد روزهای بدهکار تسویه شده (روز)]]*Main[[#This Row],[مانده در خط تسویه شده (کیلوگرم)]]</f>
        <v>0</v>
      </c>
      <c r="AA2207" s="6">
        <f ca="1">SUBTOTAL(9,INDEX(Main[بدهی تسویه نشده (کیلوگرم)],1):Main[[#This Row],[بدهی تسویه نشده (کیلوگرم)]])</f>
        <v>0</v>
      </c>
      <c r="AB2207" s="6">
        <f ca="1">IF(Main[[#This Row],[مانده در خط تسویه نشده (کیلوگرم)]]&lt;&gt;0,Main[[#This Row],[تعداد کل روزهای بدهکار (روز)]],0)</f>
        <v>0</v>
      </c>
      <c r="AC2207" s="6">
        <f ca="1">Main[[#This Row],[تعداد روزهای بدهکار  تسویه نشده (روز)]]*Main[[#This Row],[مانده در خط تسویه نشده (کیلوگرم)]]</f>
        <v>0</v>
      </c>
      <c r="AD2207" s="6">
        <f ca="1">SUBTOTAL(9,INDEX(Main[بدهی سررسید شده (کیلوگرم)],1):Main[[#This Row],[بدهی سررسید شده (کیلوگرم)]])</f>
        <v>0</v>
      </c>
      <c r="AE2207" s="6">
        <f ca="1">IF(Main[[#This Row],[مانده در خط سررسید شده (کیلوگرم)]]&lt;&gt;0,Main[[#This Row],[تعداد کل روزهای بدهکار (روز)]],0)</f>
        <v>0</v>
      </c>
      <c r="AF2207" s="6">
        <f ca="1">Main[[#This Row],[تعداد روزهای بدهکار سررسید شده (روز)]]*Main[[#This Row],[مانده در خط سررسید شده (کیلوگرم)]]</f>
        <v>0</v>
      </c>
    </row>
    <row r="2208" spans="1:32" x14ac:dyDescent="0.35">
      <c r="A2208" s="5">
        <f>ROW()-ROW(INDEX(Main[ردیف],1))+1</f>
        <v>2206</v>
      </c>
      <c r="B2208" s="31">
        <f>SUBTOTAL(2,INDEX(Main[ردیف],1):Main[[#This Row],[ردیف]])</f>
        <v>202</v>
      </c>
      <c r="C2208" s="32" t="s">
        <v>767</v>
      </c>
      <c r="D2208" s="32" t="str">
        <f>_xlfn.CONCAT("14",Main[[#This Row],[تاريخ]])</f>
        <v>1400/08/27</v>
      </c>
      <c r="E2208" s="33">
        <v>44518</v>
      </c>
      <c r="F2208" s="32">
        <v>10003</v>
      </c>
      <c r="G2208" s="5" t="str">
        <f>INDEX(customer[عنوان],MATCH(Main[[#This Row],[کد ردیابی]],customer[کد],0))</f>
        <v>اصغر نورعلی</v>
      </c>
      <c r="H2208">
        <v>-2081</v>
      </c>
      <c r="I2208" s="6">
        <f ca="1">-Main[[#This Row],[بدهی تسویه شده (کیلوگرم)]]+Main[[#This Row],[بستانکار (کیلوگرم)]]</f>
        <v>-2081</v>
      </c>
      <c r="J2208" s="6">
        <f>IF(Main[[#This Row],[مقدار (کیلوگرم)]]&gt;0,Main[[#This Row],[مقدار (کیلوگرم)]],0)</f>
        <v>0</v>
      </c>
      <c r="K2208" s="6">
        <f>-IF(Main[[#This Row],[مقدار (کیلوگرم)]]&lt;0,Main[[#This Row],[مقدار (کیلوگرم)]],0)</f>
        <v>2081</v>
      </c>
      <c r="L22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8" s="7">
        <f>-IF(AND(Main[[#This Row],[مقدار (کیلوگرم)]]&lt;0,Main[[#This Row],[تاريخ میلادی]]&gt;44276),Main[[#This Row],[مقدار (کیلوگرم)]],0)</f>
        <v>2081</v>
      </c>
      <c r="N2208" s="6">
        <f ca="1">Main[[#This Row],[بدهکار (کیلوگرم)]]-Main[[#This Row],[بدهی تسویه نشده (کیلوگرم)]]</f>
        <v>2081</v>
      </c>
      <c r="O2208" s="6">
        <f ca="1">Main[[#This Row],[تفکیک]]</f>
        <v>0</v>
      </c>
      <c r="P2208" s="6">
        <f ca="1">IF(Main[[#This Row],[تاخیر از سررسید]]&gt;0,Main[[#This Row],[بدهی تسویه نشده (کیلوگرم)]],0)</f>
        <v>0</v>
      </c>
      <c r="Q2208" s="6">
        <f ca="1">IF(Main[[#This Row],[بدهی تسویه نشده (کیلوگرم)]]&gt;0,'گزارش فردی'!$B$7-Main[[#This Row],[تاريخ میلادی]],0)</f>
        <v>0</v>
      </c>
      <c r="R2208" s="6">
        <f ca="1">IF(Main[[#This Row],[بدهی تسویه نشده (کیلوگرم)]]&gt;0,'گزارش فردی'!$B$7-Main[[#This Row],[تاريخ میلادی]]-'گزارش فردی'!$B$8,0)</f>
        <v>0</v>
      </c>
      <c r="S2208" s="6">
        <f ca="1">Main[[#This Row],[روز از ارسال سفارش]]*Main[[#This Row],[بدهی تسویه نشده (کیلوگرم)]]</f>
        <v>0</v>
      </c>
      <c r="T2208" s="6">
        <f ca="1">Main[[#This Row],[بدهی سررسید شده (کیلوگرم)]]*Main[[#This Row],[روز از ارسال سفارش]]</f>
        <v>0</v>
      </c>
      <c r="U2208" s="6">
        <f>-SUBTOTAL(9,INDEX(Main[مقدار (کیلوگرم)],1):Main[[#This Row],[مقدار (کیلوگرم)]])</f>
        <v>39353</v>
      </c>
      <c r="V220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08" s="6">
        <f>Main[[#This Row],[تعداد کل روزهای بدهکار (روز)]]*Main[[#This Row],[مانده در خط کل (کیلوگرم)]]</f>
        <v>78706</v>
      </c>
      <c r="X2208" s="6">
        <f ca="1">-SUBTOTAL(9,INDEX(Main[مقدار تسویه شده (کیلوگرم)],1):Main[[#This Row],[مقدار تسویه شده (کیلوگرم)]])</f>
        <v>39353</v>
      </c>
      <c r="Y2208" s="6">
        <f ca="1">IF(Main[[#This Row],[مانده در خط تسویه شده (کیلوگرم)]]&lt;&gt;0,Main[[#This Row],[تعداد کل روزهای بدهکار (روز)]],0)</f>
        <v>2</v>
      </c>
      <c r="Z2208" s="6">
        <f ca="1">Main[[#This Row],[تعداد روزهای بدهکار تسویه شده (روز)]]*Main[[#This Row],[مانده در خط تسویه شده (کیلوگرم)]]</f>
        <v>78706</v>
      </c>
      <c r="AA2208" s="6">
        <f ca="1">SUBTOTAL(9,INDEX(Main[بدهی تسویه نشده (کیلوگرم)],1):Main[[#This Row],[بدهی تسویه نشده (کیلوگرم)]])</f>
        <v>0</v>
      </c>
      <c r="AB2208" s="6">
        <f ca="1">IF(Main[[#This Row],[مانده در خط تسویه نشده (کیلوگرم)]]&lt;&gt;0,Main[[#This Row],[تعداد کل روزهای بدهکار (روز)]],0)</f>
        <v>0</v>
      </c>
      <c r="AC2208" s="6">
        <f ca="1">Main[[#This Row],[تعداد روزهای بدهکار  تسویه نشده (روز)]]*Main[[#This Row],[مانده در خط تسویه نشده (کیلوگرم)]]</f>
        <v>0</v>
      </c>
      <c r="AD2208" s="6">
        <f ca="1">SUBTOTAL(9,INDEX(Main[بدهی سررسید شده (کیلوگرم)],1):Main[[#This Row],[بدهی سررسید شده (کیلوگرم)]])</f>
        <v>0</v>
      </c>
      <c r="AE2208" s="6">
        <f ca="1">IF(Main[[#This Row],[مانده در خط سررسید شده (کیلوگرم)]]&lt;&gt;0,Main[[#This Row],[تعداد کل روزهای بدهکار (روز)]],0)</f>
        <v>0</v>
      </c>
      <c r="AF2208" s="6">
        <f ca="1">Main[[#This Row],[تعداد روزهای بدهکار سررسید شده (روز)]]*Main[[#This Row],[مانده در خط سررسید شده (کیلوگرم)]]</f>
        <v>0</v>
      </c>
    </row>
    <row r="2209" spans="1:32" hidden="1" x14ac:dyDescent="0.35">
      <c r="A2209" s="5">
        <f>ROW()-ROW(INDEX(Main[ردیف],1))+1</f>
        <v>2207</v>
      </c>
      <c r="B2209" s="31">
        <f>SUBTOTAL(2,INDEX(Main[ردیف],1):Main[[#This Row],[ردیف]])</f>
        <v>202</v>
      </c>
      <c r="C2209" s="32" t="s">
        <v>767</v>
      </c>
      <c r="D2209" s="32" t="str">
        <f>_xlfn.CONCAT("14",Main[[#This Row],[تاريخ]])</f>
        <v>1400/08/27</v>
      </c>
      <c r="E2209" s="33">
        <v>44518</v>
      </c>
      <c r="F2209" s="32">
        <v>30009</v>
      </c>
      <c r="G2209" s="5" t="str">
        <f>INDEX(customer[عنوان],MATCH(Main[[#This Row],[کد ردیابی]],customer[کد],0))</f>
        <v>شرکت ایمن تک پیشرو</v>
      </c>
      <c r="H2209">
        <v>918</v>
      </c>
      <c r="I2209" s="6">
        <f ca="1">-Main[[#This Row],[بدهی تسویه شده (کیلوگرم)]]+Main[[#This Row],[بستانکار (کیلوگرم)]]</f>
        <v>918</v>
      </c>
      <c r="J2209" s="6">
        <f>IF(Main[[#This Row],[مقدار (کیلوگرم)]]&gt;0,Main[[#This Row],[مقدار (کیلوگرم)]],0)</f>
        <v>918</v>
      </c>
      <c r="K2209" s="6">
        <f>-IF(Main[[#This Row],[مقدار (کیلوگرم)]]&lt;0,Main[[#This Row],[مقدار (کیلوگرم)]],0)</f>
        <v>0</v>
      </c>
      <c r="L22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9" s="7">
        <f>-IF(AND(Main[[#This Row],[مقدار (کیلوگرم)]]&lt;0,Main[[#This Row],[تاريخ میلادی]]&gt;44276),Main[[#This Row],[مقدار (کیلوگرم)]],0)</f>
        <v>0</v>
      </c>
      <c r="N2209" s="6">
        <f ca="1">Main[[#This Row],[بدهکار (کیلوگرم)]]-Main[[#This Row],[بدهی تسویه نشده (کیلوگرم)]]</f>
        <v>0</v>
      </c>
      <c r="O2209" s="6">
        <f ca="1">Main[[#This Row],[تفکیک]]</f>
        <v>0</v>
      </c>
      <c r="P2209" s="6">
        <f ca="1">IF(Main[[#This Row],[تاخیر از سررسید]]&gt;0,Main[[#This Row],[بدهی تسویه نشده (کیلوگرم)]],0)</f>
        <v>0</v>
      </c>
      <c r="Q2209" s="6">
        <f ca="1">IF(Main[[#This Row],[بدهی تسویه نشده (کیلوگرم)]]&gt;0,'گزارش فردی'!$B$7-Main[[#This Row],[تاريخ میلادی]],0)</f>
        <v>0</v>
      </c>
      <c r="R2209" s="6">
        <f ca="1">IF(Main[[#This Row],[بدهی تسویه نشده (کیلوگرم)]]&gt;0,'گزارش فردی'!$B$7-Main[[#This Row],[تاريخ میلادی]]-'گزارش فردی'!$B$8,0)</f>
        <v>0</v>
      </c>
      <c r="S2209" s="6">
        <f ca="1">Main[[#This Row],[روز از ارسال سفارش]]*Main[[#This Row],[بدهی تسویه نشده (کیلوگرم)]]</f>
        <v>0</v>
      </c>
      <c r="T2209" s="6">
        <f ca="1">Main[[#This Row],[بدهی سررسید شده (کیلوگرم)]]*Main[[#This Row],[روز از ارسال سفارش]]</f>
        <v>0</v>
      </c>
      <c r="U2209" s="6">
        <f>-SUBTOTAL(9,INDEX(Main[مقدار (کیلوگرم)],1):Main[[#This Row],[مقدار (کیلوگرم)]])</f>
        <v>39353</v>
      </c>
      <c r="V22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09" s="6">
        <f>Main[[#This Row],[تعداد کل روزهای بدهکار (روز)]]*Main[[#This Row],[مانده در خط کل (کیلوگرم)]]</f>
        <v>78706</v>
      </c>
      <c r="X2209" s="6">
        <f ca="1">-SUBTOTAL(9,INDEX(Main[مقدار تسویه شده (کیلوگرم)],1):Main[[#This Row],[مقدار تسویه شده (کیلوگرم)]])</f>
        <v>39353</v>
      </c>
      <c r="Y2209" s="6">
        <f ca="1">IF(Main[[#This Row],[مانده در خط تسویه شده (کیلوگرم)]]&lt;&gt;0,Main[[#This Row],[تعداد کل روزهای بدهکار (روز)]],0)</f>
        <v>2</v>
      </c>
      <c r="Z2209" s="6">
        <f ca="1">Main[[#This Row],[تعداد روزهای بدهکار تسویه شده (روز)]]*Main[[#This Row],[مانده در خط تسویه شده (کیلوگرم)]]</f>
        <v>78706</v>
      </c>
      <c r="AA2209" s="6">
        <f ca="1">SUBTOTAL(9,INDEX(Main[بدهی تسویه نشده (کیلوگرم)],1):Main[[#This Row],[بدهی تسویه نشده (کیلوگرم)]])</f>
        <v>0</v>
      </c>
      <c r="AB2209" s="6">
        <f ca="1">IF(Main[[#This Row],[مانده در خط تسویه نشده (کیلوگرم)]]&lt;&gt;0,Main[[#This Row],[تعداد کل روزهای بدهکار (روز)]],0)</f>
        <v>0</v>
      </c>
      <c r="AC2209" s="6">
        <f ca="1">Main[[#This Row],[تعداد روزهای بدهکار  تسویه نشده (روز)]]*Main[[#This Row],[مانده در خط تسویه نشده (کیلوگرم)]]</f>
        <v>0</v>
      </c>
      <c r="AD2209" s="6">
        <f ca="1">SUBTOTAL(9,INDEX(Main[بدهی سررسید شده (کیلوگرم)],1):Main[[#This Row],[بدهی سررسید شده (کیلوگرم)]])</f>
        <v>0</v>
      </c>
      <c r="AE2209" s="6">
        <f ca="1">IF(Main[[#This Row],[مانده در خط سررسید شده (کیلوگرم)]]&lt;&gt;0,Main[[#This Row],[تعداد کل روزهای بدهکار (روز)]],0)</f>
        <v>0</v>
      </c>
      <c r="AF2209" s="6">
        <f ca="1">Main[[#This Row],[تعداد روزهای بدهکار سررسید شده (روز)]]*Main[[#This Row],[مانده در خط سررسید شده (کیلوگرم)]]</f>
        <v>0</v>
      </c>
    </row>
    <row r="2210" spans="1:32" hidden="1" x14ac:dyDescent="0.35">
      <c r="A2210" s="5">
        <f>ROW()-ROW(INDEX(Main[ردیف],1))+1</f>
        <v>2208</v>
      </c>
      <c r="B2210" s="31">
        <f>SUBTOTAL(2,INDEX(Main[ردیف],1):Main[[#This Row],[ردیف]])</f>
        <v>202</v>
      </c>
      <c r="C2210" s="32" t="s">
        <v>767</v>
      </c>
      <c r="D2210" s="32" t="str">
        <f>_xlfn.CONCAT("14",Main[[#This Row],[تاريخ]])</f>
        <v>1400/08/27</v>
      </c>
      <c r="E2210" s="33">
        <v>44518</v>
      </c>
      <c r="F2210" s="32">
        <v>10026</v>
      </c>
      <c r="G2210" s="5" t="str">
        <f>INDEX(customer[عنوان],MATCH(Main[[#This Row],[کد ردیابی]],customer[کد],0))</f>
        <v xml:space="preserve">محسن فیاض بخش </v>
      </c>
      <c r="H2210">
        <v>-4356</v>
      </c>
      <c r="I2210" s="6">
        <f ca="1">-Main[[#This Row],[بدهی تسویه شده (کیلوگرم)]]+Main[[#This Row],[بستانکار (کیلوگرم)]]</f>
        <v>-4356</v>
      </c>
      <c r="J2210" s="6">
        <f>IF(Main[[#This Row],[مقدار (کیلوگرم)]]&gt;0,Main[[#This Row],[مقدار (کیلوگرم)]],0)</f>
        <v>0</v>
      </c>
      <c r="K2210" s="6">
        <f>-IF(Main[[#This Row],[مقدار (کیلوگرم)]]&lt;0,Main[[#This Row],[مقدار (کیلوگرم)]],0)</f>
        <v>4356</v>
      </c>
      <c r="L22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0" s="7">
        <f>-IF(AND(Main[[#This Row],[مقدار (کیلوگرم)]]&lt;0,Main[[#This Row],[تاريخ میلادی]]&gt;44276),Main[[#This Row],[مقدار (کیلوگرم)]],0)</f>
        <v>4356</v>
      </c>
      <c r="N2210" s="6">
        <f ca="1">Main[[#This Row],[بدهکار (کیلوگرم)]]-Main[[#This Row],[بدهی تسویه نشده (کیلوگرم)]]</f>
        <v>4356</v>
      </c>
      <c r="O2210" s="6">
        <f ca="1">Main[[#This Row],[تفکیک]]</f>
        <v>0</v>
      </c>
      <c r="P2210" s="6">
        <f ca="1">IF(Main[[#This Row],[تاخیر از سررسید]]&gt;0,Main[[#This Row],[بدهی تسویه نشده (کیلوگرم)]],0)</f>
        <v>0</v>
      </c>
      <c r="Q2210" s="6">
        <f ca="1">IF(Main[[#This Row],[بدهی تسویه نشده (کیلوگرم)]]&gt;0,'گزارش فردی'!$B$7-Main[[#This Row],[تاريخ میلادی]],0)</f>
        <v>0</v>
      </c>
      <c r="R2210" s="6">
        <f ca="1">IF(Main[[#This Row],[بدهی تسویه نشده (کیلوگرم)]]&gt;0,'گزارش فردی'!$B$7-Main[[#This Row],[تاريخ میلادی]]-'گزارش فردی'!$B$8,0)</f>
        <v>0</v>
      </c>
      <c r="S2210" s="6">
        <f ca="1">Main[[#This Row],[روز از ارسال سفارش]]*Main[[#This Row],[بدهی تسویه نشده (کیلوگرم)]]</f>
        <v>0</v>
      </c>
      <c r="T2210" s="6">
        <f ca="1">Main[[#This Row],[بدهی سررسید شده (کیلوگرم)]]*Main[[#This Row],[روز از ارسال سفارش]]</f>
        <v>0</v>
      </c>
      <c r="U2210" s="6">
        <f>-SUBTOTAL(9,INDEX(Main[مقدار (کیلوگرم)],1):Main[[#This Row],[مقدار (کیلوگرم)]])</f>
        <v>39353</v>
      </c>
      <c r="V22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0" s="6">
        <f>Main[[#This Row],[تعداد کل روزهای بدهکار (روز)]]*Main[[#This Row],[مانده در خط کل (کیلوگرم)]]</f>
        <v>78706</v>
      </c>
      <c r="X2210" s="6">
        <f ca="1">-SUBTOTAL(9,INDEX(Main[مقدار تسویه شده (کیلوگرم)],1):Main[[#This Row],[مقدار تسویه شده (کیلوگرم)]])</f>
        <v>39353</v>
      </c>
      <c r="Y2210" s="6">
        <f ca="1">IF(Main[[#This Row],[مانده در خط تسویه شده (کیلوگرم)]]&lt;&gt;0,Main[[#This Row],[تعداد کل روزهای بدهکار (روز)]],0)</f>
        <v>2</v>
      </c>
      <c r="Z2210" s="6">
        <f ca="1">Main[[#This Row],[تعداد روزهای بدهکار تسویه شده (روز)]]*Main[[#This Row],[مانده در خط تسویه شده (کیلوگرم)]]</f>
        <v>78706</v>
      </c>
      <c r="AA2210" s="6">
        <f ca="1">SUBTOTAL(9,INDEX(Main[بدهی تسویه نشده (کیلوگرم)],1):Main[[#This Row],[بدهی تسویه نشده (کیلوگرم)]])</f>
        <v>0</v>
      </c>
      <c r="AB2210" s="6">
        <f ca="1">IF(Main[[#This Row],[مانده در خط تسویه نشده (کیلوگرم)]]&lt;&gt;0,Main[[#This Row],[تعداد کل روزهای بدهکار (روز)]],0)</f>
        <v>0</v>
      </c>
      <c r="AC2210" s="6">
        <f ca="1">Main[[#This Row],[تعداد روزهای بدهکار  تسویه نشده (روز)]]*Main[[#This Row],[مانده در خط تسویه نشده (کیلوگرم)]]</f>
        <v>0</v>
      </c>
      <c r="AD2210" s="6">
        <f ca="1">SUBTOTAL(9,INDEX(Main[بدهی سررسید شده (کیلوگرم)],1):Main[[#This Row],[بدهی سررسید شده (کیلوگرم)]])</f>
        <v>0</v>
      </c>
      <c r="AE2210" s="6">
        <f ca="1">IF(Main[[#This Row],[مانده در خط سررسید شده (کیلوگرم)]]&lt;&gt;0,Main[[#This Row],[تعداد کل روزهای بدهکار (روز)]],0)</f>
        <v>0</v>
      </c>
      <c r="AF2210" s="6">
        <f ca="1">Main[[#This Row],[تعداد روزهای بدهکار سررسید شده (روز)]]*Main[[#This Row],[مانده در خط سررسید شده (کیلوگرم)]]</f>
        <v>0</v>
      </c>
    </row>
    <row r="2211" spans="1:32" hidden="1" x14ac:dyDescent="0.35">
      <c r="A2211" s="5">
        <f>ROW()-ROW(INDEX(Main[ردیف],1))+1</f>
        <v>2209</v>
      </c>
      <c r="B2211" s="31">
        <f>SUBTOTAL(2,INDEX(Main[ردیف],1):Main[[#This Row],[ردیف]])</f>
        <v>202</v>
      </c>
      <c r="C2211" s="32" t="s">
        <v>767</v>
      </c>
      <c r="D2211" s="32" t="str">
        <f>_xlfn.CONCAT("14",Main[[#This Row],[تاريخ]])</f>
        <v>1400/08/27</v>
      </c>
      <c r="E2211" s="33">
        <v>44518</v>
      </c>
      <c r="F2211" s="32">
        <v>30004</v>
      </c>
      <c r="G2211" s="5" t="str">
        <f>INDEX(customer[عنوان],MATCH(Main[[#This Row],[کد ردیابی]],customer[کد],0))</f>
        <v>تولیدی صنعتی صفاشیر پارس</v>
      </c>
      <c r="H2211">
        <v>2579</v>
      </c>
      <c r="I2211" s="6">
        <f ca="1">-Main[[#This Row],[بدهی تسویه شده (کیلوگرم)]]+Main[[#This Row],[بستانکار (کیلوگرم)]]</f>
        <v>2579</v>
      </c>
      <c r="J2211" s="6">
        <f>IF(Main[[#This Row],[مقدار (کیلوگرم)]]&gt;0,Main[[#This Row],[مقدار (کیلوگرم)]],0)</f>
        <v>2579</v>
      </c>
      <c r="K2211" s="6">
        <f>-IF(Main[[#This Row],[مقدار (کیلوگرم)]]&lt;0,Main[[#This Row],[مقدار (کیلوگرم)]],0)</f>
        <v>0</v>
      </c>
      <c r="L22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1" s="7">
        <f>-IF(AND(Main[[#This Row],[مقدار (کیلوگرم)]]&lt;0,Main[[#This Row],[تاريخ میلادی]]&gt;44276),Main[[#This Row],[مقدار (کیلوگرم)]],0)</f>
        <v>0</v>
      </c>
      <c r="N2211" s="6">
        <f ca="1">Main[[#This Row],[بدهکار (کیلوگرم)]]-Main[[#This Row],[بدهی تسویه نشده (کیلوگرم)]]</f>
        <v>0</v>
      </c>
      <c r="O2211" s="6">
        <f ca="1">Main[[#This Row],[تفکیک]]</f>
        <v>0</v>
      </c>
      <c r="P2211" s="6">
        <f ca="1">IF(Main[[#This Row],[تاخیر از سررسید]]&gt;0,Main[[#This Row],[بدهی تسویه نشده (کیلوگرم)]],0)</f>
        <v>0</v>
      </c>
      <c r="Q2211" s="6">
        <f ca="1">IF(Main[[#This Row],[بدهی تسویه نشده (کیلوگرم)]]&gt;0,'گزارش فردی'!$B$7-Main[[#This Row],[تاريخ میلادی]],0)</f>
        <v>0</v>
      </c>
      <c r="R2211" s="6">
        <f ca="1">IF(Main[[#This Row],[بدهی تسویه نشده (کیلوگرم)]]&gt;0,'گزارش فردی'!$B$7-Main[[#This Row],[تاريخ میلادی]]-'گزارش فردی'!$B$8,0)</f>
        <v>0</v>
      </c>
      <c r="S2211" s="6">
        <f ca="1">Main[[#This Row],[روز از ارسال سفارش]]*Main[[#This Row],[بدهی تسویه نشده (کیلوگرم)]]</f>
        <v>0</v>
      </c>
      <c r="T2211" s="6">
        <f ca="1">Main[[#This Row],[بدهی سررسید شده (کیلوگرم)]]*Main[[#This Row],[روز از ارسال سفارش]]</f>
        <v>0</v>
      </c>
      <c r="U2211" s="6">
        <f>-SUBTOTAL(9,INDEX(Main[مقدار (کیلوگرم)],1):Main[[#This Row],[مقدار (کیلوگرم)]])</f>
        <v>39353</v>
      </c>
      <c r="V22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1" s="6">
        <f>Main[[#This Row],[تعداد کل روزهای بدهکار (روز)]]*Main[[#This Row],[مانده در خط کل (کیلوگرم)]]</f>
        <v>78706</v>
      </c>
      <c r="X2211" s="6">
        <f ca="1">-SUBTOTAL(9,INDEX(Main[مقدار تسویه شده (کیلوگرم)],1):Main[[#This Row],[مقدار تسویه شده (کیلوگرم)]])</f>
        <v>39353</v>
      </c>
      <c r="Y2211" s="6">
        <f ca="1">IF(Main[[#This Row],[مانده در خط تسویه شده (کیلوگرم)]]&lt;&gt;0,Main[[#This Row],[تعداد کل روزهای بدهکار (روز)]],0)</f>
        <v>2</v>
      </c>
      <c r="Z2211" s="6">
        <f ca="1">Main[[#This Row],[تعداد روزهای بدهکار تسویه شده (روز)]]*Main[[#This Row],[مانده در خط تسویه شده (کیلوگرم)]]</f>
        <v>78706</v>
      </c>
      <c r="AA2211" s="6">
        <f ca="1">SUBTOTAL(9,INDEX(Main[بدهی تسویه نشده (کیلوگرم)],1):Main[[#This Row],[بدهی تسویه نشده (کیلوگرم)]])</f>
        <v>0</v>
      </c>
      <c r="AB2211" s="6">
        <f ca="1">IF(Main[[#This Row],[مانده در خط تسویه نشده (کیلوگرم)]]&lt;&gt;0,Main[[#This Row],[تعداد کل روزهای بدهکار (روز)]],0)</f>
        <v>0</v>
      </c>
      <c r="AC2211" s="6">
        <f ca="1">Main[[#This Row],[تعداد روزهای بدهکار  تسویه نشده (روز)]]*Main[[#This Row],[مانده در خط تسویه نشده (کیلوگرم)]]</f>
        <v>0</v>
      </c>
      <c r="AD2211" s="6">
        <f ca="1">SUBTOTAL(9,INDEX(Main[بدهی سررسید شده (کیلوگرم)],1):Main[[#This Row],[بدهی سررسید شده (کیلوگرم)]])</f>
        <v>0</v>
      </c>
      <c r="AE2211" s="6">
        <f ca="1">IF(Main[[#This Row],[مانده در خط سررسید شده (کیلوگرم)]]&lt;&gt;0,Main[[#This Row],[تعداد کل روزهای بدهکار (روز)]],0)</f>
        <v>0</v>
      </c>
      <c r="AF2211" s="6">
        <f ca="1">Main[[#This Row],[تعداد روزهای بدهکار سررسید شده (روز)]]*Main[[#This Row],[مانده در خط سررسید شده (کیلوگرم)]]</f>
        <v>0</v>
      </c>
    </row>
    <row r="2212" spans="1:32" hidden="1" x14ac:dyDescent="0.35">
      <c r="A2212" s="5">
        <f>ROW()-ROW(INDEX(Main[ردیف],1))+1</f>
        <v>2210</v>
      </c>
      <c r="B2212" s="31">
        <f>SUBTOTAL(2,INDEX(Main[ردیف],1):Main[[#This Row],[ردیف]])</f>
        <v>202</v>
      </c>
      <c r="C2212" s="32" t="s">
        <v>767</v>
      </c>
      <c r="D2212" s="32" t="str">
        <f>_xlfn.CONCAT("14",Main[[#This Row],[تاريخ]])</f>
        <v>1400/08/27</v>
      </c>
      <c r="E2212" s="33">
        <v>44518</v>
      </c>
      <c r="F2212" s="32">
        <v>10084</v>
      </c>
      <c r="G2212" s="5" t="str">
        <f>INDEX(customer[عنوان],MATCH(Main[[#This Row],[کد ردیابی]],customer[کد],0))</f>
        <v xml:space="preserve">سیدحمید کاظمی </v>
      </c>
      <c r="H2212">
        <v>-1002</v>
      </c>
      <c r="I2212" s="6">
        <f ca="1">-Main[[#This Row],[بدهی تسویه شده (کیلوگرم)]]+Main[[#This Row],[بستانکار (کیلوگرم)]]</f>
        <v>-1002</v>
      </c>
      <c r="J2212" s="6">
        <f>IF(Main[[#This Row],[مقدار (کیلوگرم)]]&gt;0,Main[[#This Row],[مقدار (کیلوگرم)]],0)</f>
        <v>0</v>
      </c>
      <c r="K2212" s="6">
        <f>-IF(Main[[#This Row],[مقدار (کیلوگرم)]]&lt;0,Main[[#This Row],[مقدار (کیلوگرم)]],0)</f>
        <v>1002</v>
      </c>
      <c r="L22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2" s="7">
        <f>-IF(AND(Main[[#This Row],[مقدار (کیلوگرم)]]&lt;0,Main[[#This Row],[تاريخ میلادی]]&gt;44276),Main[[#This Row],[مقدار (کیلوگرم)]],0)</f>
        <v>1002</v>
      </c>
      <c r="N2212" s="6">
        <f ca="1">Main[[#This Row],[بدهکار (کیلوگرم)]]-Main[[#This Row],[بدهی تسویه نشده (کیلوگرم)]]</f>
        <v>1002</v>
      </c>
      <c r="O2212" s="6">
        <f ca="1">Main[[#This Row],[تفکیک]]</f>
        <v>0</v>
      </c>
      <c r="P2212" s="6">
        <f ca="1">IF(Main[[#This Row],[تاخیر از سررسید]]&gt;0,Main[[#This Row],[بدهی تسویه نشده (کیلوگرم)]],0)</f>
        <v>0</v>
      </c>
      <c r="Q2212" s="6">
        <f ca="1">IF(Main[[#This Row],[بدهی تسویه نشده (کیلوگرم)]]&gt;0,'گزارش فردی'!$B$7-Main[[#This Row],[تاريخ میلادی]],0)</f>
        <v>0</v>
      </c>
      <c r="R2212" s="6">
        <f ca="1">IF(Main[[#This Row],[بدهی تسویه نشده (کیلوگرم)]]&gt;0,'گزارش فردی'!$B$7-Main[[#This Row],[تاريخ میلادی]]-'گزارش فردی'!$B$8,0)</f>
        <v>0</v>
      </c>
      <c r="S2212" s="6">
        <f ca="1">Main[[#This Row],[روز از ارسال سفارش]]*Main[[#This Row],[بدهی تسویه نشده (کیلوگرم)]]</f>
        <v>0</v>
      </c>
      <c r="T2212" s="6">
        <f ca="1">Main[[#This Row],[بدهی سررسید شده (کیلوگرم)]]*Main[[#This Row],[روز از ارسال سفارش]]</f>
        <v>0</v>
      </c>
      <c r="U2212" s="6">
        <f>-SUBTOTAL(9,INDEX(Main[مقدار (کیلوگرم)],1):Main[[#This Row],[مقدار (کیلوگرم)]])</f>
        <v>39353</v>
      </c>
      <c r="V22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2" s="6">
        <f>Main[[#This Row],[تعداد کل روزهای بدهکار (روز)]]*Main[[#This Row],[مانده در خط کل (کیلوگرم)]]</f>
        <v>78706</v>
      </c>
      <c r="X2212" s="6">
        <f ca="1">-SUBTOTAL(9,INDEX(Main[مقدار تسویه شده (کیلوگرم)],1):Main[[#This Row],[مقدار تسویه شده (کیلوگرم)]])</f>
        <v>39353</v>
      </c>
      <c r="Y2212" s="6">
        <f ca="1">IF(Main[[#This Row],[مانده در خط تسویه شده (کیلوگرم)]]&lt;&gt;0,Main[[#This Row],[تعداد کل روزهای بدهکار (روز)]],0)</f>
        <v>2</v>
      </c>
      <c r="Z2212" s="6">
        <f ca="1">Main[[#This Row],[تعداد روزهای بدهکار تسویه شده (روز)]]*Main[[#This Row],[مانده در خط تسویه شده (کیلوگرم)]]</f>
        <v>78706</v>
      </c>
      <c r="AA2212" s="6">
        <f ca="1">SUBTOTAL(9,INDEX(Main[بدهی تسویه نشده (کیلوگرم)],1):Main[[#This Row],[بدهی تسویه نشده (کیلوگرم)]])</f>
        <v>0</v>
      </c>
      <c r="AB2212" s="6">
        <f ca="1">IF(Main[[#This Row],[مانده در خط تسویه نشده (کیلوگرم)]]&lt;&gt;0,Main[[#This Row],[تعداد کل روزهای بدهکار (روز)]],0)</f>
        <v>0</v>
      </c>
      <c r="AC2212" s="6">
        <f ca="1">Main[[#This Row],[تعداد روزهای بدهکار  تسویه نشده (روز)]]*Main[[#This Row],[مانده در خط تسویه نشده (کیلوگرم)]]</f>
        <v>0</v>
      </c>
      <c r="AD2212" s="6">
        <f ca="1">SUBTOTAL(9,INDEX(Main[بدهی سررسید شده (کیلوگرم)],1):Main[[#This Row],[بدهی سررسید شده (کیلوگرم)]])</f>
        <v>0</v>
      </c>
      <c r="AE2212" s="6">
        <f ca="1">IF(Main[[#This Row],[مانده در خط سررسید شده (کیلوگرم)]]&lt;&gt;0,Main[[#This Row],[تعداد کل روزهای بدهکار (روز)]],0)</f>
        <v>0</v>
      </c>
      <c r="AF2212" s="6">
        <f ca="1">Main[[#This Row],[تعداد روزهای بدهکار سررسید شده (روز)]]*Main[[#This Row],[مانده در خط سررسید شده (کیلوگرم)]]</f>
        <v>0</v>
      </c>
    </row>
    <row r="2213" spans="1:32" hidden="1" x14ac:dyDescent="0.35">
      <c r="A2213" s="5">
        <f>ROW()-ROW(INDEX(Main[ردیف],1))+1</f>
        <v>2211</v>
      </c>
      <c r="B2213" s="31">
        <f>SUBTOTAL(2,INDEX(Main[ردیف],1):Main[[#This Row],[ردیف]])</f>
        <v>202</v>
      </c>
      <c r="C2213" s="32" t="s">
        <v>767</v>
      </c>
      <c r="D2213" s="32" t="str">
        <f>_xlfn.CONCAT("14",Main[[#This Row],[تاريخ]])</f>
        <v>1400/08/27</v>
      </c>
      <c r="E2213" s="33">
        <v>44518</v>
      </c>
      <c r="F2213" s="32">
        <v>30127</v>
      </c>
      <c r="G2213" s="5" t="str">
        <f>INDEX(customer[عنوان],MATCH(Main[[#This Row],[کد ردیابی]],customer[کد],0))</f>
        <v>شیر گاز آذران</v>
      </c>
      <c r="H2213">
        <v>14721</v>
      </c>
      <c r="I2213" s="6">
        <f ca="1">-Main[[#This Row],[بدهی تسویه شده (کیلوگرم)]]+Main[[#This Row],[بستانکار (کیلوگرم)]]</f>
        <v>14721</v>
      </c>
      <c r="J2213" s="6">
        <f>IF(Main[[#This Row],[مقدار (کیلوگرم)]]&gt;0,Main[[#This Row],[مقدار (کیلوگرم)]],0)</f>
        <v>14721</v>
      </c>
      <c r="K2213" s="6">
        <f>-IF(Main[[#This Row],[مقدار (کیلوگرم)]]&lt;0,Main[[#This Row],[مقدار (کیلوگرم)]],0)</f>
        <v>0</v>
      </c>
      <c r="L22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3" s="7">
        <f>-IF(AND(Main[[#This Row],[مقدار (کیلوگرم)]]&lt;0,Main[[#This Row],[تاريخ میلادی]]&gt;44276),Main[[#This Row],[مقدار (کیلوگرم)]],0)</f>
        <v>0</v>
      </c>
      <c r="N2213" s="6">
        <f ca="1">Main[[#This Row],[بدهکار (کیلوگرم)]]-Main[[#This Row],[بدهی تسویه نشده (کیلوگرم)]]</f>
        <v>0</v>
      </c>
      <c r="O2213" s="6">
        <f ca="1">Main[[#This Row],[تفکیک]]</f>
        <v>0</v>
      </c>
      <c r="P2213" s="6">
        <f ca="1">IF(Main[[#This Row],[تاخیر از سررسید]]&gt;0,Main[[#This Row],[بدهی تسویه نشده (کیلوگرم)]],0)</f>
        <v>0</v>
      </c>
      <c r="Q2213" s="6">
        <f ca="1">IF(Main[[#This Row],[بدهی تسویه نشده (کیلوگرم)]]&gt;0,'گزارش فردی'!$B$7-Main[[#This Row],[تاريخ میلادی]],0)</f>
        <v>0</v>
      </c>
      <c r="R2213" s="6">
        <f ca="1">IF(Main[[#This Row],[بدهی تسویه نشده (کیلوگرم)]]&gt;0,'گزارش فردی'!$B$7-Main[[#This Row],[تاريخ میلادی]]-'گزارش فردی'!$B$8,0)</f>
        <v>0</v>
      </c>
      <c r="S2213" s="6">
        <f ca="1">Main[[#This Row],[روز از ارسال سفارش]]*Main[[#This Row],[بدهی تسویه نشده (کیلوگرم)]]</f>
        <v>0</v>
      </c>
      <c r="T2213" s="6">
        <f ca="1">Main[[#This Row],[بدهی سررسید شده (کیلوگرم)]]*Main[[#This Row],[روز از ارسال سفارش]]</f>
        <v>0</v>
      </c>
      <c r="U2213" s="6">
        <f>-SUBTOTAL(9,INDEX(Main[مقدار (کیلوگرم)],1):Main[[#This Row],[مقدار (کیلوگرم)]])</f>
        <v>39353</v>
      </c>
      <c r="V22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3" s="6">
        <f>Main[[#This Row],[تعداد کل روزهای بدهکار (روز)]]*Main[[#This Row],[مانده در خط کل (کیلوگرم)]]</f>
        <v>78706</v>
      </c>
      <c r="X2213" s="6">
        <f ca="1">-SUBTOTAL(9,INDEX(Main[مقدار تسویه شده (کیلوگرم)],1):Main[[#This Row],[مقدار تسویه شده (کیلوگرم)]])</f>
        <v>39353</v>
      </c>
      <c r="Y2213" s="6">
        <f ca="1">IF(Main[[#This Row],[مانده در خط تسویه شده (کیلوگرم)]]&lt;&gt;0,Main[[#This Row],[تعداد کل روزهای بدهکار (روز)]],0)</f>
        <v>2</v>
      </c>
      <c r="Z2213" s="6">
        <f ca="1">Main[[#This Row],[تعداد روزهای بدهکار تسویه شده (روز)]]*Main[[#This Row],[مانده در خط تسویه شده (کیلوگرم)]]</f>
        <v>78706</v>
      </c>
      <c r="AA2213" s="6">
        <f ca="1">SUBTOTAL(9,INDEX(Main[بدهی تسویه نشده (کیلوگرم)],1):Main[[#This Row],[بدهی تسویه نشده (کیلوگرم)]])</f>
        <v>0</v>
      </c>
      <c r="AB2213" s="6">
        <f ca="1">IF(Main[[#This Row],[مانده در خط تسویه نشده (کیلوگرم)]]&lt;&gt;0,Main[[#This Row],[تعداد کل روزهای بدهکار (روز)]],0)</f>
        <v>0</v>
      </c>
      <c r="AC2213" s="6">
        <f ca="1">Main[[#This Row],[تعداد روزهای بدهکار  تسویه نشده (روز)]]*Main[[#This Row],[مانده در خط تسویه نشده (کیلوگرم)]]</f>
        <v>0</v>
      </c>
      <c r="AD2213" s="6">
        <f ca="1">SUBTOTAL(9,INDEX(Main[بدهی سررسید شده (کیلوگرم)],1):Main[[#This Row],[بدهی سررسید شده (کیلوگرم)]])</f>
        <v>0</v>
      </c>
      <c r="AE2213" s="6">
        <f ca="1">IF(Main[[#This Row],[مانده در خط سررسید شده (کیلوگرم)]]&lt;&gt;0,Main[[#This Row],[تعداد کل روزهای بدهکار (روز)]],0)</f>
        <v>0</v>
      </c>
      <c r="AF2213" s="6">
        <f ca="1">Main[[#This Row],[تعداد روزهای بدهکار سررسید شده (روز)]]*Main[[#This Row],[مانده در خط سررسید شده (کیلوگرم)]]</f>
        <v>0</v>
      </c>
    </row>
    <row r="2214" spans="1:32" hidden="1" x14ac:dyDescent="0.35">
      <c r="A2214" s="5">
        <f>ROW()-ROW(INDEX(Main[ردیف],1))+1</f>
        <v>2212</v>
      </c>
      <c r="B2214" s="31">
        <f>SUBTOTAL(2,INDEX(Main[ردیف],1):Main[[#This Row],[ردیف]])</f>
        <v>202</v>
      </c>
      <c r="C2214" s="32" t="s">
        <v>768</v>
      </c>
      <c r="D2214" s="32" t="str">
        <f>_xlfn.CONCAT("14",Main[[#This Row],[تاريخ]])</f>
        <v>1400/08/29</v>
      </c>
      <c r="E2214" s="33">
        <v>44520</v>
      </c>
      <c r="F2214" s="32">
        <v>30003</v>
      </c>
      <c r="G2214" s="5" t="str">
        <f>INDEX(customer[عنوان],MATCH(Main[[#This Row],[کد ردیابی]],customer[کد],0))</f>
        <v xml:space="preserve">شهاب گاز سوز </v>
      </c>
      <c r="H2214">
        <v>-1152</v>
      </c>
      <c r="I2214" s="6">
        <f ca="1">-Main[[#This Row],[بدهی تسویه شده (کیلوگرم)]]+Main[[#This Row],[بستانکار (کیلوگرم)]]</f>
        <v>-1152</v>
      </c>
      <c r="J2214" s="6">
        <f>IF(Main[[#This Row],[مقدار (کیلوگرم)]]&gt;0,Main[[#This Row],[مقدار (کیلوگرم)]],0)</f>
        <v>0</v>
      </c>
      <c r="K2214" s="6">
        <f>-IF(Main[[#This Row],[مقدار (کیلوگرم)]]&lt;0,Main[[#This Row],[مقدار (کیلوگرم)]],0)</f>
        <v>1152</v>
      </c>
      <c r="L22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4" s="7">
        <f>-IF(AND(Main[[#This Row],[مقدار (کیلوگرم)]]&lt;0,Main[[#This Row],[تاريخ میلادی]]&gt;44276),Main[[#This Row],[مقدار (کیلوگرم)]],0)</f>
        <v>1152</v>
      </c>
      <c r="N2214" s="6">
        <f ca="1">Main[[#This Row],[بدهکار (کیلوگرم)]]-Main[[#This Row],[بدهی تسویه نشده (کیلوگرم)]]</f>
        <v>1152</v>
      </c>
      <c r="O2214" s="6">
        <f ca="1">Main[[#This Row],[تفکیک]]</f>
        <v>0</v>
      </c>
      <c r="P2214" s="6">
        <f ca="1">IF(Main[[#This Row],[تاخیر از سررسید]]&gt;0,Main[[#This Row],[بدهی تسویه نشده (کیلوگرم)]],0)</f>
        <v>0</v>
      </c>
      <c r="Q2214" s="6">
        <f ca="1">IF(Main[[#This Row],[بدهی تسویه نشده (کیلوگرم)]]&gt;0,'گزارش فردی'!$B$7-Main[[#This Row],[تاريخ میلادی]],0)</f>
        <v>0</v>
      </c>
      <c r="R2214" s="6">
        <f ca="1">IF(Main[[#This Row],[بدهی تسویه نشده (کیلوگرم)]]&gt;0,'گزارش فردی'!$B$7-Main[[#This Row],[تاريخ میلادی]]-'گزارش فردی'!$B$8,0)</f>
        <v>0</v>
      </c>
      <c r="S2214" s="6">
        <f ca="1">Main[[#This Row],[روز از ارسال سفارش]]*Main[[#This Row],[بدهی تسویه نشده (کیلوگرم)]]</f>
        <v>0</v>
      </c>
      <c r="T2214" s="6">
        <f ca="1">Main[[#This Row],[بدهی سررسید شده (کیلوگرم)]]*Main[[#This Row],[روز از ارسال سفارش]]</f>
        <v>0</v>
      </c>
      <c r="U2214" s="6">
        <f>-SUBTOTAL(9,INDEX(Main[مقدار (کیلوگرم)],1):Main[[#This Row],[مقدار (کیلوگرم)]])</f>
        <v>39353</v>
      </c>
      <c r="V22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4" s="6">
        <f>Main[[#This Row],[تعداد کل روزهای بدهکار (روز)]]*Main[[#This Row],[مانده در خط کل (کیلوگرم)]]</f>
        <v>0</v>
      </c>
      <c r="X2214" s="6">
        <f ca="1">-SUBTOTAL(9,INDEX(Main[مقدار تسویه شده (کیلوگرم)],1):Main[[#This Row],[مقدار تسویه شده (کیلوگرم)]])</f>
        <v>39353</v>
      </c>
      <c r="Y2214" s="6">
        <f ca="1">IF(Main[[#This Row],[مانده در خط تسویه شده (کیلوگرم)]]&lt;&gt;0,Main[[#This Row],[تعداد کل روزهای بدهکار (روز)]],0)</f>
        <v>0</v>
      </c>
      <c r="Z2214" s="6">
        <f ca="1">Main[[#This Row],[تعداد روزهای بدهکار تسویه شده (روز)]]*Main[[#This Row],[مانده در خط تسویه شده (کیلوگرم)]]</f>
        <v>0</v>
      </c>
      <c r="AA2214" s="6">
        <f ca="1">SUBTOTAL(9,INDEX(Main[بدهی تسویه نشده (کیلوگرم)],1):Main[[#This Row],[بدهی تسویه نشده (کیلوگرم)]])</f>
        <v>0</v>
      </c>
      <c r="AB2214" s="6">
        <f ca="1">IF(Main[[#This Row],[مانده در خط تسویه نشده (کیلوگرم)]]&lt;&gt;0,Main[[#This Row],[تعداد کل روزهای بدهکار (روز)]],0)</f>
        <v>0</v>
      </c>
      <c r="AC2214" s="6">
        <f ca="1">Main[[#This Row],[تعداد روزهای بدهکار  تسویه نشده (روز)]]*Main[[#This Row],[مانده در خط تسویه نشده (کیلوگرم)]]</f>
        <v>0</v>
      </c>
      <c r="AD2214" s="6">
        <f ca="1">SUBTOTAL(9,INDEX(Main[بدهی سررسید شده (کیلوگرم)],1):Main[[#This Row],[بدهی سررسید شده (کیلوگرم)]])</f>
        <v>0</v>
      </c>
      <c r="AE2214" s="6">
        <f ca="1">IF(Main[[#This Row],[مانده در خط سررسید شده (کیلوگرم)]]&lt;&gt;0,Main[[#This Row],[تعداد کل روزهای بدهکار (روز)]],0)</f>
        <v>0</v>
      </c>
      <c r="AF2214" s="6">
        <f ca="1">Main[[#This Row],[تعداد روزهای بدهکار سررسید شده (روز)]]*Main[[#This Row],[مانده در خط سررسید شده (کیلوگرم)]]</f>
        <v>0</v>
      </c>
    </row>
    <row r="2215" spans="1:32" hidden="1" x14ac:dyDescent="0.35">
      <c r="A2215" s="5">
        <f>ROW()-ROW(INDEX(Main[ردیف],1))+1</f>
        <v>2213</v>
      </c>
      <c r="B2215" s="31">
        <f>SUBTOTAL(2,INDEX(Main[ردیف],1):Main[[#This Row],[ردیف]])</f>
        <v>202</v>
      </c>
      <c r="C2215" s="32" t="s">
        <v>768</v>
      </c>
      <c r="D2215" s="32" t="str">
        <f>_xlfn.CONCAT("14",Main[[#This Row],[تاريخ]])</f>
        <v>1400/08/29</v>
      </c>
      <c r="E2215" s="33">
        <v>44520</v>
      </c>
      <c r="F2215" s="32">
        <v>30004</v>
      </c>
      <c r="G2215" s="5" t="str">
        <f>INDEX(customer[عنوان],MATCH(Main[[#This Row],[کد ردیابی]],customer[کد],0))</f>
        <v>تولیدی صنعتی صفاشیر پارس</v>
      </c>
      <c r="H2215">
        <v>10000</v>
      </c>
      <c r="I2215" s="6">
        <f ca="1">-Main[[#This Row],[بدهی تسویه شده (کیلوگرم)]]+Main[[#This Row],[بستانکار (کیلوگرم)]]</f>
        <v>10000</v>
      </c>
      <c r="J2215" s="6">
        <f>IF(Main[[#This Row],[مقدار (کیلوگرم)]]&gt;0,Main[[#This Row],[مقدار (کیلوگرم)]],0)</f>
        <v>10000</v>
      </c>
      <c r="K2215" s="6">
        <f>-IF(Main[[#This Row],[مقدار (کیلوگرم)]]&lt;0,Main[[#This Row],[مقدار (کیلوگرم)]],0)</f>
        <v>0</v>
      </c>
      <c r="L22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5" s="7">
        <f>-IF(AND(Main[[#This Row],[مقدار (کیلوگرم)]]&lt;0,Main[[#This Row],[تاريخ میلادی]]&gt;44276),Main[[#This Row],[مقدار (کیلوگرم)]],0)</f>
        <v>0</v>
      </c>
      <c r="N2215" s="6">
        <f ca="1">Main[[#This Row],[بدهکار (کیلوگرم)]]-Main[[#This Row],[بدهی تسویه نشده (کیلوگرم)]]</f>
        <v>0</v>
      </c>
      <c r="O2215" s="6">
        <f ca="1">Main[[#This Row],[تفکیک]]</f>
        <v>0</v>
      </c>
      <c r="P2215" s="6">
        <f ca="1">IF(Main[[#This Row],[تاخیر از سررسید]]&gt;0,Main[[#This Row],[بدهی تسویه نشده (کیلوگرم)]],0)</f>
        <v>0</v>
      </c>
      <c r="Q2215" s="6">
        <f ca="1">IF(Main[[#This Row],[بدهی تسویه نشده (کیلوگرم)]]&gt;0,'گزارش فردی'!$B$7-Main[[#This Row],[تاريخ میلادی]],0)</f>
        <v>0</v>
      </c>
      <c r="R2215" s="6">
        <f ca="1">IF(Main[[#This Row],[بدهی تسویه نشده (کیلوگرم)]]&gt;0,'گزارش فردی'!$B$7-Main[[#This Row],[تاريخ میلادی]]-'گزارش فردی'!$B$8,0)</f>
        <v>0</v>
      </c>
      <c r="S2215" s="6">
        <f ca="1">Main[[#This Row],[روز از ارسال سفارش]]*Main[[#This Row],[بدهی تسویه نشده (کیلوگرم)]]</f>
        <v>0</v>
      </c>
      <c r="T2215" s="6">
        <f ca="1">Main[[#This Row],[بدهی سررسید شده (کیلوگرم)]]*Main[[#This Row],[روز از ارسال سفارش]]</f>
        <v>0</v>
      </c>
      <c r="U2215" s="6">
        <f>-SUBTOTAL(9,INDEX(Main[مقدار (کیلوگرم)],1):Main[[#This Row],[مقدار (کیلوگرم)]])</f>
        <v>39353</v>
      </c>
      <c r="V22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5" s="6">
        <f>Main[[#This Row],[تعداد کل روزهای بدهکار (روز)]]*Main[[#This Row],[مانده در خط کل (کیلوگرم)]]</f>
        <v>0</v>
      </c>
      <c r="X2215" s="6">
        <f ca="1">-SUBTOTAL(9,INDEX(Main[مقدار تسویه شده (کیلوگرم)],1):Main[[#This Row],[مقدار تسویه شده (کیلوگرم)]])</f>
        <v>39353</v>
      </c>
      <c r="Y2215" s="6">
        <f ca="1">IF(Main[[#This Row],[مانده در خط تسویه شده (کیلوگرم)]]&lt;&gt;0,Main[[#This Row],[تعداد کل روزهای بدهکار (روز)]],0)</f>
        <v>0</v>
      </c>
      <c r="Z2215" s="6">
        <f ca="1">Main[[#This Row],[تعداد روزهای بدهکار تسویه شده (روز)]]*Main[[#This Row],[مانده در خط تسویه شده (کیلوگرم)]]</f>
        <v>0</v>
      </c>
      <c r="AA2215" s="6">
        <f ca="1">SUBTOTAL(9,INDEX(Main[بدهی تسویه نشده (کیلوگرم)],1):Main[[#This Row],[بدهی تسویه نشده (کیلوگرم)]])</f>
        <v>0</v>
      </c>
      <c r="AB2215" s="6">
        <f ca="1">IF(Main[[#This Row],[مانده در خط تسویه نشده (کیلوگرم)]]&lt;&gt;0,Main[[#This Row],[تعداد کل روزهای بدهکار (روز)]],0)</f>
        <v>0</v>
      </c>
      <c r="AC2215" s="6">
        <f ca="1">Main[[#This Row],[تعداد روزهای بدهکار  تسویه نشده (روز)]]*Main[[#This Row],[مانده در خط تسویه نشده (کیلوگرم)]]</f>
        <v>0</v>
      </c>
      <c r="AD2215" s="6">
        <f ca="1">SUBTOTAL(9,INDEX(Main[بدهی سررسید شده (کیلوگرم)],1):Main[[#This Row],[بدهی سررسید شده (کیلوگرم)]])</f>
        <v>0</v>
      </c>
      <c r="AE2215" s="6">
        <f ca="1">IF(Main[[#This Row],[مانده در خط سررسید شده (کیلوگرم)]]&lt;&gt;0,Main[[#This Row],[تعداد کل روزهای بدهکار (روز)]],0)</f>
        <v>0</v>
      </c>
      <c r="AF2215" s="6">
        <f ca="1">Main[[#This Row],[تعداد روزهای بدهکار سررسید شده (روز)]]*Main[[#This Row],[مانده در خط سررسید شده (کیلوگرم)]]</f>
        <v>0</v>
      </c>
    </row>
    <row r="2216" spans="1:32" hidden="1" x14ac:dyDescent="0.35">
      <c r="A2216" s="5">
        <f>ROW()-ROW(INDEX(Main[ردیف],1))+1</f>
        <v>2214</v>
      </c>
      <c r="B2216" s="31">
        <f>SUBTOTAL(2,INDEX(Main[ردیف],1):Main[[#This Row],[ردیف]])</f>
        <v>202</v>
      </c>
      <c r="C2216" s="32" t="s">
        <v>768</v>
      </c>
      <c r="D2216" s="32" t="str">
        <f>_xlfn.CONCAT("14",Main[[#This Row],[تاريخ]])</f>
        <v>1400/08/29</v>
      </c>
      <c r="E2216" s="33">
        <v>44520</v>
      </c>
      <c r="F2216" s="32">
        <v>30186</v>
      </c>
      <c r="G2216" s="5" t="str">
        <f>INDEX(customer[عنوان],MATCH(Main[[#This Row],[کد ردیابی]],customer[کد],0))</f>
        <v>سارا گاز</v>
      </c>
      <c r="H2216">
        <v>-2006</v>
      </c>
      <c r="I2216" s="6">
        <f ca="1">-Main[[#This Row],[بدهی تسویه شده (کیلوگرم)]]+Main[[#This Row],[بستانکار (کیلوگرم)]]</f>
        <v>-2006</v>
      </c>
      <c r="J2216" s="6">
        <f>IF(Main[[#This Row],[مقدار (کیلوگرم)]]&gt;0,Main[[#This Row],[مقدار (کیلوگرم)]],0)</f>
        <v>0</v>
      </c>
      <c r="K2216" s="6">
        <f>-IF(Main[[#This Row],[مقدار (کیلوگرم)]]&lt;0,Main[[#This Row],[مقدار (کیلوگرم)]],0)</f>
        <v>2006</v>
      </c>
      <c r="L22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6" s="7">
        <f>-IF(AND(Main[[#This Row],[مقدار (کیلوگرم)]]&lt;0,Main[[#This Row],[تاريخ میلادی]]&gt;44276),Main[[#This Row],[مقدار (کیلوگرم)]],0)</f>
        <v>2006</v>
      </c>
      <c r="N2216" s="6">
        <f ca="1">Main[[#This Row],[بدهکار (کیلوگرم)]]-Main[[#This Row],[بدهی تسویه نشده (کیلوگرم)]]</f>
        <v>2006</v>
      </c>
      <c r="O2216" s="6">
        <f ca="1">Main[[#This Row],[تفکیک]]</f>
        <v>0</v>
      </c>
      <c r="P2216" s="6">
        <f ca="1">IF(Main[[#This Row],[تاخیر از سررسید]]&gt;0,Main[[#This Row],[بدهی تسویه نشده (کیلوگرم)]],0)</f>
        <v>0</v>
      </c>
      <c r="Q2216" s="6">
        <f ca="1">IF(Main[[#This Row],[بدهی تسویه نشده (کیلوگرم)]]&gt;0,'گزارش فردی'!$B$7-Main[[#This Row],[تاريخ میلادی]],0)</f>
        <v>0</v>
      </c>
      <c r="R2216" s="6">
        <f ca="1">IF(Main[[#This Row],[بدهی تسویه نشده (کیلوگرم)]]&gt;0,'گزارش فردی'!$B$7-Main[[#This Row],[تاريخ میلادی]]-'گزارش فردی'!$B$8,0)</f>
        <v>0</v>
      </c>
      <c r="S2216" s="6">
        <f ca="1">Main[[#This Row],[روز از ارسال سفارش]]*Main[[#This Row],[بدهی تسویه نشده (کیلوگرم)]]</f>
        <v>0</v>
      </c>
      <c r="T2216" s="6">
        <f ca="1">Main[[#This Row],[بدهی سررسید شده (کیلوگرم)]]*Main[[#This Row],[روز از ارسال سفارش]]</f>
        <v>0</v>
      </c>
      <c r="U2216" s="6">
        <f>-SUBTOTAL(9,INDEX(Main[مقدار (کیلوگرم)],1):Main[[#This Row],[مقدار (کیلوگرم)]])</f>
        <v>39353</v>
      </c>
      <c r="V22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6" s="6">
        <f>Main[[#This Row],[تعداد کل روزهای بدهکار (روز)]]*Main[[#This Row],[مانده در خط کل (کیلوگرم)]]</f>
        <v>0</v>
      </c>
      <c r="X2216" s="6">
        <f ca="1">-SUBTOTAL(9,INDEX(Main[مقدار تسویه شده (کیلوگرم)],1):Main[[#This Row],[مقدار تسویه شده (کیلوگرم)]])</f>
        <v>39353</v>
      </c>
      <c r="Y2216" s="6">
        <f ca="1">IF(Main[[#This Row],[مانده در خط تسویه شده (کیلوگرم)]]&lt;&gt;0,Main[[#This Row],[تعداد کل روزهای بدهکار (روز)]],0)</f>
        <v>0</v>
      </c>
      <c r="Z2216" s="6">
        <f ca="1">Main[[#This Row],[تعداد روزهای بدهکار تسویه شده (روز)]]*Main[[#This Row],[مانده در خط تسویه شده (کیلوگرم)]]</f>
        <v>0</v>
      </c>
      <c r="AA2216" s="6">
        <f ca="1">SUBTOTAL(9,INDEX(Main[بدهی تسویه نشده (کیلوگرم)],1):Main[[#This Row],[بدهی تسویه نشده (کیلوگرم)]])</f>
        <v>0</v>
      </c>
      <c r="AB2216" s="6">
        <f ca="1">IF(Main[[#This Row],[مانده در خط تسویه نشده (کیلوگرم)]]&lt;&gt;0,Main[[#This Row],[تعداد کل روزهای بدهکار (روز)]],0)</f>
        <v>0</v>
      </c>
      <c r="AC2216" s="6">
        <f ca="1">Main[[#This Row],[تعداد روزهای بدهکار  تسویه نشده (روز)]]*Main[[#This Row],[مانده در خط تسویه نشده (کیلوگرم)]]</f>
        <v>0</v>
      </c>
      <c r="AD2216" s="6">
        <f ca="1">SUBTOTAL(9,INDEX(Main[بدهی سررسید شده (کیلوگرم)],1):Main[[#This Row],[بدهی سررسید شده (کیلوگرم)]])</f>
        <v>0</v>
      </c>
      <c r="AE2216" s="6">
        <f ca="1">IF(Main[[#This Row],[مانده در خط سررسید شده (کیلوگرم)]]&lt;&gt;0,Main[[#This Row],[تعداد کل روزهای بدهکار (روز)]],0)</f>
        <v>0</v>
      </c>
      <c r="AF2216" s="6">
        <f ca="1">Main[[#This Row],[تعداد روزهای بدهکار سررسید شده (روز)]]*Main[[#This Row],[مانده در خط سررسید شده (کیلوگرم)]]</f>
        <v>0</v>
      </c>
    </row>
    <row r="2217" spans="1:32" hidden="1" x14ac:dyDescent="0.35">
      <c r="A2217" s="5">
        <f>ROW()-ROW(INDEX(Main[ردیف],1))+1</f>
        <v>2215</v>
      </c>
      <c r="B2217" s="31">
        <f>SUBTOTAL(2,INDEX(Main[ردیف],1):Main[[#This Row],[ردیف]])</f>
        <v>202</v>
      </c>
      <c r="C2217" s="32" t="s">
        <v>768</v>
      </c>
      <c r="D2217" s="32" t="str">
        <f>_xlfn.CONCAT("14",Main[[#This Row],[تاريخ]])</f>
        <v>1400/08/29</v>
      </c>
      <c r="E2217" s="33">
        <v>44520</v>
      </c>
      <c r="F2217" s="32">
        <v>30004</v>
      </c>
      <c r="G2217" s="5" t="str">
        <f>INDEX(customer[عنوان],MATCH(Main[[#This Row],[کد ردیابی]],customer[کد],0))</f>
        <v>تولیدی صنعتی صفاشیر پارس</v>
      </c>
      <c r="H2217">
        <v>706</v>
      </c>
      <c r="I2217" s="6">
        <f ca="1">-Main[[#This Row],[بدهی تسویه شده (کیلوگرم)]]+Main[[#This Row],[بستانکار (کیلوگرم)]]</f>
        <v>706</v>
      </c>
      <c r="J2217" s="6">
        <f>IF(Main[[#This Row],[مقدار (کیلوگرم)]]&gt;0,Main[[#This Row],[مقدار (کیلوگرم)]],0)</f>
        <v>706</v>
      </c>
      <c r="K2217" s="6">
        <f>-IF(Main[[#This Row],[مقدار (کیلوگرم)]]&lt;0,Main[[#This Row],[مقدار (کیلوگرم)]],0)</f>
        <v>0</v>
      </c>
      <c r="L22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7" s="7">
        <f>-IF(AND(Main[[#This Row],[مقدار (کیلوگرم)]]&lt;0,Main[[#This Row],[تاريخ میلادی]]&gt;44276),Main[[#This Row],[مقدار (کیلوگرم)]],0)</f>
        <v>0</v>
      </c>
      <c r="N2217" s="6">
        <f ca="1">Main[[#This Row],[بدهکار (کیلوگرم)]]-Main[[#This Row],[بدهی تسویه نشده (کیلوگرم)]]</f>
        <v>0</v>
      </c>
      <c r="O2217" s="6">
        <f ca="1">Main[[#This Row],[تفکیک]]</f>
        <v>0</v>
      </c>
      <c r="P2217" s="6">
        <f ca="1">IF(Main[[#This Row],[تاخیر از سررسید]]&gt;0,Main[[#This Row],[بدهی تسویه نشده (کیلوگرم)]],0)</f>
        <v>0</v>
      </c>
      <c r="Q2217" s="6">
        <f ca="1">IF(Main[[#This Row],[بدهی تسویه نشده (کیلوگرم)]]&gt;0,'گزارش فردی'!$B$7-Main[[#This Row],[تاريخ میلادی]],0)</f>
        <v>0</v>
      </c>
      <c r="R2217" s="6">
        <f ca="1">IF(Main[[#This Row],[بدهی تسویه نشده (کیلوگرم)]]&gt;0,'گزارش فردی'!$B$7-Main[[#This Row],[تاريخ میلادی]]-'گزارش فردی'!$B$8,0)</f>
        <v>0</v>
      </c>
      <c r="S2217" s="6">
        <f ca="1">Main[[#This Row],[روز از ارسال سفارش]]*Main[[#This Row],[بدهی تسویه نشده (کیلوگرم)]]</f>
        <v>0</v>
      </c>
      <c r="T2217" s="6">
        <f ca="1">Main[[#This Row],[بدهی سررسید شده (کیلوگرم)]]*Main[[#This Row],[روز از ارسال سفارش]]</f>
        <v>0</v>
      </c>
      <c r="U2217" s="6">
        <f>-SUBTOTAL(9,INDEX(Main[مقدار (کیلوگرم)],1):Main[[#This Row],[مقدار (کیلوگرم)]])</f>
        <v>39353</v>
      </c>
      <c r="V22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7" s="6">
        <f>Main[[#This Row],[تعداد کل روزهای بدهکار (روز)]]*Main[[#This Row],[مانده در خط کل (کیلوگرم)]]</f>
        <v>0</v>
      </c>
      <c r="X2217" s="6">
        <f ca="1">-SUBTOTAL(9,INDEX(Main[مقدار تسویه شده (کیلوگرم)],1):Main[[#This Row],[مقدار تسویه شده (کیلوگرم)]])</f>
        <v>39353</v>
      </c>
      <c r="Y2217" s="6">
        <f ca="1">IF(Main[[#This Row],[مانده در خط تسویه شده (کیلوگرم)]]&lt;&gt;0,Main[[#This Row],[تعداد کل روزهای بدهکار (روز)]],0)</f>
        <v>0</v>
      </c>
      <c r="Z2217" s="6">
        <f ca="1">Main[[#This Row],[تعداد روزهای بدهکار تسویه شده (روز)]]*Main[[#This Row],[مانده در خط تسویه شده (کیلوگرم)]]</f>
        <v>0</v>
      </c>
      <c r="AA2217" s="6">
        <f ca="1">SUBTOTAL(9,INDEX(Main[بدهی تسویه نشده (کیلوگرم)],1):Main[[#This Row],[بدهی تسویه نشده (کیلوگرم)]])</f>
        <v>0</v>
      </c>
      <c r="AB2217" s="6">
        <f ca="1">IF(Main[[#This Row],[مانده در خط تسویه نشده (کیلوگرم)]]&lt;&gt;0,Main[[#This Row],[تعداد کل روزهای بدهکار (روز)]],0)</f>
        <v>0</v>
      </c>
      <c r="AC2217" s="6">
        <f ca="1">Main[[#This Row],[تعداد روزهای بدهکار  تسویه نشده (روز)]]*Main[[#This Row],[مانده در خط تسویه نشده (کیلوگرم)]]</f>
        <v>0</v>
      </c>
      <c r="AD2217" s="6">
        <f ca="1">SUBTOTAL(9,INDEX(Main[بدهی سررسید شده (کیلوگرم)],1):Main[[#This Row],[بدهی سررسید شده (کیلوگرم)]])</f>
        <v>0</v>
      </c>
      <c r="AE2217" s="6">
        <f ca="1">IF(Main[[#This Row],[مانده در خط سررسید شده (کیلوگرم)]]&lt;&gt;0,Main[[#This Row],[تعداد کل روزهای بدهکار (روز)]],0)</f>
        <v>0</v>
      </c>
      <c r="AF2217" s="6">
        <f ca="1">Main[[#This Row],[تعداد روزهای بدهکار سررسید شده (روز)]]*Main[[#This Row],[مانده در خط سررسید شده (کیلوگرم)]]</f>
        <v>0</v>
      </c>
    </row>
    <row r="2218" spans="1:32" hidden="1" x14ac:dyDescent="0.35">
      <c r="A2218" s="5">
        <f>ROW()-ROW(INDEX(Main[ردیف],1))+1</f>
        <v>2216</v>
      </c>
      <c r="B2218" s="31">
        <f>SUBTOTAL(2,INDEX(Main[ردیف],1):Main[[#This Row],[ردیف]])</f>
        <v>202</v>
      </c>
      <c r="C2218" s="32" t="s">
        <v>768</v>
      </c>
      <c r="D2218" s="32" t="str">
        <f>_xlfn.CONCAT("14",Main[[#This Row],[تاريخ]])</f>
        <v>1400/08/29</v>
      </c>
      <c r="E2218" s="33">
        <v>44520</v>
      </c>
      <c r="F2218" s="32">
        <v>10055</v>
      </c>
      <c r="G2218" s="5" t="str">
        <f>INDEX(customer[عنوان],MATCH(Main[[#This Row],[کد ردیابی]],customer[کد],0))</f>
        <v xml:space="preserve">مریم فیض آبادی  </v>
      </c>
      <c r="H2218">
        <v>-4867</v>
      </c>
      <c r="I2218" s="6">
        <f ca="1">-Main[[#This Row],[بدهی تسویه شده (کیلوگرم)]]+Main[[#This Row],[بستانکار (کیلوگرم)]]</f>
        <v>-4867</v>
      </c>
      <c r="J2218" s="6">
        <f>IF(Main[[#This Row],[مقدار (کیلوگرم)]]&gt;0,Main[[#This Row],[مقدار (کیلوگرم)]],0)</f>
        <v>0</v>
      </c>
      <c r="K2218" s="6">
        <f>-IF(Main[[#This Row],[مقدار (کیلوگرم)]]&lt;0,Main[[#This Row],[مقدار (کیلوگرم)]],0)</f>
        <v>4867</v>
      </c>
      <c r="L22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8" s="7">
        <f>-IF(AND(Main[[#This Row],[مقدار (کیلوگرم)]]&lt;0,Main[[#This Row],[تاريخ میلادی]]&gt;44276),Main[[#This Row],[مقدار (کیلوگرم)]],0)</f>
        <v>4867</v>
      </c>
      <c r="N2218" s="6">
        <f ca="1">Main[[#This Row],[بدهکار (کیلوگرم)]]-Main[[#This Row],[بدهی تسویه نشده (کیلوگرم)]]</f>
        <v>4867</v>
      </c>
      <c r="O2218" s="6">
        <f ca="1">Main[[#This Row],[تفکیک]]</f>
        <v>0</v>
      </c>
      <c r="P2218" s="6">
        <f ca="1">IF(Main[[#This Row],[تاخیر از سررسید]]&gt;0,Main[[#This Row],[بدهی تسویه نشده (کیلوگرم)]],0)</f>
        <v>0</v>
      </c>
      <c r="Q2218" s="6">
        <f ca="1">IF(Main[[#This Row],[بدهی تسویه نشده (کیلوگرم)]]&gt;0,'گزارش فردی'!$B$7-Main[[#This Row],[تاريخ میلادی]],0)</f>
        <v>0</v>
      </c>
      <c r="R2218" s="6">
        <f ca="1">IF(Main[[#This Row],[بدهی تسویه نشده (کیلوگرم)]]&gt;0,'گزارش فردی'!$B$7-Main[[#This Row],[تاريخ میلادی]]-'گزارش فردی'!$B$8,0)</f>
        <v>0</v>
      </c>
      <c r="S2218" s="6">
        <f ca="1">Main[[#This Row],[روز از ارسال سفارش]]*Main[[#This Row],[بدهی تسویه نشده (کیلوگرم)]]</f>
        <v>0</v>
      </c>
      <c r="T2218" s="6">
        <f ca="1">Main[[#This Row],[بدهی سررسید شده (کیلوگرم)]]*Main[[#This Row],[روز از ارسال سفارش]]</f>
        <v>0</v>
      </c>
      <c r="U2218" s="6">
        <f>-SUBTOTAL(9,INDEX(Main[مقدار (کیلوگرم)],1):Main[[#This Row],[مقدار (کیلوگرم)]])</f>
        <v>39353</v>
      </c>
      <c r="V22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8" s="6">
        <f>Main[[#This Row],[تعداد کل روزهای بدهکار (روز)]]*Main[[#This Row],[مانده در خط کل (کیلوگرم)]]</f>
        <v>0</v>
      </c>
      <c r="X2218" s="6">
        <f ca="1">-SUBTOTAL(9,INDEX(Main[مقدار تسویه شده (کیلوگرم)],1):Main[[#This Row],[مقدار تسویه شده (کیلوگرم)]])</f>
        <v>39353</v>
      </c>
      <c r="Y2218" s="6">
        <f ca="1">IF(Main[[#This Row],[مانده در خط تسویه شده (کیلوگرم)]]&lt;&gt;0,Main[[#This Row],[تعداد کل روزهای بدهکار (روز)]],0)</f>
        <v>0</v>
      </c>
      <c r="Z2218" s="6">
        <f ca="1">Main[[#This Row],[تعداد روزهای بدهکار تسویه شده (روز)]]*Main[[#This Row],[مانده در خط تسویه شده (کیلوگرم)]]</f>
        <v>0</v>
      </c>
      <c r="AA2218" s="6">
        <f ca="1">SUBTOTAL(9,INDEX(Main[بدهی تسویه نشده (کیلوگرم)],1):Main[[#This Row],[بدهی تسویه نشده (کیلوگرم)]])</f>
        <v>0</v>
      </c>
      <c r="AB2218" s="6">
        <f ca="1">IF(Main[[#This Row],[مانده در خط تسویه نشده (کیلوگرم)]]&lt;&gt;0,Main[[#This Row],[تعداد کل روزهای بدهکار (روز)]],0)</f>
        <v>0</v>
      </c>
      <c r="AC2218" s="6">
        <f ca="1">Main[[#This Row],[تعداد روزهای بدهکار  تسویه نشده (روز)]]*Main[[#This Row],[مانده در خط تسویه نشده (کیلوگرم)]]</f>
        <v>0</v>
      </c>
      <c r="AD2218" s="6">
        <f ca="1">SUBTOTAL(9,INDEX(Main[بدهی سررسید شده (کیلوگرم)],1):Main[[#This Row],[بدهی سررسید شده (کیلوگرم)]])</f>
        <v>0</v>
      </c>
      <c r="AE2218" s="6">
        <f ca="1">IF(Main[[#This Row],[مانده در خط سررسید شده (کیلوگرم)]]&lt;&gt;0,Main[[#This Row],[تعداد کل روزهای بدهکار (روز)]],0)</f>
        <v>0</v>
      </c>
      <c r="AF2218" s="6">
        <f ca="1">Main[[#This Row],[تعداد روزهای بدهکار سررسید شده (روز)]]*Main[[#This Row],[مانده در خط سررسید شده (کیلوگرم)]]</f>
        <v>0</v>
      </c>
    </row>
    <row r="2219" spans="1:32" hidden="1" x14ac:dyDescent="0.35">
      <c r="A2219" s="5">
        <f>ROW()-ROW(INDEX(Main[ردیف],1))+1</f>
        <v>2217</v>
      </c>
      <c r="B2219" s="31">
        <f>SUBTOTAL(2,INDEX(Main[ردیف],1):Main[[#This Row],[ردیف]])</f>
        <v>202</v>
      </c>
      <c r="C2219" s="32" t="s">
        <v>768</v>
      </c>
      <c r="D2219" s="32" t="str">
        <f>_xlfn.CONCAT("14",Main[[#This Row],[تاريخ]])</f>
        <v>1400/08/29</v>
      </c>
      <c r="E2219" s="33">
        <v>44520</v>
      </c>
      <c r="F2219" s="32">
        <v>30004</v>
      </c>
      <c r="G2219" s="5" t="str">
        <f>INDEX(customer[عنوان],MATCH(Main[[#This Row],[کد ردیابی]],customer[کد],0))</f>
        <v>تولیدی صنعتی صفاشیر پارس</v>
      </c>
      <c r="H2219">
        <v>655</v>
      </c>
      <c r="I2219" s="6">
        <f ca="1">-Main[[#This Row],[بدهی تسویه شده (کیلوگرم)]]+Main[[#This Row],[بستانکار (کیلوگرم)]]</f>
        <v>655</v>
      </c>
      <c r="J2219" s="6">
        <f>IF(Main[[#This Row],[مقدار (کیلوگرم)]]&gt;0,Main[[#This Row],[مقدار (کیلوگرم)]],0)</f>
        <v>655</v>
      </c>
      <c r="K2219" s="6">
        <f>-IF(Main[[#This Row],[مقدار (کیلوگرم)]]&lt;0,Main[[#This Row],[مقدار (کیلوگرم)]],0)</f>
        <v>0</v>
      </c>
      <c r="L22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9" s="7">
        <f>-IF(AND(Main[[#This Row],[مقدار (کیلوگرم)]]&lt;0,Main[[#This Row],[تاريخ میلادی]]&gt;44276),Main[[#This Row],[مقدار (کیلوگرم)]],0)</f>
        <v>0</v>
      </c>
      <c r="N2219" s="6">
        <f ca="1">Main[[#This Row],[بدهکار (کیلوگرم)]]-Main[[#This Row],[بدهی تسویه نشده (کیلوگرم)]]</f>
        <v>0</v>
      </c>
      <c r="O2219" s="6">
        <f ca="1">Main[[#This Row],[تفکیک]]</f>
        <v>0</v>
      </c>
      <c r="P2219" s="6">
        <f ca="1">IF(Main[[#This Row],[تاخیر از سررسید]]&gt;0,Main[[#This Row],[بدهی تسویه نشده (کیلوگرم)]],0)</f>
        <v>0</v>
      </c>
      <c r="Q2219" s="6">
        <f ca="1">IF(Main[[#This Row],[بدهی تسویه نشده (کیلوگرم)]]&gt;0,'گزارش فردی'!$B$7-Main[[#This Row],[تاريخ میلادی]],0)</f>
        <v>0</v>
      </c>
      <c r="R2219" s="6">
        <f ca="1">IF(Main[[#This Row],[بدهی تسویه نشده (کیلوگرم)]]&gt;0,'گزارش فردی'!$B$7-Main[[#This Row],[تاريخ میلادی]]-'گزارش فردی'!$B$8,0)</f>
        <v>0</v>
      </c>
      <c r="S2219" s="6">
        <f ca="1">Main[[#This Row],[روز از ارسال سفارش]]*Main[[#This Row],[بدهی تسویه نشده (کیلوگرم)]]</f>
        <v>0</v>
      </c>
      <c r="T2219" s="6">
        <f ca="1">Main[[#This Row],[بدهی سررسید شده (کیلوگرم)]]*Main[[#This Row],[روز از ارسال سفارش]]</f>
        <v>0</v>
      </c>
      <c r="U2219" s="6">
        <f>-SUBTOTAL(9,INDEX(Main[مقدار (کیلوگرم)],1):Main[[#This Row],[مقدار (کیلوگرم)]])</f>
        <v>39353</v>
      </c>
      <c r="V22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9" s="6">
        <f>Main[[#This Row],[تعداد کل روزهای بدهکار (روز)]]*Main[[#This Row],[مانده در خط کل (کیلوگرم)]]</f>
        <v>0</v>
      </c>
      <c r="X2219" s="6">
        <f ca="1">-SUBTOTAL(9,INDEX(Main[مقدار تسویه شده (کیلوگرم)],1):Main[[#This Row],[مقدار تسویه شده (کیلوگرم)]])</f>
        <v>39353</v>
      </c>
      <c r="Y2219" s="6">
        <f ca="1">IF(Main[[#This Row],[مانده در خط تسویه شده (کیلوگرم)]]&lt;&gt;0,Main[[#This Row],[تعداد کل روزهای بدهکار (روز)]],0)</f>
        <v>0</v>
      </c>
      <c r="Z2219" s="6">
        <f ca="1">Main[[#This Row],[تعداد روزهای بدهکار تسویه شده (روز)]]*Main[[#This Row],[مانده در خط تسویه شده (کیلوگرم)]]</f>
        <v>0</v>
      </c>
      <c r="AA2219" s="6">
        <f ca="1">SUBTOTAL(9,INDEX(Main[بدهی تسویه نشده (کیلوگرم)],1):Main[[#This Row],[بدهی تسویه نشده (کیلوگرم)]])</f>
        <v>0</v>
      </c>
      <c r="AB2219" s="6">
        <f ca="1">IF(Main[[#This Row],[مانده در خط تسویه نشده (کیلوگرم)]]&lt;&gt;0,Main[[#This Row],[تعداد کل روزهای بدهکار (روز)]],0)</f>
        <v>0</v>
      </c>
      <c r="AC2219" s="6">
        <f ca="1">Main[[#This Row],[تعداد روزهای بدهکار  تسویه نشده (روز)]]*Main[[#This Row],[مانده در خط تسویه نشده (کیلوگرم)]]</f>
        <v>0</v>
      </c>
      <c r="AD2219" s="6">
        <f ca="1">SUBTOTAL(9,INDEX(Main[بدهی سررسید شده (کیلوگرم)],1):Main[[#This Row],[بدهی سررسید شده (کیلوگرم)]])</f>
        <v>0</v>
      </c>
      <c r="AE2219" s="6">
        <f ca="1">IF(Main[[#This Row],[مانده در خط سررسید شده (کیلوگرم)]]&lt;&gt;0,Main[[#This Row],[تعداد کل روزهای بدهکار (روز)]],0)</f>
        <v>0</v>
      </c>
      <c r="AF2219" s="6">
        <f ca="1">Main[[#This Row],[تعداد روزهای بدهکار سررسید شده (روز)]]*Main[[#This Row],[مانده در خط سررسید شده (کیلوگرم)]]</f>
        <v>0</v>
      </c>
    </row>
    <row r="2220" spans="1:32" x14ac:dyDescent="0.35">
      <c r="A2220" s="5">
        <f>ROW()-ROW(INDEX(Main[ردیف],1))+1</f>
        <v>2218</v>
      </c>
      <c r="B2220" s="31">
        <f>SUBTOTAL(2,INDEX(Main[ردیف],1):Main[[#This Row],[ردیف]])</f>
        <v>203</v>
      </c>
      <c r="C2220" s="32" t="s">
        <v>768</v>
      </c>
      <c r="D2220" s="32" t="str">
        <f>_xlfn.CONCAT("14",Main[[#This Row],[تاريخ]])</f>
        <v>1400/08/29</v>
      </c>
      <c r="E2220" s="33">
        <v>44520</v>
      </c>
      <c r="F2220" s="32">
        <v>10003</v>
      </c>
      <c r="G2220" s="5" t="str">
        <f>INDEX(customer[عنوان],MATCH(Main[[#This Row],[کد ردیابی]],customer[کد],0))</f>
        <v>اصغر نورعلی</v>
      </c>
      <c r="H2220">
        <v>-3035</v>
      </c>
      <c r="I2220" s="6">
        <f ca="1">-Main[[#This Row],[بدهی تسویه شده (کیلوگرم)]]+Main[[#This Row],[بستانکار (کیلوگرم)]]</f>
        <v>-3035</v>
      </c>
      <c r="J2220" s="6">
        <f>IF(Main[[#This Row],[مقدار (کیلوگرم)]]&gt;0,Main[[#This Row],[مقدار (کیلوگرم)]],0)</f>
        <v>0</v>
      </c>
      <c r="K2220" s="6">
        <f>-IF(Main[[#This Row],[مقدار (کیلوگرم)]]&lt;0,Main[[#This Row],[مقدار (کیلوگرم)]],0)</f>
        <v>3035</v>
      </c>
      <c r="L22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0" s="7">
        <f>-IF(AND(Main[[#This Row],[مقدار (کیلوگرم)]]&lt;0,Main[[#This Row],[تاريخ میلادی]]&gt;44276),Main[[#This Row],[مقدار (کیلوگرم)]],0)</f>
        <v>3035</v>
      </c>
      <c r="N2220" s="6">
        <f ca="1">Main[[#This Row],[بدهکار (کیلوگرم)]]-Main[[#This Row],[بدهی تسویه نشده (کیلوگرم)]]</f>
        <v>3035</v>
      </c>
      <c r="O2220" s="6">
        <f ca="1">Main[[#This Row],[تفکیک]]</f>
        <v>0</v>
      </c>
      <c r="P2220" s="6">
        <f ca="1">IF(Main[[#This Row],[تاخیر از سررسید]]&gt;0,Main[[#This Row],[بدهی تسویه نشده (کیلوگرم)]],0)</f>
        <v>0</v>
      </c>
      <c r="Q2220" s="6">
        <f ca="1">IF(Main[[#This Row],[بدهی تسویه نشده (کیلوگرم)]]&gt;0,'گزارش فردی'!$B$7-Main[[#This Row],[تاريخ میلادی]],0)</f>
        <v>0</v>
      </c>
      <c r="R2220" s="6">
        <f ca="1">IF(Main[[#This Row],[بدهی تسویه نشده (کیلوگرم)]]&gt;0,'گزارش فردی'!$B$7-Main[[#This Row],[تاريخ میلادی]]-'گزارش فردی'!$B$8,0)</f>
        <v>0</v>
      </c>
      <c r="S2220" s="6">
        <f ca="1">Main[[#This Row],[روز از ارسال سفارش]]*Main[[#This Row],[بدهی تسویه نشده (کیلوگرم)]]</f>
        <v>0</v>
      </c>
      <c r="T2220" s="6">
        <f ca="1">Main[[#This Row],[بدهی سررسید شده (کیلوگرم)]]*Main[[#This Row],[روز از ارسال سفارش]]</f>
        <v>0</v>
      </c>
      <c r="U2220" s="6">
        <f>-SUBTOTAL(9,INDEX(Main[مقدار (کیلوگرم)],1):Main[[#This Row],[مقدار (کیلوگرم)]])</f>
        <v>42388</v>
      </c>
      <c r="V22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0" s="6">
        <f>Main[[#This Row],[تعداد کل روزهای بدهکار (روز)]]*Main[[#This Row],[مانده در خط کل (کیلوگرم)]]</f>
        <v>42388</v>
      </c>
      <c r="X2220" s="6">
        <f ca="1">-SUBTOTAL(9,INDEX(Main[مقدار تسویه شده (کیلوگرم)],1):Main[[#This Row],[مقدار تسویه شده (کیلوگرم)]])</f>
        <v>42388</v>
      </c>
      <c r="Y2220" s="6">
        <f ca="1">IF(Main[[#This Row],[مانده در خط تسویه شده (کیلوگرم)]]&lt;&gt;0,Main[[#This Row],[تعداد کل روزهای بدهکار (روز)]],0)</f>
        <v>1</v>
      </c>
      <c r="Z2220" s="6">
        <f ca="1">Main[[#This Row],[تعداد روزهای بدهکار تسویه شده (روز)]]*Main[[#This Row],[مانده در خط تسویه شده (کیلوگرم)]]</f>
        <v>42388</v>
      </c>
      <c r="AA2220" s="6">
        <f ca="1">SUBTOTAL(9,INDEX(Main[بدهی تسویه نشده (کیلوگرم)],1):Main[[#This Row],[بدهی تسویه نشده (کیلوگرم)]])</f>
        <v>0</v>
      </c>
      <c r="AB2220" s="6">
        <f ca="1">IF(Main[[#This Row],[مانده در خط تسویه نشده (کیلوگرم)]]&lt;&gt;0,Main[[#This Row],[تعداد کل روزهای بدهکار (روز)]],0)</f>
        <v>0</v>
      </c>
      <c r="AC2220" s="6">
        <f ca="1">Main[[#This Row],[تعداد روزهای بدهکار  تسویه نشده (روز)]]*Main[[#This Row],[مانده در خط تسویه نشده (کیلوگرم)]]</f>
        <v>0</v>
      </c>
      <c r="AD2220" s="6">
        <f ca="1">SUBTOTAL(9,INDEX(Main[بدهی سررسید شده (کیلوگرم)],1):Main[[#This Row],[بدهی سررسید شده (کیلوگرم)]])</f>
        <v>0</v>
      </c>
      <c r="AE2220" s="6">
        <f ca="1">IF(Main[[#This Row],[مانده در خط سررسید شده (کیلوگرم)]]&lt;&gt;0,Main[[#This Row],[تعداد کل روزهای بدهکار (روز)]],0)</f>
        <v>0</v>
      </c>
      <c r="AF2220" s="6">
        <f ca="1">Main[[#This Row],[تعداد روزهای بدهکار سررسید شده (روز)]]*Main[[#This Row],[مانده در خط سررسید شده (کیلوگرم)]]</f>
        <v>0</v>
      </c>
    </row>
    <row r="2221" spans="1:32" hidden="1" x14ac:dyDescent="0.35">
      <c r="A2221" s="5">
        <f>ROW()-ROW(INDEX(Main[ردیف],1))+1</f>
        <v>2219</v>
      </c>
      <c r="B2221" s="31">
        <f>SUBTOTAL(2,INDEX(Main[ردیف],1):Main[[#This Row],[ردیف]])</f>
        <v>203</v>
      </c>
      <c r="C2221" s="32" t="s">
        <v>768</v>
      </c>
      <c r="D2221" s="32" t="str">
        <f>_xlfn.CONCAT("14",Main[[#This Row],[تاريخ]])</f>
        <v>1400/08/29</v>
      </c>
      <c r="E2221" s="33">
        <v>44520</v>
      </c>
      <c r="F2221" s="32">
        <v>30003</v>
      </c>
      <c r="G2221" s="5" t="str">
        <f>INDEX(customer[عنوان],MATCH(Main[[#This Row],[کد ردیابی]],customer[کد],0))</f>
        <v xml:space="preserve">شهاب گاز سوز </v>
      </c>
      <c r="H2221">
        <v>1140</v>
      </c>
      <c r="I2221" s="6">
        <f ca="1">-Main[[#This Row],[بدهی تسویه شده (کیلوگرم)]]+Main[[#This Row],[بستانکار (کیلوگرم)]]</f>
        <v>1140</v>
      </c>
      <c r="J2221" s="6">
        <f>IF(Main[[#This Row],[مقدار (کیلوگرم)]]&gt;0,Main[[#This Row],[مقدار (کیلوگرم)]],0)</f>
        <v>1140</v>
      </c>
      <c r="K2221" s="6">
        <f>-IF(Main[[#This Row],[مقدار (کیلوگرم)]]&lt;0,Main[[#This Row],[مقدار (کیلوگرم)]],0)</f>
        <v>0</v>
      </c>
      <c r="L22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1" s="7">
        <f>-IF(AND(Main[[#This Row],[مقدار (کیلوگرم)]]&lt;0,Main[[#This Row],[تاريخ میلادی]]&gt;44276),Main[[#This Row],[مقدار (کیلوگرم)]],0)</f>
        <v>0</v>
      </c>
      <c r="N2221" s="6">
        <f ca="1">Main[[#This Row],[بدهکار (کیلوگرم)]]-Main[[#This Row],[بدهی تسویه نشده (کیلوگرم)]]</f>
        <v>0</v>
      </c>
      <c r="O2221" s="6">
        <f ca="1">Main[[#This Row],[تفکیک]]</f>
        <v>0</v>
      </c>
      <c r="P2221" s="6">
        <f ca="1">IF(Main[[#This Row],[تاخیر از سررسید]]&gt;0,Main[[#This Row],[بدهی تسویه نشده (کیلوگرم)]],0)</f>
        <v>0</v>
      </c>
      <c r="Q2221" s="6">
        <f ca="1">IF(Main[[#This Row],[بدهی تسویه نشده (کیلوگرم)]]&gt;0,'گزارش فردی'!$B$7-Main[[#This Row],[تاريخ میلادی]],0)</f>
        <v>0</v>
      </c>
      <c r="R2221" s="6">
        <f ca="1">IF(Main[[#This Row],[بدهی تسویه نشده (کیلوگرم)]]&gt;0,'گزارش فردی'!$B$7-Main[[#This Row],[تاريخ میلادی]]-'گزارش فردی'!$B$8,0)</f>
        <v>0</v>
      </c>
      <c r="S2221" s="6">
        <f ca="1">Main[[#This Row],[روز از ارسال سفارش]]*Main[[#This Row],[بدهی تسویه نشده (کیلوگرم)]]</f>
        <v>0</v>
      </c>
      <c r="T2221" s="6">
        <f ca="1">Main[[#This Row],[بدهی سررسید شده (کیلوگرم)]]*Main[[#This Row],[روز از ارسال سفارش]]</f>
        <v>0</v>
      </c>
      <c r="U2221" s="6">
        <f>-SUBTOTAL(9,INDEX(Main[مقدار (کیلوگرم)],1):Main[[#This Row],[مقدار (کیلوگرم)]])</f>
        <v>42388</v>
      </c>
      <c r="V22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1" s="6">
        <f>Main[[#This Row],[تعداد کل روزهای بدهکار (روز)]]*Main[[#This Row],[مانده در خط کل (کیلوگرم)]]</f>
        <v>42388</v>
      </c>
      <c r="X2221" s="6">
        <f ca="1">-SUBTOTAL(9,INDEX(Main[مقدار تسویه شده (کیلوگرم)],1):Main[[#This Row],[مقدار تسویه شده (کیلوگرم)]])</f>
        <v>42388</v>
      </c>
      <c r="Y2221" s="6">
        <f ca="1">IF(Main[[#This Row],[مانده در خط تسویه شده (کیلوگرم)]]&lt;&gt;0,Main[[#This Row],[تعداد کل روزهای بدهکار (روز)]],0)</f>
        <v>1</v>
      </c>
      <c r="Z2221" s="6">
        <f ca="1">Main[[#This Row],[تعداد روزهای بدهکار تسویه شده (روز)]]*Main[[#This Row],[مانده در خط تسویه شده (کیلوگرم)]]</f>
        <v>42388</v>
      </c>
      <c r="AA2221" s="6">
        <f ca="1">SUBTOTAL(9,INDEX(Main[بدهی تسویه نشده (کیلوگرم)],1):Main[[#This Row],[بدهی تسویه نشده (کیلوگرم)]])</f>
        <v>0</v>
      </c>
      <c r="AB2221" s="6">
        <f ca="1">IF(Main[[#This Row],[مانده در خط تسویه نشده (کیلوگرم)]]&lt;&gt;0,Main[[#This Row],[تعداد کل روزهای بدهکار (روز)]],0)</f>
        <v>0</v>
      </c>
      <c r="AC2221" s="6">
        <f ca="1">Main[[#This Row],[تعداد روزهای بدهکار  تسویه نشده (روز)]]*Main[[#This Row],[مانده در خط تسویه نشده (کیلوگرم)]]</f>
        <v>0</v>
      </c>
      <c r="AD2221" s="6">
        <f ca="1">SUBTOTAL(9,INDEX(Main[بدهی سررسید شده (کیلوگرم)],1):Main[[#This Row],[بدهی سررسید شده (کیلوگرم)]])</f>
        <v>0</v>
      </c>
      <c r="AE2221" s="6">
        <f ca="1">IF(Main[[#This Row],[مانده در خط سررسید شده (کیلوگرم)]]&lt;&gt;0,Main[[#This Row],[تعداد کل روزهای بدهکار (روز)]],0)</f>
        <v>0</v>
      </c>
      <c r="AF2221" s="6">
        <f ca="1">Main[[#This Row],[تعداد روزهای بدهکار سررسید شده (روز)]]*Main[[#This Row],[مانده در خط سررسید شده (کیلوگرم)]]</f>
        <v>0</v>
      </c>
    </row>
    <row r="2222" spans="1:32" hidden="1" x14ac:dyDescent="0.35">
      <c r="A2222" s="5">
        <f>ROW()-ROW(INDEX(Main[ردیف],1))+1</f>
        <v>2220</v>
      </c>
      <c r="B2222" s="31">
        <f>SUBTOTAL(2,INDEX(Main[ردیف],1):Main[[#This Row],[ردیف]])</f>
        <v>203</v>
      </c>
      <c r="C2222" s="32" t="s">
        <v>768</v>
      </c>
      <c r="D2222" s="32" t="str">
        <f>_xlfn.CONCAT("14",Main[[#This Row],[تاريخ]])</f>
        <v>1400/08/29</v>
      </c>
      <c r="E2222" s="33">
        <v>44520</v>
      </c>
      <c r="F2222" s="32">
        <v>10026</v>
      </c>
      <c r="G2222" s="5" t="str">
        <f>INDEX(customer[عنوان],MATCH(Main[[#This Row],[کد ردیابی]],customer[کد],0))</f>
        <v xml:space="preserve">محسن فیاض بخش </v>
      </c>
      <c r="H2222">
        <v>-3871</v>
      </c>
      <c r="I2222" s="6">
        <f ca="1">-Main[[#This Row],[بدهی تسویه شده (کیلوگرم)]]+Main[[#This Row],[بستانکار (کیلوگرم)]]</f>
        <v>-3871</v>
      </c>
      <c r="J2222" s="6">
        <f>IF(Main[[#This Row],[مقدار (کیلوگرم)]]&gt;0,Main[[#This Row],[مقدار (کیلوگرم)]],0)</f>
        <v>0</v>
      </c>
      <c r="K2222" s="6">
        <f>-IF(Main[[#This Row],[مقدار (کیلوگرم)]]&lt;0,Main[[#This Row],[مقدار (کیلوگرم)]],0)</f>
        <v>3871</v>
      </c>
      <c r="L22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2" s="7">
        <f>-IF(AND(Main[[#This Row],[مقدار (کیلوگرم)]]&lt;0,Main[[#This Row],[تاريخ میلادی]]&gt;44276),Main[[#This Row],[مقدار (کیلوگرم)]],0)</f>
        <v>3871</v>
      </c>
      <c r="N2222" s="6">
        <f ca="1">Main[[#This Row],[بدهکار (کیلوگرم)]]-Main[[#This Row],[بدهی تسویه نشده (کیلوگرم)]]</f>
        <v>3871</v>
      </c>
      <c r="O2222" s="6">
        <f ca="1">Main[[#This Row],[تفکیک]]</f>
        <v>0</v>
      </c>
      <c r="P2222" s="6">
        <f ca="1">IF(Main[[#This Row],[تاخیر از سررسید]]&gt;0,Main[[#This Row],[بدهی تسویه نشده (کیلوگرم)]],0)</f>
        <v>0</v>
      </c>
      <c r="Q2222" s="6">
        <f ca="1">IF(Main[[#This Row],[بدهی تسویه نشده (کیلوگرم)]]&gt;0,'گزارش فردی'!$B$7-Main[[#This Row],[تاريخ میلادی]],0)</f>
        <v>0</v>
      </c>
      <c r="R2222" s="6">
        <f ca="1">IF(Main[[#This Row],[بدهی تسویه نشده (کیلوگرم)]]&gt;0,'گزارش فردی'!$B$7-Main[[#This Row],[تاريخ میلادی]]-'گزارش فردی'!$B$8,0)</f>
        <v>0</v>
      </c>
      <c r="S2222" s="6">
        <f ca="1">Main[[#This Row],[روز از ارسال سفارش]]*Main[[#This Row],[بدهی تسویه نشده (کیلوگرم)]]</f>
        <v>0</v>
      </c>
      <c r="T2222" s="6">
        <f ca="1">Main[[#This Row],[بدهی سررسید شده (کیلوگرم)]]*Main[[#This Row],[روز از ارسال سفارش]]</f>
        <v>0</v>
      </c>
      <c r="U2222" s="6">
        <f>-SUBTOTAL(9,INDEX(Main[مقدار (کیلوگرم)],1):Main[[#This Row],[مقدار (کیلوگرم)]])</f>
        <v>42388</v>
      </c>
      <c r="V22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2" s="6">
        <f>Main[[#This Row],[تعداد کل روزهای بدهکار (روز)]]*Main[[#This Row],[مانده در خط کل (کیلوگرم)]]</f>
        <v>42388</v>
      </c>
      <c r="X2222" s="6">
        <f ca="1">-SUBTOTAL(9,INDEX(Main[مقدار تسویه شده (کیلوگرم)],1):Main[[#This Row],[مقدار تسویه شده (کیلوگرم)]])</f>
        <v>42388</v>
      </c>
      <c r="Y2222" s="6">
        <f ca="1">IF(Main[[#This Row],[مانده در خط تسویه شده (کیلوگرم)]]&lt;&gt;0,Main[[#This Row],[تعداد کل روزهای بدهکار (روز)]],0)</f>
        <v>1</v>
      </c>
      <c r="Z2222" s="6">
        <f ca="1">Main[[#This Row],[تعداد روزهای بدهکار تسویه شده (روز)]]*Main[[#This Row],[مانده در خط تسویه شده (کیلوگرم)]]</f>
        <v>42388</v>
      </c>
      <c r="AA2222" s="6">
        <f ca="1">SUBTOTAL(9,INDEX(Main[بدهی تسویه نشده (کیلوگرم)],1):Main[[#This Row],[بدهی تسویه نشده (کیلوگرم)]])</f>
        <v>0</v>
      </c>
      <c r="AB2222" s="6">
        <f ca="1">IF(Main[[#This Row],[مانده در خط تسویه نشده (کیلوگرم)]]&lt;&gt;0,Main[[#This Row],[تعداد کل روزهای بدهکار (روز)]],0)</f>
        <v>0</v>
      </c>
      <c r="AC2222" s="6">
        <f ca="1">Main[[#This Row],[تعداد روزهای بدهکار  تسویه نشده (روز)]]*Main[[#This Row],[مانده در خط تسویه نشده (کیلوگرم)]]</f>
        <v>0</v>
      </c>
      <c r="AD2222" s="6">
        <f ca="1">SUBTOTAL(9,INDEX(Main[بدهی سررسید شده (کیلوگرم)],1):Main[[#This Row],[بدهی سررسید شده (کیلوگرم)]])</f>
        <v>0</v>
      </c>
      <c r="AE2222" s="6">
        <f ca="1">IF(Main[[#This Row],[مانده در خط سررسید شده (کیلوگرم)]]&lt;&gt;0,Main[[#This Row],[تعداد کل روزهای بدهکار (روز)]],0)</f>
        <v>0</v>
      </c>
      <c r="AF2222" s="6">
        <f ca="1">Main[[#This Row],[تعداد روزهای بدهکار سررسید شده (روز)]]*Main[[#This Row],[مانده در خط سررسید شده (کیلوگرم)]]</f>
        <v>0</v>
      </c>
    </row>
    <row r="2223" spans="1:32" hidden="1" x14ac:dyDescent="0.35">
      <c r="A2223" s="5">
        <f>ROW()-ROW(INDEX(Main[ردیف],1))+1</f>
        <v>2221</v>
      </c>
      <c r="B2223" s="31">
        <f>SUBTOTAL(2,INDEX(Main[ردیف],1):Main[[#This Row],[ردیف]])</f>
        <v>203</v>
      </c>
      <c r="C2223" s="32" t="s">
        <v>768</v>
      </c>
      <c r="D2223" s="32" t="str">
        <f>_xlfn.CONCAT("14",Main[[#This Row],[تاريخ]])</f>
        <v>1400/08/29</v>
      </c>
      <c r="E2223" s="33">
        <v>44520</v>
      </c>
      <c r="F2223" s="32">
        <v>30186</v>
      </c>
      <c r="G2223" s="5" t="str">
        <f>INDEX(customer[عنوان],MATCH(Main[[#This Row],[کد ردیابی]],customer[کد],0))</f>
        <v>سارا گاز</v>
      </c>
      <c r="H2223">
        <v>2516</v>
      </c>
      <c r="I2223" s="6">
        <f ca="1">-Main[[#This Row],[بدهی تسویه شده (کیلوگرم)]]+Main[[#This Row],[بستانکار (کیلوگرم)]]</f>
        <v>2516</v>
      </c>
      <c r="J2223" s="6">
        <f>IF(Main[[#This Row],[مقدار (کیلوگرم)]]&gt;0,Main[[#This Row],[مقدار (کیلوگرم)]],0)</f>
        <v>2516</v>
      </c>
      <c r="K2223" s="6">
        <f>-IF(Main[[#This Row],[مقدار (کیلوگرم)]]&lt;0,Main[[#This Row],[مقدار (کیلوگرم)]],0)</f>
        <v>0</v>
      </c>
      <c r="L22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3" s="7">
        <f>-IF(AND(Main[[#This Row],[مقدار (کیلوگرم)]]&lt;0,Main[[#This Row],[تاريخ میلادی]]&gt;44276),Main[[#This Row],[مقدار (کیلوگرم)]],0)</f>
        <v>0</v>
      </c>
      <c r="N2223" s="6">
        <f ca="1">Main[[#This Row],[بدهکار (کیلوگرم)]]-Main[[#This Row],[بدهی تسویه نشده (کیلوگرم)]]</f>
        <v>0</v>
      </c>
      <c r="O2223" s="6">
        <f ca="1">Main[[#This Row],[تفکیک]]</f>
        <v>0</v>
      </c>
      <c r="P2223" s="6">
        <f ca="1">IF(Main[[#This Row],[تاخیر از سررسید]]&gt;0,Main[[#This Row],[بدهی تسویه نشده (کیلوگرم)]],0)</f>
        <v>0</v>
      </c>
      <c r="Q2223" s="6">
        <f ca="1">IF(Main[[#This Row],[بدهی تسویه نشده (کیلوگرم)]]&gt;0,'گزارش فردی'!$B$7-Main[[#This Row],[تاريخ میلادی]],0)</f>
        <v>0</v>
      </c>
      <c r="R2223" s="6">
        <f ca="1">IF(Main[[#This Row],[بدهی تسویه نشده (کیلوگرم)]]&gt;0,'گزارش فردی'!$B$7-Main[[#This Row],[تاريخ میلادی]]-'گزارش فردی'!$B$8,0)</f>
        <v>0</v>
      </c>
      <c r="S2223" s="6">
        <f ca="1">Main[[#This Row],[روز از ارسال سفارش]]*Main[[#This Row],[بدهی تسویه نشده (کیلوگرم)]]</f>
        <v>0</v>
      </c>
      <c r="T2223" s="6">
        <f ca="1">Main[[#This Row],[بدهی سررسید شده (کیلوگرم)]]*Main[[#This Row],[روز از ارسال سفارش]]</f>
        <v>0</v>
      </c>
      <c r="U2223" s="6">
        <f>-SUBTOTAL(9,INDEX(Main[مقدار (کیلوگرم)],1):Main[[#This Row],[مقدار (کیلوگرم)]])</f>
        <v>42388</v>
      </c>
      <c r="V22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3" s="6">
        <f>Main[[#This Row],[تعداد کل روزهای بدهکار (روز)]]*Main[[#This Row],[مانده در خط کل (کیلوگرم)]]</f>
        <v>42388</v>
      </c>
      <c r="X2223" s="6">
        <f ca="1">-SUBTOTAL(9,INDEX(Main[مقدار تسویه شده (کیلوگرم)],1):Main[[#This Row],[مقدار تسویه شده (کیلوگرم)]])</f>
        <v>42388</v>
      </c>
      <c r="Y2223" s="6">
        <f ca="1">IF(Main[[#This Row],[مانده در خط تسویه شده (کیلوگرم)]]&lt;&gt;0,Main[[#This Row],[تعداد کل روزهای بدهکار (روز)]],0)</f>
        <v>1</v>
      </c>
      <c r="Z2223" s="6">
        <f ca="1">Main[[#This Row],[تعداد روزهای بدهکار تسویه شده (روز)]]*Main[[#This Row],[مانده در خط تسویه شده (کیلوگرم)]]</f>
        <v>42388</v>
      </c>
      <c r="AA2223" s="6">
        <f ca="1">SUBTOTAL(9,INDEX(Main[بدهی تسویه نشده (کیلوگرم)],1):Main[[#This Row],[بدهی تسویه نشده (کیلوگرم)]])</f>
        <v>0</v>
      </c>
      <c r="AB2223" s="6">
        <f ca="1">IF(Main[[#This Row],[مانده در خط تسویه نشده (کیلوگرم)]]&lt;&gt;0,Main[[#This Row],[تعداد کل روزهای بدهکار (روز)]],0)</f>
        <v>0</v>
      </c>
      <c r="AC2223" s="6">
        <f ca="1">Main[[#This Row],[تعداد روزهای بدهکار  تسویه نشده (روز)]]*Main[[#This Row],[مانده در خط تسویه نشده (کیلوگرم)]]</f>
        <v>0</v>
      </c>
      <c r="AD2223" s="6">
        <f ca="1">SUBTOTAL(9,INDEX(Main[بدهی سررسید شده (کیلوگرم)],1):Main[[#This Row],[بدهی سررسید شده (کیلوگرم)]])</f>
        <v>0</v>
      </c>
      <c r="AE2223" s="6">
        <f ca="1">IF(Main[[#This Row],[مانده در خط سررسید شده (کیلوگرم)]]&lt;&gt;0,Main[[#This Row],[تعداد کل روزهای بدهکار (روز)]],0)</f>
        <v>0</v>
      </c>
      <c r="AF2223" s="6">
        <f ca="1">Main[[#This Row],[تعداد روزهای بدهکار سررسید شده (روز)]]*Main[[#This Row],[مانده در خط سررسید شده (کیلوگرم)]]</f>
        <v>0</v>
      </c>
    </row>
    <row r="2224" spans="1:32" hidden="1" x14ac:dyDescent="0.35">
      <c r="A2224" s="5">
        <f>ROW()-ROW(INDEX(Main[ردیف],1))+1</f>
        <v>2222</v>
      </c>
      <c r="B2224" s="31">
        <f>SUBTOTAL(2,INDEX(Main[ردیف],1):Main[[#This Row],[ردیف]])</f>
        <v>203</v>
      </c>
      <c r="C2224" s="32" t="s">
        <v>768</v>
      </c>
      <c r="D2224" s="32" t="str">
        <f>_xlfn.CONCAT("14",Main[[#This Row],[تاريخ]])</f>
        <v>1400/08/29</v>
      </c>
      <c r="E2224" s="33">
        <v>44520</v>
      </c>
      <c r="F2224" s="32">
        <v>30009</v>
      </c>
      <c r="G2224" s="5" t="str">
        <f>INDEX(customer[عنوان],MATCH(Main[[#This Row],[کد ردیابی]],customer[کد],0))</f>
        <v>شرکت ایمن تک پیشرو</v>
      </c>
      <c r="H2224">
        <v>783</v>
      </c>
      <c r="I2224" s="6">
        <f ca="1">-Main[[#This Row],[بدهی تسویه شده (کیلوگرم)]]+Main[[#This Row],[بستانکار (کیلوگرم)]]</f>
        <v>783</v>
      </c>
      <c r="J2224" s="6">
        <f>IF(Main[[#This Row],[مقدار (کیلوگرم)]]&gt;0,Main[[#This Row],[مقدار (کیلوگرم)]],0)</f>
        <v>783</v>
      </c>
      <c r="K2224" s="6">
        <f>-IF(Main[[#This Row],[مقدار (کیلوگرم)]]&lt;0,Main[[#This Row],[مقدار (کیلوگرم)]],0)</f>
        <v>0</v>
      </c>
      <c r="L22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4" s="7">
        <f>-IF(AND(Main[[#This Row],[مقدار (کیلوگرم)]]&lt;0,Main[[#This Row],[تاريخ میلادی]]&gt;44276),Main[[#This Row],[مقدار (کیلوگرم)]],0)</f>
        <v>0</v>
      </c>
      <c r="N2224" s="6">
        <f ca="1">Main[[#This Row],[بدهکار (کیلوگرم)]]-Main[[#This Row],[بدهی تسویه نشده (کیلوگرم)]]</f>
        <v>0</v>
      </c>
      <c r="O2224" s="6">
        <f ca="1">Main[[#This Row],[تفکیک]]</f>
        <v>0</v>
      </c>
      <c r="P2224" s="6">
        <f ca="1">IF(Main[[#This Row],[تاخیر از سررسید]]&gt;0,Main[[#This Row],[بدهی تسویه نشده (کیلوگرم)]],0)</f>
        <v>0</v>
      </c>
      <c r="Q2224" s="6">
        <f ca="1">IF(Main[[#This Row],[بدهی تسویه نشده (کیلوگرم)]]&gt;0,'گزارش فردی'!$B$7-Main[[#This Row],[تاريخ میلادی]],0)</f>
        <v>0</v>
      </c>
      <c r="R2224" s="6">
        <f ca="1">IF(Main[[#This Row],[بدهی تسویه نشده (کیلوگرم)]]&gt;0,'گزارش فردی'!$B$7-Main[[#This Row],[تاريخ میلادی]]-'گزارش فردی'!$B$8,0)</f>
        <v>0</v>
      </c>
      <c r="S2224" s="6">
        <f ca="1">Main[[#This Row],[روز از ارسال سفارش]]*Main[[#This Row],[بدهی تسویه نشده (کیلوگرم)]]</f>
        <v>0</v>
      </c>
      <c r="T2224" s="6">
        <f ca="1">Main[[#This Row],[بدهی سررسید شده (کیلوگرم)]]*Main[[#This Row],[روز از ارسال سفارش]]</f>
        <v>0</v>
      </c>
      <c r="U2224" s="6">
        <f>-SUBTOTAL(9,INDEX(Main[مقدار (کیلوگرم)],1):Main[[#This Row],[مقدار (کیلوگرم)]])</f>
        <v>42388</v>
      </c>
      <c r="V22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4" s="6">
        <f>Main[[#This Row],[تعداد کل روزهای بدهکار (روز)]]*Main[[#This Row],[مانده در خط کل (کیلوگرم)]]</f>
        <v>42388</v>
      </c>
      <c r="X2224" s="6">
        <f ca="1">-SUBTOTAL(9,INDEX(Main[مقدار تسویه شده (کیلوگرم)],1):Main[[#This Row],[مقدار تسویه شده (کیلوگرم)]])</f>
        <v>42388</v>
      </c>
      <c r="Y2224" s="6">
        <f ca="1">IF(Main[[#This Row],[مانده در خط تسویه شده (کیلوگرم)]]&lt;&gt;0,Main[[#This Row],[تعداد کل روزهای بدهکار (روز)]],0)</f>
        <v>1</v>
      </c>
      <c r="Z2224" s="6">
        <f ca="1">Main[[#This Row],[تعداد روزهای بدهکار تسویه شده (روز)]]*Main[[#This Row],[مانده در خط تسویه شده (کیلوگرم)]]</f>
        <v>42388</v>
      </c>
      <c r="AA2224" s="6">
        <f ca="1">SUBTOTAL(9,INDEX(Main[بدهی تسویه نشده (کیلوگرم)],1):Main[[#This Row],[بدهی تسویه نشده (کیلوگرم)]])</f>
        <v>0</v>
      </c>
      <c r="AB2224" s="6">
        <f ca="1">IF(Main[[#This Row],[مانده در خط تسویه نشده (کیلوگرم)]]&lt;&gt;0,Main[[#This Row],[تعداد کل روزهای بدهکار (روز)]],0)</f>
        <v>0</v>
      </c>
      <c r="AC2224" s="6">
        <f ca="1">Main[[#This Row],[تعداد روزهای بدهکار  تسویه نشده (روز)]]*Main[[#This Row],[مانده در خط تسویه نشده (کیلوگرم)]]</f>
        <v>0</v>
      </c>
      <c r="AD2224" s="6">
        <f ca="1">SUBTOTAL(9,INDEX(Main[بدهی سررسید شده (کیلوگرم)],1):Main[[#This Row],[بدهی سررسید شده (کیلوگرم)]])</f>
        <v>0</v>
      </c>
      <c r="AE2224" s="6">
        <f ca="1">IF(Main[[#This Row],[مانده در خط سررسید شده (کیلوگرم)]]&lt;&gt;0,Main[[#This Row],[تعداد کل روزهای بدهکار (روز)]],0)</f>
        <v>0</v>
      </c>
      <c r="AF2224" s="6">
        <f ca="1">Main[[#This Row],[تعداد روزهای بدهکار سررسید شده (روز)]]*Main[[#This Row],[مانده در خط سررسید شده (کیلوگرم)]]</f>
        <v>0</v>
      </c>
    </row>
    <row r="2225" spans="1:32" hidden="1" x14ac:dyDescent="0.35">
      <c r="A2225" s="5">
        <f>ROW()-ROW(INDEX(Main[ردیف],1))+1</f>
        <v>2223</v>
      </c>
      <c r="B2225" s="31">
        <f>SUBTOTAL(2,INDEX(Main[ردیف],1):Main[[#This Row],[ردیف]])</f>
        <v>203</v>
      </c>
      <c r="C2225" s="32" t="s">
        <v>768</v>
      </c>
      <c r="D2225" s="32" t="str">
        <f>_xlfn.CONCAT("14",Main[[#This Row],[تاريخ]])</f>
        <v>1400/08/29</v>
      </c>
      <c r="E2225" s="33">
        <v>44520</v>
      </c>
      <c r="F2225" s="32">
        <v>30009</v>
      </c>
      <c r="G2225" s="5" t="str">
        <f>INDEX(customer[عنوان],MATCH(Main[[#This Row],[کد ردیابی]],customer[کد],0))</f>
        <v>شرکت ایمن تک پیشرو</v>
      </c>
      <c r="H2225">
        <v>834</v>
      </c>
      <c r="I2225" s="6">
        <f ca="1">-Main[[#This Row],[بدهی تسویه شده (کیلوگرم)]]+Main[[#This Row],[بستانکار (کیلوگرم)]]</f>
        <v>834</v>
      </c>
      <c r="J2225" s="6">
        <f>IF(Main[[#This Row],[مقدار (کیلوگرم)]]&gt;0,Main[[#This Row],[مقدار (کیلوگرم)]],0)</f>
        <v>834</v>
      </c>
      <c r="K2225" s="6">
        <f>-IF(Main[[#This Row],[مقدار (کیلوگرم)]]&lt;0,Main[[#This Row],[مقدار (کیلوگرم)]],0)</f>
        <v>0</v>
      </c>
      <c r="L22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5" s="7">
        <f>-IF(AND(Main[[#This Row],[مقدار (کیلوگرم)]]&lt;0,Main[[#This Row],[تاريخ میلادی]]&gt;44276),Main[[#This Row],[مقدار (کیلوگرم)]],0)</f>
        <v>0</v>
      </c>
      <c r="N2225" s="6">
        <f ca="1">Main[[#This Row],[بدهکار (کیلوگرم)]]-Main[[#This Row],[بدهی تسویه نشده (کیلوگرم)]]</f>
        <v>0</v>
      </c>
      <c r="O2225" s="6">
        <f ca="1">Main[[#This Row],[تفکیک]]</f>
        <v>0</v>
      </c>
      <c r="P2225" s="6">
        <f ca="1">IF(Main[[#This Row],[تاخیر از سررسید]]&gt;0,Main[[#This Row],[بدهی تسویه نشده (کیلوگرم)]],0)</f>
        <v>0</v>
      </c>
      <c r="Q2225" s="6">
        <f ca="1">IF(Main[[#This Row],[بدهی تسویه نشده (کیلوگرم)]]&gt;0,'گزارش فردی'!$B$7-Main[[#This Row],[تاريخ میلادی]],0)</f>
        <v>0</v>
      </c>
      <c r="R2225" s="6">
        <f ca="1">IF(Main[[#This Row],[بدهی تسویه نشده (کیلوگرم)]]&gt;0,'گزارش فردی'!$B$7-Main[[#This Row],[تاريخ میلادی]]-'گزارش فردی'!$B$8,0)</f>
        <v>0</v>
      </c>
      <c r="S2225" s="6">
        <f ca="1">Main[[#This Row],[روز از ارسال سفارش]]*Main[[#This Row],[بدهی تسویه نشده (کیلوگرم)]]</f>
        <v>0</v>
      </c>
      <c r="T2225" s="6">
        <f ca="1">Main[[#This Row],[بدهی سررسید شده (کیلوگرم)]]*Main[[#This Row],[روز از ارسال سفارش]]</f>
        <v>0</v>
      </c>
      <c r="U2225" s="6">
        <f>-SUBTOTAL(9,INDEX(Main[مقدار (کیلوگرم)],1):Main[[#This Row],[مقدار (کیلوگرم)]])</f>
        <v>42388</v>
      </c>
      <c r="V22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5" s="6">
        <f>Main[[#This Row],[تعداد کل روزهای بدهکار (روز)]]*Main[[#This Row],[مانده در خط کل (کیلوگرم)]]</f>
        <v>42388</v>
      </c>
      <c r="X2225" s="6">
        <f ca="1">-SUBTOTAL(9,INDEX(Main[مقدار تسویه شده (کیلوگرم)],1):Main[[#This Row],[مقدار تسویه شده (کیلوگرم)]])</f>
        <v>42388</v>
      </c>
      <c r="Y2225" s="6">
        <f ca="1">IF(Main[[#This Row],[مانده در خط تسویه شده (کیلوگرم)]]&lt;&gt;0,Main[[#This Row],[تعداد کل روزهای بدهکار (روز)]],0)</f>
        <v>1</v>
      </c>
      <c r="Z2225" s="6">
        <f ca="1">Main[[#This Row],[تعداد روزهای بدهکار تسویه شده (روز)]]*Main[[#This Row],[مانده در خط تسویه شده (کیلوگرم)]]</f>
        <v>42388</v>
      </c>
      <c r="AA2225" s="6">
        <f ca="1">SUBTOTAL(9,INDEX(Main[بدهی تسویه نشده (کیلوگرم)],1):Main[[#This Row],[بدهی تسویه نشده (کیلوگرم)]])</f>
        <v>0</v>
      </c>
      <c r="AB2225" s="6">
        <f ca="1">IF(Main[[#This Row],[مانده در خط تسویه نشده (کیلوگرم)]]&lt;&gt;0,Main[[#This Row],[تعداد کل روزهای بدهکار (روز)]],0)</f>
        <v>0</v>
      </c>
      <c r="AC2225" s="6">
        <f ca="1">Main[[#This Row],[تعداد روزهای بدهکار  تسویه نشده (روز)]]*Main[[#This Row],[مانده در خط تسویه نشده (کیلوگرم)]]</f>
        <v>0</v>
      </c>
      <c r="AD2225" s="6">
        <f ca="1">SUBTOTAL(9,INDEX(Main[بدهی سررسید شده (کیلوگرم)],1):Main[[#This Row],[بدهی سررسید شده (کیلوگرم)]])</f>
        <v>0</v>
      </c>
      <c r="AE2225" s="6">
        <f ca="1">IF(Main[[#This Row],[مانده در خط سررسید شده (کیلوگرم)]]&lt;&gt;0,Main[[#This Row],[تعداد کل روزهای بدهکار (روز)]],0)</f>
        <v>0</v>
      </c>
      <c r="AF2225" s="6">
        <f ca="1">Main[[#This Row],[تعداد روزهای بدهکار سررسید شده (روز)]]*Main[[#This Row],[مانده در خط سررسید شده (کیلوگرم)]]</f>
        <v>0</v>
      </c>
    </row>
    <row r="2226" spans="1:32" hidden="1" x14ac:dyDescent="0.35">
      <c r="A2226" s="5">
        <f>ROW()-ROW(INDEX(Main[ردیف],1))+1</f>
        <v>2224</v>
      </c>
      <c r="B2226" s="31">
        <f>SUBTOTAL(2,INDEX(Main[ردیف],1):Main[[#This Row],[ردیف]])</f>
        <v>203</v>
      </c>
      <c r="C2226" s="32" t="s">
        <v>769</v>
      </c>
      <c r="D2226" s="32" t="str">
        <f>_xlfn.CONCAT("14",Main[[#This Row],[تاريخ]])</f>
        <v>1400/08/30</v>
      </c>
      <c r="E2226" s="33">
        <v>44521</v>
      </c>
      <c r="F2226" s="32">
        <v>30066</v>
      </c>
      <c r="G2226" s="5" t="str">
        <f>INDEX(customer[عنوان],MATCH(Main[[#This Row],[کد ردیابی]],customer[کد],0))</f>
        <v xml:space="preserve">شیر آلات بهداشتی قهرمان </v>
      </c>
      <c r="H2226">
        <v>-31</v>
      </c>
      <c r="I2226" s="6">
        <f ca="1">-Main[[#This Row],[بدهی تسویه شده (کیلوگرم)]]+Main[[#This Row],[بستانکار (کیلوگرم)]]</f>
        <v>-31</v>
      </c>
      <c r="J2226" s="6">
        <f>IF(Main[[#This Row],[مقدار (کیلوگرم)]]&gt;0,Main[[#This Row],[مقدار (کیلوگرم)]],0)</f>
        <v>0</v>
      </c>
      <c r="K2226" s="6">
        <f>-IF(Main[[#This Row],[مقدار (کیلوگرم)]]&lt;0,Main[[#This Row],[مقدار (کیلوگرم)]],0)</f>
        <v>31</v>
      </c>
      <c r="L22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6" s="7">
        <f>-IF(AND(Main[[#This Row],[مقدار (کیلوگرم)]]&lt;0,Main[[#This Row],[تاريخ میلادی]]&gt;44276),Main[[#This Row],[مقدار (کیلوگرم)]],0)</f>
        <v>31</v>
      </c>
      <c r="N2226" s="6">
        <f ca="1">Main[[#This Row],[بدهکار (کیلوگرم)]]-Main[[#This Row],[بدهی تسویه نشده (کیلوگرم)]]</f>
        <v>31</v>
      </c>
      <c r="O2226" s="6">
        <f ca="1">Main[[#This Row],[تفکیک]]</f>
        <v>0</v>
      </c>
      <c r="P2226" s="6">
        <f ca="1">IF(Main[[#This Row],[تاخیر از سررسید]]&gt;0,Main[[#This Row],[بدهی تسویه نشده (کیلوگرم)]],0)</f>
        <v>0</v>
      </c>
      <c r="Q2226" s="6">
        <f ca="1">IF(Main[[#This Row],[بدهی تسویه نشده (کیلوگرم)]]&gt;0,'گزارش فردی'!$B$7-Main[[#This Row],[تاريخ میلادی]],0)</f>
        <v>0</v>
      </c>
      <c r="R2226" s="6">
        <f ca="1">IF(Main[[#This Row],[بدهی تسویه نشده (کیلوگرم)]]&gt;0,'گزارش فردی'!$B$7-Main[[#This Row],[تاريخ میلادی]]-'گزارش فردی'!$B$8,0)</f>
        <v>0</v>
      </c>
      <c r="S2226" s="6">
        <f ca="1">Main[[#This Row],[روز از ارسال سفارش]]*Main[[#This Row],[بدهی تسویه نشده (کیلوگرم)]]</f>
        <v>0</v>
      </c>
      <c r="T2226" s="6">
        <f ca="1">Main[[#This Row],[بدهی سررسید شده (کیلوگرم)]]*Main[[#This Row],[روز از ارسال سفارش]]</f>
        <v>0</v>
      </c>
      <c r="U2226" s="6">
        <f>-SUBTOTAL(9,INDEX(Main[مقدار (کیلوگرم)],1):Main[[#This Row],[مقدار (کیلوگرم)]])</f>
        <v>42388</v>
      </c>
      <c r="V22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6" s="6">
        <f>Main[[#This Row],[تعداد کل روزهای بدهکار (روز)]]*Main[[#This Row],[مانده در خط کل (کیلوگرم)]]</f>
        <v>0</v>
      </c>
      <c r="X2226" s="6">
        <f ca="1">-SUBTOTAL(9,INDEX(Main[مقدار تسویه شده (کیلوگرم)],1):Main[[#This Row],[مقدار تسویه شده (کیلوگرم)]])</f>
        <v>42388</v>
      </c>
      <c r="Y2226" s="6">
        <f ca="1">IF(Main[[#This Row],[مانده در خط تسویه شده (کیلوگرم)]]&lt;&gt;0,Main[[#This Row],[تعداد کل روزهای بدهکار (روز)]],0)</f>
        <v>0</v>
      </c>
      <c r="Z2226" s="6">
        <f ca="1">Main[[#This Row],[تعداد روزهای بدهکار تسویه شده (روز)]]*Main[[#This Row],[مانده در خط تسویه شده (کیلوگرم)]]</f>
        <v>0</v>
      </c>
      <c r="AA2226" s="6">
        <f ca="1">SUBTOTAL(9,INDEX(Main[بدهی تسویه نشده (کیلوگرم)],1):Main[[#This Row],[بدهی تسویه نشده (کیلوگرم)]])</f>
        <v>0</v>
      </c>
      <c r="AB2226" s="6">
        <f ca="1">IF(Main[[#This Row],[مانده در خط تسویه نشده (کیلوگرم)]]&lt;&gt;0,Main[[#This Row],[تعداد کل روزهای بدهکار (روز)]],0)</f>
        <v>0</v>
      </c>
      <c r="AC2226" s="6">
        <f ca="1">Main[[#This Row],[تعداد روزهای بدهکار  تسویه نشده (روز)]]*Main[[#This Row],[مانده در خط تسویه نشده (کیلوگرم)]]</f>
        <v>0</v>
      </c>
      <c r="AD2226" s="6">
        <f ca="1">SUBTOTAL(9,INDEX(Main[بدهی سررسید شده (کیلوگرم)],1):Main[[#This Row],[بدهی سررسید شده (کیلوگرم)]])</f>
        <v>0</v>
      </c>
      <c r="AE2226" s="6">
        <f ca="1">IF(Main[[#This Row],[مانده در خط سررسید شده (کیلوگرم)]]&lt;&gt;0,Main[[#This Row],[تعداد کل روزهای بدهکار (روز)]],0)</f>
        <v>0</v>
      </c>
      <c r="AF2226" s="6">
        <f ca="1">Main[[#This Row],[تعداد روزهای بدهکار سررسید شده (روز)]]*Main[[#This Row],[مانده در خط سررسید شده (کیلوگرم)]]</f>
        <v>0</v>
      </c>
    </row>
    <row r="2227" spans="1:32" hidden="1" x14ac:dyDescent="0.35">
      <c r="A2227" s="5">
        <f>ROW()-ROW(INDEX(Main[ردیف],1))+1</f>
        <v>2225</v>
      </c>
      <c r="B2227" s="31">
        <f>SUBTOTAL(2,INDEX(Main[ردیف],1):Main[[#This Row],[ردیف]])</f>
        <v>203</v>
      </c>
      <c r="C2227" s="32" t="s">
        <v>769</v>
      </c>
      <c r="D2227" s="32" t="str">
        <f>_xlfn.CONCAT("14",Main[[#This Row],[تاريخ]])</f>
        <v>1400/08/30</v>
      </c>
      <c r="E2227" s="33">
        <v>44521</v>
      </c>
      <c r="F2227" s="32">
        <v>10026</v>
      </c>
      <c r="G2227" s="5" t="str">
        <f>INDEX(customer[عنوان],MATCH(Main[[#This Row],[کد ردیابی]],customer[کد],0))</f>
        <v xml:space="preserve">محسن فیاض بخش </v>
      </c>
      <c r="H2227">
        <v>1322</v>
      </c>
      <c r="I2227" s="6">
        <f ca="1">-Main[[#This Row],[بدهی تسویه شده (کیلوگرم)]]+Main[[#This Row],[بستانکار (کیلوگرم)]]</f>
        <v>1322</v>
      </c>
      <c r="J2227" s="6">
        <f>IF(Main[[#This Row],[مقدار (کیلوگرم)]]&gt;0,Main[[#This Row],[مقدار (کیلوگرم)]],0)</f>
        <v>1322</v>
      </c>
      <c r="K2227" s="6">
        <f>-IF(Main[[#This Row],[مقدار (کیلوگرم)]]&lt;0,Main[[#This Row],[مقدار (کیلوگرم)]],0)</f>
        <v>0</v>
      </c>
      <c r="L22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7" s="7">
        <f>-IF(AND(Main[[#This Row],[مقدار (کیلوگرم)]]&lt;0,Main[[#This Row],[تاريخ میلادی]]&gt;44276),Main[[#This Row],[مقدار (کیلوگرم)]],0)</f>
        <v>0</v>
      </c>
      <c r="N2227" s="6">
        <f ca="1">Main[[#This Row],[بدهکار (کیلوگرم)]]-Main[[#This Row],[بدهی تسویه نشده (کیلوگرم)]]</f>
        <v>0</v>
      </c>
      <c r="O2227" s="6">
        <f ca="1">Main[[#This Row],[تفکیک]]</f>
        <v>0</v>
      </c>
      <c r="P2227" s="6">
        <f ca="1">IF(Main[[#This Row],[تاخیر از سررسید]]&gt;0,Main[[#This Row],[بدهی تسویه نشده (کیلوگرم)]],0)</f>
        <v>0</v>
      </c>
      <c r="Q2227" s="6">
        <f ca="1">IF(Main[[#This Row],[بدهی تسویه نشده (کیلوگرم)]]&gt;0,'گزارش فردی'!$B$7-Main[[#This Row],[تاريخ میلادی]],0)</f>
        <v>0</v>
      </c>
      <c r="R2227" s="6">
        <f ca="1">IF(Main[[#This Row],[بدهی تسویه نشده (کیلوگرم)]]&gt;0,'گزارش فردی'!$B$7-Main[[#This Row],[تاريخ میلادی]]-'گزارش فردی'!$B$8,0)</f>
        <v>0</v>
      </c>
      <c r="S2227" s="6">
        <f ca="1">Main[[#This Row],[روز از ارسال سفارش]]*Main[[#This Row],[بدهی تسویه نشده (کیلوگرم)]]</f>
        <v>0</v>
      </c>
      <c r="T2227" s="6">
        <f ca="1">Main[[#This Row],[بدهی سررسید شده (کیلوگرم)]]*Main[[#This Row],[روز از ارسال سفارش]]</f>
        <v>0</v>
      </c>
      <c r="U2227" s="6">
        <f>-SUBTOTAL(9,INDEX(Main[مقدار (کیلوگرم)],1):Main[[#This Row],[مقدار (کیلوگرم)]])</f>
        <v>42388</v>
      </c>
      <c r="V22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7" s="6">
        <f>Main[[#This Row],[تعداد کل روزهای بدهکار (روز)]]*Main[[#This Row],[مانده در خط کل (کیلوگرم)]]</f>
        <v>0</v>
      </c>
      <c r="X2227" s="6">
        <f ca="1">-SUBTOTAL(9,INDEX(Main[مقدار تسویه شده (کیلوگرم)],1):Main[[#This Row],[مقدار تسویه شده (کیلوگرم)]])</f>
        <v>42388</v>
      </c>
      <c r="Y2227" s="6">
        <f ca="1">IF(Main[[#This Row],[مانده در خط تسویه شده (کیلوگرم)]]&lt;&gt;0,Main[[#This Row],[تعداد کل روزهای بدهکار (روز)]],0)</f>
        <v>0</v>
      </c>
      <c r="Z2227" s="6">
        <f ca="1">Main[[#This Row],[تعداد روزهای بدهکار تسویه شده (روز)]]*Main[[#This Row],[مانده در خط تسویه شده (کیلوگرم)]]</f>
        <v>0</v>
      </c>
      <c r="AA2227" s="6">
        <f ca="1">SUBTOTAL(9,INDEX(Main[بدهی تسویه نشده (کیلوگرم)],1):Main[[#This Row],[بدهی تسویه نشده (کیلوگرم)]])</f>
        <v>0</v>
      </c>
      <c r="AB2227" s="6">
        <f ca="1">IF(Main[[#This Row],[مانده در خط تسویه نشده (کیلوگرم)]]&lt;&gt;0,Main[[#This Row],[تعداد کل روزهای بدهکار (روز)]],0)</f>
        <v>0</v>
      </c>
      <c r="AC2227" s="6">
        <f ca="1">Main[[#This Row],[تعداد روزهای بدهکار  تسویه نشده (روز)]]*Main[[#This Row],[مانده در خط تسویه نشده (کیلوگرم)]]</f>
        <v>0</v>
      </c>
      <c r="AD2227" s="6">
        <f ca="1">SUBTOTAL(9,INDEX(Main[بدهی سررسید شده (کیلوگرم)],1):Main[[#This Row],[بدهی سررسید شده (کیلوگرم)]])</f>
        <v>0</v>
      </c>
      <c r="AE2227" s="6">
        <f ca="1">IF(Main[[#This Row],[مانده در خط سررسید شده (کیلوگرم)]]&lt;&gt;0,Main[[#This Row],[تعداد کل روزهای بدهکار (روز)]],0)</f>
        <v>0</v>
      </c>
      <c r="AF2227" s="6">
        <f ca="1">Main[[#This Row],[تعداد روزهای بدهکار سررسید شده (روز)]]*Main[[#This Row],[مانده در خط سررسید شده (کیلوگرم)]]</f>
        <v>0</v>
      </c>
    </row>
    <row r="2228" spans="1:32" hidden="1" x14ac:dyDescent="0.35">
      <c r="A2228" s="5">
        <f>ROW()-ROW(INDEX(Main[ردیف],1))+1</f>
        <v>2226</v>
      </c>
      <c r="B2228" s="31">
        <f>SUBTOTAL(2,INDEX(Main[ردیف],1):Main[[#This Row],[ردیف]])</f>
        <v>203</v>
      </c>
      <c r="C2228" s="32" t="s">
        <v>769</v>
      </c>
      <c r="D2228" s="32" t="str">
        <f>_xlfn.CONCAT("14",Main[[#This Row],[تاريخ]])</f>
        <v>1400/08/30</v>
      </c>
      <c r="E2228" s="33">
        <v>44521</v>
      </c>
      <c r="F2228" s="32">
        <v>50016</v>
      </c>
      <c r="G2228" s="5" t="str">
        <f>INDEX(customer[عنوان],MATCH(Main[[#This Row],[کد ردیابی]],customer[کد],0))</f>
        <v xml:space="preserve">مهدی یوسفی  </v>
      </c>
      <c r="H2228">
        <v>-5202</v>
      </c>
      <c r="I2228" s="6">
        <f ca="1">-Main[[#This Row],[بدهی تسویه شده (کیلوگرم)]]+Main[[#This Row],[بستانکار (کیلوگرم)]]</f>
        <v>-5202</v>
      </c>
      <c r="J2228" s="6">
        <f>IF(Main[[#This Row],[مقدار (کیلوگرم)]]&gt;0,Main[[#This Row],[مقدار (کیلوگرم)]],0)</f>
        <v>0</v>
      </c>
      <c r="K2228" s="6">
        <f>-IF(Main[[#This Row],[مقدار (کیلوگرم)]]&lt;0,Main[[#This Row],[مقدار (کیلوگرم)]],0)</f>
        <v>5202</v>
      </c>
      <c r="L22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8" s="7">
        <f>-IF(AND(Main[[#This Row],[مقدار (کیلوگرم)]]&lt;0,Main[[#This Row],[تاريخ میلادی]]&gt;44276),Main[[#This Row],[مقدار (کیلوگرم)]],0)</f>
        <v>5202</v>
      </c>
      <c r="N2228" s="6">
        <f ca="1">Main[[#This Row],[بدهکار (کیلوگرم)]]-Main[[#This Row],[بدهی تسویه نشده (کیلوگرم)]]</f>
        <v>5202</v>
      </c>
      <c r="O2228" s="6">
        <f ca="1">Main[[#This Row],[تفکیک]]</f>
        <v>0</v>
      </c>
      <c r="P2228" s="6">
        <f ca="1">IF(Main[[#This Row],[تاخیر از سررسید]]&gt;0,Main[[#This Row],[بدهی تسویه نشده (کیلوگرم)]],0)</f>
        <v>0</v>
      </c>
      <c r="Q2228" s="6">
        <f ca="1">IF(Main[[#This Row],[بدهی تسویه نشده (کیلوگرم)]]&gt;0,'گزارش فردی'!$B$7-Main[[#This Row],[تاريخ میلادی]],0)</f>
        <v>0</v>
      </c>
      <c r="R2228" s="6">
        <f ca="1">IF(Main[[#This Row],[بدهی تسویه نشده (کیلوگرم)]]&gt;0,'گزارش فردی'!$B$7-Main[[#This Row],[تاريخ میلادی]]-'گزارش فردی'!$B$8,0)</f>
        <v>0</v>
      </c>
      <c r="S2228" s="6">
        <f ca="1">Main[[#This Row],[روز از ارسال سفارش]]*Main[[#This Row],[بدهی تسویه نشده (کیلوگرم)]]</f>
        <v>0</v>
      </c>
      <c r="T2228" s="6">
        <f ca="1">Main[[#This Row],[بدهی سررسید شده (کیلوگرم)]]*Main[[#This Row],[روز از ارسال سفارش]]</f>
        <v>0</v>
      </c>
      <c r="U2228" s="6">
        <f>-SUBTOTAL(9,INDEX(Main[مقدار (کیلوگرم)],1):Main[[#This Row],[مقدار (کیلوگرم)]])</f>
        <v>42388</v>
      </c>
      <c r="V22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8" s="6">
        <f>Main[[#This Row],[تعداد کل روزهای بدهکار (روز)]]*Main[[#This Row],[مانده در خط کل (کیلوگرم)]]</f>
        <v>0</v>
      </c>
      <c r="X2228" s="6">
        <f ca="1">-SUBTOTAL(9,INDEX(Main[مقدار تسویه شده (کیلوگرم)],1):Main[[#This Row],[مقدار تسویه شده (کیلوگرم)]])</f>
        <v>42388</v>
      </c>
      <c r="Y2228" s="6">
        <f ca="1">IF(Main[[#This Row],[مانده در خط تسویه شده (کیلوگرم)]]&lt;&gt;0,Main[[#This Row],[تعداد کل روزهای بدهکار (روز)]],0)</f>
        <v>0</v>
      </c>
      <c r="Z2228" s="6">
        <f ca="1">Main[[#This Row],[تعداد روزهای بدهکار تسویه شده (روز)]]*Main[[#This Row],[مانده در خط تسویه شده (کیلوگرم)]]</f>
        <v>0</v>
      </c>
      <c r="AA2228" s="6">
        <f ca="1">SUBTOTAL(9,INDEX(Main[بدهی تسویه نشده (کیلوگرم)],1):Main[[#This Row],[بدهی تسویه نشده (کیلوگرم)]])</f>
        <v>0</v>
      </c>
      <c r="AB2228" s="6">
        <f ca="1">IF(Main[[#This Row],[مانده در خط تسویه نشده (کیلوگرم)]]&lt;&gt;0,Main[[#This Row],[تعداد کل روزهای بدهکار (روز)]],0)</f>
        <v>0</v>
      </c>
      <c r="AC2228" s="6">
        <f ca="1">Main[[#This Row],[تعداد روزهای بدهکار  تسویه نشده (روز)]]*Main[[#This Row],[مانده در خط تسویه نشده (کیلوگرم)]]</f>
        <v>0</v>
      </c>
      <c r="AD2228" s="6">
        <f ca="1">SUBTOTAL(9,INDEX(Main[بدهی سررسید شده (کیلوگرم)],1):Main[[#This Row],[بدهی سررسید شده (کیلوگرم)]])</f>
        <v>0</v>
      </c>
      <c r="AE2228" s="6">
        <f ca="1">IF(Main[[#This Row],[مانده در خط سررسید شده (کیلوگرم)]]&lt;&gt;0,Main[[#This Row],[تعداد کل روزهای بدهکار (روز)]],0)</f>
        <v>0</v>
      </c>
      <c r="AF2228" s="6">
        <f ca="1">Main[[#This Row],[تعداد روزهای بدهکار سررسید شده (روز)]]*Main[[#This Row],[مانده در خط سررسید شده (کیلوگرم)]]</f>
        <v>0</v>
      </c>
    </row>
    <row r="2229" spans="1:32" hidden="1" x14ac:dyDescent="0.35">
      <c r="A2229" s="5">
        <f>ROW()-ROW(INDEX(Main[ردیف],1))+1</f>
        <v>2227</v>
      </c>
      <c r="B2229" s="31">
        <f>SUBTOTAL(2,INDEX(Main[ردیف],1):Main[[#This Row],[ردیف]])</f>
        <v>203</v>
      </c>
      <c r="C2229" s="32" t="s">
        <v>769</v>
      </c>
      <c r="D2229" s="32" t="str">
        <f>_xlfn.CONCAT("14",Main[[#This Row],[تاريخ]])</f>
        <v>1400/08/30</v>
      </c>
      <c r="E2229" s="33">
        <v>44521</v>
      </c>
      <c r="F2229" s="32">
        <v>30009</v>
      </c>
      <c r="G2229" s="5" t="str">
        <f>INDEX(customer[عنوان],MATCH(Main[[#This Row],[کد ردیابی]],customer[کد],0))</f>
        <v>شرکت ایمن تک پیشرو</v>
      </c>
      <c r="H2229">
        <v>1968</v>
      </c>
      <c r="I2229" s="6">
        <f ca="1">-Main[[#This Row],[بدهی تسویه شده (کیلوگرم)]]+Main[[#This Row],[بستانکار (کیلوگرم)]]</f>
        <v>1968</v>
      </c>
      <c r="J2229" s="6">
        <f>IF(Main[[#This Row],[مقدار (کیلوگرم)]]&gt;0,Main[[#This Row],[مقدار (کیلوگرم)]],0)</f>
        <v>1968</v>
      </c>
      <c r="K2229" s="6">
        <f>-IF(Main[[#This Row],[مقدار (کیلوگرم)]]&lt;0,Main[[#This Row],[مقدار (کیلوگرم)]],0)</f>
        <v>0</v>
      </c>
      <c r="L22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9" s="7">
        <f>-IF(AND(Main[[#This Row],[مقدار (کیلوگرم)]]&lt;0,Main[[#This Row],[تاريخ میلادی]]&gt;44276),Main[[#This Row],[مقدار (کیلوگرم)]],0)</f>
        <v>0</v>
      </c>
      <c r="N2229" s="6">
        <f ca="1">Main[[#This Row],[بدهکار (کیلوگرم)]]-Main[[#This Row],[بدهی تسویه نشده (کیلوگرم)]]</f>
        <v>0</v>
      </c>
      <c r="O2229" s="6">
        <f ca="1">Main[[#This Row],[تفکیک]]</f>
        <v>0</v>
      </c>
      <c r="P2229" s="6">
        <f ca="1">IF(Main[[#This Row],[تاخیر از سررسید]]&gt;0,Main[[#This Row],[بدهی تسویه نشده (کیلوگرم)]],0)</f>
        <v>0</v>
      </c>
      <c r="Q2229" s="6">
        <f ca="1">IF(Main[[#This Row],[بدهی تسویه نشده (کیلوگرم)]]&gt;0,'گزارش فردی'!$B$7-Main[[#This Row],[تاريخ میلادی]],0)</f>
        <v>0</v>
      </c>
      <c r="R2229" s="6">
        <f ca="1">IF(Main[[#This Row],[بدهی تسویه نشده (کیلوگرم)]]&gt;0,'گزارش فردی'!$B$7-Main[[#This Row],[تاريخ میلادی]]-'گزارش فردی'!$B$8,0)</f>
        <v>0</v>
      </c>
      <c r="S2229" s="6">
        <f ca="1">Main[[#This Row],[روز از ارسال سفارش]]*Main[[#This Row],[بدهی تسویه نشده (کیلوگرم)]]</f>
        <v>0</v>
      </c>
      <c r="T2229" s="6">
        <f ca="1">Main[[#This Row],[بدهی سررسید شده (کیلوگرم)]]*Main[[#This Row],[روز از ارسال سفارش]]</f>
        <v>0</v>
      </c>
      <c r="U2229" s="6">
        <f>-SUBTOTAL(9,INDEX(Main[مقدار (کیلوگرم)],1):Main[[#This Row],[مقدار (کیلوگرم)]])</f>
        <v>42388</v>
      </c>
      <c r="V22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9" s="6">
        <f>Main[[#This Row],[تعداد کل روزهای بدهکار (روز)]]*Main[[#This Row],[مانده در خط کل (کیلوگرم)]]</f>
        <v>0</v>
      </c>
      <c r="X2229" s="6">
        <f ca="1">-SUBTOTAL(9,INDEX(Main[مقدار تسویه شده (کیلوگرم)],1):Main[[#This Row],[مقدار تسویه شده (کیلوگرم)]])</f>
        <v>42388</v>
      </c>
      <c r="Y2229" s="6">
        <f ca="1">IF(Main[[#This Row],[مانده در خط تسویه شده (کیلوگرم)]]&lt;&gt;0,Main[[#This Row],[تعداد کل روزهای بدهکار (روز)]],0)</f>
        <v>0</v>
      </c>
      <c r="Z2229" s="6">
        <f ca="1">Main[[#This Row],[تعداد روزهای بدهکار تسویه شده (روز)]]*Main[[#This Row],[مانده در خط تسویه شده (کیلوگرم)]]</f>
        <v>0</v>
      </c>
      <c r="AA2229" s="6">
        <f ca="1">SUBTOTAL(9,INDEX(Main[بدهی تسویه نشده (کیلوگرم)],1):Main[[#This Row],[بدهی تسویه نشده (کیلوگرم)]])</f>
        <v>0</v>
      </c>
      <c r="AB2229" s="6">
        <f ca="1">IF(Main[[#This Row],[مانده در خط تسویه نشده (کیلوگرم)]]&lt;&gt;0,Main[[#This Row],[تعداد کل روزهای بدهکار (روز)]],0)</f>
        <v>0</v>
      </c>
      <c r="AC2229" s="6">
        <f ca="1">Main[[#This Row],[تعداد روزهای بدهکار  تسویه نشده (روز)]]*Main[[#This Row],[مانده در خط تسویه نشده (کیلوگرم)]]</f>
        <v>0</v>
      </c>
      <c r="AD2229" s="6">
        <f ca="1">SUBTOTAL(9,INDEX(Main[بدهی سررسید شده (کیلوگرم)],1):Main[[#This Row],[بدهی سررسید شده (کیلوگرم)]])</f>
        <v>0</v>
      </c>
      <c r="AE2229" s="6">
        <f ca="1">IF(Main[[#This Row],[مانده در خط سررسید شده (کیلوگرم)]]&lt;&gt;0,Main[[#This Row],[تعداد کل روزهای بدهکار (روز)]],0)</f>
        <v>0</v>
      </c>
      <c r="AF2229" s="6">
        <f ca="1">Main[[#This Row],[تعداد روزهای بدهکار سررسید شده (روز)]]*Main[[#This Row],[مانده در خط سررسید شده (کیلوگرم)]]</f>
        <v>0</v>
      </c>
    </row>
    <row r="2230" spans="1:32" hidden="1" x14ac:dyDescent="0.35">
      <c r="A2230" s="5">
        <f>ROW()-ROW(INDEX(Main[ردیف],1))+1</f>
        <v>2228</v>
      </c>
      <c r="B2230" s="31">
        <f>SUBTOTAL(2,INDEX(Main[ردیف],1):Main[[#This Row],[ردیف]])</f>
        <v>203</v>
      </c>
      <c r="C2230" s="32" t="s">
        <v>769</v>
      </c>
      <c r="D2230" s="32" t="str">
        <f>_xlfn.CONCAT("14",Main[[#This Row],[تاريخ]])</f>
        <v>1400/08/30</v>
      </c>
      <c r="E2230" s="33">
        <v>44521</v>
      </c>
      <c r="F2230" s="32">
        <v>30140</v>
      </c>
      <c r="G2230" s="5" t="str">
        <f>INDEX(customer[عنوان],MATCH(Main[[#This Row],[کد ردیابی]],customer[کد],0))</f>
        <v>شرکت سیتکو</v>
      </c>
      <c r="H2230">
        <v>-869</v>
      </c>
      <c r="I2230" s="6">
        <f ca="1">-Main[[#This Row],[بدهی تسویه شده (کیلوگرم)]]+Main[[#This Row],[بستانکار (کیلوگرم)]]</f>
        <v>-869</v>
      </c>
      <c r="J2230" s="6">
        <f>IF(Main[[#This Row],[مقدار (کیلوگرم)]]&gt;0,Main[[#This Row],[مقدار (کیلوگرم)]],0)</f>
        <v>0</v>
      </c>
      <c r="K2230" s="6">
        <f>-IF(Main[[#This Row],[مقدار (کیلوگرم)]]&lt;0,Main[[#This Row],[مقدار (کیلوگرم)]],0)</f>
        <v>869</v>
      </c>
      <c r="L22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0" s="7">
        <f>-IF(AND(Main[[#This Row],[مقدار (کیلوگرم)]]&lt;0,Main[[#This Row],[تاريخ میلادی]]&gt;44276),Main[[#This Row],[مقدار (کیلوگرم)]],0)</f>
        <v>869</v>
      </c>
      <c r="N2230" s="6">
        <f ca="1">Main[[#This Row],[بدهکار (کیلوگرم)]]-Main[[#This Row],[بدهی تسویه نشده (کیلوگرم)]]</f>
        <v>869</v>
      </c>
      <c r="O2230" s="6">
        <f ca="1">Main[[#This Row],[تفکیک]]</f>
        <v>0</v>
      </c>
      <c r="P2230" s="6">
        <f ca="1">IF(Main[[#This Row],[تاخیر از سررسید]]&gt;0,Main[[#This Row],[بدهی تسویه نشده (کیلوگرم)]],0)</f>
        <v>0</v>
      </c>
      <c r="Q2230" s="6">
        <f ca="1">IF(Main[[#This Row],[بدهی تسویه نشده (کیلوگرم)]]&gt;0,'گزارش فردی'!$B$7-Main[[#This Row],[تاريخ میلادی]],0)</f>
        <v>0</v>
      </c>
      <c r="R2230" s="6">
        <f ca="1">IF(Main[[#This Row],[بدهی تسویه نشده (کیلوگرم)]]&gt;0,'گزارش فردی'!$B$7-Main[[#This Row],[تاريخ میلادی]]-'گزارش فردی'!$B$8,0)</f>
        <v>0</v>
      </c>
      <c r="S2230" s="6">
        <f ca="1">Main[[#This Row],[روز از ارسال سفارش]]*Main[[#This Row],[بدهی تسویه نشده (کیلوگرم)]]</f>
        <v>0</v>
      </c>
      <c r="T2230" s="6">
        <f ca="1">Main[[#This Row],[بدهی سررسید شده (کیلوگرم)]]*Main[[#This Row],[روز از ارسال سفارش]]</f>
        <v>0</v>
      </c>
      <c r="U2230" s="6">
        <f>-SUBTOTAL(9,INDEX(Main[مقدار (کیلوگرم)],1):Main[[#This Row],[مقدار (کیلوگرم)]])</f>
        <v>42388</v>
      </c>
      <c r="V22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0" s="6">
        <f>Main[[#This Row],[تعداد کل روزهای بدهکار (روز)]]*Main[[#This Row],[مانده در خط کل (کیلوگرم)]]</f>
        <v>0</v>
      </c>
      <c r="X2230" s="6">
        <f ca="1">-SUBTOTAL(9,INDEX(Main[مقدار تسویه شده (کیلوگرم)],1):Main[[#This Row],[مقدار تسویه شده (کیلوگرم)]])</f>
        <v>42388</v>
      </c>
      <c r="Y2230" s="6">
        <f ca="1">IF(Main[[#This Row],[مانده در خط تسویه شده (کیلوگرم)]]&lt;&gt;0,Main[[#This Row],[تعداد کل روزهای بدهکار (روز)]],0)</f>
        <v>0</v>
      </c>
      <c r="Z2230" s="6">
        <f ca="1">Main[[#This Row],[تعداد روزهای بدهکار تسویه شده (روز)]]*Main[[#This Row],[مانده در خط تسویه شده (کیلوگرم)]]</f>
        <v>0</v>
      </c>
      <c r="AA2230" s="6">
        <f ca="1">SUBTOTAL(9,INDEX(Main[بدهی تسویه نشده (کیلوگرم)],1):Main[[#This Row],[بدهی تسویه نشده (کیلوگرم)]])</f>
        <v>0</v>
      </c>
      <c r="AB2230" s="6">
        <f ca="1">IF(Main[[#This Row],[مانده در خط تسویه نشده (کیلوگرم)]]&lt;&gt;0,Main[[#This Row],[تعداد کل روزهای بدهکار (روز)]],0)</f>
        <v>0</v>
      </c>
      <c r="AC2230" s="6">
        <f ca="1">Main[[#This Row],[تعداد روزهای بدهکار  تسویه نشده (روز)]]*Main[[#This Row],[مانده در خط تسویه نشده (کیلوگرم)]]</f>
        <v>0</v>
      </c>
      <c r="AD2230" s="6">
        <f ca="1">SUBTOTAL(9,INDEX(Main[بدهی سررسید شده (کیلوگرم)],1):Main[[#This Row],[بدهی سررسید شده (کیلوگرم)]])</f>
        <v>0</v>
      </c>
      <c r="AE2230" s="6">
        <f ca="1">IF(Main[[#This Row],[مانده در خط سررسید شده (کیلوگرم)]]&lt;&gt;0,Main[[#This Row],[تعداد کل روزهای بدهکار (روز)]],0)</f>
        <v>0</v>
      </c>
      <c r="AF2230" s="6">
        <f ca="1">Main[[#This Row],[تعداد روزهای بدهکار سررسید شده (روز)]]*Main[[#This Row],[مانده در خط سررسید شده (کیلوگرم)]]</f>
        <v>0</v>
      </c>
    </row>
    <row r="2231" spans="1:32" hidden="1" x14ac:dyDescent="0.35">
      <c r="A2231" s="5">
        <f>ROW()-ROW(INDEX(Main[ردیف],1))+1</f>
        <v>2229</v>
      </c>
      <c r="B2231" s="31">
        <f>SUBTOTAL(2,INDEX(Main[ردیف],1):Main[[#This Row],[ردیف]])</f>
        <v>203</v>
      </c>
      <c r="C2231" s="32" t="s">
        <v>769</v>
      </c>
      <c r="D2231" s="32" t="str">
        <f>_xlfn.CONCAT("14",Main[[#This Row],[تاريخ]])</f>
        <v>1400/08/30</v>
      </c>
      <c r="E2231" s="33">
        <v>44521</v>
      </c>
      <c r="F2231" s="32">
        <v>30004</v>
      </c>
      <c r="G2231" s="5" t="str">
        <f>INDEX(customer[عنوان],MATCH(Main[[#This Row],[کد ردیابی]],customer[کد],0))</f>
        <v>تولیدی صنعتی صفاشیر پارس</v>
      </c>
      <c r="H2231">
        <v>1630</v>
      </c>
      <c r="I2231" s="6">
        <f ca="1">-Main[[#This Row],[بدهی تسویه شده (کیلوگرم)]]+Main[[#This Row],[بستانکار (کیلوگرم)]]</f>
        <v>1630</v>
      </c>
      <c r="J2231" s="6">
        <f>IF(Main[[#This Row],[مقدار (کیلوگرم)]]&gt;0,Main[[#This Row],[مقدار (کیلوگرم)]],0)</f>
        <v>1630</v>
      </c>
      <c r="K2231" s="6">
        <f>-IF(Main[[#This Row],[مقدار (کیلوگرم)]]&lt;0,Main[[#This Row],[مقدار (کیلوگرم)]],0)</f>
        <v>0</v>
      </c>
      <c r="L22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1" s="7">
        <f>-IF(AND(Main[[#This Row],[مقدار (کیلوگرم)]]&lt;0,Main[[#This Row],[تاريخ میلادی]]&gt;44276),Main[[#This Row],[مقدار (کیلوگرم)]],0)</f>
        <v>0</v>
      </c>
      <c r="N2231" s="6">
        <f ca="1">Main[[#This Row],[بدهکار (کیلوگرم)]]-Main[[#This Row],[بدهی تسویه نشده (کیلوگرم)]]</f>
        <v>0</v>
      </c>
      <c r="O2231" s="6">
        <f ca="1">Main[[#This Row],[تفکیک]]</f>
        <v>0</v>
      </c>
      <c r="P2231" s="6">
        <f ca="1">IF(Main[[#This Row],[تاخیر از سررسید]]&gt;0,Main[[#This Row],[بدهی تسویه نشده (کیلوگرم)]],0)</f>
        <v>0</v>
      </c>
      <c r="Q2231" s="6">
        <f ca="1">IF(Main[[#This Row],[بدهی تسویه نشده (کیلوگرم)]]&gt;0,'گزارش فردی'!$B$7-Main[[#This Row],[تاريخ میلادی]],0)</f>
        <v>0</v>
      </c>
      <c r="R2231" s="6">
        <f ca="1">IF(Main[[#This Row],[بدهی تسویه نشده (کیلوگرم)]]&gt;0,'گزارش فردی'!$B$7-Main[[#This Row],[تاريخ میلادی]]-'گزارش فردی'!$B$8,0)</f>
        <v>0</v>
      </c>
      <c r="S2231" s="6">
        <f ca="1">Main[[#This Row],[روز از ارسال سفارش]]*Main[[#This Row],[بدهی تسویه نشده (کیلوگرم)]]</f>
        <v>0</v>
      </c>
      <c r="T2231" s="6">
        <f ca="1">Main[[#This Row],[بدهی سررسید شده (کیلوگرم)]]*Main[[#This Row],[روز از ارسال سفارش]]</f>
        <v>0</v>
      </c>
      <c r="U2231" s="6">
        <f>-SUBTOTAL(9,INDEX(Main[مقدار (کیلوگرم)],1):Main[[#This Row],[مقدار (کیلوگرم)]])</f>
        <v>42388</v>
      </c>
      <c r="V22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1" s="6">
        <f>Main[[#This Row],[تعداد کل روزهای بدهکار (روز)]]*Main[[#This Row],[مانده در خط کل (کیلوگرم)]]</f>
        <v>0</v>
      </c>
      <c r="X2231" s="6">
        <f ca="1">-SUBTOTAL(9,INDEX(Main[مقدار تسویه شده (کیلوگرم)],1):Main[[#This Row],[مقدار تسویه شده (کیلوگرم)]])</f>
        <v>42388</v>
      </c>
      <c r="Y2231" s="6">
        <f ca="1">IF(Main[[#This Row],[مانده در خط تسویه شده (کیلوگرم)]]&lt;&gt;0,Main[[#This Row],[تعداد کل روزهای بدهکار (روز)]],0)</f>
        <v>0</v>
      </c>
      <c r="Z2231" s="6">
        <f ca="1">Main[[#This Row],[تعداد روزهای بدهکار تسویه شده (روز)]]*Main[[#This Row],[مانده در خط تسویه شده (کیلوگرم)]]</f>
        <v>0</v>
      </c>
      <c r="AA2231" s="6">
        <f ca="1">SUBTOTAL(9,INDEX(Main[بدهی تسویه نشده (کیلوگرم)],1):Main[[#This Row],[بدهی تسویه نشده (کیلوگرم)]])</f>
        <v>0</v>
      </c>
      <c r="AB2231" s="6">
        <f ca="1">IF(Main[[#This Row],[مانده در خط تسویه نشده (کیلوگرم)]]&lt;&gt;0,Main[[#This Row],[تعداد کل روزهای بدهکار (روز)]],0)</f>
        <v>0</v>
      </c>
      <c r="AC2231" s="6">
        <f ca="1">Main[[#This Row],[تعداد روزهای بدهکار  تسویه نشده (روز)]]*Main[[#This Row],[مانده در خط تسویه نشده (کیلوگرم)]]</f>
        <v>0</v>
      </c>
      <c r="AD2231" s="6">
        <f ca="1">SUBTOTAL(9,INDEX(Main[بدهی سررسید شده (کیلوگرم)],1):Main[[#This Row],[بدهی سررسید شده (کیلوگرم)]])</f>
        <v>0</v>
      </c>
      <c r="AE2231" s="6">
        <f ca="1">IF(Main[[#This Row],[مانده در خط سررسید شده (کیلوگرم)]]&lt;&gt;0,Main[[#This Row],[تعداد کل روزهای بدهکار (روز)]],0)</f>
        <v>0</v>
      </c>
      <c r="AF2231" s="6">
        <f ca="1">Main[[#This Row],[تعداد روزهای بدهکار سررسید شده (روز)]]*Main[[#This Row],[مانده در خط سررسید شده (کیلوگرم)]]</f>
        <v>0</v>
      </c>
    </row>
    <row r="2232" spans="1:32" hidden="1" x14ac:dyDescent="0.35">
      <c r="A2232" s="5">
        <f>ROW()-ROW(INDEX(Main[ردیف],1))+1</f>
        <v>2230</v>
      </c>
      <c r="B2232" s="31">
        <f>SUBTOTAL(2,INDEX(Main[ردیف],1):Main[[#This Row],[ردیف]])</f>
        <v>203</v>
      </c>
      <c r="C2232" s="32" t="s">
        <v>769</v>
      </c>
      <c r="D2232" s="32" t="str">
        <f>_xlfn.CONCAT("14",Main[[#This Row],[تاريخ]])</f>
        <v>1400/08/30</v>
      </c>
      <c r="E2232" s="33">
        <v>44521</v>
      </c>
      <c r="F2232" s="32">
        <v>30026</v>
      </c>
      <c r="G2232" s="5" t="str">
        <f>INDEX(customer[عنوان],MATCH(Main[[#This Row],[کد ردیابی]],customer[کد],0))</f>
        <v>آبکامه</v>
      </c>
      <c r="H2232">
        <v>-1428</v>
      </c>
      <c r="I2232" s="6">
        <f ca="1">-Main[[#This Row],[بدهی تسویه شده (کیلوگرم)]]+Main[[#This Row],[بستانکار (کیلوگرم)]]</f>
        <v>-1428</v>
      </c>
      <c r="J2232" s="6">
        <f>IF(Main[[#This Row],[مقدار (کیلوگرم)]]&gt;0,Main[[#This Row],[مقدار (کیلوگرم)]],0)</f>
        <v>0</v>
      </c>
      <c r="K2232" s="6">
        <f>-IF(Main[[#This Row],[مقدار (کیلوگرم)]]&lt;0,Main[[#This Row],[مقدار (کیلوگرم)]],0)</f>
        <v>1428</v>
      </c>
      <c r="L22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2" s="7">
        <f>-IF(AND(Main[[#This Row],[مقدار (کیلوگرم)]]&lt;0,Main[[#This Row],[تاريخ میلادی]]&gt;44276),Main[[#This Row],[مقدار (کیلوگرم)]],0)</f>
        <v>1428</v>
      </c>
      <c r="N2232" s="6">
        <f ca="1">Main[[#This Row],[بدهکار (کیلوگرم)]]-Main[[#This Row],[بدهی تسویه نشده (کیلوگرم)]]</f>
        <v>1428</v>
      </c>
      <c r="O2232" s="6">
        <f ca="1">Main[[#This Row],[تفکیک]]</f>
        <v>0</v>
      </c>
      <c r="P2232" s="6">
        <f ca="1">IF(Main[[#This Row],[تاخیر از سررسید]]&gt;0,Main[[#This Row],[بدهی تسویه نشده (کیلوگرم)]],0)</f>
        <v>0</v>
      </c>
      <c r="Q2232" s="6">
        <f ca="1">IF(Main[[#This Row],[بدهی تسویه نشده (کیلوگرم)]]&gt;0,'گزارش فردی'!$B$7-Main[[#This Row],[تاريخ میلادی]],0)</f>
        <v>0</v>
      </c>
      <c r="R2232" s="6">
        <f ca="1">IF(Main[[#This Row],[بدهی تسویه نشده (کیلوگرم)]]&gt;0,'گزارش فردی'!$B$7-Main[[#This Row],[تاريخ میلادی]]-'گزارش فردی'!$B$8,0)</f>
        <v>0</v>
      </c>
      <c r="S2232" s="6">
        <f ca="1">Main[[#This Row],[روز از ارسال سفارش]]*Main[[#This Row],[بدهی تسویه نشده (کیلوگرم)]]</f>
        <v>0</v>
      </c>
      <c r="T2232" s="6">
        <f ca="1">Main[[#This Row],[بدهی سررسید شده (کیلوگرم)]]*Main[[#This Row],[روز از ارسال سفارش]]</f>
        <v>0</v>
      </c>
      <c r="U2232" s="6">
        <f>-SUBTOTAL(9,INDEX(Main[مقدار (کیلوگرم)],1):Main[[#This Row],[مقدار (کیلوگرم)]])</f>
        <v>42388</v>
      </c>
      <c r="V22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2" s="6">
        <f>Main[[#This Row],[تعداد کل روزهای بدهکار (روز)]]*Main[[#This Row],[مانده در خط کل (کیلوگرم)]]</f>
        <v>0</v>
      </c>
      <c r="X2232" s="6">
        <f ca="1">-SUBTOTAL(9,INDEX(Main[مقدار تسویه شده (کیلوگرم)],1):Main[[#This Row],[مقدار تسویه شده (کیلوگرم)]])</f>
        <v>42388</v>
      </c>
      <c r="Y2232" s="6">
        <f ca="1">IF(Main[[#This Row],[مانده در خط تسویه شده (کیلوگرم)]]&lt;&gt;0,Main[[#This Row],[تعداد کل روزهای بدهکار (روز)]],0)</f>
        <v>0</v>
      </c>
      <c r="Z2232" s="6">
        <f ca="1">Main[[#This Row],[تعداد روزهای بدهکار تسویه شده (روز)]]*Main[[#This Row],[مانده در خط تسویه شده (کیلوگرم)]]</f>
        <v>0</v>
      </c>
      <c r="AA2232" s="6">
        <f ca="1">SUBTOTAL(9,INDEX(Main[بدهی تسویه نشده (کیلوگرم)],1):Main[[#This Row],[بدهی تسویه نشده (کیلوگرم)]])</f>
        <v>0</v>
      </c>
      <c r="AB2232" s="6">
        <f ca="1">IF(Main[[#This Row],[مانده در خط تسویه نشده (کیلوگرم)]]&lt;&gt;0,Main[[#This Row],[تعداد کل روزهای بدهکار (روز)]],0)</f>
        <v>0</v>
      </c>
      <c r="AC2232" s="6">
        <f ca="1">Main[[#This Row],[تعداد روزهای بدهکار  تسویه نشده (روز)]]*Main[[#This Row],[مانده در خط تسویه نشده (کیلوگرم)]]</f>
        <v>0</v>
      </c>
      <c r="AD2232" s="6">
        <f ca="1">SUBTOTAL(9,INDEX(Main[بدهی سررسید شده (کیلوگرم)],1):Main[[#This Row],[بدهی سررسید شده (کیلوگرم)]])</f>
        <v>0</v>
      </c>
      <c r="AE2232" s="6">
        <f ca="1">IF(Main[[#This Row],[مانده در خط سررسید شده (کیلوگرم)]]&lt;&gt;0,Main[[#This Row],[تعداد کل روزهای بدهکار (روز)]],0)</f>
        <v>0</v>
      </c>
      <c r="AF2232" s="6">
        <f ca="1">Main[[#This Row],[تعداد روزهای بدهکار سررسید شده (روز)]]*Main[[#This Row],[مانده در خط سررسید شده (کیلوگرم)]]</f>
        <v>0</v>
      </c>
    </row>
    <row r="2233" spans="1:32" hidden="1" x14ac:dyDescent="0.35">
      <c r="A2233" s="5">
        <f>ROW()-ROW(INDEX(Main[ردیف],1))+1</f>
        <v>2231</v>
      </c>
      <c r="B2233" s="31">
        <f>SUBTOTAL(2,INDEX(Main[ردیف],1):Main[[#This Row],[ردیف]])</f>
        <v>203</v>
      </c>
      <c r="C2233" s="32" t="s">
        <v>769</v>
      </c>
      <c r="D2233" s="32" t="str">
        <f>_xlfn.CONCAT("14",Main[[#This Row],[تاريخ]])</f>
        <v>1400/08/30</v>
      </c>
      <c r="E2233" s="33">
        <v>44521</v>
      </c>
      <c r="F2233" s="32">
        <v>30081</v>
      </c>
      <c r="G2233" s="5" t="str">
        <f>INDEX(customer[عنوان],MATCH(Main[[#This Row],[کد ردیابی]],customer[کد],0))</f>
        <v xml:space="preserve">شیرآلات بهداشتی راسان </v>
      </c>
      <c r="H2233">
        <v>1922</v>
      </c>
      <c r="I2233" s="6">
        <f ca="1">-Main[[#This Row],[بدهی تسویه شده (کیلوگرم)]]+Main[[#This Row],[بستانکار (کیلوگرم)]]</f>
        <v>1922</v>
      </c>
      <c r="J2233" s="6">
        <f>IF(Main[[#This Row],[مقدار (کیلوگرم)]]&gt;0,Main[[#This Row],[مقدار (کیلوگرم)]],0)</f>
        <v>1922</v>
      </c>
      <c r="K2233" s="6">
        <f>-IF(Main[[#This Row],[مقدار (کیلوگرم)]]&lt;0,Main[[#This Row],[مقدار (کیلوگرم)]],0)</f>
        <v>0</v>
      </c>
      <c r="L22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3" s="7">
        <f>-IF(AND(Main[[#This Row],[مقدار (کیلوگرم)]]&lt;0,Main[[#This Row],[تاريخ میلادی]]&gt;44276),Main[[#This Row],[مقدار (کیلوگرم)]],0)</f>
        <v>0</v>
      </c>
      <c r="N2233" s="6">
        <f ca="1">Main[[#This Row],[بدهکار (کیلوگرم)]]-Main[[#This Row],[بدهی تسویه نشده (کیلوگرم)]]</f>
        <v>0</v>
      </c>
      <c r="O2233" s="6">
        <f ca="1">Main[[#This Row],[تفکیک]]</f>
        <v>0</v>
      </c>
      <c r="P2233" s="6">
        <f ca="1">IF(Main[[#This Row],[تاخیر از سررسید]]&gt;0,Main[[#This Row],[بدهی تسویه نشده (کیلوگرم)]],0)</f>
        <v>0</v>
      </c>
      <c r="Q2233" s="6">
        <f ca="1">IF(Main[[#This Row],[بدهی تسویه نشده (کیلوگرم)]]&gt;0,'گزارش فردی'!$B$7-Main[[#This Row],[تاريخ میلادی]],0)</f>
        <v>0</v>
      </c>
      <c r="R2233" s="6">
        <f ca="1">IF(Main[[#This Row],[بدهی تسویه نشده (کیلوگرم)]]&gt;0,'گزارش فردی'!$B$7-Main[[#This Row],[تاريخ میلادی]]-'گزارش فردی'!$B$8,0)</f>
        <v>0</v>
      </c>
      <c r="S2233" s="6">
        <f ca="1">Main[[#This Row],[روز از ارسال سفارش]]*Main[[#This Row],[بدهی تسویه نشده (کیلوگرم)]]</f>
        <v>0</v>
      </c>
      <c r="T2233" s="6">
        <f ca="1">Main[[#This Row],[بدهی سررسید شده (کیلوگرم)]]*Main[[#This Row],[روز از ارسال سفارش]]</f>
        <v>0</v>
      </c>
      <c r="U2233" s="6">
        <f>-SUBTOTAL(9,INDEX(Main[مقدار (کیلوگرم)],1):Main[[#This Row],[مقدار (کیلوگرم)]])</f>
        <v>42388</v>
      </c>
      <c r="V22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3" s="6">
        <f>Main[[#This Row],[تعداد کل روزهای بدهکار (روز)]]*Main[[#This Row],[مانده در خط کل (کیلوگرم)]]</f>
        <v>0</v>
      </c>
      <c r="X2233" s="6">
        <f ca="1">-SUBTOTAL(9,INDEX(Main[مقدار تسویه شده (کیلوگرم)],1):Main[[#This Row],[مقدار تسویه شده (کیلوگرم)]])</f>
        <v>42388</v>
      </c>
      <c r="Y2233" s="6">
        <f ca="1">IF(Main[[#This Row],[مانده در خط تسویه شده (کیلوگرم)]]&lt;&gt;0,Main[[#This Row],[تعداد کل روزهای بدهکار (روز)]],0)</f>
        <v>0</v>
      </c>
      <c r="Z2233" s="6">
        <f ca="1">Main[[#This Row],[تعداد روزهای بدهکار تسویه شده (روز)]]*Main[[#This Row],[مانده در خط تسویه شده (کیلوگرم)]]</f>
        <v>0</v>
      </c>
      <c r="AA2233" s="6">
        <f ca="1">SUBTOTAL(9,INDEX(Main[بدهی تسویه نشده (کیلوگرم)],1):Main[[#This Row],[بدهی تسویه نشده (کیلوگرم)]])</f>
        <v>0</v>
      </c>
      <c r="AB2233" s="6">
        <f ca="1">IF(Main[[#This Row],[مانده در خط تسویه نشده (کیلوگرم)]]&lt;&gt;0,Main[[#This Row],[تعداد کل روزهای بدهکار (روز)]],0)</f>
        <v>0</v>
      </c>
      <c r="AC2233" s="6">
        <f ca="1">Main[[#This Row],[تعداد روزهای بدهکار  تسویه نشده (روز)]]*Main[[#This Row],[مانده در خط تسویه نشده (کیلوگرم)]]</f>
        <v>0</v>
      </c>
      <c r="AD2233" s="6">
        <f ca="1">SUBTOTAL(9,INDEX(Main[بدهی سررسید شده (کیلوگرم)],1):Main[[#This Row],[بدهی سررسید شده (کیلوگرم)]])</f>
        <v>0</v>
      </c>
      <c r="AE2233" s="6">
        <f ca="1">IF(Main[[#This Row],[مانده در خط سررسید شده (کیلوگرم)]]&lt;&gt;0,Main[[#This Row],[تعداد کل روزهای بدهکار (روز)]],0)</f>
        <v>0</v>
      </c>
      <c r="AF2233" s="6">
        <f ca="1">Main[[#This Row],[تعداد روزهای بدهکار سررسید شده (روز)]]*Main[[#This Row],[مانده در خط سررسید شده (کیلوگرم)]]</f>
        <v>0</v>
      </c>
    </row>
    <row r="2234" spans="1:32" x14ac:dyDescent="0.35">
      <c r="A2234" s="5">
        <f>ROW()-ROW(INDEX(Main[ردیف],1))+1</f>
        <v>2232</v>
      </c>
      <c r="B2234" s="31">
        <f>SUBTOTAL(2,INDEX(Main[ردیف],1):Main[[#This Row],[ردیف]])</f>
        <v>204</v>
      </c>
      <c r="C2234" s="32" t="s">
        <v>769</v>
      </c>
      <c r="D2234" s="32" t="str">
        <f>_xlfn.CONCAT("14",Main[[#This Row],[تاريخ]])</f>
        <v>1400/08/30</v>
      </c>
      <c r="E2234" s="33">
        <v>44521</v>
      </c>
      <c r="F2234" s="32">
        <v>10003</v>
      </c>
      <c r="G2234" s="5" t="str">
        <f>INDEX(customer[عنوان],MATCH(Main[[#This Row],[کد ردیابی]],customer[کد],0))</f>
        <v>اصغر نورعلی</v>
      </c>
      <c r="H2234">
        <v>-1136</v>
      </c>
      <c r="I2234" s="6">
        <f ca="1">-Main[[#This Row],[بدهی تسویه شده (کیلوگرم)]]+Main[[#This Row],[بستانکار (کیلوگرم)]]</f>
        <v>-1136</v>
      </c>
      <c r="J2234" s="6">
        <f>IF(Main[[#This Row],[مقدار (کیلوگرم)]]&gt;0,Main[[#This Row],[مقدار (کیلوگرم)]],0)</f>
        <v>0</v>
      </c>
      <c r="K2234" s="6">
        <f>-IF(Main[[#This Row],[مقدار (کیلوگرم)]]&lt;0,Main[[#This Row],[مقدار (کیلوگرم)]],0)</f>
        <v>1136</v>
      </c>
      <c r="L22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4" s="7">
        <f>-IF(AND(Main[[#This Row],[مقدار (کیلوگرم)]]&lt;0,Main[[#This Row],[تاريخ میلادی]]&gt;44276),Main[[#This Row],[مقدار (کیلوگرم)]],0)</f>
        <v>1136</v>
      </c>
      <c r="N2234" s="6">
        <f ca="1">Main[[#This Row],[بدهکار (کیلوگرم)]]-Main[[#This Row],[بدهی تسویه نشده (کیلوگرم)]]</f>
        <v>1136</v>
      </c>
      <c r="O2234" s="6">
        <f ca="1">Main[[#This Row],[تفکیک]]</f>
        <v>0</v>
      </c>
      <c r="P2234" s="6">
        <f ca="1">IF(Main[[#This Row],[تاخیر از سررسید]]&gt;0,Main[[#This Row],[بدهی تسویه نشده (کیلوگرم)]],0)</f>
        <v>0</v>
      </c>
      <c r="Q2234" s="6">
        <f ca="1">IF(Main[[#This Row],[بدهی تسویه نشده (کیلوگرم)]]&gt;0,'گزارش فردی'!$B$7-Main[[#This Row],[تاريخ میلادی]],0)</f>
        <v>0</v>
      </c>
      <c r="R2234" s="6">
        <f ca="1">IF(Main[[#This Row],[بدهی تسویه نشده (کیلوگرم)]]&gt;0,'گزارش فردی'!$B$7-Main[[#This Row],[تاريخ میلادی]]-'گزارش فردی'!$B$8,0)</f>
        <v>0</v>
      </c>
      <c r="S2234" s="6">
        <f ca="1">Main[[#This Row],[روز از ارسال سفارش]]*Main[[#This Row],[بدهی تسویه نشده (کیلوگرم)]]</f>
        <v>0</v>
      </c>
      <c r="T2234" s="6">
        <f ca="1">Main[[#This Row],[بدهی سررسید شده (کیلوگرم)]]*Main[[#This Row],[روز از ارسال سفارش]]</f>
        <v>0</v>
      </c>
      <c r="U2234" s="6">
        <f>-SUBTOTAL(9,INDEX(Main[مقدار (کیلوگرم)],1):Main[[#This Row],[مقدار (کیلوگرم)]])</f>
        <v>43524</v>
      </c>
      <c r="V22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4" s="6">
        <f>Main[[#This Row],[تعداد کل روزهای بدهکار (روز)]]*Main[[#This Row],[مانده در خط کل (کیلوگرم)]]</f>
        <v>0</v>
      </c>
      <c r="X2234" s="6">
        <f ca="1">-SUBTOTAL(9,INDEX(Main[مقدار تسویه شده (کیلوگرم)],1):Main[[#This Row],[مقدار تسویه شده (کیلوگرم)]])</f>
        <v>43524</v>
      </c>
      <c r="Y2234" s="6">
        <f ca="1">IF(Main[[#This Row],[مانده در خط تسویه شده (کیلوگرم)]]&lt;&gt;0,Main[[#This Row],[تعداد کل روزهای بدهکار (روز)]],0)</f>
        <v>0</v>
      </c>
      <c r="Z2234" s="6">
        <f ca="1">Main[[#This Row],[تعداد روزهای بدهکار تسویه شده (روز)]]*Main[[#This Row],[مانده در خط تسویه شده (کیلوگرم)]]</f>
        <v>0</v>
      </c>
      <c r="AA2234" s="6">
        <f ca="1">SUBTOTAL(9,INDEX(Main[بدهی تسویه نشده (کیلوگرم)],1):Main[[#This Row],[بدهی تسویه نشده (کیلوگرم)]])</f>
        <v>0</v>
      </c>
      <c r="AB2234" s="6">
        <f ca="1">IF(Main[[#This Row],[مانده در خط تسویه نشده (کیلوگرم)]]&lt;&gt;0,Main[[#This Row],[تعداد کل روزهای بدهکار (روز)]],0)</f>
        <v>0</v>
      </c>
      <c r="AC2234" s="6">
        <f ca="1">Main[[#This Row],[تعداد روزهای بدهکار  تسویه نشده (روز)]]*Main[[#This Row],[مانده در خط تسویه نشده (کیلوگرم)]]</f>
        <v>0</v>
      </c>
      <c r="AD2234" s="6">
        <f ca="1">SUBTOTAL(9,INDEX(Main[بدهی سررسید شده (کیلوگرم)],1):Main[[#This Row],[بدهی سررسید شده (کیلوگرم)]])</f>
        <v>0</v>
      </c>
      <c r="AE2234" s="6">
        <f ca="1">IF(Main[[#This Row],[مانده در خط سررسید شده (کیلوگرم)]]&lt;&gt;0,Main[[#This Row],[تعداد کل روزهای بدهکار (روز)]],0)</f>
        <v>0</v>
      </c>
      <c r="AF2234" s="6">
        <f ca="1">Main[[#This Row],[تعداد روزهای بدهکار سررسید شده (روز)]]*Main[[#This Row],[مانده در خط سررسید شده (کیلوگرم)]]</f>
        <v>0</v>
      </c>
    </row>
    <row r="2235" spans="1:32" hidden="1" x14ac:dyDescent="0.35">
      <c r="A2235" s="5">
        <f>ROW()-ROW(INDEX(Main[ردیف],1))+1</f>
        <v>2233</v>
      </c>
      <c r="B2235" s="31">
        <f>SUBTOTAL(2,INDEX(Main[ردیف],1):Main[[#This Row],[ردیف]])</f>
        <v>204</v>
      </c>
      <c r="C2235" s="32" t="s">
        <v>769</v>
      </c>
      <c r="D2235" s="32" t="str">
        <f>_xlfn.CONCAT("14",Main[[#This Row],[تاريخ]])</f>
        <v>1400/08/30</v>
      </c>
      <c r="E2235" s="33">
        <v>44521</v>
      </c>
      <c r="F2235" s="32">
        <v>30004</v>
      </c>
      <c r="G2235" s="5" t="str">
        <f>INDEX(customer[عنوان],MATCH(Main[[#This Row],[کد ردیابی]],customer[کد],0))</f>
        <v>تولیدی صنعتی صفاشیر پارس</v>
      </c>
      <c r="H2235">
        <v>1688</v>
      </c>
      <c r="I2235" s="6">
        <f ca="1">-Main[[#This Row],[بدهی تسویه شده (کیلوگرم)]]+Main[[#This Row],[بستانکار (کیلوگرم)]]</f>
        <v>1688</v>
      </c>
      <c r="J2235" s="6">
        <f>IF(Main[[#This Row],[مقدار (کیلوگرم)]]&gt;0,Main[[#This Row],[مقدار (کیلوگرم)]],0)</f>
        <v>1688</v>
      </c>
      <c r="K2235" s="6">
        <f>-IF(Main[[#This Row],[مقدار (کیلوگرم)]]&lt;0,Main[[#This Row],[مقدار (کیلوگرم)]],0)</f>
        <v>0</v>
      </c>
      <c r="L22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5" s="7">
        <f>-IF(AND(Main[[#This Row],[مقدار (کیلوگرم)]]&lt;0,Main[[#This Row],[تاريخ میلادی]]&gt;44276),Main[[#This Row],[مقدار (کیلوگرم)]],0)</f>
        <v>0</v>
      </c>
      <c r="N2235" s="6">
        <f ca="1">Main[[#This Row],[بدهکار (کیلوگرم)]]-Main[[#This Row],[بدهی تسویه نشده (کیلوگرم)]]</f>
        <v>0</v>
      </c>
      <c r="O2235" s="6">
        <f ca="1">Main[[#This Row],[تفکیک]]</f>
        <v>0</v>
      </c>
      <c r="P2235" s="6">
        <f ca="1">IF(Main[[#This Row],[تاخیر از سررسید]]&gt;0,Main[[#This Row],[بدهی تسویه نشده (کیلوگرم)]],0)</f>
        <v>0</v>
      </c>
      <c r="Q2235" s="6">
        <f ca="1">IF(Main[[#This Row],[بدهی تسویه نشده (کیلوگرم)]]&gt;0,'گزارش فردی'!$B$7-Main[[#This Row],[تاريخ میلادی]],0)</f>
        <v>0</v>
      </c>
      <c r="R2235" s="6">
        <f ca="1">IF(Main[[#This Row],[بدهی تسویه نشده (کیلوگرم)]]&gt;0,'گزارش فردی'!$B$7-Main[[#This Row],[تاريخ میلادی]]-'گزارش فردی'!$B$8,0)</f>
        <v>0</v>
      </c>
      <c r="S2235" s="6">
        <f ca="1">Main[[#This Row],[روز از ارسال سفارش]]*Main[[#This Row],[بدهی تسویه نشده (کیلوگرم)]]</f>
        <v>0</v>
      </c>
      <c r="T2235" s="6">
        <f ca="1">Main[[#This Row],[بدهی سررسید شده (کیلوگرم)]]*Main[[#This Row],[روز از ارسال سفارش]]</f>
        <v>0</v>
      </c>
      <c r="U2235" s="6">
        <f>-SUBTOTAL(9,INDEX(Main[مقدار (کیلوگرم)],1):Main[[#This Row],[مقدار (کیلوگرم)]])</f>
        <v>43524</v>
      </c>
      <c r="V22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5" s="6">
        <f>Main[[#This Row],[تعداد کل روزهای بدهکار (روز)]]*Main[[#This Row],[مانده در خط کل (کیلوگرم)]]</f>
        <v>0</v>
      </c>
      <c r="X2235" s="6">
        <f ca="1">-SUBTOTAL(9,INDEX(Main[مقدار تسویه شده (کیلوگرم)],1):Main[[#This Row],[مقدار تسویه شده (کیلوگرم)]])</f>
        <v>43524</v>
      </c>
      <c r="Y2235" s="6">
        <f ca="1">IF(Main[[#This Row],[مانده در خط تسویه شده (کیلوگرم)]]&lt;&gt;0,Main[[#This Row],[تعداد کل روزهای بدهکار (روز)]],0)</f>
        <v>0</v>
      </c>
      <c r="Z2235" s="6">
        <f ca="1">Main[[#This Row],[تعداد روزهای بدهکار تسویه شده (روز)]]*Main[[#This Row],[مانده در خط تسویه شده (کیلوگرم)]]</f>
        <v>0</v>
      </c>
      <c r="AA2235" s="6">
        <f ca="1">SUBTOTAL(9,INDEX(Main[بدهی تسویه نشده (کیلوگرم)],1):Main[[#This Row],[بدهی تسویه نشده (کیلوگرم)]])</f>
        <v>0</v>
      </c>
      <c r="AB2235" s="6">
        <f ca="1">IF(Main[[#This Row],[مانده در خط تسویه نشده (کیلوگرم)]]&lt;&gt;0,Main[[#This Row],[تعداد کل روزهای بدهکار (روز)]],0)</f>
        <v>0</v>
      </c>
      <c r="AC2235" s="6">
        <f ca="1">Main[[#This Row],[تعداد روزهای بدهکار  تسویه نشده (روز)]]*Main[[#This Row],[مانده در خط تسویه نشده (کیلوگرم)]]</f>
        <v>0</v>
      </c>
      <c r="AD2235" s="6">
        <f ca="1">SUBTOTAL(9,INDEX(Main[بدهی سررسید شده (کیلوگرم)],1):Main[[#This Row],[بدهی سررسید شده (کیلوگرم)]])</f>
        <v>0</v>
      </c>
      <c r="AE2235" s="6">
        <f ca="1">IF(Main[[#This Row],[مانده در خط سررسید شده (کیلوگرم)]]&lt;&gt;0,Main[[#This Row],[تعداد کل روزهای بدهکار (روز)]],0)</f>
        <v>0</v>
      </c>
      <c r="AF2235" s="6">
        <f ca="1">Main[[#This Row],[تعداد روزهای بدهکار سررسید شده (روز)]]*Main[[#This Row],[مانده در خط سررسید شده (کیلوگرم)]]</f>
        <v>0</v>
      </c>
    </row>
    <row r="2236" spans="1:32" hidden="1" x14ac:dyDescent="0.35">
      <c r="A2236" s="5">
        <f>ROW()-ROW(INDEX(Main[ردیف],1))+1</f>
        <v>2234</v>
      </c>
      <c r="B2236" s="31">
        <f>SUBTOTAL(2,INDEX(Main[ردیف],1):Main[[#This Row],[ردیف]])</f>
        <v>204</v>
      </c>
      <c r="C2236" s="32" t="s">
        <v>769</v>
      </c>
      <c r="D2236" s="32" t="str">
        <f>_xlfn.CONCAT("14",Main[[#This Row],[تاريخ]])</f>
        <v>1400/08/30</v>
      </c>
      <c r="E2236" s="33">
        <v>44521</v>
      </c>
      <c r="F2236" s="32">
        <v>10026</v>
      </c>
      <c r="G2236" s="5" t="str">
        <f>INDEX(customer[عنوان],MATCH(Main[[#This Row],[کد ردیابی]],customer[کد],0))</f>
        <v xml:space="preserve">محسن فیاض بخش </v>
      </c>
      <c r="H2236">
        <v>-1949</v>
      </c>
      <c r="I2236" s="6">
        <f ca="1">-Main[[#This Row],[بدهی تسویه شده (کیلوگرم)]]+Main[[#This Row],[بستانکار (کیلوگرم)]]</f>
        <v>-1949</v>
      </c>
      <c r="J2236" s="6">
        <f>IF(Main[[#This Row],[مقدار (کیلوگرم)]]&gt;0,Main[[#This Row],[مقدار (کیلوگرم)]],0)</f>
        <v>0</v>
      </c>
      <c r="K2236" s="6">
        <f>-IF(Main[[#This Row],[مقدار (کیلوگرم)]]&lt;0,Main[[#This Row],[مقدار (کیلوگرم)]],0)</f>
        <v>1949</v>
      </c>
      <c r="L22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6" s="7">
        <f>-IF(AND(Main[[#This Row],[مقدار (کیلوگرم)]]&lt;0,Main[[#This Row],[تاريخ میلادی]]&gt;44276),Main[[#This Row],[مقدار (کیلوگرم)]],0)</f>
        <v>1949</v>
      </c>
      <c r="N2236" s="6">
        <f ca="1">Main[[#This Row],[بدهکار (کیلوگرم)]]-Main[[#This Row],[بدهی تسویه نشده (کیلوگرم)]]</f>
        <v>1949</v>
      </c>
      <c r="O2236" s="6">
        <f ca="1">Main[[#This Row],[تفکیک]]</f>
        <v>0</v>
      </c>
      <c r="P2236" s="6">
        <f ca="1">IF(Main[[#This Row],[تاخیر از سررسید]]&gt;0,Main[[#This Row],[بدهی تسویه نشده (کیلوگرم)]],0)</f>
        <v>0</v>
      </c>
      <c r="Q2236" s="6">
        <f ca="1">IF(Main[[#This Row],[بدهی تسویه نشده (کیلوگرم)]]&gt;0,'گزارش فردی'!$B$7-Main[[#This Row],[تاريخ میلادی]],0)</f>
        <v>0</v>
      </c>
      <c r="R2236" s="6">
        <f ca="1">IF(Main[[#This Row],[بدهی تسویه نشده (کیلوگرم)]]&gt;0,'گزارش فردی'!$B$7-Main[[#This Row],[تاريخ میلادی]]-'گزارش فردی'!$B$8,0)</f>
        <v>0</v>
      </c>
      <c r="S2236" s="6">
        <f ca="1">Main[[#This Row],[روز از ارسال سفارش]]*Main[[#This Row],[بدهی تسویه نشده (کیلوگرم)]]</f>
        <v>0</v>
      </c>
      <c r="T2236" s="6">
        <f ca="1">Main[[#This Row],[بدهی سررسید شده (کیلوگرم)]]*Main[[#This Row],[روز از ارسال سفارش]]</f>
        <v>0</v>
      </c>
      <c r="U2236" s="6">
        <f>-SUBTOTAL(9,INDEX(Main[مقدار (کیلوگرم)],1):Main[[#This Row],[مقدار (کیلوگرم)]])</f>
        <v>43524</v>
      </c>
      <c r="V22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6" s="6">
        <f>Main[[#This Row],[تعداد کل روزهای بدهکار (روز)]]*Main[[#This Row],[مانده در خط کل (کیلوگرم)]]</f>
        <v>0</v>
      </c>
      <c r="X2236" s="6">
        <f ca="1">-SUBTOTAL(9,INDEX(Main[مقدار تسویه شده (کیلوگرم)],1):Main[[#This Row],[مقدار تسویه شده (کیلوگرم)]])</f>
        <v>43524</v>
      </c>
      <c r="Y2236" s="6">
        <f ca="1">IF(Main[[#This Row],[مانده در خط تسویه شده (کیلوگرم)]]&lt;&gt;0,Main[[#This Row],[تعداد کل روزهای بدهکار (روز)]],0)</f>
        <v>0</v>
      </c>
      <c r="Z2236" s="6">
        <f ca="1">Main[[#This Row],[تعداد روزهای بدهکار تسویه شده (روز)]]*Main[[#This Row],[مانده در خط تسویه شده (کیلوگرم)]]</f>
        <v>0</v>
      </c>
      <c r="AA2236" s="6">
        <f ca="1">SUBTOTAL(9,INDEX(Main[بدهی تسویه نشده (کیلوگرم)],1):Main[[#This Row],[بدهی تسویه نشده (کیلوگرم)]])</f>
        <v>0</v>
      </c>
      <c r="AB2236" s="6">
        <f ca="1">IF(Main[[#This Row],[مانده در خط تسویه نشده (کیلوگرم)]]&lt;&gt;0,Main[[#This Row],[تعداد کل روزهای بدهکار (روز)]],0)</f>
        <v>0</v>
      </c>
      <c r="AC2236" s="6">
        <f ca="1">Main[[#This Row],[تعداد روزهای بدهکار  تسویه نشده (روز)]]*Main[[#This Row],[مانده در خط تسویه نشده (کیلوگرم)]]</f>
        <v>0</v>
      </c>
      <c r="AD2236" s="6">
        <f ca="1">SUBTOTAL(9,INDEX(Main[بدهی سررسید شده (کیلوگرم)],1):Main[[#This Row],[بدهی سررسید شده (کیلوگرم)]])</f>
        <v>0</v>
      </c>
      <c r="AE2236" s="6">
        <f ca="1">IF(Main[[#This Row],[مانده در خط سررسید شده (کیلوگرم)]]&lt;&gt;0,Main[[#This Row],[تعداد کل روزهای بدهکار (روز)]],0)</f>
        <v>0</v>
      </c>
      <c r="AF2236" s="6">
        <f ca="1">Main[[#This Row],[تعداد روزهای بدهکار سررسید شده (روز)]]*Main[[#This Row],[مانده در خط سررسید شده (کیلوگرم)]]</f>
        <v>0</v>
      </c>
    </row>
    <row r="2237" spans="1:32" hidden="1" x14ac:dyDescent="0.35">
      <c r="A2237" s="5">
        <f>ROW()-ROW(INDEX(Main[ردیف],1))+1</f>
        <v>2235</v>
      </c>
      <c r="B2237" s="31">
        <f>SUBTOTAL(2,INDEX(Main[ردیف],1):Main[[#This Row],[ردیف]])</f>
        <v>204</v>
      </c>
      <c r="C2237" s="32" t="s">
        <v>769</v>
      </c>
      <c r="D2237" s="32" t="str">
        <f>_xlfn.CONCAT("14",Main[[#This Row],[تاريخ]])</f>
        <v>1400/08/30</v>
      </c>
      <c r="E2237" s="33">
        <v>44521</v>
      </c>
      <c r="F2237" s="32">
        <v>10084</v>
      </c>
      <c r="G2237" s="5" t="str">
        <f>INDEX(customer[عنوان],MATCH(Main[[#This Row],[کد ردیابی]],customer[کد],0))</f>
        <v xml:space="preserve">سیدحمید کاظمی </v>
      </c>
      <c r="H2237">
        <v>980</v>
      </c>
      <c r="I2237" s="6">
        <f ca="1">-Main[[#This Row],[بدهی تسویه شده (کیلوگرم)]]+Main[[#This Row],[بستانکار (کیلوگرم)]]</f>
        <v>980</v>
      </c>
      <c r="J2237" s="6">
        <f>IF(Main[[#This Row],[مقدار (کیلوگرم)]]&gt;0,Main[[#This Row],[مقدار (کیلوگرم)]],0)</f>
        <v>980</v>
      </c>
      <c r="K2237" s="6">
        <f>-IF(Main[[#This Row],[مقدار (کیلوگرم)]]&lt;0,Main[[#This Row],[مقدار (کیلوگرم)]],0)</f>
        <v>0</v>
      </c>
      <c r="L22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7" s="7">
        <f>-IF(AND(Main[[#This Row],[مقدار (کیلوگرم)]]&lt;0,Main[[#This Row],[تاريخ میلادی]]&gt;44276),Main[[#This Row],[مقدار (کیلوگرم)]],0)</f>
        <v>0</v>
      </c>
      <c r="N2237" s="6">
        <f ca="1">Main[[#This Row],[بدهکار (کیلوگرم)]]-Main[[#This Row],[بدهی تسویه نشده (کیلوگرم)]]</f>
        <v>0</v>
      </c>
      <c r="O2237" s="6">
        <f ca="1">Main[[#This Row],[تفکیک]]</f>
        <v>0</v>
      </c>
      <c r="P2237" s="6">
        <f ca="1">IF(Main[[#This Row],[تاخیر از سررسید]]&gt;0,Main[[#This Row],[بدهی تسویه نشده (کیلوگرم)]],0)</f>
        <v>0</v>
      </c>
      <c r="Q2237" s="6">
        <f ca="1">IF(Main[[#This Row],[بدهی تسویه نشده (کیلوگرم)]]&gt;0,'گزارش فردی'!$B$7-Main[[#This Row],[تاريخ میلادی]],0)</f>
        <v>0</v>
      </c>
      <c r="R2237" s="6">
        <f ca="1">IF(Main[[#This Row],[بدهی تسویه نشده (کیلوگرم)]]&gt;0,'گزارش فردی'!$B$7-Main[[#This Row],[تاريخ میلادی]]-'گزارش فردی'!$B$8,0)</f>
        <v>0</v>
      </c>
      <c r="S2237" s="6">
        <f ca="1">Main[[#This Row],[روز از ارسال سفارش]]*Main[[#This Row],[بدهی تسویه نشده (کیلوگرم)]]</f>
        <v>0</v>
      </c>
      <c r="T2237" s="6">
        <f ca="1">Main[[#This Row],[بدهی سررسید شده (کیلوگرم)]]*Main[[#This Row],[روز از ارسال سفارش]]</f>
        <v>0</v>
      </c>
      <c r="U2237" s="6">
        <f>-SUBTOTAL(9,INDEX(Main[مقدار (کیلوگرم)],1):Main[[#This Row],[مقدار (کیلوگرم)]])</f>
        <v>43524</v>
      </c>
      <c r="V22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7" s="6">
        <f>Main[[#This Row],[تعداد کل روزهای بدهکار (روز)]]*Main[[#This Row],[مانده در خط کل (کیلوگرم)]]</f>
        <v>0</v>
      </c>
      <c r="X2237" s="6">
        <f ca="1">-SUBTOTAL(9,INDEX(Main[مقدار تسویه شده (کیلوگرم)],1):Main[[#This Row],[مقدار تسویه شده (کیلوگرم)]])</f>
        <v>43524</v>
      </c>
      <c r="Y2237" s="6">
        <f ca="1">IF(Main[[#This Row],[مانده در خط تسویه شده (کیلوگرم)]]&lt;&gt;0,Main[[#This Row],[تعداد کل روزهای بدهکار (روز)]],0)</f>
        <v>0</v>
      </c>
      <c r="Z2237" s="6">
        <f ca="1">Main[[#This Row],[تعداد روزهای بدهکار تسویه شده (روز)]]*Main[[#This Row],[مانده در خط تسویه شده (کیلوگرم)]]</f>
        <v>0</v>
      </c>
      <c r="AA2237" s="6">
        <f ca="1">SUBTOTAL(9,INDEX(Main[بدهی تسویه نشده (کیلوگرم)],1):Main[[#This Row],[بدهی تسویه نشده (کیلوگرم)]])</f>
        <v>0</v>
      </c>
      <c r="AB2237" s="6">
        <f ca="1">IF(Main[[#This Row],[مانده در خط تسویه نشده (کیلوگرم)]]&lt;&gt;0,Main[[#This Row],[تعداد کل روزهای بدهکار (روز)]],0)</f>
        <v>0</v>
      </c>
      <c r="AC2237" s="6">
        <f ca="1">Main[[#This Row],[تعداد روزهای بدهکار  تسویه نشده (روز)]]*Main[[#This Row],[مانده در خط تسویه نشده (کیلوگرم)]]</f>
        <v>0</v>
      </c>
      <c r="AD2237" s="6">
        <f ca="1">SUBTOTAL(9,INDEX(Main[بدهی سررسید شده (کیلوگرم)],1):Main[[#This Row],[بدهی سررسید شده (کیلوگرم)]])</f>
        <v>0</v>
      </c>
      <c r="AE2237" s="6">
        <f ca="1">IF(Main[[#This Row],[مانده در خط سررسید شده (کیلوگرم)]]&lt;&gt;0,Main[[#This Row],[تعداد کل روزهای بدهکار (روز)]],0)</f>
        <v>0</v>
      </c>
      <c r="AF2237" s="6">
        <f ca="1">Main[[#This Row],[تعداد روزهای بدهکار سررسید شده (روز)]]*Main[[#This Row],[مانده در خط سررسید شده (کیلوگرم)]]</f>
        <v>0</v>
      </c>
    </row>
    <row r="2238" spans="1:32" hidden="1" x14ac:dyDescent="0.35">
      <c r="A2238" s="5">
        <f>ROW()-ROW(INDEX(Main[ردیف],1))+1</f>
        <v>2236</v>
      </c>
      <c r="B2238" s="31">
        <f>SUBTOTAL(2,INDEX(Main[ردیف],1):Main[[#This Row],[ردیف]])</f>
        <v>204</v>
      </c>
      <c r="C2238" s="32" t="s">
        <v>769</v>
      </c>
      <c r="D2238" s="32" t="str">
        <f>_xlfn.CONCAT("14",Main[[#This Row],[تاريخ]])</f>
        <v>1400/08/30</v>
      </c>
      <c r="E2238" s="33">
        <v>44521</v>
      </c>
      <c r="F2238" s="32">
        <v>10093</v>
      </c>
      <c r="G2238" s="5" t="str">
        <f>INDEX(customer[عنوان],MATCH(Main[[#This Row],[کد ردیابی]],customer[کد],0))</f>
        <v>مهدوی علیرضا</v>
      </c>
      <c r="H2238">
        <v>-704</v>
      </c>
      <c r="I2238" s="6">
        <f ca="1">-Main[[#This Row],[بدهی تسویه شده (کیلوگرم)]]+Main[[#This Row],[بستانکار (کیلوگرم)]]</f>
        <v>-704</v>
      </c>
      <c r="J2238" s="6">
        <f>IF(Main[[#This Row],[مقدار (کیلوگرم)]]&gt;0,Main[[#This Row],[مقدار (کیلوگرم)]],0)</f>
        <v>0</v>
      </c>
      <c r="K2238" s="6">
        <f>-IF(Main[[#This Row],[مقدار (کیلوگرم)]]&lt;0,Main[[#This Row],[مقدار (کیلوگرم)]],0)</f>
        <v>704</v>
      </c>
      <c r="L22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8" s="7">
        <f>-IF(AND(Main[[#This Row],[مقدار (کیلوگرم)]]&lt;0,Main[[#This Row],[تاريخ میلادی]]&gt;44276),Main[[#This Row],[مقدار (کیلوگرم)]],0)</f>
        <v>704</v>
      </c>
      <c r="N2238" s="6">
        <f ca="1">Main[[#This Row],[بدهکار (کیلوگرم)]]-Main[[#This Row],[بدهی تسویه نشده (کیلوگرم)]]</f>
        <v>704</v>
      </c>
      <c r="O2238" s="6">
        <f ca="1">Main[[#This Row],[تفکیک]]</f>
        <v>0</v>
      </c>
      <c r="P2238" s="6">
        <f ca="1">IF(Main[[#This Row],[تاخیر از سررسید]]&gt;0,Main[[#This Row],[بدهی تسویه نشده (کیلوگرم)]],0)</f>
        <v>0</v>
      </c>
      <c r="Q2238" s="6">
        <f ca="1">IF(Main[[#This Row],[بدهی تسویه نشده (کیلوگرم)]]&gt;0,'گزارش فردی'!$B$7-Main[[#This Row],[تاريخ میلادی]],0)</f>
        <v>0</v>
      </c>
      <c r="R2238" s="6">
        <f ca="1">IF(Main[[#This Row],[بدهی تسویه نشده (کیلوگرم)]]&gt;0,'گزارش فردی'!$B$7-Main[[#This Row],[تاريخ میلادی]]-'گزارش فردی'!$B$8,0)</f>
        <v>0</v>
      </c>
      <c r="S2238" s="6">
        <f ca="1">Main[[#This Row],[روز از ارسال سفارش]]*Main[[#This Row],[بدهی تسویه نشده (کیلوگرم)]]</f>
        <v>0</v>
      </c>
      <c r="T2238" s="6">
        <f ca="1">Main[[#This Row],[بدهی سررسید شده (کیلوگرم)]]*Main[[#This Row],[روز از ارسال سفارش]]</f>
        <v>0</v>
      </c>
      <c r="U2238" s="6">
        <f>-SUBTOTAL(9,INDEX(Main[مقدار (کیلوگرم)],1):Main[[#This Row],[مقدار (کیلوگرم)]])</f>
        <v>43524</v>
      </c>
      <c r="V22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8" s="6">
        <f>Main[[#This Row],[تعداد کل روزهای بدهکار (روز)]]*Main[[#This Row],[مانده در خط کل (کیلوگرم)]]</f>
        <v>0</v>
      </c>
      <c r="X2238" s="6">
        <f ca="1">-SUBTOTAL(9,INDEX(Main[مقدار تسویه شده (کیلوگرم)],1):Main[[#This Row],[مقدار تسویه شده (کیلوگرم)]])</f>
        <v>43524</v>
      </c>
      <c r="Y2238" s="6">
        <f ca="1">IF(Main[[#This Row],[مانده در خط تسویه شده (کیلوگرم)]]&lt;&gt;0,Main[[#This Row],[تعداد کل روزهای بدهکار (روز)]],0)</f>
        <v>0</v>
      </c>
      <c r="Z2238" s="6">
        <f ca="1">Main[[#This Row],[تعداد روزهای بدهکار تسویه شده (روز)]]*Main[[#This Row],[مانده در خط تسویه شده (کیلوگرم)]]</f>
        <v>0</v>
      </c>
      <c r="AA2238" s="6">
        <f ca="1">SUBTOTAL(9,INDEX(Main[بدهی تسویه نشده (کیلوگرم)],1):Main[[#This Row],[بدهی تسویه نشده (کیلوگرم)]])</f>
        <v>0</v>
      </c>
      <c r="AB2238" s="6">
        <f ca="1">IF(Main[[#This Row],[مانده در خط تسویه نشده (کیلوگرم)]]&lt;&gt;0,Main[[#This Row],[تعداد کل روزهای بدهکار (روز)]],0)</f>
        <v>0</v>
      </c>
      <c r="AC2238" s="6">
        <f ca="1">Main[[#This Row],[تعداد روزهای بدهکار  تسویه نشده (روز)]]*Main[[#This Row],[مانده در خط تسویه نشده (کیلوگرم)]]</f>
        <v>0</v>
      </c>
      <c r="AD2238" s="6">
        <f ca="1">SUBTOTAL(9,INDEX(Main[بدهی سررسید شده (کیلوگرم)],1):Main[[#This Row],[بدهی سررسید شده (کیلوگرم)]])</f>
        <v>0</v>
      </c>
      <c r="AE2238" s="6">
        <f ca="1">IF(Main[[#This Row],[مانده در خط سررسید شده (کیلوگرم)]]&lt;&gt;0,Main[[#This Row],[تعداد کل روزهای بدهکار (روز)]],0)</f>
        <v>0</v>
      </c>
      <c r="AF2238" s="6">
        <f ca="1">Main[[#This Row],[تعداد روزهای بدهکار سررسید شده (روز)]]*Main[[#This Row],[مانده در خط سررسید شده (کیلوگرم)]]</f>
        <v>0</v>
      </c>
    </row>
    <row r="2239" spans="1:32" x14ac:dyDescent="0.35">
      <c r="A2239" s="5">
        <f>ROW()-ROW(INDEX(Main[ردیف],1))+1</f>
        <v>2237</v>
      </c>
      <c r="B2239" s="31">
        <f>SUBTOTAL(2,INDEX(Main[ردیف],1):Main[[#This Row],[ردیف]])</f>
        <v>205</v>
      </c>
      <c r="C2239" s="32" t="s">
        <v>769</v>
      </c>
      <c r="D2239" s="32" t="str">
        <f>_xlfn.CONCAT("14",Main[[#This Row],[تاريخ]])</f>
        <v>1400/08/30</v>
      </c>
      <c r="E2239" s="33">
        <v>44521</v>
      </c>
      <c r="F2239" s="32">
        <v>10003</v>
      </c>
      <c r="G2239" s="5" t="str">
        <f>INDEX(customer[عنوان],MATCH(Main[[#This Row],[کد ردیابی]],customer[کد],0))</f>
        <v>اصغر نورعلی</v>
      </c>
      <c r="H2239">
        <v>5861</v>
      </c>
      <c r="I2239" s="6">
        <f ca="1">-Main[[#This Row],[بدهی تسویه شده (کیلوگرم)]]+Main[[#This Row],[بستانکار (کیلوگرم)]]</f>
        <v>5861</v>
      </c>
      <c r="J2239" s="6">
        <f>IF(Main[[#This Row],[مقدار (کیلوگرم)]]&gt;0,Main[[#This Row],[مقدار (کیلوگرم)]],0)</f>
        <v>5861</v>
      </c>
      <c r="K2239" s="6">
        <f>-IF(Main[[#This Row],[مقدار (کیلوگرم)]]&lt;0,Main[[#This Row],[مقدار (کیلوگرم)]],0)</f>
        <v>0</v>
      </c>
      <c r="L22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9" s="7">
        <f>-IF(AND(Main[[#This Row],[مقدار (کیلوگرم)]]&lt;0,Main[[#This Row],[تاريخ میلادی]]&gt;44276),Main[[#This Row],[مقدار (کیلوگرم)]],0)</f>
        <v>0</v>
      </c>
      <c r="N2239" s="6">
        <f ca="1">Main[[#This Row],[بدهکار (کیلوگرم)]]-Main[[#This Row],[بدهی تسویه نشده (کیلوگرم)]]</f>
        <v>0</v>
      </c>
      <c r="O2239" s="6">
        <f ca="1">Main[[#This Row],[تفکیک]]</f>
        <v>0</v>
      </c>
      <c r="P2239" s="6">
        <f ca="1">IF(Main[[#This Row],[تاخیر از سررسید]]&gt;0,Main[[#This Row],[بدهی تسویه نشده (کیلوگرم)]],0)</f>
        <v>0</v>
      </c>
      <c r="Q2239" s="6">
        <f ca="1">IF(Main[[#This Row],[بدهی تسویه نشده (کیلوگرم)]]&gt;0,'گزارش فردی'!$B$7-Main[[#This Row],[تاريخ میلادی]],0)</f>
        <v>0</v>
      </c>
      <c r="R2239" s="6">
        <f ca="1">IF(Main[[#This Row],[بدهی تسویه نشده (کیلوگرم)]]&gt;0,'گزارش فردی'!$B$7-Main[[#This Row],[تاريخ میلادی]]-'گزارش فردی'!$B$8,0)</f>
        <v>0</v>
      </c>
      <c r="S2239" s="6">
        <f ca="1">Main[[#This Row],[روز از ارسال سفارش]]*Main[[#This Row],[بدهی تسویه نشده (کیلوگرم)]]</f>
        <v>0</v>
      </c>
      <c r="T2239" s="6">
        <f ca="1">Main[[#This Row],[بدهی سررسید شده (کیلوگرم)]]*Main[[#This Row],[روز از ارسال سفارش]]</f>
        <v>0</v>
      </c>
      <c r="U2239" s="6">
        <f>-SUBTOTAL(9,INDEX(Main[مقدار (کیلوگرم)],1):Main[[#This Row],[مقدار (کیلوگرم)]])</f>
        <v>37663</v>
      </c>
      <c r="V22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39" s="6">
        <f>Main[[#This Row],[تعداد کل روزهای بدهکار (روز)]]*Main[[#This Row],[مانده در خط کل (کیلوگرم)]]</f>
        <v>75326</v>
      </c>
      <c r="X2239" s="6">
        <f ca="1">-SUBTOTAL(9,INDEX(Main[مقدار تسویه شده (کیلوگرم)],1):Main[[#This Row],[مقدار تسویه شده (کیلوگرم)]])</f>
        <v>37663</v>
      </c>
      <c r="Y2239" s="6">
        <f ca="1">IF(Main[[#This Row],[مانده در خط تسویه شده (کیلوگرم)]]&lt;&gt;0,Main[[#This Row],[تعداد کل روزهای بدهکار (روز)]],0)</f>
        <v>2</v>
      </c>
      <c r="Z2239" s="6">
        <f ca="1">Main[[#This Row],[تعداد روزهای بدهکار تسویه شده (روز)]]*Main[[#This Row],[مانده در خط تسویه شده (کیلوگرم)]]</f>
        <v>75326</v>
      </c>
      <c r="AA2239" s="6">
        <f ca="1">SUBTOTAL(9,INDEX(Main[بدهی تسویه نشده (کیلوگرم)],1):Main[[#This Row],[بدهی تسویه نشده (کیلوگرم)]])</f>
        <v>0</v>
      </c>
      <c r="AB2239" s="6">
        <f ca="1">IF(Main[[#This Row],[مانده در خط تسویه نشده (کیلوگرم)]]&lt;&gt;0,Main[[#This Row],[تعداد کل روزهای بدهکار (روز)]],0)</f>
        <v>0</v>
      </c>
      <c r="AC2239" s="6">
        <f ca="1">Main[[#This Row],[تعداد روزهای بدهکار  تسویه نشده (روز)]]*Main[[#This Row],[مانده در خط تسویه نشده (کیلوگرم)]]</f>
        <v>0</v>
      </c>
      <c r="AD2239" s="6">
        <f ca="1">SUBTOTAL(9,INDEX(Main[بدهی سررسید شده (کیلوگرم)],1):Main[[#This Row],[بدهی سررسید شده (کیلوگرم)]])</f>
        <v>0</v>
      </c>
      <c r="AE2239" s="6">
        <f ca="1">IF(Main[[#This Row],[مانده در خط سررسید شده (کیلوگرم)]]&lt;&gt;0,Main[[#This Row],[تعداد کل روزهای بدهکار (روز)]],0)</f>
        <v>0</v>
      </c>
      <c r="AF2239" s="6">
        <f ca="1">Main[[#This Row],[تعداد روزهای بدهکار سررسید شده (روز)]]*Main[[#This Row],[مانده در خط سررسید شده (کیلوگرم)]]</f>
        <v>0</v>
      </c>
    </row>
    <row r="2240" spans="1:32" hidden="1" x14ac:dyDescent="0.35">
      <c r="A2240" s="5">
        <f>ROW()-ROW(INDEX(Main[ردیف],1))+1</f>
        <v>2238</v>
      </c>
      <c r="B2240" s="31">
        <f>SUBTOTAL(2,INDEX(Main[ردیف],1):Main[[#This Row],[ردیف]])</f>
        <v>205</v>
      </c>
      <c r="C2240" s="32" t="s">
        <v>769</v>
      </c>
      <c r="D2240" s="32" t="str">
        <f>_xlfn.CONCAT("14",Main[[#This Row],[تاريخ]])</f>
        <v>1400/08/30</v>
      </c>
      <c r="E2240" s="33">
        <v>44521</v>
      </c>
      <c r="F2240" s="32">
        <v>30026</v>
      </c>
      <c r="G2240" s="5" t="str">
        <f>INDEX(customer[عنوان],MATCH(Main[[#This Row],[کد ردیابی]],customer[کد],0))</f>
        <v>آبکامه</v>
      </c>
      <c r="H2240">
        <v>927</v>
      </c>
      <c r="I2240" s="6">
        <f ca="1">-Main[[#This Row],[بدهی تسویه شده (کیلوگرم)]]+Main[[#This Row],[بستانکار (کیلوگرم)]]</f>
        <v>927</v>
      </c>
      <c r="J2240" s="6">
        <f>IF(Main[[#This Row],[مقدار (کیلوگرم)]]&gt;0,Main[[#This Row],[مقدار (کیلوگرم)]],0)</f>
        <v>927</v>
      </c>
      <c r="K2240" s="6">
        <f>-IF(Main[[#This Row],[مقدار (کیلوگرم)]]&lt;0,Main[[#This Row],[مقدار (کیلوگرم)]],0)</f>
        <v>0</v>
      </c>
      <c r="L22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0" s="7">
        <f>-IF(AND(Main[[#This Row],[مقدار (کیلوگرم)]]&lt;0,Main[[#This Row],[تاريخ میلادی]]&gt;44276),Main[[#This Row],[مقدار (کیلوگرم)]],0)</f>
        <v>0</v>
      </c>
      <c r="N2240" s="6">
        <f ca="1">Main[[#This Row],[بدهکار (کیلوگرم)]]-Main[[#This Row],[بدهی تسویه نشده (کیلوگرم)]]</f>
        <v>0</v>
      </c>
      <c r="O2240" s="6">
        <f ca="1">Main[[#This Row],[تفکیک]]</f>
        <v>0</v>
      </c>
      <c r="P2240" s="6">
        <f ca="1">IF(Main[[#This Row],[تاخیر از سررسید]]&gt;0,Main[[#This Row],[بدهی تسویه نشده (کیلوگرم)]],0)</f>
        <v>0</v>
      </c>
      <c r="Q2240" s="6">
        <f ca="1">IF(Main[[#This Row],[بدهی تسویه نشده (کیلوگرم)]]&gt;0,'گزارش فردی'!$B$7-Main[[#This Row],[تاريخ میلادی]],0)</f>
        <v>0</v>
      </c>
      <c r="R2240" s="6">
        <f ca="1">IF(Main[[#This Row],[بدهی تسویه نشده (کیلوگرم)]]&gt;0,'گزارش فردی'!$B$7-Main[[#This Row],[تاريخ میلادی]]-'گزارش فردی'!$B$8,0)</f>
        <v>0</v>
      </c>
      <c r="S2240" s="6">
        <f ca="1">Main[[#This Row],[روز از ارسال سفارش]]*Main[[#This Row],[بدهی تسویه نشده (کیلوگرم)]]</f>
        <v>0</v>
      </c>
      <c r="T2240" s="6">
        <f ca="1">Main[[#This Row],[بدهی سررسید شده (کیلوگرم)]]*Main[[#This Row],[روز از ارسال سفارش]]</f>
        <v>0</v>
      </c>
      <c r="U2240" s="6">
        <f>-SUBTOTAL(9,INDEX(Main[مقدار (کیلوگرم)],1):Main[[#This Row],[مقدار (کیلوگرم)]])</f>
        <v>37663</v>
      </c>
      <c r="V224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40" s="6">
        <f>Main[[#This Row],[تعداد کل روزهای بدهکار (روز)]]*Main[[#This Row],[مانده در خط کل (کیلوگرم)]]</f>
        <v>75326</v>
      </c>
      <c r="X2240" s="6">
        <f ca="1">-SUBTOTAL(9,INDEX(Main[مقدار تسویه شده (کیلوگرم)],1):Main[[#This Row],[مقدار تسویه شده (کیلوگرم)]])</f>
        <v>37663</v>
      </c>
      <c r="Y2240" s="6">
        <f ca="1">IF(Main[[#This Row],[مانده در خط تسویه شده (کیلوگرم)]]&lt;&gt;0,Main[[#This Row],[تعداد کل روزهای بدهکار (روز)]],0)</f>
        <v>2</v>
      </c>
      <c r="Z2240" s="6">
        <f ca="1">Main[[#This Row],[تعداد روزهای بدهکار تسویه شده (روز)]]*Main[[#This Row],[مانده در خط تسویه شده (کیلوگرم)]]</f>
        <v>75326</v>
      </c>
      <c r="AA2240" s="6">
        <f ca="1">SUBTOTAL(9,INDEX(Main[بدهی تسویه نشده (کیلوگرم)],1):Main[[#This Row],[بدهی تسویه نشده (کیلوگرم)]])</f>
        <v>0</v>
      </c>
      <c r="AB2240" s="6">
        <f ca="1">IF(Main[[#This Row],[مانده در خط تسویه نشده (کیلوگرم)]]&lt;&gt;0,Main[[#This Row],[تعداد کل روزهای بدهکار (روز)]],0)</f>
        <v>0</v>
      </c>
      <c r="AC2240" s="6">
        <f ca="1">Main[[#This Row],[تعداد روزهای بدهکار  تسویه نشده (روز)]]*Main[[#This Row],[مانده در خط تسویه نشده (کیلوگرم)]]</f>
        <v>0</v>
      </c>
      <c r="AD2240" s="6">
        <f ca="1">SUBTOTAL(9,INDEX(Main[بدهی سررسید شده (کیلوگرم)],1):Main[[#This Row],[بدهی سررسید شده (کیلوگرم)]])</f>
        <v>0</v>
      </c>
      <c r="AE2240" s="6">
        <f ca="1">IF(Main[[#This Row],[مانده در خط سررسید شده (کیلوگرم)]]&lt;&gt;0,Main[[#This Row],[تعداد کل روزهای بدهکار (روز)]],0)</f>
        <v>0</v>
      </c>
      <c r="AF2240" s="6">
        <f ca="1">Main[[#This Row],[تعداد روزهای بدهکار سررسید شده (روز)]]*Main[[#This Row],[مانده در خط سررسید شده (کیلوگرم)]]</f>
        <v>0</v>
      </c>
    </row>
    <row r="2241" spans="1:32" hidden="1" x14ac:dyDescent="0.35">
      <c r="A2241" s="5">
        <f>ROW()-ROW(INDEX(Main[ردیف],1))+1</f>
        <v>2239</v>
      </c>
      <c r="B2241" s="31">
        <f>SUBTOTAL(2,INDEX(Main[ردیف],1):Main[[#This Row],[ردیف]])</f>
        <v>205</v>
      </c>
      <c r="C2241" s="32" t="s">
        <v>769</v>
      </c>
      <c r="D2241" s="32" t="str">
        <f>_xlfn.CONCAT("14",Main[[#This Row],[تاريخ]])</f>
        <v>1400/08/30</v>
      </c>
      <c r="E2241" s="33">
        <v>44521</v>
      </c>
      <c r="F2241" s="32">
        <v>30186</v>
      </c>
      <c r="G2241" s="5" t="str">
        <f>INDEX(customer[عنوان],MATCH(Main[[#This Row],[کد ردیابی]],customer[کد],0))</f>
        <v>سارا گاز</v>
      </c>
      <c r="H2241">
        <v>1283</v>
      </c>
      <c r="I2241" s="6">
        <f ca="1">-Main[[#This Row],[بدهی تسویه شده (کیلوگرم)]]+Main[[#This Row],[بستانکار (کیلوگرم)]]</f>
        <v>1283</v>
      </c>
      <c r="J2241" s="6">
        <f>IF(Main[[#This Row],[مقدار (کیلوگرم)]]&gt;0,Main[[#This Row],[مقدار (کیلوگرم)]],0)</f>
        <v>1283</v>
      </c>
      <c r="K2241" s="6">
        <f>-IF(Main[[#This Row],[مقدار (کیلوگرم)]]&lt;0,Main[[#This Row],[مقدار (کیلوگرم)]],0)</f>
        <v>0</v>
      </c>
      <c r="L22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1" s="7">
        <f>-IF(AND(Main[[#This Row],[مقدار (کیلوگرم)]]&lt;0,Main[[#This Row],[تاريخ میلادی]]&gt;44276),Main[[#This Row],[مقدار (کیلوگرم)]],0)</f>
        <v>0</v>
      </c>
      <c r="N2241" s="6">
        <f ca="1">Main[[#This Row],[بدهکار (کیلوگرم)]]-Main[[#This Row],[بدهی تسویه نشده (کیلوگرم)]]</f>
        <v>0</v>
      </c>
      <c r="O2241" s="6">
        <f ca="1">Main[[#This Row],[تفکیک]]</f>
        <v>0</v>
      </c>
      <c r="P2241" s="6">
        <f ca="1">IF(Main[[#This Row],[تاخیر از سررسید]]&gt;0,Main[[#This Row],[بدهی تسویه نشده (کیلوگرم)]],0)</f>
        <v>0</v>
      </c>
      <c r="Q2241" s="6">
        <f ca="1">IF(Main[[#This Row],[بدهی تسویه نشده (کیلوگرم)]]&gt;0,'گزارش فردی'!$B$7-Main[[#This Row],[تاريخ میلادی]],0)</f>
        <v>0</v>
      </c>
      <c r="R2241" s="6">
        <f ca="1">IF(Main[[#This Row],[بدهی تسویه نشده (کیلوگرم)]]&gt;0,'گزارش فردی'!$B$7-Main[[#This Row],[تاريخ میلادی]]-'گزارش فردی'!$B$8,0)</f>
        <v>0</v>
      </c>
      <c r="S2241" s="6">
        <f ca="1">Main[[#This Row],[روز از ارسال سفارش]]*Main[[#This Row],[بدهی تسویه نشده (کیلوگرم)]]</f>
        <v>0</v>
      </c>
      <c r="T2241" s="6">
        <f ca="1">Main[[#This Row],[بدهی سررسید شده (کیلوگرم)]]*Main[[#This Row],[روز از ارسال سفارش]]</f>
        <v>0</v>
      </c>
      <c r="U2241" s="6">
        <f>-SUBTOTAL(9,INDEX(Main[مقدار (کیلوگرم)],1):Main[[#This Row],[مقدار (کیلوگرم)]])</f>
        <v>37663</v>
      </c>
      <c r="V224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41" s="6">
        <f>Main[[#This Row],[تعداد کل روزهای بدهکار (روز)]]*Main[[#This Row],[مانده در خط کل (کیلوگرم)]]</f>
        <v>75326</v>
      </c>
      <c r="X2241" s="6">
        <f ca="1">-SUBTOTAL(9,INDEX(Main[مقدار تسویه شده (کیلوگرم)],1):Main[[#This Row],[مقدار تسویه شده (کیلوگرم)]])</f>
        <v>37663</v>
      </c>
      <c r="Y2241" s="6">
        <f ca="1">IF(Main[[#This Row],[مانده در خط تسویه شده (کیلوگرم)]]&lt;&gt;0,Main[[#This Row],[تعداد کل روزهای بدهکار (روز)]],0)</f>
        <v>2</v>
      </c>
      <c r="Z2241" s="6">
        <f ca="1">Main[[#This Row],[تعداد روزهای بدهکار تسویه شده (روز)]]*Main[[#This Row],[مانده در خط تسویه شده (کیلوگرم)]]</f>
        <v>75326</v>
      </c>
      <c r="AA2241" s="6">
        <f ca="1">SUBTOTAL(9,INDEX(Main[بدهی تسویه نشده (کیلوگرم)],1):Main[[#This Row],[بدهی تسویه نشده (کیلوگرم)]])</f>
        <v>0</v>
      </c>
      <c r="AB2241" s="6">
        <f ca="1">IF(Main[[#This Row],[مانده در خط تسویه نشده (کیلوگرم)]]&lt;&gt;0,Main[[#This Row],[تعداد کل روزهای بدهکار (روز)]],0)</f>
        <v>0</v>
      </c>
      <c r="AC2241" s="6">
        <f ca="1">Main[[#This Row],[تعداد روزهای بدهکار  تسویه نشده (روز)]]*Main[[#This Row],[مانده در خط تسویه نشده (کیلوگرم)]]</f>
        <v>0</v>
      </c>
      <c r="AD2241" s="6">
        <f ca="1">SUBTOTAL(9,INDEX(Main[بدهی سررسید شده (کیلوگرم)],1):Main[[#This Row],[بدهی سررسید شده (کیلوگرم)]])</f>
        <v>0</v>
      </c>
      <c r="AE2241" s="6">
        <f ca="1">IF(Main[[#This Row],[مانده در خط سررسید شده (کیلوگرم)]]&lt;&gt;0,Main[[#This Row],[تعداد کل روزهای بدهکار (روز)]],0)</f>
        <v>0</v>
      </c>
      <c r="AF2241" s="6">
        <f ca="1">Main[[#This Row],[تعداد روزهای بدهکار سررسید شده (روز)]]*Main[[#This Row],[مانده در خط سررسید شده (کیلوگرم)]]</f>
        <v>0</v>
      </c>
    </row>
    <row r="2242" spans="1:32" hidden="1" x14ac:dyDescent="0.35">
      <c r="A2242" s="5">
        <f>ROW()-ROW(INDEX(Main[ردیف],1))+1</f>
        <v>2240</v>
      </c>
      <c r="B2242" s="31">
        <f>SUBTOTAL(2,INDEX(Main[ردیف],1):Main[[#This Row],[ردیف]])</f>
        <v>205</v>
      </c>
      <c r="C2242" s="32" t="s">
        <v>774</v>
      </c>
      <c r="D2242" s="32" t="str">
        <f>_xlfn.CONCAT("14",Main[[#This Row],[تاريخ]])</f>
        <v>1400/09/01</v>
      </c>
      <c r="E2242" s="33">
        <v>44522</v>
      </c>
      <c r="F2242" s="32">
        <v>30184</v>
      </c>
      <c r="G2242" s="5" t="str">
        <f>INDEX(customer[عنوان],MATCH(Main[[#This Row],[کد ردیابی]],customer[کد],0))</f>
        <v>شرکت هوم کو (هوشمند مبین کوشا)</v>
      </c>
      <c r="H2242">
        <v>-5007</v>
      </c>
      <c r="I2242" s="6">
        <f ca="1">-Main[[#This Row],[بدهی تسویه شده (کیلوگرم)]]+Main[[#This Row],[بستانکار (کیلوگرم)]]</f>
        <v>-5007</v>
      </c>
      <c r="J2242" s="6">
        <f>IF(Main[[#This Row],[مقدار (کیلوگرم)]]&gt;0,Main[[#This Row],[مقدار (کیلوگرم)]],0)</f>
        <v>0</v>
      </c>
      <c r="K2242" s="6">
        <f>-IF(Main[[#This Row],[مقدار (کیلوگرم)]]&lt;0,Main[[#This Row],[مقدار (کیلوگرم)]],0)</f>
        <v>5007</v>
      </c>
      <c r="L22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2" s="7">
        <f>-IF(AND(Main[[#This Row],[مقدار (کیلوگرم)]]&lt;0,Main[[#This Row],[تاريخ میلادی]]&gt;44276),Main[[#This Row],[مقدار (کیلوگرم)]],0)</f>
        <v>5007</v>
      </c>
      <c r="N2242" s="6">
        <f ca="1">Main[[#This Row],[بدهکار (کیلوگرم)]]-Main[[#This Row],[بدهی تسویه نشده (کیلوگرم)]]</f>
        <v>5007</v>
      </c>
      <c r="O2242" s="6">
        <f ca="1">Main[[#This Row],[تفکیک]]</f>
        <v>0</v>
      </c>
      <c r="P2242" s="6">
        <f ca="1">IF(Main[[#This Row],[تاخیر از سررسید]]&gt;0,Main[[#This Row],[بدهی تسویه نشده (کیلوگرم)]],0)</f>
        <v>0</v>
      </c>
      <c r="Q2242" s="6">
        <f ca="1">IF(Main[[#This Row],[بدهی تسویه نشده (کیلوگرم)]]&gt;0,'گزارش فردی'!$B$7-Main[[#This Row],[تاريخ میلادی]],0)</f>
        <v>0</v>
      </c>
      <c r="R2242" s="6">
        <f ca="1">IF(Main[[#This Row],[بدهی تسویه نشده (کیلوگرم)]]&gt;0,'گزارش فردی'!$B$7-Main[[#This Row],[تاريخ میلادی]]-'گزارش فردی'!$B$8,0)</f>
        <v>0</v>
      </c>
      <c r="S2242" s="6">
        <f ca="1">Main[[#This Row],[روز از ارسال سفارش]]*Main[[#This Row],[بدهی تسویه نشده (کیلوگرم)]]</f>
        <v>0</v>
      </c>
      <c r="T2242" s="6">
        <f ca="1">Main[[#This Row],[بدهی سررسید شده (کیلوگرم)]]*Main[[#This Row],[روز از ارسال سفارش]]</f>
        <v>0</v>
      </c>
      <c r="U2242" s="6">
        <f>-SUBTOTAL(9,INDEX(Main[مقدار (کیلوگرم)],1):Main[[#This Row],[مقدار (کیلوگرم)]])</f>
        <v>37663</v>
      </c>
      <c r="V22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2" s="6">
        <f>Main[[#This Row],[تعداد کل روزهای بدهکار (روز)]]*Main[[#This Row],[مانده در خط کل (کیلوگرم)]]</f>
        <v>37663</v>
      </c>
      <c r="X2242" s="6">
        <f ca="1">-SUBTOTAL(9,INDEX(Main[مقدار تسویه شده (کیلوگرم)],1):Main[[#This Row],[مقدار تسویه شده (کیلوگرم)]])</f>
        <v>37663</v>
      </c>
      <c r="Y2242" s="6">
        <f ca="1">IF(Main[[#This Row],[مانده در خط تسویه شده (کیلوگرم)]]&lt;&gt;0,Main[[#This Row],[تعداد کل روزهای بدهکار (روز)]],0)</f>
        <v>1</v>
      </c>
      <c r="Z2242" s="6">
        <f ca="1">Main[[#This Row],[تعداد روزهای بدهکار تسویه شده (روز)]]*Main[[#This Row],[مانده در خط تسویه شده (کیلوگرم)]]</f>
        <v>37663</v>
      </c>
      <c r="AA2242" s="6">
        <f ca="1">SUBTOTAL(9,INDEX(Main[بدهی تسویه نشده (کیلوگرم)],1):Main[[#This Row],[بدهی تسویه نشده (کیلوگرم)]])</f>
        <v>0</v>
      </c>
      <c r="AB2242" s="6">
        <f ca="1">IF(Main[[#This Row],[مانده در خط تسویه نشده (کیلوگرم)]]&lt;&gt;0,Main[[#This Row],[تعداد کل روزهای بدهکار (روز)]],0)</f>
        <v>0</v>
      </c>
      <c r="AC2242" s="6">
        <f ca="1">Main[[#This Row],[تعداد روزهای بدهکار  تسویه نشده (روز)]]*Main[[#This Row],[مانده در خط تسویه نشده (کیلوگرم)]]</f>
        <v>0</v>
      </c>
      <c r="AD2242" s="6">
        <f ca="1">SUBTOTAL(9,INDEX(Main[بدهی سررسید شده (کیلوگرم)],1):Main[[#This Row],[بدهی سررسید شده (کیلوگرم)]])</f>
        <v>0</v>
      </c>
      <c r="AE2242" s="6">
        <f ca="1">IF(Main[[#This Row],[مانده در خط سررسید شده (کیلوگرم)]]&lt;&gt;0,Main[[#This Row],[تعداد کل روزهای بدهکار (روز)]],0)</f>
        <v>0</v>
      </c>
      <c r="AF2242" s="6">
        <f ca="1">Main[[#This Row],[تعداد روزهای بدهکار سررسید شده (روز)]]*Main[[#This Row],[مانده در خط سررسید شده (کیلوگرم)]]</f>
        <v>0</v>
      </c>
    </row>
    <row r="2243" spans="1:32" hidden="1" x14ac:dyDescent="0.35">
      <c r="A2243" s="5">
        <f>ROW()-ROW(INDEX(Main[ردیف],1))+1</f>
        <v>2241</v>
      </c>
      <c r="B2243" s="31">
        <f>SUBTOTAL(2,INDEX(Main[ردیف],1):Main[[#This Row],[ردیف]])</f>
        <v>205</v>
      </c>
      <c r="C2243" s="32" t="s">
        <v>774</v>
      </c>
      <c r="D2243" s="32" t="str">
        <f>_xlfn.CONCAT("14",Main[[#This Row],[تاريخ]])</f>
        <v>1400/09/01</v>
      </c>
      <c r="E2243" s="33">
        <v>44522</v>
      </c>
      <c r="F2243" s="32">
        <v>10048</v>
      </c>
      <c r="G2243" s="5" t="str">
        <f>INDEX(customer[عنوان],MATCH(Main[[#This Row],[کد ردیابی]],customer[کد],0))</f>
        <v xml:space="preserve">حسام کریمان  </v>
      </c>
      <c r="H2243">
        <v>758</v>
      </c>
      <c r="I2243" s="6">
        <f ca="1">-Main[[#This Row],[بدهی تسویه شده (کیلوگرم)]]+Main[[#This Row],[بستانکار (کیلوگرم)]]</f>
        <v>758</v>
      </c>
      <c r="J2243" s="6">
        <f>IF(Main[[#This Row],[مقدار (کیلوگرم)]]&gt;0,Main[[#This Row],[مقدار (کیلوگرم)]],0)</f>
        <v>758</v>
      </c>
      <c r="K2243" s="6">
        <f>-IF(Main[[#This Row],[مقدار (کیلوگرم)]]&lt;0,Main[[#This Row],[مقدار (کیلوگرم)]],0)</f>
        <v>0</v>
      </c>
      <c r="L22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3" s="7">
        <f>-IF(AND(Main[[#This Row],[مقدار (کیلوگرم)]]&lt;0,Main[[#This Row],[تاريخ میلادی]]&gt;44276),Main[[#This Row],[مقدار (کیلوگرم)]],0)</f>
        <v>0</v>
      </c>
      <c r="N2243" s="6">
        <f ca="1">Main[[#This Row],[بدهکار (کیلوگرم)]]-Main[[#This Row],[بدهی تسویه نشده (کیلوگرم)]]</f>
        <v>0</v>
      </c>
      <c r="O2243" s="6">
        <f ca="1">Main[[#This Row],[تفکیک]]</f>
        <v>0</v>
      </c>
      <c r="P2243" s="6">
        <f ca="1">IF(Main[[#This Row],[تاخیر از سررسید]]&gt;0,Main[[#This Row],[بدهی تسویه نشده (کیلوگرم)]],0)</f>
        <v>0</v>
      </c>
      <c r="Q2243" s="6">
        <f ca="1">IF(Main[[#This Row],[بدهی تسویه نشده (کیلوگرم)]]&gt;0,'گزارش فردی'!$B$7-Main[[#This Row],[تاريخ میلادی]],0)</f>
        <v>0</v>
      </c>
      <c r="R2243" s="6">
        <f ca="1">IF(Main[[#This Row],[بدهی تسویه نشده (کیلوگرم)]]&gt;0,'گزارش فردی'!$B$7-Main[[#This Row],[تاريخ میلادی]]-'گزارش فردی'!$B$8,0)</f>
        <v>0</v>
      </c>
      <c r="S2243" s="6">
        <f ca="1">Main[[#This Row],[روز از ارسال سفارش]]*Main[[#This Row],[بدهی تسویه نشده (کیلوگرم)]]</f>
        <v>0</v>
      </c>
      <c r="T2243" s="6">
        <f ca="1">Main[[#This Row],[بدهی سررسید شده (کیلوگرم)]]*Main[[#This Row],[روز از ارسال سفارش]]</f>
        <v>0</v>
      </c>
      <c r="U2243" s="6">
        <f>-SUBTOTAL(9,INDEX(Main[مقدار (کیلوگرم)],1):Main[[#This Row],[مقدار (کیلوگرم)]])</f>
        <v>37663</v>
      </c>
      <c r="V22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3" s="6">
        <f>Main[[#This Row],[تعداد کل روزهای بدهکار (روز)]]*Main[[#This Row],[مانده در خط کل (کیلوگرم)]]</f>
        <v>37663</v>
      </c>
      <c r="X2243" s="6">
        <f ca="1">-SUBTOTAL(9,INDEX(Main[مقدار تسویه شده (کیلوگرم)],1):Main[[#This Row],[مقدار تسویه شده (کیلوگرم)]])</f>
        <v>37663</v>
      </c>
      <c r="Y2243" s="6">
        <f ca="1">IF(Main[[#This Row],[مانده در خط تسویه شده (کیلوگرم)]]&lt;&gt;0,Main[[#This Row],[تعداد کل روزهای بدهکار (روز)]],0)</f>
        <v>1</v>
      </c>
      <c r="Z2243" s="6">
        <f ca="1">Main[[#This Row],[تعداد روزهای بدهکار تسویه شده (روز)]]*Main[[#This Row],[مانده در خط تسویه شده (کیلوگرم)]]</f>
        <v>37663</v>
      </c>
      <c r="AA2243" s="6">
        <f ca="1">SUBTOTAL(9,INDEX(Main[بدهی تسویه نشده (کیلوگرم)],1):Main[[#This Row],[بدهی تسویه نشده (کیلوگرم)]])</f>
        <v>0</v>
      </c>
      <c r="AB2243" s="6">
        <f ca="1">IF(Main[[#This Row],[مانده در خط تسویه نشده (کیلوگرم)]]&lt;&gt;0,Main[[#This Row],[تعداد کل روزهای بدهکار (روز)]],0)</f>
        <v>0</v>
      </c>
      <c r="AC2243" s="6">
        <f ca="1">Main[[#This Row],[تعداد روزهای بدهکار  تسویه نشده (روز)]]*Main[[#This Row],[مانده در خط تسویه نشده (کیلوگرم)]]</f>
        <v>0</v>
      </c>
      <c r="AD2243" s="6">
        <f ca="1">SUBTOTAL(9,INDEX(Main[بدهی سررسید شده (کیلوگرم)],1):Main[[#This Row],[بدهی سررسید شده (کیلوگرم)]])</f>
        <v>0</v>
      </c>
      <c r="AE2243" s="6">
        <f ca="1">IF(Main[[#This Row],[مانده در خط سررسید شده (کیلوگرم)]]&lt;&gt;0,Main[[#This Row],[تعداد کل روزهای بدهکار (روز)]],0)</f>
        <v>0</v>
      </c>
      <c r="AF2243" s="6">
        <f ca="1">Main[[#This Row],[تعداد روزهای بدهکار سررسید شده (روز)]]*Main[[#This Row],[مانده در خط سررسید شده (کیلوگرم)]]</f>
        <v>0</v>
      </c>
    </row>
    <row r="2244" spans="1:32" hidden="1" x14ac:dyDescent="0.35">
      <c r="A2244" s="5">
        <f>ROW()-ROW(INDEX(Main[ردیف],1))+1</f>
        <v>2242</v>
      </c>
      <c r="B2244" s="31">
        <f>SUBTOTAL(2,INDEX(Main[ردیف],1):Main[[#This Row],[ردیف]])</f>
        <v>205</v>
      </c>
      <c r="C2244" s="32" t="s">
        <v>774</v>
      </c>
      <c r="D2244" s="32" t="str">
        <f>_xlfn.CONCAT("14",Main[[#This Row],[تاريخ]])</f>
        <v>1400/09/01</v>
      </c>
      <c r="E2244" s="33">
        <v>44522</v>
      </c>
      <c r="F2244" s="32">
        <v>30186</v>
      </c>
      <c r="G2244" s="5" t="str">
        <f>INDEX(customer[عنوان],MATCH(Main[[#This Row],[کد ردیابی]],customer[کد],0))</f>
        <v>سارا گاز</v>
      </c>
      <c r="H2244">
        <v>-930</v>
      </c>
      <c r="I2244" s="6">
        <f ca="1">-Main[[#This Row],[بدهی تسویه شده (کیلوگرم)]]+Main[[#This Row],[بستانکار (کیلوگرم)]]</f>
        <v>-930</v>
      </c>
      <c r="J2244" s="6">
        <f>IF(Main[[#This Row],[مقدار (کیلوگرم)]]&gt;0,Main[[#This Row],[مقدار (کیلوگرم)]],0)</f>
        <v>0</v>
      </c>
      <c r="K2244" s="6">
        <f>-IF(Main[[#This Row],[مقدار (کیلوگرم)]]&lt;0,Main[[#This Row],[مقدار (کیلوگرم)]],0)</f>
        <v>930</v>
      </c>
      <c r="L22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4" s="7">
        <f>-IF(AND(Main[[#This Row],[مقدار (کیلوگرم)]]&lt;0,Main[[#This Row],[تاريخ میلادی]]&gt;44276),Main[[#This Row],[مقدار (کیلوگرم)]],0)</f>
        <v>930</v>
      </c>
      <c r="N2244" s="6">
        <f ca="1">Main[[#This Row],[بدهکار (کیلوگرم)]]-Main[[#This Row],[بدهی تسویه نشده (کیلوگرم)]]</f>
        <v>930</v>
      </c>
      <c r="O2244" s="6">
        <f ca="1">Main[[#This Row],[تفکیک]]</f>
        <v>0</v>
      </c>
      <c r="P2244" s="6">
        <f ca="1">IF(Main[[#This Row],[تاخیر از سررسید]]&gt;0,Main[[#This Row],[بدهی تسویه نشده (کیلوگرم)]],0)</f>
        <v>0</v>
      </c>
      <c r="Q2244" s="6">
        <f ca="1">IF(Main[[#This Row],[بدهی تسویه نشده (کیلوگرم)]]&gt;0,'گزارش فردی'!$B$7-Main[[#This Row],[تاريخ میلادی]],0)</f>
        <v>0</v>
      </c>
      <c r="R2244" s="6">
        <f ca="1">IF(Main[[#This Row],[بدهی تسویه نشده (کیلوگرم)]]&gt;0,'گزارش فردی'!$B$7-Main[[#This Row],[تاريخ میلادی]]-'گزارش فردی'!$B$8,0)</f>
        <v>0</v>
      </c>
      <c r="S2244" s="6">
        <f ca="1">Main[[#This Row],[روز از ارسال سفارش]]*Main[[#This Row],[بدهی تسویه نشده (کیلوگرم)]]</f>
        <v>0</v>
      </c>
      <c r="T2244" s="6">
        <f ca="1">Main[[#This Row],[بدهی سررسید شده (کیلوگرم)]]*Main[[#This Row],[روز از ارسال سفارش]]</f>
        <v>0</v>
      </c>
      <c r="U2244" s="6">
        <f>-SUBTOTAL(9,INDEX(Main[مقدار (کیلوگرم)],1):Main[[#This Row],[مقدار (کیلوگرم)]])</f>
        <v>37663</v>
      </c>
      <c r="V22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4" s="6">
        <f>Main[[#This Row],[تعداد کل روزهای بدهکار (روز)]]*Main[[#This Row],[مانده در خط کل (کیلوگرم)]]</f>
        <v>37663</v>
      </c>
      <c r="X2244" s="6">
        <f ca="1">-SUBTOTAL(9,INDEX(Main[مقدار تسویه شده (کیلوگرم)],1):Main[[#This Row],[مقدار تسویه شده (کیلوگرم)]])</f>
        <v>37663</v>
      </c>
      <c r="Y2244" s="6">
        <f ca="1">IF(Main[[#This Row],[مانده در خط تسویه شده (کیلوگرم)]]&lt;&gt;0,Main[[#This Row],[تعداد کل روزهای بدهکار (روز)]],0)</f>
        <v>1</v>
      </c>
      <c r="Z2244" s="6">
        <f ca="1">Main[[#This Row],[تعداد روزهای بدهکار تسویه شده (روز)]]*Main[[#This Row],[مانده در خط تسویه شده (کیلوگرم)]]</f>
        <v>37663</v>
      </c>
      <c r="AA2244" s="6">
        <f ca="1">SUBTOTAL(9,INDEX(Main[بدهی تسویه نشده (کیلوگرم)],1):Main[[#This Row],[بدهی تسویه نشده (کیلوگرم)]])</f>
        <v>0</v>
      </c>
      <c r="AB2244" s="6">
        <f ca="1">IF(Main[[#This Row],[مانده در خط تسویه نشده (کیلوگرم)]]&lt;&gt;0,Main[[#This Row],[تعداد کل روزهای بدهکار (روز)]],0)</f>
        <v>0</v>
      </c>
      <c r="AC2244" s="6">
        <f ca="1">Main[[#This Row],[تعداد روزهای بدهکار  تسویه نشده (روز)]]*Main[[#This Row],[مانده در خط تسویه نشده (کیلوگرم)]]</f>
        <v>0</v>
      </c>
      <c r="AD2244" s="6">
        <f ca="1">SUBTOTAL(9,INDEX(Main[بدهی سررسید شده (کیلوگرم)],1):Main[[#This Row],[بدهی سررسید شده (کیلوگرم)]])</f>
        <v>0</v>
      </c>
      <c r="AE2244" s="6">
        <f ca="1">IF(Main[[#This Row],[مانده در خط سررسید شده (کیلوگرم)]]&lt;&gt;0,Main[[#This Row],[تعداد کل روزهای بدهکار (روز)]],0)</f>
        <v>0</v>
      </c>
      <c r="AF2244" s="6">
        <f ca="1">Main[[#This Row],[تعداد روزهای بدهکار سررسید شده (روز)]]*Main[[#This Row],[مانده در خط سررسید شده (کیلوگرم)]]</f>
        <v>0</v>
      </c>
    </row>
    <row r="2245" spans="1:32" hidden="1" x14ac:dyDescent="0.35">
      <c r="A2245" s="5">
        <f>ROW()-ROW(INDEX(Main[ردیف],1))+1</f>
        <v>2243</v>
      </c>
      <c r="B2245" s="31">
        <f>SUBTOTAL(2,INDEX(Main[ردیف],1):Main[[#This Row],[ردیف]])</f>
        <v>205</v>
      </c>
      <c r="C2245" s="32" t="s">
        <v>774</v>
      </c>
      <c r="D2245" s="32" t="str">
        <f>_xlfn.CONCAT("14",Main[[#This Row],[تاريخ]])</f>
        <v>1400/09/01</v>
      </c>
      <c r="E2245" s="33">
        <v>44522</v>
      </c>
      <c r="F2245" s="32">
        <v>30137</v>
      </c>
      <c r="G2245" s="5" t="str">
        <f>INDEX(customer[عنوان],MATCH(Main[[#This Row],[کد ردیابی]],customer[کد],0))</f>
        <v>شرکت آفتابگردان</v>
      </c>
      <c r="H2245">
        <v>212</v>
      </c>
      <c r="I2245" s="6">
        <f ca="1">-Main[[#This Row],[بدهی تسویه شده (کیلوگرم)]]+Main[[#This Row],[بستانکار (کیلوگرم)]]</f>
        <v>212</v>
      </c>
      <c r="J2245" s="6">
        <f>IF(Main[[#This Row],[مقدار (کیلوگرم)]]&gt;0,Main[[#This Row],[مقدار (کیلوگرم)]],0)</f>
        <v>212</v>
      </c>
      <c r="K2245" s="6">
        <f>-IF(Main[[#This Row],[مقدار (کیلوگرم)]]&lt;0,Main[[#This Row],[مقدار (کیلوگرم)]],0)</f>
        <v>0</v>
      </c>
      <c r="L22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5" s="7">
        <f>-IF(AND(Main[[#This Row],[مقدار (کیلوگرم)]]&lt;0,Main[[#This Row],[تاريخ میلادی]]&gt;44276),Main[[#This Row],[مقدار (کیلوگرم)]],0)</f>
        <v>0</v>
      </c>
      <c r="N2245" s="6">
        <f ca="1">Main[[#This Row],[بدهکار (کیلوگرم)]]-Main[[#This Row],[بدهی تسویه نشده (کیلوگرم)]]</f>
        <v>0</v>
      </c>
      <c r="O2245" s="6">
        <f ca="1">Main[[#This Row],[تفکیک]]</f>
        <v>0</v>
      </c>
      <c r="P2245" s="6">
        <f ca="1">IF(Main[[#This Row],[تاخیر از سررسید]]&gt;0,Main[[#This Row],[بدهی تسویه نشده (کیلوگرم)]],0)</f>
        <v>0</v>
      </c>
      <c r="Q2245" s="6">
        <f ca="1">IF(Main[[#This Row],[بدهی تسویه نشده (کیلوگرم)]]&gt;0,'گزارش فردی'!$B$7-Main[[#This Row],[تاريخ میلادی]],0)</f>
        <v>0</v>
      </c>
      <c r="R2245" s="6">
        <f ca="1">IF(Main[[#This Row],[بدهی تسویه نشده (کیلوگرم)]]&gt;0,'گزارش فردی'!$B$7-Main[[#This Row],[تاريخ میلادی]]-'گزارش فردی'!$B$8,0)</f>
        <v>0</v>
      </c>
      <c r="S2245" s="6">
        <f ca="1">Main[[#This Row],[روز از ارسال سفارش]]*Main[[#This Row],[بدهی تسویه نشده (کیلوگرم)]]</f>
        <v>0</v>
      </c>
      <c r="T2245" s="6">
        <f ca="1">Main[[#This Row],[بدهی سررسید شده (کیلوگرم)]]*Main[[#This Row],[روز از ارسال سفارش]]</f>
        <v>0</v>
      </c>
      <c r="U2245" s="6">
        <f>-SUBTOTAL(9,INDEX(Main[مقدار (کیلوگرم)],1):Main[[#This Row],[مقدار (کیلوگرم)]])</f>
        <v>37663</v>
      </c>
      <c r="V22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5" s="6">
        <f>Main[[#This Row],[تعداد کل روزهای بدهکار (روز)]]*Main[[#This Row],[مانده در خط کل (کیلوگرم)]]</f>
        <v>37663</v>
      </c>
      <c r="X2245" s="6">
        <f ca="1">-SUBTOTAL(9,INDEX(Main[مقدار تسویه شده (کیلوگرم)],1):Main[[#This Row],[مقدار تسویه شده (کیلوگرم)]])</f>
        <v>37663</v>
      </c>
      <c r="Y2245" s="6">
        <f ca="1">IF(Main[[#This Row],[مانده در خط تسویه شده (کیلوگرم)]]&lt;&gt;0,Main[[#This Row],[تعداد کل روزهای بدهکار (روز)]],0)</f>
        <v>1</v>
      </c>
      <c r="Z2245" s="6">
        <f ca="1">Main[[#This Row],[تعداد روزهای بدهکار تسویه شده (روز)]]*Main[[#This Row],[مانده در خط تسویه شده (کیلوگرم)]]</f>
        <v>37663</v>
      </c>
      <c r="AA2245" s="6">
        <f ca="1">SUBTOTAL(9,INDEX(Main[بدهی تسویه نشده (کیلوگرم)],1):Main[[#This Row],[بدهی تسویه نشده (کیلوگرم)]])</f>
        <v>0</v>
      </c>
      <c r="AB2245" s="6">
        <f ca="1">IF(Main[[#This Row],[مانده در خط تسویه نشده (کیلوگرم)]]&lt;&gt;0,Main[[#This Row],[تعداد کل روزهای بدهکار (روز)]],0)</f>
        <v>0</v>
      </c>
      <c r="AC2245" s="6">
        <f ca="1">Main[[#This Row],[تعداد روزهای بدهکار  تسویه نشده (روز)]]*Main[[#This Row],[مانده در خط تسویه نشده (کیلوگرم)]]</f>
        <v>0</v>
      </c>
      <c r="AD2245" s="6">
        <f ca="1">SUBTOTAL(9,INDEX(Main[بدهی سررسید شده (کیلوگرم)],1):Main[[#This Row],[بدهی سررسید شده (کیلوگرم)]])</f>
        <v>0</v>
      </c>
      <c r="AE2245" s="6">
        <f ca="1">IF(Main[[#This Row],[مانده در خط سررسید شده (کیلوگرم)]]&lt;&gt;0,Main[[#This Row],[تعداد کل روزهای بدهکار (روز)]],0)</f>
        <v>0</v>
      </c>
      <c r="AF2245" s="6">
        <f ca="1">Main[[#This Row],[تعداد روزهای بدهکار سررسید شده (روز)]]*Main[[#This Row],[مانده در خط سررسید شده (کیلوگرم)]]</f>
        <v>0</v>
      </c>
    </row>
    <row r="2246" spans="1:32" hidden="1" x14ac:dyDescent="0.35">
      <c r="A2246" s="5">
        <f>ROW()-ROW(INDEX(Main[ردیف],1))+1</f>
        <v>2244</v>
      </c>
      <c r="B2246" s="31">
        <f>SUBTOTAL(2,INDEX(Main[ردیف],1):Main[[#This Row],[ردیف]])</f>
        <v>205</v>
      </c>
      <c r="C2246" s="32" t="s">
        <v>774</v>
      </c>
      <c r="D2246" s="32" t="str">
        <f>_xlfn.CONCAT("14",Main[[#This Row],[تاريخ]])</f>
        <v>1400/09/01</v>
      </c>
      <c r="E2246" s="33">
        <v>44522</v>
      </c>
      <c r="F2246" s="32">
        <v>30196</v>
      </c>
      <c r="G2246" s="5" t="str">
        <f>INDEX(customer[عنوان],MATCH(Main[[#This Row],[کد ردیابی]],customer[کد],0))</f>
        <v>شرکت فردوس</v>
      </c>
      <c r="H2246">
        <v>-1566</v>
      </c>
      <c r="I2246" s="6">
        <f ca="1">-Main[[#This Row],[بدهی تسویه شده (کیلوگرم)]]+Main[[#This Row],[بستانکار (کیلوگرم)]]</f>
        <v>-1566</v>
      </c>
      <c r="J2246" s="6">
        <f>IF(Main[[#This Row],[مقدار (کیلوگرم)]]&gt;0,Main[[#This Row],[مقدار (کیلوگرم)]],0)</f>
        <v>0</v>
      </c>
      <c r="K2246" s="6">
        <f>-IF(Main[[#This Row],[مقدار (کیلوگرم)]]&lt;0,Main[[#This Row],[مقدار (کیلوگرم)]],0)</f>
        <v>1566</v>
      </c>
      <c r="L22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6" s="7">
        <f>-IF(AND(Main[[#This Row],[مقدار (کیلوگرم)]]&lt;0,Main[[#This Row],[تاريخ میلادی]]&gt;44276),Main[[#This Row],[مقدار (کیلوگرم)]],0)</f>
        <v>1566</v>
      </c>
      <c r="N2246" s="6">
        <f ca="1">Main[[#This Row],[بدهکار (کیلوگرم)]]-Main[[#This Row],[بدهی تسویه نشده (کیلوگرم)]]</f>
        <v>1566</v>
      </c>
      <c r="O2246" s="6">
        <f ca="1">Main[[#This Row],[تفکیک]]</f>
        <v>0</v>
      </c>
      <c r="P2246" s="6">
        <f ca="1">IF(Main[[#This Row],[تاخیر از سررسید]]&gt;0,Main[[#This Row],[بدهی تسویه نشده (کیلوگرم)]],0)</f>
        <v>0</v>
      </c>
      <c r="Q2246" s="6">
        <f ca="1">IF(Main[[#This Row],[بدهی تسویه نشده (کیلوگرم)]]&gt;0,'گزارش فردی'!$B$7-Main[[#This Row],[تاريخ میلادی]],0)</f>
        <v>0</v>
      </c>
      <c r="R2246" s="6">
        <f ca="1">IF(Main[[#This Row],[بدهی تسویه نشده (کیلوگرم)]]&gt;0,'گزارش فردی'!$B$7-Main[[#This Row],[تاريخ میلادی]]-'گزارش فردی'!$B$8,0)</f>
        <v>0</v>
      </c>
      <c r="S2246" s="6">
        <f ca="1">Main[[#This Row],[روز از ارسال سفارش]]*Main[[#This Row],[بدهی تسویه نشده (کیلوگرم)]]</f>
        <v>0</v>
      </c>
      <c r="T2246" s="6">
        <f ca="1">Main[[#This Row],[بدهی سررسید شده (کیلوگرم)]]*Main[[#This Row],[روز از ارسال سفارش]]</f>
        <v>0</v>
      </c>
      <c r="U2246" s="6">
        <f>-SUBTOTAL(9,INDEX(Main[مقدار (کیلوگرم)],1):Main[[#This Row],[مقدار (کیلوگرم)]])</f>
        <v>37663</v>
      </c>
      <c r="V22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6" s="6">
        <f>Main[[#This Row],[تعداد کل روزهای بدهکار (روز)]]*Main[[#This Row],[مانده در خط کل (کیلوگرم)]]</f>
        <v>37663</v>
      </c>
      <c r="X2246" s="6">
        <f ca="1">-SUBTOTAL(9,INDEX(Main[مقدار تسویه شده (کیلوگرم)],1):Main[[#This Row],[مقدار تسویه شده (کیلوگرم)]])</f>
        <v>37663</v>
      </c>
      <c r="Y2246" s="6">
        <f ca="1">IF(Main[[#This Row],[مانده در خط تسویه شده (کیلوگرم)]]&lt;&gt;0,Main[[#This Row],[تعداد کل روزهای بدهکار (روز)]],0)</f>
        <v>1</v>
      </c>
      <c r="Z2246" s="6">
        <f ca="1">Main[[#This Row],[تعداد روزهای بدهکار تسویه شده (روز)]]*Main[[#This Row],[مانده در خط تسویه شده (کیلوگرم)]]</f>
        <v>37663</v>
      </c>
      <c r="AA2246" s="6">
        <f ca="1">SUBTOTAL(9,INDEX(Main[بدهی تسویه نشده (کیلوگرم)],1):Main[[#This Row],[بدهی تسویه نشده (کیلوگرم)]])</f>
        <v>0</v>
      </c>
      <c r="AB2246" s="6">
        <f ca="1">IF(Main[[#This Row],[مانده در خط تسویه نشده (کیلوگرم)]]&lt;&gt;0,Main[[#This Row],[تعداد کل روزهای بدهکار (روز)]],0)</f>
        <v>0</v>
      </c>
      <c r="AC2246" s="6">
        <f ca="1">Main[[#This Row],[تعداد روزهای بدهکار  تسویه نشده (روز)]]*Main[[#This Row],[مانده در خط تسویه نشده (کیلوگرم)]]</f>
        <v>0</v>
      </c>
      <c r="AD2246" s="6">
        <f ca="1">SUBTOTAL(9,INDEX(Main[بدهی سررسید شده (کیلوگرم)],1):Main[[#This Row],[بدهی سررسید شده (کیلوگرم)]])</f>
        <v>0</v>
      </c>
      <c r="AE2246" s="6">
        <f ca="1">IF(Main[[#This Row],[مانده در خط سررسید شده (کیلوگرم)]]&lt;&gt;0,Main[[#This Row],[تعداد کل روزهای بدهکار (روز)]],0)</f>
        <v>0</v>
      </c>
      <c r="AF2246" s="6">
        <f ca="1">Main[[#This Row],[تعداد روزهای بدهکار سررسید شده (روز)]]*Main[[#This Row],[مانده در خط سررسید شده (کیلوگرم)]]</f>
        <v>0</v>
      </c>
    </row>
    <row r="2247" spans="1:32" hidden="1" x14ac:dyDescent="0.35">
      <c r="A2247" s="5">
        <f>ROW()-ROW(INDEX(Main[ردیف],1))+1</f>
        <v>2245</v>
      </c>
      <c r="B2247" s="31">
        <f>SUBTOTAL(2,INDEX(Main[ردیف],1):Main[[#This Row],[ردیف]])</f>
        <v>205</v>
      </c>
      <c r="C2247" s="32" t="s">
        <v>774</v>
      </c>
      <c r="D2247" s="32" t="str">
        <f>_xlfn.CONCAT("14",Main[[#This Row],[تاريخ]])</f>
        <v>1400/09/01</v>
      </c>
      <c r="E2247" s="33">
        <v>44522</v>
      </c>
      <c r="F2247" s="32">
        <v>30024</v>
      </c>
      <c r="G2247" s="5" t="str">
        <f>INDEX(customer[عنوان],MATCH(Main[[#This Row],[کد ردیابی]],customer[کد],0))</f>
        <v xml:space="preserve">یراق گستر شبکه </v>
      </c>
      <c r="H2247">
        <v>120</v>
      </c>
      <c r="I2247" s="6">
        <f ca="1">-Main[[#This Row],[بدهی تسویه شده (کیلوگرم)]]+Main[[#This Row],[بستانکار (کیلوگرم)]]</f>
        <v>120</v>
      </c>
      <c r="J2247" s="6">
        <f>IF(Main[[#This Row],[مقدار (کیلوگرم)]]&gt;0,Main[[#This Row],[مقدار (کیلوگرم)]],0)</f>
        <v>120</v>
      </c>
      <c r="K2247" s="6">
        <f>-IF(Main[[#This Row],[مقدار (کیلوگرم)]]&lt;0,Main[[#This Row],[مقدار (کیلوگرم)]],0)</f>
        <v>0</v>
      </c>
      <c r="L22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7" s="7">
        <f>-IF(AND(Main[[#This Row],[مقدار (کیلوگرم)]]&lt;0,Main[[#This Row],[تاريخ میلادی]]&gt;44276),Main[[#This Row],[مقدار (کیلوگرم)]],0)</f>
        <v>0</v>
      </c>
      <c r="N2247" s="6">
        <f ca="1">Main[[#This Row],[بدهکار (کیلوگرم)]]-Main[[#This Row],[بدهی تسویه نشده (کیلوگرم)]]</f>
        <v>0</v>
      </c>
      <c r="O2247" s="6">
        <f ca="1">Main[[#This Row],[تفکیک]]</f>
        <v>0</v>
      </c>
      <c r="P2247" s="6">
        <f ca="1">IF(Main[[#This Row],[تاخیر از سررسید]]&gt;0,Main[[#This Row],[بدهی تسویه نشده (کیلوگرم)]],0)</f>
        <v>0</v>
      </c>
      <c r="Q2247" s="6">
        <f ca="1">IF(Main[[#This Row],[بدهی تسویه نشده (کیلوگرم)]]&gt;0,'گزارش فردی'!$B$7-Main[[#This Row],[تاريخ میلادی]],0)</f>
        <v>0</v>
      </c>
      <c r="R2247" s="6">
        <f ca="1">IF(Main[[#This Row],[بدهی تسویه نشده (کیلوگرم)]]&gt;0,'گزارش فردی'!$B$7-Main[[#This Row],[تاريخ میلادی]]-'گزارش فردی'!$B$8,0)</f>
        <v>0</v>
      </c>
      <c r="S2247" s="6">
        <f ca="1">Main[[#This Row],[روز از ارسال سفارش]]*Main[[#This Row],[بدهی تسویه نشده (کیلوگرم)]]</f>
        <v>0</v>
      </c>
      <c r="T2247" s="6">
        <f ca="1">Main[[#This Row],[بدهی سررسید شده (کیلوگرم)]]*Main[[#This Row],[روز از ارسال سفارش]]</f>
        <v>0</v>
      </c>
      <c r="U2247" s="6">
        <f>-SUBTOTAL(9,INDEX(Main[مقدار (کیلوگرم)],1):Main[[#This Row],[مقدار (کیلوگرم)]])</f>
        <v>37663</v>
      </c>
      <c r="V22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7" s="6">
        <f>Main[[#This Row],[تعداد کل روزهای بدهکار (روز)]]*Main[[#This Row],[مانده در خط کل (کیلوگرم)]]</f>
        <v>37663</v>
      </c>
      <c r="X2247" s="6">
        <f ca="1">-SUBTOTAL(9,INDEX(Main[مقدار تسویه شده (کیلوگرم)],1):Main[[#This Row],[مقدار تسویه شده (کیلوگرم)]])</f>
        <v>37663</v>
      </c>
      <c r="Y2247" s="6">
        <f ca="1">IF(Main[[#This Row],[مانده در خط تسویه شده (کیلوگرم)]]&lt;&gt;0,Main[[#This Row],[تعداد کل روزهای بدهکار (روز)]],0)</f>
        <v>1</v>
      </c>
      <c r="Z2247" s="6">
        <f ca="1">Main[[#This Row],[تعداد روزهای بدهکار تسویه شده (روز)]]*Main[[#This Row],[مانده در خط تسویه شده (کیلوگرم)]]</f>
        <v>37663</v>
      </c>
      <c r="AA2247" s="6">
        <f ca="1">SUBTOTAL(9,INDEX(Main[بدهی تسویه نشده (کیلوگرم)],1):Main[[#This Row],[بدهی تسویه نشده (کیلوگرم)]])</f>
        <v>0</v>
      </c>
      <c r="AB2247" s="6">
        <f ca="1">IF(Main[[#This Row],[مانده در خط تسویه نشده (کیلوگرم)]]&lt;&gt;0,Main[[#This Row],[تعداد کل روزهای بدهکار (روز)]],0)</f>
        <v>0</v>
      </c>
      <c r="AC2247" s="6">
        <f ca="1">Main[[#This Row],[تعداد روزهای بدهکار  تسویه نشده (روز)]]*Main[[#This Row],[مانده در خط تسویه نشده (کیلوگرم)]]</f>
        <v>0</v>
      </c>
      <c r="AD2247" s="6">
        <f ca="1">SUBTOTAL(9,INDEX(Main[بدهی سررسید شده (کیلوگرم)],1):Main[[#This Row],[بدهی سررسید شده (کیلوگرم)]])</f>
        <v>0</v>
      </c>
      <c r="AE2247" s="6">
        <f ca="1">IF(Main[[#This Row],[مانده در خط سررسید شده (کیلوگرم)]]&lt;&gt;0,Main[[#This Row],[تعداد کل روزهای بدهکار (روز)]],0)</f>
        <v>0</v>
      </c>
      <c r="AF2247" s="6">
        <f ca="1">Main[[#This Row],[تعداد روزهای بدهکار سررسید شده (روز)]]*Main[[#This Row],[مانده در خط سررسید شده (کیلوگرم)]]</f>
        <v>0</v>
      </c>
    </row>
    <row r="2248" spans="1:32" hidden="1" x14ac:dyDescent="0.35">
      <c r="A2248" s="5">
        <f>ROW()-ROW(INDEX(Main[ردیف],1))+1</f>
        <v>2246</v>
      </c>
      <c r="B2248" s="31">
        <f>SUBTOTAL(2,INDEX(Main[ردیف],1):Main[[#This Row],[ردیف]])</f>
        <v>205</v>
      </c>
      <c r="C2248" s="32" t="s">
        <v>774</v>
      </c>
      <c r="D2248" s="32" t="str">
        <f>_xlfn.CONCAT("14",Main[[#This Row],[تاريخ]])</f>
        <v>1400/09/01</v>
      </c>
      <c r="E2248" s="33">
        <v>44522</v>
      </c>
      <c r="F2248" s="32">
        <v>30024</v>
      </c>
      <c r="G2248" s="5" t="str">
        <f>INDEX(customer[عنوان],MATCH(Main[[#This Row],[کد ردیابی]],customer[کد],0))</f>
        <v xml:space="preserve">یراق گستر شبکه </v>
      </c>
      <c r="H2248">
        <v>-402</v>
      </c>
      <c r="I2248" s="6">
        <f ca="1">-Main[[#This Row],[بدهی تسویه شده (کیلوگرم)]]+Main[[#This Row],[بستانکار (کیلوگرم)]]</f>
        <v>-402</v>
      </c>
      <c r="J2248" s="6">
        <f>IF(Main[[#This Row],[مقدار (کیلوگرم)]]&gt;0,Main[[#This Row],[مقدار (کیلوگرم)]],0)</f>
        <v>0</v>
      </c>
      <c r="K2248" s="6">
        <f>-IF(Main[[#This Row],[مقدار (کیلوگرم)]]&lt;0,Main[[#This Row],[مقدار (کیلوگرم)]],0)</f>
        <v>402</v>
      </c>
      <c r="L22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8" s="7">
        <f>-IF(AND(Main[[#This Row],[مقدار (کیلوگرم)]]&lt;0,Main[[#This Row],[تاريخ میلادی]]&gt;44276),Main[[#This Row],[مقدار (کیلوگرم)]],0)</f>
        <v>402</v>
      </c>
      <c r="N2248" s="6">
        <f ca="1">Main[[#This Row],[بدهکار (کیلوگرم)]]-Main[[#This Row],[بدهی تسویه نشده (کیلوگرم)]]</f>
        <v>402</v>
      </c>
      <c r="O2248" s="6">
        <f ca="1">Main[[#This Row],[تفکیک]]</f>
        <v>0</v>
      </c>
      <c r="P2248" s="6">
        <f ca="1">IF(Main[[#This Row],[تاخیر از سررسید]]&gt;0,Main[[#This Row],[بدهی تسویه نشده (کیلوگرم)]],0)</f>
        <v>0</v>
      </c>
      <c r="Q2248" s="6">
        <f ca="1">IF(Main[[#This Row],[بدهی تسویه نشده (کیلوگرم)]]&gt;0,'گزارش فردی'!$B$7-Main[[#This Row],[تاريخ میلادی]],0)</f>
        <v>0</v>
      </c>
      <c r="R2248" s="6">
        <f ca="1">IF(Main[[#This Row],[بدهی تسویه نشده (کیلوگرم)]]&gt;0,'گزارش فردی'!$B$7-Main[[#This Row],[تاريخ میلادی]]-'گزارش فردی'!$B$8,0)</f>
        <v>0</v>
      </c>
      <c r="S2248" s="6">
        <f ca="1">Main[[#This Row],[روز از ارسال سفارش]]*Main[[#This Row],[بدهی تسویه نشده (کیلوگرم)]]</f>
        <v>0</v>
      </c>
      <c r="T2248" s="6">
        <f ca="1">Main[[#This Row],[بدهی سررسید شده (کیلوگرم)]]*Main[[#This Row],[روز از ارسال سفارش]]</f>
        <v>0</v>
      </c>
      <c r="U2248" s="6">
        <f>-SUBTOTAL(9,INDEX(Main[مقدار (کیلوگرم)],1):Main[[#This Row],[مقدار (کیلوگرم)]])</f>
        <v>37663</v>
      </c>
      <c r="V22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8" s="6">
        <f>Main[[#This Row],[تعداد کل روزهای بدهکار (روز)]]*Main[[#This Row],[مانده در خط کل (کیلوگرم)]]</f>
        <v>37663</v>
      </c>
      <c r="X2248" s="6">
        <f ca="1">-SUBTOTAL(9,INDEX(Main[مقدار تسویه شده (کیلوگرم)],1):Main[[#This Row],[مقدار تسویه شده (کیلوگرم)]])</f>
        <v>37663</v>
      </c>
      <c r="Y2248" s="6">
        <f ca="1">IF(Main[[#This Row],[مانده در خط تسویه شده (کیلوگرم)]]&lt;&gt;0,Main[[#This Row],[تعداد کل روزهای بدهکار (روز)]],0)</f>
        <v>1</v>
      </c>
      <c r="Z2248" s="6">
        <f ca="1">Main[[#This Row],[تعداد روزهای بدهکار تسویه شده (روز)]]*Main[[#This Row],[مانده در خط تسویه شده (کیلوگرم)]]</f>
        <v>37663</v>
      </c>
      <c r="AA2248" s="6">
        <f ca="1">SUBTOTAL(9,INDEX(Main[بدهی تسویه نشده (کیلوگرم)],1):Main[[#This Row],[بدهی تسویه نشده (کیلوگرم)]])</f>
        <v>0</v>
      </c>
      <c r="AB2248" s="6">
        <f ca="1">IF(Main[[#This Row],[مانده در خط تسویه نشده (کیلوگرم)]]&lt;&gt;0,Main[[#This Row],[تعداد کل روزهای بدهکار (روز)]],0)</f>
        <v>0</v>
      </c>
      <c r="AC2248" s="6">
        <f ca="1">Main[[#This Row],[تعداد روزهای بدهکار  تسویه نشده (روز)]]*Main[[#This Row],[مانده در خط تسویه نشده (کیلوگرم)]]</f>
        <v>0</v>
      </c>
      <c r="AD2248" s="6">
        <f ca="1">SUBTOTAL(9,INDEX(Main[بدهی سررسید شده (کیلوگرم)],1):Main[[#This Row],[بدهی سررسید شده (کیلوگرم)]])</f>
        <v>0</v>
      </c>
      <c r="AE2248" s="6">
        <f ca="1">IF(Main[[#This Row],[مانده در خط سررسید شده (کیلوگرم)]]&lt;&gt;0,Main[[#This Row],[تعداد کل روزهای بدهکار (روز)]],0)</f>
        <v>0</v>
      </c>
      <c r="AF2248" s="6">
        <f ca="1">Main[[#This Row],[تعداد روزهای بدهکار سررسید شده (روز)]]*Main[[#This Row],[مانده در خط سررسید شده (کیلوگرم)]]</f>
        <v>0</v>
      </c>
    </row>
    <row r="2249" spans="1:32" hidden="1" x14ac:dyDescent="0.35">
      <c r="A2249" s="5">
        <f>ROW()-ROW(INDEX(Main[ردیف],1))+1</f>
        <v>2247</v>
      </c>
      <c r="B2249" s="31">
        <f>SUBTOTAL(2,INDEX(Main[ردیف],1):Main[[#This Row],[ردیف]])</f>
        <v>205</v>
      </c>
      <c r="C2249" s="32" t="s">
        <v>774</v>
      </c>
      <c r="D2249" s="32" t="str">
        <f>_xlfn.CONCAT("14",Main[[#This Row],[تاريخ]])</f>
        <v>1400/09/01</v>
      </c>
      <c r="E2249" s="33">
        <v>44522</v>
      </c>
      <c r="F2249" s="32">
        <v>10029</v>
      </c>
      <c r="G2249" s="5" t="str">
        <f>INDEX(customer[عنوان],MATCH(Main[[#This Row],[کد ردیابی]],customer[کد],0))</f>
        <v>رضا شریعتی</v>
      </c>
      <c r="H2249">
        <v>522</v>
      </c>
      <c r="I2249" s="6">
        <f ca="1">-Main[[#This Row],[بدهی تسویه شده (کیلوگرم)]]+Main[[#This Row],[بستانکار (کیلوگرم)]]</f>
        <v>522</v>
      </c>
      <c r="J2249" s="6">
        <f>IF(Main[[#This Row],[مقدار (کیلوگرم)]]&gt;0,Main[[#This Row],[مقدار (کیلوگرم)]],0)</f>
        <v>522</v>
      </c>
      <c r="K2249" s="6">
        <f>-IF(Main[[#This Row],[مقدار (کیلوگرم)]]&lt;0,Main[[#This Row],[مقدار (کیلوگرم)]],0)</f>
        <v>0</v>
      </c>
      <c r="L22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9" s="7">
        <f>-IF(AND(Main[[#This Row],[مقدار (کیلوگرم)]]&lt;0,Main[[#This Row],[تاريخ میلادی]]&gt;44276),Main[[#This Row],[مقدار (کیلوگرم)]],0)</f>
        <v>0</v>
      </c>
      <c r="N2249" s="6">
        <f ca="1">Main[[#This Row],[بدهکار (کیلوگرم)]]-Main[[#This Row],[بدهی تسویه نشده (کیلوگرم)]]</f>
        <v>0</v>
      </c>
      <c r="O2249" s="6">
        <f ca="1">Main[[#This Row],[تفکیک]]</f>
        <v>0</v>
      </c>
      <c r="P2249" s="6">
        <f ca="1">IF(Main[[#This Row],[تاخیر از سررسید]]&gt;0,Main[[#This Row],[بدهی تسویه نشده (کیلوگرم)]],0)</f>
        <v>0</v>
      </c>
      <c r="Q2249" s="6">
        <f ca="1">IF(Main[[#This Row],[بدهی تسویه نشده (کیلوگرم)]]&gt;0,'گزارش فردی'!$B$7-Main[[#This Row],[تاريخ میلادی]],0)</f>
        <v>0</v>
      </c>
      <c r="R2249" s="6">
        <f ca="1">IF(Main[[#This Row],[بدهی تسویه نشده (کیلوگرم)]]&gt;0,'گزارش فردی'!$B$7-Main[[#This Row],[تاريخ میلادی]]-'گزارش فردی'!$B$8,0)</f>
        <v>0</v>
      </c>
      <c r="S2249" s="6">
        <f ca="1">Main[[#This Row],[روز از ارسال سفارش]]*Main[[#This Row],[بدهی تسویه نشده (کیلوگرم)]]</f>
        <v>0</v>
      </c>
      <c r="T2249" s="6">
        <f ca="1">Main[[#This Row],[بدهی سررسید شده (کیلوگرم)]]*Main[[#This Row],[روز از ارسال سفارش]]</f>
        <v>0</v>
      </c>
      <c r="U2249" s="6">
        <f>-SUBTOTAL(9,INDEX(Main[مقدار (کیلوگرم)],1):Main[[#This Row],[مقدار (کیلوگرم)]])</f>
        <v>37663</v>
      </c>
      <c r="V22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9" s="6">
        <f>Main[[#This Row],[تعداد کل روزهای بدهکار (روز)]]*Main[[#This Row],[مانده در خط کل (کیلوگرم)]]</f>
        <v>37663</v>
      </c>
      <c r="X2249" s="6">
        <f ca="1">-SUBTOTAL(9,INDEX(Main[مقدار تسویه شده (کیلوگرم)],1):Main[[#This Row],[مقدار تسویه شده (کیلوگرم)]])</f>
        <v>37663</v>
      </c>
      <c r="Y2249" s="6">
        <f ca="1">IF(Main[[#This Row],[مانده در خط تسویه شده (کیلوگرم)]]&lt;&gt;0,Main[[#This Row],[تعداد کل روزهای بدهکار (روز)]],0)</f>
        <v>1</v>
      </c>
      <c r="Z2249" s="6">
        <f ca="1">Main[[#This Row],[تعداد روزهای بدهکار تسویه شده (روز)]]*Main[[#This Row],[مانده در خط تسویه شده (کیلوگرم)]]</f>
        <v>37663</v>
      </c>
      <c r="AA2249" s="6">
        <f ca="1">SUBTOTAL(9,INDEX(Main[بدهی تسویه نشده (کیلوگرم)],1):Main[[#This Row],[بدهی تسویه نشده (کیلوگرم)]])</f>
        <v>0</v>
      </c>
      <c r="AB2249" s="6">
        <f ca="1">IF(Main[[#This Row],[مانده در خط تسویه نشده (کیلوگرم)]]&lt;&gt;0,Main[[#This Row],[تعداد کل روزهای بدهکار (روز)]],0)</f>
        <v>0</v>
      </c>
      <c r="AC2249" s="6">
        <f ca="1">Main[[#This Row],[تعداد روزهای بدهکار  تسویه نشده (روز)]]*Main[[#This Row],[مانده در خط تسویه نشده (کیلوگرم)]]</f>
        <v>0</v>
      </c>
      <c r="AD2249" s="6">
        <f ca="1">SUBTOTAL(9,INDEX(Main[بدهی سررسید شده (کیلوگرم)],1):Main[[#This Row],[بدهی سررسید شده (کیلوگرم)]])</f>
        <v>0</v>
      </c>
      <c r="AE2249" s="6">
        <f ca="1">IF(Main[[#This Row],[مانده در خط سررسید شده (کیلوگرم)]]&lt;&gt;0,Main[[#This Row],[تعداد کل روزهای بدهکار (روز)]],0)</f>
        <v>0</v>
      </c>
      <c r="AF2249" s="6">
        <f ca="1">Main[[#This Row],[تعداد روزهای بدهکار سررسید شده (روز)]]*Main[[#This Row],[مانده در خط سررسید شده (کیلوگرم)]]</f>
        <v>0</v>
      </c>
    </row>
    <row r="2250" spans="1:32" hidden="1" x14ac:dyDescent="0.35">
      <c r="A2250" s="5">
        <f>ROW()-ROW(INDEX(Main[ردیف],1))+1</f>
        <v>2248</v>
      </c>
      <c r="B2250" s="31">
        <f>SUBTOTAL(2,INDEX(Main[ردیف],1):Main[[#This Row],[ردیف]])</f>
        <v>205</v>
      </c>
      <c r="C2250" s="32" t="s">
        <v>774</v>
      </c>
      <c r="D2250" s="32" t="str">
        <f>_xlfn.CONCAT("14",Main[[#This Row],[تاريخ]])</f>
        <v>1400/09/01</v>
      </c>
      <c r="E2250" s="33">
        <v>44522</v>
      </c>
      <c r="F2250" s="32">
        <v>10048</v>
      </c>
      <c r="G2250" s="5" t="str">
        <f>INDEX(customer[عنوان],MATCH(Main[[#This Row],[کد ردیابی]],customer[کد],0))</f>
        <v xml:space="preserve">حسام کریمان  </v>
      </c>
      <c r="H2250">
        <v>-568</v>
      </c>
      <c r="I2250" s="6">
        <f ca="1">-Main[[#This Row],[بدهی تسویه شده (کیلوگرم)]]+Main[[#This Row],[بستانکار (کیلوگرم)]]</f>
        <v>-568</v>
      </c>
      <c r="J2250" s="6">
        <f>IF(Main[[#This Row],[مقدار (کیلوگرم)]]&gt;0,Main[[#This Row],[مقدار (کیلوگرم)]],0)</f>
        <v>0</v>
      </c>
      <c r="K2250" s="6">
        <f>-IF(Main[[#This Row],[مقدار (کیلوگرم)]]&lt;0,Main[[#This Row],[مقدار (کیلوگرم)]],0)</f>
        <v>568</v>
      </c>
      <c r="L22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0" s="7">
        <f>-IF(AND(Main[[#This Row],[مقدار (کیلوگرم)]]&lt;0,Main[[#This Row],[تاريخ میلادی]]&gt;44276),Main[[#This Row],[مقدار (کیلوگرم)]],0)</f>
        <v>568</v>
      </c>
      <c r="N2250" s="6">
        <f ca="1">Main[[#This Row],[بدهکار (کیلوگرم)]]-Main[[#This Row],[بدهی تسویه نشده (کیلوگرم)]]</f>
        <v>568</v>
      </c>
      <c r="O2250" s="6">
        <f ca="1">Main[[#This Row],[تفکیک]]</f>
        <v>0</v>
      </c>
      <c r="P2250" s="6">
        <f ca="1">IF(Main[[#This Row],[تاخیر از سررسید]]&gt;0,Main[[#This Row],[بدهی تسویه نشده (کیلوگرم)]],0)</f>
        <v>0</v>
      </c>
      <c r="Q2250" s="6">
        <f ca="1">IF(Main[[#This Row],[بدهی تسویه نشده (کیلوگرم)]]&gt;0,'گزارش فردی'!$B$7-Main[[#This Row],[تاريخ میلادی]],0)</f>
        <v>0</v>
      </c>
      <c r="R2250" s="6">
        <f ca="1">IF(Main[[#This Row],[بدهی تسویه نشده (کیلوگرم)]]&gt;0,'گزارش فردی'!$B$7-Main[[#This Row],[تاريخ میلادی]]-'گزارش فردی'!$B$8,0)</f>
        <v>0</v>
      </c>
      <c r="S2250" s="6">
        <f ca="1">Main[[#This Row],[روز از ارسال سفارش]]*Main[[#This Row],[بدهی تسویه نشده (کیلوگرم)]]</f>
        <v>0</v>
      </c>
      <c r="T2250" s="6">
        <f ca="1">Main[[#This Row],[بدهی سررسید شده (کیلوگرم)]]*Main[[#This Row],[روز از ارسال سفارش]]</f>
        <v>0</v>
      </c>
      <c r="U2250" s="6">
        <f>-SUBTOTAL(9,INDEX(Main[مقدار (کیلوگرم)],1):Main[[#This Row],[مقدار (کیلوگرم)]])</f>
        <v>37663</v>
      </c>
      <c r="V22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0" s="6">
        <f>Main[[#This Row],[تعداد کل روزهای بدهکار (روز)]]*Main[[#This Row],[مانده در خط کل (کیلوگرم)]]</f>
        <v>37663</v>
      </c>
      <c r="X2250" s="6">
        <f ca="1">-SUBTOTAL(9,INDEX(Main[مقدار تسویه شده (کیلوگرم)],1):Main[[#This Row],[مقدار تسویه شده (کیلوگرم)]])</f>
        <v>37663</v>
      </c>
      <c r="Y2250" s="6">
        <f ca="1">IF(Main[[#This Row],[مانده در خط تسویه شده (کیلوگرم)]]&lt;&gt;0,Main[[#This Row],[تعداد کل روزهای بدهکار (روز)]],0)</f>
        <v>1</v>
      </c>
      <c r="Z2250" s="6">
        <f ca="1">Main[[#This Row],[تعداد روزهای بدهکار تسویه شده (روز)]]*Main[[#This Row],[مانده در خط تسویه شده (کیلوگرم)]]</f>
        <v>37663</v>
      </c>
      <c r="AA2250" s="6">
        <f ca="1">SUBTOTAL(9,INDEX(Main[بدهی تسویه نشده (کیلوگرم)],1):Main[[#This Row],[بدهی تسویه نشده (کیلوگرم)]])</f>
        <v>0</v>
      </c>
      <c r="AB2250" s="6">
        <f ca="1">IF(Main[[#This Row],[مانده در خط تسویه نشده (کیلوگرم)]]&lt;&gt;0,Main[[#This Row],[تعداد کل روزهای بدهکار (روز)]],0)</f>
        <v>0</v>
      </c>
      <c r="AC2250" s="6">
        <f ca="1">Main[[#This Row],[تعداد روزهای بدهکار  تسویه نشده (روز)]]*Main[[#This Row],[مانده در خط تسویه نشده (کیلوگرم)]]</f>
        <v>0</v>
      </c>
      <c r="AD2250" s="6">
        <f ca="1">SUBTOTAL(9,INDEX(Main[بدهی سررسید شده (کیلوگرم)],1):Main[[#This Row],[بدهی سررسید شده (کیلوگرم)]])</f>
        <v>0</v>
      </c>
      <c r="AE2250" s="6">
        <f ca="1">IF(Main[[#This Row],[مانده در خط سررسید شده (کیلوگرم)]]&lt;&gt;0,Main[[#This Row],[تعداد کل روزهای بدهکار (روز)]],0)</f>
        <v>0</v>
      </c>
      <c r="AF2250" s="6">
        <f ca="1">Main[[#This Row],[تعداد روزهای بدهکار سررسید شده (روز)]]*Main[[#This Row],[مانده در خط سررسید شده (کیلوگرم)]]</f>
        <v>0</v>
      </c>
    </row>
    <row r="2251" spans="1:32" hidden="1" x14ac:dyDescent="0.35">
      <c r="A2251" s="5">
        <f>ROW()-ROW(INDEX(Main[ردیف],1))+1</f>
        <v>2249</v>
      </c>
      <c r="B2251" s="31">
        <f>SUBTOTAL(2,INDEX(Main[ردیف],1):Main[[#This Row],[ردیف]])</f>
        <v>205</v>
      </c>
      <c r="C2251" s="32" t="s">
        <v>774</v>
      </c>
      <c r="D2251" s="32" t="str">
        <f>_xlfn.CONCAT("14",Main[[#This Row],[تاريخ]])</f>
        <v>1400/09/01</v>
      </c>
      <c r="E2251" s="33">
        <v>44522</v>
      </c>
      <c r="F2251" s="32">
        <v>30146</v>
      </c>
      <c r="G2251" s="5" t="str">
        <f>INDEX(customer[عنوان],MATCH(Main[[#This Row],[کد ردیابی]],customer[کد],0))</f>
        <v>شرکت آذرپاد</v>
      </c>
      <c r="H2251">
        <v>550</v>
      </c>
      <c r="I2251" s="6">
        <f ca="1">-Main[[#This Row],[بدهی تسویه شده (کیلوگرم)]]+Main[[#This Row],[بستانکار (کیلوگرم)]]</f>
        <v>550</v>
      </c>
      <c r="J2251" s="6">
        <f>IF(Main[[#This Row],[مقدار (کیلوگرم)]]&gt;0,Main[[#This Row],[مقدار (کیلوگرم)]],0)</f>
        <v>550</v>
      </c>
      <c r="K2251" s="6">
        <f>-IF(Main[[#This Row],[مقدار (کیلوگرم)]]&lt;0,Main[[#This Row],[مقدار (کیلوگرم)]],0)</f>
        <v>0</v>
      </c>
      <c r="L22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1" s="7">
        <f>-IF(AND(Main[[#This Row],[مقدار (کیلوگرم)]]&lt;0,Main[[#This Row],[تاريخ میلادی]]&gt;44276),Main[[#This Row],[مقدار (کیلوگرم)]],0)</f>
        <v>0</v>
      </c>
      <c r="N2251" s="6">
        <f ca="1">Main[[#This Row],[بدهکار (کیلوگرم)]]-Main[[#This Row],[بدهی تسویه نشده (کیلوگرم)]]</f>
        <v>0</v>
      </c>
      <c r="O2251" s="6">
        <f ca="1">Main[[#This Row],[تفکیک]]</f>
        <v>0</v>
      </c>
      <c r="P2251" s="6">
        <f ca="1">IF(Main[[#This Row],[تاخیر از سررسید]]&gt;0,Main[[#This Row],[بدهی تسویه نشده (کیلوگرم)]],0)</f>
        <v>0</v>
      </c>
      <c r="Q2251" s="6">
        <f ca="1">IF(Main[[#This Row],[بدهی تسویه نشده (کیلوگرم)]]&gt;0,'گزارش فردی'!$B$7-Main[[#This Row],[تاريخ میلادی]],0)</f>
        <v>0</v>
      </c>
      <c r="R2251" s="6">
        <f ca="1">IF(Main[[#This Row],[بدهی تسویه نشده (کیلوگرم)]]&gt;0,'گزارش فردی'!$B$7-Main[[#This Row],[تاريخ میلادی]]-'گزارش فردی'!$B$8,0)</f>
        <v>0</v>
      </c>
      <c r="S2251" s="6">
        <f ca="1">Main[[#This Row],[روز از ارسال سفارش]]*Main[[#This Row],[بدهی تسویه نشده (کیلوگرم)]]</f>
        <v>0</v>
      </c>
      <c r="T2251" s="6">
        <f ca="1">Main[[#This Row],[بدهی سررسید شده (کیلوگرم)]]*Main[[#This Row],[روز از ارسال سفارش]]</f>
        <v>0</v>
      </c>
      <c r="U2251" s="6">
        <f>-SUBTOTAL(9,INDEX(Main[مقدار (کیلوگرم)],1):Main[[#This Row],[مقدار (کیلوگرم)]])</f>
        <v>37663</v>
      </c>
      <c r="V22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1" s="6">
        <f>Main[[#This Row],[تعداد کل روزهای بدهکار (روز)]]*Main[[#This Row],[مانده در خط کل (کیلوگرم)]]</f>
        <v>37663</v>
      </c>
      <c r="X2251" s="6">
        <f ca="1">-SUBTOTAL(9,INDEX(Main[مقدار تسویه شده (کیلوگرم)],1):Main[[#This Row],[مقدار تسویه شده (کیلوگرم)]])</f>
        <v>37663</v>
      </c>
      <c r="Y2251" s="6">
        <f ca="1">IF(Main[[#This Row],[مانده در خط تسویه شده (کیلوگرم)]]&lt;&gt;0,Main[[#This Row],[تعداد کل روزهای بدهکار (روز)]],0)</f>
        <v>1</v>
      </c>
      <c r="Z2251" s="6">
        <f ca="1">Main[[#This Row],[تعداد روزهای بدهکار تسویه شده (روز)]]*Main[[#This Row],[مانده در خط تسویه شده (کیلوگرم)]]</f>
        <v>37663</v>
      </c>
      <c r="AA2251" s="6">
        <f ca="1">SUBTOTAL(9,INDEX(Main[بدهی تسویه نشده (کیلوگرم)],1):Main[[#This Row],[بدهی تسویه نشده (کیلوگرم)]])</f>
        <v>0</v>
      </c>
      <c r="AB2251" s="6">
        <f ca="1">IF(Main[[#This Row],[مانده در خط تسویه نشده (کیلوگرم)]]&lt;&gt;0,Main[[#This Row],[تعداد کل روزهای بدهکار (روز)]],0)</f>
        <v>0</v>
      </c>
      <c r="AC2251" s="6">
        <f ca="1">Main[[#This Row],[تعداد روزهای بدهکار  تسویه نشده (روز)]]*Main[[#This Row],[مانده در خط تسویه نشده (کیلوگرم)]]</f>
        <v>0</v>
      </c>
      <c r="AD2251" s="6">
        <f ca="1">SUBTOTAL(9,INDEX(Main[بدهی سررسید شده (کیلوگرم)],1):Main[[#This Row],[بدهی سررسید شده (کیلوگرم)]])</f>
        <v>0</v>
      </c>
      <c r="AE2251" s="6">
        <f ca="1">IF(Main[[#This Row],[مانده در خط سررسید شده (کیلوگرم)]]&lt;&gt;0,Main[[#This Row],[تعداد کل روزهای بدهکار (روز)]],0)</f>
        <v>0</v>
      </c>
      <c r="AF2251" s="6">
        <f ca="1">Main[[#This Row],[تعداد روزهای بدهکار سررسید شده (روز)]]*Main[[#This Row],[مانده در خط سررسید شده (کیلوگرم)]]</f>
        <v>0</v>
      </c>
    </row>
    <row r="2252" spans="1:32" hidden="1" x14ac:dyDescent="0.35">
      <c r="A2252" s="5">
        <f>ROW()-ROW(INDEX(Main[ردیف],1))+1</f>
        <v>2250</v>
      </c>
      <c r="B2252" s="31">
        <f>SUBTOTAL(2,INDEX(Main[ردیف],1):Main[[#This Row],[ردیف]])</f>
        <v>205</v>
      </c>
      <c r="C2252" s="32" t="s">
        <v>774</v>
      </c>
      <c r="D2252" s="32" t="str">
        <f>_xlfn.CONCAT("14",Main[[#This Row],[تاريخ]])</f>
        <v>1400/09/01</v>
      </c>
      <c r="E2252" s="33">
        <v>44522</v>
      </c>
      <c r="F2252" s="32">
        <v>10070</v>
      </c>
      <c r="G2252" s="5" t="str">
        <f>INDEX(customer[عنوان],MATCH(Main[[#This Row],[کد ردیابی]],customer[کد],0))</f>
        <v xml:space="preserve">حمیدرضا شفیعی </v>
      </c>
      <c r="H2252">
        <v>-2008</v>
      </c>
      <c r="I2252" s="6">
        <f ca="1">-Main[[#This Row],[بدهی تسویه شده (کیلوگرم)]]+Main[[#This Row],[بستانکار (کیلوگرم)]]</f>
        <v>-2008</v>
      </c>
      <c r="J2252" s="6">
        <f>IF(Main[[#This Row],[مقدار (کیلوگرم)]]&gt;0,Main[[#This Row],[مقدار (کیلوگرم)]],0)</f>
        <v>0</v>
      </c>
      <c r="K2252" s="6">
        <f>-IF(Main[[#This Row],[مقدار (کیلوگرم)]]&lt;0,Main[[#This Row],[مقدار (کیلوگرم)]],0)</f>
        <v>2008</v>
      </c>
      <c r="L22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2" s="7">
        <f>-IF(AND(Main[[#This Row],[مقدار (کیلوگرم)]]&lt;0,Main[[#This Row],[تاريخ میلادی]]&gt;44276),Main[[#This Row],[مقدار (کیلوگرم)]],0)</f>
        <v>2008</v>
      </c>
      <c r="N2252" s="6">
        <f ca="1">Main[[#This Row],[بدهکار (کیلوگرم)]]-Main[[#This Row],[بدهی تسویه نشده (کیلوگرم)]]</f>
        <v>2008</v>
      </c>
      <c r="O2252" s="6">
        <f ca="1">Main[[#This Row],[تفکیک]]</f>
        <v>0</v>
      </c>
      <c r="P2252" s="6">
        <f ca="1">IF(Main[[#This Row],[تاخیر از سررسید]]&gt;0,Main[[#This Row],[بدهی تسویه نشده (کیلوگرم)]],0)</f>
        <v>0</v>
      </c>
      <c r="Q2252" s="6">
        <f ca="1">IF(Main[[#This Row],[بدهی تسویه نشده (کیلوگرم)]]&gt;0,'گزارش فردی'!$B$7-Main[[#This Row],[تاريخ میلادی]],0)</f>
        <v>0</v>
      </c>
      <c r="R2252" s="6">
        <f ca="1">IF(Main[[#This Row],[بدهی تسویه نشده (کیلوگرم)]]&gt;0,'گزارش فردی'!$B$7-Main[[#This Row],[تاريخ میلادی]]-'گزارش فردی'!$B$8,0)</f>
        <v>0</v>
      </c>
      <c r="S2252" s="6">
        <f ca="1">Main[[#This Row],[روز از ارسال سفارش]]*Main[[#This Row],[بدهی تسویه نشده (کیلوگرم)]]</f>
        <v>0</v>
      </c>
      <c r="T2252" s="6">
        <f ca="1">Main[[#This Row],[بدهی سررسید شده (کیلوگرم)]]*Main[[#This Row],[روز از ارسال سفارش]]</f>
        <v>0</v>
      </c>
      <c r="U2252" s="6">
        <f>-SUBTOTAL(9,INDEX(Main[مقدار (کیلوگرم)],1):Main[[#This Row],[مقدار (کیلوگرم)]])</f>
        <v>37663</v>
      </c>
      <c r="V22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2" s="6">
        <f>Main[[#This Row],[تعداد کل روزهای بدهکار (روز)]]*Main[[#This Row],[مانده در خط کل (کیلوگرم)]]</f>
        <v>37663</v>
      </c>
      <c r="X2252" s="6">
        <f ca="1">-SUBTOTAL(9,INDEX(Main[مقدار تسویه شده (کیلوگرم)],1):Main[[#This Row],[مقدار تسویه شده (کیلوگرم)]])</f>
        <v>37663</v>
      </c>
      <c r="Y2252" s="6">
        <f ca="1">IF(Main[[#This Row],[مانده در خط تسویه شده (کیلوگرم)]]&lt;&gt;0,Main[[#This Row],[تعداد کل روزهای بدهکار (روز)]],0)</f>
        <v>1</v>
      </c>
      <c r="Z2252" s="6">
        <f ca="1">Main[[#This Row],[تعداد روزهای بدهکار تسویه شده (روز)]]*Main[[#This Row],[مانده در خط تسویه شده (کیلوگرم)]]</f>
        <v>37663</v>
      </c>
      <c r="AA2252" s="6">
        <f ca="1">SUBTOTAL(9,INDEX(Main[بدهی تسویه نشده (کیلوگرم)],1):Main[[#This Row],[بدهی تسویه نشده (کیلوگرم)]])</f>
        <v>0</v>
      </c>
      <c r="AB2252" s="6">
        <f ca="1">IF(Main[[#This Row],[مانده در خط تسویه نشده (کیلوگرم)]]&lt;&gt;0,Main[[#This Row],[تعداد کل روزهای بدهکار (روز)]],0)</f>
        <v>0</v>
      </c>
      <c r="AC2252" s="6">
        <f ca="1">Main[[#This Row],[تعداد روزهای بدهکار  تسویه نشده (روز)]]*Main[[#This Row],[مانده در خط تسویه نشده (کیلوگرم)]]</f>
        <v>0</v>
      </c>
      <c r="AD2252" s="6">
        <f ca="1">SUBTOTAL(9,INDEX(Main[بدهی سررسید شده (کیلوگرم)],1):Main[[#This Row],[بدهی سررسید شده (کیلوگرم)]])</f>
        <v>0</v>
      </c>
      <c r="AE2252" s="6">
        <f ca="1">IF(Main[[#This Row],[مانده در خط سررسید شده (کیلوگرم)]]&lt;&gt;0,Main[[#This Row],[تعداد کل روزهای بدهکار (روز)]],0)</f>
        <v>0</v>
      </c>
      <c r="AF2252" s="6">
        <f ca="1">Main[[#This Row],[تعداد روزهای بدهکار سررسید شده (روز)]]*Main[[#This Row],[مانده در خط سررسید شده (کیلوگرم)]]</f>
        <v>0</v>
      </c>
    </row>
    <row r="2253" spans="1:32" hidden="1" x14ac:dyDescent="0.35">
      <c r="A2253" s="5">
        <f>ROW()-ROW(INDEX(Main[ردیف],1))+1</f>
        <v>2251</v>
      </c>
      <c r="B2253" s="31">
        <f>SUBTOTAL(2,INDEX(Main[ردیف],1):Main[[#This Row],[ردیف]])</f>
        <v>205</v>
      </c>
      <c r="C2253" s="32" t="s">
        <v>774</v>
      </c>
      <c r="D2253" s="32" t="str">
        <f>_xlfn.CONCAT("14",Main[[#This Row],[تاريخ]])</f>
        <v>1400/09/01</v>
      </c>
      <c r="E2253" s="33">
        <v>44522</v>
      </c>
      <c r="F2253" s="32">
        <v>30190</v>
      </c>
      <c r="G2253" s="5" t="str">
        <f>INDEX(customer[عنوان],MATCH(Main[[#This Row],[کد ردیابی]],customer[کد],0))</f>
        <v>ایران طلق</v>
      </c>
      <c r="H2253">
        <v>728</v>
      </c>
      <c r="I2253" s="6">
        <f ca="1">-Main[[#This Row],[بدهی تسویه شده (کیلوگرم)]]+Main[[#This Row],[بستانکار (کیلوگرم)]]</f>
        <v>728</v>
      </c>
      <c r="J2253" s="6">
        <f>IF(Main[[#This Row],[مقدار (کیلوگرم)]]&gt;0,Main[[#This Row],[مقدار (کیلوگرم)]],0)</f>
        <v>728</v>
      </c>
      <c r="K2253" s="6">
        <f>-IF(Main[[#This Row],[مقدار (کیلوگرم)]]&lt;0,Main[[#This Row],[مقدار (کیلوگرم)]],0)</f>
        <v>0</v>
      </c>
      <c r="L22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3" s="7">
        <f>-IF(AND(Main[[#This Row],[مقدار (کیلوگرم)]]&lt;0,Main[[#This Row],[تاريخ میلادی]]&gt;44276),Main[[#This Row],[مقدار (کیلوگرم)]],0)</f>
        <v>0</v>
      </c>
      <c r="N2253" s="6">
        <f ca="1">Main[[#This Row],[بدهکار (کیلوگرم)]]-Main[[#This Row],[بدهی تسویه نشده (کیلوگرم)]]</f>
        <v>0</v>
      </c>
      <c r="O2253" s="6">
        <f ca="1">Main[[#This Row],[تفکیک]]</f>
        <v>0</v>
      </c>
      <c r="P2253" s="6">
        <f ca="1">IF(Main[[#This Row],[تاخیر از سررسید]]&gt;0,Main[[#This Row],[بدهی تسویه نشده (کیلوگرم)]],0)</f>
        <v>0</v>
      </c>
      <c r="Q2253" s="6">
        <f ca="1">IF(Main[[#This Row],[بدهی تسویه نشده (کیلوگرم)]]&gt;0,'گزارش فردی'!$B$7-Main[[#This Row],[تاريخ میلادی]],0)</f>
        <v>0</v>
      </c>
      <c r="R2253" s="6">
        <f ca="1">IF(Main[[#This Row],[بدهی تسویه نشده (کیلوگرم)]]&gt;0,'گزارش فردی'!$B$7-Main[[#This Row],[تاريخ میلادی]]-'گزارش فردی'!$B$8,0)</f>
        <v>0</v>
      </c>
      <c r="S2253" s="6">
        <f ca="1">Main[[#This Row],[روز از ارسال سفارش]]*Main[[#This Row],[بدهی تسویه نشده (کیلوگرم)]]</f>
        <v>0</v>
      </c>
      <c r="T2253" s="6">
        <f ca="1">Main[[#This Row],[بدهی سررسید شده (کیلوگرم)]]*Main[[#This Row],[روز از ارسال سفارش]]</f>
        <v>0</v>
      </c>
      <c r="U2253" s="6">
        <f>-SUBTOTAL(9,INDEX(Main[مقدار (کیلوگرم)],1):Main[[#This Row],[مقدار (کیلوگرم)]])</f>
        <v>37663</v>
      </c>
      <c r="V22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3" s="6">
        <f>Main[[#This Row],[تعداد کل روزهای بدهکار (روز)]]*Main[[#This Row],[مانده در خط کل (کیلوگرم)]]</f>
        <v>37663</v>
      </c>
      <c r="X2253" s="6">
        <f ca="1">-SUBTOTAL(9,INDEX(Main[مقدار تسویه شده (کیلوگرم)],1):Main[[#This Row],[مقدار تسویه شده (کیلوگرم)]])</f>
        <v>37663</v>
      </c>
      <c r="Y2253" s="6">
        <f ca="1">IF(Main[[#This Row],[مانده در خط تسویه شده (کیلوگرم)]]&lt;&gt;0,Main[[#This Row],[تعداد کل روزهای بدهکار (روز)]],0)</f>
        <v>1</v>
      </c>
      <c r="Z2253" s="6">
        <f ca="1">Main[[#This Row],[تعداد روزهای بدهکار تسویه شده (روز)]]*Main[[#This Row],[مانده در خط تسویه شده (کیلوگرم)]]</f>
        <v>37663</v>
      </c>
      <c r="AA2253" s="6">
        <f ca="1">SUBTOTAL(9,INDEX(Main[بدهی تسویه نشده (کیلوگرم)],1):Main[[#This Row],[بدهی تسویه نشده (کیلوگرم)]])</f>
        <v>0</v>
      </c>
      <c r="AB2253" s="6">
        <f ca="1">IF(Main[[#This Row],[مانده در خط تسویه نشده (کیلوگرم)]]&lt;&gt;0,Main[[#This Row],[تعداد کل روزهای بدهکار (روز)]],0)</f>
        <v>0</v>
      </c>
      <c r="AC2253" s="6">
        <f ca="1">Main[[#This Row],[تعداد روزهای بدهکار  تسویه نشده (روز)]]*Main[[#This Row],[مانده در خط تسویه نشده (کیلوگرم)]]</f>
        <v>0</v>
      </c>
      <c r="AD2253" s="6">
        <f ca="1">SUBTOTAL(9,INDEX(Main[بدهی سررسید شده (کیلوگرم)],1):Main[[#This Row],[بدهی سررسید شده (کیلوگرم)]])</f>
        <v>0</v>
      </c>
      <c r="AE2253" s="6">
        <f ca="1">IF(Main[[#This Row],[مانده در خط سررسید شده (کیلوگرم)]]&lt;&gt;0,Main[[#This Row],[تعداد کل روزهای بدهکار (روز)]],0)</f>
        <v>0</v>
      </c>
      <c r="AF2253" s="6">
        <f ca="1">Main[[#This Row],[تعداد روزهای بدهکار سررسید شده (روز)]]*Main[[#This Row],[مانده در خط سررسید شده (کیلوگرم)]]</f>
        <v>0</v>
      </c>
    </row>
    <row r="2254" spans="1:32" hidden="1" x14ac:dyDescent="0.35">
      <c r="A2254" s="5">
        <f>ROW()-ROW(INDEX(Main[ردیف],1))+1</f>
        <v>2252</v>
      </c>
      <c r="B2254" s="31">
        <f>SUBTOTAL(2,INDEX(Main[ردیف],1):Main[[#This Row],[ردیف]])</f>
        <v>205</v>
      </c>
      <c r="C2254" s="32" t="s">
        <v>774</v>
      </c>
      <c r="D2254" s="32" t="str">
        <f>_xlfn.CONCAT("14",Main[[#This Row],[تاريخ]])</f>
        <v>1400/09/01</v>
      </c>
      <c r="E2254" s="33">
        <v>44522</v>
      </c>
      <c r="F2254" s="32">
        <v>30009</v>
      </c>
      <c r="G2254" s="5" t="str">
        <f>INDEX(customer[عنوان],MATCH(Main[[#This Row],[کد ردیابی]],customer[کد],0))</f>
        <v>شرکت ایمن تک پیشرو</v>
      </c>
      <c r="H2254">
        <v>-10536</v>
      </c>
      <c r="I2254" s="6">
        <f ca="1">-Main[[#This Row],[بدهی تسویه شده (کیلوگرم)]]+Main[[#This Row],[بستانکار (کیلوگرم)]]</f>
        <v>-10536</v>
      </c>
      <c r="J2254" s="6">
        <f>IF(Main[[#This Row],[مقدار (کیلوگرم)]]&gt;0,Main[[#This Row],[مقدار (کیلوگرم)]],0)</f>
        <v>0</v>
      </c>
      <c r="K2254" s="6">
        <f>-IF(Main[[#This Row],[مقدار (کیلوگرم)]]&lt;0,Main[[#This Row],[مقدار (کیلوگرم)]],0)</f>
        <v>10536</v>
      </c>
      <c r="L22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4" s="7">
        <f>-IF(AND(Main[[#This Row],[مقدار (کیلوگرم)]]&lt;0,Main[[#This Row],[تاريخ میلادی]]&gt;44276),Main[[#This Row],[مقدار (کیلوگرم)]],0)</f>
        <v>10536</v>
      </c>
      <c r="N2254" s="6">
        <f ca="1">Main[[#This Row],[بدهکار (کیلوگرم)]]-Main[[#This Row],[بدهی تسویه نشده (کیلوگرم)]]</f>
        <v>10536</v>
      </c>
      <c r="O2254" s="6">
        <f ca="1">Main[[#This Row],[تفکیک]]</f>
        <v>0</v>
      </c>
      <c r="P2254" s="6">
        <f ca="1">IF(Main[[#This Row],[تاخیر از سررسید]]&gt;0,Main[[#This Row],[بدهی تسویه نشده (کیلوگرم)]],0)</f>
        <v>0</v>
      </c>
      <c r="Q2254" s="6">
        <f ca="1">IF(Main[[#This Row],[بدهی تسویه نشده (کیلوگرم)]]&gt;0,'گزارش فردی'!$B$7-Main[[#This Row],[تاريخ میلادی]],0)</f>
        <v>0</v>
      </c>
      <c r="R2254" s="6">
        <f ca="1">IF(Main[[#This Row],[بدهی تسویه نشده (کیلوگرم)]]&gt;0,'گزارش فردی'!$B$7-Main[[#This Row],[تاريخ میلادی]]-'گزارش فردی'!$B$8,0)</f>
        <v>0</v>
      </c>
      <c r="S2254" s="6">
        <f ca="1">Main[[#This Row],[روز از ارسال سفارش]]*Main[[#This Row],[بدهی تسویه نشده (کیلوگرم)]]</f>
        <v>0</v>
      </c>
      <c r="T2254" s="6">
        <f ca="1">Main[[#This Row],[بدهی سررسید شده (کیلوگرم)]]*Main[[#This Row],[روز از ارسال سفارش]]</f>
        <v>0</v>
      </c>
      <c r="U2254" s="6">
        <f>-SUBTOTAL(9,INDEX(Main[مقدار (کیلوگرم)],1):Main[[#This Row],[مقدار (کیلوگرم)]])</f>
        <v>37663</v>
      </c>
      <c r="V22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4" s="6">
        <f>Main[[#This Row],[تعداد کل روزهای بدهکار (روز)]]*Main[[#This Row],[مانده در خط کل (کیلوگرم)]]</f>
        <v>37663</v>
      </c>
      <c r="X2254" s="6">
        <f ca="1">-SUBTOTAL(9,INDEX(Main[مقدار تسویه شده (کیلوگرم)],1):Main[[#This Row],[مقدار تسویه شده (کیلوگرم)]])</f>
        <v>37663</v>
      </c>
      <c r="Y2254" s="6">
        <f ca="1">IF(Main[[#This Row],[مانده در خط تسویه شده (کیلوگرم)]]&lt;&gt;0,Main[[#This Row],[تعداد کل روزهای بدهکار (روز)]],0)</f>
        <v>1</v>
      </c>
      <c r="Z2254" s="6">
        <f ca="1">Main[[#This Row],[تعداد روزهای بدهکار تسویه شده (روز)]]*Main[[#This Row],[مانده در خط تسویه شده (کیلوگرم)]]</f>
        <v>37663</v>
      </c>
      <c r="AA2254" s="6">
        <f ca="1">SUBTOTAL(9,INDEX(Main[بدهی تسویه نشده (کیلوگرم)],1):Main[[#This Row],[بدهی تسویه نشده (کیلوگرم)]])</f>
        <v>0</v>
      </c>
      <c r="AB2254" s="6">
        <f ca="1">IF(Main[[#This Row],[مانده در خط تسویه نشده (کیلوگرم)]]&lt;&gt;0,Main[[#This Row],[تعداد کل روزهای بدهکار (روز)]],0)</f>
        <v>0</v>
      </c>
      <c r="AC2254" s="6">
        <f ca="1">Main[[#This Row],[تعداد روزهای بدهکار  تسویه نشده (روز)]]*Main[[#This Row],[مانده در خط تسویه نشده (کیلوگرم)]]</f>
        <v>0</v>
      </c>
      <c r="AD2254" s="6">
        <f ca="1">SUBTOTAL(9,INDEX(Main[بدهی سررسید شده (کیلوگرم)],1):Main[[#This Row],[بدهی سررسید شده (کیلوگرم)]])</f>
        <v>0</v>
      </c>
      <c r="AE2254" s="6">
        <f ca="1">IF(Main[[#This Row],[مانده در خط سررسید شده (کیلوگرم)]]&lt;&gt;0,Main[[#This Row],[تعداد کل روزهای بدهکار (روز)]],0)</f>
        <v>0</v>
      </c>
      <c r="AF2254" s="6">
        <f ca="1">Main[[#This Row],[تعداد روزهای بدهکار سررسید شده (روز)]]*Main[[#This Row],[مانده در خط سررسید شده (کیلوگرم)]]</f>
        <v>0</v>
      </c>
    </row>
    <row r="2255" spans="1:32" hidden="1" x14ac:dyDescent="0.35">
      <c r="A2255" s="5">
        <f>ROW()-ROW(INDEX(Main[ردیف],1))+1</f>
        <v>2253</v>
      </c>
      <c r="B2255" s="31">
        <f>SUBTOTAL(2,INDEX(Main[ردیف],1):Main[[#This Row],[ردیف]])</f>
        <v>205</v>
      </c>
      <c r="C2255" s="32" t="s">
        <v>774</v>
      </c>
      <c r="D2255" s="32" t="str">
        <f>_xlfn.CONCAT("14",Main[[#This Row],[تاريخ]])</f>
        <v>1400/09/01</v>
      </c>
      <c r="E2255" s="33">
        <v>44522</v>
      </c>
      <c r="F2255" s="32">
        <v>30190</v>
      </c>
      <c r="G2255" s="5" t="str">
        <f>INDEX(customer[عنوان],MATCH(Main[[#This Row],[کد ردیابی]],customer[کد],0))</f>
        <v>ایران طلق</v>
      </c>
      <c r="H2255">
        <v>1096</v>
      </c>
      <c r="I2255" s="6">
        <f ca="1">-Main[[#This Row],[بدهی تسویه شده (کیلوگرم)]]+Main[[#This Row],[بستانکار (کیلوگرم)]]</f>
        <v>1096</v>
      </c>
      <c r="J2255" s="6">
        <f>IF(Main[[#This Row],[مقدار (کیلوگرم)]]&gt;0,Main[[#This Row],[مقدار (کیلوگرم)]],0)</f>
        <v>1096</v>
      </c>
      <c r="K2255" s="6">
        <f>-IF(Main[[#This Row],[مقدار (کیلوگرم)]]&lt;0,Main[[#This Row],[مقدار (کیلوگرم)]],0)</f>
        <v>0</v>
      </c>
      <c r="L22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5" s="7">
        <f>-IF(AND(Main[[#This Row],[مقدار (کیلوگرم)]]&lt;0,Main[[#This Row],[تاريخ میلادی]]&gt;44276),Main[[#This Row],[مقدار (کیلوگرم)]],0)</f>
        <v>0</v>
      </c>
      <c r="N2255" s="6">
        <f ca="1">Main[[#This Row],[بدهکار (کیلوگرم)]]-Main[[#This Row],[بدهی تسویه نشده (کیلوگرم)]]</f>
        <v>0</v>
      </c>
      <c r="O2255" s="6">
        <f ca="1">Main[[#This Row],[تفکیک]]</f>
        <v>0</v>
      </c>
      <c r="P2255" s="6">
        <f ca="1">IF(Main[[#This Row],[تاخیر از سررسید]]&gt;0,Main[[#This Row],[بدهی تسویه نشده (کیلوگرم)]],0)</f>
        <v>0</v>
      </c>
      <c r="Q2255" s="6">
        <f ca="1">IF(Main[[#This Row],[بدهی تسویه نشده (کیلوگرم)]]&gt;0,'گزارش فردی'!$B$7-Main[[#This Row],[تاريخ میلادی]],0)</f>
        <v>0</v>
      </c>
      <c r="R2255" s="6">
        <f ca="1">IF(Main[[#This Row],[بدهی تسویه نشده (کیلوگرم)]]&gt;0,'گزارش فردی'!$B$7-Main[[#This Row],[تاريخ میلادی]]-'گزارش فردی'!$B$8,0)</f>
        <v>0</v>
      </c>
      <c r="S2255" s="6">
        <f ca="1">Main[[#This Row],[روز از ارسال سفارش]]*Main[[#This Row],[بدهی تسویه نشده (کیلوگرم)]]</f>
        <v>0</v>
      </c>
      <c r="T2255" s="6">
        <f ca="1">Main[[#This Row],[بدهی سررسید شده (کیلوگرم)]]*Main[[#This Row],[روز از ارسال سفارش]]</f>
        <v>0</v>
      </c>
      <c r="U2255" s="6">
        <f>-SUBTOTAL(9,INDEX(Main[مقدار (کیلوگرم)],1):Main[[#This Row],[مقدار (کیلوگرم)]])</f>
        <v>37663</v>
      </c>
      <c r="V22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5" s="6">
        <f>Main[[#This Row],[تعداد کل روزهای بدهکار (روز)]]*Main[[#This Row],[مانده در خط کل (کیلوگرم)]]</f>
        <v>37663</v>
      </c>
      <c r="X2255" s="6">
        <f ca="1">-SUBTOTAL(9,INDEX(Main[مقدار تسویه شده (کیلوگرم)],1):Main[[#This Row],[مقدار تسویه شده (کیلوگرم)]])</f>
        <v>37663</v>
      </c>
      <c r="Y2255" s="6">
        <f ca="1">IF(Main[[#This Row],[مانده در خط تسویه شده (کیلوگرم)]]&lt;&gt;0,Main[[#This Row],[تعداد کل روزهای بدهکار (روز)]],0)</f>
        <v>1</v>
      </c>
      <c r="Z2255" s="6">
        <f ca="1">Main[[#This Row],[تعداد روزهای بدهکار تسویه شده (روز)]]*Main[[#This Row],[مانده در خط تسویه شده (کیلوگرم)]]</f>
        <v>37663</v>
      </c>
      <c r="AA2255" s="6">
        <f ca="1">SUBTOTAL(9,INDEX(Main[بدهی تسویه نشده (کیلوگرم)],1):Main[[#This Row],[بدهی تسویه نشده (کیلوگرم)]])</f>
        <v>0</v>
      </c>
      <c r="AB2255" s="6">
        <f ca="1">IF(Main[[#This Row],[مانده در خط تسویه نشده (کیلوگرم)]]&lt;&gt;0,Main[[#This Row],[تعداد کل روزهای بدهکار (روز)]],0)</f>
        <v>0</v>
      </c>
      <c r="AC2255" s="6">
        <f ca="1">Main[[#This Row],[تعداد روزهای بدهکار  تسویه نشده (روز)]]*Main[[#This Row],[مانده در خط تسویه نشده (کیلوگرم)]]</f>
        <v>0</v>
      </c>
      <c r="AD2255" s="6">
        <f ca="1">SUBTOTAL(9,INDEX(Main[بدهی سررسید شده (کیلوگرم)],1):Main[[#This Row],[بدهی سررسید شده (کیلوگرم)]])</f>
        <v>0</v>
      </c>
      <c r="AE2255" s="6">
        <f ca="1">IF(Main[[#This Row],[مانده در خط سررسید شده (کیلوگرم)]]&lt;&gt;0,Main[[#This Row],[تعداد کل روزهای بدهکار (روز)]],0)</f>
        <v>0</v>
      </c>
      <c r="AF2255" s="6">
        <f ca="1">Main[[#This Row],[تعداد روزهای بدهکار سررسید شده (روز)]]*Main[[#This Row],[مانده در خط سررسید شده (کیلوگرم)]]</f>
        <v>0</v>
      </c>
    </row>
    <row r="2256" spans="1:32" hidden="1" x14ac:dyDescent="0.35">
      <c r="A2256" s="5">
        <f>ROW()-ROW(INDEX(Main[ردیف],1))+1</f>
        <v>2254</v>
      </c>
      <c r="B2256" s="31">
        <f>SUBTOTAL(2,INDEX(Main[ردیف],1):Main[[#This Row],[ردیف]])</f>
        <v>205</v>
      </c>
      <c r="C2256" s="32" t="s">
        <v>774</v>
      </c>
      <c r="D2256" s="32" t="str">
        <f>_xlfn.CONCAT("14",Main[[#This Row],[تاريخ]])</f>
        <v>1400/09/01</v>
      </c>
      <c r="E2256" s="33">
        <v>44522</v>
      </c>
      <c r="F2256" s="32">
        <v>30024</v>
      </c>
      <c r="G2256" s="5" t="str">
        <f>INDEX(customer[عنوان],MATCH(Main[[#This Row],[کد ردیابی]],customer[کد],0))</f>
        <v xml:space="preserve">یراق گستر شبکه </v>
      </c>
      <c r="H2256">
        <v>92</v>
      </c>
      <c r="I2256" s="6">
        <f ca="1">-Main[[#This Row],[بدهی تسویه شده (کیلوگرم)]]+Main[[#This Row],[بستانکار (کیلوگرم)]]</f>
        <v>92</v>
      </c>
      <c r="J2256" s="6">
        <f>IF(Main[[#This Row],[مقدار (کیلوگرم)]]&gt;0,Main[[#This Row],[مقدار (کیلوگرم)]],0)</f>
        <v>92</v>
      </c>
      <c r="K2256" s="6">
        <f>-IF(Main[[#This Row],[مقدار (کیلوگرم)]]&lt;0,Main[[#This Row],[مقدار (کیلوگرم)]],0)</f>
        <v>0</v>
      </c>
      <c r="L22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6" s="7">
        <f>-IF(AND(Main[[#This Row],[مقدار (کیلوگرم)]]&lt;0,Main[[#This Row],[تاريخ میلادی]]&gt;44276),Main[[#This Row],[مقدار (کیلوگرم)]],0)</f>
        <v>0</v>
      </c>
      <c r="N2256" s="6">
        <f ca="1">Main[[#This Row],[بدهکار (کیلوگرم)]]-Main[[#This Row],[بدهی تسویه نشده (کیلوگرم)]]</f>
        <v>0</v>
      </c>
      <c r="O2256" s="6">
        <f ca="1">Main[[#This Row],[تفکیک]]</f>
        <v>0</v>
      </c>
      <c r="P2256" s="6">
        <f ca="1">IF(Main[[#This Row],[تاخیر از سررسید]]&gt;0,Main[[#This Row],[بدهی تسویه نشده (کیلوگرم)]],0)</f>
        <v>0</v>
      </c>
      <c r="Q2256" s="6">
        <f ca="1">IF(Main[[#This Row],[بدهی تسویه نشده (کیلوگرم)]]&gt;0,'گزارش فردی'!$B$7-Main[[#This Row],[تاريخ میلادی]],0)</f>
        <v>0</v>
      </c>
      <c r="R2256" s="6">
        <f ca="1">IF(Main[[#This Row],[بدهی تسویه نشده (کیلوگرم)]]&gt;0,'گزارش فردی'!$B$7-Main[[#This Row],[تاريخ میلادی]]-'گزارش فردی'!$B$8,0)</f>
        <v>0</v>
      </c>
      <c r="S2256" s="6">
        <f ca="1">Main[[#This Row],[روز از ارسال سفارش]]*Main[[#This Row],[بدهی تسویه نشده (کیلوگرم)]]</f>
        <v>0</v>
      </c>
      <c r="T2256" s="6">
        <f ca="1">Main[[#This Row],[بدهی سررسید شده (کیلوگرم)]]*Main[[#This Row],[روز از ارسال سفارش]]</f>
        <v>0</v>
      </c>
      <c r="U2256" s="6">
        <f>-SUBTOTAL(9,INDEX(Main[مقدار (کیلوگرم)],1):Main[[#This Row],[مقدار (کیلوگرم)]])</f>
        <v>37663</v>
      </c>
      <c r="V22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6" s="6">
        <f>Main[[#This Row],[تعداد کل روزهای بدهکار (روز)]]*Main[[#This Row],[مانده در خط کل (کیلوگرم)]]</f>
        <v>37663</v>
      </c>
      <c r="X2256" s="6">
        <f ca="1">-SUBTOTAL(9,INDEX(Main[مقدار تسویه شده (کیلوگرم)],1):Main[[#This Row],[مقدار تسویه شده (کیلوگرم)]])</f>
        <v>37663</v>
      </c>
      <c r="Y2256" s="6">
        <f ca="1">IF(Main[[#This Row],[مانده در خط تسویه شده (کیلوگرم)]]&lt;&gt;0,Main[[#This Row],[تعداد کل روزهای بدهکار (روز)]],0)</f>
        <v>1</v>
      </c>
      <c r="Z2256" s="6">
        <f ca="1">Main[[#This Row],[تعداد روزهای بدهکار تسویه شده (روز)]]*Main[[#This Row],[مانده در خط تسویه شده (کیلوگرم)]]</f>
        <v>37663</v>
      </c>
      <c r="AA2256" s="6">
        <f ca="1">SUBTOTAL(9,INDEX(Main[بدهی تسویه نشده (کیلوگرم)],1):Main[[#This Row],[بدهی تسویه نشده (کیلوگرم)]])</f>
        <v>0</v>
      </c>
      <c r="AB2256" s="6">
        <f ca="1">IF(Main[[#This Row],[مانده در خط تسویه نشده (کیلوگرم)]]&lt;&gt;0,Main[[#This Row],[تعداد کل روزهای بدهکار (روز)]],0)</f>
        <v>0</v>
      </c>
      <c r="AC2256" s="6">
        <f ca="1">Main[[#This Row],[تعداد روزهای بدهکار  تسویه نشده (روز)]]*Main[[#This Row],[مانده در خط تسویه نشده (کیلوگرم)]]</f>
        <v>0</v>
      </c>
      <c r="AD2256" s="6">
        <f ca="1">SUBTOTAL(9,INDEX(Main[بدهی سررسید شده (کیلوگرم)],1):Main[[#This Row],[بدهی سررسید شده (کیلوگرم)]])</f>
        <v>0</v>
      </c>
      <c r="AE2256" s="6">
        <f ca="1">IF(Main[[#This Row],[مانده در خط سررسید شده (کیلوگرم)]]&lt;&gt;0,Main[[#This Row],[تعداد کل روزهای بدهکار (روز)]],0)</f>
        <v>0</v>
      </c>
      <c r="AF2256" s="6">
        <f ca="1">Main[[#This Row],[تعداد روزهای بدهکار سررسید شده (روز)]]*Main[[#This Row],[مانده در خط سررسید شده (کیلوگرم)]]</f>
        <v>0</v>
      </c>
    </row>
    <row r="2257" spans="1:32" hidden="1" x14ac:dyDescent="0.35">
      <c r="A2257" s="5">
        <f>ROW()-ROW(INDEX(Main[ردیف],1))+1</f>
        <v>2255</v>
      </c>
      <c r="B2257" s="31">
        <f>SUBTOTAL(2,INDEX(Main[ردیف],1):Main[[#This Row],[ردیف]])</f>
        <v>205</v>
      </c>
      <c r="C2257" s="32" t="s">
        <v>774</v>
      </c>
      <c r="D2257" s="32" t="str">
        <f>_xlfn.CONCAT("14",Main[[#This Row],[تاريخ]])</f>
        <v>1400/09/01</v>
      </c>
      <c r="E2257" s="33">
        <v>44522</v>
      </c>
      <c r="F2257" s="32">
        <v>30137</v>
      </c>
      <c r="G2257" s="5" t="str">
        <f>INDEX(customer[عنوان],MATCH(Main[[#This Row],[کد ردیابی]],customer[کد],0))</f>
        <v>شرکت آفتابگردان</v>
      </c>
      <c r="H2257">
        <v>574</v>
      </c>
      <c r="I2257" s="6">
        <f ca="1">-Main[[#This Row],[بدهی تسویه شده (کیلوگرم)]]+Main[[#This Row],[بستانکار (کیلوگرم)]]</f>
        <v>574</v>
      </c>
      <c r="J2257" s="6">
        <f>IF(Main[[#This Row],[مقدار (کیلوگرم)]]&gt;0,Main[[#This Row],[مقدار (کیلوگرم)]],0)</f>
        <v>574</v>
      </c>
      <c r="K2257" s="6">
        <f>-IF(Main[[#This Row],[مقدار (کیلوگرم)]]&lt;0,Main[[#This Row],[مقدار (کیلوگرم)]],0)</f>
        <v>0</v>
      </c>
      <c r="L22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7" s="7">
        <f>-IF(AND(Main[[#This Row],[مقدار (کیلوگرم)]]&lt;0,Main[[#This Row],[تاريخ میلادی]]&gt;44276),Main[[#This Row],[مقدار (کیلوگرم)]],0)</f>
        <v>0</v>
      </c>
      <c r="N2257" s="6">
        <f ca="1">Main[[#This Row],[بدهکار (کیلوگرم)]]-Main[[#This Row],[بدهی تسویه نشده (کیلوگرم)]]</f>
        <v>0</v>
      </c>
      <c r="O2257" s="6">
        <f ca="1">Main[[#This Row],[تفکیک]]</f>
        <v>0</v>
      </c>
      <c r="P2257" s="6">
        <f ca="1">IF(Main[[#This Row],[تاخیر از سررسید]]&gt;0,Main[[#This Row],[بدهی تسویه نشده (کیلوگرم)]],0)</f>
        <v>0</v>
      </c>
      <c r="Q2257" s="6">
        <f ca="1">IF(Main[[#This Row],[بدهی تسویه نشده (کیلوگرم)]]&gt;0,'گزارش فردی'!$B$7-Main[[#This Row],[تاريخ میلادی]],0)</f>
        <v>0</v>
      </c>
      <c r="R2257" s="6">
        <f ca="1">IF(Main[[#This Row],[بدهی تسویه نشده (کیلوگرم)]]&gt;0,'گزارش فردی'!$B$7-Main[[#This Row],[تاريخ میلادی]]-'گزارش فردی'!$B$8,0)</f>
        <v>0</v>
      </c>
      <c r="S2257" s="6">
        <f ca="1">Main[[#This Row],[روز از ارسال سفارش]]*Main[[#This Row],[بدهی تسویه نشده (کیلوگرم)]]</f>
        <v>0</v>
      </c>
      <c r="T2257" s="6">
        <f ca="1">Main[[#This Row],[بدهی سررسید شده (کیلوگرم)]]*Main[[#This Row],[روز از ارسال سفارش]]</f>
        <v>0</v>
      </c>
      <c r="U2257" s="6">
        <f>-SUBTOTAL(9,INDEX(Main[مقدار (کیلوگرم)],1):Main[[#This Row],[مقدار (کیلوگرم)]])</f>
        <v>37663</v>
      </c>
      <c r="V22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7" s="6">
        <f>Main[[#This Row],[تعداد کل روزهای بدهکار (روز)]]*Main[[#This Row],[مانده در خط کل (کیلوگرم)]]</f>
        <v>37663</v>
      </c>
      <c r="X2257" s="6">
        <f ca="1">-SUBTOTAL(9,INDEX(Main[مقدار تسویه شده (کیلوگرم)],1):Main[[#This Row],[مقدار تسویه شده (کیلوگرم)]])</f>
        <v>37663</v>
      </c>
      <c r="Y2257" s="6">
        <f ca="1">IF(Main[[#This Row],[مانده در خط تسویه شده (کیلوگرم)]]&lt;&gt;0,Main[[#This Row],[تعداد کل روزهای بدهکار (روز)]],0)</f>
        <v>1</v>
      </c>
      <c r="Z2257" s="6">
        <f ca="1">Main[[#This Row],[تعداد روزهای بدهکار تسویه شده (روز)]]*Main[[#This Row],[مانده در خط تسویه شده (کیلوگرم)]]</f>
        <v>37663</v>
      </c>
      <c r="AA2257" s="6">
        <f ca="1">SUBTOTAL(9,INDEX(Main[بدهی تسویه نشده (کیلوگرم)],1):Main[[#This Row],[بدهی تسویه نشده (کیلوگرم)]])</f>
        <v>0</v>
      </c>
      <c r="AB2257" s="6">
        <f ca="1">IF(Main[[#This Row],[مانده در خط تسویه نشده (کیلوگرم)]]&lt;&gt;0,Main[[#This Row],[تعداد کل روزهای بدهکار (روز)]],0)</f>
        <v>0</v>
      </c>
      <c r="AC2257" s="6">
        <f ca="1">Main[[#This Row],[تعداد روزهای بدهکار  تسویه نشده (روز)]]*Main[[#This Row],[مانده در خط تسویه نشده (کیلوگرم)]]</f>
        <v>0</v>
      </c>
      <c r="AD2257" s="6">
        <f ca="1">SUBTOTAL(9,INDEX(Main[بدهی سررسید شده (کیلوگرم)],1):Main[[#This Row],[بدهی سررسید شده (کیلوگرم)]])</f>
        <v>0</v>
      </c>
      <c r="AE2257" s="6">
        <f ca="1">IF(Main[[#This Row],[مانده در خط سررسید شده (کیلوگرم)]]&lt;&gt;0,Main[[#This Row],[تعداد کل روزهای بدهکار (روز)]],0)</f>
        <v>0</v>
      </c>
      <c r="AF2257" s="6">
        <f ca="1">Main[[#This Row],[تعداد روزهای بدهکار سررسید شده (روز)]]*Main[[#This Row],[مانده در خط سررسید شده (کیلوگرم)]]</f>
        <v>0</v>
      </c>
    </row>
    <row r="2258" spans="1:32" hidden="1" x14ac:dyDescent="0.35">
      <c r="A2258" s="5">
        <f>ROW()-ROW(INDEX(Main[ردیف],1))+1</f>
        <v>2256</v>
      </c>
      <c r="B2258" s="31">
        <f>SUBTOTAL(2,INDEX(Main[ردیف],1):Main[[#This Row],[ردیف]])</f>
        <v>205</v>
      </c>
      <c r="C2258" s="32" t="s">
        <v>774</v>
      </c>
      <c r="D2258" s="32" t="str">
        <f>_xlfn.CONCAT("14",Main[[#This Row],[تاريخ]])</f>
        <v>1400/09/01</v>
      </c>
      <c r="E2258" s="33">
        <v>44522</v>
      </c>
      <c r="F2258" s="32">
        <v>30024</v>
      </c>
      <c r="G2258" s="5" t="str">
        <f>INDEX(customer[عنوان],MATCH(Main[[#This Row],[کد ردیابی]],customer[کد],0))</f>
        <v xml:space="preserve">یراق گستر شبکه </v>
      </c>
      <c r="H2258">
        <v>190</v>
      </c>
      <c r="I2258" s="6">
        <f ca="1">-Main[[#This Row],[بدهی تسویه شده (کیلوگرم)]]+Main[[#This Row],[بستانکار (کیلوگرم)]]</f>
        <v>190</v>
      </c>
      <c r="J2258" s="6">
        <f>IF(Main[[#This Row],[مقدار (کیلوگرم)]]&gt;0,Main[[#This Row],[مقدار (کیلوگرم)]],0)</f>
        <v>190</v>
      </c>
      <c r="K2258" s="6">
        <f>-IF(Main[[#This Row],[مقدار (کیلوگرم)]]&lt;0,Main[[#This Row],[مقدار (کیلوگرم)]],0)</f>
        <v>0</v>
      </c>
      <c r="L22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8" s="7">
        <f>-IF(AND(Main[[#This Row],[مقدار (کیلوگرم)]]&lt;0,Main[[#This Row],[تاريخ میلادی]]&gt;44276),Main[[#This Row],[مقدار (کیلوگرم)]],0)</f>
        <v>0</v>
      </c>
      <c r="N2258" s="6">
        <f ca="1">Main[[#This Row],[بدهکار (کیلوگرم)]]-Main[[#This Row],[بدهی تسویه نشده (کیلوگرم)]]</f>
        <v>0</v>
      </c>
      <c r="O2258" s="6">
        <f ca="1">Main[[#This Row],[تفکیک]]</f>
        <v>0</v>
      </c>
      <c r="P2258" s="6">
        <f ca="1">IF(Main[[#This Row],[تاخیر از سررسید]]&gt;0,Main[[#This Row],[بدهی تسویه نشده (کیلوگرم)]],0)</f>
        <v>0</v>
      </c>
      <c r="Q2258" s="6">
        <f ca="1">IF(Main[[#This Row],[بدهی تسویه نشده (کیلوگرم)]]&gt;0,'گزارش فردی'!$B$7-Main[[#This Row],[تاريخ میلادی]],0)</f>
        <v>0</v>
      </c>
      <c r="R2258" s="6">
        <f ca="1">IF(Main[[#This Row],[بدهی تسویه نشده (کیلوگرم)]]&gt;0,'گزارش فردی'!$B$7-Main[[#This Row],[تاريخ میلادی]]-'گزارش فردی'!$B$8,0)</f>
        <v>0</v>
      </c>
      <c r="S2258" s="6">
        <f ca="1">Main[[#This Row],[روز از ارسال سفارش]]*Main[[#This Row],[بدهی تسویه نشده (کیلوگرم)]]</f>
        <v>0</v>
      </c>
      <c r="T2258" s="6">
        <f ca="1">Main[[#This Row],[بدهی سررسید شده (کیلوگرم)]]*Main[[#This Row],[روز از ارسال سفارش]]</f>
        <v>0</v>
      </c>
      <c r="U2258" s="6">
        <f>-SUBTOTAL(9,INDEX(Main[مقدار (کیلوگرم)],1):Main[[#This Row],[مقدار (کیلوگرم)]])</f>
        <v>37663</v>
      </c>
      <c r="V22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8" s="6">
        <f>Main[[#This Row],[تعداد کل روزهای بدهکار (روز)]]*Main[[#This Row],[مانده در خط کل (کیلوگرم)]]</f>
        <v>37663</v>
      </c>
      <c r="X2258" s="6">
        <f ca="1">-SUBTOTAL(9,INDEX(Main[مقدار تسویه شده (کیلوگرم)],1):Main[[#This Row],[مقدار تسویه شده (کیلوگرم)]])</f>
        <v>37663</v>
      </c>
      <c r="Y2258" s="6">
        <f ca="1">IF(Main[[#This Row],[مانده در خط تسویه شده (کیلوگرم)]]&lt;&gt;0,Main[[#This Row],[تعداد کل روزهای بدهکار (روز)]],0)</f>
        <v>1</v>
      </c>
      <c r="Z2258" s="6">
        <f ca="1">Main[[#This Row],[تعداد روزهای بدهکار تسویه شده (روز)]]*Main[[#This Row],[مانده در خط تسویه شده (کیلوگرم)]]</f>
        <v>37663</v>
      </c>
      <c r="AA2258" s="6">
        <f ca="1">SUBTOTAL(9,INDEX(Main[بدهی تسویه نشده (کیلوگرم)],1):Main[[#This Row],[بدهی تسویه نشده (کیلوگرم)]])</f>
        <v>0</v>
      </c>
      <c r="AB2258" s="6">
        <f ca="1">IF(Main[[#This Row],[مانده در خط تسویه نشده (کیلوگرم)]]&lt;&gt;0,Main[[#This Row],[تعداد کل روزهای بدهکار (روز)]],0)</f>
        <v>0</v>
      </c>
      <c r="AC2258" s="6">
        <f ca="1">Main[[#This Row],[تعداد روزهای بدهکار  تسویه نشده (روز)]]*Main[[#This Row],[مانده در خط تسویه نشده (کیلوگرم)]]</f>
        <v>0</v>
      </c>
      <c r="AD2258" s="6">
        <f ca="1">SUBTOTAL(9,INDEX(Main[بدهی سررسید شده (کیلوگرم)],1):Main[[#This Row],[بدهی سررسید شده (کیلوگرم)]])</f>
        <v>0</v>
      </c>
      <c r="AE2258" s="6">
        <f ca="1">IF(Main[[#This Row],[مانده در خط سررسید شده (کیلوگرم)]]&lt;&gt;0,Main[[#This Row],[تعداد کل روزهای بدهکار (روز)]],0)</f>
        <v>0</v>
      </c>
      <c r="AF2258" s="6">
        <f ca="1">Main[[#This Row],[تعداد روزهای بدهکار سررسید شده (روز)]]*Main[[#This Row],[مانده در خط سررسید شده (کیلوگرم)]]</f>
        <v>0</v>
      </c>
    </row>
    <row r="2259" spans="1:32" hidden="1" x14ac:dyDescent="0.35">
      <c r="A2259" s="5">
        <f>ROW()-ROW(INDEX(Main[ردیف],1))+1</f>
        <v>2257</v>
      </c>
      <c r="B2259" s="31">
        <f>SUBTOTAL(2,INDEX(Main[ردیف],1):Main[[#This Row],[ردیف]])</f>
        <v>205</v>
      </c>
      <c r="C2259" s="32" t="s">
        <v>776</v>
      </c>
      <c r="D2259" s="32" t="str">
        <f>_xlfn.CONCAT("14",Main[[#This Row],[تاريخ]])</f>
        <v>1400/09/02</v>
      </c>
      <c r="E2259" s="33">
        <v>44523</v>
      </c>
      <c r="F2259" s="32">
        <v>30186</v>
      </c>
      <c r="G2259" s="5" t="str">
        <f>INDEX(customer[عنوان],MATCH(Main[[#This Row],[کد ردیابی]],customer[کد],0))</f>
        <v>سارا گاز</v>
      </c>
      <c r="H2259">
        <v>-1114</v>
      </c>
      <c r="I2259" s="6">
        <f ca="1">-Main[[#This Row],[بدهی تسویه شده (کیلوگرم)]]+Main[[#This Row],[بستانکار (کیلوگرم)]]</f>
        <v>-1114</v>
      </c>
      <c r="J2259" s="6">
        <f>IF(Main[[#This Row],[مقدار (کیلوگرم)]]&gt;0,Main[[#This Row],[مقدار (کیلوگرم)]],0)</f>
        <v>0</v>
      </c>
      <c r="K2259" s="6">
        <f>-IF(Main[[#This Row],[مقدار (کیلوگرم)]]&lt;0,Main[[#This Row],[مقدار (کیلوگرم)]],0)</f>
        <v>1114</v>
      </c>
      <c r="L22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9" s="7">
        <f>-IF(AND(Main[[#This Row],[مقدار (کیلوگرم)]]&lt;0,Main[[#This Row],[تاريخ میلادی]]&gt;44276),Main[[#This Row],[مقدار (کیلوگرم)]],0)</f>
        <v>1114</v>
      </c>
      <c r="N2259" s="6">
        <f ca="1">Main[[#This Row],[بدهکار (کیلوگرم)]]-Main[[#This Row],[بدهی تسویه نشده (کیلوگرم)]]</f>
        <v>1114</v>
      </c>
      <c r="O2259" s="6">
        <f ca="1">Main[[#This Row],[تفکیک]]</f>
        <v>0</v>
      </c>
      <c r="P2259" s="6">
        <f ca="1">IF(Main[[#This Row],[تاخیر از سررسید]]&gt;0,Main[[#This Row],[بدهی تسویه نشده (کیلوگرم)]],0)</f>
        <v>0</v>
      </c>
      <c r="Q2259" s="6">
        <f ca="1">IF(Main[[#This Row],[بدهی تسویه نشده (کیلوگرم)]]&gt;0,'گزارش فردی'!$B$7-Main[[#This Row],[تاريخ میلادی]],0)</f>
        <v>0</v>
      </c>
      <c r="R2259" s="6">
        <f ca="1">IF(Main[[#This Row],[بدهی تسویه نشده (کیلوگرم)]]&gt;0,'گزارش فردی'!$B$7-Main[[#This Row],[تاريخ میلادی]]-'گزارش فردی'!$B$8,0)</f>
        <v>0</v>
      </c>
      <c r="S2259" s="6">
        <f ca="1">Main[[#This Row],[روز از ارسال سفارش]]*Main[[#This Row],[بدهی تسویه نشده (کیلوگرم)]]</f>
        <v>0</v>
      </c>
      <c r="T2259" s="6">
        <f ca="1">Main[[#This Row],[بدهی سررسید شده (کیلوگرم)]]*Main[[#This Row],[روز از ارسال سفارش]]</f>
        <v>0</v>
      </c>
      <c r="U2259" s="6">
        <f>-SUBTOTAL(9,INDEX(Main[مقدار (کیلوگرم)],1):Main[[#This Row],[مقدار (کیلوگرم)]])</f>
        <v>37663</v>
      </c>
      <c r="V22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59" s="6">
        <f>Main[[#This Row],[تعداد کل روزهای بدهکار (روز)]]*Main[[#This Row],[مانده در خط کل (کیلوگرم)]]</f>
        <v>0</v>
      </c>
      <c r="X2259" s="6">
        <f ca="1">-SUBTOTAL(9,INDEX(Main[مقدار تسویه شده (کیلوگرم)],1):Main[[#This Row],[مقدار تسویه شده (کیلوگرم)]])</f>
        <v>37663</v>
      </c>
      <c r="Y2259" s="6">
        <f ca="1">IF(Main[[#This Row],[مانده در خط تسویه شده (کیلوگرم)]]&lt;&gt;0,Main[[#This Row],[تعداد کل روزهای بدهکار (روز)]],0)</f>
        <v>0</v>
      </c>
      <c r="Z2259" s="6">
        <f ca="1">Main[[#This Row],[تعداد روزهای بدهکار تسویه شده (روز)]]*Main[[#This Row],[مانده در خط تسویه شده (کیلوگرم)]]</f>
        <v>0</v>
      </c>
      <c r="AA2259" s="6">
        <f ca="1">SUBTOTAL(9,INDEX(Main[بدهی تسویه نشده (کیلوگرم)],1):Main[[#This Row],[بدهی تسویه نشده (کیلوگرم)]])</f>
        <v>0</v>
      </c>
      <c r="AB2259" s="6">
        <f ca="1">IF(Main[[#This Row],[مانده در خط تسویه نشده (کیلوگرم)]]&lt;&gt;0,Main[[#This Row],[تعداد کل روزهای بدهکار (روز)]],0)</f>
        <v>0</v>
      </c>
      <c r="AC2259" s="6">
        <f ca="1">Main[[#This Row],[تعداد روزهای بدهکار  تسویه نشده (روز)]]*Main[[#This Row],[مانده در خط تسویه نشده (کیلوگرم)]]</f>
        <v>0</v>
      </c>
      <c r="AD2259" s="6">
        <f ca="1">SUBTOTAL(9,INDEX(Main[بدهی سررسید شده (کیلوگرم)],1):Main[[#This Row],[بدهی سررسید شده (کیلوگرم)]])</f>
        <v>0</v>
      </c>
      <c r="AE2259" s="6">
        <f ca="1">IF(Main[[#This Row],[مانده در خط سررسید شده (کیلوگرم)]]&lt;&gt;0,Main[[#This Row],[تعداد کل روزهای بدهکار (روز)]],0)</f>
        <v>0</v>
      </c>
      <c r="AF2259" s="6">
        <f ca="1">Main[[#This Row],[تعداد روزهای بدهکار سررسید شده (روز)]]*Main[[#This Row],[مانده در خط سررسید شده (کیلوگرم)]]</f>
        <v>0</v>
      </c>
    </row>
    <row r="2260" spans="1:32" hidden="1" x14ac:dyDescent="0.35">
      <c r="A2260" s="5">
        <f>ROW()-ROW(INDEX(Main[ردیف],1))+1</f>
        <v>2258</v>
      </c>
      <c r="B2260" s="31">
        <f>SUBTOTAL(2,INDEX(Main[ردیف],1):Main[[#This Row],[ردیف]])</f>
        <v>205</v>
      </c>
      <c r="C2260" s="32" t="s">
        <v>776</v>
      </c>
      <c r="D2260" s="32" t="str">
        <f>_xlfn.CONCAT("14",Main[[#This Row],[تاريخ]])</f>
        <v>1400/09/02</v>
      </c>
      <c r="E2260" s="33">
        <v>44523</v>
      </c>
      <c r="F2260" s="32">
        <v>30187</v>
      </c>
      <c r="G2260" s="5" t="str">
        <f>INDEX(customer[عنوان],MATCH(Main[[#This Row],[کد ردیابی]],customer[کد],0))</f>
        <v>شرکت جام جم</v>
      </c>
      <c r="H2260">
        <v>220</v>
      </c>
      <c r="I2260" s="6">
        <f ca="1">-Main[[#This Row],[بدهی تسویه شده (کیلوگرم)]]+Main[[#This Row],[بستانکار (کیلوگرم)]]</f>
        <v>220</v>
      </c>
      <c r="J2260" s="6">
        <f>IF(Main[[#This Row],[مقدار (کیلوگرم)]]&gt;0,Main[[#This Row],[مقدار (کیلوگرم)]],0)</f>
        <v>220</v>
      </c>
      <c r="K2260" s="6">
        <f>-IF(Main[[#This Row],[مقدار (کیلوگرم)]]&lt;0,Main[[#This Row],[مقدار (کیلوگرم)]],0)</f>
        <v>0</v>
      </c>
      <c r="L22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0" s="7">
        <f>-IF(AND(Main[[#This Row],[مقدار (کیلوگرم)]]&lt;0,Main[[#This Row],[تاريخ میلادی]]&gt;44276),Main[[#This Row],[مقدار (کیلوگرم)]],0)</f>
        <v>0</v>
      </c>
      <c r="N2260" s="6">
        <f ca="1">Main[[#This Row],[بدهکار (کیلوگرم)]]-Main[[#This Row],[بدهی تسویه نشده (کیلوگرم)]]</f>
        <v>0</v>
      </c>
      <c r="O2260" s="6">
        <f ca="1">Main[[#This Row],[تفکیک]]</f>
        <v>0</v>
      </c>
      <c r="P2260" s="6">
        <f ca="1">IF(Main[[#This Row],[تاخیر از سررسید]]&gt;0,Main[[#This Row],[بدهی تسویه نشده (کیلوگرم)]],0)</f>
        <v>0</v>
      </c>
      <c r="Q2260" s="6">
        <f ca="1">IF(Main[[#This Row],[بدهی تسویه نشده (کیلوگرم)]]&gt;0,'گزارش فردی'!$B$7-Main[[#This Row],[تاريخ میلادی]],0)</f>
        <v>0</v>
      </c>
      <c r="R2260" s="6">
        <f ca="1">IF(Main[[#This Row],[بدهی تسویه نشده (کیلوگرم)]]&gt;0,'گزارش فردی'!$B$7-Main[[#This Row],[تاريخ میلادی]]-'گزارش فردی'!$B$8,0)</f>
        <v>0</v>
      </c>
      <c r="S2260" s="6">
        <f ca="1">Main[[#This Row],[روز از ارسال سفارش]]*Main[[#This Row],[بدهی تسویه نشده (کیلوگرم)]]</f>
        <v>0</v>
      </c>
      <c r="T2260" s="6">
        <f ca="1">Main[[#This Row],[بدهی سررسید شده (کیلوگرم)]]*Main[[#This Row],[روز از ارسال سفارش]]</f>
        <v>0</v>
      </c>
      <c r="U2260" s="6">
        <f>-SUBTOTAL(9,INDEX(Main[مقدار (کیلوگرم)],1):Main[[#This Row],[مقدار (کیلوگرم)]])</f>
        <v>37663</v>
      </c>
      <c r="V22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0" s="6">
        <f>Main[[#This Row],[تعداد کل روزهای بدهکار (روز)]]*Main[[#This Row],[مانده در خط کل (کیلوگرم)]]</f>
        <v>0</v>
      </c>
      <c r="X2260" s="6">
        <f ca="1">-SUBTOTAL(9,INDEX(Main[مقدار تسویه شده (کیلوگرم)],1):Main[[#This Row],[مقدار تسویه شده (کیلوگرم)]])</f>
        <v>37663</v>
      </c>
      <c r="Y2260" s="6">
        <f ca="1">IF(Main[[#This Row],[مانده در خط تسویه شده (کیلوگرم)]]&lt;&gt;0,Main[[#This Row],[تعداد کل روزهای بدهکار (روز)]],0)</f>
        <v>0</v>
      </c>
      <c r="Z2260" s="6">
        <f ca="1">Main[[#This Row],[تعداد روزهای بدهکار تسویه شده (روز)]]*Main[[#This Row],[مانده در خط تسویه شده (کیلوگرم)]]</f>
        <v>0</v>
      </c>
      <c r="AA2260" s="6">
        <f ca="1">SUBTOTAL(9,INDEX(Main[بدهی تسویه نشده (کیلوگرم)],1):Main[[#This Row],[بدهی تسویه نشده (کیلوگرم)]])</f>
        <v>0</v>
      </c>
      <c r="AB2260" s="6">
        <f ca="1">IF(Main[[#This Row],[مانده در خط تسویه نشده (کیلوگرم)]]&lt;&gt;0,Main[[#This Row],[تعداد کل روزهای بدهکار (روز)]],0)</f>
        <v>0</v>
      </c>
      <c r="AC2260" s="6">
        <f ca="1">Main[[#This Row],[تعداد روزهای بدهکار  تسویه نشده (روز)]]*Main[[#This Row],[مانده در خط تسویه نشده (کیلوگرم)]]</f>
        <v>0</v>
      </c>
      <c r="AD2260" s="6">
        <f ca="1">SUBTOTAL(9,INDEX(Main[بدهی سررسید شده (کیلوگرم)],1):Main[[#This Row],[بدهی سررسید شده (کیلوگرم)]])</f>
        <v>0</v>
      </c>
      <c r="AE2260" s="6">
        <f ca="1">IF(Main[[#This Row],[مانده در خط سررسید شده (کیلوگرم)]]&lt;&gt;0,Main[[#This Row],[تعداد کل روزهای بدهکار (روز)]],0)</f>
        <v>0</v>
      </c>
      <c r="AF2260" s="6">
        <f ca="1">Main[[#This Row],[تعداد روزهای بدهکار سررسید شده (روز)]]*Main[[#This Row],[مانده در خط سررسید شده (کیلوگرم)]]</f>
        <v>0</v>
      </c>
    </row>
    <row r="2261" spans="1:32" hidden="1" x14ac:dyDescent="0.35">
      <c r="A2261" s="5">
        <f>ROW()-ROW(INDEX(Main[ردیف],1))+1</f>
        <v>2259</v>
      </c>
      <c r="B2261" s="31">
        <f>SUBTOTAL(2,INDEX(Main[ردیف],1):Main[[#This Row],[ردیف]])</f>
        <v>205</v>
      </c>
      <c r="C2261" s="32" t="s">
        <v>776</v>
      </c>
      <c r="D2261" s="32" t="str">
        <f>_xlfn.CONCAT("14",Main[[#This Row],[تاريخ]])</f>
        <v>1400/09/02</v>
      </c>
      <c r="E2261" s="33">
        <v>44523</v>
      </c>
      <c r="F2261" s="32">
        <v>30196</v>
      </c>
      <c r="G2261" s="5" t="str">
        <f>INDEX(customer[عنوان],MATCH(Main[[#This Row],[کد ردیابی]],customer[کد],0))</f>
        <v>شرکت فردوس</v>
      </c>
      <c r="H2261">
        <v>-1674</v>
      </c>
      <c r="I2261" s="6">
        <f ca="1">-Main[[#This Row],[بدهی تسویه شده (کیلوگرم)]]+Main[[#This Row],[بستانکار (کیلوگرم)]]</f>
        <v>-1674</v>
      </c>
      <c r="J2261" s="6">
        <f>IF(Main[[#This Row],[مقدار (کیلوگرم)]]&gt;0,Main[[#This Row],[مقدار (کیلوگرم)]],0)</f>
        <v>0</v>
      </c>
      <c r="K2261" s="6">
        <f>-IF(Main[[#This Row],[مقدار (کیلوگرم)]]&lt;0,Main[[#This Row],[مقدار (کیلوگرم)]],0)</f>
        <v>1674</v>
      </c>
      <c r="L22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1" s="7">
        <f>-IF(AND(Main[[#This Row],[مقدار (کیلوگرم)]]&lt;0,Main[[#This Row],[تاريخ میلادی]]&gt;44276),Main[[#This Row],[مقدار (کیلوگرم)]],0)</f>
        <v>1674</v>
      </c>
      <c r="N2261" s="6">
        <f ca="1">Main[[#This Row],[بدهکار (کیلوگرم)]]-Main[[#This Row],[بدهی تسویه نشده (کیلوگرم)]]</f>
        <v>1674</v>
      </c>
      <c r="O2261" s="6">
        <f ca="1">Main[[#This Row],[تفکیک]]</f>
        <v>0</v>
      </c>
      <c r="P2261" s="6">
        <f ca="1">IF(Main[[#This Row],[تاخیر از سررسید]]&gt;0,Main[[#This Row],[بدهی تسویه نشده (کیلوگرم)]],0)</f>
        <v>0</v>
      </c>
      <c r="Q2261" s="6">
        <f ca="1">IF(Main[[#This Row],[بدهی تسویه نشده (کیلوگرم)]]&gt;0,'گزارش فردی'!$B$7-Main[[#This Row],[تاريخ میلادی]],0)</f>
        <v>0</v>
      </c>
      <c r="R2261" s="6">
        <f ca="1">IF(Main[[#This Row],[بدهی تسویه نشده (کیلوگرم)]]&gt;0,'گزارش فردی'!$B$7-Main[[#This Row],[تاريخ میلادی]]-'گزارش فردی'!$B$8,0)</f>
        <v>0</v>
      </c>
      <c r="S2261" s="6">
        <f ca="1">Main[[#This Row],[روز از ارسال سفارش]]*Main[[#This Row],[بدهی تسویه نشده (کیلوگرم)]]</f>
        <v>0</v>
      </c>
      <c r="T2261" s="6">
        <f ca="1">Main[[#This Row],[بدهی سررسید شده (کیلوگرم)]]*Main[[#This Row],[روز از ارسال سفارش]]</f>
        <v>0</v>
      </c>
      <c r="U2261" s="6">
        <f>-SUBTOTAL(9,INDEX(Main[مقدار (کیلوگرم)],1):Main[[#This Row],[مقدار (کیلوگرم)]])</f>
        <v>37663</v>
      </c>
      <c r="V22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1" s="6">
        <f>Main[[#This Row],[تعداد کل روزهای بدهکار (روز)]]*Main[[#This Row],[مانده در خط کل (کیلوگرم)]]</f>
        <v>0</v>
      </c>
      <c r="X2261" s="6">
        <f ca="1">-SUBTOTAL(9,INDEX(Main[مقدار تسویه شده (کیلوگرم)],1):Main[[#This Row],[مقدار تسویه شده (کیلوگرم)]])</f>
        <v>37663</v>
      </c>
      <c r="Y2261" s="6">
        <f ca="1">IF(Main[[#This Row],[مانده در خط تسویه شده (کیلوگرم)]]&lt;&gt;0,Main[[#This Row],[تعداد کل روزهای بدهکار (روز)]],0)</f>
        <v>0</v>
      </c>
      <c r="Z2261" s="6">
        <f ca="1">Main[[#This Row],[تعداد روزهای بدهکار تسویه شده (روز)]]*Main[[#This Row],[مانده در خط تسویه شده (کیلوگرم)]]</f>
        <v>0</v>
      </c>
      <c r="AA2261" s="6">
        <f ca="1">SUBTOTAL(9,INDEX(Main[بدهی تسویه نشده (کیلوگرم)],1):Main[[#This Row],[بدهی تسویه نشده (کیلوگرم)]])</f>
        <v>0</v>
      </c>
      <c r="AB2261" s="6">
        <f ca="1">IF(Main[[#This Row],[مانده در خط تسویه نشده (کیلوگرم)]]&lt;&gt;0,Main[[#This Row],[تعداد کل روزهای بدهکار (روز)]],0)</f>
        <v>0</v>
      </c>
      <c r="AC2261" s="6">
        <f ca="1">Main[[#This Row],[تعداد روزهای بدهکار  تسویه نشده (روز)]]*Main[[#This Row],[مانده در خط تسویه نشده (کیلوگرم)]]</f>
        <v>0</v>
      </c>
      <c r="AD2261" s="6">
        <f ca="1">SUBTOTAL(9,INDEX(Main[بدهی سررسید شده (کیلوگرم)],1):Main[[#This Row],[بدهی سررسید شده (کیلوگرم)]])</f>
        <v>0</v>
      </c>
      <c r="AE2261" s="6">
        <f ca="1">IF(Main[[#This Row],[مانده در خط سررسید شده (کیلوگرم)]]&lt;&gt;0,Main[[#This Row],[تعداد کل روزهای بدهکار (روز)]],0)</f>
        <v>0</v>
      </c>
      <c r="AF2261" s="6">
        <f ca="1">Main[[#This Row],[تعداد روزهای بدهکار سررسید شده (روز)]]*Main[[#This Row],[مانده در خط سررسید شده (کیلوگرم)]]</f>
        <v>0</v>
      </c>
    </row>
    <row r="2262" spans="1:32" hidden="1" x14ac:dyDescent="0.35">
      <c r="A2262" s="5">
        <f>ROW()-ROW(INDEX(Main[ردیف],1))+1</f>
        <v>2260</v>
      </c>
      <c r="B2262" s="31">
        <f>SUBTOTAL(2,INDEX(Main[ردیف],1):Main[[#This Row],[ردیف]])</f>
        <v>205</v>
      </c>
      <c r="C2262" s="32" t="s">
        <v>776</v>
      </c>
      <c r="D2262" s="32" t="str">
        <f>_xlfn.CONCAT("14",Main[[#This Row],[تاريخ]])</f>
        <v>1400/09/02</v>
      </c>
      <c r="E2262" s="33">
        <v>44523</v>
      </c>
      <c r="F2262" s="32">
        <v>50016</v>
      </c>
      <c r="G2262" s="5" t="str">
        <f>INDEX(customer[عنوان],MATCH(Main[[#This Row],[کد ردیابی]],customer[کد],0))</f>
        <v xml:space="preserve">مهدی یوسفی  </v>
      </c>
      <c r="H2262">
        <v>10542</v>
      </c>
      <c r="I2262" s="6">
        <f ca="1">-Main[[#This Row],[بدهی تسویه شده (کیلوگرم)]]+Main[[#This Row],[بستانکار (کیلوگرم)]]</f>
        <v>10542</v>
      </c>
      <c r="J2262" s="6">
        <f>IF(Main[[#This Row],[مقدار (کیلوگرم)]]&gt;0,Main[[#This Row],[مقدار (کیلوگرم)]],0)</f>
        <v>10542</v>
      </c>
      <c r="K2262" s="6">
        <f>-IF(Main[[#This Row],[مقدار (کیلوگرم)]]&lt;0,Main[[#This Row],[مقدار (کیلوگرم)]],0)</f>
        <v>0</v>
      </c>
      <c r="L22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2" s="7">
        <f>-IF(AND(Main[[#This Row],[مقدار (کیلوگرم)]]&lt;0,Main[[#This Row],[تاريخ میلادی]]&gt;44276),Main[[#This Row],[مقدار (کیلوگرم)]],0)</f>
        <v>0</v>
      </c>
      <c r="N2262" s="6">
        <f ca="1">Main[[#This Row],[بدهکار (کیلوگرم)]]-Main[[#This Row],[بدهی تسویه نشده (کیلوگرم)]]</f>
        <v>0</v>
      </c>
      <c r="O2262" s="6">
        <f ca="1">Main[[#This Row],[تفکیک]]</f>
        <v>0</v>
      </c>
      <c r="P2262" s="6">
        <f ca="1">IF(Main[[#This Row],[تاخیر از سررسید]]&gt;0,Main[[#This Row],[بدهی تسویه نشده (کیلوگرم)]],0)</f>
        <v>0</v>
      </c>
      <c r="Q2262" s="6">
        <f ca="1">IF(Main[[#This Row],[بدهی تسویه نشده (کیلوگرم)]]&gt;0,'گزارش فردی'!$B$7-Main[[#This Row],[تاريخ میلادی]],0)</f>
        <v>0</v>
      </c>
      <c r="R2262" s="6">
        <f ca="1">IF(Main[[#This Row],[بدهی تسویه نشده (کیلوگرم)]]&gt;0,'گزارش فردی'!$B$7-Main[[#This Row],[تاريخ میلادی]]-'گزارش فردی'!$B$8,0)</f>
        <v>0</v>
      </c>
      <c r="S2262" s="6">
        <f ca="1">Main[[#This Row],[روز از ارسال سفارش]]*Main[[#This Row],[بدهی تسویه نشده (کیلوگرم)]]</f>
        <v>0</v>
      </c>
      <c r="T2262" s="6">
        <f ca="1">Main[[#This Row],[بدهی سررسید شده (کیلوگرم)]]*Main[[#This Row],[روز از ارسال سفارش]]</f>
        <v>0</v>
      </c>
      <c r="U2262" s="6">
        <f>-SUBTOTAL(9,INDEX(Main[مقدار (کیلوگرم)],1):Main[[#This Row],[مقدار (کیلوگرم)]])</f>
        <v>37663</v>
      </c>
      <c r="V22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2" s="6">
        <f>Main[[#This Row],[تعداد کل روزهای بدهکار (روز)]]*Main[[#This Row],[مانده در خط کل (کیلوگرم)]]</f>
        <v>0</v>
      </c>
      <c r="X2262" s="6">
        <f ca="1">-SUBTOTAL(9,INDEX(Main[مقدار تسویه شده (کیلوگرم)],1):Main[[#This Row],[مقدار تسویه شده (کیلوگرم)]])</f>
        <v>37663</v>
      </c>
      <c r="Y2262" s="6">
        <f ca="1">IF(Main[[#This Row],[مانده در خط تسویه شده (کیلوگرم)]]&lt;&gt;0,Main[[#This Row],[تعداد کل روزهای بدهکار (روز)]],0)</f>
        <v>0</v>
      </c>
      <c r="Z2262" s="6">
        <f ca="1">Main[[#This Row],[تعداد روزهای بدهکار تسویه شده (روز)]]*Main[[#This Row],[مانده در خط تسویه شده (کیلوگرم)]]</f>
        <v>0</v>
      </c>
      <c r="AA2262" s="6">
        <f ca="1">SUBTOTAL(9,INDEX(Main[بدهی تسویه نشده (کیلوگرم)],1):Main[[#This Row],[بدهی تسویه نشده (کیلوگرم)]])</f>
        <v>0</v>
      </c>
      <c r="AB2262" s="6">
        <f ca="1">IF(Main[[#This Row],[مانده در خط تسویه نشده (کیلوگرم)]]&lt;&gt;0,Main[[#This Row],[تعداد کل روزهای بدهکار (روز)]],0)</f>
        <v>0</v>
      </c>
      <c r="AC2262" s="6">
        <f ca="1">Main[[#This Row],[تعداد روزهای بدهکار  تسویه نشده (روز)]]*Main[[#This Row],[مانده در خط تسویه نشده (کیلوگرم)]]</f>
        <v>0</v>
      </c>
      <c r="AD2262" s="6">
        <f ca="1">SUBTOTAL(9,INDEX(Main[بدهی سررسید شده (کیلوگرم)],1):Main[[#This Row],[بدهی سررسید شده (کیلوگرم)]])</f>
        <v>0</v>
      </c>
      <c r="AE2262" s="6">
        <f ca="1">IF(Main[[#This Row],[مانده در خط سررسید شده (کیلوگرم)]]&lt;&gt;0,Main[[#This Row],[تعداد کل روزهای بدهکار (روز)]],0)</f>
        <v>0</v>
      </c>
      <c r="AF2262" s="6">
        <f ca="1">Main[[#This Row],[تعداد روزهای بدهکار سررسید شده (روز)]]*Main[[#This Row],[مانده در خط سررسید شده (کیلوگرم)]]</f>
        <v>0</v>
      </c>
    </row>
    <row r="2263" spans="1:32" hidden="1" x14ac:dyDescent="0.35">
      <c r="A2263" s="5">
        <f>ROW()-ROW(INDEX(Main[ردیف],1))+1</f>
        <v>2261</v>
      </c>
      <c r="B2263" s="31">
        <f>SUBTOTAL(2,INDEX(Main[ردیف],1):Main[[#This Row],[ردیف]])</f>
        <v>205</v>
      </c>
      <c r="C2263" s="32" t="s">
        <v>776</v>
      </c>
      <c r="D2263" s="32" t="str">
        <f>_xlfn.CONCAT("14",Main[[#This Row],[تاريخ]])</f>
        <v>1400/09/02</v>
      </c>
      <c r="E2263" s="33">
        <v>44523</v>
      </c>
      <c r="F2263" s="32">
        <v>10048</v>
      </c>
      <c r="G2263" s="5" t="str">
        <f>INDEX(customer[عنوان],MATCH(Main[[#This Row],[کد ردیابی]],customer[کد],0))</f>
        <v xml:space="preserve">حسام کریمان  </v>
      </c>
      <c r="H2263">
        <v>-402</v>
      </c>
      <c r="I2263" s="6">
        <f ca="1">-Main[[#This Row],[بدهی تسویه شده (کیلوگرم)]]+Main[[#This Row],[بستانکار (کیلوگرم)]]</f>
        <v>-402</v>
      </c>
      <c r="J2263" s="6">
        <f>IF(Main[[#This Row],[مقدار (کیلوگرم)]]&gt;0,Main[[#This Row],[مقدار (کیلوگرم)]],0)</f>
        <v>0</v>
      </c>
      <c r="K2263" s="6">
        <f>-IF(Main[[#This Row],[مقدار (کیلوگرم)]]&lt;0,Main[[#This Row],[مقدار (کیلوگرم)]],0)</f>
        <v>402</v>
      </c>
      <c r="L22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3" s="7">
        <f>-IF(AND(Main[[#This Row],[مقدار (کیلوگرم)]]&lt;0,Main[[#This Row],[تاريخ میلادی]]&gt;44276),Main[[#This Row],[مقدار (کیلوگرم)]],0)</f>
        <v>402</v>
      </c>
      <c r="N2263" s="6">
        <f ca="1">Main[[#This Row],[بدهکار (کیلوگرم)]]-Main[[#This Row],[بدهی تسویه نشده (کیلوگرم)]]</f>
        <v>402</v>
      </c>
      <c r="O2263" s="6">
        <f ca="1">Main[[#This Row],[تفکیک]]</f>
        <v>0</v>
      </c>
      <c r="P2263" s="6">
        <f ca="1">IF(Main[[#This Row],[تاخیر از سررسید]]&gt;0,Main[[#This Row],[بدهی تسویه نشده (کیلوگرم)]],0)</f>
        <v>0</v>
      </c>
      <c r="Q2263" s="6">
        <f ca="1">IF(Main[[#This Row],[بدهی تسویه نشده (کیلوگرم)]]&gt;0,'گزارش فردی'!$B$7-Main[[#This Row],[تاريخ میلادی]],0)</f>
        <v>0</v>
      </c>
      <c r="R2263" s="6">
        <f ca="1">IF(Main[[#This Row],[بدهی تسویه نشده (کیلوگرم)]]&gt;0,'گزارش فردی'!$B$7-Main[[#This Row],[تاريخ میلادی]]-'گزارش فردی'!$B$8,0)</f>
        <v>0</v>
      </c>
      <c r="S2263" s="6">
        <f ca="1">Main[[#This Row],[روز از ارسال سفارش]]*Main[[#This Row],[بدهی تسویه نشده (کیلوگرم)]]</f>
        <v>0</v>
      </c>
      <c r="T2263" s="6">
        <f ca="1">Main[[#This Row],[بدهی سررسید شده (کیلوگرم)]]*Main[[#This Row],[روز از ارسال سفارش]]</f>
        <v>0</v>
      </c>
      <c r="U2263" s="6">
        <f>-SUBTOTAL(9,INDEX(Main[مقدار (کیلوگرم)],1):Main[[#This Row],[مقدار (کیلوگرم)]])</f>
        <v>37663</v>
      </c>
      <c r="V22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3" s="6">
        <f>Main[[#This Row],[تعداد کل روزهای بدهکار (روز)]]*Main[[#This Row],[مانده در خط کل (کیلوگرم)]]</f>
        <v>0</v>
      </c>
      <c r="X2263" s="6">
        <f ca="1">-SUBTOTAL(9,INDEX(Main[مقدار تسویه شده (کیلوگرم)],1):Main[[#This Row],[مقدار تسویه شده (کیلوگرم)]])</f>
        <v>37663</v>
      </c>
      <c r="Y2263" s="6">
        <f ca="1">IF(Main[[#This Row],[مانده در خط تسویه شده (کیلوگرم)]]&lt;&gt;0,Main[[#This Row],[تعداد کل روزهای بدهکار (روز)]],0)</f>
        <v>0</v>
      </c>
      <c r="Z2263" s="6">
        <f ca="1">Main[[#This Row],[تعداد روزهای بدهکار تسویه شده (روز)]]*Main[[#This Row],[مانده در خط تسویه شده (کیلوگرم)]]</f>
        <v>0</v>
      </c>
      <c r="AA2263" s="6">
        <f ca="1">SUBTOTAL(9,INDEX(Main[بدهی تسویه نشده (کیلوگرم)],1):Main[[#This Row],[بدهی تسویه نشده (کیلوگرم)]])</f>
        <v>0</v>
      </c>
      <c r="AB2263" s="6">
        <f ca="1">IF(Main[[#This Row],[مانده در خط تسویه نشده (کیلوگرم)]]&lt;&gt;0,Main[[#This Row],[تعداد کل روزهای بدهکار (روز)]],0)</f>
        <v>0</v>
      </c>
      <c r="AC2263" s="6">
        <f ca="1">Main[[#This Row],[تعداد روزهای بدهکار  تسویه نشده (روز)]]*Main[[#This Row],[مانده در خط تسویه نشده (کیلوگرم)]]</f>
        <v>0</v>
      </c>
      <c r="AD2263" s="6">
        <f ca="1">SUBTOTAL(9,INDEX(Main[بدهی سررسید شده (کیلوگرم)],1):Main[[#This Row],[بدهی سررسید شده (کیلوگرم)]])</f>
        <v>0</v>
      </c>
      <c r="AE2263" s="6">
        <f ca="1">IF(Main[[#This Row],[مانده در خط سررسید شده (کیلوگرم)]]&lt;&gt;0,Main[[#This Row],[تعداد کل روزهای بدهکار (روز)]],0)</f>
        <v>0</v>
      </c>
      <c r="AF2263" s="6">
        <f ca="1">Main[[#This Row],[تعداد روزهای بدهکار سررسید شده (روز)]]*Main[[#This Row],[مانده در خط سررسید شده (کیلوگرم)]]</f>
        <v>0</v>
      </c>
    </row>
    <row r="2264" spans="1:32" hidden="1" x14ac:dyDescent="0.35">
      <c r="A2264" s="5">
        <f>ROW()-ROW(INDEX(Main[ردیف],1))+1</f>
        <v>2262</v>
      </c>
      <c r="B2264" s="31">
        <f>SUBTOTAL(2,INDEX(Main[ردیف],1):Main[[#This Row],[ردیف]])</f>
        <v>205</v>
      </c>
      <c r="C2264" s="32" t="s">
        <v>776</v>
      </c>
      <c r="D2264" s="32" t="str">
        <f>_xlfn.CONCAT("14",Main[[#This Row],[تاريخ]])</f>
        <v>1400/09/02</v>
      </c>
      <c r="E2264" s="33">
        <v>44523</v>
      </c>
      <c r="F2264" s="32">
        <v>10048</v>
      </c>
      <c r="G2264" s="5" t="str">
        <f>INDEX(customer[عنوان],MATCH(Main[[#This Row],[کد ردیابی]],customer[کد],0))</f>
        <v xml:space="preserve">حسام کریمان  </v>
      </c>
      <c r="H2264">
        <v>132</v>
      </c>
      <c r="I2264" s="6">
        <f ca="1">-Main[[#This Row],[بدهی تسویه شده (کیلوگرم)]]+Main[[#This Row],[بستانکار (کیلوگرم)]]</f>
        <v>132</v>
      </c>
      <c r="J2264" s="6">
        <f>IF(Main[[#This Row],[مقدار (کیلوگرم)]]&gt;0,Main[[#This Row],[مقدار (کیلوگرم)]],0)</f>
        <v>132</v>
      </c>
      <c r="K2264" s="6">
        <f>-IF(Main[[#This Row],[مقدار (کیلوگرم)]]&lt;0,Main[[#This Row],[مقدار (کیلوگرم)]],0)</f>
        <v>0</v>
      </c>
      <c r="L22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4" s="7">
        <f>-IF(AND(Main[[#This Row],[مقدار (کیلوگرم)]]&lt;0,Main[[#This Row],[تاريخ میلادی]]&gt;44276),Main[[#This Row],[مقدار (کیلوگرم)]],0)</f>
        <v>0</v>
      </c>
      <c r="N2264" s="6">
        <f ca="1">Main[[#This Row],[بدهکار (کیلوگرم)]]-Main[[#This Row],[بدهی تسویه نشده (کیلوگرم)]]</f>
        <v>0</v>
      </c>
      <c r="O2264" s="6">
        <f ca="1">Main[[#This Row],[تفکیک]]</f>
        <v>0</v>
      </c>
      <c r="P2264" s="6">
        <f ca="1">IF(Main[[#This Row],[تاخیر از سررسید]]&gt;0,Main[[#This Row],[بدهی تسویه نشده (کیلوگرم)]],0)</f>
        <v>0</v>
      </c>
      <c r="Q2264" s="6">
        <f ca="1">IF(Main[[#This Row],[بدهی تسویه نشده (کیلوگرم)]]&gt;0,'گزارش فردی'!$B$7-Main[[#This Row],[تاريخ میلادی]],0)</f>
        <v>0</v>
      </c>
      <c r="R2264" s="6">
        <f ca="1">IF(Main[[#This Row],[بدهی تسویه نشده (کیلوگرم)]]&gt;0,'گزارش فردی'!$B$7-Main[[#This Row],[تاريخ میلادی]]-'گزارش فردی'!$B$8,0)</f>
        <v>0</v>
      </c>
      <c r="S2264" s="6">
        <f ca="1">Main[[#This Row],[روز از ارسال سفارش]]*Main[[#This Row],[بدهی تسویه نشده (کیلوگرم)]]</f>
        <v>0</v>
      </c>
      <c r="T2264" s="6">
        <f ca="1">Main[[#This Row],[بدهی سررسید شده (کیلوگرم)]]*Main[[#This Row],[روز از ارسال سفارش]]</f>
        <v>0</v>
      </c>
      <c r="U2264" s="6">
        <f>-SUBTOTAL(9,INDEX(Main[مقدار (کیلوگرم)],1):Main[[#This Row],[مقدار (کیلوگرم)]])</f>
        <v>37663</v>
      </c>
      <c r="V22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4" s="6">
        <f>Main[[#This Row],[تعداد کل روزهای بدهکار (روز)]]*Main[[#This Row],[مانده در خط کل (کیلوگرم)]]</f>
        <v>0</v>
      </c>
      <c r="X2264" s="6">
        <f ca="1">-SUBTOTAL(9,INDEX(Main[مقدار تسویه شده (کیلوگرم)],1):Main[[#This Row],[مقدار تسویه شده (کیلوگرم)]])</f>
        <v>37663</v>
      </c>
      <c r="Y2264" s="6">
        <f ca="1">IF(Main[[#This Row],[مانده در خط تسویه شده (کیلوگرم)]]&lt;&gt;0,Main[[#This Row],[تعداد کل روزهای بدهکار (روز)]],0)</f>
        <v>0</v>
      </c>
      <c r="Z2264" s="6">
        <f ca="1">Main[[#This Row],[تعداد روزهای بدهکار تسویه شده (روز)]]*Main[[#This Row],[مانده در خط تسویه شده (کیلوگرم)]]</f>
        <v>0</v>
      </c>
      <c r="AA2264" s="6">
        <f ca="1">SUBTOTAL(9,INDEX(Main[بدهی تسویه نشده (کیلوگرم)],1):Main[[#This Row],[بدهی تسویه نشده (کیلوگرم)]])</f>
        <v>0</v>
      </c>
      <c r="AB2264" s="6">
        <f ca="1">IF(Main[[#This Row],[مانده در خط تسویه نشده (کیلوگرم)]]&lt;&gt;0,Main[[#This Row],[تعداد کل روزهای بدهکار (روز)]],0)</f>
        <v>0</v>
      </c>
      <c r="AC2264" s="6">
        <f ca="1">Main[[#This Row],[تعداد روزهای بدهکار  تسویه نشده (روز)]]*Main[[#This Row],[مانده در خط تسویه نشده (کیلوگرم)]]</f>
        <v>0</v>
      </c>
      <c r="AD2264" s="6">
        <f ca="1">SUBTOTAL(9,INDEX(Main[بدهی سررسید شده (کیلوگرم)],1):Main[[#This Row],[بدهی سررسید شده (کیلوگرم)]])</f>
        <v>0</v>
      </c>
      <c r="AE2264" s="6">
        <f ca="1">IF(Main[[#This Row],[مانده در خط سررسید شده (کیلوگرم)]]&lt;&gt;0,Main[[#This Row],[تعداد کل روزهای بدهکار (روز)]],0)</f>
        <v>0</v>
      </c>
      <c r="AF2264" s="6">
        <f ca="1">Main[[#This Row],[تعداد روزهای بدهکار سررسید شده (روز)]]*Main[[#This Row],[مانده در خط سررسید شده (کیلوگرم)]]</f>
        <v>0</v>
      </c>
    </row>
    <row r="2265" spans="1:32" x14ac:dyDescent="0.35">
      <c r="A2265" s="5">
        <f>ROW()-ROW(INDEX(Main[ردیف],1))+1</f>
        <v>2263</v>
      </c>
      <c r="B2265" s="31">
        <f>SUBTOTAL(2,INDEX(Main[ردیف],1):Main[[#This Row],[ردیف]])</f>
        <v>206</v>
      </c>
      <c r="C2265" s="32" t="s">
        <v>776</v>
      </c>
      <c r="D2265" s="32" t="str">
        <f>_xlfn.CONCAT("14",Main[[#This Row],[تاريخ]])</f>
        <v>1400/09/02</v>
      </c>
      <c r="E2265" s="33">
        <v>44523</v>
      </c>
      <c r="F2265" s="32">
        <v>10003</v>
      </c>
      <c r="G2265" s="5" t="str">
        <f>INDEX(customer[عنوان],MATCH(Main[[#This Row],[کد ردیابی]],customer[کد],0))</f>
        <v>اصغر نورعلی</v>
      </c>
      <c r="H2265">
        <v>-2022</v>
      </c>
      <c r="I2265" s="6">
        <f ca="1">-Main[[#This Row],[بدهی تسویه شده (کیلوگرم)]]+Main[[#This Row],[بستانکار (کیلوگرم)]]</f>
        <v>-2022</v>
      </c>
      <c r="J2265" s="6">
        <f>IF(Main[[#This Row],[مقدار (کیلوگرم)]]&gt;0,Main[[#This Row],[مقدار (کیلوگرم)]],0)</f>
        <v>0</v>
      </c>
      <c r="K2265" s="6">
        <f>-IF(Main[[#This Row],[مقدار (کیلوگرم)]]&lt;0,Main[[#This Row],[مقدار (کیلوگرم)]],0)</f>
        <v>2022</v>
      </c>
      <c r="L22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5" s="7">
        <f>-IF(AND(Main[[#This Row],[مقدار (کیلوگرم)]]&lt;0,Main[[#This Row],[تاريخ میلادی]]&gt;44276),Main[[#This Row],[مقدار (کیلوگرم)]],0)</f>
        <v>2022</v>
      </c>
      <c r="N2265" s="6">
        <f ca="1">Main[[#This Row],[بدهکار (کیلوگرم)]]-Main[[#This Row],[بدهی تسویه نشده (کیلوگرم)]]</f>
        <v>2022</v>
      </c>
      <c r="O2265" s="6">
        <f ca="1">Main[[#This Row],[تفکیک]]</f>
        <v>0</v>
      </c>
      <c r="P2265" s="6">
        <f ca="1">IF(Main[[#This Row],[تاخیر از سررسید]]&gt;0,Main[[#This Row],[بدهی تسویه نشده (کیلوگرم)]],0)</f>
        <v>0</v>
      </c>
      <c r="Q2265" s="6">
        <f ca="1">IF(Main[[#This Row],[بدهی تسویه نشده (کیلوگرم)]]&gt;0,'گزارش فردی'!$B$7-Main[[#This Row],[تاريخ میلادی]],0)</f>
        <v>0</v>
      </c>
      <c r="R2265" s="6">
        <f ca="1">IF(Main[[#This Row],[بدهی تسویه نشده (کیلوگرم)]]&gt;0,'گزارش فردی'!$B$7-Main[[#This Row],[تاريخ میلادی]]-'گزارش فردی'!$B$8,0)</f>
        <v>0</v>
      </c>
      <c r="S2265" s="6">
        <f ca="1">Main[[#This Row],[روز از ارسال سفارش]]*Main[[#This Row],[بدهی تسویه نشده (کیلوگرم)]]</f>
        <v>0</v>
      </c>
      <c r="T2265" s="6">
        <f ca="1">Main[[#This Row],[بدهی سررسید شده (کیلوگرم)]]*Main[[#This Row],[روز از ارسال سفارش]]</f>
        <v>0</v>
      </c>
      <c r="U2265" s="6">
        <f>-SUBTOTAL(9,INDEX(Main[مقدار (کیلوگرم)],1):Main[[#This Row],[مقدار (کیلوگرم)]])</f>
        <v>39685</v>
      </c>
      <c r="V22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5" s="6">
        <f>Main[[#This Row],[تعداد کل روزهای بدهکار (روز)]]*Main[[#This Row],[مانده در خط کل (کیلوگرم)]]</f>
        <v>39685</v>
      </c>
      <c r="X2265" s="6">
        <f ca="1">-SUBTOTAL(9,INDEX(Main[مقدار تسویه شده (کیلوگرم)],1):Main[[#This Row],[مقدار تسویه شده (کیلوگرم)]])</f>
        <v>39685</v>
      </c>
      <c r="Y2265" s="6">
        <f ca="1">IF(Main[[#This Row],[مانده در خط تسویه شده (کیلوگرم)]]&lt;&gt;0,Main[[#This Row],[تعداد کل روزهای بدهکار (روز)]],0)</f>
        <v>1</v>
      </c>
      <c r="Z2265" s="6">
        <f ca="1">Main[[#This Row],[تعداد روزهای بدهکار تسویه شده (روز)]]*Main[[#This Row],[مانده در خط تسویه شده (کیلوگرم)]]</f>
        <v>39685</v>
      </c>
      <c r="AA2265" s="6">
        <f ca="1">SUBTOTAL(9,INDEX(Main[بدهی تسویه نشده (کیلوگرم)],1):Main[[#This Row],[بدهی تسویه نشده (کیلوگرم)]])</f>
        <v>0</v>
      </c>
      <c r="AB2265" s="6">
        <f ca="1">IF(Main[[#This Row],[مانده در خط تسویه نشده (کیلوگرم)]]&lt;&gt;0,Main[[#This Row],[تعداد کل روزهای بدهکار (روز)]],0)</f>
        <v>0</v>
      </c>
      <c r="AC2265" s="6">
        <f ca="1">Main[[#This Row],[تعداد روزهای بدهکار  تسویه نشده (روز)]]*Main[[#This Row],[مانده در خط تسویه نشده (کیلوگرم)]]</f>
        <v>0</v>
      </c>
      <c r="AD2265" s="6">
        <f ca="1">SUBTOTAL(9,INDEX(Main[بدهی سررسید شده (کیلوگرم)],1):Main[[#This Row],[بدهی سررسید شده (کیلوگرم)]])</f>
        <v>0</v>
      </c>
      <c r="AE2265" s="6">
        <f ca="1">IF(Main[[#This Row],[مانده در خط سررسید شده (کیلوگرم)]]&lt;&gt;0,Main[[#This Row],[تعداد کل روزهای بدهکار (روز)]],0)</f>
        <v>0</v>
      </c>
      <c r="AF2265" s="6">
        <f ca="1">Main[[#This Row],[تعداد روزهای بدهکار سررسید شده (روز)]]*Main[[#This Row],[مانده در خط سررسید شده (کیلوگرم)]]</f>
        <v>0</v>
      </c>
    </row>
    <row r="2266" spans="1:32" hidden="1" x14ac:dyDescent="0.35">
      <c r="A2266" s="5">
        <f>ROW()-ROW(INDEX(Main[ردیف],1))+1</f>
        <v>2264</v>
      </c>
      <c r="B2266" s="31">
        <f>SUBTOTAL(2,INDEX(Main[ردیف],1):Main[[#This Row],[ردیف]])</f>
        <v>206</v>
      </c>
      <c r="C2266" s="32" t="s">
        <v>776</v>
      </c>
      <c r="D2266" s="32" t="str">
        <f>_xlfn.CONCAT("14",Main[[#This Row],[تاريخ]])</f>
        <v>1400/09/02</v>
      </c>
      <c r="E2266" s="33">
        <v>44523</v>
      </c>
      <c r="F2266" s="32">
        <v>30187</v>
      </c>
      <c r="G2266" s="5" t="str">
        <f>INDEX(customer[عنوان],MATCH(Main[[#This Row],[کد ردیابی]],customer[کد],0))</f>
        <v>شرکت جام جم</v>
      </c>
      <c r="H2266">
        <v>896</v>
      </c>
      <c r="I2266" s="6">
        <f ca="1">-Main[[#This Row],[بدهی تسویه شده (کیلوگرم)]]+Main[[#This Row],[بستانکار (کیلوگرم)]]</f>
        <v>896</v>
      </c>
      <c r="J2266" s="6">
        <f>IF(Main[[#This Row],[مقدار (کیلوگرم)]]&gt;0,Main[[#This Row],[مقدار (کیلوگرم)]],0)</f>
        <v>896</v>
      </c>
      <c r="K2266" s="6">
        <f>-IF(Main[[#This Row],[مقدار (کیلوگرم)]]&lt;0,Main[[#This Row],[مقدار (کیلوگرم)]],0)</f>
        <v>0</v>
      </c>
      <c r="L22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6" s="7">
        <f>-IF(AND(Main[[#This Row],[مقدار (کیلوگرم)]]&lt;0,Main[[#This Row],[تاريخ میلادی]]&gt;44276),Main[[#This Row],[مقدار (کیلوگرم)]],0)</f>
        <v>0</v>
      </c>
      <c r="N2266" s="6">
        <f ca="1">Main[[#This Row],[بدهکار (کیلوگرم)]]-Main[[#This Row],[بدهی تسویه نشده (کیلوگرم)]]</f>
        <v>0</v>
      </c>
      <c r="O2266" s="6">
        <f ca="1">Main[[#This Row],[تفکیک]]</f>
        <v>0</v>
      </c>
      <c r="P2266" s="6">
        <f ca="1">IF(Main[[#This Row],[تاخیر از سررسید]]&gt;0,Main[[#This Row],[بدهی تسویه نشده (کیلوگرم)]],0)</f>
        <v>0</v>
      </c>
      <c r="Q2266" s="6">
        <f ca="1">IF(Main[[#This Row],[بدهی تسویه نشده (کیلوگرم)]]&gt;0,'گزارش فردی'!$B$7-Main[[#This Row],[تاريخ میلادی]],0)</f>
        <v>0</v>
      </c>
      <c r="R2266" s="6">
        <f ca="1">IF(Main[[#This Row],[بدهی تسویه نشده (کیلوگرم)]]&gt;0,'گزارش فردی'!$B$7-Main[[#This Row],[تاريخ میلادی]]-'گزارش فردی'!$B$8,0)</f>
        <v>0</v>
      </c>
      <c r="S2266" s="6">
        <f ca="1">Main[[#This Row],[روز از ارسال سفارش]]*Main[[#This Row],[بدهی تسویه نشده (کیلوگرم)]]</f>
        <v>0</v>
      </c>
      <c r="T2266" s="6">
        <f ca="1">Main[[#This Row],[بدهی سررسید شده (کیلوگرم)]]*Main[[#This Row],[روز از ارسال سفارش]]</f>
        <v>0</v>
      </c>
      <c r="U2266" s="6">
        <f>-SUBTOTAL(9,INDEX(Main[مقدار (کیلوگرم)],1):Main[[#This Row],[مقدار (کیلوگرم)]])</f>
        <v>39685</v>
      </c>
      <c r="V22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6" s="6">
        <f>Main[[#This Row],[تعداد کل روزهای بدهکار (روز)]]*Main[[#This Row],[مانده در خط کل (کیلوگرم)]]</f>
        <v>39685</v>
      </c>
      <c r="X2266" s="6">
        <f ca="1">-SUBTOTAL(9,INDEX(Main[مقدار تسویه شده (کیلوگرم)],1):Main[[#This Row],[مقدار تسویه شده (کیلوگرم)]])</f>
        <v>39685</v>
      </c>
      <c r="Y2266" s="6">
        <f ca="1">IF(Main[[#This Row],[مانده در خط تسویه شده (کیلوگرم)]]&lt;&gt;0,Main[[#This Row],[تعداد کل روزهای بدهکار (روز)]],0)</f>
        <v>1</v>
      </c>
      <c r="Z2266" s="6">
        <f ca="1">Main[[#This Row],[تعداد روزهای بدهکار تسویه شده (روز)]]*Main[[#This Row],[مانده در خط تسویه شده (کیلوگرم)]]</f>
        <v>39685</v>
      </c>
      <c r="AA2266" s="6">
        <f ca="1">SUBTOTAL(9,INDEX(Main[بدهی تسویه نشده (کیلوگرم)],1):Main[[#This Row],[بدهی تسویه نشده (کیلوگرم)]])</f>
        <v>0</v>
      </c>
      <c r="AB2266" s="6">
        <f ca="1">IF(Main[[#This Row],[مانده در خط تسویه نشده (کیلوگرم)]]&lt;&gt;0,Main[[#This Row],[تعداد کل روزهای بدهکار (روز)]],0)</f>
        <v>0</v>
      </c>
      <c r="AC2266" s="6">
        <f ca="1">Main[[#This Row],[تعداد روزهای بدهکار  تسویه نشده (روز)]]*Main[[#This Row],[مانده در خط تسویه نشده (کیلوگرم)]]</f>
        <v>0</v>
      </c>
      <c r="AD2266" s="6">
        <f ca="1">SUBTOTAL(9,INDEX(Main[بدهی سررسید شده (کیلوگرم)],1):Main[[#This Row],[بدهی سررسید شده (کیلوگرم)]])</f>
        <v>0</v>
      </c>
      <c r="AE2266" s="6">
        <f ca="1">IF(Main[[#This Row],[مانده در خط سررسید شده (کیلوگرم)]]&lt;&gt;0,Main[[#This Row],[تعداد کل روزهای بدهکار (روز)]],0)</f>
        <v>0</v>
      </c>
      <c r="AF2266" s="6">
        <f ca="1">Main[[#This Row],[تعداد روزهای بدهکار سررسید شده (روز)]]*Main[[#This Row],[مانده در خط سررسید شده (کیلوگرم)]]</f>
        <v>0</v>
      </c>
    </row>
    <row r="2267" spans="1:32" hidden="1" x14ac:dyDescent="0.35">
      <c r="A2267" s="5">
        <f>ROW()-ROW(INDEX(Main[ردیف],1))+1</f>
        <v>2265</v>
      </c>
      <c r="B2267" s="31">
        <f>SUBTOTAL(2,INDEX(Main[ردیف],1):Main[[#This Row],[ردیف]])</f>
        <v>206</v>
      </c>
      <c r="C2267" s="32" t="s">
        <v>776</v>
      </c>
      <c r="D2267" s="32" t="str">
        <f>_xlfn.CONCAT("14",Main[[#This Row],[تاريخ]])</f>
        <v>1400/09/02</v>
      </c>
      <c r="E2267" s="33">
        <v>44523</v>
      </c>
      <c r="F2267" s="32">
        <v>10026</v>
      </c>
      <c r="G2267" s="5" t="str">
        <f>INDEX(customer[عنوان],MATCH(Main[[#This Row],[کد ردیابی]],customer[کد],0))</f>
        <v xml:space="preserve">محسن فیاض بخش </v>
      </c>
      <c r="H2267">
        <v>-1877</v>
      </c>
      <c r="I2267" s="6">
        <f ca="1">-Main[[#This Row],[بدهی تسویه شده (کیلوگرم)]]+Main[[#This Row],[بستانکار (کیلوگرم)]]</f>
        <v>-1877</v>
      </c>
      <c r="J2267" s="6">
        <f>IF(Main[[#This Row],[مقدار (کیلوگرم)]]&gt;0,Main[[#This Row],[مقدار (کیلوگرم)]],0)</f>
        <v>0</v>
      </c>
      <c r="K2267" s="6">
        <f>-IF(Main[[#This Row],[مقدار (کیلوگرم)]]&lt;0,Main[[#This Row],[مقدار (کیلوگرم)]],0)</f>
        <v>1877</v>
      </c>
      <c r="L22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7" s="7">
        <f>-IF(AND(Main[[#This Row],[مقدار (کیلوگرم)]]&lt;0,Main[[#This Row],[تاريخ میلادی]]&gt;44276),Main[[#This Row],[مقدار (کیلوگرم)]],0)</f>
        <v>1877</v>
      </c>
      <c r="N2267" s="6">
        <f ca="1">Main[[#This Row],[بدهکار (کیلوگرم)]]-Main[[#This Row],[بدهی تسویه نشده (کیلوگرم)]]</f>
        <v>1877</v>
      </c>
      <c r="O2267" s="6">
        <f ca="1">Main[[#This Row],[تفکیک]]</f>
        <v>0</v>
      </c>
      <c r="P2267" s="6">
        <f ca="1">IF(Main[[#This Row],[تاخیر از سررسید]]&gt;0,Main[[#This Row],[بدهی تسویه نشده (کیلوگرم)]],0)</f>
        <v>0</v>
      </c>
      <c r="Q2267" s="6">
        <f ca="1">IF(Main[[#This Row],[بدهی تسویه نشده (کیلوگرم)]]&gt;0,'گزارش فردی'!$B$7-Main[[#This Row],[تاريخ میلادی]],0)</f>
        <v>0</v>
      </c>
      <c r="R2267" s="6">
        <f ca="1">IF(Main[[#This Row],[بدهی تسویه نشده (کیلوگرم)]]&gt;0,'گزارش فردی'!$B$7-Main[[#This Row],[تاريخ میلادی]]-'گزارش فردی'!$B$8,0)</f>
        <v>0</v>
      </c>
      <c r="S2267" s="6">
        <f ca="1">Main[[#This Row],[روز از ارسال سفارش]]*Main[[#This Row],[بدهی تسویه نشده (کیلوگرم)]]</f>
        <v>0</v>
      </c>
      <c r="T2267" s="6">
        <f ca="1">Main[[#This Row],[بدهی سررسید شده (کیلوگرم)]]*Main[[#This Row],[روز از ارسال سفارش]]</f>
        <v>0</v>
      </c>
      <c r="U2267" s="6">
        <f>-SUBTOTAL(9,INDEX(Main[مقدار (کیلوگرم)],1):Main[[#This Row],[مقدار (کیلوگرم)]])</f>
        <v>39685</v>
      </c>
      <c r="V22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7" s="6">
        <f>Main[[#This Row],[تعداد کل روزهای بدهکار (روز)]]*Main[[#This Row],[مانده در خط کل (کیلوگرم)]]</f>
        <v>39685</v>
      </c>
      <c r="X2267" s="6">
        <f ca="1">-SUBTOTAL(9,INDEX(Main[مقدار تسویه شده (کیلوگرم)],1):Main[[#This Row],[مقدار تسویه شده (کیلوگرم)]])</f>
        <v>39685</v>
      </c>
      <c r="Y2267" s="6">
        <f ca="1">IF(Main[[#This Row],[مانده در خط تسویه شده (کیلوگرم)]]&lt;&gt;0,Main[[#This Row],[تعداد کل روزهای بدهکار (روز)]],0)</f>
        <v>1</v>
      </c>
      <c r="Z2267" s="6">
        <f ca="1">Main[[#This Row],[تعداد روزهای بدهکار تسویه شده (روز)]]*Main[[#This Row],[مانده در خط تسویه شده (کیلوگرم)]]</f>
        <v>39685</v>
      </c>
      <c r="AA2267" s="6">
        <f ca="1">SUBTOTAL(9,INDEX(Main[بدهی تسویه نشده (کیلوگرم)],1):Main[[#This Row],[بدهی تسویه نشده (کیلوگرم)]])</f>
        <v>0</v>
      </c>
      <c r="AB2267" s="6">
        <f ca="1">IF(Main[[#This Row],[مانده در خط تسویه نشده (کیلوگرم)]]&lt;&gt;0,Main[[#This Row],[تعداد کل روزهای بدهکار (روز)]],0)</f>
        <v>0</v>
      </c>
      <c r="AC2267" s="6">
        <f ca="1">Main[[#This Row],[تعداد روزهای بدهکار  تسویه نشده (روز)]]*Main[[#This Row],[مانده در خط تسویه نشده (کیلوگرم)]]</f>
        <v>0</v>
      </c>
      <c r="AD2267" s="6">
        <f ca="1">SUBTOTAL(9,INDEX(Main[بدهی سررسید شده (کیلوگرم)],1):Main[[#This Row],[بدهی سررسید شده (کیلوگرم)]])</f>
        <v>0</v>
      </c>
      <c r="AE2267" s="6">
        <f ca="1">IF(Main[[#This Row],[مانده در خط سررسید شده (کیلوگرم)]]&lt;&gt;0,Main[[#This Row],[تعداد کل روزهای بدهکار (روز)]],0)</f>
        <v>0</v>
      </c>
      <c r="AF2267" s="6">
        <f ca="1">Main[[#This Row],[تعداد روزهای بدهکار سررسید شده (روز)]]*Main[[#This Row],[مانده در خط سررسید شده (کیلوگرم)]]</f>
        <v>0</v>
      </c>
    </row>
    <row r="2268" spans="1:32" hidden="1" x14ac:dyDescent="0.35">
      <c r="A2268" s="5">
        <f>ROW()-ROW(INDEX(Main[ردیف],1))+1</f>
        <v>2266</v>
      </c>
      <c r="B2268" s="31">
        <f>SUBTOTAL(2,INDEX(Main[ردیف],1):Main[[#This Row],[ردیف]])</f>
        <v>206</v>
      </c>
      <c r="C2268" s="32" t="s">
        <v>776</v>
      </c>
      <c r="D2268" s="32" t="str">
        <f>_xlfn.CONCAT("14",Main[[#This Row],[تاريخ]])</f>
        <v>1400/09/02</v>
      </c>
      <c r="E2268" s="33">
        <v>44523</v>
      </c>
      <c r="F2268" s="32">
        <v>10020</v>
      </c>
      <c r="G2268" s="5" t="str">
        <f>INDEX(customer[عنوان],MATCH(Main[[#This Row],[کد ردیابی]],customer[کد],0))</f>
        <v>فرزاد اسماعیل زاده</v>
      </c>
      <c r="H2268">
        <v>34</v>
      </c>
      <c r="I2268" s="6">
        <f ca="1">-Main[[#This Row],[بدهی تسویه شده (کیلوگرم)]]+Main[[#This Row],[بستانکار (کیلوگرم)]]</f>
        <v>34</v>
      </c>
      <c r="J2268" s="6">
        <f>IF(Main[[#This Row],[مقدار (کیلوگرم)]]&gt;0,Main[[#This Row],[مقدار (کیلوگرم)]],0)</f>
        <v>34</v>
      </c>
      <c r="K2268" s="6">
        <f>-IF(Main[[#This Row],[مقدار (کیلوگرم)]]&lt;0,Main[[#This Row],[مقدار (کیلوگرم)]],0)</f>
        <v>0</v>
      </c>
      <c r="L22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8" s="7">
        <f>-IF(AND(Main[[#This Row],[مقدار (کیلوگرم)]]&lt;0,Main[[#This Row],[تاريخ میلادی]]&gt;44276),Main[[#This Row],[مقدار (کیلوگرم)]],0)</f>
        <v>0</v>
      </c>
      <c r="N2268" s="6">
        <f ca="1">Main[[#This Row],[بدهکار (کیلوگرم)]]-Main[[#This Row],[بدهی تسویه نشده (کیلوگرم)]]</f>
        <v>0</v>
      </c>
      <c r="O2268" s="6">
        <f ca="1">Main[[#This Row],[تفکیک]]</f>
        <v>0</v>
      </c>
      <c r="P2268" s="6">
        <f ca="1">IF(Main[[#This Row],[تاخیر از سررسید]]&gt;0,Main[[#This Row],[بدهی تسویه نشده (کیلوگرم)]],0)</f>
        <v>0</v>
      </c>
      <c r="Q2268" s="6">
        <f ca="1">IF(Main[[#This Row],[بدهی تسویه نشده (کیلوگرم)]]&gt;0,'گزارش فردی'!$B$7-Main[[#This Row],[تاريخ میلادی]],0)</f>
        <v>0</v>
      </c>
      <c r="R2268" s="6">
        <f ca="1">IF(Main[[#This Row],[بدهی تسویه نشده (کیلوگرم)]]&gt;0,'گزارش فردی'!$B$7-Main[[#This Row],[تاريخ میلادی]]-'گزارش فردی'!$B$8,0)</f>
        <v>0</v>
      </c>
      <c r="S2268" s="6">
        <f ca="1">Main[[#This Row],[روز از ارسال سفارش]]*Main[[#This Row],[بدهی تسویه نشده (کیلوگرم)]]</f>
        <v>0</v>
      </c>
      <c r="T2268" s="6">
        <f ca="1">Main[[#This Row],[بدهی سررسید شده (کیلوگرم)]]*Main[[#This Row],[روز از ارسال سفارش]]</f>
        <v>0</v>
      </c>
      <c r="U2268" s="6">
        <f>-SUBTOTAL(9,INDEX(Main[مقدار (کیلوگرم)],1):Main[[#This Row],[مقدار (کیلوگرم)]])</f>
        <v>39685</v>
      </c>
      <c r="V22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8" s="6">
        <f>Main[[#This Row],[تعداد کل روزهای بدهکار (روز)]]*Main[[#This Row],[مانده در خط کل (کیلوگرم)]]</f>
        <v>39685</v>
      </c>
      <c r="X2268" s="6">
        <f ca="1">-SUBTOTAL(9,INDEX(Main[مقدار تسویه شده (کیلوگرم)],1):Main[[#This Row],[مقدار تسویه شده (کیلوگرم)]])</f>
        <v>39685</v>
      </c>
      <c r="Y2268" s="6">
        <f ca="1">IF(Main[[#This Row],[مانده در خط تسویه شده (کیلوگرم)]]&lt;&gt;0,Main[[#This Row],[تعداد کل روزهای بدهکار (روز)]],0)</f>
        <v>1</v>
      </c>
      <c r="Z2268" s="6">
        <f ca="1">Main[[#This Row],[تعداد روزهای بدهکار تسویه شده (روز)]]*Main[[#This Row],[مانده در خط تسویه شده (کیلوگرم)]]</f>
        <v>39685</v>
      </c>
      <c r="AA2268" s="6">
        <f ca="1">SUBTOTAL(9,INDEX(Main[بدهی تسویه نشده (کیلوگرم)],1):Main[[#This Row],[بدهی تسویه نشده (کیلوگرم)]])</f>
        <v>0</v>
      </c>
      <c r="AB2268" s="6">
        <f ca="1">IF(Main[[#This Row],[مانده در خط تسویه نشده (کیلوگرم)]]&lt;&gt;0,Main[[#This Row],[تعداد کل روزهای بدهکار (روز)]],0)</f>
        <v>0</v>
      </c>
      <c r="AC2268" s="6">
        <f ca="1">Main[[#This Row],[تعداد روزهای بدهکار  تسویه نشده (روز)]]*Main[[#This Row],[مانده در خط تسویه نشده (کیلوگرم)]]</f>
        <v>0</v>
      </c>
      <c r="AD2268" s="6">
        <f ca="1">SUBTOTAL(9,INDEX(Main[بدهی سررسید شده (کیلوگرم)],1):Main[[#This Row],[بدهی سررسید شده (کیلوگرم)]])</f>
        <v>0</v>
      </c>
      <c r="AE2268" s="6">
        <f ca="1">IF(Main[[#This Row],[مانده در خط سررسید شده (کیلوگرم)]]&lt;&gt;0,Main[[#This Row],[تعداد کل روزهای بدهکار (روز)]],0)</f>
        <v>0</v>
      </c>
      <c r="AF2268" s="6">
        <f ca="1">Main[[#This Row],[تعداد روزهای بدهکار سررسید شده (روز)]]*Main[[#This Row],[مانده در خط سررسید شده (کیلوگرم)]]</f>
        <v>0</v>
      </c>
    </row>
    <row r="2269" spans="1:32" hidden="1" x14ac:dyDescent="0.35">
      <c r="A2269" s="5">
        <f>ROW()-ROW(INDEX(Main[ردیف],1))+1</f>
        <v>2267</v>
      </c>
      <c r="B2269" s="31">
        <f>SUBTOTAL(2,INDEX(Main[ردیف],1):Main[[#This Row],[ردیف]])</f>
        <v>206</v>
      </c>
      <c r="C2269" s="32" t="s">
        <v>776</v>
      </c>
      <c r="D2269" s="32" t="str">
        <f>_xlfn.CONCAT("14",Main[[#This Row],[تاريخ]])</f>
        <v>1400/09/02</v>
      </c>
      <c r="E2269" s="33">
        <v>44523</v>
      </c>
      <c r="F2269" s="32">
        <v>10020</v>
      </c>
      <c r="G2269" s="5" t="str">
        <f>INDEX(customer[عنوان],MATCH(Main[[#This Row],[کد ردیابی]],customer[کد],0))</f>
        <v>فرزاد اسماعیل زاده</v>
      </c>
      <c r="H2269">
        <v>113</v>
      </c>
      <c r="I2269" s="6">
        <f ca="1">-Main[[#This Row],[بدهی تسویه شده (کیلوگرم)]]+Main[[#This Row],[بستانکار (کیلوگرم)]]</f>
        <v>113</v>
      </c>
      <c r="J2269" s="6">
        <f>IF(Main[[#This Row],[مقدار (کیلوگرم)]]&gt;0,Main[[#This Row],[مقدار (کیلوگرم)]],0)</f>
        <v>113</v>
      </c>
      <c r="K2269" s="6">
        <f>-IF(Main[[#This Row],[مقدار (کیلوگرم)]]&lt;0,Main[[#This Row],[مقدار (کیلوگرم)]],0)</f>
        <v>0</v>
      </c>
      <c r="L22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9" s="7">
        <f>-IF(AND(Main[[#This Row],[مقدار (کیلوگرم)]]&lt;0,Main[[#This Row],[تاريخ میلادی]]&gt;44276),Main[[#This Row],[مقدار (کیلوگرم)]],0)</f>
        <v>0</v>
      </c>
      <c r="N2269" s="6">
        <f ca="1">Main[[#This Row],[بدهکار (کیلوگرم)]]-Main[[#This Row],[بدهی تسویه نشده (کیلوگرم)]]</f>
        <v>0</v>
      </c>
      <c r="O2269" s="6">
        <f ca="1">Main[[#This Row],[تفکیک]]</f>
        <v>0</v>
      </c>
      <c r="P2269" s="6">
        <f ca="1">IF(Main[[#This Row],[تاخیر از سررسید]]&gt;0,Main[[#This Row],[بدهی تسویه نشده (کیلوگرم)]],0)</f>
        <v>0</v>
      </c>
      <c r="Q2269" s="6">
        <f ca="1">IF(Main[[#This Row],[بدهی تسویه نشده (کیلوگرم)]]&gt;0,'گزارش فردی'!$B$7-Main[[#This Row],[تاريخ میلادی]],0)</f>
        <v>0</v>
      </c>
      <c r="R2269" s="6">
        <f ca="1">IF(Main[[#This Row],[بدهی تسویه نشده (کیلوگرم)]]&gt;0,'گزارش فردی'!$B$7-Main[[#This Row],[تاريخ میلادی]]-'گزارش فردی'!$B$8,0)</f>
        <v>0</v>
      </c>
      <c r="S2269" s="6">
        <f ca="1">Main[[#This Row],[روز از ارسال سفارش]]*Main[[#This Row],[بدهی تسویه نشده (کیلوگرم)]]</f>
        <v>0</v>
      </c>
      <c r="T2269" s="6">
        <f ca="1">Main[[#This Row],[بدهی سررسید شده (کیلوگرم)]]*Main[[#This Row],[روز از ارسال سفارش]]</f>
        <v>0</v>
      </c>
      <c r="U2269" s="6">
        <f>-SUBTOTAL(9,INDEX(Main[مقدار (کیلوگرم)],1):Main[[#This Row],[مقدار (کیلوگرم)]])</f>
        <v>39685</v>
      </c>
      <c r="V22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9" s="6">
        <f>Main[[#This Row],[تعداد کل روزهای بدهکار (روز)]]*Main[[#This Row],[مانده در خط کل (کیلوگرم)]]</f>
        <v>39685</v>
      </c>
      <c r="X2269" s="6">
        <f ca="1">-SUBTOTAL(9,INDEX(Main[مقدار تسویه شده (کیلوگرم)],1):Main[[#This Row],[مقدار تسویه شده (کیلوگرم)]])</f>
        <v>39685</v>
      </c>
      <c r="Y2269" s="6">
        <f ca="1">IF(Main[[#This Row],[مانده در خط تسویه شده (کیلوگرم)]]&lt;&gt;0,Main[[#This Row],[تعداد کل روزهای بدهکار (روز)]],0)</f>
        <v>1</v>
      </c>
      <c r="Z2269" s="6">
        <f ca="1">Main[[#This Row],[تعداد روزهای بدهکار تسویه شده (روز)]]*Main[[#This Row],[مانده در خط تسویه شده (کیلوگرم)]]</f>
        <v>39685</v>
      </c>
      <c r="AA2269" s="6">
        <f ca="1">SUBTOTAL(9,INDEX(Main[بدهی تسویه نشده (کیلوگرم)],1):Main[[#This Row],[بدهی تسویه نشده (کیلوگرم)]])</f>
        <v>0</v>
      </c>
      <c r="AB2269" s="6">
        <f ca="1">IF(Main[[#This Row],[مانده در خط تسویه نشده (کیلوگرم)]]&lt;&gt;0,Main[[#This Row],[تعداد کل روزهای بدهکار (روز)]],0)</f>
        <v>0</v>
      </c>
      <c r="AC2269" s="6">
        <f ca="1">Main[[#This Row],[تعداد روزهای بدهکار  تسویه نشده (روز)]]*Main[[#This Row],[مانده در خط تسویه نشده (کیلوگرم)]]</f>
        <v>0</v>
      </c>
      <c r="AD2269" s="6">
        <f ca="1">SUBTOTAL(9,INDEX(Main[بدهی سررسید شده (کیلوگرم)],1):Main[[#This Row],[بدهی سررسید شده (کیلوگرم)]])</f>
        <v>0</v>
      </c>
      <c r="AE2269" s="6">
        <f ca="1">IF(Main[[#This Row],[مانده در خط سررسید شده (کیلوگرم)]]&lt;&gt;0,Main[[#This Row],[تعداد کل روزهای بدهکار (روز)]],0)</f>
        <v>0</v>
      </c>
      <c r="AF2269" s="6">
        <f ca="1">Main[[#This Row],[تعداد روزهای بدهکار سررسید شده (روز)]]*Main[[#This Row],[مانده در خط سررسید شده (کیلوگرم)]]</f>
        <v>0</v>
      </c>
    </row>
    <row r="2270" spans="1:32" hidden="1" x14ac:dyDescent="0.35">
      <c r="A2270" s="5">
        <f>ROW()-ROW(INDEX(Main[ردیف],1))+1</f>
        <v>2268</v>
      </c>
      <c r="B2270" s="31">
        <f>SUBTOTAL(2,INDEX(Main[ردیف],1):Main[[#This Row],[ردیف]])</f>
        <v>206</v>
      </c>
      <c r="C2270" s="32" t="s">
        <v>776</v>
      </c>
      <c r="D2270" s="32" t="str">
        <f>_xlfn.CONCAT("14",Main[[#This Row],[تاريخ]])</f>
        <v>1400/09/02</v>
      </c>
      <c r="E2270" s="33">
        <v>44523</v>
      </c>
      <c r="F2270" s="32">
        <v>10020</v>
      </c>
      <c r="G2270" s="5" t="str">
        <f>INDEX(customer[عنوان],MATCH(Main[[#This Row],[کد ردیابی]],customer[کد],0))</f>
        <v>فرزاد اسماعیل زاده</v>
      </c>
      <c r="H2270">
        <v>1080</v>
      </c>
      <c r="I2270" s="6">
        <f ca="1">-Main[[#This Row],[بدهی تسویه شده (کیلوگرم)]]+Main[[#This Row],[بستانکار (کیلوگرم)]]</f>
        <v>1080</v>
      </c>
      <c r="J2270" s="6">
        <f>IF(Main[[#This Row],[مقدار (کیلوگرم)]]&gt;0,Main[[#This Row],[مقدار (کیلوگرم)]],0)</f>
        <v>1080</v>
      </c>
      <c r="K2270" s="6">
        <f>-IF(Main[[#This Row],[مقدار (کیلوگرم)]]&lt;0,Main[[#This Row],[مقدار (کیلوگرم)]],0)</f>
        <v>0</v>
      </c>
      <c r="L22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0" s="7">
        <f>-IF(AND(Main[[#This Row],[مقدار (کیلوگرم)]]&lt;0,Main[[#This Row],[تاريخ میلادی]]&gt;44276),Main[[#This Row],[مقدار (کیلوگرم)]],0)</f>
        <v>0</v>
      </c>
      <c r="N2270" s="6">
        <f ca="1">Main[[#This Row],[بدهکار (کیلوگرم)]]-Main[[#This Row],[بدهی تسویه نشده (کیلوگرم)]]</f>
        <v>0</v>
      </c>
      <c r="O2270" s="6">
        <f ca="1">Main[[#This Row],[تفکیک]]</f>
        <v>0</v>
      </c>
      <c r="P2270" s="6">
        <f ca="1">IF(Main[[#This Row],[تاخیر از سررسید]]&gt;0,Main[[#This Row],[بدهی تسویه نشده (کیلوگرم)]],0)</f>
        <v>0</v>
      </c>
      <c r="Q2270" s="6">
        <f ca="1">IF(Main[[#This Row],[بدهی تسویه نشده (کیلوگرم)]]&gt;0,'گزارش فردی'!$B$7-Main[[#This Row],[تاريخ میلادی]],0)</f>
        <v>0</v>
      </c>
      <c r="R2270" s="6">
        <f ca="1">IF(Main[[#This Row],[بدهی تسویه نشده (کیلوگرم)]]&gt;0,'گزارش فردی'!$B$7-Main[[#This Row],[تاريخ میلادی]]-'گزارش فردی'!$B$8,0)</f>
        <v>0</v>
      </c>
      <c r="S2270" s="6">
        <f ca="1">Main[[#This Row],[روز از ارسال سفارش]]*Main[[#This Row],[بدهی تسویه نشده (کیلوگرم)]]</f>
        <v>0</v>
      </c>
      <c r="T2270" s="6">
        <f ca="1">Main[[#This Row],[بدهی سررسید شده (کیلوگرم)]]*Main[[#This Row],[روز از ارسال سفارش]]</f>
        <v>0</v>
      </c>
      <c r="U2270" s="6">
        <f>-SUBTOTAL(9,INDEX(Main[مقدار (کیلوگرم)],1):Main[[#This Row],[مقدار (کیلوگرم)]])</f>
        <v>39685</v>
      </c>
      <c r="V22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70" s="6">
        <f>Main[[#This Row],[تعداد کل روزهای بدهکار (روز)]]*Main[[#This Row],[مانده در خط کل (کیلوگرم)]]</f>
        <v>39685</v>
      </c>
      <c r="X2270" s="6">
        <f ca="1">-SUBTOTAL(9,INDEX(Main[مقدار تسویه شده (کیلوگرم)],1):Main[[#This Row],[مقدار تسویه شده (کیلوگرم)]])</f>
        <v>39685</v>
      </c>
      <c r="Y2270" s="6">
        <f ca="1">IF(Main[[#This Row],[مانده در خط تسویه شده (کیلوگرم)]]&lt;&gt;0,Main[[#This Row],[تعداد کل روزهای بدهکار (روز)]],0)</f>
        <v>1</v>
      </c>
      <c r="Z2270" s="6">
        <f ca="1">Main[[#This Row],[تعداد روزهای بدهکار تسویه شده (روز)]]*Main[[#This Row],[مانده در خط تسویه شده (کیلوگرم)]]</f>
        <v>39685</v>
      </c>
      <c r="AA2270" s="6">
        <f ca="1">SUBTOTAL(9,INDEX(Main[بدهی تسویه نشده (کیلوگرم)],1):Main[[#This Row],[بدهی تسویه نشده (کیلوگرم)]])</f>
        <v>0</v>
      </c>
      <c r="AB2270" s="6">
        <f ca="1">IF(Main[[#This Row],[مانده در خط تسویه نشده (کیلوگرم)]]&lt;&gt;0,Main[[#This Row],[تعداد کل روزهای بدهکار (روز)]],0)</f>
        <v>0</v>
      </c>
      <c r="AC2270" s="6">
        <f ca="1">Main[[#This Row],[تعداد روزهای بدهکار  تسویه نشده (روز)]]*Main[[#This Row],[مانده در خط تسویه نشده (کیلوگرم)]]</f>
        <v>0</v>
      </c>
      <c r="AD2270" s="6">
        <f ca="1">SUBTOTAL(9,INDEX(Main[بدهی سررسید شده (کیلوگرم)],1):Main[[#This Row],[بدهی سررسید شده (کیلوگرم)]])</f>
        <v>0</v>
      </c>
      <c r="AE2270" s="6">
        <f ca="1">IF(Main[[#This Row],[مانده در خط سررسید شده (کیلوگرم)]]&lt;&gt;0,Main[[#This Row],[تعداد کل روزهای بدهکار (روز)]],0)</f>
        <v>0</v>
      </c>
      <c r="AF2270" s="6">
        <f ca="1">Main[[#This Row],[تعداد روزهای بدهکار سررسید شده (روز)]]*Main[[#This Row],[مانده در خط سررسید شده (کیلوگرم)]]</f>
        <v>0</v>
      </c>
    </row>
    <row r="2271" spans="1:32" hidden="1" x14ac:dyDescent="0.35">
      <c r="A2271" s="5">
        <f>ROW()-ROW(INDEX(Main[ردیف],1))+1</f>
        <v>2269</v>
      </c>
      <c r="B2271" s="31">
        <f>SUBTOTAL(2,INDEX(Main[ردیف],1):Main[[#This Row],[ردیف]])</f>
        <v>206</v>
      </c>
      <c r="C2271" s="32" t="s">
        <v>777</v>
      </c>
      <c r="D2271" s="32" t="str">
        <f>_xlfn.CONCAT("14",Main[[#This Row],[تاريخ]])</f>
        <v>1400/09/03</v>
      </c>
      <c r="E2271" s="33">
        <v>44524</v>
      </c>
      <c r="F2271" s="32">
        <v>30127</v>
      </c>
      <c r="G2271" s="5" t="str">
        <f>INDEX(customer[عنوان],MATCH(Main[[#This Row],[کد ردیابی]],customer[کد],0))</f>
        <v>شیر گاز آذران</v>
      </c>
      <c r="H2271">
        <v>-16712</v>
      </c>
      <c r="I2271" s="6">
        <f ca="1">-Main[[#This Row],[بدهی تسویه شده (کیلوگرم)]]+Main[[#This Row],[بستانکار (کیلوگرم)]]</f>
        <v>-16712</v>
      </c>
      <c r="J2271" s="6">
        <f>IF(Main[[#This Row],[مقدار (کیلوگرم)]]&gt;0,Main[[#This Row],[مقدار (کیلوگرم)]],0)</f>
        <v>0</v>
      </c>
      <c r="K2271" s="6">
        <f>-IF(Main[[#This Row],[مقدار (کیلوگرم)]]&lt;0,Main[[#This Row],[مقدار (کیلوگرم)]],0)</f>
        <v>16712</v>
      </c>
      <c r="L22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1" s="7">
        <f>-IF(AND(Main[[#This Row],[مقدار (کیلوگرم)]]&lt;0,Main[[#This Row],[تاريخ میلادی]]&gt;44276),Main[[#This Row],[مقدار (کیلوگرم)]],0)</f>
        <v>16712</v>
      </c>
      <c r="N2271" s="6">
        <f ca="1">Main[[#This Row],[بدهکار (کیلوگرم)]]-Main[[#This Row],[بدهی تسویه نشده (کیلوگرم)]]</f>
        <v>16712</v>
      </c>
      <c r="O2271" s="6">
        <f ca="1">Main[[#This Row],[تفکیک]]</f>
        <v>0</v>
      </c>
      <c r="P2271" s="6">
        <f ca="1">IF(Main[[#This Row],[تاخیر از سررسید]]&gt;0,Main[[#This Row],[بدهی تسویه نشده (کیلوگرم)]],0)</f>
        <v>0</v>
      </c>
      <c r="Q2271" s="6">
        <f ca="1">IF(Main[[#This Row],[بدهی تسویه نشده (کیلوگرم)]]&gt;0,'گزارش فردی'!$B$7-Main[[#This Row],[تاريخ میلادی]],0)</f>
        <v>0</v>
      </c>
      <c r="R2271" s="6">
        <f ca="1">IF(Main[[#This Row],[بدهی تسویه نشده (کیلوگرم)]]&gt;0,'گزارش فردی'!$B$7-Main[[#This Row],[تاريخ میلادی]]-'گزارش فردی'!$B$8,0)</f>
        <v>0</v>
      </c>
      <c r="S2271" s="6">
        <f ca="1">Main[[#This Row],[روز از ارسال سفارش]]*Main[[#This Row],[بدهی تسویه نشده (کیلوگرم)]]</f>
        <v>0</v>
      </c>
      <c r="T2271" s="6">
        <f ca="1">Main[[#This Row],[بدهی سررسید شده (کیلوگرم)]]*Main[[#This Row],[روز از ارسال سفارش]]</f>
        <v>0</v>
      </c>
      <c r="U2271" s="6">
        <f>-SUBTOTAL(9,INDEX(Main[مقدار (کیلوگرم)],1):Main[[#This Row],[مقدار (کیلوگرم)]])</f>
        <v>39685</v>
      </c>
      <c r="V22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1" s="6">
        <f>Main[[#This Row],[تعداد کل روزهای بدهکار (روز)]]*Main[[#This Row],[مانده در خط کل (کیلوگرم)]]</f>
        <v>0</v>
      </c>
      <c r="X2271" s="6">
        <f ca="1">-SUBTOTAL(9,INDEX(Main[مقدار تسویه شده (کیلوگرم)],1):Main[[#This Row],[مقدار تسویه شده (کیلوگرم)]])</f>
        <v>39685</v>
      </c>
      <c r="Y2271" s="6">
        <f ca="1">IF(Main[[#This Row],[مانده در خط تسویه شده (کیلوگرم)]]&lt;&gt;0,Main[[#This Row],[تعداد کل روزهای بدهکار (روز)]],0)</f>
        <v>0</v>
      </c>
      <c r="Z2271" s="6">
        <f ca="1">Main[[#This Row],[تعداد روزهای بدهکار تسویه شده (روز)]]*Main[[#This Row],[مانده در خط تسویه شده (کیلوگرم)]]</f>
        <v>0</v>
      </c>
      <c r="AA2271" s="6">
        <f ca="1">SUBTOTAL(9,INDEX(Main[بدهی تسویه نشده (کیلوگرم)],1):Main[[#This Row],[بدهی تسویه نشده (کیلوگرم)]])</f>
        <v>0</v>
      </c>
      <c r="AB2271" s="6">
        <f ca="1">IF(Main[[#This Row],[مانده در خط تسویه نشده (کیلوگرم)]]&lt;&gt;0,Main[[#This Row],[تعداد کل روزهای بدهکار (روز)]],0)</f>
        <v>0</v>
      </c>
      <c r="AC2271" s="6">
        <f ca="1">Main[[#This Row],[تعداد روزهای بدهکار  تسویه نشده (روز)]]*Main[[#This Row],[مانده در خط تسویه نشده (کیلوگرم)]]</f>
        <v>0</v>
      </c>
      <c r="AD2271" s="6">
        <f ca="1">SUBTOTAL(9,INDEX(Main[بدهی سررسید شده (کیلوگرم)],1):Main[[#This Row],[بدهی سررسید شده (کیلوگرم)]])</f>
        <v>0</v>
      </c>
      <c r="AE2271" s="6">
        <f ca="1">IF(Main[[#This Row],[مانده در خط سررسید شده (کیلوگرم)]]&lt;&gt;0,Main[[#This Row],[تعداد کل روزهای بدهکار (روز)]],0)</f>
        <v>0</v>
      </c>
      <c r="AF2271" s="6">
        <f ca="1">Main[[#This Row],[تعداد روزهای بدهکار سررسید شده (روز)]]*Main[[#This Row],[مانده در خط سررسید شده (کیلوگرم)]]</f>
        <v>0</v>
      </c>
    </row>
    <row r="2272" spans="1:32" hidden="1" x14ac:dyDescent="0.35">
      <c r="A2272" s="5">
        <f>ROW()-ROW(INDEX(Main[ردیف],1))+1</f>
        <v>2270</v>
      </c>
      <c r="B2272" s="31">
        <f>SUBTOTAL(2,INDEX(Main[ردیف],1):Main[[#This Row],[ردیف]])</f>
        <v>206</v>
      </c>
      <c r="C2272" s="32" t="s">
        <v>777</v>
      </c>
      <c r="D2272" s="32" t="str">
        <f>_xlfn.CONCAT("14",Main[[#This Row],[تاريخ]])</f>
        <v>1400/09/03</v>
      </c>
      <c r="E2272" s="33">
        <v>44524</v>
      </c>
      <c r="F2272" s="32">
        <v>10104</v>
      </c>
      <c r="G2272" s="5" t="str">
        <f>INDEX(customer[عنوان],MATCH(Main[[#This Row],[کد ردیابی]],customer[کد],0))</f>
        <v>بهزادی فر اصغر</v>
      </c>
      <c r="H2272">
        <v>25</v>
      </c>
      <c r="I2272" s="6">
        <f ca="1">-Main[[#This Row],[بدهی تسویه شده (کیلوگرم)]]+Main[[#This Row],[بستانکار (کیلوگرم)]]</f>
        <v>25</v>
      </c>
      <c r="J2272" s="6">
        <f>IF(Main[[#This Row],[مقدار (کیلوگرم)]]&gt;0,Main[[#This Row],[مقدار (کیلوگرم)]],0)</f>
        <v>25</v>
      </c>
      <c r="K2272" s="6">
        <f>-IF(Main[[#This Row],[مقدار (کیلوگرم)]]&lt;0,Main[[#This Row],[مقدار (کیلوگرم)]],0)</f>
        <v>0</v>
      </c>
      <c r="L22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2" s="7">
        <f>-IF(AND(Main[[#This Row],[مقدار (کیلوگرم)]]&lt;0,Main[[#This Row],[تاريخ میلادی]]&gt;44276),Main[[#This Row],[مقدار (کیلوگرم)]],0)</f>
        <v>0</v>
      </c>
      <c r="N2272" s="6">
        <f ca="1">Main[[#This Row],[بدهکار (کیلوگرم)]]-Main[[#This Row],[بدهی تسویه نشده (کیلوگرم)]]</f>
        <v>0</v>
      </c>
      <c r="O2272" s="6">
        <f ca="1">Main[[#This Row],[تفکیک]]</f>
        <v>0</v>
      </c>
      <c r="P2272" s="6">
        <f ca="1">IF(Main[[#This Row],[تاخیر از سررسید]]&gt;0,Main[[#This Row],[بدهی تسویه نشده (کیلوگرم)]],0)</f>
        <v>0</v>
      </c>
      <c r="Q2272" s="6">
        <f ca="1">IF(Main[[#This Row],[بدهی تسویه نشده (کیلوگرم)]]&gt;0,'گزارش فردی'!$B$7-Main[[#This Row],[تاريخ میلادی]],0)</f>
        <v>0</v>
      </c>
      <c r="R2272" s="6">
        <f ca="1">IF(Main[[#This Row],[بدهی تسویه نشده (کیلوگرم)]]&gt;0,'گزارش فردی'!$B$7-Main[[#This Row],[تاريخ میلادی]]-'گزارش فردی'!$B$8,0)</f>
        <v>0</v>
      </c>
      <c r="S2272" s="6">
        <f ca="1">Main[[#This Row],[روز از ارسال سفارش]]*Main[[#This Row],[بدهی تسویه نشده (کیلوگرم)]]</f>
        <v>0</v>
      </c>
      <c r="T2272" s="6">
        <f ca="1">Main[[#This Row],[بدهی سررسید شده (کیلوگرم)]]*Main[[#This Row],[روز از ارسال سفارش]]</f>
        <v>0</v>
      </c>
      <c r="U2272" s="6">
        <f>-SUBTOTAL(9,INDEX(Main[مقدار (کیلوگرم)],1):Main[[#This Row],[مقدار (کیلوگرم)]])</f>
        <v>39685</v>
      </c>
      <c r="V22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2" s="6">
        <f>Main[[#This Row],[تعداد کل روزهای بدهکار (روز)]]*Main[[#This Row],[مانده در خط کل (کیلوگرم)]]</f>
        <v>0</v>
      </c>
      <c r="X2272" s="6">
        <f ca="1">-SUBTOTAL(9,INDEX(Main[مقدار تسویه شده (کیلوگرم)],1):Main[[#This Row],[مقدار تسویه شده (کیلوگرم)]])</f>
        <v>39685</v>
      </c>
      <c r="Y2272" s="6">
        <f ca="1">IF(Main[[#This Row],[مانده در خط تسویه شده (کیلوگرم)]]&lt;&gt;0,Main[[#This Row],[تعداد کل روزهای بدهکار (روز)]],0)</f>
        <v>0</v>
      </c>
      <c r="Z2272" s="6">
        <f ca="1">Main[[#This Row],[تعداد روزهای بدهکار تسویه شده (روز)]]*Main[[#This Row],[مانده در خط تسویه شده (کیلوگرم)]]</f>
        <v>0</v>
      </c>
      <c r="AA2272" s="6">
        <f ca="1">SUBTOTAL(9,INDEX(Main[بدهی تسویه نشده (کیلوگرم)],1):Main[[#This Row],[بدهی تسویه نشده (کیلوگرم)]])</f>
        <v>0</v>
      </c>
      <c r="AB2272" s="6">
        <f ca="1">IF(Main[[#This Row],[مانده در خط تسویه نشده (کیلوگرم)]]&lt;&gt;0,Main[[#This Row],[تعداد کل روزهای بدهکار (روز)]],0)</f>
        <v>0</v>
      </c>
      <c r="AC2272" s="6">
        <f ca="1">Main[[#This Row],[تعداد روزهای بدهکار  تسویه نشده (روز)]]*Main[[#This Row],[مانده در خط تسویه نشده (کیلوگرم)]]</f>
        <v>0</v>
      </c>
      <c r="AD2272" s="6">
        <f ca="1">SUBTOTAL(9,INDEX(Main[بدهی سررسید شده (کیلوگرم)],1):Main[[#This Row],[بدهی سررسید شده (کیلوگرم)]])</f>
        <v>0</v>
      </c>
      <c r="AE2272" s="6">
        <f ca="1">IF(Main[[#This Row],[مانده در خط سررسید شده (کیلوگرم)]]&lt;&gt;0,Main[[#This Row],[تعداد کل روزهای بدهکار (روز)]],0)</f>
        <v>0</v>
      </c>
      <c r="AF2272" s="6">
        <f ca="1">Main[[#This Row],[تعداد روزهای بدهکار سررسید شده (روز)]]*Main[[#This Row],[مانده در خط سررسید شده (کیلوگرم)]]</f>
        <v>0</v>
      </c>
    </row>
    <row r="2273" spans="1:32" hidden="1" x14ac:dyDescent="0.35">
      <c r="A2273" s="5">
        <f>ROW()-ROW(INDEX(Main[ردیف],1))+1</f>
        <v>2271</v>
      </c>
      <c r="B2273" s="31">
        <f>SUBTOTAL(2,INDEX(Main[ردیف],1):Main[[#This Row],[ردیف]])</f>
        <v>206</v>
      </c>
      <c r="C2273" s="32" t="s">
        <v>777</v>
      </c>
      <c r="D2273" s="32" t="str">
        <f>_xlfn.CONCAT("14",Main[[#This Row],[تاريخ]])</f>
        <v>1400/09/03</v>
      </c>
      <c r="E2273" s="33">
        <v>44524</v>
      </c>
      <c r="F2273" s="32">
        <v>30186</v>
      </c>
      <c r="G2273" s="5" t="str">
        <f>INDEX(customer[عنوان],MATCH(Main[[#This Row],[کد ردیابی]],customer[کد],0))</f>
        <v>سارا گاز</v>
      </c>
      <c r="H2273">
        <v>-882</v>
      </c>
      <c r="I2273" s="6">
        <f ca="1">-Main[[#This Row],[بدهی تسویه شده (کیلوگرم)]]+Main[[#This Row],[بستانکار (کیلوگرم)]]</f>
        <v>-882</v>
      </c>
      <c r="J2273" s="6">
        <f>IF(Main[[#This Row],[مقدار (کیلوگرم)]]&gt;0,Main[[#This Row],[مقدار (کیلوگرم)]],0)</f>
        <v>0</v>
      </c>
      <c r="K2273" s="6">
        <f>-IF(Main[[#This Row],[مقدار (کیلوگرم)]]&lt;0,Main[[#This Row],[مقدار (کیلوگرم)]],0)</f>
        <v>882</v>
      </c>
      <c r="L22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3" s="7">
        <f>-IF(AND(Main[[#This Row],[مقدار (کیلوگرم)]]&lt;0,Main[[#This Row],[تاريخ میلادی]]&gt;44276),Main[[#This Row],[مقدار (کیلوگرم)]],0)</f>
        <v>882</v>
      </c>
      <c r="N2273" s="6">
        <f ca="1">Main[[#This Row],[بدهکار (کیلوگرم)]]-Main[[#This Row],[بدهی تسویه نشده (کیلوگرم)]]</f>
        <v>882</v>
      </c>
      <c r="O2273" s="6">
        <f ca="1">Main[[#This Row],[تفکیک]]</f>
        <v>0</v>
      </c>
      <c r="P2273" s="6">
        <f ca="1">IF(Main[[#This Row],[تاخیر از سررسید]]&gt;0,Main[[#This Row],[بدهی تسویه نشده (کیلوگرم)]],0)</f>
        <v>0</v>
      </c>
      <c r="Q2273" s="6">
        <f ca="1">IF(Main[[#This Row],[بدهی تسویه نشده (کیلوگرم)]]&gt;0,'گزارش فردی'!$B$7-Main[[#This Row],[تاريخ میلادی]],0)</f>
        <v>0</v>
      </c>
      <c r="R2273" s="6">
        <f ca="1">IF(Main[[#This Row],[بدهی تسویه نشده (کیلوگرم)]]&gt;0,'گزارش فردی'!$B$7-Main[[#This Row],[تاريخ میلادی]]-'گزارش فردی'!$B$8,0)</f>
        <v>0</v>
      </c>
      <c r="S2273" s="6">
        <f ca="1">Main[[#This Row],[روز از ارسال سفارش]]*Main[[#This Row],[بدهی تسویه نشده (کیلوگرم)]]</f>
        <v>0</v>
      </c>
      <c r="T2273" s="6">
        <f ca="1">Main[[#This Row],[بدهی سررسید شده (کیلوگرم)]]*Main[[#This Row],[روز از ارسال سفارش]]</f>
        <v>0</v>
      </c>
      <c r="U2273" s="6">
        <f>-SUBTOTAL(9,INDEX(Main[مقدار (کیلوگرم)],1):Main[[#This Row],[مقدار (کیلوگرم)]])</f>
        <v>39685</v>
      </c>
      <c r="V22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3" s="6">
        <f>Main[[#This Row],[تعداد کل روزهای بدهکار (روز)]]*Main[[#This Row],[مانده در خط کل (کیلوگرم)]]</f>
        <v>0</v>
      </c>
      <c r="X2273" s="6">
        <f ca="1">-SUBTOTAL(9,INDEX(Main[مقدار تسویه شده (کیلوگرم)],1):Main[[#This Row],[مقدار تسویه شده (کیلوگرم)]])</f>
        <v>39685</v>
      </c>
      <c r="Y2273" s="6">
        <f ca="1">IF(Main[[#This Row],[مانده در خط تسویه شده (کیلوگرم)]]&lt;&gt;0,Main[[#This Row],[تعداد کل روزهای بدهکار (روز)]],0)</f>
        <v>0</v>
      </c>
      <c r="Z2273" s="6">
        <f ca="1">Main[[#This Row],[تعداد روزهای بدهکار تسویه شده (روز)]]*Main[[#This Row],[مانده در خط تسویه شده (کیلوگرم)]]</f>
        <v>0</v>
      </c>
      <c r="AA2273" s="6">
        <f ca="1">SUBTOTAL(9,INDEX(Main[بدهی تسویه نشده (کیلوگرم)],1):Main[[#This Row],[بدهی تسویه نشده (کیلوگرم)]])</f>
        <v>0</v>
      </c>
      <c r="AB2273" s="6">
        <f ca="1">IF(Main[[#This Row],[مانده در خط تسویه نشده (کیلوگرم)]]&lt;&gt;0,Main[[#This Row],[تعداد کل روزهای بدهکار (روز)]],0)</f>
        <v>0</v>
      </c>
      <c r="AC2273" s="6">
        <f ca="1">Main[[#This Row],[تعداد روزهای بدهکار  تسویه نشده (روز)]]*Main[[#This Row],[مانده در خط تسویه نشده (کیلوگرم)]]</f>
        <v>0</v>
      </c>
      <c r="AD2273" s="6">
        <f ca="1">SUBTOTAL(9,INDEX(Main[بدهی سررسید شده (کیلوگرم)],1):Main[[#This Row],[بدهی سررسید شده (کیلوگرم)]])</f>
        <v>0</v>
      </c>
      <c r="AE2273" s="6">
        <f ca="1">IF(Main[[#This Row],[مانده در خط سررسید شده (کیلوگرم)]]&lt;&gt;0,Main[[#This Row],[تعداد کل روزهای بدهکار (روز)]],0)</f>
        <v>0</v>
      </c>
      <c r="AF2273" s="6">
        <f ca="1">Main[[#This Row],[تعداد روزهای بدهکار سررسید شده (روز)]]*Main[[#This Row],[مانده در خط سررسید شده (کیلوگرم)]]</f>
        <v>0</v>
      </c>
    </row>
    <row r="2274" spans="1:32" hidden="1" x14ac:dyDescent="0.35">
      <c r="A2274" s="5">
        <f>ROW()-ROW(INDEX(Main[ردیف],1))+1</f>
        <v>2272</v>
      </c>
      <c r="B2274" s="31">
        <f>SUBTOTAL(2,INDEX(Main[ردیف],1):Main[[#This Row],[ردیف]])</f>
        <v>206</v>
      </c>
      <c r="C2274" s="32" t="s">
        <v>777</v>
      </c>
      <c r="D2274" s="32" t="str">
        <f>_xlfn.CONCAT("14",Main[[#This Row],[تاريخ]])</f>
        <v>1400/09/03</v>
      </c>
      <c r="E2274" s="33">
        <v>44524</v>
      </c>
      <c r="F2274" s="32">
        <v>10048</v>
      </c>
      <c r="G2274" s="5" t="str">
        <f>INDEX(customer[عنوان],MATCH(Main[[#This Row],[کد ردیابی]],customer[کد],0))</f>
        <v xml:space="preserve">حسام کریمان  </v>
      </c>
      <c r="H2274">
        <v>120</v>
      </c>
      <c r="I2274" s="6">
        <f ca="1">-Main[[#This Row],[بدهی تسویه شده (کیلوگرم)]]+Main[[#This Row],[بستانکار (کیلوگرم)]]</f>
        <v>120</v>
      </c>
      <c r="J2274" s="6">
        <f>IF(Main[[#This Row],[مقدار (کیلوگرم)]]&gt;0,Main[[#This Row],[مقدار (کیلوگرم)]],0)</f>
        <v>120</v>
      </c>
      <c r="K2274" s="6">
        <f>-IF(Main[[#This Row],[مقدار (کیلوگرم)]]&lt;0,Main[[#This Row],[مقدار (کیلوگرم)]],0)</f>
        <v>0</v>
      </c>
      <c r="L22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4" s="7">
        <f>-IF(AND(Main[[#This Row],[مقدار (کیلوگرم)]]&lt;0,Main[[#This Row],[تاريخ میلادی]]&gt;44276),Main[[#This Row],[مقدار (کیلوگرم)]],0)</f>
        <v>0</v>
      </c>
      <c r="N2274" s="6">
        <f ca="1">Main[[#This Row],[بدهکار (کیلوگرم)]]-Main[[#This Row],[بدهی تسویه نشده (کیلوگرم)]]</f>
        <v>0</v>
      </c>
      <c r="O2274" s="6">
        <f ca="1">Main[[#This Row],[تفکیک]]</f>
        <v>0</v>
      </c>
      <c r="P2274" s="6">
        <f ca="1">IF(Main[[#This Row],[تاخیر از سررسید]]&gt;0,Main[[#This Row],[بدهی تسویه نشده (کیلوگرم)]],0)</f>
        <v>0</v>
      </c>
      <c r="Q2274" s="6">
        <f ca="1">IF(Main[[#This Row],[بدهی تسویه نشده (کیلوگرم)]]&gt;0,'گزارش فردی'!$B$7-Main[[#This Row],[تاريخ میلادی]],0)</f>
        <v>0</v>
      </c>
      <c r="R2274" s="6">
        <f ca="1">IF(Main[[#This Row],[بدهی تسویه نشده (کیلوگرم)]]&gt;0,'گزارش فردی'!$B$7-Main[[#This Row],[تاريخ میلادی]]-'گزارش فردی'!$B$8,0)</f>
        <v>0</v>
      </c>
      <c r="S2274" s="6">
        <f ca="1">Main[[#This Row],[روز از ارسال سفارش]]*Main[[#This Row],[بدهی تسویه نشده (کیلوگرم)]]</f>
        <v>0</v>
      </c>
      <c r="T2274" s="6">
        <f ca="1">Main[[#This Row],[بدهی سررسید شده (کیلوگرم)]]*Main[[#This Row],[روز از ارسال سفارش]]</f>
        <v>0</v>
      </c>
      <c r="U2274" s="6">
        <f>-SUBTOTAL(9,INDEX(Main[مقدار (کیلوگرم)],1):Main[[#This Row],[مقدار (کیلوگرم)]])</f>
        <v>39685</v>
      </c>
      <c r="V22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4" s="6">
        <f>Main[[#This Row],[تعداد کل روزهای بدهکار (روز)]]*Main[[#This Row],[مانده در خط کل (کیلوگرم)]]</f>
        <v>0</v>
      </c>
      <c r="X2274" s="6">
        <f ca="1">-SUBTOTAL(9,INDEX(Main[مقدار تسویه شده (کیلوگرم)],1):Main[[#This Row],[مقدار تسویه شده (کیلوگرم)]])</f>
        <v>39685</v>
      </c>
      <c r="Y2274" s="6">
        <f ca="1">IF(Main[[#This Row],[مانده در خط تسویه شده (کیلوگرم)]]&lt;&gt;0,Main[[#This Row],[تعداد کل روزهای بدهکار (روز)]],0)</f>
        <v>0</v>
      </c>
      <c r="Z2274" s="6">
        <f ca="1">Main[[#This Row],[تعداد روزهای بدهکار تسویه شده (روز)]]*Main[[#This Row],[مانده در خط تسویه شده (کیلوگرم)]]</f>
        <v>0</v>
      </c>
      <c r="AA2274" s="6">
        <f ca="1">SUBTOTAL(9,INDEX(Main[بدهی تسویه نشده (کیلوگرم)],1):Main[[#This Row],[بدهی تسویه نشده (کیلوگرم)]])</f>
        <v>0</v>
      </c>
      <c r="AB2274" s="6">
        <f ca="1">IF(Main[[#This Row],[مانده در خط تسویه نشده (کیلوگرم)]]&lt;&gt;0,Main[[#This Row],[تعداد کل روزهای بدهکار (روز)]],0)</f>
        <v>0</v>
      </c>
      <c r="AC2274" s="6">
        <f ca="1">Main[[#This Row],[تعداد روزهای بدهکار  تسویه نشده (روز)]]*Main[[#This Row],[مانده در خط تسویه نشده (کیلوگرم)]]</f>
        <v>0</v>
      </c>
      <c r="AD2274" s="6">
        <f ca="1">SUBTOTAL(9,INDEX(Main[بدهی سررسید شده (کیلوگرم)],1):Main[[#This Row],[بدهی سررسید شده (کیلوگرم)]])</f>
        <v>0</v>
      </c>
      <c r="AE2274" s="6">
        <f ca="1">IF(Main[[#This Row],[مانده در خط سررسید شده (کیلوگرم)]]&lt;&gt;0,Main[[#This Row],[تعداد کل روزهای بدهکار (روز)]],0)</f>
        <v>0</v>
      </c>
      <c r="AF2274" s="6">
        <f ca="1">Main[[#This Row],[تعداد روزهای بدهکار سررسید شده (روز)]]*Main[[#This Row],[مانده در خط سررسید شده (کیلوگرم)]]</f>
        <v>0</v>
      </c>
    </row>
    <row r="2275" spans="1:32" hidden="1" x14ac:dyDescent="0.35">
      <c r="A2275" s="5">
        <f>ROW()-ROW(INDEX(Main[ردیف],1))+1</f>
        <v>2273</v>
      </c>
      <c r="B2275" s="31">
        <f>SUBTOTAL(2,INDEX(Main[ردیف],1):Main[[#This Row],[ردیف]])</f>
        <v>206</v>
      </c>
      <c r="C2275" s="32" t="s">
        <v>777</v>
      </c>
      <c r="D2275" s="32" t="str">
        <f>_xlfn.CONCAT("14",Main[[#This Row],[تاريخ]])</f>
        <v>1400/09/03</v>
      </c>
      <c r="E2275" s="33">
        <v>44524</v>
      </c>
      <c r="F2275" s="32">
        <v>30196</v>
      </c>
      <c r="G2275" s="5" t="str">
        <f>INDEX(customer[عنوان],MATCH(Main[[#This Row],[کد ردیابی]],customer[کد],0))</f>
        <v>شرکت فردوس</v>
      </c>
      <c r="H2275">
        <v>-11</v>
      </c>
      <c r="I2275" s="6">
        <f ca="1">-Main[[#This Row],[بدهی تسویه شده (کیلوگرم)]]+Main[[#This Row],[بستانکار (کیلوگرم)]]</f>
        <v>-11</v>
      </c>
      <c r="J2275" s="6">
        <f>IF(Main[[#This Row],[مقدار (کیلوگرم)]]&gt;0,Main[[#This Row],[مقدار (کیلوگرم)]],0)</f>
        <v>0</v>
      </c>
      <c r="K2275" s="6">
        <f>-IF(Main[[#This Row],[مقدار (کیلوگرم)]]&lt;0,Main[[#This Row],[مقدار (کیلوگرم)]],0)</f>
        <v>11</v>
      </c>
      <c r="L22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5" s="7">
        <f>-IF(AND(Main[[#This Row],[مقدار (کیلوگرم)]]&lt;0,Main[[#This Row],[تاريخ میلادی]]&gt;44276),Main[[#This Row],[مقدار (کیلوگرم)]],0)</f>
        <v>11</v>
      </c>
      <c r="N2275" s="6">
        <f ca="1">Main[[#This Row],[بدهکار (کیلوگرم)]]-Main[[#This Row],[بدهی تسویه نشده (کیلوگرم)]]</f>
        <v>11</v>
      </c>
      <c r="O2275" s="6">
        <f ca="1">Main[[#This Row],[تفکیک]]</f>
        <v>0</v>
      </c>
      <c r="P2275" s="6">
        <f ca="1">IF(Main[[#This Row],[تاخیر از سررسید]]&gt;0,Main[[#This Row],[بدهی تسویه نشده (کیلوگرم)]],0)</f>
        <v>0</v>
      </c>
      <c r="Q2275" s="6">
        <f ca="1">IF(Main[[#This Row],[بدهی تسویه نشده (کیلوگرم)]]&gt;0,'گزارش فردی'!$B$7-Main[[#This Row],[تاريخ میلادی]],0)</f>
        <v>0</v>
      </c>
      <c r="R2275" s="6">
        <f ca="1">IF(Main[[#This Row],[بدهی تسویه نشده (کیلوگرم)]]&gt;0,'گزارش فردی'!$B$7-Main[[#This Row],[تاريخ میلادی]]-'گزارش فردی'!$B$8,0)</f>
        <v>0</v>
      </c>
      <c r="S2275" s="6">
        <f ca="1">Main[[#This Row],[روز از ارسال سفارش]]*Main[[#This Row],[بدهی تسویه نشده (کیلوگرم)]]</f>
        <v>0</v>
      </c>
      <c r="T2275" s="6">
        <f ca="1">Main[[#This Row],[بدهی سررسید شده (کیلوگرم)]]*Main[[#This Row],[روز از ارسال سفارش]]</f>
        <v>0</v>
      </c>
      <c r="U2275" s="6">
        <f>-SUBTOTAL(9,INDEX(Main[مقدار (کیلوگرم)],1):Main[[#This Row],[مقدار (کیلوگرم)]])</f>
        <v>39685</v>
      </c>
      <c r="V22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5" s="6">
        <f>Main[[#This Row],[تعداد کل روزهای بدهکار (روز)]]*Main[[#This Row],[مانده در خط کل (کیلوگرم)]]</f>
        <v>0</v>
      </c>
      <c r="X2275" s="6">
        <f ca="1">-SUBTOTAL(9,INDEX(Main[مقدار تسویه شده (کیلوگرم)],1):Main[[#This Row],[مقدار تسویه شده (کیلوگرم)]])</f>
        <v>39685</v>
      </c>
      <c r="Y2275" s="6">
        <f ca="1">IF(Main[[#This Row],[مانده در خط تسویه شده (کیلوگرم)]]&lt;&gt;0,Main[[#This Row],[تعداد کل روزهای بدهکار (روز)]],0)</f>
        <v>0</v>
      </c>
      <c r="Z2275" s="6">
        <f ca="1">Main[[#This Row],[تعداد روزهای بدهکار تسویه شده (روز)]]*Main[[#This Row],[مانده در خط تسویه شده (کیلوگرم)]]</f>
        <v>0</v>
      </c>
      <c r="AA2275" s="6">
        <f ca="1">SUBTOTAL(9,INDEX(Main[بدهی تسویه نشده (کیلوگرم)],1):Main[[#This Row],[بدهی تسویه نشده (کیلوگرم)]])</f>
        <v>0</v>
      </c>
      <c r="AB2275" s="6">
        <f ca="1">IF(Main[[#This Row],[مانده در خط تسویه نشده (کیلوگرم)]]&lt;&gt;0,Main[[#This Row],[تعداد کل روزهای بدهکار (روز)]],0)</f>
        <v>0</v>
      </c>
      <c r="AC2275" s="6">
        <f ca="1">Main[[#This Row],[تعداد روزهای بدهکار  تسویه نشده (روز)]]*Main[[#This Row],[مانده در خط تسویه نشده (کیلوگرم)]]</f>
        <v>0</v>
      </c>
      <c r="AD2275" s="6">
        <f ca="1">SUBTOTAL(9,INDEX(Main[بدهی سررسید شده (کیلوگرم)],1):Main[[#This Row],[بدهی سررسید شده (کیلوگرم)]])</f>
        <v>0</v>
      </c>
      <c r="AE2275" s="6">
        <f ca="1">IF(Main[[#This Row],[مانده در خط سررسید شده (کیلوگرم)]]&lt;&gt;0,Main[[#This Row],[تعداد کل روزهای بدهکار (روز)]],0)</f>
        <v>0</v>
      </c>
      <c r="AF2275" s="6">
        <f ca="1">Main[[#This Row],[تعداد روزهای بدهکار سررسید شده (روز)]]*Main[[#This Row],[مانده در خط سررسید شده (کیلوگرم)]]</f>
        <v>0</v>
      </c>
    </row>
    <row r="2276" spans="1:32" hidden="1" x14ac:dyDescent="0.35">
      <c r="A2276" s="5">
        <f>ROW()-ROW(INDEX(Main[ردیف],1))+1</f>
        <v>2274</v>
      </c>
      <c r="B2276" s="31">
        <f>SUBTOTAL(2,INDEX(Main[ردیف],1):Main[[#This Row],[ردیف]])</f>
        <v>206</v>
      </c>
      <c r="C2276" s="32" t="s">
        <v>777</v>
      </c>
      <c r="D2276" s="32" t="str">
        <f>_xlfn.CONCAT("14",Main[[#This Row],[تاريخ]])</f>
        <v>1400/09/03</v>
      </c>
      <c r="E2276" s="33">
        <v>44524</v>
      </c>
      <c r="F2276" s="32">
        <v>10026</v>
      </c>
      <c r="G2276" s="5" t="str">
        <f>INDEX(customer[عنوان],MATCH(Main[[#This Row],[کد ردیابی]],customer[کد],0))</f>
        <v xml:space="preserve">محسن فیاض بخش </v>
      </c>
      <c r="H2276">
        <v>3468</v>
      </c>
      <c r="I2276" s="6">
        <f ca="1">-Main[[#This Row],[بدهی تسویه شده (کیلوگرم)]]+Main[[#This Row],[بستانکار (کیلوگرم)]]</f>
        <v>3468</v>
      </c>
      <c r="J2276" s="6">
        <f>IF(Main[[#This Row],[مقدار (کیلوگرم)]]&gt;0,Main[[#This Row],[مقدار (کیلوگرم)]],0)</f>
        <v>3468</v>
      </c>
      <c r="K2276" s="6">
        <f>-IF(Main[[#This Row],[مقدار (کیلوگرم)]]&lt;0,Main[[#This Row],[مقدار (کیلوگرم)]],0)</f>
        <v>0</v>
      </c>
      <c r="L22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6" s="7">
        <f>-IF(AND(Main[[#This Row],[مقدار (کیلوگرم)]]&lt;0,Main[[#This Row],[تاريخ میلادی]]&gt;44276),Main[[#This Row],[مقدار (کیلوگرم)]],0)</f>
        <v>0</v>
      </c>
      <c r="N2276" s="6">
        <f ca="1">Main[[#This Row],[بدهکار (کیلوگرم)]]-Main[[#This Row],[بدهی تسویه نشده (کیلوگرم)]]</f>
        <v>0</v>
      </c>
      <c r="O2276" s="6">
        <f ca="1">Main[[#This Row],[تفکیک]]</f>
        <v>0</v>
      </c>
      <c r="P2276" s="6">
        <f ca="1">IF(Main[[#This Row],[تاخیر از سررسید]]&gt;0,Main[[#This Row],[بدهی تسویه نشده (کیلوگرم)]],0)</f>
        <v>0</v>
      </c>
      <c r="Q2276" s="6">
        <f ca="1">IF(Main[[#This Row],[بدهی تسویه نشده (کیلوگرم)]]&gt;0,'گزارش فردی'!$B$7-Main[[#This Row],[تاريخ میلادی]],0)</f>
        <v>0</v>
      </c>
      <c r="R2276" s="6">
        <f ca="1">IF(Main[[#This Row],[بدهی تسویه نشده (کیلوگرم)]]&gt;0,'گزارش فردی'!$B$7-Main[[#This Row],[تاريخ میلادی]]-'گزارش فردی'!$B$8,0)</f>
        <v>0</v>
      </c>
      <c r="S2276" s="6">
        <f ca="1">Main[[#This Row],[روز از ارسال سفارش]]*Main[[#This Row],[بدهی تسویه نشده (کیلوگرم)]]</f>
        <v>0</v>
      </c>
      <c r="T2276" s="6">
        <f ca="1">Main[[#This Row],[بدهی سررسید شده (کیلوگرم)]]*Main[[#This Row],[روز از ارسال سفارش]]</f>
        <v>0</v>
      </c>
      <c r="U2276" s="6">
        <f>-SUBTOTAL(9,INDEX(Main[مقدار (کیلوگرم)],1):Main[[#This Row],[مقدار (کیلوگرم)]])</f>
        <v>39685</v>
      </c>
      <c r="V22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6" s="6">
        <f>Main[[#This Row],[تعداد کل روزهای بدهکار (روز)]]*Main[[#This Row],[مانده در خط کل (کیلوگرم)]]</f>
        <v>0</v>
      </c>
      <c r="X2276" s="6">
        <f ca="1">-SUBTOTAL(9,INDEX(Main[مقدار تسویه شده (کیلوگرم)],1):Main[[#This Row],[مقدار تسویه شده (کیلوگرم)]])</f>
        <v>39685</v>
      </c>
      <c r="Y2276" s="6">
        <f ca="1">IF(Main[[#This Row],[مانده در خط تسویه شده (کیلوگرم)]]&lt;&gt;0,Main[[#This Row],[تعداد کل روزهای بدهکار (روز)]],0)</f>
        <v>0</v>
      </c>
      <c r="Z2276" s="6">
        <f ca="1">Main[[#This Row],[تعداد روزهای بدهکار تسویه شده (روز)]]*Main[[#This Row],[مانده در خط تسویه شده (کیلوگرم)]]</f>
        <v>0</v>
      </c>
      <c r="AA2276" s="6">
        <f ca="1">SUBTOTAL(9,INDEX(Main[بدهی تسویه نشده (کیلوگرم)],1):Main[[#This Row],[بدهی تسویه نشده (کیلوگرم)]])</f>
        <v>0</v>
      </c>
      <c r="AB2276" s="6">
        <f ca="1">IF(Main[[#This Row],[مانده در خط تسویه نشده (کیلوگرم)]]&lt;&gt;0,Main[[#This Row],[تعداد کل روزهای بدهکار (روز)]],0)</f>
        <v>0</v>
      </c>
      <c r="AC2276" s="6">
        <f ca="1">Main[[#This Row],[تعداد روزهای بدهکار  تسویه نشده (روز)]]*Main[[#This Row],[مانده در خط تسویه نشده (کیلوگرم)]]</f>
        <v>0</v>
      </c>
      <c r="AD2276" s="6">
        <f ca="1">SUBTOTAL(9,INDEX(Main[بدهی سررسید شده (کیلوگرم)],1):Main[[#This Row],[بدهی سررسید شده (کیلوگرم)]])</f>
        <v>0</v>
      </c>
      <c r="AE2276" s="6">
        <f ca="1">IF(Main[[#This Row],[مانده در خط سررسید شده (کیلوگرم)]]&lt;&gt;0,Main[[#This Row],[تعداد کل روزهای بدهکار (روز)]],0)</f>
        <v>0</v>
      </c>
      <c r="AF2276" s="6">
        <f ca="1">Main[[#This Row],[تعداد روزهای بدهکار سررسید شده (روز)]]*Main[[#This Row],[مانده در خط سررسید شده (کیلوگرم)]]</f>
        <v>0</v>
      </c>
    </row>
    <row r="2277" spans="1:32" hidden="1" x14ac:dyDescent="0.35">
      <c r="A2277" s="5">
        <f>ROW()-ROW(INDEX(Main[ردیف],1))+1</f>
        <v>2275</v>
      </c>
      <c r="B2277" s="31">
        <f>SUBTOTAL(2,INDEX(Main[ردیف],1):Main[[#This Row],[ردیف]])</f>
        <v>206</v>
      </c>
      <c r="C2277" s="32" t="s">
        <v>777</v>
      </c>
      <c r="D2277" s="32" t="str">
        <f>_xlfn.CONCAT("14",Main[[#This Row],[تاريخ]])</f>
        <v>1400/09/03</v>
      </c>
      <c r="E2277" s="33">
        <v>44524</v>
      </c>
      <c r="F2277" s="32">
        <v>30014</v>
      </c>
      <c r="G2277" s="5" t="str">
        <f>INDEX(customer[عنوان],MATCH(Main[[#This Row],[کد ردیابی]],customer[کد],0))</f>
        <v>کلون</v>
      </c>
      <c r="H2277">
        <v>-2435</v>
      </c>
      <c r="I2277" s="6">
        <f ca="1">-Main[[#This Row],[بدهی تسویه شده (کیلوگرم)]]+Main[[#This Row],[بستانکار (کیلوگرم)]]</f>
        <v>-2435</v>
      </c>
      <c r="J2277" s="6">
        <f>IF(Main[[#This Row],[مقدار (کیلوگرم)]]&gt;0,Main[[#This Row],[مقدار (کیلوگرم)]],0)</f>
        <v>0</v>
      </c>
      <c r="K2277" s="6">
        <f>-IF(Main[[#This Row],[مقدار (کیلوگرم)]]&lt;0,Main[[#This Row],[مقدار (کیلوگرم)]],0)</f>
        <v>2435</v>
      </c>
      <c r="L22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7" s="7">
        <f>-IF(AND(Main[[#This Row],[مقدار (کیلوگرم)]]&lt;0,Main[[#This Row],[تاريخ میلادی]]&gt;44276),Main[[#This Row],[مقدار (کیلوگرم)]],0)</f>
        <v>2435</v>
      </c>
      <c r="N2277" s="6">
        <f ca="1">Main[[#This Row],[بدهکار (کیلوگرم)]]-Main[[#This Row],[بدهی تسویه نشده (کیلوگرم)]]</f>
        <v>2435</v>
      </c>
      <c r="O2277" s="6">
        <f ca="1">Main[[#This Row],[تفکیک]]</f>
        <v>0</v>
      </c>
      <c r="P2277" s="6">
        <f ca="1">IF(Main[[#This Row],[تاخیر از سررسید]]&gt;0,Main[[#This Row],[بدهی تسویه نشده (کیلوگرم)]],0)</f>
        <v>0</v>
      </c>
      <c r="Q2277" s="6">
        <f ca="1">IF(Main[[#This Row],[بدهی تسویه نشده (کیلوگرم)]]&gt;0,'گزارش فردی'!$B$7-Main[[#This Row],[تاريخ میلادی]],0)</f>
        <v>0</v>
      </c>
      <c r="R2277" s="6">
        <f ca="1">IF(Main[[#This Row],[بدهی تسویه نشده (کیلوگرم)]]&gt;0,'گزارش فردی'!$B$7-Main[[#This Row],[تاريخ میلادی]]-'گزارش فردی'!$B$8,0)</f>
        <v>0</v>
      </c>
      <c r="S2277" s="6">
        <f ca="1">Main[[#This Row],[روز از ارسال سفارش]]*Main[[#This Row],[بدهی تسویه نشده (کیلوگرم)]]</f>
        <v>0</v>
      </c>
      <c r="T2277" s="6">
        <f ca="1">Main[[#This Row],[بدهی سررسید شده (کیلوگرم)]]*Main[[#This Row],[روز از ارسال سفارش]]</f>
        <v>0</v>
      </c>
      <c r="U2277" s="6">
        <f>-SUBTOTAL(9,INDEX(Main[مقدار (کیلوگرم)],1):Main[[#This Row],[مقدار (کیلوگرم)]])</f>
        <v>39685</v>
      </c>
      <c r="V22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7" s="6">
        <f>Main[[#This Row],[تعداد کل روزهای بدهکار (روز)]]*Main[[#This Row],[مانده در خط کل (کیلوگرم)]]</f>
        <v>0</v>
      </c>
      <c r="X2277" s="6">
        <f ca="1">-SUBTOTAL(9,INDEX(Main[مقدار تسویه شده (کیلوگرم)],1):Main[[#This Row],[مقدار تسویه شده (کیلوگرم)]])</f>
        <v>39685</v>
      </c>
      <c r="Y2277" s="6">
        <f ca="1">IF(Main[[#This Row],[مانده در خط تسویه شده (کیلوگرم)]]&lt;&gt;0,Main[[#This Row],[تعداد کل روزهای بدهکار (روز)]],0)</f>
        <v>0</v>
      </c>
      <c r="Z2277" s="6">
        <f ca="1">Main[[#This Row],[تعداد روزهای بدهکار تسویه شده (روز)]]*Main[[#This Row],[مانده در خط تسویه شده (کیلوگرم)]]</f>
        <v>0</v>
      </c>
      <c r="AA2277" s="6">
        <f ca="1">SUBTOTAL(9,INDEX(Main[بدهی تسویه نشده (کیلوگرم)],1):Main[[#This Row],[بدهی تسویه نشده (کیلوگرم)]])</f>
        <v>0</v>
      </c>
      <c r="AB2277" s="6">
        <f ca="1">IF(Main[[#This Row],[مانده در خط تسویه نشده (کیلوگرم)]]&lt;&gt;0,Main[[#This Row],[تعداد کل روزهای بدهکار (روز)]],0)</f>
        <v>0</v>
      </c>
      <c r="AC2277" s="6">
        <f ca="1">Main[[#This Row],[تعداد روزهای بدهکار  تسویه نشده (روز)]]*Main[[#This Row],[مانده در خط تسویه نشده (کیلوگرم)]]</f>
        <v>0</v>
      </c>
      <c r="AD2277" s="6">
        <f ca="1">SUBTOTAL(9,INDEX(Main[بدهی سررسید شده (کیلوگرم)],1):Main[[#This Row],[بدهی سررسید شده (کیلوگرم)]])</f>
        <v>0</v>
      </c>
      <c r="AE2277" s="6">
        <f ca="1">IF(Main[[#This Row],[مانده در خط سررسید شده (کیلوگرم)]]&lt;&gt;0,Main[[#This Row],[تعداد کل روزهای بدهکار (روز)]],0)</f>
        <v>0</v>
      </c>
      <c r="AF2277" s="6">
        <f ca="1">Main[[#This Row],[تعداد روزهای بدهکار سررسید شده (روز)]]*Main[[#This Row],[مانده در خط سررسید شده (کیلوگرم)]]</f>
        <v>0</v>
      </c>
    </row>
    <row r="2278" spans="1:32" hidden="1" x14ac:dyDescent="0.35">
      <c r="A2278" s="5">
        <f>ROW()-ROW(INDEX(Main[ردیف],1))+1</f>
        <v>2276</v>
      </c>
      <c r="B2278" s="31">
        <f>SUBTOTAL(2,INDEX(Main[ردیف],1):Main[[#This Row],[ردیف]])</f>
        <v>206</v>
      </c>
      <c r="C2278" s="32" t="s">
        <v>777</v>
      </c>
      <c r="D2278" s="32" t="str">
        <f>_xlfn.CONCAT("14",Main[[#This Row],[تاريخ]])</f>
        <v>1400/09/03</v>
      </c>
      <c r="E2278" s="33">
        <v>44524</v>
      </c>
      <c r="F2278" s="32">
        <v>10084</v>
      </c>
      <c r="G2278" s="5" t="str">
        <f>INDEX(customer[عنوان],MATCH(Main[[#This Row],[کد ردیابی]],customer[کد],0))</f>
        <v xml:space="preserve">سیدحمید کاظمی </v>
      </c>
      <c r="H2278">
        <v>318</v>
      </c>
      <c r="I2278" s="6">
        <f ca="1">-Main[[#This Row],[بدهی تسویه شده (کیلوگرم)]]+Main[[#This Row],[بستانکار (کیلوگرم)]]</f>
        <v>318</v>
      </c>
      <c r="J2278" s="6">
        <f>IF(Main[[#This Row],[مقدار (کیلوگرم)]]&gt;0,Main[[#This Row],[مقدار (کیلوگرم)]],0)</f>
        <v>318</v>
      </c>
      <c r="K2278" s="6">
        <f>-IF(Main[[#This Row],[مقدار (کیلوگرم)]]&lt;0,Main[[#This Row],[مقدار (کیلوگرم)]],0)</f>
        <v>0</v>
      </c>
      <c r="L22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8" s="7">
        <f>-IF(AND(Main[[#This Row],[مقدار (کیلوگرم)]]&lt;0,Main[[#This Row],[تاريخ میلادی]]&gt;44276),Main[[#This Row],[مقدار (کیلوگرم)]],0)</f>
        <v>0</v>
      </c>
      <c r="N2278" s="6">
        <f ca="1">Main[[#This Row],[بدهکار (کیلوگرم)]]-Main[[#This Row],[بدهی تسویه نشده (کیلوگرم)]]</f>
        <v>0</v>
      </c>
      <c r="O2278" s="6">
        <f ca="1">Main[[#This Row],[تفکیک]]</f>
        <v>0</v>
      </c>
      <c r="P2278" s="6">
        <f ca="1">IF(Main[[#This Row],[تاخیر از سررسید]]&gt;0,Main[[#This Row],[بدهی تسویه نشده (کیلوگرم)]],0)</f>
        <v>0</v>
      </c>
      <c r="Q2278" s="6">
        <f ca="1">IF(Main[[#This Row],[بدهی تسویه نشده (کیلوگرم)]]&gt;0,'گزارش فردی'!$B$7-Main[[#This Row],[تاريخ میلادی]],0)</f>
        <v>0</v>
      </c>
      <c r="R2278" s="6">
        <f ca="1">IF(Main[[#This Row],[بدهی تسویه نشده (کیلوگرم)]]&gt;0,'گزارش فردی'!$B$7-Main[[#This Row],[تاريخ میلادی]]-'گزارش فردی'!$B$8,0)</f>
        <v>0</v>
      </c>
      <c r="S2278" s="6">
        <f ca="1">Main[[#This Row],[روز از ارسال سفارش]]*Main[[#This Row],[بدهی تسویه نشده (کیلوگرم)]]</f>
        <v>0</v>
      </c>
      <c r="T2278" s="6">
        <f ca="1">Main[[#This Row],[بدهی سررسید شده (کیلوگرم)]]*Main[[#This Row],[روز از ارسال سفارش]]</f>
        <v>0</v>
      </c>
      <c r="U2278" s="6">
        <f>-SUBTOTAL(9,INDEX(Main[مقدار (کیلوگرم)],1):Main[[#This Row],[مقدار (کیلوگرم)]])</f>
        <v>39685</v>
      </c>
      <c r="V22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8" s="6">
        <f>Main[[#This Row],[تعداد کل روزهای بدهکار (روز)]]*Main[[#This Row],[مانده در خط کل (کیلوگرم)]]</f>
        <v>0</v>
      </c>
      <c r="X2278" s="6">
        <f ca="1">-SUBTOTAL(9,INDEX(Main[مقدار تسویه شده (کیلوگرم)],1):Main[[#This Row],[مقدار تسویه شده (کیلوگرم)]])</f>
        <v>39685</v>
      </c>
      <c r="Y2278" s="6">
        <f ca="1">IF(Main[[#This Row],[مانده در خط تسویه شده (کیلوگرم)]]&lt;&gt;0,Main[[#This Row],[تعداد کل روزهای بدهکار (روز)]],0)</f>
        <v>0</v>
      </c>
      <c r="Z2278" s="6">
        <f ca="1">Main[[#This Row],[تعداد روزهای بدهکار تسویه شده (روز)]]*Main[[#This Row],[مانده در خط تسویه شده (کیلوگرم)]]</f>
        <v>0</v>
      </c>
      <c r="AA2278" s="6">
        <f ca="1">SUBTOTAL(9,INDEX(Main[بدهی تسویه نشده (کیلوگرم)],1):Main[[#This Row],[بدهی تسویه نشده (کیلوگرم)]])</f>
        <v>0</v>
      </c>
      <c r="AB2278" s="6">
        <f ca="1">IF(Main[[#This Row],[مانده در خط تسویه نشده (کیلوگرم)]]&lt;&gt;0,Main[[#This Row],[تعداد کل روزهای بدهکار (روز)]],0)</f>
        <v>0</v>
      </c>
      <c r="AC2278" s="6">
        <f ca="1">Main[[#This Row],[تعداد روزهای بدهکار  تسویه نشده (روز)]]*Main[[#This Row],[مانده در خط تسویه نشده (کیلوگرم)]]</f>
        <v>0</v>
      </c>
      <c r="AD2278" s="6">
        <f ca="1">SUBTOTAL(9,INDEX(Main[بدهی سررسید شده (کیلوگرم)],1):Main[[#This Row],[بدهی سررسید شده (کیلوگرم)]])</f>
        <v>0</v>
      </c>
      <c r="AE2278" s="6">
        <f ca="1">IF(Main[[#This Row],[مانده در خط سررسید شده (کیلوگرم)]]&lt;&gt;0,Main[[#This Row],[تعداد کل روزهای بدهکار (روز)]],0)</f>
        <v>0</v>
      </c>
      <c r="AF2278" s="6">
        <f ca="1">Main[[#This Row],[تعداد روزهای بدهکار سررسید شده (روز)]]*Main[[#This Row],[مانده در خط سررسید شده (کیلوگرم)]]</f>
        <v>0</v>
      </c>
    </row>
    <row r="2279" spans="1:32" hidden="1" x14ac:dyDescent="0.35">
      <c r="A2279" s="5">
        <f>ROW()-ROW(INDEX(Main[ردیف],1))+1</f>
        <v>2277</v>
      </c>
      <c r="B2279" s="31">
        <f>SUBTOTAL(2,INDEX(Main[ردیف],1):Main[[#This Row],[ردیف]])</f>
        <v>206</v>
      </c>
      <c r="C2279" s="32" t="s">
        <v>777</v>
      </c>
      <c r="D2279" s="32" t="str">
        <f>_xlfn.CONCAT("14",Main[[#This Row],[تاريخ]])</f>
        <v>1400/09/03</v>
      </c>
      <c r="E2279" s="33">
        <v>44524</v>
      </c>
      <c r="F2279" s="32">
        <v>10020</v>
      </c>
      <c r="G2279" s="5" t="str">
        <f>INDEX(customer[عنوان],MATCH(Main[[#This Row],[کد ردیابی]],customer[کد],0))</f>
        <v>فرزاد اسماعیل زاده</v>
      </c>
      <c r="H2279">
        <v>-544</v>
      </c>
      <c r="I2279" s="6">
        <f ca="1">-Main[[#This Row],[بدهی تسویه شده (کیلوگرم)]]+Main[[#This Row],[بستانکار (کیلوگرم)]]</f>
        <v>-544</v>
      </c>
      <c r="J2279" s="6">
        <f>IF(Main[[#This Row],[مقدار (کیلوگرم)]]&gt;0,Main[[#This Row],[مقدار (کیلوگرم)]],0)</f>
        <v>0</v>
      </c>
      <c r="K2279" s="6">
        <f>-IF(Main[[#This Row],[مقدار (کیلوگرم)]]&lt;0,Main[[#This Row],[مقدار (کیلوگرم)]],0)</f>
        <v>544</v>
      </c>
      <c r="L22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9" s="7">
        <f>-IF(AND(Main[[#This Row],[مقدار (کیلوگرم)]]&lt;0,Main[[#This Row],[تاريخ میلادی]]&gt;44276),Main[[#This Row],[مقدار (کیلوگرم)]],0)</f>
        <v>544</v>
      </c>
      <c r="N2279" s="6">
        <f ca="1">Main[[#This Row],[بدهکار (کیلوگرم)]]-Main[[#This Row],[بدهی تسویه نشده (کیلوگرم)]]</f>
        <v>544</v>
      </c>
      <c r="O2279" s="6">
        <f ca="1">Main[[#This Row],[تفکیک]]</f>
        <v>0</v>
      </c>
      <c r="P2279" s="6">
        <f ca="1">IF(Main[[#This Row],[تاخیر از سررسید]]&gt;0,Main[[#This Row],[بدهی تسویه نشده (کیلوگرم)]],0)</f>
        <v>0</v>
      </c>
      <c r="Q2279" s="6">
        <f ca="1">IF(Main[[#This Row],[بدهی تسویه نشده (کیلوگرم)]]&gt;0,'گزارش فردی'!$B$7-Main[[#This Row],[تاريخ میلادی]],0)</f>
        <v>0</v>
      </c>
      <c r="R2279" s="6">
        <f ca="1">IF(Main[[#This Row],[بدهی تسویه نشده (کیلوگرم)]]&gt;0,'گزارش فردی'!$B$7-Main[[#This Row],[تاريخ میلادی]]-'گزارش فردی'!$B$8,0)</f>
        <v>0</v>
      </c>
      <c r="S2279" s="6">
        <f ca="1">Main[[#This Row],[روز از ارسال سفارش]]*Main[[#This Row],[بدهی تسویه نشده (کیلوگرم)]]</f>
        <v>0</v>
      </c>
      <c r="T2279" s="6">
        <f ca="1">Main[[#This Row],[بدهی سررسید شده (کیلوگرم)]]*Main[[#This Row],[روز از ارسال سفارش]]</f>
        <v>0</v>
      </c>
      <c r="U2279" s="6">
        <f>-SUBTOTAL(9,INDEX(Main[مقدار (کیلوگرم)],1):Main[[#This Row],[مقدار (کیلوگرم)]])</f>
        <v>39685</v>
      </c>
      <c r="V22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9" s="6">
        <f>Main[[#This Row],[تعداد کل روزهای بدهکار (روز)]]*Main[[#This Row],[مانده در خط کل (کیلوگرم)]]</f>
        <v>0</v>
      </c>
      <c r="X2279" s="6">
        <f ca="1">-SUBTOTAL(9,INDEX(Main[مقدار تسویه شده (کیلوگرم)],1):Main[[#This Row],[مقدار تسویه شده (کیلوگرم)]])</f>
        <v>39685</v>
      </c>
      <c r="Y2279" s="6">
        <f ca="1">IF(Main[[#This Row],[مانده در خط تسویه شده (کیلوگرم)]]&lt;&gt;0,Main[[#This Row],[تعداد کل روزهای بدهکار (روز)]],0)</f>
        <v>0</v>
      </c>
      <c r="Z2279" s="6">
        <f ca="1">Main[[#This Row],[تعداد روزهای بدهکار تسویه شده (روز)]]*Main[[#This Row],[مانده در خط تسویه شده (کیلوگرم)]]</f>
        <v>0</v>
      </c>
      <c r="AA2279" s="6">
        <f ca="1">SUBTOTAL(9,INDEX(Main[بدهی تسویه نشده (کیلوگرم)],1):Main[[#This Row],[بدهی تسویه نشده (کیلوگرم)]])</f>
        <v>0</v>
      </c>
      <c r="AB2279" s="6">
        <f ca="1">IF(Main[[#This Row],[مانده در خط تسویه نشده (کیلوگرم)]]&lt;&gt;0,Main[[#This Row],[تعداد کل روزهای بدهکار (روز)]],0)</f>
        <v>0</v>
      </c>
      <c r="AC2279" s="6">
        <f ca="1">Main[[#This Row],[تعداد روزهای بدهکار  تسویه نشده (روز)]]*Main[[#This Row],[مانده در خط تسویه نشده (کیلوگرم)]]</f>
        <v>0</v>
      </c>
      <c r="AD2279" s="6">
        <f ca="1">SUBTOTAL(9,INDEX(Main[بدهی سررسید شده (کیلوگرم)],1):Main[[#This Row],[بدهی سررسید شده (کیلوگرم)]])</f>
        <v>0</v>
      </c>
      <c r="AE2279" s="6">
        <f ca="1">IF(Main[[#This Row],[مانده در خط سررسید شده (کیلوگرم)]]&lt;&gt;0,Main[[#This Row],[تعداد کل روزهای بدهکار (روز)]],0)</f>
        <v>0</v>
      </c>
      <c r="AF2279" s="6">
        <f ca="1">Main[[#This Row],[تعداد روزهای بدهکار سررسید شده (روز)]]*Main[[#This Row],[مانده در خط سررسید شده (کیلوگرم)]]</f>
        <v>0</v>
      </c>
    </row>
    <row r="2280" spans="1:32" hidden="1" x14ac:dyDescent="0.35">
      <c r="A2280" s="5">
        <f>ROW()-ROW(INDEX(Main[ردیف],1))+1</f>
        <v>2278</v>
      </c>
      <c r="B2280" s="31">
        <f>SUBTOTAL(2,INDEX(Main[ردیف],1):Main[[#This Row],[ردیف]])</f>
        <v>206</v>
      </c>
      <c r="C2280" s="32" t="s">
        <v>777</v>
      </c>
      <c r="D2280" s="32" t="str">
        <f>_xlfn.CONCAT("14",Main[[#This Row],[تاريخ]])</f>
        <v>1400/09/03</v>
      </c>
      <c r="E2280" s="33">
        <v>44524</v>
      </c>
      <c r="F2280" s="32">
        <v>10104</v>
      </c>
      <c r="G2280" s="5" t="str">
        <f>INDEX(customer[عنوان],MATCH(Main[[#This Row],[کد ردیابی]],customer[کد],0))</f>
        <v>بهزادی فر اصغر</v>
      </c>
      <c r="H2280">
        <v>44</v>
      </c>
      <c r="I2280" s="6">
        <f ca="1">-Main[[#This Row],[بدهی تسویه شده (کیلوگرم)]]+Main[[#This Row],[بستانکار (کیلوگرم)]]</f>
        <v>44</v>
      </c>
      <c r="J2280" s="6">
        <f>IF(Main[[#This Row],[مقدار (کیلوگرم)]]&gt;0,Main[[#This Row],[مقدار (کیلوگرم)]],0)</f>
        <v>44</v>
      </c>
      <c r="K2280" s="6">
        <f>-IF(Main[[#This Row],[مقدار (کیلوگرم)]]&lt;0,Main[[#This Row],[مقدار (کیلوگرم)]],0)</f>
        <v>0</v>
      </c>
      <c r="L22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0" s="7">
        <f>-IF(AND(Main[[#This Row],[مقدار (کیلوگرم)]]&lt;0,Main[[#This Row],[تاريخ میلادی]]&gt;44276),Main[[#This Row],[مقدار (کیلوگرم)]],0)</f>
        <v>0</v>
      </c>
      <c r="N2280" s="6">
        <f ca="1">Main[[#This Row],[بدهکار (کیلوگرم)]]-Main[[#This Row],[بدهی تسویه نشده (کیلوگرم)]]</f>
        <v>0</v>
      </c>
      <c r="O2280" s="6">
        <f ca="1">Main[[#This Row],[تفکیک]]</f>
        <v>0</v>
      </c>
      <c r="P2280" s="6">
        <f ca="1">IF(Main[[#This Row],[تاخیر از سررسید]]&gt;0,Main[[#This Row],[بدهی تسویه نشده (کیلوگرم)]],0)</f>
        <v>0</v>
      </c>
      <c r="Q2280" s="6">
        <f ca="1">IF(Main[[#This Row],[بدهی تسویه نشده (کیلوگرم)]]&gt;0,'گزارش فردی'!$B$7-Main[[#This Row],[تاريخ میلادی]],0)</f>
        <v>0</v>
      </c>
      <c r="R2280" s="6">
        <f ca="1">IF(Main[[#This Row],[بدهی تسویه نشده (کیلوگرم)]]&gt;0,'گزارش فردی'!$B$7-Main[[#This Row],[تاريخ میلادی]]-'گزارش فردی'!$B$8,0)</f>
        <v>0</v>
      </c>
      <c r="S2280" s="6">
        <f ca="1">Main[[#This Row],[روز از ارسال سفارش]]*Main[[#This Row],[بدهی تسویه نشده (کیلوگرم)]]</f>
        <v>0</v>
      </c>
      <c r="T2280" s="6">
        <f ca="1">Main[[#This Row],[بدهی سررسید شده (کیلوگرم)]]*Main[[#This Row],[روز از ارسال سفارش]]</f>
        <v>0</v>
      </c>
      <c r="U2280" s="6">
        <f>-SUBTOTAL(9,INDEX(Main[مقدار (کیلوگرم)],1):Main[[#This Row],[مقدار (کیلوگرم)]])</f>
        <v>39685</v>
      </c>
      <c r="V22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0" s="6">
        <f>Main[[#This Row],[تعداد کل روزهای بدهکار (روز)]]*Main[[#This Row],[مانده در خط کل (کیلوگرم)]]</f>
        <v>0</v>
      </c>
      <c r="X2280" s="6">
        <f ca="1">-SUBTOTAL(9,INDEX(Main[مقدار تسویه شده (کیلوگرم)],1):Main[[#This Row],[مقدار تسویه شده (کیلوگرم)]])</f>
        <v>39685</v>
      </c>
      <c r="Y2280" s="6">
        <f ca="1">IF(Main[[#This Row],[مانده در خط تسویه شده (کیلوگرم)]]&lt;&gt;0,Main[[#This Row],[تعداد کل روزهای بدهکار (روز)]],0)</f>
        <v>0</v>
      </c>
      <c r="Z2280" s="6">
        <f ca="1">Main[[#This Row],[تعداد روزهای بدهکار تسویه شده (روز)]]*Main[[#This Row],[مانده در خط تسویه شده (کیلوگرم)]]</f>
        <v>0</v>
      </c>
      <c r="AA2280" s="6">
        <f ca="1">SUBTOTAL(9,INDEX(Main[بدهی تسویه نشده (کیلوگرم)],1):Main[[#This Row],[بدهی تسویه نشده (کیلوگرم)]])</f>
        <v>0</v>
      </c>
      <c r="AB2280" s="6">
        <f ca="1">IF(Main[[#This Row],[مانده در خط تسویه نشده (کیلوگرم)]]&lt;&gt;0,Main[[#This Row],[تعداد کل روزهای بدهکار (روز)]],0)</f>
        <v>0</v>
      </c>
      <c r="AC2280" s="6">
        <f ca="1">Main[[#This Row],[تعداد روزهای بدهکار  تسویه نشده (روز)]]*Main[[#This Row],[مانده در خط تسویه نشده (کیلوگرم)]]</f>
        <v>0</v>
      </c>
      <c r="AD2280" s="6">
        <f ca="1">SUBTOTAL(9,INDEX(Main[بدهی سررسید شده (کیلوگرم)],1):Main[[#This Row],[بدهی سررسید شده (کیلوگرم)]])</f>
        <v>0</v>
      </c>
      <c r="AE2280" s="6">
        <f ca="1">IF(Main[[#This Row],[مانده در خط سررسید شده (کیلوگرم)]]&lt;&gt;0,Main[[#This Row],[تعداد کل روزهای بدهکار (روز)]],0)</f>
        <v>0</v>
      </c>
      <c r="AF2280" s="6">
        <f ca="1">Main[[#This Row],[تعداد روزهای بدهکار سررسید شده (روز)]]*Main[[#This Row],[مانده در خط سررسید شده (کیلوگرم)]]</f>
        <v>0</v>
      </c>
    </row>
    <row r="2281" spans="1:32" hidden="1" x14ac:dyDescent="0.35">
      <c r="A2281" s="5">
        <f>ROW()-ROW(INDEX(Main[ردیف],1))+1</f>
        <v>2279</v>
      </c>
      <c r="B2281" s="31">
        <f>SUBTOTAL(2,INDEX(Main[ردیف],1):Main[[#This Row],[ردیف]])</f>
        <v>206</v>
      </c>
      <c r="C2281" s="32" t="s">
        <v>777</v>
      </c>
      <c r="D2281" s="32" t="str">
        <f>_xlfn.CONCAT("14",Main[[#This Row],[تاريخ]])</f>
        <v>1400/09/03</v>
      </c>
      <c r="E2281" s="33">
        <v>44524</v>
      </c>
      <c r="F2281" s="32">
        <v>10055</v>
      </c>
      <c r="G2281" s="5" t="str">
        <f>INDEX(customer[عنوان],MATCH(Main[[#This Row],[کد ردیابی]],customer[کد],0))</f>
        <v xml:space="preserve">مریم فیض آبادی  </v>
      </c>
      <c r="H2281">
        <v>-4598</v>
      </c>
      <c r="I2281" s="6">
        <f ca="1">-Main[[#This Row],[بدهی تسویه شده (کیلوگرم)]]+Main[[#This Row],[بستانکار (کیلوگرم)]]</f>
        <v>-4598</v>
      </c>
      <c r="J2281" s="6">
        <f>IF(Main[[#This Row],[مقدار (کیلوگرم)]]&gt;0,Main[[#This Row],[مقدار (کیلوگرم)]],0)</f>
        <v>0</v>
      </c>
      <c r="K2281" s="6">
        <f>-IF(Main[[#This Row],[مقدار (کیلوگرم)]]&lt;0,Main[[#This Row],[مقدار (کیلوگرم)]],0)</f>
        <v>4598</v>
      </c>
      <c r="L22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1" s="7">
        <f>-IF(AND(Main[[#This Row],[مقدار (کیلوگرم)]]&lt;0,Main[[#This Row],[تاريخ میلادی]]&gt;44276),Main[[#This Row],[مقدار (کیلوگرم)]],0)</f>
        <v>4598</v>
      </c>
      <c r="N2281" s="6">
        <f ca="1">Main[[#This Row],[بدهکار (کیلوگرم)]]-Main[[#This Row],[بدهی تسویه نشده (کیلوگرم)]]</f>
        <v>4598</v>
      </c>
      <c r="O2281" s="6">
        <f ca="1">Main[[#This Row],[تفکیک]]</f>
        <v>0</v>
      </c>
      <c r="P2281" s="6">
        <f ca="1">IF(Main[[#This Row],[تاخیر از سررسید]]&gt;0,Main[[#This Row],[بدهی تسویه نشده (کیلوگرم)]],0)</f>
        <v>0</v>
      </c>
      <c r="Q2281" s="6">
        <f ca="1">IF(Main[[#This Row],[بدهی تسویه نشده (کیلوگرم)]]&gt;0,'گزارش فردی'!$B$7-Main[[#This Row],[تاريخ میلادی]],0)</f>
        <v>0</v>
      </c>
      <c r="R2281" s="6">
        <f ca="1">IF(Main[[#This Row],[بدهی تسویه نشده (کیلوگرم)]]&gt;0,'گزارش فردی'!$B$7-Main[[#This Row],[تاريخ میلادی]]-'گزارش فردی'!$B$8,0)</f>
        <v>0</v>
      </c>
      <c r="S2281" s="6">
        <f ca="1">Main[[#This Row],[روز از ارسال سفارش]]*Main[[#This Row],[بدهی تسویه نشده (کیلوگرم)]]</f>
        <v>0</v>
      </c>
      <c r="T2281" s="6">
        <f ca="1">Main[[#This Row],[بدهی سررسید شده (کیلوگرم)]]*Main[[#This Row],[روز از ارسال سفارش]]</f>
        <v>0</v>
      </c>
      <c r="U2281" s="6">
        <f>-SUBTOTAL(9,INDEX(Main[مقدار (کیلوگرم)],1):Main[[#This Row],[مقدار (کیلوگرم)]])</f>
        <v>39685</v>
      </c>
      <c r="V22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1" s="6">
        <f>Main[[#This Row],[تعداد کل روزهای بدهکار (روز)]]*Main[[#This Row],[مانده در خط کل (کیلوگرم)]]</f>
        <v>0</v>
      </c>
      <c r="X2281" s="6">
        <f ca="1">-SUBTOTAL(9,INDEX(Main[مقدار تسویه شده (کیلوگرم)],1):Main[[#This Row],[مقدار تسویه شده (کیلوگرم)]])</f>
        <v>39685</v>
      </c>
      <c r="Y2281" s="6">
        <f ca="1">IF(Main[[#This Row],[مانده در خط تسویه شده (کیلوگرم)]]&lt;&gt;0,Main[[#This Row],[تعداد کل روزهای بدهکار (روز)]],0)</f>
        <v>0</v>
      </c>
      <c r="Z2281" s="6">
        <f ca="1">Main[[#This Row],[تعداد روزهای بدهکار تسویه شده (روز)]]*Main[[#This Row],[مانده در خط تسویه شده (کیلوگرم)]]</f>
        <v>0</v>
      </c>
      <c r="AA2281" s="6">
        <f ca="1">SUBTOTAL(9,INDEX(Main[بدهی تسویه نشده (کیلوگرم)],1):Main[[#This Row],[بدهی تسویه نشده (کیلوگرم)]])</f>
        <v>0</v>
      </c>
      <c r="AB2281" s="6">
        <f ca="1">IF(Main[[#This Row],[مانده در خط تسویه نشده (کیلوگرم)]]&lt;&gt;0,Main[[#This Row],[تعداد کل روزهای بدهکار (روز)]],0)</f>
        <v>0</v>
      </c>
      <c r="AC2281" s="6">
        <f ca="1">Main[[#This Row],[تعداد روزهای بدهکار  تسویه نشده (روز)]]*Main[[#This Row],[مانده در خط تسویه نشده (کیلوگرم)]]</f>
        <v>0</v>
      </c>
      <c r="AD2281" s="6">
        <f ca="1">SUBTOTAL(9,INDEX(Main[بدهی سررسید شده (کیلوگرم)],1):Main[[#This Row],[بدهی سررسید شده (کیلوگرم)]])</f>
        <v>0</v>
      </c>
      <c r="AE2281" s="6">
        <f ca="1">IF(Main[[#This Row],[مانده در خط سررسید شده (کیلوگرم)]]&lt;&gt;0,Main[[#This Row],[تعداد کل روزهای بدهکار (روز)]],0)</f>
        <v>0</v>
      </c>
      <c r="AF2281" s="6">
        <f ca="1">Main[[#This Row],[تعداد روزهای بدهکار سررسید شده (روز)]]*Main[[#This Row],[مانده در خط سررسید شده (کیلوگرم)]]</f>
        <v>0</v>
      </c>
    </row>
    <row r="2282" spans="1:32" x14ac:dyDescent="0.35">
      <c r="A2282" s="5">
        <f>ROW()-ROW(INDEX(Main[ردیف],1))+1</f>
        <v>2280</v>
      </c>
      <c r="B2282" s="31">
        <f>SUBTOTAL(2,INDEX(Main[ردیف],1):Main[[#This Row],[ردیف]])</f>
        <v>207</v>
      </c>
      <c r="C2282" s="32" t="s">
        <v>777</v>
      </c>
      <c r="D2282" s="32" t="str">
        <f>_xlfn.CONCAT("14",Main[[#This Row],[تاريخ]])</f>
        <v>1400/09/03</v>
      </c>
      <c r="E2282" s="33">
        <v>44524</v>
      </c>
      <c r="F2282" s="32">
        <v>10003</v>
      </c>
      <c r="G2282" s="5" t="str">
        <f>INDEX(customer[عنوان],MATCH(Main[[#This Row],[کد ردیابی]],customer[کد],0))</f>
        <v>اصغر نورعلی</v>
      </c>
      <c r="H2282">
        <v>1910</v>
      </c>
      <c r="I2282" s="6">
        <f ca="1">-Main[[#This Row],[بدهی تسویه شده (کیلوگرم)]]+Main[[#This Row],[بستانکار (کیلوگرم)]]</f>
        <v>1910</v>
      </c>
      <c r="J2282" s="6">
        <f>IF(Main[[#This Row],[مقدار (کیلوگرم)]]&gt;0,Main[[#This Row],[مقدار (کیلوگرم)]],0)</f>
        <v>1910</v>
      </c>
      <c r="K2282" s="6">
        <f>-IF(Main[[#This Row],[مقدار (کیلوگرم)]]&lt;0,Main[[#This Row],[مقدار (کیلوگرم)]],0)</f>
        <v>0</v>
      </c>
      <c r="L22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2" s="7">
        <f>-IF(AND(Main[[#This Row],[مقدار (کیلوگرم)]]&lt;0,Main[[#This Row],[تاريخ میلادی]]&gt;44276),Main[[#This Row],[مقدار (کیلوگرم)]],0)</f>
        <v>0</v>
      </c>
      <c r="N2282" s="6">
        <f ca="1">Main[[#This Row],[بدهکار (کیلوگرم)]]-Main[[#This Row],[بدهی تسویه نشده (کیلوگرم)]]</f>
        <v>0</v>
      </c>
      <c r="O2282" s="6">
        <f ca="1">Main[[#This Row],[تفکیک]]</f>
        <v>0</v>
      </c>
      <c r="P2282" s="6">
        <f ca="1">IF(Main[[#This Row],[تاخیر از سررسید]]&gt;0,Main[[#This Row],[بدهی تسویه نشده (کیلوگرم)]],0)</f>
        <v>0</v>
      </c>
      <c r="Q2282" s="6">
        <f ca="1">IF(Main[[#This Row],[بدهی تسویه نشده (کیلوگرم)]]&gt;0,'گزارش فردی'!$B$7-Main[[#This Row],[تاريخ میلادی]],0)</f>
        <v>0</v>
      </c>
      <c r="R2282" s="6">
        <f ca="1">IF(Main[[#This Row],[بدهی تسویه نشده (کیلوگرم)]]&gt;0,'گزارش فردی'!$B$7-Main[[#This Row],[تاريخ میلادی]]-'گزارش فردی'!$B$8,0)</f>
        <v>0</v>
      </c>
      <c r="S2282" s="6">
        <f ca="1">Main[[#This Row],[روز از ارسال سفارش]]*Main[[#This Row],[بدهی تسویه نشده (کیلوگرم)]]</f>
        <v>0</v>
      </c>
      <c r="T2282" s="6">
        <f ca="1">Main[[#This Row],[بدهی سررسید شده (کیلوگرم)]]*Main[[#This Row],[روز از ارسال سفارش]]</f>
        <v>0</v>
      </c>
      <c r="U2282" s="6">
        <f>-SUBTOTAL(9,INDEX(Main[مقدار (کیلوگرم)],1):Main[[#This Row],[مقدار (کیلوگرم)]])</f>
        <v>37775</v>
      </c>
      <c r="V22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2" s="6">
        <f>Main[[#This Row],[تعداد کل روزهای بدهکار (روز)]]*Main[[#This Row],[مانده در خط کل (کیلوگرم)]]</f>
        <v>0</v>
      </c>
      <c r="X2282" s="6">
        <f ca="1">-SUBTOTAL(9,INDEX(Main[مقدار تسویه شده (کیلوگرم)],1):Main[[#This Row],[مقدار تسویه شده (کیلوگرم)]])</f>
        <v>37775</v>
      </c>
      <c r="Y2282" s="6">
        <f ca="1">IF(Main[[#This Row],[مانده در خط تسویه شده (کیلوگرم)]]&lt;&gt;0,Main[[#This Row],[تعداد کل روزهای بدهکار (روز)]],0)</f>
        <v>0</v>
      </c>
      <c r="Z2282" s="6">
        <f ca="1">Main[[#This Row],[تعداد روزهای بدهکار تسویه شده (روز)]]*Main[[#This Row],[مانده در خط تسویه شده (کیلوگرم)]]</f>
        <v>0</v>
      </c>
      <c r="AA2282" s="6">
        <f ca="1">SUBTOTAL(9,INDEX(Main[بدهی تسویه نشده (کیلوگرم)],1):Main[[#This Row],[بدهی تسویه نشده (کیلوگرم)]])</f>
        <v>0</v>
      </c>
      <c r="AB2282" s="6">
        <f ca="1">IF(Main[[#This Row],[مانده در خط تسویه نشده (کیلوگرم)]]&lt;&gt;0,Main[[#This Row],[تعداد کل روزهای بدهکار (روز)]],0)</f>
        <v>0</v>
      </c>
      <c r="AC2282" s="6">
        <f ca="1">Main[[#This Row],[تعداد روزهای بدهکار  تسویه نشده (روز)]]*Main[[#This Row],[مانده در خط تسویه نشده (کیلوگرم)]]</f>
        <v>0</v>
      </c>
      <c r="AD2282" s="6">
        <f ca="1">SUBTOTAL(9,INDEX(Main[بدهی سررسید شده (کیلوگرم)],1):Main[[#This Row],[بدهی سررسید شده (کیلوگرم)]])</f>
        <v>0</v>
      </c>
      <c r="AE2282" s="6">
        <f ca="1">IF(Main[[#This Row],[مانده در خط سررسید شده (کیلوگرم)]]&lt;&gt;0,Main[[#This Row],[تعداد کل روزهای بدهکار (روز)]],0)</f>
        <v>0</v>
      </c>
      <c r="AF2282" s="6">
        <f ca="1">Main[[#This Row],[تعداد روزهای بدهکار سررسید شده (روز)]]*Main[[#This Row],[مانده در خط سررسید شده (کیلوگرم)]]</f>
        <v>0</v>
      </c>
    </row>
    <row r="2283" spans="1:32" hidden="1" x14ac:dyDescent="0.35">
      <c r="A2283" s="5">
        <f>ROW()-ROW(INDEX(Main[ردیف],1))+1</f>
        <v>2281</v>
      </c>
      <c r="B2283" s="31">
        <f>SUBTOTAL(2,INDEX(Main[ردیف],1):Main[[#This Row],[ردیف]])</f>
        <v>207</v>
      </c>
      <c r="C2283" s="32" t="s">
        <v>777</v>
      </c>
      <c r="D2283" s="32" t="str">
        <f>_xlfn.CONCAT("14",Main[[#This Row],[تاريخ]])</f>
        <v>1400/09/03</v>
      </c>
      <c r="E2283" s="33">
        <v>44524</v>
      </c>
      <c r="F2283" s="32">
        <v>10070</v>
      </c>
      <c r="G2283" s="5" t="str">
        <f>INDEX(customer[عنوان],MATCH(Main[[#This Row],[کد ردیابی]],customer[کد],0))</f>
        <v xml:space="preserve">حمیدرضا شفیعی </v>
      </c>
      <c r="H2283">
        <v>-24</v>
      </c>
      <c r="I2283" s="6">
        <f ca="1">-Main[[#This Row],[بدهی تسویه شده (کیلوگرم)]]+Main[[#This Row],[بستانکار (کیلوگرم)]]</f>
        <v>-24</v>
      </c>
      <c r="J2283" s="6">
        <f>IF(Main[[#This Row],[مقدار (کیلوگرم)]]&gt;0,Main[[#This Row],[مقدار (کیلوگرم)]],0)</f>
        <v>0</v>
      </c>
      <c r="K2283" s="6">
        <f>-IF(Main[[#This Row],[مقدار (کیلوگرم)]]&lt;0,Main[[#This Row],[مقدار (کیلوگرم)]],0)</f>
        <v>24</v>
      </c>
      <c r="L22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3" s="7">
        <f>-IF(AND(Main[[#This Row],[مقدار (کیلوگرم)]]&lt;0,Main[[#This Row],[تاريخ میلادی]]&gt;44276),Main[[#This Row],[مقدار (کیلوگرم)]],0)</f>
        <v>24</v>
      </c>
      <c r="N2283" s="6">
        <f ca="1">Main[[#This Row],[بدهکار (کیلوگرم)]]-Main[[#This Row],[بدهی تسویه نشده (کیلوگرم)]]</f>
        <v>24</v>
      </c>
      <c r="O2283" s="6">
        <f ca="1">Main[[#This Row],[تفکیک]]</f>
        <v>0</v>
      </c>
      <c r="P2283" s="6">
        <f ca="1">IF(Main[[#This Row],[تاخیر از سررسید]]&gt;0,Main[[#This Row],[بدهی تسویه نشده (کیلوگرم)]],0)</f>
        <v>0</v>
      </c>
      <c r="Q2283" s="6">
        <f ca="1">IF(Main[[#This Row],[بدهی تسویه نشده (کیلوگرم)]]&gt;0,'گزارش فردی'!$B$7-Main[[#This Row],[تاريخ میلادی]],0)</f>
        <v>0</v>
      </c>
      <c r="R2283" s="6">
        <f ca="1">IF(Main[[#This Row],[بدهی تسویه نشده (کیلوگرم)]]&gt;0,'گزارش فردی'!$B$7-Main[[#This Row],[تاريخ میلادی]]-'گزارش فردی'!$B$8,0)</f>
        <v>0</v>
      </c>
      <c r="S2283" s="6">
        <f ca="1">Main[[#This Row],[روز از ارسال سفارش]]*Main[[#This Row],[بدهی تسویه نشده (کیلوگرم)]]</f>
        <v>0</v>
      </c>
      <c r="T2283" s="6">
        <f ca="1">Main[[#This Row],[بدهی سررسید شده (کیلوگرم)]]*Main[[#This Row],[روز از ارسال سفارش]]</f>
        <v>0</v>
      </c>
      <c r="U2283" s="6">
        <f>-SUBTOTAL(9,INDEX(Main[مقدار (کیلوگرم)],1):Main[[#This Row],[مقدار (کیلوگرم)]])</f>
        <v>37775</v>
      </c>
      <c r="V22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3" s="6">
        <f>Main[[#This Row],[تعداد کل روزهای بدهکار (روز)]]*Main[[#This Row],[مانده در خط کل (کیلوگرم)]]</f>
        <v>0</v>
      </c>
      <c r="X2283" s="6">
        <f ca="1">-SUBTOTAL(9,INDEX(Main[مقدار تسویه شده (کیلوگرم)],1):Main[[#This Row],[مقدار تسویه شده (کیلوگرم)]])</f>
        <v>37775</v>
      </c>
      <c r="Y2283" s="6">
        <f ca="1">IF(Main[[#This Row],[مانده در خط تسویه شده (کیلوگرم)]]&lt;&gt;0,Main[[#This Row],[تعداد کل روزهای بدهکار (روز)]],0)</f>
        <v>0</v>
      </c>
      <c r="Z2283" s="6">
        <f ca="1">Main[[#This Row],[تعداد روزهای بدهکار تسویه شده (روز)]]*Main[[#This Row],[مانده در خط تسویه شده (کیلوگرم)]]</f>
        <v>0</v>
      </c>
      <c r="AA2283" s="6">
        <f ca="1">SUBTOTAL(9,INDEX(Main[بدهی تسویه نشده (کیلوگرم)],1):Main[[#This Row],[بدهی تسویه نشده (کیلوگرم)]])</f>
        <v>0</v>
      </c>
      <c r="AB2283" s="6">
        <f ca="1">IF(Main[[#This Row],[مانده در خط تسویه نشده (کیلوگرم)]]&lt;&gt;0,Main[[#This Row],[تعداد کل روزهای بدهکار (روز)]],0)</f>
        <v>0</v>
      </c>
      <c r="AC2283" s="6">
        <f ca="1">Main[[#This Row],[تعداد روزهای بدهکار  تسویه نشده (روز)]]*Main[[#This Row],[مانده در خط تسویه نشده (کیلوگرم)]]</f>
        <v>0</v>
      </c>
      <c r="AD2283" s="6">
        <f ca="1">SUBTOTAL(9,INDEX(Main[بدهی سررسید شده (کیلوگرم)],1):Main[[#This Row],[بدهی سررسید شده (کیلوگرم)]])</f>
        <v>0</v>
      </c>
      <c r="AE2283" s="6">
        <f ca="1">IF(Main[[#This Row],[مانده در خط سررسید شده (کیلوگرم)]]&lt;&gt;0,Main[[#This Row],[تعداد کل روزهای بدهکار (روز)]],0)</f>
        <v>0</v>
      </c>
      <c r="AF2283" s="6">
        <f ca="1">Main[[#This Row],[تعداد روزهای بدهکار سررسید شده (روز)]]*Main[[#This Row],[مانده در خط سررسید شده (کیلوگرم)]]</f>
        <v>0</v>
      </c>
    </row>
    <row r="2284" spans="1:32" hidden="1" x14ac:dyDescent="0.35">
      <c r="A2284" s="5">
        <f>ROW()-ROW(INDEX(Main[ردیف],1))+1</f>
        <v>2282</v>
      </c>
      <c r="B2284" s="31">
        <f>SUBTOTAL(2,INDEX(Main[ردیف],1):Main[[#This Row],[ردیف]])</f>
        <v>207</v>
      </c>
      <c r="C2284" s="32" t="s">
        <v>777</v>
      </c>
      <c r="D2284" s="32" t="str">
        <f>_xlfn.CONCAT("14",Main[[#This Row],[تاريخ]])</f>
        <v>1400/09/03</v>
      </c>
      <c r="E2284" s="33">
        <v>44524</v>
      </c>
      <c r="F2284" s="32">
        <v>30099</v>
      </c>
      <c r="G2284" s="5" t="str">
        <f>INDEX(customer[عنوان],MATCH(Main[[#This Row],[کد ردیابی]],customer[کد],0))</f>
        <v>ایران شرق نیشابور</v>
      </c>
      <c r="H2284">
        <v>4066</v>
      </c>
      <c r="I2284" s="6">
        <f ca="1">-Main[[#This Row],[بدهی تسویه شده (کیلوگرم)]]+Main[[#This Row],[بستانکار (کیلوگرم)]]</f>
        <v>4066</v>
      </c>
      <c r="J2284" s="6">
        <f>IF(Main[[#This Row],[مقدار (کیلوگرم)]]&gt;0,Main[[#This Row],[مقدار (کیلوگرم)]],0)</f>
        <v>4066</v>
      </c>
      <c r="K2284" s="6">
        <f>-IF(Main[[#This Row],[مقدار (کیلوگرم)]]&lt;0,Main[[#This Row],[مقدار (کیلوگرم)]],0)</f>
        <v>0</v>
      </c>
      <c r="L22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4" s="7">
        <f>-IF(AND(Main[[#This Row],[مقدار (کیلوگرم)]]&lt;0,Main[[#This Row],[تاريخ میلادی]]&gt;44276),Main[[#This Row],[مقدار (کیلوگرم)]],0)</f>
        <v>0</v>
      </c>
      <c r="N2284" s="6">
        <f ca="1">Main[[#This Row],[بدهکار (کیلوگرم)]]-Main[[#This Row],[بدهی تسویه نشده (کیلوگرم)]]</f>
        <v>0</v>
      </c>
      <c r="O2284" s="6">
        <f ca="1">Main[[#This Row],[تفکیک]]</f>
        <v>0</v>
      </c>
      <c r="P2284" s="6">
        <f ca="1">IF(Main[[#This Row],[تاخیر از سررسید]]&gt;0,Main[[#This Row],[بدهی تسویه نشده (کیلوگرم)]],0)</f>
        <v>0</v>
      </c>
      <c r="Q2284" s="6">
        <f ca="1">IF(Main[[#This Row],[بدهی تسویه نشده (کیلوگرم)]]&gt;0,'گزارش فردی'!$B$7-Main[[#This Row],[تاريخ میلادی]],0)</f>
        <v>0</v>
      </c>
      <c r="R2284" s="6">
        <f ca="1">IF(Main[[#This Row],[بدهی تسویه نشده (کیلوگرم)]]&gt;0,'گزارش فردی'!$B$7-Main[[#This Row],[تاريخ میلادی]]-'گزارش فردی'!$B$8,0)</f>
        <v>0</v>
      </c>
      <c r="S2284" s="6">
        <f ca="1">Main[[#This Row],[روز از ارسال سفارش]]*Main[[#This Row],[بدهی تسویه نشده (کیلوگرم)]]</f>
        <v>0</v>
      </c>
      <c r="T2284" s="6">
        <f ca="1">Main[[#This Row],[بدهی سررسید شده (کیلوگرم)]]*Main[[#This Row],[روز از ارسال سفارش]]</f>
        <v>0</v>
      </c>
      <c r="U2284" s="6">
        <f>-SUBTOTAL(9,INDEX(Main[مقدار (کیلوگرم)],1):Main[[#This Row],[مقدار (کیلوگرم)]])</f>
        <v>37775</v>
      </c>
      <c r="V22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4" s="6">
        <f>Main[[#This Row],[تعداد کل روزهای بدهکار (روز)]]*Main[[#This Row],[مانده در خط کل (کیلوگرم)]]</f>
        <v>0</v>
      </c>
      <c r="X2284" s="6">
        <f ca="1">-SUBTOTAL(9,INDEX(Main[مقدار تسویه شده (کیلوگرم)],1):Main[[#This Row],[مقدار تسویه شده (کیلوگرم)]])</f>
        <v>37775</v>
      </c>
      <c r="Y2284" s="6">
        <f ca="1">IF(Main[[#This Row],[مانده در خط تسویه شده (کیلوگرم)]]&lt;&gt;0,Main[[#This Row],[تعداد کل روزهای بدهکار (روز)]],0)</f>
        <v>0</v>
      </c>
      <c r="Z2284" s="6">
        <f ca="1">Main[[#This Row],[تعداد روزهای بدهکار تسویه شده (روز)]]*Main[[#This Row],[مانده در خط تسویه شده (کیلوگرم)]]</f>
        <v>0</v>
      </c>
      <c r="AA2284" s="6">
        <f ca="1">SUBTOTAL(9,INDEX(Main[بدهی تسویه نشده (کیلوگرم)],1):Main[[#This Row],[بدهی تسویه نشده (کیلوگرم)]])</f>
        <v>0</v>
      </c>
      <c r="AB2284" s="6">
        <f ca="1">IF(Main[[#This Row],[مانده در خط تسویه نشده (کیلوگرم)]]&lt;&gt;0,Main[[#This Row],[تعداد کل روزهای بدهکار (روز)]],0)</f>
        <v>0</v>
      </c>
      <c r="AC2284" s="6">
        <f ca="1">Main[[#This Row],[تعداد روزهای بدهکار  تسویه نشده (روز)]]*Main[[#This Row],[مانده در خط تسویه نشده (کیلوگرم)]]</f>
        <v>0</v>
      </c>
      <c r="AD2284" s="6">
        <f ca="1">SUBTOTAL(9,INDEX(Main[بدهی سررسید شده (کیلوگرم)],1):Main[[#This Row],[بدهی سررسید شده (کیلوگرم)]])</f>
        <v>0</v>
      </c>
      <c r="AE2284" s="6">
        <f ca="1">IF(Main[[#This Row],[مانده در خط سررسید شده (کیلوگرم)]]&lt;&gt;0,Main[[#This Row],[تعداد کل روزهای بدهکار (روز)]],0)</f>
        <v>0</v>
      </c>
      <c r="AF2284" s="6">
        <f ca="1">Main[[#This Row],[تعداد روزهای بدهکار سررسید شده (روز)]]*Main[[#This Row],[مانده در خط سررسید شده (کیلوگرم)]]</f>
        <v>0</v>
      </c>
    </row>
    <row r="2285" spans="1:32" x14ac:dyDescent="0.35">
      <c r="A2285" s="5">
        <f>ROW()-ROW(INDEX(Main[ردیف],1))+1</f>
        <v>2283</v>
      </c>
      <c r="B2285" s="31">
        <f>SUBTOTAL(2,INDEX(Main[ردیف],1):Main[[#This Row],[ردیف]])</f>
        <v>208</v>
      </c>
      <c r="C2285" s="32" t="s">
        <v>777</v>
      </c>
      <c r="D2285" s="32" t="str">
        <f>_xlfn.CONCAT("14",Main[[#This Row],[تاريخ]])</f>
        <v>1400/09/03</v>
      </c>
      <c r="E2285" s="33">
        <v>44524</v>
      </c>
      <c r="F2285" s="32">
        <v>10003</v>
      </c>
      <c r="G2285" s="5" t="str">
        <f>INDEX(customer[عنوان],MATCH(Main[[#This Row],[کد ردیابی]],customer[کد],0))</f>
        <v>اصغر نورعلی</v>
      </c>
      <c r="H2285">
        <v>5000</v>
      </c>
      <c r="I2285" s="6">
        <f ca="1">-Main[[#This Row],[بدهی تسویه شده (کیلوگرم)]]+Main[[#This Row],[بستانکار (کیلوگرم)]]</f>
        <v>5000</v>
      </c>
      <c r="J2285" s="6">
        <f>IF(Main[[#This Row],[مقدار (کیلوگرم)]]&gt;0,Main[[#This Row],[مقدار (کیلوگرم)]],0)</f>
        <v>5000</v>
      </c>
      <c r="K2285" s="6">
        <f>-IF(Main[[#This Row],[مقدار (کیلوگرم)]]&lt;0,Main[[#This Row],[مقدار (کیلوگرم)]],0)</f>
        <v>0</v>
      </c>
      <c r="L22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5" s="7">
        <f>-IF(AND(Main[[#This Row],[مقدار (کیلوگرم)]]&lt;0,Main[[#This Row],[تاريخ میلادی]]&gt;44276),Main[[#This Row],[مقدار (کیلوگرم)]],0)</f>
        <v>0</v>
      </c>
      <c r="N2285" s="6">
        <f ca="1">Main[[#This Row],[بدهکار (کیلوگرم)]]-Main[[#This Row],[بدهی تسویه نشده (کیلوگرم)]]</f>
        <v>0</v>
      </c>
      <c r="O2285" s="6">
        <f ca="1">Main[[#This Row],[تفکیک]]</f>
        <v>0</v>
      </c>
      <c r="P2285" s="6">
        <f ca="1">IF(Main[[#This Row],[تاخیر از سررسید]]&gt;0,Main[[#This Row],[بدهی تسویه نشده (کیلوگرم)]],0)</f>
        <v>0</v>
      </c>
      <c r="Q2285" s="6">
        <f ca="1">IF(Main[[#This Row],[بدهی تسویه نشده (کیلوگرم)]]&gt;0,'گزارش فردی'!$B$7-Main[[#This Row],[تاريخ میلادی]],0)</f>
        <v>0</v>
      </c>
      <c r="R2285" s="6">
        <f ca="1">IF(Main[[#This Row],[بدهی تسویه نشده (کیلوگرم)]]&gt;0,'گزارش فردی'!$B$7-Main[[#This Row],[تاريخ میلادی]]-'گزارش فردی'!$B$8,0)</f>
        <v>0</v>
      </c>
      <c r="S2285" s="6">
        <f ca="1">Main[[#This Row],[روز از ارسال سفارش]]*Main[[#This Row],[بدهی تسویه نشده (کیلوگرم)]]</f>
        <v>0</v>
      </c>
      <c r="T2285" s="6">
        <f ca="1">Main[[#This Row],[بدهی سررسید شده (کیلوگرم)]]*Main[[#This Row],[روز از ارسال سفارش]]</f>
        <v>0</v>
      </c>
      <c r="U2285" s="6">
        <f>-SUBTOTAL(9,INDEX(Main[مقدار (کیلوگرم)],1):Main[[#This Row],[مقدار (کیلوگرم)]])</f>
        <v>32775</v>
      </c>
      <c r="V22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85" s="6">
        <f>Main[[#This Row],[تعداد کل روزهای بدهکار (روز)]]*Main[[#This Row],[مانده در خط کل (کیلوگرم)]]</f>
        <v>32775</v>
      </c>
      <c r="X2285" s="6">
        <f ca="1">-SUBTOTAL(9,INDEX(Main[مقدار تسویه شده (کیلوگرم)],1):Main[[#This Row],[مقدار تسویه شده (کیلوگرم)]])</f>
        <v>32775</v>
      </c>
      <c r="Y2285" s="6">
        <f ca="1">IF(Main[[#This Row],[مانده در خط تسویه شده (کیلوگرم)]]&lt;&gt;0,Main[[#This Row],[تعداد کل روزهای بدهکار (روز)]],0)</f>
        <v>1</v>
      </c>
      <c r="Z2285" s="6">
        <f ca="1">Main[[#This Row],[تعداد روزهای بدهکار تسویه شده (روز)]]*Main[[#This Row],[مانده در خط تسویه شده (کیلوگرم)]]</f>
        <v>32775</v>
      </c>
      <c r="AA2285" s="6">
        <f ca="1">SUBTOTAL(9,INDEX(Main[بدهی تسویه نشده (کیلوگرم)],1):Main[[#This Row],[بدهی تسویه نشده (کیلوگرم)]])</f>
        <v>0</v>
      </c>
      <c r="AB2285" s="6">
        <f ca="1">IF(Main[[#This Row],[مانده در خط تسویه نشده (کیلوگرم)]]&lt;&gt;0,Main[[#This Row],[تعداد کل روزهای بدهکار (روز)]],0)</f>
        <v>0</v>
      </c>
      <c r="AC2285" s="6">
        <f ca="1">Main[[#This Row],[تعداد روزهای بدهکار  تسویه نشده (روز)]]*Main[[#This Row],[مانده در خط تسویه نشده (کیلوگرم)]]</f>
        <v>0</v>
      </c>
      <c r="AD2285" s="6">
        <f ca="1">SUBTOTAL(9,INDEX(Main[بدهی سررسید شده (کیلوگرم)],1):Main[[#This Row],[بدهی سررسید شده (کیلوگرم)]])</f>
        <v>0</v>
      </c>
      <c r="AE2285" s="6">
        <f ca="1">IF(Main[[#This Row],[مانده در خط سررسید شده (کیلوگرم)]]&lt;&gt;0,Main[[#This Row],[تعداد کل روزهای بدهکار (روز)]],0)</f>
        <v>0</v>
      </c>
      <c r="AF2285" s="6">
        <f ca="1">Main[[#This Row],[تعداد روزهای بدهکار سررسید شده (روز)]]*Main[[#This Row],[مانده در خط سررسید شده (کیلوگرم)]]</f>
        <v>0</v>
      </c>
    </row>
    <row r="2286" spans="1:32" hidden="1" x14ac:dyDescent="0.35">
      <c r="A2286" s="5">
        <f>ROW()-ROW(INDEX(Main[ردیف],1))+1</f>
        <v>2284</v>
      </c>
      <c r="B2286" s="31">
        <f>SUBTOTAL(2,INDEX(Main[ردیف],1):Main[[#This Row],[ردیف]])</f>
        <v>208</v>
      </c>
      <c r="C2286" s="32" t="s">
        <v>777</v>
      </c>
      <c r="D2286" s="32" t="str">
        <f>_xlfn.CONCAT("14",Main[[#This Row],[تاريخ]])</f>
        <v>1400/09/03</v>
      </c>
      <c r="E2286" s="33">
        <v>44524</v>
      </c>
      <c r="F2286" s="32">
        <v>30127</v>
      </c>
      <c r="G2286" s="5" t="str">
        <f>INDEX(customer[عنوان],MATCH(Main[[#This Row],[کد ردیابی]],customer[کد],0))</f>
        <v>شیر گاز آذران</v>
      </c>
      <c r="H2286">
        <v>14597</v>
      </c>
      <c r="I2286" s="6">
        <f ca="1">-Main[[#This Row],[بدهی تسویه شده (کیلوگرم)]]+Main[[#This Row],[بستانکار (کیلوگرم)]]</f>
        <v>14597</v>
      </c>
      <c r="J2286" s="6">
        <f>IF(Main[[#This Row],[مقدار (کیلوگرم)]]&gt;0,Main[[#This Row],[مقدار (کیلوگرم)]],0)</f>
        <v>14597</v>
      </c>
      <c r="K2286" s="6">
        <f>-IF(Main[[#This Row],[مقدار (کیلوگرم)]]&lt;0,Main[[#This Row],[مقدار (کیلوگرم)]],0)</f>
        <v>0</v>
      </c>
      <c r="L22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6" s="7">
        <f>-IF(AND(Main[[#This Row],[مقدار (کیلوگرم)]]&lt;0,Main[[#This Row],[تاريخ میلادی]]&gt;44276),Main[[#This Row],[مقدار (کیلوگرم)]],0)</f>
        <v>0</v>
      </c>
      <c r="N2286" s="6">
        <f ca="1">Main[[#This Row],[بدهکار (کیلوگرم)]]-Main[[#This Row],[بدهی تسویه نشده (کیلوگرم)]]</f>
        <v>0</v>
      </c>
      <c r="O2286" s="6">
        <f ca="1">Main[[#This Row],[تفکیک]]</f>
        <v>0</v>
      </c>
      <c r="P2286" s="6">
        <f ca="1">IF(Main[[#This Row],[تاخیر از سررسید]]&gt;0,Main[[#This Row],[بدهی تسویه نشده (کیلوگرم)]],0)</f>
        <v>0</v>
      </c>
      <c r="Q2286" s="6">
        <f ca="1">IF(Main[[#This Row],[بدهی تسویه نشده (کیلوگرم)]]&gt;0,'گزارش فردی'!$B$7-Main[[#This Row],[تاريخ میلادی]],0)</f>
        <v>0</v>
      </c>
      <c r="R2286" s="6">
        <f ca="1">IF(Main[[#This Row],[بدهی تسویه نشده (کیلوگرم)]]&gt;0,'گزارش فردی'!$B$7-Main[[#This Row],[تاريخ میلادی]]-'گزارش فردی'!$B$8,0)</f>
        <v>0</v>
      </c>
      <c r="S2286" s="6">
        <f ca="1">Main[[#This Row],[روز از ارسال سفارش]]*Main[[#This Row],[بدهی تسویه نشده (کیلوگرم)]]</f>
        <v>0</v>
      </c>
      <c r="T2286" s="6">
        <f ca="1">Main[[#This Row],[بدهی سررسید شده (کیلوگرم)]]*Main[[#This Row],[روز از ارسال سفارش]]</f>
        <v>0</v>
      </c>
      <c r="U2286" s="6">
        <f>-SUBTOTAL(9,INDEX(Main[مقدار (کیلوگرم)],1):Main[[#This Row],[مقدار (کیلوگرم)]])</f>
        <v>32775</v>
      </c>
      <c r="V22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86" s="6">
        <f>Main[[#This Row],[تعداد کل روزهای بدهکار (روز)]]*Main[[#This Row],[مانده در خط کل (کیلوگرم)]]</f>
        <v>32775</v>
      </c>
      <c r="X2286" s="6">
        <f ca="1">-SUBTOTAL(9,INDEX(Main[مقدار تسویه شده (کیلوگرم)],1):Main[[#This Row],[مقدار تسویه شده (کیلوگرم)]])</f>
        <v>32775</v>
      </c>
      <c r="Y2286" s="6">
        <f ca="1">IF(Main[[#This Row],[مانده در خط تسویه شده (کیلوگرم)]]&lt;&gt;0,Main[[#This Row],[تعداد کل روزهای بدهکار (روز)]],0)</f>
        <v>1</v>
      </c>
      <c r="Z2286" s="6">
        <f ca="1">Main[[#This Row],[تعداد روزهای بدهکار تسویه شده (روز)]]*Main[[#This Row],[مانده در خط تسویه شده (کیلوگرم)]]</f>
        <v>32775</v>
      </c>
      <c r="AA2286" s="6">
        <f ca="1">SUBTOTAL(9,INDEX(Main[بدهی تسویه نشده (کیلوگرم)],1):Main[[#This Row],[بدهی تسویه نشده (کیلوگرم)]])</f>
        <v>0</v>
      </c>
      <c r="AB2286" s="6">
        <f ca="1">IF(Main[[#This Row],[مانده در خط تسویه نشده (کیلوگرم)]]&lt;&gt;0,Main[[#This Row],[تعداد کل روزهای بدهکار (روز)]],0)</f>
        <v>0</v>
      </c>
      <c r="AC2286" s="6">
        <f ca="1">Main[[#This Row],[تعداد روزهای بدهکار  تسویه نشده (روز)]]*Main[[#This Row],[مانده در خط تسویه نشده (کیلوگرم)]]</f>
        <v>0</v>
      </c>
      <c r="AD2286" s="6">
        <f ca="1">SUBTOTAL(9,INDEX(Main[بدهی سررسید شده (کیلوگرم)],1):Main[[#This Row],[بدهی سررسید شده (کیلوگرم)]])</f>
        <v>0</v>
      </c>
      <c r="AE2286" s="6">
        <f ca="1">IF(Main[[#This Row],[مانده در خط سررسید شده (کیلوگرم)]]&lt;&gt;0,Main[[#This Row],[تعداد کل روزهای بدهکار (روز)]],0)</f>
        <v>0</v>
      </c>
      <c r="AF2286" s="6">
        <f ca="1">Main[[#This Row],[تعداد روزهای بدهکار سررسید شده (روز)]]*Main[[#This Row],[مانده در خط سررسید شده (کیلوگرم)]]</f>
        <v>0</v>
      </c>
    </row>
    <row r="2287" spans="1:32" hidden="1" x14ac:dyDescent="0.35">
      <c r="A2287" s="5">
        <f>ROW()-ROW(INDEX(Main[ردیف],1))+1</f>
        <v>2285</v>
      </c>
      <c r="B2287" s="31">
        <f>SUBTOTAL(2,INDEX(Main[ردیف],1):Main[[#This Row],[ردیف]])</f>
        <v>208</v>
      </c>
      <c r="C2287" s="32" t="s">
        <v>778</v>
      </c>
      <c r="D2287" s="32" t="str">
        <f>_xlfn.CONCAT("14",Main[[#This Row],[تاريخ]])</f>
        <v>1400/09/04</v>
      </c>
      <c r="E2287" s="33">
        <v>44525</v>
      </c>
      <c r="F2287" s="32">
        <v>30004</v>
      </c>
      <c r="G2287" s="5" t="str">
        <f>INDEX(customer[عنوان],MATCH(Main[[#This Row],[کد ردیابی]],customer[کد],0))</f>
        <v>تولیدی صنعتی صفاشیر پارس</v>
      </c>
      <c r="H2287">
        <v>-5036</v>
      </c>
      <c r="I2287" s="6">
        <f ca="1">-Main[[#This Row],[بدهی تسویه شده (کیلوگرم)]]+Main[[#This Row],[بستانکار (کیلوگرم)]]</f>
        <v>-5036</v>
      </c>
      <c r="J2287" s="6">
        <f>IF(Main[[#This Row],[مقدار (کیلوگرم)]]&gt;0,Main[[#This Row],[مقدار (کیلوگرم)]],0)</f>
        <v>0</v>
      </c>
      <c r="K2287" s="6">
        <f>-IF(Main[[#This Row],[مقدار (کیلوگرم)]]&lt;0,Main[[#This Row],[مقدار (کیلوگرم)]],0)</f>
        <v>5036</v>
      </c>
      <c r="L22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7" s="7">
        <f>-IF(AND(Main[[#This Row],[مقدار (کیلوگرم)]]&lt;0,Main[[#This Row],[تاريخ میلادی]]&gt;44276),Main[[#This Row],[مقدار (کیلوگرم)]],0)</f>
        <v>5036</v>
      </c>
      <c r="N2287" s="6">
        <f ca="1">Main[[#This Row],[بدهکار (کیلوگرم)]]-Main[[#This Row],[بدهی تسویه نشده (کیلوگرم)]]</f>
        <v>5036</v>
      </c>
      <c r="O2287" s="6">
        <f ca="1">Main[[#This Row],[تفکیک]]</f>
        <v>0</v>
      </c>
      <c r="P2287" s="6">
        <f ca="1">IF(Main[[#This Row],[تاخیر از سررسید]]&gt;0,Main[[#This Row],[بدهی تسویه نشده (کیلوگرم)]],0)</f>
        <v>0</v>
      </c>
      <c r="Q2287" s="6">
        <f ca="1">IF(Main[[#This Row],[بدهی تسویه نشده (کیلوگرم)]]&gt;0,'گزارش فردی'!$B$7-Main[[#This Row],[تاريخ میلادی]],0)</f>
        <v>0</v>
      </c>
      <c r="R2287" s="6">
        <f ca="1">IF(Main[[#This Row],[بدهی تسویه نشده (کیلوگرم)]]&gt;0,'گزارش فردی'!$B$7-Main[[#This Row],[تاريخ میلادی]]-'گزارش فردی'!$B$8,0)</f>
        <v>0</v>
      </c>
      <c r="S2287" s="6">
        <f ca="1">Main[[#This Row],[روز از ارسال سفارش]]*Main[[#This Row],[بدهی تسویه نشده (کیلوگرم)]]</f>
        <v>0</v>
      </c>
      <c r="T2287" s="6">
        <f ca="1">Main[[#This Row],[بدهی سررسید شده (کیلوگرم)]]*Main[[#This Row],[روز از ارسال سفارش]]</f>
        <v>0</v>
      </c>
      <c r="U2287" s="6">
        <f>-SUBTOTAL(9,INDEX(Main[مقدار (کیلوگرم)],1):Main[[#This Row],[مقدار (کیلوگرم)]])</f>
        <v>32775</v>
      </c>
      <c r="V22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7" s="6">
        <f>Main[[#This Row],[تعداد کل روزهای بدهکار (روز)]]*Main[[#This Row],[مانده در خط کل (کیلوگرم)]]</f>
        <v>0</v>
      </c>
      <c r="X2287" s="6">
        <f ca="1">-SUBTOTAL(9,INDEX(Main[مقدار تسویه شده (کیلوگرم)],1):Main[[#This Row],[مقدار تسویه شده (کیلوگرم)]])</f>
        <v>32775</v>
      </c>
      <c r="Y2287" s="6">
        <f ca="1">IF(Main[[#This Row],[مانده در خط تسویه شده (کیلوگرم)]]&lt;&gt;0,Main[[#This Row],[تعداد کل روزهای بدهکار (روز)]],0)</f>
        <v>0</v>
      </c>
      <c r="Z2287" s="6">
        <f ca="1">Main[[#This Row],[تعداد روزهای بدهکار تسویه شده (روز)]]*Main[[#This Row],[مانده در خط تسویه شده (کیلوگرم)]]</f>
        <v>0</v>
      </c>
      <c r="AA2287" s="6">
        <f ca="1">SUBTOTAL(9,INDEX(Main[بدهی تسویه نشده (کیلوگرم)],1):Main[[#This Row],[بدهی تسویه نشده (کیلوگرم)]])</f>
        <v>0</v>
      </c>
      <c r="AB2287" s="6">
        <f ca="1">IF(Main[[#This Row],[مانده در خط تسویه نشده (کیلوگرم)]]&lt;&gt;0,Main[[#This Row],[تعداد کل روزهای بدهکار (روز)]],0)</f>
        <v>0</v>
      </c>
      <c r="AC2287" s="6">
        <f ca="1">Main[[#This Row],[تعداد روزهای بدهکار  تسویه نشده (روز)]]*Main[[#This Row],[مانده در خط تسویه نشده (کیلوگرم)]]</f>
        <v>0</v>
      </c>
      <c r="AD2287" s="6">
        <f ca="1">SUBTOTAL(9,INDEX(Main[بدهی سررسید شده (کیلوگرم)],1):Main[[#This Row],[بدهی سررسید شده (کیلوگرم)]])</f>
        <v>0</v>
      </c>
      <c r="AE2287" s="6">
        <f ca="1">IF(Main[[#This Row],[مانده در خط سررسید شده (کیلوگرم)]]&lt;&gt;0,Main[[#This Row],[تعداد کل روزهای بدهکار (روز)]],0)</f>
        <v>0</v>
      </c>
      <c r="AF2287" s="6">
        <f ca="1">Main[[#This Row],[تعداد روزهای بدهکار سررسید شده (روز)]]*Main[[#This Row],[مانده در خط سررسید شده (کیلوگرم)]]</f>
        <v>0</v>
      </c>
    </row>
    <row r="2288" spans="1:32" x14ac:dyDescent="0.35">
      <c r="A2288" s="5">
        <f>ROW()-ROW(INDEX(Main[ردیف],1))+1</f>
        <v>2286</v>
      </c>
      <c r="B2288" s="31">
        <f>SUBTOTAL(2,INDEX(Main[ردیف],1):Main[[#This Row],[ردیف]])</f>
        <v>209</v>
      </c>
      <c r="C2288" s="32" t="s">
        <v>778</v>
      </c>
      <c r="D2288" s="32" t="str">
        <f>_xlfn.CONCAT("14",Main[[#This Row],[تاريخ]])</f>
        <v>1400/09/04</v>
      </c>
      <c r="E2288" s="33">
        <v>44525</v>
      </c>
      <c r="F2288" s="32">
        <v>10003</v>
      </c>
      <c r="G2288" s="5" t="str">
        <f>INDEX(customer[عنوان],MATCH(Main[[#This Row],[کد ردیابی]],customer[کد],0))</f>
        <v>اصغر نورعلی</v>
      </c>
      <c r="H2288">
        <v>2854</v>
      </c>
      <c r="I2288" s="6">
        <f ca="1">-Main[[#This Row],[بدهی تسویه شده (کیلوگرم)]]+Main[[#This Row],[بستانکار (کیلوگرم)]]</f>
        <v>2854</v>
      </c>
      <c r="J2288" s="6">
        <f>IF(Main[[#This Row],[مقدار (کیلوگرم)]]&gt;0,Main[[#This Row],[مقدار (کیلوگرم)]],0)</f>
        <v>2854</v>
      </c>
      <c r="K2288" s="6">
        <f>-IF(Main[[#This Row],[مقدار (کیلوگرم)]]&lt;0,Main[[#This Row],[مقدار (کیلوگرم)]],0)</f>
        <v>0</v>
      </c>
      <c r="L22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8" s="7">
        <f>-IF(AND(Main[[#This Row],[مقدار (کیلوگرم)]]&lt;0,Main[[#This Row],[تاريخ میلادی]]&gt;44276),Main[[#This Row],[مقدار (کیلوگرم)]],0)</f>
        <v>0</v>
      </c>
      <c r="N2288" s="6">
        <f ca="1">Main[[#This Row],[بدهکار (کیلوگرم)]]-Main[[#This Row],[بدهی تسویه نشده (کیلوگرم)]]</f>
        <v>0</v>
      </c>
      <c r="O2288" s="6">
        <f ca="1">Main[[#This Row],[تفکیک]]</f>
        <v>0</v>
      </c>
      <c r="P2288" s="6">
        <f ca="1">IF(Main[[#This Row],[تاخیر از سررسید]]&gt;0,Main[[#This Row],[بدهی تسویه نشده (کیلوگرم)]],0)</f>
        <v>0</v>
      </c>
      <c r="Q2288" s="6">
        <f ca="1">IF(Main[[#This Row],[بدهی تسویه نشده (کیلوگرم)]]&gt;0,'گزارش فردی'!$B$7-Main[[#This Row],[تاريخ میلادی]],0)</f>
        <v>0</v>
      </c>
      <c r="R2288" s="6">
        <f ca="1">IF(Main[[#This Row],[بدهی تسویه نشده (کیلوگرم)]]&gt;0,'گزارش فردی'!$B$7-Main[[#This Row],[تاريخ میلادی]]-'گزارش فردی'!$B$8,0)</f>
        <v>0</v>
      </c>
      <c r="S2288" s="6">
        <f ca="1">Main[[#This Row],[روز از ارسال سفارش]]*Main[[#This Row],[بدهی تسویه نشده (کیلوگرم)]]</f>
        <v>0</v>
      </c>
      <c r="T2288" s="6">
        <f ca="1">Main[[#This Row],[بدهی سررسید شده (کیلوگرم)]]*Main[[#This Row],[روز از ارسال سفارش]]</f>
        <v>0</v>
      </c>
      <c r="U2288" s="6">
        <f>-SUBTOTAL(9,INDEX(Main[مقدار (کیلوگرم)],1):Main[[#This Row],[مقدار (کیلوگرم)]])</f>
        <v>29921</v>
      </c>
      <c r="V22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8" s="6">
        <f>Main[[#This Row],[تعداد کل روزهای بدهکار (روز)]]*Main[[#This Row],[مانده در خط کل (کیلوگرم)]]</f>
        <v>0</v>
      </c>
      <c r="X2288" s="6">
        <f ca="1">-SUBTOTAL(9,INDEX(Main[مقدار تسویه شده (کیلوگرم)],1):Main[[#This Row],[مقدار تسویه شده (کیلوگرم)]])</f>
        <v>29921</v>
      </c>
      <c r="Y2288" s="6">
        <f ca="1">IF(Main[[#This Row],[مانده در خط تسویه شده (کیلوگرم)]]&lt;&gt;0,Main[[#This Row],[تعداد کل روزهای بدهکار (روز)]],0)</f>
        <v>0</v>
      </c>
      <c r="Z2288" s="6">
        <f ca="1">Main[[#This Row],[تعداد روزهای بدهکار تسویه شده (روز)]]*Main[[#This Row],[مانده در خط تسویه شده (کیلوگرم)]]</f>
        <v>0</v>
      </c>
      <c r="AA2288" s="6">
        <f ca="1">SUBTOTAL(9,INDEX(Main[بدهی تسویه نشده (کیلوگرم)],1):Main[[#This Row],[بدهی تسویه نشده (کیلوگرم)]])</f>
        <v>0</v>
      </c>
      <c r="AB2288" s="6">
        <f ca="1">IF(Main[[#This Row],[مانده در خط تسویه نشده (کیلوگرم)]]&lt;&gt;0,Main[[#This Row],[تعداد کل روزهای بدهکار (روز)]],0)</f>
        <v>0</v>
      </c>
      <c r="AC2288" s="6">
        <f ca="1">Main[[#This Row],[تعداد روزهای بدهکار  تسویه نشده (روز)]]*Main[[#This Row],[مانده در خط تسویه نشده (کیلوگرم)]]</f>
        <v>0</v>
      </c>
      <c r="AD2288" s="6">
        <f ca="1">SUBTOTAL(9,INDEX(Main[بدهی سررسید شده (کیلوگرم)],1):Main[[#This Row],[بدهی سررسید شده (کیلوگرم)]])</f>
        <v>0</v>
      </c>
      <c r="AE2288" s="6">
        <f ca="1">IF(Main[[#This Row],[مانده در خط سررسید شده (کیلوگرم)]]&lt;&gt;0,Main[[#This Row],[تعداد کل روزهای بدهکار (روز)]],0)</f>
        <v>0</v>
      </c>
      <c r="AF2288" s="6">
        <f ca="1">Main[[#This Row],[تعداد روزهای بدهکار سررسید شده (روز)]]*Main[[#This Row],[مانده در خط سررسید شده (کیلوگرم)]]</f>
        <v>0</v>
      </c>
    </row>
    <row r="2289" spans="1:32" hidden="1" x14ac:dyDescent="0.35">
      <c r="A2289" s="5">
        <f>ROW()-ROW(INDEX(Main[ردیف],1))+1</f>
        <v>2287</v>
      </c>
      <c r="B2289" s="31">
        <f>SUBTOTAL(2,INDEX(Main[ردیف],1):Main[[#This Row],[ردیف]])</f>
        <v>209</v>
      </c>
      <c r="C2289" s="32" t="s">
        <v>778</v>
      </c>
      <c r="D2289" s="32" t="str">
        <f>_xlfn.CONCAT("14",Main[[#This Row],[تاريخ]])</f>
        <v>1400/09/04</v>
      </c>
      <c r="E2289" s="33">
        <v>44525</v>
      </c>
      <c r="F2289" s="32">
        <v>30099</v>
      </c>
      <c r="G2289" s="5" t="str">
        <f>INDEX(customer[عنوان],MATCH(Main[[#This Row],[کد ردیابی]],customer[کد],0))</f>
        <v>ایران شرق نیشابور</v>
      </c>
      <c r="H2289">
        <v>-1423</v>
      </c>
      <c r="I2289" s="6">
        <f ca="1">-Main[[#This Row],[بدهی تسویه شده (کیلوگرم)]]+Main[[#This Row],[بستانکار (کیلوگرم)]]</f>
        <v>-1423</v>
      </c>
      <c r="J2289" s="6">
        <f>IF(Main[[#This Row],[مقدار (کیلوگرم)]]&gt;0,Main[[#This Row],[مقدار (کیلوگرم)]],0)</f>
        <v>0</v>
      </c>
      <c r="K2289" s="6">
        <f>-IF(Main[[#This Row],[مقدار (کیلوگرم)]]&lt;0,Main[[#This Row],[مقدار (کیلوگرم)]],0)</f>
        <v>1423</v>
      </c>
      <c r="L22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9" s="7">
        <f>-IF(AND(Main[[#This Row],[مقدار (کیلوگرم)]]&lt;0,Main[[#This Row],[تاريخ میلادی]]&gt;44276),Main[[#This Row],[مقدار (کیلوگرم)]],0)</f>
        <v>1423</v>
      </c>
      <c r="N2289" s="6">
        <f ca="1">Main[[#This Row],[بدهکار (کیلوگرم)]]-Main[[#This Row],[بدهی تسویه نشده (کیلوگرم)]]</f>
        <v>1423</v>
      </c>
      <c r="O2289" s="6">
        <f ca="1">Main[[#This Row],[تفکیک]]</f>
        <v>0</v>
      </c>
      <c r="P2289" s="6">
        <f ca="1">IF(Main[[#This Row],[تاخیر از سررسید]]&gt;0,Main[[#This Row],[بدهی تسویه نشده (کیلوگرم)]],0)</f>
        <v>0</v>
      </c>
      <c r="Q2289" s="6">
        <f ca="1">IF(Main[[#This Row],[بدهی تسویه نشده (کیلوگرم)]]&gt;0,'گزارش فردی'!$B$7-Main[[#This Row],[تاريخ میلادی]],0)</f>
        <v>0</v>
      </c>
      <c r="R2289" s="6">
        <f ca="1">IF(Main[[#This Row],[بدهی تسویه نشده (کیلوگرم)]]&gt;0,'گزارش فردی'!$B$7-Main[[#This Row],[تاريخ میلادی]]-'گزارش فردی'!$B$8,0)</f>
        <v>0</v>
      </c>
      <c r="S2289" s="6">
        <f ca="1">Main[[#This Row],[روز از ارسال سفارش]]*Main[[#This Row],[بدهی تسویه نشده (کیلوگرم)]]</f>
        <v>0</v>
      </c>
      <c r="T2289" s="6">
        <f ca="1">Main[[#This Row],[بدهی سررسید شده (کیلوگرم)]]*Main[[#This Row],[روز از ارسال سفارش]]</f>
        <v>0</v>
      </c>
      <c r="U2289" s="6">
        <f>-SUBTOTAL(9,INDEX(Main[مقدار (کیلوگرم)],1):Main[[#This Row],[مقدار (کیلوگرم)]])</f>
        <v>29921</v>
      </c>
      <c r="V22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9" s="6">
        <f>Main[[#This Row],[تعداد کل روزهای بدهکار (روز)]]*Main[[#This Row],[مانده در خط کل (کیلوگرم)]]</f>
        <v>0</v>
      </c>
      <c r="X2289" s="6">
        <f ca="1">-SUBTOTAL(9,INDEX(Main[مقدار تسویه شده (کیلوگرم)],1):Main[[#This Row],[مقدار تسویه شده (کیلوگرم)]])</f>
        <v>29921</v>
      </c>
      <c r="Y2289" s="6">
        <f ca="1">IF(Main[[#This Row],[مانده در خط تسویه شده (کیلوگرم)]]&lt;&gt;0,Main[[#This Row],[تعداد کل روزهای بدهکار (روز)]],0)</f>
        <v>0</v>
      </c>
      <c r="Z2289" s="6">
        <f ca="1">Main[[#This Row],[تعداد روزهای بدهکار تسویه شده (روز)]]*Main[[#This Row],[مانده در خط تسویه شده (کیلوگرم)]]</f>
        <v>0</v>
      </c>
      <c r="AA2289" s="6">
        <f ca="1">SUBTOTAL(9,INDEX(Main[بدهی تسویه نشده (کیلوگرم)],1):Main[[#This Row],[بدهی تسویه نشده (کیلوگرم)]])</f>
        <v>0</v>
      </c>
      <c r="AB2289" s="6">
        <f ca="1">IF(Main[[#This Row],[مانده در خط تسویه نشده (کیلوگرم)]]&lt;&gt;0,Main[[#This Row],[تعداد کل روزهای بدهکار (روز)]],0)</f>
        <v>0</v>
      </c>
      <c r="AC2289" s="6">
        <f ca="1">Main[[#This Row],[تعداد روزهای بدهکار  تسویه نشده (روز)]]*Main[[#This Row],[مانده در خط تسویه نشده (کیلوگرم)]]</f>
        <v>0</v>
      </c>
      <c r="AD2289" s="6">
        <f ca="1">SUBTOTAL(9,INDEX(Main[بدهی سررسید شده (کیلوگرم)],1):Main[[#This Row],[بدهی سررسید شده (کیلوگرم)]])</f>
        <v>0</v>
      </c>
      <c r="AE2289" s="6">
        <f ca="1">IF(Main[[#This Row],[مانده در خط سررسید شده (کیلوگرم)]]&lt;&gt;0,Main[[#This Row],[تعداد کل روزهای بدهکار (روز)]],0)</f>
        <v>0</v>
      </c>
      <c r="AF2289" s="6">
        <f ca="1">Main[[#This Row],[تعداد روزهای بدهکار سررسید شده (روز)]]*Main[[#This Row],[مانده در خط سررسید شده (کیلوگرم)]]</f>
        <v>0</v>
      </c>
    </row>
    <row r="2290" spans="1:32" x14ac:dyDescent="0.35">
      <c r="A2290" s="5">
        <f>ROW()-ROW(INDEX(Main[ردیف],1))+1</f>
        <v>2288</v>
      </c>
      <c r="B2290" s="31">
        <f>SUBTOTAL(2,INDEX(Main[ردیف],1):Main[[#This Row],[ردیف]])</f>
        <v>210</v>
      </c>
      <c r="C2290" s="32" t="s">
        <v>778</v>
      </c>
      <c r="D2290" s="32" t="str">
        <f>_xlfn.CONCAT("14",Main[[#This Row],[تاريخ]])</f>
        <v>1400/09/04</v>
      </c>
      <c r="E2290" s="33">
        <v>44525</v>
      </c>
      <c r="F2290" s="32">
        <v>10003</v>
      </c>
      <c r="G2290" s="5" t="str">
        <f>INDEX(customer[عنوان],MATCH(Main[[#This Row],[کد ردیابی]],customer[کد],0))</f>
        <v>اصغر نورعلی</v>
      </c>
      <c r="H2290">
        <v>2651</v>
      </c>
      <c r="I2290" s="6">
        <f ca="1">-Main[[#This Row],[بدهی تسویه شده (کیلوگرم)]]+Main[[#This Row],[بستانکار (کیلوگرم)]]</f>
        <v>2651</v>
      </c>
      <c r="J2290" s="6">
        <f>IF(Main[[#This Row],[مقدار (کیلوگرم)]]&gt;0,Main[[#This Row],[مقدار (کیلوگرم)]],0)</f>
        <v>2651</v>
      </c>
      <c r="K2290" s="6">
        <f>-IF(Main[[#This Row],[مقدار (کیلوگرم)]]&lt;0,Main[[#This Row],[مقدار (کیلوگرم)]],0)</f>
        <v>0</v>
      </c>
      <c r="L22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0" s="7">
        <f>-IF(AND(Main[[#This Row],[مقدار (کیلوگرم)]]&lt;0,Main[[#This Row],[تاريخ میلادی]]&gt;44276),Main[[#This Row],[مقدار (کیلوگرم)]],0)</f>
        <v>0</v>
      </c>
      <c r="N2290" s="6">
        <f ca="1">Main[[#This Row],[بدهکار (کیلوگرم)]]-Main[[#This Row],[بدهی تسویه نشده (کیلوگرم)]]</f>
        <v>0</v>
      </c>
      <c r="O2290" s="6">
        <f ca="1">Main[[#This Row],[تفکیک]]</f>
        <v>0</v>
      </c>
      <c r="P2290" s="6">
        <f ca="1">IF(Main[[#This Row],[تاخیر از سررسید]]&gt;0,Main[[#This Row],[بدهی تسویه نشده (کیلوگرم)]],0)</f>
        <v>0</v>
      </c>
      <c r="Q2290" s="6">
        <f ca="1">IF(Main[[#This Row],[بدهی تسویه نشده (کیلوگرم)]]&gt;0,'گزارش فردی'!$B$7-Main[[#This Row],[تاريخ میلادی]],0)</f>
        <v>0</v>
      </c>
      <c r="R2290" s="6">
        <f ca="1">IF(Main[[#This Row],[بدهی تسویه نشده (کیلوگرم)]]&gt;0,'گزارش فردی'!$B$7-Main[[#This Row],[تاريخ میلادی]]-'گزارش فردی'!$B$8,0)</f>
        <v>0</v>
      </c>
      <c r="S2290" s="6">
        <f ca="1">Main[[#This Row],[روز از ارسال سفارش]]*Main[[#This Row],[بدهی تسویه نشده (کیلوگرم)]]</f>
        <v>0</v>
      </c>
      <c r="T2290" s="6">
        <f ca="1">Main[[#This Row],[بدهی سررسید شده (کیلوگرم)]]*Main[[#This Row],[روز از ارسال سفارش]]</f>
        <v>0</v>
      </c>
      <c r="U2290" s="6">
        <f>-SUBTOTAL(9,INDEX(Main[مقدار (کیلوگرم)],1):Main[[#This Row],[مقدار (کیلوگرم)]])</f>
        <v>27270</v>
      </c>
      <c r="V22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0" s="6">
        <f>Main[[#This Row],[تعداد کل روزهای بدهکار (روز)]]*Main[[#This Row],[مانده در خط کل (کیلوگرم)]]</f>
        <v>0</v>
      </c>
      <c r="X2290" s="6">
        <f ca="1">-SUBTOTAL(9,INDEX(Main[مقدار تسویه شده (کیلوگرم)],1):Main[[#This Row],[مقدار تسویه شده (کیلوگرم)]])</f>
        <v>27270</v>
      </c>
      <c r="Y2290" s="6">
        <f ca="1">IF(Main[[#This Row],[مانده در خط تسویه شده (کیلوگرم)]]&lt;&gt;0,Main[[#This Row],[تعداد کل روزهای بدهکار (روز)]],0)</f>
        <v>0</v>
      </c>
      <c r="Z2290" s="6">
        <f ca="1">Main[[#This Row],[تعداد روزهای بدهکار تسویه شده (روز)]]*Main[[#This Row],[مانده در خط تسویه شده (کیلوگرم)]]</f>
        <v>0</v>
      </c>
      <c r="AA2290" s="6">
        <f ca="1">SUBTOTAL(9,INDEX(Main[بدهی تسویه نشده (کیلوگرم)],1):Main[[#This Row],[بدهی تسویه نشده (کیلوگرم)]])</f>
        <v>0</v>
      </c>
      <c r="AB2290" s="6">
        <f ca="1">IF(Main[[#This Row],[مانده در خط تسویه نشده (کیلوگرم)]]&lt;&gt;0,Main[[#This Row],[تعداد کل روزهای بدهکار (روز)]],0)</f>
        <v>0</v>
      </c>
      <c r="AC2290" s="6">
        <f ca="1">Main[[#This Row],[تعداد روزهای بدهکار  تسویه نشده (روز)]]*Main[[#This Row],[مانده در خط تسویه نشده (کیلوگرم)]]</f>
        <v>0</v>
      </c>
      <c r="AD2290" s="6">
        <f ca="1">SUBTOTAL(9,INDEX(Main[بدهی سررسید شده (کیلوگرم)],1):Main[[#This Row],[بدهی سررسید شده (کیلوگرم)]])</f>
        <v>0</v>
      </c>
      <c r="AE2290" s="6">
        <f ca="1">IF(Main[[#This Row],[مانده در خط سررسید شده (کیلوگرم)]]&lt;&gt;0,Main[[#This Row],[تعداد کل روزهای بدهکار (روز)]],0)</f>
        <v>0</v>
      </c>
      <c r="AF2290" s="6">
        <f ca="1">Main[[#This Row],[تعداد روزهای بدهکار سررسید شده (روز)]]*Main[[#This Row],[مانده در خط سررسید شده (کیلوگرم)]]</f>
        <v>0</v>
      </c>
    </row>
    <row r="2291" spans="1:32" x14ac:dyDescent="0.35">
      <c r="A2291" s="5">
        <f>ROW()-ROW(INDEX(Main[ردیف],1))+1</f>
        <v>2289</v>
      </c>
      <c r="B2291" s="31">
        <f>SUBTOTAL(2,INDEX(Main[ردیف],1):Main[[#This Row],[ردیف]])</f>
        <v>211</v>
      </c>
      <c r="C2291" s="32" t="s">
        <v>778</v>
      </c>
      <c r="D2291" s="32" t="str">
        <f>_xlfn.CONCAT("14",Main[[#This Row],[تاريخ]])</f>
        <v>1400/09/04</v>
      </c>
      <c r="E2291" s="33">
        <v>44525</v>
      </c>
      <c r="F2291" s="32">
        <v>10003</v>
      </c>
      <c r="G2291" s="5" t="str">
        <f>INDEX(customer[عنوان],MATCH(Main[[#This Row],[کد ردیابی]],customer[کد],0))</f>
        <v>اصغر نورعلی</v>
      </c>
      <c r="H2291">
        <v>-2065</v>
      </c>
      <c r="I2291" s="6">
        <f ca="1">-Main[[#This Row],[بدهی تسویه شده (کیلوگرم)]]+Main[[#This Row],[بستانکار (کیلوگرم)]]</f>
        <v>-2065</v>
      </c>
      <c r="J2291" s="6">
        <f>IF(Main[[#This Row],[مقدار (کیلوگرم)]]&gt;0,Main[[#This Row],[مقدار (کیلوگرم)]],0)</f>
        <v>0</v>
      </c>
      <c r="K2291" s="6">
        <f>-IF(Main[[#This Row],[مقدار (کیلوگرم)]]&lt;0,Main[[#This Row],[مقدار (کیلوگرم)]],0)</f>
        <v>2065</v>
      </c>
      <c r="L22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1" s="7">
        <f>-IF(AND(Main[[#This Row],[مقدار (کیلوگرم)]]&lt;0,Main[[#This Row],[تاريخ میلادی]]&gt;44276),Main[[#This Row],[مقدار (کیلوگرم)]],0)</f>
        <v>2065</v>
      </c>
      <c r="N2291" s="6">
        <f ca="1">Main[[#This Row],[بدهکار (کیلوگرم)]]-Main[[#This Row],[بدهی تسویه نشده (کیلوگرم)]]</f>
        <v>2065</v>
      </c>
      <c r="O2291" s="6">
        <f ca="1">Main[[#This Row],[تفکیک]]</f>
        <v>0</v>
      </c>
      <c r="P2291" s="6">
        <f ca="1">IF(Main[[#This Row],[تاخیر از سررسید]]&gt;0,Main[[#This Row],[بدهی تسویه نشده (کیلوگرم)]],0)</f>
        <v>0</v>
      </c>
      <c r="Q2291" s="6">
        <f ca="1">IF(Main[[#This Row],[بدهی تسویه نشده (کیلوگرم)]]&gt;0,'گزارش فردی'!$B$7-Main[[#This Row],[تاريخ میلادی]],0)</f>
        <v>0</v>
      </c>
      <c r="R2291" s="6">
        <f ca="1">IF(Main[[#This Row],[بدهی تسویه نشده (کیلوگرم)]]&gt;0,'گزارش فردی'!$B$7-Main[[#This Row],[تاريخ میلادی]]-'گزارش فردی'!$B$8,0)</f>
        <v>0</v>
      </c>
      <c r="S2291" s="6">
        <f ca="1">Main[[#This Row],[روز از ارسال سفارش]]*Main[[#This Row],[بدهی تسویه نشده (کیلوگرم)]]</f>
        <v>0</v>
      </c>
      <c r="T2291" s="6">
        <f ca="1">Main[[#This Row],[بدهی سررسید شده (کیلوگرم)]]*Main[[#This Row],[روز از ارسال سفارش]]</f>
        <v>0</v>
      </c>
      <c r="U2291" s="6">
        <f>-SUBTOTAL(9,INDEX(Main[مقدار (کیلوگرم)],1):Main[[#This Row],[مقدار (کیلوگرم)]])</f>
        <v>29335</v>
      </c>
      <c r="V22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91" s="6">
        <f>Main[[#This Row],[تعداد کل روزهای بدهکار (روز)]]*Main[[#This Row],[مانده در خط کل (کیلوگرم)]]</f>
        <v>58670</v>
      </c>
      <c r="X2291" s="6">
        <f ca="1">-SUBTOTAL(9,INDEX(Main[مقدار تسویه شده (کیلوگرم)],1):Main[[#This Row],[مقدار تسویه شده (کیلوگرم)]])</f>
        <v>29335</v>
      </c>
      <c r="Y2291" s="6">
        <f ca="1">IF(Main[[#This Row],[مانده در خط تسویه شده (کیلوگرم)]]&lt;&gt;0,Main[[#This Row],[تعداد کل روزهای بدهکار (روز)]],0)</f>
        <v>2</v>
      </c>
      <c r="Z2291" s="6">
        <f ca="1">Main[[#This Row],[تعداد روزهای بدهکار تسویه شده (روز)]]*Main[[#This Row],[مانده در خط تسویه شده (کیلوگرم)]]</f>
        <v>58670</v>
      </c>
      <c r="AA2291" s="6">
        <f ca="1">SUBTOTAL(9,INDEX(Main[بدهی تسویه نشده (کیلوگرم)],1):Main[[#This Row],[بدهی تسویه نشده (کیلوگرم)]])</f>
        <v>0</v>
      </c>
      <c r="AB2291" s="6">
        <f ca="1">IF(Main[[#This Row],[مانده در خط تسویه نشده (کیلوگرم)]]&lt;&gt;0,Main[[#This Row],[تعداد کل روزهای بدهکار (روز)]],0)</f>
        <v>0</v>
      </c>
      <c r="AC2291" s="6">
        <f ca="1">Main[[#This Row],[تعداد روزهای بدهکار  تسویه نشده (روز)]]*Main[[#This Row],[مانده در خط تسویه نشده (کیلوگرم)]]</f>
        <v>0</v>
      </c>
      <c r="AD2291" s="6">
        <f ca="1">SUBTOTAL(9,INDEX(Main[بدهی سررسید شده (کیلوگرم)],1):Main[[#This Row],[بدهی سررسید شده (کیلوگرم)]])</f>
        <v>0</v>
      </c>
      <c r="AE2291" s="6">
        <f ca="1">IF(Main[[#This Row],[مانده در خط سررسید شده (کیلوگرم)]]&lt;&gt;0,Main[[#This Row],[تعداد کل روزهای بدهکار (روز)]],0)</f>
        <v>0</v>
      </c>
      <c r="AF2291" s="6">
        <f ca="1">Main[[#This Row],[تعداد روزهای بدهکار سررسید شده (روز)]]*Main[[#This Row],[مانده در خط سررسید شده (کیلوگرم)]]</f>
        <v>0</v>
      </c>
    </row>
    <row r="2292" spans="1:32" hidden="1" x14ac:dyDescent="0.35">
      <c r="A2292" s="5">
        <f>ROW()-ROW(INDEX(Main[ردیف],1))+1</f>
        <v>2290</v>
      </c>
      <c r="B2292" s="31">
        <f>SUBTOTAL(2,INDEX(Main[ردیف],1):Main[[#This Row],[ردیف]])</f>
        <v>211</v>
      </c>
      <c r="C2292" s="32" t="s">
        <v>778</v>
      </c>
      <c r="D2292" s="32" t="str">
        <f>_xlfn.CONCAT("14",Main[[#This Row],[تاريخ]])</f>
        <v>1400/09/04</v>
      </c>
      <c r="E2292" s="33">
        <v>44525</v>
      </c>
      <c r="F2292" s="32">
        <v>30004</v>
      </c>
      <c r="G2292" s="5" t="str">
        <f>INDEX(customer[عنوان],MATCH(Main[[#This Row],[کد ردیابی]],customer[کد],0))</f>
        <v>تولیدی صنعتی صفاشیر پارس</v>
      </c>
      <c r="H2292">
        <v>3142</v>
      </c>
      <c r="I2292" s="6">
        <f ca="1">-Main[[#This Row],[بدهی تسویه شده (کیلوگرم)]]+Main[[#This Row],[بستانکار (کیلوگرم)]]</f>
        <v>3142</v>
      </c>
      <c r="J2292" s="6">
        <f>IF(Main[[#This Row],[مقدار (کیلوگرم)]]&gt;0,Main[[#This Row],[مقدار (کیلوگرم)]],0)</f>
        <v>3142</v>
      </c>
      <c r="K2292" s="6">
        <f>-IF(Main[[#This Row],[مقدار (کیلوگرم)]]&lt;0,Main[[#This Row],[مقدار (کیلوگرم)]],0)</f>
        <v>0</v>
      </c>
      <c r="L22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2" s="7">
        <f>-IF(AND(Main[[#This Row],[مقدار (کیلوگرم)]]&lt;0,Main[[#This Row],[تاريخ میلادی]]&gt;44276),Main[[#This Row],[مقدار (کیلوگرم)]],0)</f>
        <v>0</v>
      </c>
      <c r="N2292" s="6">
        <f ca="1">Main[[#This Row],[بدهکار (کیلوگرم)]]-Main[[#This Row],[بدهی تسویه نشده (کیلوگرم)]]</f>
        <v>0</v>
      </c>
      <c r="O2292" s="6">
        <f ca="1">Main[[#This Row],[تفکیک]]</f>
        <v>0</v>
      </c>
      <c r="P2292" s="6">
        <f ca="1">IF(Main[[#This Row],[تاخیر از سررسید]]&gt;0,Main[[#This Row],[بدهی تسویه نشده (کیلوگرم)]],0)</f>
        <v>0</v>
      </c>
      <c r="Q2292" s="6">
        <f ca="1">IF(Main[[#This Row],[بدهی تسویه نشده (کیلوگرم)]]&gt;0,'گزارش فردی'!$B$7-Main[[#This Row],[تاريخ میلادی]],0)</f>
        <v>0</v>
      </c>
      <c r="R2292" s="6">
        <f ca="1">IF(Main[[#This Row],[بدهی تسویه نشده (کیلوگرم)]]&gt;0,'گزارش فردی'!$B$7-Main[[#This Row],[تاريخ میلادی]]-'گزارش فردی'!$B$8,0)</f>
        <v>0</v>
      </c>
      <c r="S2292" s="6">
        <f ca="1">Main[[#This Row],[روز از ارسال سفارش]]*Main[[#This Row],[بدهی تسویه نشده (کیلوگرم)]]</f>
        <v>0</v>
      </c>
      <c r="T2292" s="6">
        <f ca="1">Main[[#This Row],[بدهی سررسید شده (کیلوگرم)]]*Main[[#This Row],[روز از ارسال سفارش]]</f>
        <v>0</v>
      </c>
      <c r="U2292" s="6">
        <f>-SUBTOTAL(9,INDEX(Main[مقدار (کیلوگرم)],1):Main[[#This Row],[مقدار (کیلوگرم)]])</f>
        <v>29335</v>
      </c>
      <c r="V22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92" s="6">
        <f>Main[[#This Row],[تعداد کل روزهای بدهکار (روز)]]*Main[[#This Row],[مانده در خط کل (کیلوگرم)]]</f>
        <v>58670</v>
      </c>
      <c r="X2292" s="6">
        <f ca="1">-SUBTOTAL(9,INDEX(Main[مقدار تسویه شده (کیلوگرم)],1):Main[[#This Row],[مقدار تسویه شده (کیلوگرم)]])</f>
        <v>29335</v>
      </c>
      <c r="Y2292" s="6">
        <f ca="1">IF(Main[[#This Row],[مانده در خط تسویه شده (کیلوگرم)]]&lt;&gt;0,Main[[#This Row],[تعداد کل روزهای بدهکار (روز)]],0)</f>
        <v>2</v>
      </c>
      <c r="Z2292" s="6">
        <f ca="1">Main[[#This Row],[تعداد روزهای بدهکار تسویه شده (روز)]]*Main[[#This Row],[مانده در خط تسویه شده (کیلوگرم)]]</f>
        <v>58670</v>
      </c>
      <c r="AA2292" s="6">
        <f ca="1">SUBTOTAL(9,INDEX(Main[بدهی تسویه نشده (کیلوگرم)],1):Main[[#This Row],[بدهی تسویه نشده (کیلوگرم)]])</f>
        <v>0</v>
      </c>
      <c r="AB2292" s="6">
        <f ca="1">IF(Main[[#This Row],[مانده در خط تسویه نشده (کیلوگرم)]]&lt;&gt;0,Main[[#This Row],[تعداد کل روزهای بدهکار (روز)]],0)</f>
        <v>0</v>
      </c>
      <c r="AC2292" s="6">
        <f ca="1">Main[[#This Row],[تعداد روزهای بدهکار  تسویه نشده (روز)]]*Main[[#This Row],[مانده در خط تسویه نشده (کیلوگرم)]]</f>
        <v>0</v>
      </c>
      <c r="AD2292" s="6">
        <f ca="1">SUBTOTAL(9,INDEX(Main[بدهی سررسید شده (کیلوگرم)],1):Main[[#This Row],[بدهی سررسید شده (کیلوگرم)]])</f>
        <v>0</v>
      </c>
      <c r="AE2292" s="6">
        <f ca="1">IF(Main[[#This Row],[مانده در خط سررسید شده (کیلوگرم)]]&lt;&gt;0,Main[[#This Row],[تعداد کل روزهای بدهکار (روز)]],0)</f>
        <v>0</v>
      </c>
      <c r="AF2292" s="6">
        <f ca="1">Main[[#This Row],[تعداد روزهای بدهکار سررسید شده (روز)]]*Main[[#This Row],[مانده در خط سررسید شده (کیلوگرم)]]</f>
        <v>0</v>
      </c>
    </row>
    <row r="2293" spans="1:32" hidden="1" x14ac:dyDescent="0.35">
      <c r="A2293" s="5">
        <f>ROW()-ROW(INDEX(Main[ردیف],1))+1</f>
        <v>2291</v>
      </c>
      <c r="B2293" s="31">
        <f>SUBTOTAL(2,INDEX(Main[ردیف],1):Main[[#This Row],[ردیف]])</f>
        <v>211</v>
      </c>
      <c r="C2293" s="32" t="s">
        <v>778</v>
      </c>
      <c r="D2293" s="32" t="str">
        <f>_xlfn.CONCAT("14",Main[[#This Row],[تاريخ]])</f>
        <v>1400/09/04</v>
      </c>
      <c r="E2293" s="33">
        <v>44525</v>
      </c>
      <c r="F2293" s="32">
        <v>10141</v>
      </c>
      <c r="G2293" s="5" t="str">
        <f>INDEX(customer[عنوان],MATCH(Main[[#This Row],[کد ردیابی]],customer[کد],0))</f>
        <v>حسین ریاحی</v>
      </c>
      <c r="H2293">
        <v>-1050</v>
      </c>
      <c r="I2293" s="6">
        <f ca="1">-Main[[#This Row],[بدهی تسویه شده (کیلوگرم)]]+Main[[#This Row],[بستانکار (کیلوگرم)]]</f>
        <v>-1050</v>
      </c>
      <c r="J2293" s="6">
        <f>IF(Main[[#This Row],[مقدار (کیلوگرم)]]&gt;0,Main[[#This Row],[مقدار (کیلوگرم)]],0)</f>
        <v>0</v>
      </c>
      <c r="K2293" s="6">
        <f>-IF(Main[[#This Row],[مقدار (کیلوگرم)]]&lt;0,Main[[#This Row],[مقدار (کیلوگرم)]],0)</f>
        <v>1050</v>
      </c>
      <c r="L22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3" s="7">
        <f>-IF(AND(Main[[#This Row],[مقدار (کیلوگرم)]]&lt;0,Main[[#This Row],[تاريخ میلادی]]&gt;44276),Main[[#This Row],[مقدار (کیلوگرم)]],0)</f>
        <v>1050</v>
      </c>
      <c r="N2293" s="6">
        <f ca="1">Main[[#This Row],[بدهکار (کیلوگرم)]]-Main[[#This Row],[بدهی تسویه نشده (کیلوگرم)]]</f>
        <v>1050</v>
      </c>
      <c r="O2293" s="6">
        <f ca="1">Main[[#This Row],[تفکیک]]</f>
        <v>0</v>
      </c>
      <c r="P2293" s="6">
        <f ca="1">IF(Main[[#This Row],[تاخیر از سررسید]]&gt;0,Main[[#This Row],[بدهی تسویه نشده (کیلوگرم)]],0)</f>
        <v>0</v>
      </c>
      <c r="Q2293" s="6">
        <f ca="1">IF(Main[[#This Row],[بدهی تسویه نشده (کیلوگرم)]]&gt;0,'گزارش فردی'!$B$7-Main[[#This Row],[تاريخ میلادی]],0)</f>
        <v>0</v>
      </c>
      <c r="R2293" s="6">
        <f ca="1">IF(Main[[#This Row],[بدهی تسویه نشده (کیلوگرم)]]&gt;0,'گزارش فردی'!$B$7-Main[[#This Row],[تاريخ میلادی]]-'گزارش فردی'!$B$8,0)</f>
        <v>0</v>
      </c>
      <c r="S2293" s="6">
        <f ca="1">Main[[#This Row],[روز از ارسال سفارش]]*Main[[#This Row],[بدهی تسویه نشده (کیلوگرم)]]</f>
        <v>0</v>
      </c>
      <c r="T2293" s="6">
        <f ca="1">Main[[#This Row],[بدهی سررسید شده (کیلوگرم)]]*Main[[#This Row],[روز از ارسال سفارش]]</f>
        <v>0</v>
      </c>
      <c r="U2293" s="6">
        <f>-SUBTOTAL(9,INDEX(Main[مقدار (کیلوگرم)],1):Main[[#This Row],[مقدار (کیلوگرم)]])</f>
        <v>29335</v>
      </c>
      <c r="V22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93" s="6">
        <f>Main[[#This Row],[تعداد کل روزهای بدهکار (روز)]]*Main[[#This Row],[مانده در خط کل (کیلوگرم)]]</f>
        <v>58670</v>
      </c>
      <c r="X2293" s="6">
        <f ca="1">-SUBTOTAL(9,INDEX(Main[مقدار تسویه شده (کیلوگرم)],1):Main[[#This Row],[مقدار تسویه شده (کیلوگرم)]])</f>
        <v>29335</v>
      </c>
      <c r="Y2293" s="6">
        <f ca="1">IF(Main[[#This Row],[مانده در خط تسویه شده (کیلوگرم)]]&lt;&gt;0,Main[[#This Row],[تعداد کل روزهای بدهکار (روز)]],0)</f>
        <v>2</v>
      </c>
      <c r="Z2293" s="6">
        <f ca="1">Main[[#This Row],[تعداد روزهای بدهکار تسویه شده (روز)]]*Main[[#This Row],[مانده در خط تسویه شده (کیلوگرم)]]</f>
        <v>58670</v>
      </c>
      <c r="AA2293" s="6">
        <f ca="1">SUBTOTAL(9,INDEX(Main[بدهی تسویه نشده (کیلوگرم)],1):Main[[#This Row],[بدهی تسویه نشده (کیلوگرم)]])</f>
        <v>0</v>
      </c>
      <c r="AB2293" s="6">
        <f ca="1">IF(Main[[#This Row],[مانده در خط تسویه نشده (کیلوگرم)]]&lt;&gt;0,Main[[#This Row],[تعداد کل روزهای بدهکار (روز)]],0)</f>
        <v>0</v>
      </c>
      <c r="AC2293" s="6">
        <f ca="1">Main[[#This Row],[تعداد روزهای بدهکار  تسویه نشده (روز)]]*Main[[#This Row],[مانده در خط تسویه نشده (کیلوگرم)]]</f>
        <v>0</v>
      </c>
      <c r="AD2293" s="6">
        <f ca="1">SUBTOTAL(9,INDEX(Main[بدهی سررسید شده (کیلوگرم)],1):Main[[#This Row],[بدهی سررسید شده (کیلوگرم)]])</f>
        <v>0</v>
      </c>
      <c r="AE2293" s="6">
        <f ca="1">IF(Main[[#This Row],[مانده در خط سررسید شده (کیلوگرم)]]&lt;&gt;0,Main[[#This Row],[تعداد کل روزهای بدهکار (روز)]],0)</f>
        <v>0</v>
      </c>
      <c r="AF2293" s="6">
        <f ca="1">Main[[#This Row],[تعداد روزهای بدهکار سررسید شده (روز)]]*Main[[#This Row],[مانده در خط سررسید شده (کیلوگرم)]]</f>
        <v>0</v>
      </c>
    </row>
    <row r="2294" spans="1:32" hidden="1" x14ac:dyDescent="0.35">
      <c r="A2294" s="5">
        <f>ROW()-ROW(INDEX(Main[ردیف],1))+1</f>
        <v>2292</v>
      </c>
      <c r="B2294" s="31">
        <f>SUBTOTAL(2,INDEX(Main[ردیف],1):Main[[#This Row],[ردیف]])</f>
        <v>211</v>
      </c>
      <c r="C2294" s="32" t="s">
        <v>791</v>
      </c>
      <c r="D2294" s="32" t="str">
        <f>_xlfn.CONCAT("14",Main[[#This Row],[تاريخ]])</f>
        <v>1400/09/06</v>
      </c>
      <c r="E2294" s="33">
        <v>44527</v>
      </c>
      <c r="F2294" s="32">
        <v>30146</v>
      </c>
      <c r="G2294" s="5" t="str">
        <f>INDEX(customer[عنوان],MATCH(Main[[#This Row],[کد ردیابی]],customer[کد],0))</f>
        <v>شرکت آذرپاد</v>
      </c>
      <c r="H2294">
        <v>1058</v>
      </c>
      <c r="I2294" s="6">
        <f ca="1">-Main[[#This Row],[بدهی تسویه شده (کیلوگرم)]]+Main[[#This Row],[بستانکار (کیلوگرم)]]</f>
        <v>1058</v>
      </c>
      <c r="J2294" s="6">
        <f>IF(Main[[#This Row],[مقدار (کیلوگرم)]]&gt;0,Main[[#This Row],[مقدار (کیلوگرم)]],0)</f>
        <v>1058</v>
      </c>
      <c r="K2294" s="6">
        <f>-IF(Main[[#This Row],[مقدار (کیلوگرم)]]&lt;0,Main[[#This Row],[مقدار (کیلوگرم)]],0)</f>
        <v>0</v>
      </c>
      <c r="L22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4" s="7">
        <f>-IF(AND(Main[[#This Row],[مقدار (کیلوگرم)]]&lt;0,Main[[#This Row],[تاريخ میلادی]]&gt;44276),Main[[#This Row],[مقدار (کیلوگرم)]],0)</f>
        <v>0</v>
      </c>
      <c r="N2294" s="6">
        <f ca="1">Main[[#This Row],[بدهکار (کیلوگرم)]]-Main[[#This Row],[بدهی تسویه نشده (کیلوگرم)]]</f>
        <v>0</v>
      </c>
      <c r="O2294" s="6">
        <f ca="1">Main[[#This Row],[تفکیک]]</f>
        <v>0</v>
      </c>
      <c r="P2294" s="6">
        <f ca="1">IF(Main[[#This Row],[تاخیر از سررسید]]&gt;0,Main[[#This Row],[بدهی تسویه نشده (کیلوگرم)]],0)</f>
        <v>0</v>
      </c>
      <c r="Q2294" s="6">
        <f ca="1">IF(Main[[#This Row],[بدهی تسویه نشده (کیلوگرم)]]&gt;0,'گزارش فردی'!$B$7-Main[[#This Row],[تاريخ میلادی]],0)</f>
        <v>0</v>
      </c>
      <c r="R2294" s="6">
        <f ca="1">IF(Main[[#This Row],[بدهی تسویه نشده (کیلوگرم)]]&gt;0,'گزارش فردی'!$B$7-Main[[#This Row],[تاريخ میلادی]]-'گزارش فردی'!$B$8,0)</f>
        <v>0</v>
      </c>
      <c r="S2294" s="6">
        <f ca="1">Main[[#This Row],[روز از ارسال سفارش]]*Main[[#This Row],[بدهی تسویه نشده (کیلوگرم)]]</f>
        <v>0</v>
      </c>
      <c r="T2294" s="6">
        <f ca="1">Main[[#This Row],[بدهی سررسید شده (کیلوگرم)]]*Main[[#This Row],[روز از ارسال سفارش]]</f>
        <v>0</v>
      </c>
      <c r="U2294" s="6">
        <f>-SUBTOTAL(9,INDEX(Main[مقدار (کیلوگرم)],1):Main[[#This Row],[مقدار (کیلوگرم)]])</f>
        <v>29335</v>
      </c>
      <c r="V22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4" s="6">
        <f>Main[[#This Row],[تعداد کل روزهای بدهکار (روز)]]*Main[[#This Row],[مانده در خط کل (کیلوگرم)]]</f>
        <v>0</v>
      </c>
      <c r="X2294" s="6">
        <f ca="1">-SUBTOTAL(9,INDEX(Main[مقدار تسویه شده (کیلوگرم)],1):Main[[#This Row],[مقدار تسویه شده (کیلوگرم)]])</f>
        <v>29335</v>
      </c>
      <c r="Y2294" s="6">
        <f ca="1">IF(Main[[#This Row],[مانده در خط تسویه شده (کیلوگرم)]]&lt;&gt;0,Main[[#This Row],[تعداد کل روزهای بدهکار (روز)]],0)</f>
        <v>0</v>
      </c>
      <c r="Z2294" s="6">
        <f ca="1">Main[[#This Row],[تعداد روزهای بدهکار تسویه شده (روز)]]*Main[[#This Row],[مانده در خط تسویه شده (کیلوگرم)]]</f>
        <v>0</v>
      </c>
      <c r="AA2294" s="6">
        <f ca="1">SUBTOTAL(9,INDEX(Main[بدهی تسویه نشده (کیلوگرم)],1):Main[[#This Row],[بدهی تسویه نشده (کیلوگرم)]])</f>
        <v>0</v>
      </c>
      <c r="AB2294" s="6">
        <f ca="1">IF(Main[[#This Row],[مانده در خط تسویه نشده (کیلوگرم)]]&lt;&gt;0,Main[[#This Row],[تعداد کل روزهای بدهکار (روز)]],0)</f>
        <v>0</v>
      </c>
      <c r="AC2294" s="6">
        <f ca="1">Main[[#This Row],[تعداد روزهای بدهکار  تسویه نشده (روز)]]*Main[[#This Row],[مانده در خط تسویه نشده (کیلوگرم)]]</f>
        <v>0</v>
      </c>
      <c r="AD2294" s="6">
        <f ca="1">SUBTOTAL(9,INDEX(Main[بدهی سررسید شده (کیلوگرم)],1):Main[[#This Row],[بدهی سررسید شده (کیلوگرم)]])</f>
        <v>0</v>
      </c>
      <c r="AE2294" s="6">
        <f ca="1">IF(Main[[#This Row],[مانده در خط سررسید شده (کیلوگرم)]]&lt;&gt;0,Main[[#This Row],[تعداد کل روزهای بدهکار (روز)]],0)</f>
        <v>0</v>
      </c>
      <c r="AF2294" s="6">
        <f ca="1">Main[[#This Row],[تعداد روزهای بدهکار سررسید شده (روز)]]*Main[[#This Row],[مانده در خط سررسید شده (کیلوگرم)]]</f>
        <v>0</v>
      </c>
    </row>
    <row r="2295" spans="1:32" hidden="1" x14ac:dyDescent="0.35">
      <c r="A2295" s="5">
        <f>ROW()-ROW(INDEX(Main[ردیف],1))+1</f>
        <v>2293</v>
      </c>
      <c r="B2295" s="31">
        <f>SUBTOTAL(2,INDEX(Main[ردیف],1):Main[[#This Row],[ردیف]])</f>
        <v>211</v>
      </c>
      <c r="C2295" s="32" t="s">
        <v>791</v>
      </c>
      <c r="D2295" s="32" t="str">
        <f>_xlfn.CONCAT("14",Main[[#This Row],[تاريخ]])</f>
        <v>1400/09/06</v>
      </c>
      <c r="E2295" s="33">
        <v>44527</v>
      </c>
      <c r="F2295" s="32">
        <v>30066</v>
      </c>
      <c r="G2295" s="5" t="str">
        <f>INDEX(customer[عنوان],MATCH(Main[[#This Row],[کد ردیابی]],customer[کد],0))</f>
        <v xml:space="preserve">شیر آلات بهداشتی قهرمان </v>
      </c>
      <c r="H2295">
        <v>-300</v>
      </c>
      <c r="I2295" s="6">
        <f ca="1">-Main[[#This Row],[بدهی تسویه شده (کیلوگرم)]]+Main[[#This Row],[بستانکار (کیلوگرم)]]</f>
        <v>-300</v>
      </c>
      <c r="J2295" s="6">
        <f>IF(Main[[#This Row],[مقدار (کیلوگرم)]]&gt;0,Main[[#This Row],[مقدار (کیلوگرم)]],0)</f>
        <v>0</v>
      </c>
      <c r="K2295" s="6">
        <f>-IF(Main[[#This Row],[مقدار (کیلوگرم)]]&lt;0,Main[[#This Row],[مقدار (کیلوگرم)]],0)</f>
        <v>300</v>
      </c>
      <c r="L22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5" s="7">
        <f>-IF(AND(Main[[#This Row],[مقدار (کیلوگرم)]]&lt;0,Main[[#This Row],[تاريخ میلادی]]&gt;44276),Main[[#This Row],[مقدار (کیلوگرم)]],0)</f>
        <v>300</v>
      </c>
      <c r="N2295" s="6">
        <f ca="1">Main[[#This Row],[بدهکار (کیلوگرم)]]-Main[[#This Row],[بدهی تسویه نشده (کیلوگرم)]]</f>
        <v>300</v>
      </c>
      <c r="O2295" s="6">
        <f ca="1">Main[[#This Row],[تفکیک]]</f>
        <v>0</v>
      </c>
      <c r="P2295" s="6">
        <f ca="1">IF(Main[[#This Row],[تاخیر از سررسید]]&gt;0,Main[[#This Row],[بدهی تسویه نشده (کیلوگرم)]],0)</f>
        <v>0</v>
      </c>
      <c r="Q2295" s="6">
        <f ca="1">IF(Main[[#This Row],[بدهی تسویه نشده (کیلوگرم)]]&gt;0,'گزارش فردی'!$B$7-Main[[#This Row],[تاريخ میلادی]],0)</f>
        <v>0</v>
      </c>
      <c r="R2295" s="6">
        <f ca="1">IF(Main[[#This Row],[بدهی تسویه نشده (کیلوگرم)]]&gt;0,'گزارش فردی'!$B$7-Main[[#This Row],[تاريخ میلادی]]-'گزارش فردی'!$B$8,0)</f>
        <v>0</v>
      </c>
      <c r="S2295" s="6">
        <f ca="1">Main[[#This Row],[روز از ارسال سفارش]]*Main[[#This Row],[بدهی تسویه نشده (کیلوگرم)]]</f>
        <v>0</v>
      </c>
      <c r="T2295" s="6">
        <f ca="1">Main[[#This Row],[بدهی سررسید شده (کیلوگرم)]]*Main[[#This Row],[روز از ارسال سفارش]]</f>
        <v>0</v>
      </c>
      <c r="U2295" s="6">
        <f>-SUBTOTAL(9,INDEX(Main[مقدار (کیلوگرم)],1):Main[[#This Row],[مقدار (کیلوگرم)]])</f>
        <v>29335</v>
      </c>
      <c r="V22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5" s="6">
        <f>Main[[#This Row],[تعداد کل روزهای بدهکار (روز)]]*Main[[#This Row],[مانده در خط کل (کیلوگرم)]]</f>
        <v>0</v>
      </c>
      <c r="X2295" s="6">
        <f ca="1">-SUBTOTAL(9,INDEX(Main[مقدار تسویه شده (کیلوگرم)],1):Main[[#This Row],[مقدار تسویه شده (کیلوگرم)]])</f>
        <v>29335</v>
      </c>
      <c r="Y2295" s="6">
        <f ca="1">IF(Main[[#This Row],[مانده در خط تسویه شده (کیلوگرم)]]&lt;&gt;0,Main[[#This Row],[تعداد کل روزهای بدهکار (روز)]],0)</f>
        <v>0</v>
      </c>
      <c r="Z2295" s="6">
        <f ca="1">Main[[#This Row],[تعداد روزهای بدهکار تسویه شده (روز)]]*Main[[#This Row],[مانده در خط تسویه شده (کیلوگرم)]]</f>
        <v>0</v>
      </c>
      <c r="AA2295" s="6">
        <f ca="1">SUBTOTAL(9,INDEX(Main[بدهی تسویه نشده (کیلوگرم)],1):Main[[#This Row],[بدهی تسویه نشده (کیلوگرم)]])</f>
        <v>0</v>
      </c>
      <c r="AB2295" s="6">
        <f ca="1">IF(Main[[#This Row],[مانده در خط تسویه نشده (کیلوگرم)]]&lt;&gt;0,Main[[#This Row],[تعداد کل روزهای بدهکار (روز)]],0)</f>
        <v>0</v>
      </c>
      <c r="AC2295" s="6">
        <f ca="1">Main[[#This Row],[تعداد روزهای بدهکار  تسویه نشده (روز)]]*Main[[#This Row],[مانده در خط تسویه نشده (کیلوگرم)]]</f>
        <v>0</v>
      </c>
      <c r="AD2295" s="6">
        <f ca="1">SUBTOTAL(9,INDEX(Main[بدهی سررسید شده (کیلوگرم)],1):Main[[#This Row],[بدهی سررسید شده (کیلوگرم)]])</f>
        <v>0</v>
      </c>
      <c r="AE2295" s="6">
        <f ca="1">IF(Main[[#This Row],[مانده در خط سررسید شده (کیلوگرم)]]&lt;&gt;0,Main[[#This Row],[تعداد کل روزهای بدهکار (روز)]],0)</f>
        <v>0</v>
      </c>
      <c r="AF2295" s="6">
        <f ca="1">Main[[#This Row],[تعداد روزهای بدهکار سررسید شده (روز)]]*Main[[#This Row],[مانده در خط سررسید شده (کیلوگرم)]]</f>
        <v>0</v>
      </c>
    </row>
    <row r="2296" spans="1:32" hidden="1" x14ac:dyDescent="0.35">
      <c r="A2296" s="5">
        <f>ROW()-ROW(INDEX(Main[ردیف],1))+1</f>
        <v>2294</v>
      </c>
      <c r="B2296" s="31">
        <f>SUBTOTAL(2,INDEX(Main[ردیف],1):Main[[#This Row],[ردیف]])</f>
        <v>211</v>
      </c>
      <c r="C2296" s="32" t="s">
        <v>791</v>
      </c>
      <c r="D2296" s="32" t="str">
        <f>_xlfn.CONCAT("14",Main[[#This Row],[تاريخ]])</f>
        <v>1400/09/06</v>
      </c>
      <c r="E2296" s="33">
        <v>44527</v>
      </c>
      <c r="F2296" s="32">
        <v>30146</v>
      </c>
      <c r="G2296" s="5" t="str">
        <f>INDEX(customer[عنوان],MATCH(Main[[#This Row],[کد ردیابی]],customer[کد],0))</f>
        <v>شرکت آذرپاد</v>
      </c>
      <c r="H2296">
        <v>310</v>
      </c>
      <c r="I2296" s="6">
        <f ca="1">-Main[[#This Row],[بدهی تسویه شده (کیلوگرم)]]+Main[[#This Row],[بستانکار (کیلوگرم)]]</f>
        <v>310</v>
      </c>
      <c r="J2296" s="6">
        <f>IF(Main[[#This Row],[مقدار (کیلوگرم)]]&gt;0,Main[[#This Row],[مقدار (کیلوگرم)]],0)</f>
        <v>310</v>
      </c>
      <c r="K2296" s="6">
        <f>-IF(Main[[#This Row],[مقدار (کیلوگرم)]]&lt;0,Main[[#This Row],[مقدار (کیلوگرم)]],0)</f>
        <v>0</v>
      </c>
      <c r="L22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6" s="7">
        <f>-IF(AND(Main[[#This Row],[مقدار (کیلوگرم)]]&lt;0,Main[[#This Row],[تاريخ میلادی]]&gt;44276),Main[[#This Row],[مقدار (کیلوگرم)]],0)</f>
        <v>0</v>
      </c>
      <c r="N2296" s="6">
        <f ca="1">Main[[#This Row],[بدهکار (کیلوگرم)]]-Main[[#This Row],[بدهی تسویه نشده (کیلوگرم)]]</f>
        <v>0</v>
      </c>
      <c r="O2296" s="6">
        <f ca="1">Main[[#This Row],[تفکیک]]</f>
        <v>0</v>
      </c>
      <c r="P2296" s="6">
        <f ca="1">IF(Main[[#This Row],[تاخیر از سررسید]]&gt;0,Main[[#This Row],[بدهی تسویه نشده (کیلوگرم)]],0)</f>
        <v>0</v>
      </c>
      <c r="Q2296" s="6">
        <f ca="1">IF(Main[[#This Row],[بدهی تسویه نشده (کیلوگرم)]]&gt;0,'گزارش فردی'!$B$7-Main[[#This Row],[تاريخ میلادی]],0)</f>
        <v>0</v>
      </c>
      <c r="R2296" s="6">
        <f ca="1">IF(Main[[#This Row],[بدهی تسویه نشده (کیلوگرم)]]&gt;0,'گزارش فردی'!$B$7-Main[[#This Row],[تاريخ میلادی]]-'گزارش فردی'!$B$8,0)</f>
        <v>0</v>
      </c>
      <c r="S2296" s="6">
        <f ca="1">Main[[#This Row],[روز از ارسال سفارش]]*Main[[#This Row],[بدهی تسویه نشده (کیلوگرم)]]</f>
        <v>0</v>
      </c>
      <c r="T2296" s="6">
        <f ca="1">Main[[#This Row],[بدهی سررسید شده (کیلوگرم)]]*Main[[#This Row],[روز از ارسال سفارش]]</f>
        <v>0</v>
      </c>
      <c r="U2296" s="6">
        <f>-SUBTOTAL(9,INDEX(Main[مقدار (کیلوگرم)],1):Main[[#This Row],[مقدار (کیلوگرم)]])</f>
        <v>29335</v>
      </c>
      <c r="V22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6" s="6">
        <f>Main[[#This Row],[تعداد کل روزهای بدهکار (روز)]]*Main[[#This Row],[مانده در خط کل (کیلوگرم)]]</f>
        <v>0</v>
      </c>
      <c r="X2296" s="6">
        <f ca="1">-SUBTOTAL(9,INDEX(Main[مقدار تسویه شده (کیلوگرم)],1):Main[[#This Row],[مقدار تسویه شده (کیلوگرم)]])</f>
        <v>29335</v>
      </c>
      <c r="Y2296" s="6">
        <f ca="1">IF(Main[[#This Row],[مانده در خط تسویه شده (کیلوگرم)]]&lt;&gt;0,Main[[#This Row],[تعداد کل روزهای بدهکار (روز)]],0)</f>
        <v>0</v>
      </c>
      <c r="Z2296" s="6">
        <f ca="1">Main[[#This Row],[تعداد روزهای بدهکار تسویه شده (روز)]]*Main[[#This Row],[مانده در خط تسویه شده (کیلوگرم)]]</f>
        <v>0</v>
      </c>
      <c r="AA2296" s="6">
        <f ca="1">SUBTOTAL(9,INDEX(Main[بدهی تسویه نشده (کیلوگرم)],1):Main[[#This Row],[بدهی تسویه نشده (کیلوگرم)]])</f>
        <v>0</v>
      </c>
      <c r="AB2296" s="6">
        <f ca="1">IF(Main[[#This Row],[مانده در خط تسویه نشده (کیلوگرم)]]&lt;&gt;0,Main[[#This Row],[تعداد کل روزهای بدهکار (روز)]],0)</f>
        <v>0</v>
      </c>
      <c r="AC2296" s="6">
        <f ca="1">Main[[#This Row],[تعداد روزهای بدهکار  تسویه نشده (روز)]]*Main[[#This Row],[مانده در خط تسویه نشده (کیلوگرم)]]</f>
        <v>0</v>
      </c>
      <c r="AD2296" s="6">
        <f ca="1">SUBTOTAL(9,INDEX(Main[بدهی سررسید شده (کیلوگرم)],1):Main[[#This Row],[بدهی سررسید شده (کیلوگرم)]])</f>
        <v>0</v>
      </c>
      <c r="AE2296" s="6">
        <f ca="1">IF(Main[[#This Row],[مانده در خط سررسید شده (کیلوگرم)]]&lt;&gt;0,Main[[#This Row],[تعداد کل روزهای بدهکار (روز)]],0)</f>
        <v>0</v>
      </c>
      <c r="AF2296" s="6">
        <f ca="1">Main[[#This Row],[تعداد روزهای بدهکار سررسید شده (روز)]]*Main[[#This Row],[مانده در خط سررسید شده (کیلوگرم)]]</f>
        <v>0</v>
      </c>
    </row>
    <row r="2297" spans="1:32" hidden="1" x14ac:dyDescent="0.35">
      <c r="A2297" s="5">
        <f>ROW()-ROW(INDEX(Main[ردیف],1))+1</f>
        <v>2295</v>
      </c>
      <c r="B2297" s="31">
        <f>SUBTOTAL(2,INDEX(Main[ردیف],1):Main[[#This Row],[ردیف]])</f>
        <v>211</v>
      </c>
      <c r="C2297" s="32" t="s">
        <v>791</v>
      </c>
      <c r="D2297" s="32" t="str">
        <f>_xlfn.CONCAT("14",Main[[#This Row],[تاريخ]])</f>
        <v>1400/09/06</v>
      </c>
      <c r="E2297" s="33">
        <v>44527</v>
      </c>
      <c r="F2297" s="32">
        <v>30022</v>
      </c>
      <c r="G2297" s="5" t="str">
        <f>INDEX(customer[عنوان],MATCH(Main[[#This Row],[کد ردیابی]],customer[کد],0))</f>
        <v xml:space="preserve">کلار پویا </v>
      </c>
      <c r="H2297">
        <v>-4877</v>
      </c>
      <c r="I2297" s="6">
        <f ca="1">-Main[[#This Row],[بدهی تسویه شده (کیلوگرم)]]+Main[[#This Row],[بستانکار (کیلوگرم)]]</f>
        <v>-4877</v>
      </c>
      <c r="J2297" s="6">
        <f>IF(Main[[#This Row],[مقدار (کیلوگرم)]]&gt;0,Main[[#This Row],[مقدار (کیلوگرم)]],0)</f>
        <v>0</v>
      </c>
      <c r="K2297" s="6">
        <f>-IF(Main[[#This Row],[مقدار (کیلوگرم)]]&lt;0,Main[[#This Row],[مقدار (کیلوگرم)]],0)</f>
        <v>4877</v>
      </c>
      <c r="L22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7" s="7">
        <f>-IF(AND(Main[[#This Row],[مقدار (کیلوگرم)]]&lt;0,Main[[#This Row],[تاريخ میلادی]]&gt;44276),Main[[#This Row],[مقدار (کیلوگرم)]],0)</f>
        <v>4877</v>
      </c>
      <c r="N2297" s="6">
        <f ca="1">Main[[#This Row],[بدهکار (کیلوگرم)]]-Main[[#This Row],[بدهی تسویه نشده (کیلوگرم)]]</f>
        <v>4877</v>
      </c>
      <c r="O2297" s="6">
        <f ca="1">Main[[#This Row],[تفکیک]]</f>
        <v>0</v>
      </c>
      <c r="P2297" s="6">
        <f ca="1">IF(Main[[#This Row],[تاخیر از سررسید]]&gt;0,Main[[#This Row],[بدهی تسویه نشده (کیلوگرم)]],0)</f>
        <v>0</v>
      </c>
      <c r="Q2297" s="6">
        <f ca="1">IF(Main[[#This Row],[بدهی تسویه نشده (کیلوگرم)]]&gt;0,'گزارش فردی'!$B$7-Main[[#This Row],[تاريخ میلادی]],0)</f>
        <v>0</v>
      </c>
      <c r="R2297" s="6">
        <f ca="1">IF(Main[[#This Row],[بدهی تسویه نشده (کیلوگرم)]]&gt;0,'گزارش فردی'!$B$7-Main[[#This Row],[تاريخ میلادی]]-'گزارش فردی'!$B$8,0)</f>
        <v>0</v>
      </c>
      <c r="S2297" s="6">
        <f ca="1">Main[[#This Row],[روز از ارسال سفارش]]*Main[[#This Row],[بدهی تسویه نشده (کیلوگرم)]]</f>
        <v>0</v>
      </c>
      <c r="T2297" s="6">
        <f ca="1">Main[[#This Row],[بدهی سررسید شده (کیلوگرم)]]*Main[[#This Row],[روز از ارسال سفارش]]</f>
        <v>0</v>
      </c>
      <c r="U2297" s="6">
        <f>-SUBTOTAL(9,INDEX(Main[مقدار (کیلوگرم)],1):Main[[#This Row],[مقدار (کیلوگرم)]])</f>
        <v>29335</v>
      </c>
      <c r="V22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7" s="6">
        <f>Main[[#This Row],[تعداد کل روزهای بدهکار (روز)]]*Main[[#This Row],[مانده در خط کل (کیلوگرم)]]</f>
        <v>0</v>
      </c>
      <c r="X2297" s="6">
        <f ca="1">-SUBTOTAL(9,INDEX(Main[مقدار تسویه شده (کیلوگرم)],1):Main[[#This Row],[مقدار تسویه شده (کیلوگرم)]])</f>
        <v>29335</v>
      </c>
      <c r="Y2297" s="6">
        <f ca="1">IF(Main[[#This Row],[مانده در خط تسویه شده (کیلوگرم)]]&lt;&gt;0,Main[[#This Row],[تعداد کل روزهای بدهکار (روز)]],0)</f>
        <v>0</v>
      </c>
      <c r="Z2297" s="6">
        <f ca="1">Main[[#This Row],[تعداد روزهای بدهکار تسویه شده (روز)]]*Main[[#This Row],[مانده در خط تسویه شده (کیلوگرم)]]</f>
        <v>0</v>
      </c>
      <c r="AA2297" s="6">
        <f ca="1">SUBTOTAL(9,INDEX(Main[بدهی تسویه نشده (کیلوگرم)],1):Main[[#This Row],[بدهی تسویه نشده (کیلوگرم)]])</f>
        <v>0</v>
      </c>
      <c r="AB2297" s="6">
        <f ca="1">IF(Main[[#This Row],[مانده در خط تسویه نشده (کیلوگرم)]]&lt;&gt;0,Main[[#This Row],[تعداد کل روزهای بدهکار (روز)]],0)</f>
        <v>0</v>
      </c>
      <c r="AC2297" s="6">
        <f ca="1">Main[[#This Row],[تعداد روزهای بدهکار  تسویه نشده (روز)]]*Main[[#This Row],[مانده در خط تسویه نشده (کیلوگرم)]]</f>
        <v>0</v>
      </c>
      <c r="AD2297" s="6">
        <f ca="1">SUBTOTAL(9,INDEX(Main[بدهی سررسید شده (کیلوگرم)],1):Main[[#This Row],[بدهی سررسید شده (کیلوگرم)]])</f>
        <v>0</v>
      </c>
      <c r="AE2297" s="6">
        <f ca="1">IF(Main[[#This Row],[مانده در خط سررسید شده (کیلوگرم)]]&lt;&gt;0,Main[[#This Row],[تعداد کل روزهای بدهکار (روز)]],0)</f>
        <v>0</v>
      </c>
      <c r="AF2297" s="6">
        <f ca="1">Main[[#This Row],[تعداد روزهای بدهکار سررسید شده (روز)]]*Main[[#This Row],[مانده در خط سررسید شده (کیلوگرم)]]</f>
        <v>0</v>
      </c>
    </row>
    <row r="2298" spans="1:32" hidden="1" x14ac:dyDescent="0.35">
      <c r="A2298" s="5">
        <f>ROW()-ROW(INDEX(Main[ردیف],1))+1</f>
        <v>2296</v>
      </c>
      <c r="B2298" s="31">
        <f>SUBTOTAL(2,INDEX(Main[ردیف],1):Main[[#This Row],[ردیف]])</f>
        <v>211</v>
      </c>
      <c r="C2298" s="32" t="s">
        <v>791</v>
      </c>
      <c r="D2298" s="32" t="str">
        <f>_xlfn.CONCAT("14",Main[[#This Row],[تاريخ]])</f>
        <v>1400/09/06</v>
      </c>
      <c r="E2298" s="33">
        <v>44527</v>
      </c>
      <c r="F2298" s="32">
        <v>10055</v>
      </c>
      <c r="G2298" s="5" t="str">
        <f>INDEX(customer[عنوان],MATCH(Main[[#This Row],[کد ردیابی]],customer[کد],0))</f>
        <v xml:space="preserve">مریم فیض آبادی  </v>
      </c>
      <c r="H2298">
        <v>4045</v>
      </c>
      <c r="I2298" s="6">
        <f ca="1">-Main[[#This Row],[بدهی تسویه شده (کیلوگرم)]]+Main[[#This Row],[بستانکار (کیلوگرم)]]</f>
        <v>4045</v>
      </c>
      <c r="J2298" s="6">
        <f>IF(Main[[#This Row],[مقدار (کیلوگرم)]]&gt;0,Main[[#This Row],[مقدار (کیلوگرم)]],0)</f>
        <v>4045</v>
      </c>
      <c r="K2298" s="6">
        <f>-IF(Main[[#This Row],[مقدار (کیلوگرم)]]&lt;0,Main[[#This Row],[مقدار (کیلوگرم)]],0)</f>
        <v>0</v>
      </c>
      <c r="L22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8" s="7">
        <f>-IF(AND(Main[[#This Row],[مقدار (کیلوگرم)]]&lt;0,Main[[#This Row],[تاريخ میلادی]]&gt;44276),Main[[#This Row],[مقدار (کیلوگرم)]],0)</f>
        <v>0</v>
      </c>
      <c r="N2298" s="6">
        <f ca="1">Main[[#This Row],[بدهکار (کیلوگرم)]]-Main[[#This Row],[بدهی تسویه نشده (کیلوگرم)]]</f>
        <v>0</v>
      </c>
      <c r="O2298" s="6">
        <f ca="1">Main[[#This Row],[تفکیک]]</f>
        <v>0</v>
      </c>
      <c r="P2298" s="6">
        <f ca="1">IF(Main[[#This Row],[تاخیر از سررسید]]&gt;0,Main[[#This Row],[بدهی تسویه نشده (کیلوگرم)]],0)</f>
        <v>0</v>
      </c>
      <c r="Q2298" s="6">
        <f ca="1">IF(Main[[#This Row],[بدهی تسویه نشده (کیلوگرم)]]&gt;0,'گزارش فردی'!$B$7-Main[[#This Row],[تاريخ میلادی]],0)</f>
        <v>0</v>
      </c>
      <c r="R2298" s="6">
        <f ca="1">IF(Main[[#This Row],[بدهی تسویه نشده (کیلوگرم)]]&gt;0,'گزارش فردی'!$B$7-Main[[#This Row],[تاريخ میلادی]]-'گزارش فردی'!$B$8,0)</f>
        <v>0</v>
      </c>
      <c r="S2298" s="6">
        <f ca="1">Main[[#This Row],[روز از ارسال سفارش]]*Main[[#This Row],[بدهی تسویه نشده (کیلوگرم)]]</f>
        <v>0</v>
      </c>
      <c r="T2298" s="6">
        <f ca="1">Main[[#This Row],[بدهی سررسید شده (کیلوگرم)]]*Main[[#This Row],[روز از ارسال سفارش]]</f>
        <v>0</v>
      </c>
      <c r="U2298" s="6">
        <f>-SUBTOTAL(9,INDEX(Main[مقدار (کیلوگرم)],1):Main[[#This Row],[مقدار (کیلوگرم)]])</f>
        <v>29335</v>
      </c>
      <c r="V22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8" s="6">
        <f>Main[[#This Row],[تعداد کل روزهای بدهکار (روز)]]*Main[[#This Row],[مانده در خط کل (کیلوگرم)]]</f>
        <v>0</v>
      </c>
      <c r="X2298" s="6">
        <f ca="1">-SUBTOTAL(9,INDEX(Main[مقدار تسویه شده (کیلوگرم)],1):Main[[#This Row],[مقدار تسویه شده (کیلوگرم)]])</f>
        <v>29335</v>
      </c>
      <c r="Y2298" s="6">
        <f ca="1">IF(Main[[#This Row],[مانده در خط تسویه شده (کیلوگرم)]]&lt;&gt;0,Main[[#This Row],[تعداد کل روزهای بدهکار (روز)]],0)</f>
        <v>0</v>
      </c>
      <c r="Z2298" s="6">
        <f ca="1">Main[[#This Row],[تعداد روزهای بدهکار تسویه شده (روز)]]*Main[[#This Row],[مانده در خط تسویه شده (کیلوگرم)]]</f>
        <v>0</v>
      </c>
      <c r="AA2298" s="6">
        <f ca="1">SUBTOTAL(9,INDEX(Main[بدهی تسویه نشده (کیلوگرم)],1):Main[[#This Row],[بدهی تسویه نشده (کیلوگرم)]])</f>
        <v>0</v>
      </c>
      <c r="AB2298" s="6">
        <f ca="1">IF(Main[[#This Row],[مانده در خط تسویه نشده (کیلوگرم)]]&lt;&gt;0,Main[[#This Row],[تعداد کل روزهای بدهکار (روز)]],0)</f>
        <v>0</v>
      </c>
      <c r="AC2298" s="6">
        <f ca="1">Main[[#This Row],[تعداد روزهای بدهکار  تسویه نشده (روز)]]*Main[[#This Row],[مانده در خط تسویه نشده (کیلوگرم)]]</f>
        <v>0</v>
      </c>
      <c r="AD2298" s="6">
        <f ca="1">SUBTOTAL(9,INDEX(Main[بدهی سررسید شده (کیلوگرم)],1):Main[[#This Row],[بدهی سررسید شده (کیلوگرم)]])</f>
        <v>0</v>
      </c>
      <c r="AE2298" s="6">
        <f ca="1">IF(Main[[#This Row],[مانده در خط سررسید شده (کیلوگرم)]]&lt;&gt;0,Main[[#This Row],[تعداد کل روزهای بدهکار (روز)]],0)</f>
        <v>0</v>
      </c>
      <c r="AF2298" s="6">
        <f ca="1">Main[[#This Row],[تعداد روزهای بدهکار سررسید شده (روز)]]*Main[[#This Row],[مانده در خط سررسید شده (کیلوگرم)]]</f>
        <v>0</v>
      </c>
    </row>
    <row r="2299" spans="1:32" hidden="1" x14ac:dyDescent="0.35">
      <c r="A2299" s="5">
        <f>ROW()-ROW(INDEX(Main[ردیف],1))+1</f>
        <v>2297</v>
      </c>
      <c r="B2299" s="31">
        <f>SUBTOTAL(2,INDEX(Main[ردیف],1):Main[[#This Row],[ردیف]])</f>
        <v>211</v>
      </c>
      <c r="C2299" s="32" t="s">
        <v>791</v>
      </c>
      <c r="D2299" s="32" t="str">
        <f>_xlfn.CONCAT("14",Main[[#This Row],[تاريخ]])</f>
        <v>1400/09/06</v>
      </c>
      <c r="E2299" s="33">
        <v>44527</v>
      </c>
      <c r="F2299" s="32">
        <v>30186</v>
      </c>
      <c r="G2299" s="5" t="str">
        <f>INDEX(customer[عنوان],MATCH(Main[[#This Row],[کد ردیابی]],customer[کد],0))</f>
        <v>سارا گاز</v>
      </c>
      <c r="H2299">
        <v>-1896</v>
      </c>
      <c r="I2299" s="6">
        <f ca="1">-Main[[#This Row],[بدهی تسویه شده (کیلوگرم)]]+Main[[#This Row],[بستانکار (کیلوگرم)]]</f>
        <v>-1896</v>
      </c>
      <c r="J2299" s="6">
        <f>IF(Main[[#This Row],[مقدار (کیلوگرم)]]&gt;0,Main[[#This Row],[مقدار (کیلوگرم)]],0)</f>
        <v>0</v>
      </c>
      <c r="K2299" s="6">
        <f>-IF(Main[[#This Row],[مقدار (کیلوگرم)]]&lt;0,Main[[#This Row],[مقدار (کیلوگرم)]],0)</f>
        <v>1896</v>
      </c>
      <c r="L22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9" s="7">
        <f>-IF(AND(Main[[#This Row],[مقدار (کیلوگرم)]]&lt;0,Main[[#This Row],[تاريخ میلادی]]&gt;44276),Main[[#This Row],[مقدار (کیلوگرم)]],0)</f>
        <v>1896</v>
      </c>
      <c r="N2299" s="6">
        <f ca="1">Main[[#This Row],[بدهکار (کیلوگرم)]]-Main[[#This Row],[بدهی تسویه نشده (کیلوگرم)]]</f>
        <v>1896</v>
      </c>
      <c r="O2299" s="6">
        <f ca="1">Main[[#This Row],[تفکیک]]</f>
        <v>0</v>
      </c>
      <c r="P2299" s="6">
        <f ca="1">IF(Main[[#This Row],[تاخیر از سررسید]]&gt;0,Main[[#This Row],[بدهی تسویه نشده (کیلوگرم)]],0)</f>
        <v>0</v>
      </c>
      <c r="Q2299" s="6">
        <f ca="1">IF(Main[[#This Row],[بدهی تسویه نشده (کیلوگرم)]]&gt;0,'گزارش فردی'!$B$7-Main[[#This Row],[تاريخ میلادی]],0)</f>
        <v>0</v>
      </c>
      <c r="R2299" s="6">
        <f ca="1">IF(Main[[#This Row],[بدهی تسویه نشده (کیلوگرم)]]&gt;0,'گزارش فردی'!$B$7-Main[[#This Row],[تاريخ میلادی]]-'گزارش فردی'!$B$8,0)</f>
        <v>0</v>
      </c>
      <c r="S2299" s="6">
        <f ca="1">Main[[#This Row],[روز از ارسال سفارش]]*Main[[#This Row],[بدهی تسویه نشده (کیلوگرم)]]</f>
        <v>0</v>
      </c>
      <c r="T2299" s="6">
        <f ca="1">Main[[#This Row],[بدهی سررسید شده (کیلوگرم)]]*Main[[#This Row],[روز از ارسال سفارش]]</f>
        <v>0</v>
      </c>
      <c r="U2299" s="6">
        <f>-SUBTOTAL(9,INDEX(Main[مقدار (کیلوگرم)],1):Main[[#This Row],[مقدار (کیلوگرم)]])</f>
        <v>29335</v>
      </c>
      <c r="V22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9" s="6">
        <f>Main[[#This Row],[تعداد کل روزهای بدهکار (روز)]]*Main[[#This Row],[مانده در خط کل (کیلوگرم)]]</f>
        <v>0</v>
      </c>
      <c r="X2299" s="6">
        <f ca="1">-SUBTOTAL(9,INDEX(Main[مقدار تسویه شده (کیلوگرم)],1):Main[[#This Row],[مقدار تسویه شده (کیلوگرم)]])</f>
        <v>29335</v>
      </c>
      <c r="Y2299" s="6">
        <f ca="1">IF(Main[[#This Row],[مانده در خط تسویه شده (کیلوگرم)]]&lt;&gt;0,Main[[#This Row],[تعداد کل روزهای بدهکار (روز)]],0)</f>
        <v>0</v>
      </c>
      <c r="Z2299" s="6">
        <f ca="1">Main[[#This Row],[تعداد روزهای بدهکار تسویه شده (روز)]]*Main[[#This Row],[مانده در خط تسویه شده (کیلوگرم)]]</f>
        <v>0</v>
      </c>
      <c r="AA2299" s="6">
        <f ca="1">SUBTOTAL(9,INDEX(Main[بدهی تسویه نشده (کیلوگرم)],1):Main[[#This Row],[بدهی تسویه نشده (کیلوگرم)]])</f>
        <v>0</v>
      </c>
      <c r="AB2299" s="6">
        <f ca="1">IF(Main[[#This Row],[مانده در خط تسویه نشده (کیلوگرم)]]&lt;&gt;0,Main[[#This Row],[تعداد کل روزهای بدهکار (روز)]],0)</f>
        <v>0</v>
      </c>
      <c r="AC2299" s="6">
        <f ca="1">Main[[#This Row],[تعداد روزهای بدهکار  تسویه نشده (روز)]]*Main[[#This Row],[مانده در خط تسویه نشده (کیلوگرم)]]</f>
        <v>0</v>
      </c>
      <c r="AD2299" s="6">
        <f ca="1">SUBTOTAL(9,INDEX(Main[بدهی سررسید شده (کیلوگرم)],1):Main[[#This Row],[بدهی سررسید شده (کیلوگرم)]])</f>
        <v>0</v>
      </c>
      <c r="AE2299" s="6">
        <f ca="1">IF(Main[[#This Row],[مانده در خط سررسید شده (کیلوگرم)]]&lt;&gt;0,Main[[#This Row],[تعداد کل روزهای بدهکار (روز)]],0)</f>
        <v>0</v>
      </c>
      <c r="AF2299" s="6">
        <f ca="1">Main[[#This Row],[تعداد روزهای بدهکار سررسید شده (روز)]]*Main[[#This Row],[مانده در خط سررسید شده (کیلوگرم)]]</f>
        <v>0</v>
      </c>
    </row>
    <row r="2300" spans="1:32" hidden="1" x14ac:dyDescent="0.35">
      <c r="A2300" s="5">
        <f>ROW()-ROW(INDEX(Main[ردیف],1))+1</f>
        <v>2298</v>
      </c>
      <c r="B2300" s="31">
        <f>SUBTOTAL(2,INDEX(Main[ردیف],1):Main[[#This Row],[ردیف]])</f>
        <v>211</v>
      </c>
      <c r="C2300" s="32" t="s">
        <v>791</v>
      </c>
      <c r="D2300" s="32" t="str">
        <f>_xlfn.CONCAT("14",Main[[#This Row],[تاريخ]])</f>
        <v>1400/09/06</v>
      </c>
      <c r="E2300" s="33">
        <v>44527</v>
      </c>
      <c r="F2300" s="32">
        <v>30146</v>
      </c>
      <c r="G2300" s="5" t="str">
        <f>INDEX(customer[عنوان],MATCH(Main[[#This Row],[کد ردیابی]],customer[کد],0))</f>
        <v>شرکت آذرپاد</v>
      </c>
      <c r="H2300">
        <v>597</v>
      </c>
      <c r="I2300" s="6">
        <f ca="1">-Main[[#This Row],[بدهی تسویه شده (کیلوگرم)]]+Main[[#This Row],[بستانکار (کیلوگرم)]]</f>
        <v>597</v>
      </c>
      <c r="J2300" s="6">
        <f>IF(Main[[#This Row],[مقدار (کیلوگرم)]]&gt;0,Main[[#This Row],[مقدار (کیلوگرم)]],0)</f>
        <v>597</v>
      </c>
      <c r="K2300" s="6">
        <f>-IF(Main[[#This Row],[مقدار (کیلوگرم)]]&lt;0,Main[[#This Row],[مقدار (کیلوگرم)]],0)</f>
        <v>0</v>
      </c>
      <c r="L23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0" s="7">
        <f>-IF(AND(Main[[#This Row],[مقدار (کیلوگرم)]]&lt;0,Main[[#This Row],[تاريخ میلادی]]&gt;44276),Main[[#This Row],[مقدار (کیلوگرم)]],0)</f>
        <v>0</v>
      </c>
      <c r="N2300" s="6">
        <f ca="1">Main[[#This Row],[بدهکار (کیلوگرم)]]-Main[[#This Row],[بدهی تسویه نشده (کیلوگرم)]]</f>
        <v>0</v>
      </c>
      <c r="O2300" s="6">
        <f ca="1">Main[[#This Row],[تفکیک]]</f>
        <v>0</v>
      </c>
      <c r="P2300" s="6">
        <f ca="1">IF(Main[[#This Row],[تاخیر از سررسید]]&gt;0,Main[[#This Row],[بدهی تسویه نشده (کیلوگرم)]],0)</f>
        <v>0</v>
      </c>
      <c r="Q2300" s="6">
        <f ca="1">IF(Main[[#This Row],[بدهی تسویه نشده (کیلوگرم)]]&gt;0,'گزارش فردی'!$B$7-Main[[#This Row],[تاريخ میلادی]],0)</f>
        <v>0</v>
      </c>
      <c r="R2300" s="6">
        <f ca="1">IF(Main[[#This Row],[بدهی تسویه نشده (کیلوگرم)]]&gt;0,'گزارش فردی'!$B$7-Main[[#This Row],[تاريخ میلادی]]-'گزارش فردی'!$B$8,0)</f>
        <v>0</v>
      </c>
      <c r="S2300" s="6">
        <f ca="1">Main[[#This Row],[روز از ارسال سفارش]]*Main[[#This Row],[بدهی تسویه نشده (کیلوگرم)]]</f>
        <v>0</v>
      </c>
      <c r="T2300" s="6">
        <f ca="1">Main[[#This Row],[بدهی سررسید شده (کیلوگرم)]]*Main[[#This Row],[روز از ارسال سفارش]]</f>
        <v>0</v>
      </c>
      <c r="U2300" s="6">
        <f>-SUBTOTAL(9,INDEX(Main[مقدار (کیلوگرم)],1):Main[[#This Row],[مقدار (کیلوگرم)]])</f>
        <v>29335</v>
      </c>
      <c r="V23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0" s="6">
        <f>Main[[#This Row],[تعداد کل روزهای بدهکار (روز)]]*Main[[#This Row],[مانده در خط کل (کیلوگرم)]]</f>
        <v>0</v>
      </c>
      <c r="X2300" s="6">
        <f ca="1">-SUBTOTAL(9,INDEX(Main[مقدار تسویه شده (کیلوگرم)],1):Main[[#This Row],[مقدار تسویه شده (کیلوگرم)]])</f>
        <v>29335</v>
      </c>
      <c r="Y2300" s="6">
        <f ca="1">IF(Main[[#This Row],[مانده در خط تسویه شده (کیلوگرم)]]&lt;&gt;0,Main[[#This Row],[تعداد کل روزهای بدهکار (روز)]],0)</f>
        <v>0</v>
      </c>
      <c r="Z2300" s="6">
        <f ca="1">Main[[#This Row],[تعداد روزهای بدهکار تسویه شده (روز)]]*Main[[#This Row],[مانده در خط تسویه شده (کیلوگرم)]]</f>
        <v>0</v>
      </c>
      <c r="AA2300" s="6">
        <f ca="1">SUBTOTAL(9,INDEX(Main[بدهی تسویه نشده (کیلوگرم)],1):Main[[#This Row],[بدهی تسویه نشده (کیلوگرم)]])</f>
        <v>0</v>
      </c>
      <c r="AB2300" s="6">
        <f ca="1">IF(Main[[#This Row],[مانده در خط تسویه نشده (کیلوگرم)]]&lt;&gt;0,Main[[#This Row],[تعداد کل روزهای بدهکار (روز)]],0)</f>
        <v>0</v>
      </c>
      <c r="AC2300" s="6">
        <f ca="1">Main[[#This Row],[تعداد روزهای بدهکار  تسویه نشده (روز)]]*Main[[#This Row],[مانده در خط تسویه نشده (کیلوگرم)]]</f>
        <v>0</v>
      </c>
      <c r="AD2300" s="6">
        <f ca="1">SUBTOTAL(9,INDEX(Main[بدهی سررسید شده (کیلوگرم)],1):Main[[#This Row],[بدهی سررسید شده (کیلوگرم)]])</f>
        <v>0</v>
      </c>
      <c r="AE2300" s="6">
        <f ca="1">IF(Main[[#This Row],[مانده در خط سررسید شده (کیلوگرم)]]&lt;&gt;0,Main[[#This Row],[تعداد کل روزهای بدهکار (روز)]],0)</f>
        <v>0</v>
      </c>
      <c r="AF2300" s="6">
        <f ca="1">Main[[#This Row],[تعداد روزهای بدهکار سررسید شده (روز)]]*Main[[#This Row],[مانده در خط سررسید شده (کیلوگرم)]]</f>
        <v>0</v>
      </c>
    </row>
    <row r="2301" spans="1:32" hidden="1" x14ac:dyDescent="0.35">
      <c r="A2301" s="5">
        <f>ROW()-ROW(INDEX(Main[ردیف],1))+1</f>
        <v>2299</v>
      </c>
      <c r="B2301" s="31">
        <f>SUBTOTAL(2,INDEX(Main[ردیف],1):Main[[#This Row],[ردیف]])</f>
        <v>211</v>
      </c>
      <c r="C2301" s="32" t="s">
        <v>791</v>
      </c>
      <c r="D2301" s="32" t="str">
        <f>_xlfn.CONCAT("14",Main[[#This Row],[تاريخ]])</f>
        <v>1400/09/06</v>
      </c>
      <c r="E2301" s="33">
        <v>44527</v>
      </c>
      <c r="F2301" s="32">
        <v>30146</v>
      </c>
      <c r="G2301" s="5" t="str">
        <f>INDEX(customer[عنوان],MATCH(Main[[#This Row],[کد ردیابی]],customer[کد],0))</f>
        <v>شرکت آذرپاد</v>
      </c>
      <c r="H2301">
        <v>-3075</v>
      </c>
      <c r="I2301" s="6">
        <f ca="1">-Main[[#This Row],[بدهی تسویه شده (کیلوگرم)]]+Main[[#This Row],[بستانکار (کیلوگرم)]]</f>
        <v>-3075</v>
      </c>
      <c r="J2301" s="6">
        <f>IF(Main[[#This Row],[مقدار (کیلوگرم)]]&gt;0,Main[[#This Row],[مقدار (کیلوگرم)]],0)</f>
        <v>0</v>
      </c>
      <c r="K2301" s="6">
        <f>-IF(Main[[#This Row],[مقدار (کیلوگرم)]]&lt;0,Main[[#This Row],[مقدار (کیلوگرم)]],0)</f>
        <v>3075</v>
      </c>
      <c r="L23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1" s="7">
        <f>-IF(AND(Main[[#This Row],[مقدار (کیلوگرم)]]&lt;0,Main[[#This Row],[تاريخ میلادی]]&gt;44276),Main[[#This Row],[مقدار (کیلوگرم)]],0)</f>
        <v>3075</v>
      </c>
      <c r="N2301" s="6">
        <f ca="1">Main[[#This Row],[بدهکار (کیلوگرم)]]-Main[[#This Row],[بدهی تسویه نشده (کیلوگرم)]]</f>
        <v>3075</v>
      </c>
      <c r="O2301" s="6">
        <f ca="1">Main[[#This Row],[تفکیک]]</f>
        <v>0</v>
      </c>
      <c r="P2301" s="6">
        <f ca="1">IF(Main[[#This Row],[تاخیر از سررسید]]&gt;0,Main[[#This Row],[بدهی تسویه نشده (کیلوگرم)]],0)</f>
        <v>0</v>
      </c>
      <c r="Q2301" s="6">
        <f ca="1">IF(Main[[#This Row],[بدهی تسویه نشده (کیلوگرم)]]&gt;0,'گزارش فردی'!$B$7-Main[[#This Row],[تاريخ میلادی]],0)</f>
        <v>0</v>
      </c>
      <c r="R2301" s="6">
        <f ca="1">IF(Main[[#This Row],[بدهی تسویه نشده (کیلوگرم)]]&gt;0,'گزارش فردی'!$B$7-Main[[#This Row],[تاريخ میلادی]]-'گزارش فردی'!$B$8,0)</f>
        <v>0</v>
      </c>
      <c r="S2301" s="6">
        <f ca="1">Main[[#This Row],[روز از ارسال سفارش]]*Main[[#This Row],[بدهی تسویه نشده (کیلوگرم)]]</f>
        <v>0</v>
      </c>
      <c r="T2301" s="6">
        <f ca="1">Main[[#This Row],[بدهی سررسید شده (کیلوگرم)]]*Main[[#This Row],[روز از ارسال سفارش]]</f>
        <v>0</v>
      </c>
      <c r="U2301" s="6">
        <f>-SUBTOTAL(9,INDEX(Main[مقدار (کیلوگرم)],1):Main[[#This Row],[مقدار (کیلوگرم)]])</f>
        <v>29335</v>
      </c>
      <c r="V23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1" s="6">
        <f>Main[[#This Row],[تعداد کل روزهای بدهکار (روز)]]*Main[[#This Row],[مانده در خط کل (کیلوگرم)]]</f>
        <v>0</v>
      </c>
      <c r="X2301" s="6">
        <f ca="1">-SUBTOTAL(9,INDEX(Main[مقدار تسویه شده (کیلوگرم)],1):Main[[#This Row],[مقدار تسویه شده (کیلوگرم)]])</f>
        <v>29335</v>
      </c>
      <c r="Y2301" s="6">
        <f ca="1">IF(Main[[#This Row],[مانده در خط تسویه شده (کیلوگرم)]]&lt;&gt;0,Main[[#This Row],[تعداد کل روزهای بدهکار (روز)]],0)</f>
        <v>0</v>
      </c>
      <c r="Z2301" s="6">
        <f ca="1">Main[[#This Row],[تعداد روزهای بدهکار تسویه شده (روز)]]*Main[[#This Row],[مانده در خط تسویه شده (کیلوگرم)]]</f>
        <v>0</v>
      </c>
      <c r="AA2301" s="6">
        <f ca="1">SUBTOTAL(9,INDEX(Main[بدهی تسویه نشده (کیلوگرم)],1):Main[[#This Row],[بدهی تسویه نشده (کیلوگرم)]])</f>
        <v>0</v>
      </c>
      <c r="AB2301" s="6">
        <f ca="1">IF(Main[[#This Row],[مانده در خط تسویه نشده (کیلوگرم)]]&lt;&gt;0,Main[[#This Row],[تعداد کل روزهای بدهکار (روز)]],0)</f>
        <v>0</v>
      </c>
      <c r="AC2301" s="6">
        <f ca="1">Main[[#This Row],[تعداد روزهای بدهکار  تسویه نشده (روز)]]*Main[[#This Row],[مانده در خط تسویه نشده (کیلوگرم)]]</f>
        <v>0</v>
      </c>
      <c r="AD2301" s="6">
        <f ca="1">SUBTOTAL(9,INDEX(Main[بدهی سررسید شده (کیلوگرم)],1):Main[[#This Row],[بدهی سررسید شده (کیلوگرم)]])</f>
        <v>0</v>
      </c>
      <c r="AE2301" s="6">
        <f ca="1">IF(Main[[#This Row],[مانده در خط سررسید شده (کیلوگرم)]]&lt;&gt;0,Main[[#This Row],[تعداد کل روزهای بدهکار (روز)]],0)</f>
        <v>0</v>
      </c>
      <c r="AF2301" s="6">
        <f ca="1">Main[[#This Row],[تعداد روزهای بدهکار سررسید شده (روز)]]*Main[[#This Row],[مانده در خط سررسید شده (کیلوگرم)]]</f>
        <v>0</v>
      </c>
    </row>
    <row r="2302" spans="1:32" hidden="1" x14ac:dyDescent="0.35">
      <c r="A2302" s="5">
        <f>ROW()-ROW(INDEX(Main[ردیف],1))+1</f>
        <v>2300</v>
      </c>
      <c r="B2302" s="31">
        <f>SUBTOTAL(2,INDEX(Main[ردیف],1):Main[[#This Row],[ردیف]])</f>
        <v>211</v>
      </c>
      <c r="C2302" s="32" t="s">
        <v>791</v>
      </c>
      <c r="D2302" s="32" t="str">
        <f>_xlfn.CONCAT("14",Main[[#This Row],[تاريخ]])</f>
        <v>1400/09/06</v>
      </c>
      <c r="E2302" s="33">
        <v>44527</v>
      </c>
      <c r="F2302" s="32">
        <v>30186</v>
      </c>
      <c r="G2302" s="5" t="str">
        <f>INDEX(customer[عنوان],MATCH(Main[[#This Row],[کد ردیابی]],customer[کد],0))</f>
        <v>سارا گاز</v>
      </c>
      <c r="H2302">
        <v>1928</v>
      </c>
      <c r="I2302" s="6">
        <f ca="1">-Main[[#This Row],[بدهی تسویه شده (کیلوگرم)]]+Main[[#This Row],[بستانکار (کیلوگرم)]]</f>
        <v>1928</v>
      </c>
      <c r="J2302" s="6">
        <f>IF(Main[[#This Row],[مقدار (کیلوگرم)]]&gt;0,Main[[#This Row],[مقدار (کیلوگرم)]],0)</f>
        <v>1928</v>
      </c>
      <c r="K2302" s="6">
        <f>-IF(Main[[#This Row],[مقدار (کیلوگرم)]]&lt;0,Main[[#This Row],[مقدار (کیلوگرم)]],0)</f>
        <v>0</v>
      </c>
      <c r="L23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2" s="7">
        <f>-IF(AND(Main[[#This Row],[مقدار (کیلوگرم)]]&lt;0,Main[[#This Row],[تاريخ میلادی]]&gt;44276),Main[[#This Row],[مقدار (کیلوگرم)]],0)</f>
        <v>0</v>
      </c>
      <c r="N2302" s="6">
        <f ca="1">Main[[#This Row],[بدهکار (کیلوگرم)]]-Main[[#This Row],[بدهی تسویه نشده (کیلوگرم)]]</f>
        <v>0</v>
      </c>
      <c r="O2302" s="6">
        <f ca="1">Main[[#This Row],[تفکیک]]</f>
        <v>0</v>
      </c>
      <c r="P2302" s="6">
        <f ca="1">IF(Main[[#This Row],[تاخیر از سررسید]]&gt;0,Main[[#This Row],[بدهی تسویه نشده (کیلوگرم)]],0)</f>
        <v>0</v>
      </c>
      <c r="Q2302" s="6">
        <f ca="1">IF(Main[[#This Row],[بدهی تسویه نشده (کیلوگرم)]]&gt;0,'گزارش فردی'!$B$7-Main[[#This Row],[تاريخ میلادی]],0)</f>
        <v>0</v>
      </c>
      <c r="R2302" s="6">
        <f ca="1">IF(Main[[#This Row],[بدهی تسویه نشده (کیلوگرم)]]&gt;0,'گزارش فردی'!$B$7-Main[[#This Row],[تاريخ میلادی]]-'گزارش فردی'!$B$8,0)</f>
        <v>0</v>
      </c>
      <c r="S2302" s="6">
        <f ca="1">Main[[#This Row],[روز از ارسال سفارش]]*Main[[#This Row],[بدهی تسویه نشده (کیلوگرم)]]</f>
        <v>0</v>
      </c>
      <c r="T2302" s="6">
        <f ca="1">Main[[#This Row],[بدهی سررسید شده (کیلوگرم)]]*Main[[#This Row],[روز از ارسال سفارش]]</f>
        <v>0</v>
      </c>
      <c r="U2302" s="6">
        <f>-SUBTOTAL(9,INDEX(Main[مقدار (کیلوگرم)],1):Main[[#This Row],[مقدار (کیلوگرم)]])</f>
        <v>29335</v>
      </c>
      <c r="V23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2" s="6">
        <f>Main[[#This Row],[تعداد کل روزهای بدهکار (روز)]]*Main[[#This Row],[مانده در خط کل (کیلوگرم)]]</f>
        <v>0</v>
      </c>
      <c r="X2302" s="6">
        <f ca="1">-SUBTOTAL(9,INDEX(Main[مقدار تسویه شده (کیلوگرم)],1):Main[[#This Row],[مقدار تسویه شده (کیلوگرم)]])</f>
        <v>29335</v>
      </c>
      <c r="Y2302" s="6">
        <f ca="1">IF(Main[[#This Row],[مانده در خط تسویه شده (کیلوگرم)]]&lt;&gt;0,Main[[#This Row],[تعداد کل روزهای بدهکار (روز)]],0)</f>
        <v>0</v>
      </c>
      <c r="Z2302" s="6">
        <f ca="1">Main[[#This Row],[تعداد روزهای بدهکار تسویه شده (روز)]]*Main[[#This Row],[مانده در خط تسویه شده (کیلوگرم)]]</f>
        <v>0</v>
      </c>
      <c r="AA2302" s="6">
        <f ca="1">SUBTOTAL(9,INDEX(Main[بدهی تسویه نشده (کیلوگرم)],1):Main[[#This Row],[بدهی تسویه نشده (کیلوگرم)]])</f>
        <v>0</v>
      </c>
      <c r="AB2302" s="6">
        <f ca="1">IF(Main[[#This Row],[مانده در خط تسویه نشده (کیلوگرم)]]&lt;&gt;0,Main[[#This Row],[تعداد کل روزهای بدهکار (روز)]],0)</f>
        <v>0</v>
      </c>
      <c r="AC2302" s="6">
        <f ca="1">Main[[#This Row],[تعداد روزهای بدهکار  تسویه نشده (روز)]]*Main[[#This Row],[مانده در خط تسویه نشده (کیلوگرم)]]</f>
        <v>0</v>
      </c>
      <c r="AD2302" s="6">
        <f ca="1">SUBTOTAL(9,INDEX(Main[بدهی سررسید شده (کیلوگرم)],1):Main[[#This Row],[بدهی سررسید شده (کیلوگرم)]])</f>
        <v>0</v>
      </c>
      <c r="AE2302" s="6">
        <f ca="1">IF(Main[[#This Row],[مانده در خط سررسید شده (کیلوگرم)]]&lt;&gt;0,Main[[#This Row],[تعداد کل روزهای بدهکار (روز)]],0)</f>
        <v>0</v>
      </c>
      <c r="AF2302" s="6">
        <f ca="1">Main[[#This Row],[تعداد روزهای بدهکار سررسید شده (روز)]]*Main[[#This Row],[مانده در خط سررسید شده (کیلوگرم)]]</f>
        <v>0</v>
      </c>
    </row>
    <row r="2303" spans="1:32" hidden="1" x14ac:dyDescent="0.35">
      <c r="A2303" s="5">
        <f>ROW()-ROW(INDEX(Main[ردیف],1))+1</f>
        <v>2301</v>
      </c>
      <c r="B2303" s="31">
        <f>SUBTOTAL(2,INDEX(Main[ردیف],1):Main[[#This Row],[ردیف]])</f>
        <v>211</v>
      </c>
      <c r="C2303" s="32" t="s">
        <v>791</v>
      </c>
      <c r="D2303" s="32" t="str">
        <f>_xlfn.CONCAT("14",Main[[#This Row],[تاريخ]])</f>
        <v>1400/09/06</v>
      </c>
      <c r="E2303" s="33">
        <v>44527</v>
      </c>
      <c r="F2303" s="32">
        <v>10029</v>
      </c>
      <c r="G2303" s="5" t="str">
        <f>INDEX(customer[عنوان],MATCH(Main[[#This Row],[کد ردیابی]],customer[کد],0))</f>
        <v>رضا شریعتی</v>
      </c>
      <c r="H2303">
        <v>-1466</v>
      </c>
      <c r="I2303" s="6">
        <f ca="1">-Main[[#This Row],[بدهی تسویه شده (کیلوگرم)]]+Main[[#This Row],[بستانکار (کیلوگرم)]]</f>
        <v>-1466</v>
      </c>
      <c r="J2303" s="6">
        <f>IF(Main[[#This Row],[مقدار (کیلوگرم)]]&gt;0,Main[[#This Row],[مقدار (کیلوگرم)]],0)</f>
        <v>0</v>
      </c>
      <c r="K2303" s="6">
        <f>-IF(Main[[#This Row],[مقدار (کیلوگرم)]]&lt;0,Main[[#This Row],[مقدار (کیلوگرم)]],0)</f>
        <v>1466</v>
      </c>
      <c r="L23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3" s="7">
        <f>-IF(AND(Main[[#This Row],[مقدار (کیلوگرم)]]&lt;0,Main[[#This Row],[تاريخ میلادی]]&gt;44276),Main[[#This Row],[مقدار (کیلوگرم)]],0)</f>
        <v>1466</v>
      </c>
      <c r="N2303" s="6">
        <f ca="1">Main[[#This Row],[بدهکار (کیلوگرم)]]-Main[[#This Row],[بدهی تسویه نشده (کیلوگرم)]]</f>
        <v>1466</v>
      </c>
      <c r="O2303" s="6">
        <f ca="1">Main[[#This Row],[تفکیک]]</f>
        <v>0</v>
      </c>
      <c r="P2303" s="6">
        <f ca="1">IF(Main[[#This Row],[تاخیر از سررسید]]&gt;0,Main[[#This Row],[بدهی تسویه نشده (کیلوگرم)]],0)</f>
        <v>0</v>
      </c>
      <c r="Q2303" s="6">
        <f ca="1">IF(Main[[#This Row],[بدهی تسویه نشده (کیلوگرم)]]&gt;0,'گزارش فردی'!$B$7-Main[[#This Row],[تاريخ میلادی]],0)</f>
        <v>0</v>
      </c>
      <c r="R2303" s="6">
        <f ca="1">IF(Main[[#This Row],[بدهی تسویه نشده (کیلوگرم)]]&gt;0,'گزارش فردی'!$B$7-Main[[#This Row],[تاريخ میلادی]]-'گزارش فردی'!$B$8,0)</f>
        <v>0</v>
      </c>
      <c r="S2303" s="6">
        <f ca="1">Main[[#This Row],[روز از ارسال سفارش]]*Main[[#This Row],[بدهی تسویه نشده (کیلوگرم)]]</f>
        <v>0</v>
      </c>
      <c r="T2303" s="6">
        <f ca="1">Main[[#This Row],[بدهی سررسید شده (کیلوگرم)]]*Main[[#This Row],[روز از ارسال سفارش]]</f>
        <v>0</v>
      </c>
      <c r="U2303" s="6">
        <f>-SUBTOTAL(9,INDEX(Main[مقدار (کیلوگرم)],1):Main[[#This Row],[مقدار (کیلوگرم)]])</f>
        <v>29335</v>
      </c>
      <c r="V23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3" s="6">
        <f>Main[[#This Row],[تعداد کل روزهای بدهکار (روز)]]*Main[[#This Row],[مانده در خط کل (کیلوگرم)]]</f>
        <v>0</v>
      </c>
      <c r="X2303" s="6">
        <f ca="1">-SUBTOTAL(9,INDEX(Main[مقدار تسویه شده (کیلوگرم)],1):Main[[#This Row],[مقدار تسویه شده (کیلوگرم)]])</f>
        <v>29335</v>
      </c>
      <c r="Y2303" s="6">
        <f ca="1">IF(Main[[#This Row],[مانده در خط تسویه شده (کیلوگرم)]]&lt;&gt;0,Main[[#This Row],[تعداد کل روزهای بدهکار (روز)]],0)</f>
        <v>0</v>
      </c>
      <c r="Z2303" s="6">
        <f ca="1">Main[[#This Row],[تعداد روزهای بدهکار تسویه شده (روز)]]*Main[[#This Row],[مانده در خط تسویه شده (کیلوگرم)]]</f>
        <v>0</v>
      </c>
      <c r="AA2303" s="6">
        <f ca="1">SUBTOTAL(9,INDEX(Main[بدهی تسویه نشده (کیلوگرم)],1):Main[[#This Row],[بدهی تسویه نشده (کیلوگرم)]])</f>
        <v>0</v>
      </c>
      <c r="AB2303" s="6">
        <f ca="1">IF(Main[[#This Row],[مانده در خط تسویه نشده (کیلوگرم)]]&lt;&gt;0,Main[[#This Row],[تعداد کل روزهای بدهکار (روز)]],0)</f>
        <v>0</v>
      </c>
      <c r="AC2303" s="6">
        <f ca="1">Main[[#This Row],[تعداد روزهای بدهکار  تسویه نشده (روز)]]*Main[[#This Row],[مانده در خط تسویه نشده (کیلوگرم)]]</f>
        <v>0</v>
      </c>
      <c r="AD2303" s="6">
        <f ca="1">SUBTOTAL(9,INDEX(Main[بدهی سررسید شده (کیلوگرم)],1):Main[[#This Row],[بدهی سررسید شده (کیلوگرم)]])</f>
        <v>0</v>
      </c>
      <c r="AE2303" s="6">
        <f ca="1">IF(Main[[#This Row],[مانده در خط سررسید شده (کیلوگرم)]]&lt;&gt;0,Main[[#This Row],[تعداد کل روزهای بدهکار (روز)]],0)</f>
        <v>0</v>
      </c>
      <c r="AF2303" s="6">
        <f ca="1">Main[[#This Row],[تعداد روزهای بدهکار سررسید شده (روز)]]*Main[[#This Row],[مانده در خط سررسید شده (کیلوگرم)]]</f>
        <v>0</v>
      </c>
    </row>
    <row r="2304" spans="1:32" hidden="1" x14ac:dyDescent="0.35">
      <c r="A2304" s="5">
        <f>ROW()-ROW(INDEX(Main[ردیف],1))+1</f>
        <v>2302</v>
      </c>
      <c r="B2304" s="31">
        <f>SUBTOTAL(2,INDEX(Main[ردیف],1):Main[[#This Row],[ردیف]])</f>
        <v>211</v>
      </c>
      <c r="C2304" s="32" t="s">
        <v>791</v>
      </c>
      <c r="D2304" s="32" t="str">
        <f>_xlfn.CONCAT("14",Main[[#This Row],[تاريخ]])</f>
        <v>1400/09/06</v>
      </c>
      <c r="E2304" s="33">
        <v>44527</v>
      </c>
      <c r="F2304" s="32">
        <v>30009</v>
      </c>
      <c r="G2304" s="5" t="str">
        <f>INDEX(customer[عنوان],MATCH(Main[[#This Row],[کد ردیابی]],customer[کد],0))</f>
        <v>شرکت ایمن تک پیشرو</v>
      </c>
      <c r="H2304">
        <v>1695</v>
      </c>
      <c r="I2304" s="6">
        <f ca="1">-Main[[#This Row],[بدهی تسویه شده (کیلوگرم)]]+Main[[#This Row],[بستانکار (کیلوگرم)]]</f>
        <v>1695</v>
      </c>
      <c r="J2304" s="6">
        <f>IF(Main[[#This Row],[مقدار (کیلوگرم)]]&gt;0,Main[[#This Row],[مقدار (کیلوگرم)]],0)</f>
        <v>1695</v>
      </c>
      <c r="K2304" s="6">
        <f>-IF(Main[[#This Row],[مقدار (کیلوگرم)]]&lt;0,Main[[#This Row],[مقدار (کیلوگرم)]],0)</f>
        <v>0</v>
      </c>
      <c r="L23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4" s="7">
        <f>-IF(AND(Main[[#This Row],[مقدار (کیلوگرم)]]&lt;0,Main[[#This Row],[تاريخ میلادی]]&gt;44276),Main[[#This Row],[مقدار (کیلوگرم)]],0)</f>
        <v>0</v>
      </c>
      <c r="N2304" s="6">
        <f ca="1">Main[[#This Row],[بدهکار (کیلوگرم)]]-Main[[#This Row],[بدهی تسویه نشده (کیلوگرم)]]</f>
        <v>0</v>
      </c>
      <c r="O2304" s="6">
        <f ca="1">Main[[#This Row],[تفکیک]]</f>
        <v>0</v>
      </c>
      <c r="P2304" s="6">
        <f ca="1">IF(Main[[#This Row],[تاخیر از سررسید]]&gt;0,Main[[#This Row],[بدهی تسویه نشده (کیلوگرم)]],0)</f>
        <v>0</v>
      </c>
      <c r="Q2304" s="6">
        <f ca="1">IF(Main[[#This Row],[بدهی تسویه نشده (کیلوگرم)]]&gt;0,'گزارش فردی'!$B$7-Main[[#This Row],[تاريخ میلادی]],0)</f>
        <v>0</v>
      </c>
      <c r="R2304" s="6">
        <f ca="1">IF(Main[[#This Row],[بدهی تسویه نشده (کیلوگرم)]]&gt;0,'گزارش فردی'!$B$7-Main[[#This Row],[تاريخ میلادی]]-'گزارش فردی'!$B$8,0)</f>
        <v>0</v>
      </c>
      <c r="S2304" s="6">
        <f ca="1">Main[[#This Row],[روز از ارسال سفارش]]*Main[[#This Row],[بدهی تسویه نشده (کیلوگرم)]]</f>
        <v>0</v>
      </c>
      <c r="T2304" s="6">
        <f ca="1">Main[[#This Row],[بدهی سررسید شده (کیلوگرم)]]*Main[[#This Row],[روز از ارسال سفارش]]</f>
        <v>0</v>
      </c>
      <c r="U2304" s="6">
        <f>-SUBTOTAL(9,INDEX(Main[مقدار (کیلوگرم)],1):Main[[#This Row],[مقدار (کیلوگرم)]])</f>
        <v>29335</v>
      </c>
      <c r="V23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4" s="6">
        <f>Main[[#This Row],[تعداد کل روزهای بدهکار (روز)]]*Main[[#This Row],[مانده در خط کل (کیلوگرم)]]</f>
        <v>0</v>
      </c>
      <c r="X2304" s="6">
        <f ca="1">-SUBTOTAL(9,INDEX(Main[مقدار تسویه شده (کیلوگرم)],1):Main[[#This Row],[مقدار تسویه شده (کیلوگرم)]])</f>
        <v>29335</v>
      </c>
      <c r="Y2304" s="6">
        <f ca="1">IF(Main[[#This Row],[مانده در خط تسویه شده (کیلوگرم)]]&lt;&gt;0,Main[[#This Row],[تعداد کل روزهای بدهکار (روز)]],0)</f>
        <v>0</v>
      </c>
      <c r="Z2304" s="6">
        <f ca="1">Main[[#This Row],[تعداد روزهای بدهکار تسویه شده (روز)]]*Main[[#This Row],[مانده در خط تسویه شده (کیلوگرم)]]</f>
        <v>0</v>
      </c>
      <c r="AA2304" s="6">
        <f ca="1">SUBTOTAL(9,INDEX(Main[بدهی تسویه نشده (کیلوگرم)],1):Main[[#This Row],[بدهی تسویه نشده (کیلوگرم)]])</f>
        <v>0</v>
      </c>
      <c r="AB2304" s="6">
        <f ca="1">IF(Main[[#This Row],[مانده در خط تسویه نشده (کیلوگرم)]]&lt;&gt;0,Main[[#This Row],[تعداد کل روزهای بدهکار (روز)]],0)</f>
        <v>0</v>
      </c>
      <c r="AC2304" s="6">
        <f ca="1">Main[[#This Row],[تعداد روزهای بدهکار  تسویه نشده (روز)]]*Main[[#This Row],[مانده در خط تسویه نشده (کیلوگرم)]]</f>
        <v>0</v>
      </c>
      <c r="AD2304" s="6">
        <f ca="1">SUBTOTAL(9,INDEX(Main[بدهی سررسید شده (کیلوگرم)],1):Main[[#This Row],[بدهی سررسید شده (کیلوگرم)]])</f>
        <v>0</v>
      </c>
      <c r="AE2304" s="6">
        <f ca="1">IF(Main[[#This Row],[مانده در خط سررسید شده (کیلوگرم)]]&lt;&gt;0,Main[[#This Row],[تعداد کل روزهای بدهکار (روز)]],0)</f>
        <v>0</v>
      </c>
      <c r="AF2304" s="6">
        <f ca="1">Main[[#This Row],[تعداد روزهای بدهکار سررسید شده (روز)]]*Main[[#This Row],[مانده در خط سررسید شده (کیلوگرم)]]</f>
        <v>0</v>
      </c>
    </row>
    <row r="2305" spans="1:32" x14ac:dyDescent="0.35">
      <c r="A2305" s="5">
        <f>ROW()-ROW(INDEX(Main[ردیف],1))+1</f>
        <v>2303</v>
      </c>
      <c r="B2305" s="31">
        <f>SUBTOTAL(2,INDEX(Main[ردیف],1):Main[[#This Row],[ردیف]])</f>
        <v>212</v>
      </c>
      <c r="C2305" s="32" t="s">
        <v>791</v>
      </c>
      <c r="D2305" s="32" t="str">
        <f>_xlfn.CONCAT("14",Main[[#This Row],[تاريخ]])</f>
        <v>1400/09/06</v>
      </c>
      <c r="E2305" s="33">
        <v>44527</v>
      </c>
      <c r="F2305" s="32">
        <v>10003</v>
      </c>
      <c r="G2305" s="5" t="str">
        <f>INDEX(customer[عنوان],MATCH(Main[[#This Row],[کد ردیابی]],customer[کد],0))</f>
        <v>اصغر نورعلی</v>
      </c>
      <c r="H2305">
        <v>-4098</v>
      </c>
      <c r="I2305" s="6">
        <f ca="1">-Main[[#This Row],[بدهی تسویه شده (کیلوگرم)]]+Main[[#This Row],[بستانکار (کیلوگرم)]]</f>
        <v>-1077</v>
      </c>
      <c r="J2305" s="6">
        <f>IF(Main[[#This Row],[مقدار (کیلوگرم)]]&gt;0,Main[[#This Row],[مقدار (کیلوگرم)]],0)</f>
        <v>0</v>
      </c>
      <c r="K2305" s="6">
        <f>-IF(Main[[#This Row],[مقدار (کیلوگرم)]]&lt;0,Main[[#This Row],[مقدار (کیلوگرم)]],0)</f>
        <v>4098</v>
      </c>
      <c r="L23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3021</v>
      </c>
      <c r="M2305" s="7">
        <f>-IF(AND(Main[[#This Row],[مقدار (کیلوگرم)]]&lt;0,Main[[#This Row],[تاريخ میلادی]]&gt;44276),Main[[#This Row],[مقدار (کیلوگرم)]],0)</f>
        <v>4098</v>
      </c>
      <c r="N2305" s="6">
        <f ca="1">Main[[#This Row],[بدهکار (کیلوگرم)]]-Main[[#This Row],[بدهی تسویه نشده (کیلوگرم)]]</f>
        <v>1077</v>
      </c>
      <c r="O2305" s="6">
        <f ca="1">Main[[#This Row],[تفکیک]]</f>
        <v>3021</v>
      </c>
      <c r="P2305" s="6">
        <f ca="1">IF(Main[[#This Row],[تاخیر از سررسید]]&gt;0,Main[[#This Row],[بدهی تسویه نشده (کیلوگرم)]],0)</f>
        <v>3021</v>
      </c>
      <c r="Q2305" s="6">
        <f ca="1">IF(Main[[#This Row],[بدهی تسویه نشده (کیلوگرم)]]&gt;0,'گزارش فردی'!$B$7-Main[[#This Row],[تاريخ میلادی]],0)</f>
        <v>935.75374085648218</v>
      </c>
      <c r="R2305" s="6">
        <f ca="1">IF(Main[[#This Row],[بدهی تسویه نشده (کیلوگرم)]]&gt;0,'گزارش فردی'!$B$7-Main[[#This Row],[تاريخ میلادی]]-'گزارش فردی'!$B$8,0)</f>
        <v>920.75374085648218</v>
      </c>
      <c r="S2305" s="6">
        <f ca="1">Main[[#This Row],[روز از ارسال سفارش]]*Main[[#This Row],[بدهی تسویه نشده (کیلوگرم)]]</f>
        <v>2826912.0511274328</v>
      </c>
      <c r="T2305" s="6">
        <f ca="1">Main[[#This Row],[بدهی سررسید شده (کیلوگرم)]]*Main[[#This Row],[روز از ارسال سفارش]]</f>
        <v>2826912.0511274328</v>
      </c>
      <c r="U2305" s="6">
        <f>-SUBTOTAL(9,INDEX(Main[مقدار (کیلوگرم)],1):Main[[#This Row],[مقدار (کیلوگرم)]])</f>
        <v>33433</v>
      </c>
      <c r="V23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5" s="6">
        <f>Main[[#This Row],[تعداد کل روزهای بدهکار (روز)]]*Main[[#This Row],[مانده در خط کل (کیلوگرم)]]</f>
        <v>33433</v>
      </c>
      <c r="X2305" s="6">
        <f ca="1">-SUBTOTAL(9,INDEX(Main[مقدار تسویه شده (کیلوگرم)],1):Main[[#This Row],[مقدار تسویه شده (کیلوگرم)]])</f>
        <v>30412</v>
      </c>
      <c r="Y2305" s="6">
        <f ca="1">IF(Main[[#This Row],[مانده در خط تسویه شده (کیلوگرم)]]&lt;&gt;0,Main[[#This Row],[تعداد کل روزهای بدهکار (روز)]],0)</f>
        <v>1</v>
      </c>
      <c r="Z2305" s="6">
        <f ca="1">Main[[#This Row],[تعداد روزهای بدهکار تسویه شده (روز)]]*Main[[#This Row],[مانده در خط تسویه شده (کیلوگرم)]]</f>
        <v>30412</v>
      </c>
      <c r="AA2305" s="6">
        <f ca="1">SUBTOTAL(9,INDEX(Main[بدهی تسویه نشده (کیلوگرم)],1):Main[[#This Row],[بدهی تسویه نشده (کیلوگرم)]])</f>
        <v>3021</v>
      </c>
      <c r="AB2305" s="6">
        <f ca="1">IF(Main[[#This Row],[مانده در خط تسویه نشده (کیلوگرم)]]&lt;&gt;0,Main[[#This Row],[تعداد کل روزهای بدهکار (روز)]],0)</f>
        <v>1</v>
      </c>
      <c r="AC2305" s="6">
        <f ca="1">Main[[#This Row],[تعداد روزهای بدهکار  تسویه نشده (روز)]]*Main[[#This Row],[مانده در خط تسویه نشده (کیلوگرم)]]</f>
        <v>3021</v>
      </c>
      <c r="AD2305" s="6">
        <f ca="1">SUBTOTAL(9,INDEX(Main[بدهی سررسید شده (کیلوگرم)],1):Main[[#This Row],[بدهی سررسید شده (کیلوگرم)]])</f>
        <v>3021</v>
      </c>
      <c r="AE2305" s="6">
        <f ca="1">IF(Main[[#This Row],[مانده در خط سررسید شده (کیلوگرم)]]&lt;&gt;0,Main[[#This Row],[تعداد کل روزهای بدهکار (روز)]],0)</f>
        <v>1</v>
      </c>
      <c r="AF2305" s="6">
        <f ca="1">Main[[#This Row],[تعداد روزهای بدهکار سررسید شده (روز)]]*Main[[#This Row],[مانده در خط سررسید شده (کیلوگرم)]]</f>
        <v>3021</v>
      </c>
    </row>
    <row r="2306" spans="1:32" hidden="1" x14ac:dyDescent="0.35">
      <c r="A2306" s="5">
        <f>ROW()-ROW(INDEX(Main[ردیف],1))+1</f>
        <v>2304</v>
      </c>
      <c r="B2306" s="31">
        <f>SUBTOTAL(2,INDEX(Main[ردیف],1):Main[[#This Row],[ردیف]])</f>
        <v>212</v>
      </c>
      <c r="C2306" s="32" t="s">
        <v>791</v>
      </c>
      <c r="D2306" s="32" t="str">
        <f>_xlfn.CONCAT("14",Main[[#This Row],[تاريخ]])</f>
        <v>1400/09/06</v>
      </c>
      <c r="E2306" s="33">
        <v>44527</v>
      </c>
      <c r="F2306" s="32">
        <v>10009</v>
      </c>
      <c r="G2306" s="5" t="str">
        <f>INDEX(customer[عنوان],MATCH(Main[[#This Row],[کد ردیابی]],customer[کد],0))</f>
        <v>محمد نمازی</v>
      </c>
      <c r="H2306">
        <v>2124</v>
      </c>
      <c r="I2306" s="6">
        <f ca="1">-Main[[#This Row],[بدهی تسویه شده (کیلوگرم)]]+Main[[#This Row],[بستانکار (کیلوگرم)]]</f>
        <v>2124</v>
      </c>
      <c r="J2306" s="6">
        <f>IF(Main[[#This Row],[مقدار (کیلوگرم)]]&gt;0,Main[[#This Row],[مقدار (کیلوگرم)]],0)</f>
        <v>2124</v>
      </c>
      <c r="K2306" s="6">
        <f>-IF(Main[[#This Row],[مقدار (کیلوگرم)]]&lt;0,Main[[#This Row],[مقدار (کیلوگرم)]],0)</f>
        <v>0</v>
      </c>
      <c r="L23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6" s="7">
        <f>-IF(AND(Main[[#This Row],[مقدار (کیلوگرم)]]&lt;0,Main[[#This Row],[تاريخ میلادی]]&gt;44276),Main[[#This Row],[مقدار (کیلوگرم)]],0)</f>
        <v>0</v>
      </c>
      <c r="N2306" s="6">
        <f ca="1">Main[[#This Row],[بدهکار (کیلوگرم)]]-Main[[#This Row],[بدهی تسویه نشده (کیلوگرم)]]</f>
        <v>0</v>
      </c>
      <c r="O2306" s="6">
        <f ca="1">Main[[#This Row],[تفکیک]]</f>
        <v>0</v>
      </c>
      <c r="P2306" s="6">
        <f ca="1">IF(Main[[#This Row],[تاخیر از سررسید]]&gt;0,Main[[#This Row],[بدهی تسویه نشده (کیلوگرم)]],0)</f>
        <v>0</v>
      </c>
      <c r="Q2306" s="6">
        <f ca="1">IF(Main[[#This Row],[بدهی تسویه نشده (کیلوگرم)]]&gt;0,'گزارش فردی'!$B$7-Main[[#This Row],[تاريخ میلادی]],0)</f>
        <v>0</v>
      </c>
      <c r="R2306" s="6">
        <f ca="1">IF(Main[[#This Row],[بدهی تسویه نشده (کیلوگرم)]]&gt;0,'گزارش فردی'!$B$7-Main[[#This Row],[تاريخ میلادی]]-'گزارش فردی'!$B$8,0)</f>
        <v>0</v>
      </c>
      <c r="S2306" s="6">
        <f ca="1">Main[[#This Row],[روز از ارسال سفارش]]*Main[[#This Row],[بدهی تسویه نشده (کیلوگرم)]]</f>
        <v>0</v>
      </c>
      <c r="T2306" s="6">
        <f ca="1">Main[[#This Row],[بدهی سررسید شده (کیلوگرم)]]*Main[[#This Row],[روز از ارسال سفارش]]</f>
        <v>0</v>
      </c>
      <c r="U2306" s="6">
        <f>-SUBTOTAL(9,INDEX(Main[مقدار (کیلوگرم)],1):Main[[#This Row],[مقدار (کیلوگرم)]])</f>
        <v>33433</v>
      </c>
      <c r="V23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6" s="6">
        <f>Main[[#This Row],[تعداد کل روزهای بدهکار (روز)]]*Main[[#This Row],[مانده در خط کل (کیلوگرم)]]</f>
        <v>33433</v>
      </c>
      <c r="X2306" s="6">
        <f ca="1">-SUBTOTAL(9,INDEX(Main[مقدار تسویه شده (کیلوگرم)],1):Main[[#This Row],[مقدار تسویه شده (کیلوگرم)]])</f>
        <v>30412</v>
      </c>
      <c r="Y2306" s="6">
        <f ca="1">IF(Main[[#This Row],[مانده در خط تسویه شده (کیلوگرم)]]&lt;&gt;0,Main[[#This Row],[تعداد کل روزهای بدهکار (روز)]],0)</f>
        <v>1</v>
      </c>
      <c r="Z2306" s="6">
        <f ca="1">Main[[#This Row],[تعداد روزهای بدهکار تسویه شده (روز)]]*Main[[#This Row],[مانده در خط تسویه شده (کیلوگرم)]]</f>
        <v>30412</v>
      </c>
      <c r="AA2306" s="6">
        <f ca="1">SUBTOTAL(9,INDEX(Main[بدهی تسویه نشده (کیلوگرم)],1):Main[[#This Row],[بدهی تسویه نشده (کیلوگرم)]])</f>
        <v>3021</v>
      </c>
      <c r="AB2306" s="6">
        <f ca="1">IF(Main[[#This Row],[مانده در خط تسویه نشده (کیلوگرم)]]&lt;&gt;0,Main[[#This Row],[تعداد کل روزهای بدهکار (روز)]],0)</f>
        <v>1</v>
      </c>
      <c r="AC2306" s="6">
        <f ca="1">Main[[#This Row],[تعداد روزهای بدهکار  تسویه نشده (روز)]]*Main[[#This Row],[مانده در خط تسویه نشده (کیلوگرم)]]</f>
        <v>3021</v>
      </c>
      <c r="AD2306" s="6">
        <f ca="1">SUBTOTAL(9,INDEX(Main[بدهی سررسید شده (کیلوگرم)],1):Main[[#This Row],[بدهی سررسید شده (کیلوگرم)]])</f>
        <v>3021</v>
      </c>
      <c r="AE2306" s="6">
        <f ca="1">IF(Main[[#This Row],[مانده در خط سررسید شده (کیلوگرم)]]&lt;&gt;0,Main[[#This Row],[تعداد کل روزهای بدهکار (روز)]],0)</f>
        <v>1</v>
      </c>
      <c r="AF2306" s="6">
        <f ca="1">Main[[#This Row],[تعداد روزهای بدهکار سررسید شده (روز)]]*Main[[#This Row],[مانده در خط سررسید شده (کیلوگرم)]]</f>
        <v>3021</v>
      </c>
    </row>
    <row r="2307" spans="1:32" hidden="1" x14ac:dyDescent="0.35">
      <c r="A2307" s="5">
        <f>ROW()-ROW(INDEX(Main[ردیف],1))+1</f>
        <v>2305</v>
      </c>
      <c r="B2307" s="31">
        <f>SUBTOTAL(2,INDEX(Main[ردیف],1):Main[[#This Row],[ردیف]])</f>
        <v>212</v>
      </c>
      <c r="C2307" s="32" t="s">
        <v>791</v>
      </c>
      <c r="D2307" s="32" t="str">
        <f>_xlfn.CONCAT("14",Main[[#This Row],[تاريخ]])</f>
        <v>1400/09/06</v>
      </c>
      <c r="E2307" s="33">
        <v>44527</v>
      </c>
      <c r="F2307" s="32">
        <v>30009</v>
      </c>
      <c r="G2307" s="5" t="str">
        <f>INDEX(customer[عنوان],MATCH(Main[[#This Row],[کد ردیابی]],customer[کد],0))</f>
        <v>شرکت ایمن تک پیشرو</v>
      </c>
      <c r="H2307">
        <v>-2069</v>
      </c>
      <c r="I2307" s="6">
        <f ca="1">-Main[[#This Row],[بدهی تسویه شده (کیلوگرم)]]+Main[[#This Row],[بستانکار (کیلوگرم)]]</f>
        <v>0</v>
      </c>
      <c r="J2307" s="6">
        <f>IF(Main[[#This Row],[مقدار (کیلوگرم)]]&gt;0,Main[[#This Row],[مقدار (کیلوگرم)]],0)</f>
        <v>0</v>
      </c>
      <c r="K2307" s="6">
        <f>-IF(Main[[#This Row],[مقدار (کیلوگرم)]]&lt;0,Main[[#This Row],[مقدار (کیلوگرم)]],0)</f>
        <v>2069</v>
      </c>
      <c r="L23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2069</v>
      </c>
      <c r="M2307" s="7">
        <f>-IF(AND(Main[[#This Row],[مقدار (کیلوگرم)]]&lt;0,Main[[#This Row],[تاريخ میلادی]]&gt;44276),Main[[#This Row],[مقدار (کیلوگرم)]],0)</f>
        <v>2069</v>
      </c>
      <c r="N2307" s="6">
        <f ca="1">Main[[#This Row],[بدهکار (کیلوگرم)]]-Main[[#This Row],[بدهی تسویه نشده (کیلوگرم)]]</f>
        <v>0</v>
      </c>
      <c r="O2307" s="6">
        <f ca="1">Main[[#This Row],[تفکیک]]</f>
        <v>2069</v>
      </c>
      <c r="P2307" s="6">
        <f ca="1">IF(Main[[#This Row],[تاخیر از سررسید]]&gt;0,Main[[#This Row],[بدهی تسویه نشده (کیلوگرم)]],0)</f>
        <v>2069</v>
      </c>
      <c r="Q2307" s="6">
        <f ca="1">IF(Main[[#This Row],[بدهی تسویه نشده (کیلوگرم)]]&gt;0,'گزارش فردی'!$B$7-Main[[#This Row],[تاريخ میلادی]],0)</f>
        <v>935.75374085648218</v>
      </c>
      <c r="R2307" s="6">
        <f ca="1">IF(Main[[#This Row],[بدهی تسویه نشده (کیلوگرم)]]&gt;0,'گزارش فردی'!$B$7-Main[[#This Row],[تاريخ میلادی]]-'گزارش فردی'!$B$8,0)</f>
        <v>920.75374085648218</v>
      </c>
      <c r="S2307" s="6">
        <f ca="1">Main[[#This Row],[روز از ارسال سفارش]]*Main[[#This Row],[بدهی تسویه نشده (کیلوگرم)]]</f>
        <v>1936074.4898320616</v>
      </c>
      <c r="T2307" s="6">
        <f ca="1">Main[[#This Row],[بدهی سررسید شده (کیلوگرم)]]*Main[[#This Row],[روز از ارسال سفارش]]</f>
        <v>1936074.4898320616</v>
      </c>
      <c r="U2307" s="6">
        <f>-SUBTOTAL(9,INDEX(Main[مقدار (کیلوگرم)],1):Main[[#This Row],[مقدار (کیلوگرم)]])</f>
        <v>33433</v>
      </c>
      <c r="V23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7" s="6">
        <f>Main[[#This Row],[تعداد کل روزهای بدهکار (روز)]]*Main[[#This Row],[مانده در خط کل (کیلوگرم)]]</f>
        <v>33433</v>
      </c>
      <c r="X2307" s="6">
        <f ca="1">-SUBTOTAL(9,INDEX(Main[مقدار تسویه شده (کیلوگرم)],1):Main[[#This Row],[مقدار تسویه شده (کیلوگرم)]])</f>
        <v>30412</v>
      </c>
      <c r="Y2307" s="6">
        <f ca="1">IF(Main[[#This Row],[مانده در خط تسویه شده (کیلوگرم)]]&lt;&gt;0,Main[[#This Row],[تعداد کل روزهای بدهکار (روز)]],0)</f>
        <v>1</v>
      </c>
      <c r="Z2307" s="6">
        <f ca="1">Main[[#This Row],[تعداد روزهای بدهکار تسویه شده (روز)]]*Main[[#This Row],[مانده در خط تسویه شده (کیلوگرم)]]</f>
        <v>30412</v>
      </c>
      <c r="AA2307" s="6">
        <f ca="1">SUBTOTAL(9,INDEX(Main[بدهی تسویه نشده (کیلوگرم)],1):Main[[#This Row],[بدهی تسویه نشده (کیلوگرم)]])</f>
        <v>3021</v>
      </c>
      <c r="AB2307" s="6">
        <f ca="1">IF(Main[[#This Row],[مانده در خط تسویه نشده (کیلوگرم)]]&lt;&gt;0,Main[[#This Row],[تعداد کل روزهای بدهکار (روز)]],0)</f>
        <v>1</v>
      </c>
      <c r="AC2307" s="6">
        <f ca="1">Main[[#This Row],[تعداد روزهای بدهکار  تسویه نشده (روز)]]*Main[[#This Row],[مانده در خط تسویه نشده (کیلوگرم)]]</f>
        <v>3021</v>
      </c>
      <c r="AD2307" s="6">
        <f ca="1">SUBTOTAL(9,INDEX(Main[بدهی سررسید شده (کیلوگرم)],1):Main[[#This Row],[بدهی سررسید شده (کیلوگرم)]])</f>
        <v>3021</v>
      </c>
      <c r="AE2307" s="6">
        <f ca="1">IF(Main[[#This Row],[مانده در خط سررسید شده (کیلوگرم)]]&lt;&gt;0,Main[[#This Row],[تعداد کل روزهای بدهکار (روز)]],0)</f>
        <v>1</v>
      </c>
      <c r="AF2307" s="6">
        <f ca="1">Main[[#This Row],[تعداد روزهای بدهکار سررسید شده (روز)]]*Main[[#This Row],[مانده در خط سررسید شده (کیلوگرم)]]</f>
        <v>3021</v>
      </c>
    </row>
    <row r="2308" spans="1:32" hidden="1" x14ac:dyDescent="0.35">
      <c r="A2308" s="5">
        <f>ROW()-ROW(INDEX(Main[ردیف],1))+1</f>
        <v>2306</v>
      </c>
      <c r="B2308" s="31">
        <f>SUBTOTAL(2,INDEX(Main[ردیف],1):Main[[#This Row],[ردیف]])</f>
        <v>212</v>
      </c>
      <c r="C2308" s="32" t="s">
        <v>791</v>
      </c>
      <c r="D2308" s="32" t="str">
        <f>_xlfn.CONCAT("14",Main[[#This Row],[تاريخ]])</f>
        <v>1400/09/06</v>
      </c>
      <c r="E2308" s="33">
        <v>44527</v>
      </c>
      <c r="F2308" s="32">
        <v>10009</v>
      </c>
      <c r="G2308" s="5" t="str">
        <f>INDEX(customer[عنوان],MATCH(Main[[#This Row],[کد ردیابی]],customer[کد],0))</f>
        <v>محمد نمازی</v>
      </c>
      <c r="H2308">
        <v>854</v>
      </c>
      <c r="I2308" s="6">
        <f ca="1">-Main[[#This Row],[بدهی تسویه شده (کیلوگرم)]]+Main[[#This Row],[بستانکار (کیلوگرم)]]</f>
        <v>854</v>
      </c>
      <c r="J2308" s="6">
        <f>IF(Main[[#This Row],[مقدار (کیلوگرم)]]&gt;0,Main[[#This Row],[مقدار (کیلوگرم)]],0)</f>
        <v>854</v>
      </c>
      <c r="K2308" s="6">
        <f>-IF(Main[[#This Row],[مقدار (کیلوگرم)]]&lt;0,Main[[#This Row],[مقدار (کیلوگرم)]],0)</f>
        <v>0</v>
      </c>
      <c r="L23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8" s="7">
        <f>-IF(AND(Main[[#This Row],[مقدار (کیلوگرم)]]&lt;0,Main[[#This Row],[تاريخ میلادی]]&gt;44276),Main[[#This Row],[مقدار (کیلوگرم)]],0)</f>
        <v>0</v>
      </c>
      <c r="N2308" s="6">
        <f ca="1">Main[[#This Row],[بدهکار (کیلوگرم)]]-Main[[#This Row],[بدهی تسویه نشده (کیلوگرم)]]</f>
        <v>0</v>
      </c>
      <c r="O2308" s="6">
        <f ca="1">Main[[#This Row],[تفکیک]]</f>
        <v>0</v>
      </c>
      <c r="P2308" s="6">
        <f ca="1">IF(Main[[#This Row],[تاخیر از سررسید]]&gt;0,Main[[#This Row],[بدهی تسویه نشده (کیلوگرم)]],0)</f>
        <v>0</v>
      </c>
      <c r="Q2308" s="6">
        <f ca="1">IF(Main[[#This Row],[بدهی تسویه نشده (کیلوگرم)]]&gt;0,'گزارش فردی'!$B$7-Main[[#This Row],[تاريخ میلادی]],0)</f>
        <v>0</v>
      </c>
      <c r="R2308" s="6">
        <f ca="1">IF(Main[[#This Row],[بدهی تسویه نشده (کیلوگرم)]]&gt;0,'گزارش فردی'!$B$7-Main[[#This Row],[تاريخ میلادی]]-'گزارش فردی'!$B$8,0)</f>
        <v>0</v>
      </c>
      <c r="S2308" s="6">
        <f ca="1">Main[[#This Row],[روز از ارسال سفارش]]*Main[[#This Row],[بدهی تسویه نشده (کیلوگرم)]]</f>
        <v>0</v>
      </c>
      <c r="T2308" s="6">
        <f ca="1">Main[[#This Row],[بدهی سررسید شده (کیلوگرم)]]*Main[[#This Row],[روز از ارسال سفارش]]</f>
        <v>0</v>
      </c>
      <c r="U2308" s="6">
        <f>-SUBTOTAL(9,INDEX(Main[مقدار (کیلوگرم)],1):Main[[#This Row],[مقدار (کیلوگرم)]])</f>
        <v>33433</v>
      </c>
      <c r="V23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8" s="6">
        <f>Main[[#This Row],[تعداد کل روزهای بدهکار (روز)]]*Main[[#This Row],[مانده در خط کل (کیلوگرم)]]</f>
        <v>33433</v>
      </c>
      <c r="X2308" s="6">
        <f ca="1">-SUBTOTAL(9,INDEX(Main[مقدار تسویه شده (کیلوگرم)],1):Main[[#This Row],[مقدار تسویه شده (کیلوگرم)]])</f>
        <v>30412</v>
      </c>
      <c r="Y2308" s="6">
        <f ca="1">IF(Main[[#This Row],[مانده در خط تسویه شده (کیلوگرم)]]&lt;&gt;0,Main[[#This Row],[تعداد کل روزهای بدهکار (روز)]],0)</f>
        <v>1</v>
      </c>
      <c r="Z2308" s="6">
        <f ca="1">Main[[#This Row],[تعداد روزهای بدهکار تسویه شده (روز)]]*Main[[#This Row],[مانده در خط تسویه شده (کیلوگرم)]]</f>
        <v>30412</v>
      </c>
      <c r="AA2308" s="6">
        <f ca="1">SUBTOTAL(9,INDEX(Main[بدهی تسویه نشده (کیلوگرم)],1):Main[[#This Row],[بدهی تسویه نشده (کیلوگرم)]])</f>
        <v>3021</v>
      </c>
      <c r="AB2308" s="6">
        <f ca="1">IF(Main[[#This Row],[مانده در خط تسویه نشده (کیلوگرم)]]&lt;&gt;0,Main[[#This Row],[تعداد کل روزهای بدهکار (روز)]],0)</f>
        <v>1</v>
      </c>
      <c r="AC2308" s="6">
        <f ca="1">Main[[#This Row],[تعداد روزهای بدهکار  تسویه نشده (روز)]]*Main[[#This Row],[مانده در خط تسویه نشده (کیلوگرم)]]</f>
        <v>3021</v>
      </c>
      <c r="AD2308" s="6">
        <f ca="1">SUBTOTAL(9,INDEX(Main[بدهی سررسید شده (کیلوگرم)],1):Main[[#This Row],[بدهی سررسید شده (کیلوگرم)]])</f>
        <v>3021</v>
      </c>
      <c r="AE2308" s="6">
        <f ca="1">IF(Main[[#This Row],[مانده در خط سررسید شده (کیلوگرم)]]&lt;&gt;0,Main[[#This Row],[تعداد کل روزهای بدهکار (روز)]],0)</f>
        <v>1</v>
      </c>
      <c r="AF2308" s="6">
        <f ca="1">Main[[#This Row],[تعداد روزهای بدهکار سررسید شده (روز)]]*Main[[#This Row],[مانده در خط سررسید شده (کیلوگرم)]]</f>
        <v>3021</v>
      </c>
    </row>
    <row r="2309" spans="1:32" hidden="1" x14ac:dyDescent="0.35">
      <c r="A2309" s="5">
        <f>ROW()-ROW(INDEX(Main[ردیف],1))+1</f>
        <v>2307</v>
      </c>
      <c r="B2309" s="31">
        <f>SUBTOTAL(2,INDEX(Main[ردیف],1):Main[[#This Row],[ردیف]])</f>
        <v>212</v>
      </c>
      <c r="C2309" s="32" t="s">
        <v>791</v>
      </c>
      <c r="D2309" s="32" t="str">
        <f>_xlfn.CONCAT("14",Main[[#This Row],[تاريخ]])</f>
        <v>1400/09/06</v>
      </c>
      <c r="E2309" s="33">
        <v>44527</v>
      </c>
      <c r="F2309" s="32">
        <v>10055</v>
      </c>
      <c r="G2309" s="5" t="str">
        <f>INDEX(customer[عنوان],MATCH(Main[[#This Row],[کد ردیابی]],customer[کد],0))</f>
        <v xml:space="preserve">مریم فیض آبادی  </v>
      </c>
      <c r="H2309">
        <v>-4884</v>
      </c>
      <c r="I2309" s="6">
        <f ca="1">-Main[[#This Row],[بدهی تسویه شده (کیلوگرم)]]+Main[[#This Row],[بستانکار (کیلوگرم)]]</f>
        <v>0</v>
      </c>
      <c r="J2309" s="6">
        <f>IF(Main[[#This Row],[مقدار (کیلوگرم)]]&gt;0,Main[[#This Row],[مقدار (کیلوگرم)]],0)</f>
        <v>0</v>
      </c>
      <c r="K2309" s="6">
        <f>-IF(Main[[#This Row],[مقدار (کیلوگرم)]]&lt;0,Main[[#This Row],[مقدار (کیلوگرم)]],0)</f>
        <v>4884</v>
      </c>
      <c r="L23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4884</v>
      </c>
      <c r="M2309" s="7">
        <f>-IF(AND(Main[[#This Row],[مقدار (کیلوگرم)]]&lt;0,Main[[#This Row],[تاريخ میلادی]]&gt;44276),Main[[#This Row],[مقدار (کیلوگرم)]],0)</f>
        <v>4884</v>
      </c>
      <c r="N2309" s="6">
        <f ca="1">Main[[#This Row],[بدهکار (کیلوگرم)]]-Main[[#This Row],[بدهی تسویه نشده (کیلوگرم)]]</f>
        <v>0</v>
      </c>
      <c r="O2309" s="6">
        <f ca="1">Main[[#This Row],[تفکیک]]</f>
        <v>4884</v>
      </c>
      <c r="P2309" s="6">
        <f ca="1">IF(Main[[#This Row],[تاخیر از سررسید]]&gt;0,Main[[#This Row],[بدهی تسویه نشده (کیلوگرم)]],0)</f>
        <v>4884</v>
      </c>
      <c r="Q2309" s="6">
        <f ca="1">IF(Main[[#This Row],[بدهی تسویه نشده (کیلوگرم)]]&gt;0,'گزارش فردی'!$B$7-Main[[#This Row],[تاريخ میلادی]],0)</f>
        <v>935.75374085648218</v>
      </c>
      <c r="R2309" s="6">
        <f ca="1">IF(Main[[#This Row],[بدهی تسویه نشده (کیلوگرم)]]&gt;0,'گزارش فردی'!$B$7-Main[[#This Row],[تاريخ میلادی]]-'گزارش فردی'!$B$8,0)</f>
        <v>920.75374085648218</v>
      </c>
      <c r="S2309" s="6">
        <f ca="1">Main[[#This Row],[روز از ارسال سفارش]]*Main[[#This Row],[بدهی تسویه نشده (کیلوگرم)]]</f>
        <v>4570221.2703430587</v>
      </c>
      <c r="T2309" s="6">
        <f ca="1">Main[[#This Row],[بدهی سررسید شده (کیلوگرم)]]*Main[[#This Row],[روز از ارسال سفارش]]</f>
        <v>4570221.2703430587</v>
      </c>
      <c r="U2309" s="6">
        <f>-SUBTOTAL(9,INDEX(Main[مقدار (کیلوگرم)],1):Main[[#This Row],[مقدار (کیلوگرم)]])</f>
        <v>33433</v>
      </c>
      <c r="V23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9" s="6">
        <f>Main[[#This Row],[تعداد کل روزهای بدهکار (روز)]]*Main[[#This Row],[مانده در خط کل (کیلوگرم)]]</f>
        <v>33433</v>
      </c>
      <c r="X2309" s="6">
        <f ca="1">-SUBTOTAL(9,INDEX(Main[مقدار تسویه شده (کیلوگرم)],1):Main[[#This Row],[مقدار تسویه شده (کیلوگرم)]])</f>
        <v>30412</v>
      </c>
      <c r="Y2309" s="6">
        <f ca="1">IF(Main[[#This Row],[مانده در خط تسویه شده (کیلوگرم)]]&lt;&gt;0,Main[[#This Row],[تعداد کل روزهای بدهکار (روز)]],0)</f>
        <v>1</v>
      </c>
      <c r="Z2309" s="6">
        <f ca="1">Main[[#This Row],[تعداد روزهای بدهکار تسویه شده (روز)]]*Main[[#This Row],[مانده در خط تسویه شده (کیلوگرم)]]</f>
        <v>30412</v>
      </c>
      <c r="AA2309" s="6">
        <f ca="1">SUBTOTAL(9,INDEX(Main[بدهی تسویه نشده (کیلوگرم)],1):Main[[#This Row],[بدهی تسویه نشده (کیلوگرم)]])</f>
        <v>3021</v>
      </c>
      <c r="AB2309" s="6">
        <f ca="1">IF(Main[[#This Row],[مانده در خط تسویه نشده (کیلوگرم)]]&lt;&gt;0,Main[[#This Row],[تعداد کل روزهای بدهکار (روز)]],0)</f>
        <v>1</v>
      </c>
      <c r="AC2309" s="6">
        <f ca="1">Main[[#This Row],[تعداد روزهای بدهکار  تسویه نشده (روز)]]*Main[[#This Row],[مانده در خط تسویه نشده (کیلوگرم)]]</f>
        <v>3021</v>
      </c>
      <c r="AD2309" s="6">
        <f ca="1">SUBTOTAL(9,INDEX(Main[بدهی سررسید شده (کیلوگرم)],1):Main[[#This Row],[بدهی سررسید شده (کیلوگرم)]])</f>
        <v>3021</v>
      </c>
      <c r="AE2309" s="6">
        <f ca="1">IF(Main[[#This Row],[مانده در خط سررسید شده (کیلوگرم)]]&lt;&gt;0,Main[[#This Row],[تعداد کل روزهای بدهکار (روز)]],0)</f>
        <v>1</v>
      </c>
      <c r="AF2309" s="6">
        <f ca="1">Main[[#This Row],[تعداد روزهای بدهکار سررسید شده (روز)]]*Main[[#This Row],[مانده در خط سررسید شده (کیلوگرم)]]</f>
        <v>3021</v>
      </c>
    </row>
    <row r="2310" spans="1:32" hidden="1" x14ac:dyDescent="0.35">
      <c r="A2310" s="5">
        <f>ROW()-ROW(INDEX(Main[ردیف],1))+1</f>
        <v>2308</v>
      </c>
      <c r="B2310" s="31">
        <f>SUBTOTAL(2,INDEX(Main[ردیف],1):Main[[#This Row],[ردیف]])</f>
        <v>212</v>
      </c>
      <c r="C2310" s="32" t="s">
        <v>792</v>
      </c>
      <c r="D2310" s="32" t="str">
        <f>_xlfn.CONCAT("14",Main[[#This Row],[تاريخ]])</f>
        <v>1400/09/07</v>
      </c>
      <c r="E2310" s="33">
        <v>44528</v>
      </c>
      <c r="F2310" s="32">
        <v>10093</v>
      </c>
      <c r="G2310" s="5" t="str">
        <f>INDEX(customer[عنوان],MATCH(Main[[#This Row],[کد ردیابی]],customer[کد],0))</f>
        <v>مهدوی علیرضا</v>
      </c>
      <c r="H2310">
        <v>364</v>
      </c>
      <c r="I2310" s="6">
        <f ca="1">-Main[[#This Row],[بدهی تسویه شده (کیلوگرم)]]+Main[[#This Row],[بستانکار (کیلوگرم)]]</f>
        <v>364</v>
      </c>
      <c r="J2310" s="6">
        <f>IF(Main[[#This Row],[مقدار (کیلوگرم)]]&gt;0,Main[[#This Row],[مقدار (کیلوگرم)]],0)</f>
        <v>364</v>
      </c>
      <c r="K2310" s="6">
        <f>-IF(Main[[#This Row],[مقدار (کیلوگرم)]]&lt;0,Main[[#This Row],[مقدار (کیلوگرم)]],0)</f>
        <v>0</v>
      </c>
      <c r="L23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0" s="7">
        <f>-IF(AND(Main[[#This Row],[مقدار (کیلوگرم)]]&lt;0,Main[[#This Row],[تاريخ میلادی]]&gt;44276),Main[[#This Row],[مقدار (کیلوگرم)]],0)</f>
        <v>0</v>
      </c>
      <c r="N2310" s="6">
        <f ca="1">Main[[#This Row],[بدهکار (کیلوگرم)]]-Main[[#This Row],[بدهی تسویه نشده (کیلوگرم)]]</f>
        <v>0</v>
      </c>
      <c r="O2310" s="6">
        <f ca="1">Main[[#This Row],[تفکیک]]</f>
        <v>0</v>
      </c>
      <c r="P2310" s="6">
        <f ca="1">IF(Main[[#This Row],[تاخیر از سررسید]]&gt;0,Main[[#This Row],[بدهی تسویه نشده (کیلوگرم)]],0)</f>
        <v>0</v>
      </c>
      <c r="Q2310" s="6">
        <f ca="1">IF(Main[[#This Row],[بدهی تسویه نشده (کیلوگرم)]]&gt;0,'گزارش فردی'!$B$7-Main[[#This Row],[تاريخ میلادی]],0)</f>
        <v>0</v>
      </c>
      <c r="R2310" s="6">
        <f ca="1">IF(Main[[#This Row],[بدهی تسویه نشده (کیلوگرم)]]&gt;0,'گزارش فردی'!$B$7-Main[[#This Row],[تاريخ میلادی]]-'گزارش فردی'!$B$8,0)</f>
        <v>0</v>
      </c>
      <c r="S2310" s="6">
        <f ca="1">Main[[#This Row],[روز از ارسال سفارش]]*Main[[#This Row],[بدهی تسویه نشده (کیلوگرم)]]</f>
        <v>0</v>
      </c>
      <c r="T2310" s="6">
        <f ca="1">Main[[#This Row],[بدهی سررسید شده (کیلوگرم)]]*Main[[#This Row],[روز از ارسال سفارش]]</f>
        <v>0</v>
      </c>
      <c r="U2310" s="6">
        <f>-SUBTOTAL(9,INDEX(Main[مقدار (کیلوگرم)],1):Main[[#This Row],[مقدار (کیلوگرم)]])</f>
        <v>33433</v>
      </c>
      <c r="V23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0" s="6">
        <f>Main[[#This Row],[تعداد کل روزهای بدهکار (روز)]]*Main[[#This Row],[مانده در خط کل (کیلوگرم)]]</f>
        <v>0</v>
      </c>
      <c r="X2310" s="6">
        <f ca="1">-SUBTOTAL(9,INDEX(Main[مقدار تسویه شده (کیلوگرم)],1):Main[[#This Row],[مقدار تسویه شده (کیلوگرم)]])</f>
        <v>30412</v>
      </c>
      <c r="Y2310" s="6">
        <f ca="1">IF(Main[[#This Row],[مانده در خط تسویه شده (کیلوگرم)]]&lt;&gt;0,Main[[#This Row],[تعداد کل روزهای بدهکار (روز)]],0)</f>
        <v>0</v>
      </c>
      <c r="Z2310" s="6">
        <f ca="1">Main[[#This Row],[تعداد روزهای بدهکار تسویه شده (روز)]]*Main[[#This Row],[مانده در خط تسویه شده (کیلوگرم)]]</f>
        <v>0</v>
      </c>
      <c r="AA2310" s="6">
        <f ca="1">SUBTOTAL(9,INDEX(Main[بدهی تسویه نشده (کیلوگرم)],1):Main[[#This Row],[بدهی تسویه نشده (کیلوگرم)]])</f>
        <v>3021</v>
      </c>
      <c r="AB2310" s="6">
        <f ca="1">IF(Main[[#This Row],[مانده در خط تسویه نشده (کیلوگرم)]]&lt;&gt;0,Main[[#This Row],[تعداد کل روزهای بدهکار (روز)]],0)</f>
        <v>0</v>
      </c>
      <c r="AC2310" s="6">
        <f ca="1">Main[[#This Row],[تعداد روزهای بدهکار  تسویه نشده (روز)]]*Main[[#This Row],[مانده در خط تسویه نشده (کیلوگرم)]]</f>
        <v>0</v>
      </c>
      <c r="AD2310" s="6">
        <f ca="1">SUBTOTAL(9,INDEX(Main[بدهی سررسید شده (کیلوگرم)],1):Main[[#This Row],[بدهی سررسید شده (کیلوگرم)]])</f>
        <v>3021</v>
      </c>
      <c r="AE2310" s="6">
        <f ca="1">IF(Main[[#This Row],[مانده در خط سررسید شده (کیلوگرم)]]&lt;&gt;0,Main[[#This Row],[تعداد کل روزهای بدهکار (روز)]],0)</f>
        <v>0</v>
      </c>
      <c r="AF2310" s="6">
        <f ca="1">Main[[#This Row],[تعداد روزهای بدهکار سررسید شده (روز)]]*Main[[#This Row],[مانده در خط سررسید شده (کیلوگرم)]]</f>
        <v>0</v>
      </c>
    </row>
    <row r="2311" spans="1:32" hidden="1" x14ac:dyDescent="0.35">
      <c r="A2311" s="5">
        <f>ROW()-ROW(INDEX(Main[ردیف],1))+1</f>
        <v>2309</v>
      </c>
      <c r="B2311" s="31">
        <f>SUBTOTAL(2,INDEX(Main[ردیف],1):Main[[#This Row],[ردیف]])</f>
        <v>212</v>
      </c>
      <c r="C2311" s="32" t="s">
        <v>792</v>
      </c>
      <c r="D2311" s="32" t="str">
        <f>_xlfn.CONCAT("14",Main[[#This Row],[تاريخ]])</f>
        <v>1400/09/07</v>
      </c>
      <c r="E2311" s="33">
        <v>44528</v>
      </c>
      <c r="F2311" s="32">
        <v>30196</v>
      </c>
      <c r="G2311" s="5" t="str">
        <f>INDEX(customer[عنوان],MATCH(Main[[#This Row],[کد ردیابی]],customer[کد],0))</f>
        <v>شرکت فردوس</v>
      </c>
      <c r="H2311">
        <v>-3341</v>
      </c>
      <c r="I2311" s="6">
        <f ca="1">-Main[[#This Row],[بدهی تسویه شده (کیلوگرم)]]+Main[[#This Row],[بستانکار (کیلوگرم)]]</f>
        <v>0</v>
      </c>
      <c r="J2311" s="6">
        <f>IF(Main[[#This Row],[مقدار (کیلوگرم)]]&gt;0,Main[[#This Row],[مقدار (کیلوگرم)]],0)</f>
        <v>0</v>
      </c>
      <c r="K2311" s="6">
        <f>-IF(Main[[#This Row],[مقدار (کیلوگرم)]]&lt;0,Main[[#This Row],[مقدار (کیلوگرم)]],0)</f>
        <v>3341</v>
      </c>
      <c r="L23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3341</v>
      </c>
      <c r="M2311" s="7">
        <f>-IF(AND(Main[[#This Row],[مقدار (کیلوگرم)]]&lt;0,Main[[#This Row],[تاريخ میلادی]]&gt;44276),Main[[#This Row],[مقدار (کیلوگرم)]],0)</f>
        <v>3341</v>
      </c>
      <c r="N2311" s="6">
        <f ca="1">Main[[#This Row],[بدهکار (کیلوگرم)]]-Main[[#This Row],[بدهی تسویه نشده (کیلوگرم)]]</f>
        <v>0</v>
      </c>
      <c r="O2311" s="6">
        <f ca="1">Main[[#This Row],[تفکیک]]</f>
        <v>3341</v>
      </c>
      <c r="P2311" s="6">
        <f ca="1">IF(Main[[#This Row],[تاخیر از سررسید]]&gt;0,Main[[#This Row],[بدهی تسویه نشده (کیلوگرم)]],0)</f>
        <v>3341</v>
      </c>
      <c r="Q2311" s="6">
        <f ca="1">IF(Main[[#This Row],[بدهی تسویه نشده (کیلوگرم)]]&gt;0,'گزارش فردی'!$B$7-Main[[#This Row],[تاريخ میلادی]],0)</f>
        <v>934.75374085648218</v>
      </c>
      <c r="R2311" s="6">
        <f ca="1">IF(Main[[#This Row],[بدهی تسویه نشده (کیلوگرم)]]&gt;0,'گزارش فردی'!$B$7-Main[[#This Row],[تاريخ میلادی]]-'گزارش فردی'!$B$8,0)</f>
        <v>919.75374085648218</v>
      </c>
      <c r="S2311" s="6">
        <f ca="1">Main[[#This Row],[روز از ارسال سفارش]]*Main[[#This Row],[بدهی تسویه نشده (کیلوگرم)]]</f>
        <v>3123012.2482015071</v>
      </c>
      <c r="T2311" s="6">
        <f ca="1">Main[[#This Row],[بدهی سررسید شده (کیلوگرم)]]*Main[[#This Row],[روز از ارسال سفارش]]</f>
        <v>3123012.2482015071</v>
      </c>
      <c r="U2311" s="6">
        <f>-SUBTOTAL(9,INDEX(Main[مقدار (کیلوگرم)],1):Main[[#This Row],[مقدار (کیلوگرم)]])</f>
        <v>33433</v>
      </c>
      <c r="V23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1" s="6">
        <f>Main[[#This Row],[تعداد کل روزهای بدهکار (روز)]]*Main[[#This Row],[مانده در خط کل (کیلوگرم)]]</f>
        <v>0</v>
      </c>
      <c r="X2311" s="6">
        <f ca="1">-SUBTOTAL(9,INDEX(Main[مقدار تسویه شده (کیلوگرم)],1):Main[[#This Row],[مقدار تسویه شده (کیلوگرم)]])</f>
        <v>30412</v>
      </c>
      <c r="Y2311" s="6">
        <f ca="1">IF(Main[[#This Row],[مانده در خط تسویه شده (کیلوگرم)]]&lt;&gt;0,Main[[#This Row],[تعداد کل روزهای بدهکار (روز)]],0)</f>
        <v>0</v>
      </c>
      <c r="Z2311" s="6">
        <f ca="1">Main[[#This Row],[تعداد روزهای بدهکار تسویه شده (روز)]]*Main[[#This Row],[مانده در خط تسویه شده (کیلوگرم)]]</f>
        <v>0</v>
      </c>
      <c r="AA2311" s="6">
        <f ca="1">SUBTOTAL(9,INDEX(Main[بدهی تسویه نشده (کیلوگرم)],1):Main[[#This Row],[بدهی تسویه نشده (کیلوگرم)]])</f>
        <v>3021</v>
      </c>
      <c r="AB2311" s="6">
        <f ca="1">IF(Main[[#This Row],[مانده در خط تسویه نشده (کیلوگرم)]]&lt;&gt;0,Main[[#This Row],[تعداد کل روزهای بدهکار (روز)]],0)</f>
        <v>0</v>
      </c>
      <c r="AC2311" s="6">
        <f ca="1">Main[[#This Row],[تعداد روزهای بدهکار  تسویه نشده (روز)]]*Main[[#This Row],[مانده در خط تسویه نشده (کیلوگرم)]]</f>
        <v>0</v>
      </c>
      <c r="AD2311" s="6">
        <f ca="1">SUBTOTAL(9,INDEX(Main[بدهی سررسید شده (کیلوگرم)],1):Main[[#This Row],[بدهی سررسید شده (کیلوگرم)]])</f>
        <v>3021</v>
      </c>
      <c r="AE2311" s="6">
        <f ca="1">IF(Main[[#This Row],[مانده در خط سررسید شده (کیلوگرم)]]&lt;&gt;0,Main[[#This Row],[تعداد کل روزهای بدهکار (روز)]],0)</f>
        <v>0</v>
      </c>
      <c r="AF2311" s="6">
        <f ca="1">Main[[#This Row],[تعداد روزهای بدهکار سررسید شده (روز)]]*Main[[#This Row],[مانده در خط سررسید شده (کیلوگرم)]]</f>
        <v>0</v>
      </c>
    </row>
    <row r="2312" spans="1:32" hidden="1" x14ac:dyDescent="0.35">
      <c r="A2312" s="5">
        <f>ROW()-ROW(INDEX(Main[ردیف],1))+1</f>
        <v>2310</v>
      </c>
      <c r="B2312" s="31">
        <f>SUBTOTAL(2,INDEX(Main[ردیف],1):Main[[#This Row],[ردیف]])</f>
        <v>212</v>
      </c>
      <c r="C2312" s="32" t="s">
        <v>792</v>
      </c>
      <c r="D2312" s="32" t="str">
        <f>_xlfn.CONCAT("14",Main[[#This Row],[تاريخ]])</f>
        <v>1400/09/07</v>
      </c>
      <c r="E2312" s="33">
        <v>44528</v>
      </c>
      <c r="F2312" s="32">
        <v>10026</v>
      </c>
      <c r="G2312" s="5" t="str">
        <f>INDEX(customer[عنوان],MATCH(Main[[#This Row],[کد ردیابی]],customer[کد],0))</f>
        <v xml:space="preserve">محسن فیاض بخش </v>
      </c>
      <c r="H2312">
        <v>3195</v>
      </c>
      <c r="I2312" s="6">
        <f ca="1">-Main[[#This Row],[بدهی تسویه شده (کیلوگرم)]]+Main[[#This Row],[بستانکار (کیلوگرم)]]</f>
        <v>3195</v>
      </c>
      <c r="J2312" s="6">
        <f>IF(Main[[#This Row],[مقدار (کیلوگرم)]]&gt;0,Main[[#This Row],[مقدار (کیلوگرم)]],0)</f>
        <v>3195</v>
      </c>
      <c r="K2312" s="6">
        <f>-IF(Main[[#This Row],[مقدار (کیلوگرم)]]&lt;0,Main[[#This Row],[مقدار (کیلوگرم)]],0)</f>
        <v>0</v>
      </c>
      <c r="L23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2" s="7">
        <f>-IF(AND(Main[[#This Row],[مقدار (کیلوگرم)]]&lt;0,Main[[#This Row],[تاريخ میلادی]]&gt;44276),Main[[#This Row],[مقدار (کیلوگرم)]],0)</f>
        <v>0</v>
      </c>
      <c r="N2312" s="6">
        <f ca="1">Main[[#This Row],[بدهکار (کیلوگرم)]]-Main[[#This Row],[بدهی تسویه نشده (کیلوگرم)]]</f>
        <v>0</v>
      </c>
      <c r="O2312" s="6">
        <f ca="1">Main[[#This Row],[تفکیک]]</f>
        <v>0</v>
      </c>
      <c r="P2312" s="6">
        <f ca="1">IF(Main[[#This Row],[تاخیر از سررسید]]&gt;0,Main[[#This Row],[بدهی تسویه نشده (کیلوگرم)]],0)</f>
        <v>0</v>
      </c>
      <c r="Q2312" s="6">
        <f ca="1">IF(Main[[#This Row],[بدهی تسویه نشده (کیلوگرم)]]&gt;0,'گزارش فردی'!$B$7-Main[[#This Row],[تاريخ میلادی]],0)</f>
        <v>0</v>
      </c>
      <c r="R2312" s="6">
        <f ca="1">IF(Main[[#This Row],[بدهی تسویه نشده (کیلوگرم)]]&gt;0,'گزارش فردی'!$B$7-Main[[#This Row],[تاريخ میلادی]]-'گزارش فردی'!$B$8,0)</f>
        <v>0</v>
      </c>
      <c r="S2312" s="6">
        <f ca="1">Main[[#This Row],[روز از ارسال سفارش]]*Main[[#This Row],[بدهی تسویه نشده (کیلوگرم)]]</f>
        <v>0</v>
      </c>
      <c r="T2312" s="6">
        <f ca="1">Main[[#This Row],[بدهی سررسید شده (کیلوگرم)]]*Main[[#This Row],[روز از ارسال سفارش]]</f>
        <v>0</v>
      </c>
      <c r="U2312" s="6">
        <f>-SUBTOTAL(9,INDEX(Main[مقدار (کیلوگرم)],1):Main[[#This Row],[مقدار (کیلوگرم)]])</f>
        <v>33433</v>
      </c>
      <c r="V23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2" s="6">
        <f>Main[[#This Row],[تعداد کل روزهای بدهکار (روز)]]*Main[[#This Row],[مانده در خط کل (کیلوگرم)]]</f>
        <v>0</v>
      </c>
      <c r="X2312" s="6">
        <f ca="1">-SUBTOTAL(9,INDEX(Main[مقدار تسویه شده (کیلوگرم)],1):Main[[#This Row],[مقدار تسویه شده (کیلوگرم)]])</f>
        <v>30412</v>
      </c>
      <c r="Y2312" s="6">
        <f ca="1">IF(Main[[#This Row],[مانده در خط تسویه شده (کیلوگرم)]]&lt;&gt;0,Main[[#This Row],[تعداد کل روزهای بدهکار (روز)]],0)</f>
        <v>0</v>
      </c>
      <c r="Z2312" s="6">
        <f ca="1">Main[[#This Row],[تعداد روزهای بدهکار تسویه شده (روز)]]*Main[[#This Row],[مانده در خط تسویه شده (کیلوگرم)]]</f>
        <v>0</v>
      </c>
      <c r="AA2312" s="6">
        <f ca="1">SUBTOTAL(9,INDEX(Main[بدهی تسویه نشده (کیلوگرم)],1):Main[[#This Row],[بدهی تسویه نشده (کیلوگرم)]])</f>
        <v>3021</v>
      </c>
      <c r="AB2312" s="6">
        <f ca="1">IF(Main[[#This Row],[مانده در خط تسویه نشده (کیلوگرم)]]&lt;&gt;0,Main[[#This Row],[تعداد کل روزهای بدهکار (روز)]],0)</f>
        <v>0</v>
      </c>
      <c r="AC2312" s="6">
        <f ca="1">Main[[#This Row],[تعداد روزهای بدهکار  تسویه نشده (روز)]]*Main[[#This Row],[مانده در خط تسویه نشده (کیلوگرم)]]</f>
        <v>0</v>
      </c>
      <c r="AD2312" s="6">
        <f ca="1">SUBTOTAL(9,INDEX(Main[بدهی سررسید شده (کیلوگرم)],1):Main[[#This Row],[بدهی سررسید شده (کیلوگرم)]])</f>
        <v>3021</v>
      </c>
      <c r="AE2312" s="6">
        <f ca="1">IF(Main[[#This Row],[مانده در خط سررسید شده (کیلوگرم)]]&lt;&gt;0,Main[[#This Row],[تعداد کل روزهای بدهکار (روز)]],0)</f>
        <v>0</v>
      </c>
      <c r="AF2312" s="6">
        <f ca="1">Main[[#This Row],[تعداد روزهای بدهکار سررسید شده (روز)]]*Main[[#This Row],[مانده در خط سررسید شده (کیلوگرم)]]</f>
        <v>0</v>
      </c>
    </row>
    <row r="2313" spans="1:32" hidden="1" x14ac:dyDescent="0.35">
      <c r="A2313" s="5">
        <f>ROW()-ROW(INDEX(Main[ردیف],1))+1</f>
        <v>2311</v>
      </c>
      <c r="B2313" s="31">
        <f>SUBTOTAL(2,INDEX(Main[ردیف],1):Main[[#This Row],[ردیف]])</f>
        <v>212</v>
      </c>
      <c r="C2313" s="32" t="s">
        <v>792</v>
      </c>
      <c r="D2313" s="32" t="str">
        <f>_xlfn.CONCAT("14",Main[[#This Row],[تاريخ]])</f>
        <v>1400/09/07</v>
      </c>
      <c r="E2313" s="33">
        <v>44528</v>
      </c>
      <c r="F2313" s="32">
        <v>30205</v>
      </c>
      <c r="G2313" s="5" t="str">
        <f>INDEX(customer[عنوان],MATCH(Main[[#This Row],[کد ردیابی]],customer[کد],0))</f>
        <v>ایران پالاد</v>
      </c>
      <c r="H2313">
        <v>-859</v>
      </c>
      <c r="I2313" s="6">
        <f ca="1">-Main[[#This Row],[بدهی تسویه شده (کیلوگرم)]]+Main[[#This Row],[بستانکار (کیلوگرم)]]</f>
        <v>0</v>
      </c>
      <c r="J2313" s="6">
        <f>IF(Main[[#This Row],[مقدار (کیلوگرم)]]&gt;0,Main[[#This Row],[مقدار (کیلوگرم)]],0)</f>
        <v>0</v>
      </c>
      <c r="K2313" s="6">
        <f>-IF(Main[[#This Row],[مقدار (کیلوگرم)]]&lt;0,Main[[#This Row],[مقدار (کیلوگرم)]],0)</f>
        <v>859</v>
      </c>
      <c r="L23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859</v>
      </c>
      <c r="M2313" s="7">
        <f>-IF(AND(Main[[#This Row],[مقدار (کیلوگرم)]]&lt;0,Main[[#This Row],[تاريخ میلادی]]&gt;44276),Main[[#This Row],[مقدار (کیلوگرم)]],0)</f>
        <v>859</v>
      </c>
      <c r="N2313" s="6">
        <f ca="1">Main[[#This Row],[بدهکار (کیلوگرم)]]-Main[[#This Row],[بدهی تسویه نشده (کیلوگرم)]]</f>
        <v>0</v>
      </c>
      <c r="O2313" s="6">
        <f ca="1">Main[[#This Row],[تفکیک]]</f>
        <v>859</v>
      </c>
      <c r="P2313" s="6">
        <f ca="1">IF(Main[[#This Row],[تاخیر از سررسید]]&gt;0,Main[[#This Row],[بدهی تسویه نشده (کیلوگرم)]],0)</f>
        <v>859</v>
      </c>
      <c r="Q2313" s="6">
        <f ca="1">IF(Main[[#This Row],[بدهی تسویه نشده (کیلوگرم)]]&gt;0,'گزارش فردی'!$B$7-Main[[#This Row],[تاريخ میلادی]],0)</f>
        <v>934.75374085648218</v>
      </c>
      <c r="R2313" s="6">
        <f ca="1">IF(Main[[#This Row],[بدهی تسویه نشده (کیلوگرم)]]&gt;0,'گزارش فردی'!$B$7-Main[[#This Row],[تاريخ میلادی]]-'گزارش فردی'!$B$8,0)</f>
        <v>919.75374085648218</v>
      </c>
      <c r="S2313" s="6">
        <f ca="1">Main[[#This Row],[روز از ارسال سفارش]]*Main[[#This Row],[بدهی تسویه نشده (کیلوگرم)]]</f>
        <v>802953.46339571825</v>
      </c>
      <c r="T2313" s="6">
        <f ca="1">Main[[#This Row],[بدهی سررسید شده (کیلوگرم)]]*Main[[#This Row],[روز از ارسال سفارش]]</f>
        <v>802953.46339571825</v>
      </c>
      <c r="U2313" s="6">
        <f>-SUBTOTAL(9,INDEX(Main[مقدار (کیلوگرم)],1):Main[[#This Row],[مقدار (کیلوگرم)]])</f>
        <v>33433</v>
      </c>
      <c r="V23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3" s="6">
        <f>Main[[#This Row],[تعداد کل روزهای بدهکار (روز)]]*Main[[#This Row],[مانده در خط کل (کیلوگرم)]]</f>
        <v>0</v>
      </c>
      <c r="X2313" s="6">
        <f ca="1">-SUBTOTAL(9,INDEX(Main[مقدار تسویه شده (کیلوگرم)],1):Main[[#This Row],[مقدار تسویه شده (کیلوگرم)]])</f>
        <v>30412</v>
      </c>
      <c r="Y2313" s="6">
        <f ca="1">IF(Main[[#This Row],[مانده در خط تسویه شده (کیلوگرم)]]&lt;&gt;0,Main[[#This Row],[تعداد کل روزهای بدهکار (روز)]],0)</f>
        <v>0</v>
      </c>
      <c r="Z2313" s="6">
        <f ca="1">Main[[#This Row],[تعداد روزهای بدهکار تسویه شده (روز)]]*Main[[#This Row],[مانده در خط تسویه شده (کیلوگرم)]]</f>
        <v>0</v>
      </c>
      <c r="AA2313" s="6">
        <f ca="1">SUBTOTAL(9,INDEX(Main[بدهی تسویه نشده (کیلوگرم)],1):Main[[#This Row],[بدهی تسویه نشده (کیلوگرم)]])</f>
        <v>3021</v>
      </c>
      <c r="AB2313" s="6">
        <f ca="1">IF(Main[[#This Row],[مانده در خط تسویه نشده (کیلوگرم)]]&lt;&gt;0,Main[[#This Row],[تعداد کل روزهای بدهکار (روز)]],0)</f>
        <v>0</v>
      </c>
      <c r="AC2313" s="6">
        <f ca="1">Main[[#This Row],[تعداد روزهای بدهکار  تسویه نشده (روز)]]*Main[[#This Row],[مانده در خط تسویه نشده (کیلوگرم)]]</f>
        <v>0</v>
      </c>
      <c r="AD2313" s="6">
        <f ca="1">SUBTOTAL(9,INDEX(Main[بدهی سررسید شده (کیلوگرم)],1):Main[[#This Row],[بدهی سررسید شده (کیلوگرم)]])</f>
        <v>3021</v>
      </c>
      <c r="AE2313" s="6">
        <f ca="1">IF(Main[[#This Row],[مانده در خط سررسید شده (کیلوگرم)]]&lt;&gt;0,Main[[#This Row],[تعداد کل روزهای بدهکار (روز)]],0)</f>
        <v>0</v>
      </c>
      <c r="AF2313" s="6">
        <f ca="1">Main[[#This Row],[تعداد روزهای بدهکار سررسید شده (روز)]]*Main[[#This Row],[مانده در خط سررسید شده (کیلوگرم)]]</f>
        <v>0</v>
      </c>
    </row>
    <row r="2314" spans="1:32" hidden="1" x14ac:dyDescent="0.35">
      <c r="A2314" s="5">
        <f>ROW()-ROW(INDEX(Main[ردیف],1))+1</f>
        <v>2312</v>
      </c>
      <c r="B2314" s="31">
        <f>SUBTOTAL(2,INDEX(Main[ردیف],1):Main[[#This Row],[ردیف]])</f>
        <v>212</v>
      </c>
      <c r="C2314" s="32" t="s">
        <v>792</v>
      </c>
      <c r="D2314" s="32" t="str">
        <f>_xlfn.CONCAT("14",Main[[#This Row],[تاريخ]])</f>
        <v>1400/09/07</v>
      </c>
      <c r="E2314" s="33">
        <v>44528</v>
      </c>
      <c r="F2314" s="32">
        <v>30009</v>
      </c>
      <c r="G2314" s="5" t="str">
        <f>INDEX(customer[عنوان],MATCH(Main[[#This Row],[کد ردیابی]],customer[کد],0))</f>
        <v>شرکت ایمن تک پیشرو</v>
      </c>
      <c r="H2314">
        <v>1123</v>
      </c>
      <c r="I2314" s="6">
        <f ca="1">-Main[[#This Row],[بدهی تسویه شده (کیلوگرم)]]+Main[[#This Row],[بستانکار (کیلوگرم)]]</f>
        <v>1123</v>
      </c>
      <c r="J2314" s="6">
        <f>IF(Main[[#This Row],[مقدار (کیلوگرم)]]&gt;0,Main[[#This Row],[مقدار (کیلوگرم)]],0)</f>
        <v>1123</v>
      </c>
      <c r="K2314" s="6">
        <f>-IF(Main[[#This Row],[مقدار (کیلوگرم)]]&lt;0,Main[[#This Row],[مقدار (کیلوگرم)]],0)</f>
        <v>0</v>
      </c>
      <c r="L23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4" s="7">
        <f>-IF(AND(Main[[#This Row],[مقدار (کیلوگرم)]]&lt;0,Main[[#This Row],[تاريخ میلادی]]&gt;44276),Main[[#This Row],[مقدار (کیلوگرم)]],0)</f>
        <v>0</v>
      </c>
      <c r="N2314" s="6">
        <f ca="1">Main[[#This Row],[بدهکار (کیلوگرم)]]-Main[[#This Row],[بدهی تسویه نشده (کیلوگرم)]]</f>
        <v>0</v>
      </c>
      <c r="O2314" s="6">
        <f ca="1">Main[[#This Row],[تفکیک]]</f>
        <v>0</v>
      </c>
      <c r="P2314" s="6">
        <f ca="1">IF(Main[[#This Row],[تاخیر از سررسید]]&gt;0,Main[[#This Row],[بدهی تسویه نشده (کیلوگرم)]],0)</f>
        <v>0</v>
      </c>
      <c r="Q2314" s="6">
        <f ca="1">IF(Main[[#This Row],[بدهی تسویه نشده (کیلوگرم)]]&gt;0,'گزارش فردی'!$B$7-Main[[#This Row],[تاريخ میلادی]],0)</f>
        <v>0</v>
      </c>
      <c r="R2314" s="6">
        <f ca="1">IF(Main[[#This Row],[بدهی تسویه نشده (کیلوگرم)]]&gt;0,'گزارش فردی'!$B$7-Main[[#This Row],[تاريخ میلادی]]-'گزارش فردی'!$B$8,0)</f>
        <v>0</v>
      </c>
      <c r="S2314" s="6">
        <f ca="1">Main[[#This Row],[روز از ارسال سفارش]]*Main[[#This Row],[بدهی تسویه نشده (کیلوگرم)]]</f>
        <v>0</v>
      </c>
      <c r="T2314" s="6">
        <f ca="1">Main[[#This Row],[بدهی سررسید شده (کیلوگرم)]]*Main[[#This Row],[روز از ارسال سفارش]]</f>
        <v>0</v>
      </c>
      <c r="U2314" s="6">
        <f>-SUBTOTAL(9,INDEX(Main[مقدار (کیلوگرم)],1):Main[[#This Row],[مقدار (کیلوگرم)]])</f>
        <v>33433</v>
      </c>
      <c r="V23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4" s="6">
        <f>Main[[#This Row],[تعداد کل روزهای بدهکار (روز)]]*Main[[#This Row],[مانده در خط کل (کیلوگرم)]]</f>
        <v>0</v>
      </c>
      <c r="X2314" s="6">
        <f ca="1">-SUBTOTAL(9,INDEX(Main[مقدار تسویه شده (کیلوگرم)],1):Main[[#This Row],[مقدار تسویه شده (کیلوگرم)]])</f>
        <v>30412</v>
      </c>
      <c r="Y2314" s="6">
        <f ca="1">IF(Main[[#This Row],[مانده در خط تسویه شده (کیلوگرم)]]&lt;&gt;0,Main[[#This Row],[تعداد کل روزهای بدهکار (روز)]],0)</f>
        <v>0</v>
      </c>
      <c r="Z2314" s="6">
        <f ca="1">Main[[#This Row],[تعداد روزهای بدهکار تسویه شده (روز)]]*Main[[#This Row],[مانده در خط تسویه شده (کیلوگرم)]]</f>
        <v>0</v>
      </c>
      <c r="AA2314" s="6">
        <f ca="1">SUBTOTAL(9,INDEX(Main[بدهی تسویه نشده (کیلوگرم)],1):Main[[#This Row],[بدهی تسویه نشده (کیلوگرم)]])</f>
        <v>3021</v>
      </c>
      <c r="AB2314" s="6">
        <f ca="1">IF(Main[[#This Row],[مانده در خط تسویه نشده (کیلوگرم)]]&lt;&gt;0,Main[[#This Row],[تعداد کل روزهای بدهکار (روز)]],0)</f>
        <v>0</v>
      </c>
      <c r="AC2314" s="6">
        <f ca="1">Main[[#This Row],[تعداد روزهای بدهکار  تسویه نشده (روز)]]*Main[[#This Row],[مانده در خط تسویه نشده (کیلوگرم)]]</f>
        <v>0</v>
      </c>
      <c r="AD2314" s="6">
        <f ca="1">SUBTOTAL(9,INDEX(Main[بدهی سررسید شده (کیلوگرم)],1):Main[[#This Row],[بدهی سررسید شده (کیلوگرم)]])</f>
        <v>3021</v>
      </c>
      <c r="AE2314" s="6">
        <f ca="1">IF(Main[[#This Row],[مانده در خط سررسید شده (کیلوگرم)]]&lt;&gt;0,Main[[#This Row],[تعداد کل روزهای بدهکار (روز)]],0)</f>
        <v>0</v>
      </c>
      <c r="AF2314" s="6">
        <f ca="1">Main[[#This Row],[تعداد روزهای بدهکار سررسید شده (روز)]]*Main[[#This Row],[مانده در خط سررسید شده (کیلوگرم)]]</f>
        <v>0</v>
      </c>
    </row>
    <row r="2315" spans="1:32" hidden="1" x14ac:dyDescent="0.35">
      <c r="A2315" s="5">
        <f>ROW()-ROW(INDEX(Main[ردیف],1))+1</f>
        <v>2313</v>
      </c>
      <c r="B2315" s="31">
        <f>SUBTOTAL(2,INDEX(Main[ردیف],1):Main[[#This Row],[ردیف]])</f>
        <v>212</v>
      </c>
      <c r="C2315" s="32" t="s">
        <v>792</v>
      </c>
      <c r="D2315" s="32" t="str">
        <f>_xlfn.CONCAT("14",Main[[#This Row],[تاريخ]])</f>
        <v>1400/09/07</v>
      </c>
      <c r="E2315" s="33">
        <v>44528</v>
      </c>
      <c r="F2315" s="32">
        <v>30124</v>
      </c>
      <c r="G2315" s="5" t="str">
        <f>INDEX(customer[عنوان],MATCH(Main[[#This Row],[کد ردیابی]],customer[کد],0))</f>
        <v>شرکت لنگرمرواریدسبز</v>
      </c>
      <c r="H2315">
        <v>-1802</v>
      </c>
      <c r="I2315" s="6">
        <f ca="1">-Main[[#This Row],[بدهی تسویه شده (کیلوگرم)]]+Main[[#This Row],[بستانکار (کیلوگرم)]]</f>
        <v>0</v>
      </c>
      <c r="J2315" s="6">
        <f>IF(Main[[#This Row],[مقدار (کیلوگرم)]]&gt;0,Main[[#This Row],[مقدار (کیلوگرم)]],0)</f>
        <v>0</v>
      </c>
      <c r="K2315" s="6">
        <f>-IF(Main[[#This Row],[مقدار (کیلوگرم)]]&lt;0,Main[[#This Row],[مقدار (کیلوگرم)]],0)</f>
        <v>1802</v>
      </c>
      <c r="L23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1802</v>
      </c>
      <c r="M2315" s="7">
        <f>-IF(AND(Main[[#This Row],[مقدار (کیلوگرم)]]&lt;0,Main[[#This Row],[تاريخ میلادی]]&gt;44276),Main[[#This Row],[مقدار (کیلوگرم)]],0)</f>
        <v>1802</v>
      </c>
      <c r="N2315" s="6">
        <f ca="1">Main[[#This Row],[بدهکار (کیلوگرم)]]-Main[[#This Row],[بدهی تسویه نشده (کیلوگرم)]]</f>
        <v>0</v>
      </c>
      <c r="O2315" s="6">
        <f ca="1">Main[[#This Row],[تفکیک]]</f>
        <v>1802</v>
      </c>
      <c r="P2315" s="6">
        <f ca="1">IF(Main[[#This Row],[تاخیر از سررسید]]&gt;0,Main[[#This Row],[بدهی تسویه نشده (کیلوگرم)]],0)</f>
        <v>1802</v>
      </c>
      <c r="Q2315" s="6">
        <f ca="1">IF(Main[[#This Row],[بدهی تسویه نشده (کیلوگرم)]]&gt;0,'گزارش فردی'!$B$7-Main[[#This Row],[تاريخ میلادی]],0)</f>
        <v>934.75374085648218</v>
      </c>
      <c r="R2315" s="6">
        <f ca="1">IF(Main[[#This Row],[بدهی تسویه نشده (کیلوگرم)]]&gt;0,'گزارش فردی'!$B$7-Main[[#This Row],[تاريخ میلادی]]-'گزارش فردی'!$B$8,0)</f>
        <v>919.75374085648218</v>
      </c>
      <c r="S2315" s="6">
        <f ca="1">Main[[#This Row],[روز از ارسال سفارش]]*Main[[#This Row],[بدهی تسویه نشده (کیلوگرم)]]</f>
        <v>1684426.2410233808</v>
      </c>
      <c r="T2315" s="6">
        <f ca="1">Main[[#This Row],[بدهی سررسید شده (کیلوگرم)]]*Main[[#This Row],[روز از ارسال سفارش]]</f>
        <v>1684426.2410233808</v>
      </c>
      <c r="U2315" s="6">
        <f>-SUBTOTAL(9,INDEX(Main[مقدار (کیلوگرم)],1):Main[[#This Row],[مقدار (کیلوگرم)]])</f>
        <v>33433</v>
      </c>
      <c r="V23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5" s="6">
        <f>Main[[#This Row],[تعداد کل روزهای بدهکار (روز)]]*Main[[#This Row],[مانده در خط کل (کیلوگرم)]]</f>
        <v>0</v>
      </c>
      <c r="X2315" s="6">
        <f ca="1">-SUBTOTAL(9,INDEX(Main[مقدار تسویه شده (کیلوگرم)],1):Main[[#This Row],[مقدار تسویه شده (کیلوگرم)]])</f>
        <v>30412</v>
      </c>
      <c r="Y2315" s="6">
        <f ca="1">IF(Main[[#This Row],[مانده در خط تسویه شده (کیلوگرم)]]&lt;&gt;0,Main[[#This Row],[تعداد کل روزهای بدهکار (روز)]],0)</f>
        <v>0</v>
      </c>
      <c r="Z2315" s="6">
        <f ca="1">Main[[#This Row],[تعداد روزهای بدهکار تسویه شده (روز)]]*Main[[#This Row],[مانده در خط تسویه شده (کیلوگرم)]]</f>
        <v>0</v>
      </c>
      <c r="AA2315" s="6">
        <f ca="1">SUBTOTAL(9,INDEX(Main[بدهی تسویه نشده (کیلوگرم)],1):Main[[#This Row],[بدهی تسویه نشده (کیلوگرم)]])</f>
        <v>3021</v>
      </c>
      <c r="AB2315" s="6">
        <f ca="1">IF(Main[[#This Row],[مانده در خط تسویه نشده (کیلوگرم)]]&lt;&gt;0,Main[[#This Row],[تعداد کل روزهای بدهکار (روز)]],0)</f>
        <v>0</v>
      </c>
      <c r="AC2315" s="6">
        <f ca="1">Main[[#This Row],[تعداد روزهای بدهکار  تسویه نشده (روز)]]*Main[[#This Row],[مانده در خط تسویه نشده (کیلوگرم)]]</f>
        <v>0</v>
      </c>
      <c r="AD2315" s="6">
        <f ca="1">SUBTOTAL(9,INDEX(Main[بدهی سررسید شده (کیلوگرم)],1):Main[[#This Row],[بدهی سررسید شده (کیلوگرم)]])</f>
        <v>3021</v>
      </c>
      <c r="AE2315" s="6">
        <f ca="1">IF(Main[[#This Row],[مانده در خط سررسید شده (کیلوگرم)]]&lt;&gt;0,Main[[#This Row],[تعداد کل روزهای بدهکار (روز)]],0)</f>
        <v>0</v>
      </c>
      <c r="AF2315" s="6">
        <f ca="1">Main[[#This Row],[تعداد روزهای بدهکار سررسید شده (روز)]]*Main[[#This Row],[مانده در خط سررسید شده (کیلوگرم)]]</f>
        <v>0</v>
      </c>
    </row>
    <row r="2316" spans="1:32" x14ac:dyDescent="0.35">
      <c r="A2316" s="5">
        <f>ROW()-ROW(INDEX(Main[ردیف],1))+1</f>
        <v>2314</v>
      </c>
      <c r="B2316" s="31">
        <f>SUBTOTAL(2,INDEX(Main[ردیف],1):Main[[#This Row],[ردیف]])</f>
        <v>213</v>
      </c>
      <c r="C2316" s="32" t="s">
        <v>792</v>
      </c>
      <c r="D2316" s="32" t="str">
        <f>_xlfn.CONCAT("14",Main[[#This Row],[تاريخ]])</f>
        <v>1400/09/07</v>
      </c>
      <c r="E2316" s="33">
        <v>44528</v>
      </c>
      <c r="F2316" s="32">
        <v>10003</v>
      </c>
      <c r="G2316" s="5" t="str">
        <f>INDEX(customer[عنوان],MATCH(Main[[#This Row],[کد ردیابی]],customer[کد],0))</f>
        <v>اصغر نورعلی</v>
      </c>
      <c r="H2316">
        <v>2452</v>
      </c>
      <c r="I2316" s="6">
        <f ca="1">-Main[[#This Row],[بدهی تسویه شده (کیلوگرم)]]+Main[[#This Row],[بستانکار (کیلوگرم)]]</f>
        <v>2452</v>
      </c>
      <c r="J2316" s="6">
        <f>IF(Main[[#This Row],[مقدار (کیلوگرم)]]&gt;0,Main[[#This Row],[مقدار (کیلوگرم)]],0)</f>
        <v>2452</v>
      </c>
      <c r="K2316" s="6">
        <f>-IF(Main[[#This Row],[مقدار (کیلوگرم)]]&lt;0,Main[[#This Row],[مقدار (کیلوگرم)]],0)</f>
        <v>0</v>
      </c>
      <c r="L23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6" s="7">
        <f>-IF(AND(Main[[#This Row],[مقدار (کیلوگرم)]]&lt;0,Main[[#This Row],[تاريخ میلادی]]&gt;44276),Main[[#This Row],[مقدار (کیلوگرم)]],0)</f>
        <v>0</v>
      </c>
      <c r="N2316" s="6">
        <f ca="1">Main[[#This Row],[بدهکار (کیلوگرم)]]-Main[[#This Row],[بدهی تسویه نشده (کیلوگرم)]]</f>
        <v>0</v>
      </c>
      <c r="O2316" s="6">
        <f ca="1">Main[[#This Row],[تفکیک]]</f>
        <v>0</v>
      </c>
      <c r="P2316" s="6">
        <f ca="1">IF(Main[[#This Row],[تاخیر از سررسید]]&gt;0,Main[[#This Row],[بدهی تسویه نشده (کیلوگرم)]],0)</f>
        <v>0</v>
      </c>
      <c r="Q2316" s="6">
        <f ca="1">IF(Main[[#This Row],[بدهی تسویه نشده (کیلوگرم)]]&gt;0,'گزارش فردی'!$B$7-Main[[#This Row],[تاريخ میلادی]],0)</f>
        <v>0</v>
      </c>
      <c r="R2316" s="6">
        <f ca="1">IF(Main[[#This Row],[بدهی تسویه نشده (کیلوگرم)]]&gt;0,'گزارش فردی'!$B$7-Main[[#This Row],[تاريخ میلادی]]-'گزارش فردی'!$B$8,0)</f>
        <v>0</v>
      </c>
      <c r="S2316" s="6">
        <f ca="1">Main[[#This Row],[روز از ارسال سفارش]]*Main[[#This Row],[بدهی تسویه نشده (کیلوگرم)]]</f>
        <v>0</v>
      </c>
      <c r="T2316" s="6">
        <f ca="1">Main[[#This Row],[بدهی سررسید شده (کیلوگرم)]]*Main[[#This Row],[روز از ارسال سفارش]]</f>
        <v>0</v>
      </c>
      <c r="U2316" s="6">
        <f>-SUBTOTAL(9,INDEX(Main[مقدار (کیلوگرم)],1):Main[[#This Row],[مقدار (کیلوگرم)]])</f>
        <v>30981</v>
      </c>
      <c r="V23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6" s="6">
        <f>Main[[#This Row],[تعداد کل روزهای بدهکار (روز)]]*Main[[#This Row],[مانده در خط کل (کیلوگرم)]]</f>
        <v>61962</v>
      </c>
      <c r="X2316" s="6">
        <f ca="1">-SUBTOTAL(9,INDEX(Main[مقدار تسویه شده (کیلوگرم)],1):Main[[#This Row],[مقدار تسویه شده (کیلوگرم)]])</f>
        <v>27960</v>
      </c>
      <c r="Y2316" s="6">
        <f ca="1">IF(Main[[#This Row],[مانده در خط تسویه شده (کیلوگرم)]]&lt;&gt;0,Main[[#This Row],[تعداد کل روزهای بدهکار (روز)]],0)</f>
        <v>2</v>
      </c>
      <c r="Z2316" s="6">
        <f ca="1">Main[[#This Row],[تعداد روزهای بدهکار تسویه شده (روز)]]*Main[[#This Row],[مانده در خط تسویه شده (کیلوگرم)]]</f>
        <v>55920</v>
      </c>
      <c r="AA2316" s="6">
        <f ca="1">SUBTOTAL(9,INDEX(Main[بدهی تسویه نشده (کیلوگرم)],1):Main[[#This Row],[بدهی تسویه نشده (کیلوگرم)]])</f>
        <v>3021</v>
      </c>
      <c r="AB2316" s="6">
        <f ca="1">IF(Main[[#This Row],[مانده در خط تسویه نشده (کیلوگرم)]]&lt;&gt;0,Main[[#This Row],[تعداد کل روزهای بدهکار (روز)]],0)</f>
        <v>2</v>
      </c>
      <c r="AC2316" s="6">
        <f ca="1">Main[[#This Row],[تعداد روزهای بدهکار  تسویه نشده (روز)]]*Main[[#This Row],[مانده در خط تسویه نشده (کیلوگرم)]]</f>
        <v>6042</v>
      </c>
      <c r="AD2316" s="6">
        <f ca="1">SUBTOTAL(9,INDEX(Main[بدهی سررسید شده (کیلوگرم)],1):Main[[#This Row],[بدهی سررسید شده (کیلوگرم)]])</f>
        <v>3021</v>
      </c>
      <c r="AE2316" s="6">
        <f ca="1">IF(Main[[#This Row],[مانده در خط سررسید شده (کیلوگرم)]]&lt;&gt;0,Main[[#This Row],[تعداد کل روزهای بدهکار (روز)]],0)</f>
        <v>2</v>
      </c>
      <c r="AF2316" s="6">
        <f ca="1">Main[[#This Row],[تعداد روزهای بدهکار سررسید شده (روز)]]*Main[[#This Row],[مانده در خط سررسید شده (کیلوگرم)]]</f>
        <v>6042</v>
      </c>
    </row>
    <row r="2317" spans="1:32" hidden="1" x14ac:dyDescent="0.35">
      <c r="A2317" s="5">
        <f>ROW()-ROW(INDEX(Main[ردیف],1))+1</f>
        <v>2315</v>
      </c>
      <c r="B2317" s="31">
        <f>SUBTOTAL(2,INDEX(Main[ردیف],1):Main[[#This Row],[ردیف]])</f>
        <v>213</v>
      </c>
      <c r="C2317" s="32" t="s">
        <v>792</v>
      </c>
      <c r="D2317" s="32" t="str">
        <f>_xlfn.CONCAT("14",Main[[#This Row],[تاريخ]])</f>
        <v>1400/09/07</v>
      </c>
      <c r="E2317" s="33">
        <v>44528</v>
      </c>
      <c r="F2317" s="32">
        <v>30190</v>
      </c>
      <c r="G2317" s="5" t="str">
        <f>INDEX(customer[عنوان],MATCH(Main[[#This Row],[کد ردیابی]],customer[کد],0))</f>
        <v>ایران طلق</v>
      </c>
      <c r="H2317">
        <v>-2051</v>
      </c>
      <c r="I2317" s="6">
        <f ca="1">-Main[[#This Row],[بدهی تسویه شده (کیلوگرم)]]+Main[[#This Row],[بستانکار (کیلوگرم)]]</f>
        <v>0</v>
      </c>
      <c r="J2317" s="6">
        <f>IF(Main[[#This Row],[مقدار (کیلوگرم)]]&gt;0,Main[[#This Row],[مقدار (کیلوگرم)]],0)</f>
        <v>0</v>
      </c>
      <c r="K2317" s="6">
        <f>-IF(Main[[#This Row],[مقدار (کیلوگرم)]]&lt;0,Main[[#This Row],[مقدار (کیلوگرم)]],0)</f>
        <v>2051</v>
      </c>
      <c r="L23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2051</v>
      </c>
      <c r="M2317" s="7">
        <f>-IF(AND(Main[[#This Row],[مقدار (کیلوگرم)]]&lt;0,Main[[#This Row],[تاريخ میلادی]]&gt;44276),Main[[#This Row],[مقدار (کیلوگرم)]],0)</f>
        <v>2051</v>
      </c>
      <c r="N2317" s="6">
        <f ca="1">Main[[#This Row],[بدهکار (کیلوگرم)]]-Main[[#This Row],[بدهی تسویه نشده (کیلوگرم)]]</f>
        <v>0</v>
      </c>
      <c r="O2317" s="6">
        <f ca="1">Main[[#This Row],[تفکیک]]</f>
        <v>2051</v>
      </c>
      <c r="P2317" s="6">
        <f ca="1">IF(Main[[#This Row],[تاخیر از سررسید]]&gt;0,Main[[#This Row],[بدهی تسویه نشده (کیلوگرم)]],0)</f>
        <v>2051</v>
      </c>
      <c r="Q2317" s="6">
        <f ca="1">IF(Main[[#This Row],[بدهی تسویه نشده (کیلوگرم)]]&gt;0,'گزارش فردی'!$B$7-Main[[#This Row],[تاريخ میلادی]],0)</f>
        <v>934.75374085648218</v>
      </c>
      <c r="R2317" s="6">
        <f ca="1">IF(Main[[#This Row],[بدهی تسویه نشده (کیلوگرم)]]&gt;0,'گزارش فردی'!$B$7-Main[[#This Row],[تاريخ میلادی]]-'گزارش فردی'!$B$8,0)</f>
        <v>919.75374085648218</v>
      </c>
      <c r="S2317" s="6">
        <f ca="1">Main[[#This Row],[روز از ارسال سفارش]]*Main[[#This Row],[بدهی تسویه نشده (کیلوگرم)]]</f>
        <v>1917179.922496645</v>
      </c>
      <c r="T2317" s="6">
        <f ca="1">Main[[#This Row],[بدهی سررسید شده (کیلوگرم)]]*Main[[#This Row],[روز از ارسال سفارش]]</f>
        <v>1917179.922496645</v>
      </c>
      <c r="U2317" s="6">
        <f>-SUBTOTAL(9,INDEX(Main[مقدار (کیلوگرم)],1):Main[[#This Row],[مقدار (کیلوگرم)]])</f>
        <v>30981</v>
      </c>
      <c r="V23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7" s="6">
        <f>Main[[#This Row],[تعداد کل روزهای بدهکار (روز)]]*Main[[#This Row],[مانده در خط کل (کیلوگرم)]]</f>
        <v>61962</v>
      </c>
      <c r="X2317" s="6">
        <f ca="1">-SUBTOTAL(9,INDEX(Main[مقدار تسویه شده (کیلوگرم)],1):Main[[#This Row],[مقدار تسویه شده (کیلوگرم)]])</f>
        <v>27960</v>
      </c>
      <c r="Y2317" s="6">
        <f ca="1">IF(Main[[#This Row],[مانده در خط تسویه شده (کیلوگرم)]]&lt;&gt;0,Main[[#This Row],[تعداد کل روزهای بدهکار (روز)]],0)</f>
        <v>2</v>
      </c>
      <c r="Z2317" s="6">
        <f ca="1">Main[[#This Row],[تعداد روزهای بدهکار تسویه شده (روز)]]*Main[[#This Row],[مانده در خط تسویه شده (کیلوگرم)]]</f>
        <v>55920</v>
      </c>
      <c r="AA2317" s="6">
        <f ca="1">SUBTOTAL(9,INDEX(Main[بدهی تسویه نشده (کیلوگرم)],1):Main[[#This Row],[بدهی تسویه نشده (کیلوگرم)]])</f>
        <v>3021</v>
      </c>
      <c r="AB2317" s="6">
        <f ca="1">IF(Main[[#This Row],[مانده در خط تسویه نشده (کیلوگرم)]]&lt;&gt;0,Main[[#This Row],[تعداد کل روزهای بدهکار (روز)]],0)</f>
        <v>2</v>
      </c>
      <c r="AC2317" s="6">
        <f ca="1">Main[[#This Row],[تعداد روزهای بدهکار  تسویه نشده (روز)]]*Main[[#This Row],[مانده در خط تسویه نشده (کیلوگرم)]]</f>
        <v>6042</v>
      </c>
      <c r="AD2317" s="6">
        <f ca="1">SUBTOTAL(9,INDEX(Main[بدهی سررسید شده (کیلوگرم)],1):Main[[#This Row],[بدهی سررسید شده (کیلوگرم)]])</f>
        <v>3021</v>
      </c>
      <c r="AE2317" s="6">
        <f ca="1">IF(Main[[#This Row],[مانده در خط سررسید شده (کیلوگرم)]]&lt;&gt;0,Main[[#This Row],[تعداد کل روزهای بدهکار (روز)]],0)</f>
        <v>2</v>
      </c>
      <c r="AF2317" s="6">
        <f ca="1">Main[[#This Row],[تعداد روزهای بدهکار سررسید شده (روز)]]*Main[[#This Row],[مانده در خط سررسید شده (کیلوگرم)]]</f>
        <v>6042</v>
      </c>
    </row>
    <row r="2318" spans="1:32" hidden="1" x14ac:dyDescent="0.35">
      <c r="A2318" s="5">
        <f>ROW()-ROW(INDEX(Main[ردیف],1))+1</f>
        <v>2316</v>
      </c>
      <c r="B2318" s="31">
        <f>SUBTOTAL(2,INDEX(Main[ردیف],1):Main[[#This Row],[ردیف]])</f>
        <v>213</v>
      </c>
      <c r="C2318" s="32" t="s">
        <v>792</v>
      </c>
      <c r="D2318" s="32" t="str">
        <f>_xlfn.CONCAT("14",Main[[#This Row],[تاريخ]])</f>
        <v>1400/09/07</v>
      </c>
      <c r="E2318" s="33">
        <v>44528</v>
      </c>
      <c r="F2318" s="32">
        <v>30124</v>
      </c>
      <c r="G2318" s="5" t="str">
        <f>INDEX(customer[عنوان],MATCH(Main[[#This Row],[کد ردیابی]],customer[کد],0))</f>
        <v>شرکت لنگرمرواریدسبز</v>
      </c>
      <c r="H2318">
        <v>441</v>
      </c>
      <c r="I2318" s="6">
        <f ca="1">-Main[[#This Row],[بدهی تسویه شده (کیلوگرم)]]+Main[[#This Row],[بستانکار (کیلوگرم)]]</f>
        <v>441</v>
      </c>
      <c r="J2318" s="6">
        <f>IF(Main[[#This Row],[مقدار (کیلوگرم)]]&gt;0,Main[[#This Row],[مقدار (کیلوگرم)]],0)</f>
        <v>441</v>
      </c>
      <c r="K2318" s="6">
        <f>-IF(Main[[#This Row],[مقدار (کیلوگرم)]]&lt;0,Main[[#This Row],[مقدار (کیلوگرم)]],0)</f>
        <v>0</v>
      </c>
      <c r="L23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8" s="7">
        <f>-IF(AND(Main[[#This Row],[مقدار (کیلوگرم)]]&lt;0,Main[[#This Row],[تاريخ میلادی]]&gt;44276),Main[[#This Row],[مقدار (کیلوگرم)]],0)</f>
        <v>0</v>
      </c>
      <c r="N2318" s="6">
        <f ca="1">Main[[#This Row],[بدهکار (کیلوگرم)]]-Main[[#This Row],[بدهی تسویه نشده (کیلوگرم)]]</f>
        <v>0</v>
      </c>
      <c r="O2318" s="6">
        <f ca="1">Main[[#This Row],[تفکیک]]</f>
        <v>0</v>
      </c>
      <c r="P2318" s="6">
        <f ca="1">IF(Main[[#This Row],[تاخیر از سررسید]]&gt;0,Main[[#This Row],[بدهی تسویه نشده (کیلوگرم)]],0)</f>
        <v>0</v>
      </c>
      <c r="Q2318" s="6">
        <f ca="1">IF(Main[[#This Row],[بدهی تسویه نشده (کیلوگرم)]]&gt;0,'گزارش فردی'!$B$7-Main[[#This Row],[تاريخ میلادی]],0)</f>
        <v>0</v>
      </c>
      <c r="R2318" s="6">
        <f ca="1">IF(Main[[#This Row],[بدهی تسویه نشده (کیلوگرم)]]&gt;0,'گزارش فردی'!$B$7-Main[[#This Row],[تاريخ میلادی]]-'گزارش فردی'!$B$8,0)</f>
        <v>0</v>
      </c>
      <c r="S2318" s="6">
        <f ca="1">Main[[#This Row],[روز از ارسال سفارش]]*Main[[#This Row],[بدهی تسویه نشده (کیلوگرم)]]</f>
        <v>0</v>
      </c>
      <c r="T2318" s="6">
        <f ca="1">Main[[#This Row],[بدهی سررسید شده (کیلوگرم)]]*Main[[#This Row],[روز از ارسال سفارش]]</f>
        <v>0</v>
      </c>
      <c r="U2318" s="6">
        <f>-SUBTOTAL(9,INDEX(Main[مقدار (کیلوگرم)],1):Main[[#This Row],[مقدار (کیلوگرم)]])</f>
        <v>30981</v>
      </c>
      <c r="V231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8" s="6">
        <f>Main[[#This Row],[تعداد کل روزهای بدهکار (روز)]]*Main[[#This Row],[مانده در خط کل (کیلوگرم)]]</f>
        <v>61962</v>
      </c>
      <c r="X2318" s="6">
        <f ca="1">-SUBTOTAL(9,INDEX(Main[مقدار تسویه شده (کیلوگرم)],1):Main[[#This Row],[مقدار تسویه شده (کیلوگرم)]])</f>
        <v>27960</v>
      </c>
      <c r="Y2318" s="6">
        <f ca="1">IF(Main[[#This Row],[مانده در خط تسویه شده (کیلوگرم)]]&lt;&gt;0,Main[[#This Row],[تعداد کل روزهای بدهکار (روز)]],0)</f>
        <v>2</v>
      </c>
      <c r="Z2318" s="6">
        <f ca="1">Main[[#This Row],[تعداد روزهای بدهکار تسویه شده (روز)]]*Main[[#This Row],[مانده در خط تسویه شده (کیلوگرم)]]</f>
        <v>55920</v>
      </c>
      <c r="AA2318" s="6">
        <f ca="1">SUBTOTAL(9,INDEX(Main[بدهی تسویه نشده (کیلوگرم)],1):Main[[#This Row],[بدهی تسویه نشده (کیلوگرم)]])</f>
        <v>3021</v>
      </c>
      <c r="AB2318" s="6">
        <f ca="1">IF(Main[[#This Row],[مانده در خط تسویه نشده (کیلوگرم)]]&lt;&gt;0,Main[[#This Row],[تعداد کل روزهای بدهکار (روز)]],0)</f>
        <v>2</v>
      </c>
      <c r="AC2318" s="6">
        <f ca="1">Main[[#This Row],[تعداد روزهای بدهکار  تسویه نشده (روز)]]*Main[[#This Row],[مانده در خط تسویه نشده (کیلوگرم)]]</f>
        <v>6042</v>
      </c>
      <c r="AD2318" s="6">
        <f ca="1">SUBTOTAL(9,INDEX(Main[بدهی سررسید شده (کیلوگرم)],1):Main[[#This Row],[بدهی سررسید شده (کیلوگرم)]])</f>
        <v>3021</v>
      </c>
      <c r="AE2318" s="6">
        <f ca="1">IF(Main[[#This Row],[مانده در خط سررسید شده (کیلوگرم)]]&lt;&gt;0,Main[[#This Row],[تعداد کل روزهای بدهکار (روز)]],0)</f>
        <v>2</v>
      </c>
      <c r="AF2318" s="6">
        <f ca="1">Main[[#This Row],[تعداد روزهای بدهکار سررسید شده (روز)]]*Main[[#This Row],[مانده در خط سررسید شده (کیلوگرم)]]</f>
        <v>6042</v>
      </c>
    </row>
    <row r="2319" spans="1:32" hidden="1" x14ac:dyDescent="0.35">
      <c r="A2319" s="5">
        <f>ROW()-ROW(INDEX(Main[ردیف],1))+1</f>
        <v>2317</v>
      </c>
      <c r="B2319" s="31">
        <f>SUBTOTAL(2,INDEX(Main[ردیف],1):Main[[#This Row],[ردیف]])</f>
        <v>213</v>
      </c>
      <c r="C2319" s="32" t="s">
        <v>792</v>
      </c>
      <c r="D2319" s="32" t="str">
        <f>_xlfn.CONCAT("14",Main[[#This Row],[تاريخ]])</f>
        <v>1400/09/07</v>
      </c>
      <c r="E2319" s="33">
        <v>44528</v>
      </c>
      <c r="F2319" s="32">
        <v>10029</v>
      </c>
      <c r="G2319" s="5" t="str">
        <f>INDEX(customer[عنوان],MATCH(Main[[#This Row],[کد ردیابی]],customer[کد],0))</f>
        <v>رضا شریعتی</v>
      </c>
      <c r="H2319">
        <v>-400</v>
      </c>
      <c r="I2319" s="6">
        <f ca="1">-Main[[#This Row],[بدهی تسویه شده (کیلوگرم)]]+Main[[#This Row],[بستانکار (کیلوگرم)]]</f>
        <v>0</v>
      </c>
      <c r="J2319" s="6">
        <f>IF(Main[[#This Row],[مقدار (کیلوگرم)]]&gt;0,Main[[#This Row],[مقدار (کیلوگرم)]],0)</f>
        <v>0</v>
      </c>
      <c r="K2319" s="6">
        <f>-IF(Main[[#This Row],[مقدار (کیلوگرم)]]&lt;0,Main[[#This Row],[مقدار (کیلوگرم)]],0)</f>
        <v>400</v>
      </c>
      <c r="L23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400</v>
      </c>
      <c r="M2319" s="7">
        <f>-IF(AND(Main[[#This Row],[مقدار (کیلوگرم)]]&lt;0,Main[[#This Row],[تاريخ میلادی]]&gt;44276),Main[[#This Row],[مقدار (کیلوگرم)]],0)</f>
        <v>400</v>
      </c>
      <c r="N2319" s="6">
        <f ca="1">Main[[#This Row],[بدهکار (کیلوگرم)]]-Main[[#This Row],[بدهی تسویه نشده (کیلوگرم)]]</f>
        <v>0</v>
      </c>
      <c r="O2319" s="6">
        <f ca="1">Main[[#This Row],[تفکیک]]</f>
        <v>400</v>
      </c>
      <c r="P2319" s="6">
        <f ca="1">IF(Main[[#This Row],[تاخیر از سررسید]]&gt;0,Main[[#This Row],[بدهی تسویه نشده (کیلوگرم)]],0)</f>
        <v>400</v>
      </c>
      <c r="Q2319" s="6">
        <f ca="1">IF(Main[[#This Row],[بدهی تسویه نشده (کیلوگرم)]]&gt;0,'گزارش فردی'!$B$7-Main[[#This Row],[تاريخ میلادی]],0)</f>
        <v>934.75374085648218</v>
      </c>
      <c r="R2319" s="6">
        <f ca="1">IF(Main[[#This Row],[بدهی تسویه نشده (کیلوگرم)]]&gt;0,'گزارش فردی'!$B$7-Main[[#This Row],[تاريخ میلادی]]-'گزارش فردی'!$B$8,0)</f>
        <v>919.75374085648218</v>
      </c>
      <c r="S2319" s="6">
        <f ca="1">Main[[#This Row],[روز از ارسال سفارش]]*Main[[#This Row],[بدهی تسویه نشده (کیلوگرم)]]</f>
        <v>373901.49634259287</v>
      </c>
      <c r="T2319" s="6">
        <f ca="1">Main[[#This Row],[بدهی سررسید شده (کیلوگرم)]]*Main[[#This Row],[روز از ارسال سفارش]]</f>
        <v>373901.49634259287</v>
      </c>
      <c r="U2319" s="6">
        <f>-SUBTOTAL(9,INDEX(Main[مقدار (کیلوگرم)],1):Main[[#This Row],[مقدار (کیلوگرم)]])</f>
        <v>30981</v>
      </c>
      <c r="V231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9" s="6">
        <f>Main[[#This Row],[تعداد کل روزهای بدهکار (روز)]]*Main[[#This Row],[مانده در خط کل (کیلوگرم)]]</f>
        <v>61962</v>
      </c>
      <c r="X2319" s="6">
        <f ca="1">-SUBTOTAL(9,INDEX(Main[مقدار تسویه شده (کیلوگرم)],1):Main[[#This Row],[مقدار تسویه شده (کیلوگرم)]])</f>
        <v>27960</v>
      </c>
      <c r="Y2319" s="6">
        <f ca="1">IF(Main[[#This Row],[مانده در خط تسویه شده (کیلوگرم)]]&lt;&gt;0,Main[[#This Row],[تعداد کل روزهای بدهکار (روز)]],0)</f>
        <v>2</v>
      </c>
      <c r="Z2319" s="6">
        <f ca="1">Main[[#This Row],[تعداد روزهای بدهکار تسویه شده (روز)]]*Main[[#This Row],[مانده در خط تسویه شده (کیلوگرم)]]</f>
        <v>55920</v>
      </c>
      <c r="AA2319" s="6">
        <f ca="1">SUBTOTAL(9,INDEX(Main[بدهی تسویه نشده (کیلوگرم)],1):Main[[#This Row],[بدهی تسویه نشده (کیلوگرم)]])</f>
        <v>3021</v>
      </c>
      <c r="AB2319" s="6">
        <f ca="1">IF(Main[[#This Row],[مانده در خط تسویه نشده (کیلوگرم)]]&lt;&gt;0,Main[[#This Row],[تعداد کل روزهای بدهکار (روز)]],0)</f>
        <v>2</v>
      </c>
      <c r="AC2319" s="6">
        <f ca="1">Main[[#This Row],[تعداد روزهای بدهکار  تسویه نشده (روز)]]*Main[[#This Row],[مانده در خط تسویه نشده (کیلوگرم)]]</f>
        <v>6042</v>
      </c>
      <c r="AD2319" s="6">
        <f ca="1">SUBTOTAL(9,INDEX(Main[بدهی سررسید شده (کیلوگرم)],1):Main[[#This Row],[بدهی سررسید شده (کیلوگرم)]])</f>
        <v>3021</v>
      </c>
      <c r="AE2319" s="6">
        <f ca="1">IF(Main[[#This Row],[مانده در خط سررسید شده (کیلوگرم)]]&lt;&gt;0,Main[[#This Row],[تعداد کل روزهای بدهکار (روز)]],0)</f>
        <v>2</v>
      </c>
      <c r="AF2319" s="6">
        <f ca="1">Main[[#This Row],[تعداد روزهای بدهکار سررسید شده (روز)]]*Main[[#This Row],[مانده در خط سررسید شده (کیلوگرم)]]</f>
        <v>6042</v>
      </c>
    </row>
    <row r="2320" spans="1:32" hidden="1" x14ac:dyDescent="0.35">
      <c r="A2320" s="5">
        <f>ROW()-ROW(INDEX(Main[ردیف],1))+1</f>
        <v>2318</v>
      </c>
      <c r="B2320" s="31">
        <f>SUBTOTAL(2,INDEX(Main[ردیف],1):Main[[#This Row],[ردیف]])</f>
        <v>213</v>
      </c>
      <c r="C2320" s="32" t="s">
        <v>792</v>
      </c>
      <c r="D2320" s="32" t="str">
        <f>_xlfn.CONCAT("14",Main[[#This Row],[تاريخ]])</f>
        <v>1400/09/07</v>
      </c>
      <c r="E2320" s="33">
        <v>44528</v>
      </c>
      <c r="F2320" s="32">
        <v>30190</v>
      </c>
      <c r="G2320" s="5" t="str">
        <f>INDEX(customer[عنوان],MATCH(Main[[#This Row],[کد ردیابی]],customer[کد],0))</f>
        <v>ایران طلق</v>
      </c>
      <c r="H2320">
        <v>564</v>
      </c>
      <c r="I2320" s="6">
        <f ca="1">-Main[[#This Row],[بدهی تسویه شده (کیلوگرم)]]+Main[[#This Row],[بستانکار (کیلوگرم)]]</f>
        <v>564</v>
      </c>
      <c r="J2320" s="6">
        <f>IF(Main[[#This Row],[مقدار (کیلوگرم)]]&gt;0,Main[[#This Row],[مقدار (کیلوگرم)]],0)</f>
        <v>564</v>
      </c>
      <c r="K2320" s="6">
        <f>-IF(Main[[#This Row],[مقدار (کیلوگرم)]]&lt;0,Main[[#This Row],[مقدار (کیلوگرم)]],0)</f>
        <v>0</v>
      </c>
      <c r="L23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0" s="7">
        <f>-IF(AND(Main[[#This Row],[مقدار (کیلوگرم)]]&lt;0,Main[[#This Row],[تاريخ میلادی]]&gt;44276),Main[[#This Row],[مقدار (کیلوگرم)]],0)</f>
        <v>0</v>
      </c>
      <c r="N2320" s="6">
        <f ca="1">Main[[#This Row],[بدهکار (کیلوگرم)]]-Main[[#This Row],[بدهی تسویه نشده (کیلوگرم)]]</f>
        <v>0</v>
      </c>
      <c r="O2320" s="6">
        <f ca="1">Main[[#This Row],[تفکیک]]</f>
        <v>0</v>
      </c>
      <c r="P2320" s="6">
        <f ca="1">IF(Main[[#This Row],[تاخیر از سررسید]]&gt;0,Main[[#This Row],[بدهی تسویه نشده (کیلوگرم)]],0)</f>
        <v>0</v>
      </c>
      <c r="Q2320" s="6">
        <f ca="1">IF(Main[[#This Row],[بدهی تسویه نشده (کیلوگرم)]]&gt;0,'گزارش فردی'!$B$7-Main[[#This Row],[تاريخ میلادی]],0)</f>
        <v>0</v>
      </c>
      <c r="R2320" s="6">
        <f ca="1">IF(Main[[#This Row],[بدهی تسویه نشده (کیلوگرم)]]&gt;0,'گزارش فردی'!$B$7-Main[[#This Row],[تاريخ میلادی]]-'گزارش فردی'!$B$8,0)</f>
        <v>0</v>
      </c>
      <c r="S2320" s="6">
        <f ca="1">Main[[#This Row],[روز از ارسال سفارش]]*Main[[#This Row],[بدهی تسویه نشده (کیلوگرم)]]</f>
        <v>0</v>
      </c>
      <c r="T2320" s="6">
        <f ca="1">Main[[#This Row],[بدهی سررسید شده (کیلوگرم)]]*Main[[#This Row],[روز از ارسال سفارش]]</f>
        <v>0</v>
      </c>
      <c r="U2320" s="6">
        <f>-SUBTOTAL(9,INDEX(Main[مقدار (کیلوگرم)],1):Main[[#This Row],[مقدار (کیلوگرم)]])</f>
        <v>30981</v>
      </c>
      <c r="V232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0" s="6">
        <f>Main[[#This Row],[تعداد کل روزهای بدهکار (روز)]]*Main[[#This Row],[مانده در خط کل (کیلوگرم)]]</f>
        <v>61962</v>
      </c>
      <c r="X2320" s="6">
        <f ca="1">-SUBTOTAL(9,INDEX(Main[مقدار تسویه شده (کیلوگرم)],1):Main[[#This Row],[مقدار تسویه شده (کیلوگرم)]])</f>
        <v>27960</v>
      </c>
      <c r="Y2320" s="6">
        <f ca="1">IF(Main[[#This Row],[مانده در خط تسویه شده (کیلوگرم)]]&lt;&gt;0,Main[[#This Row],[تعداد کل روزهای بدهکار (روز)]],0)</f>
        <v>2</v>
      </c>
      <c r="Z2320" s="6">
        <f ca="1">Main[[#This Row],[تعداد روزهای بدهکار تسویه شده (روز)]]*Main[[#This Row],[مانده در خط تسویه شده (کیلوگرم)]]</f>
        <v>55920</v>
      </c>
      <c r="AA2320" s="6">
        <f ca="1">SUBTOTAL(9,INDEX(Main[بدهی تسویه نشده (کیلوگرم)],1):Main[[#This Row],[بدهی تسویه نشده (کیلوگرم)]])</f>
        <v>3021</v>
      </c>
      <c r="AB2320" s="6">
        <f ca="1">IF(Main[[#This Row],[مانده در خط تسویه نشده (کیلوگرم)]]&lt;&gt;0,Main[[#This Row],[تعداد کل روزهای بدهکار (روز)]],0)</f>
        <v>2</v>
      </c>
      <c r="AC2320" s="6">
        <f ca="1">Main[[#This Row],[تعداد روزهای بدهکار  تسویه نشده (روز)]]*Main[[#This Row],[مانده در خط تسویه نشده (کیلوگرم)]]</f>
        <v>6042</v>
      </c>
      <c r="AD2320" s="6">
        <f ca="1">SUBTOTAL(9,INDEX(Main[بدهی سررسید شده (کیلوگرم)],1):Main[[#This Row],[بدهی سررسید شده (کیلوگرم)]])</f>
        <v>3021</v>
      </c>
      <c r="AE2320" s="6">
        <f ca="1">IF(Main[[#This Row],[مانده در خط سررسید شده (کیلوگرم)]]&lt;&gt;0,Main[[#This Row],[تعداد کل روزهای بدهکار (روز)]],0)</f>
        <v>2</v>
      </c>
      <c r="AF2320" s="6">
        <f ca="1">Main[[#This Row],[تعداد روزهای بدهکار سررسید شده (روز)]]*Main[[#This Row],[مانده در خط سررسید شده (کیلوگرم)]]</f>
        <v>6042</v>
      </c>
    </row>
    <row r="2321" spans="1:32" hidden="1" x14ac:dyDescent="0.35">
      <c r="A2321" s="5">
        <f>ROW()-ROW(INDEX(Main[ردیف],1))+1</f>
        <v>2319</v>
      </c>
      <c r="B2321" s="31">
        <f>SUBTOTAL(2,INDEX(Main[ردیف],1):Main[[#This Row],[ردیف]])</f>
        <v>213</v>
      </c>
      <c r="C2321" s="32" t="s">
        <v>792</v>
      </c>
      <c r="D2321" s="32" t="str">
        <f>_xlfn.CONCAT("14",Main[[#This Row],[تاريخ]])</f>
        <v>1400/09/07</v>
      </c>
      <c r="E2321" s="33">
        <v>44528</v>
      </c>
      <c r="F2321" s="32">
        <v>30009</v>
      </c>
      <c r="G2321" s="5" t="str">
        <f>INDEX(customer[عنوان],MATCH(Main[[#This Row],[کد ردیابی]],customer[کد],0))</f>
        <v>شرکت ایمن تک پیشرو</v>
      </c>
      <c r="H2321">
        <v>-2097</v>
      </c>
      <c r="I2321" s="6">
        <f ca="1">-Main[[#This Row],[بدهی تسویه شده (کیلوگرم)]]+Main[[#This Row],[بستانکار (کیلوگرم)]]</f>
        <v>0</v>
      </c>
      <c r="J2321" s="6">
        <f>IF(Main[[#This Row],[مقدار (کیلوگرم)]]&gt;0,Main[[#This Row],[مقدار (کیلوگرم)]],0)</f>
        <v>0</v>
      </c>
      <c r="K2321" s="6">
        <f>-IF(Main[[#This Row],[مقدار (کیلوگرم)]]&lt;0,Main[[#This Row],[مقدار (کیلوگرم)]],0)</f>
        <v>2097</v>
      </c>
      <c r="L23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2097</v>
      </c>
      <c r="M2321" s="7">
        <f>-IF(AND(Main[[#This Row],[مقدار (کیلوگرم)]]&lt;0,Main[[#This Row],[تاريخ میلادی]]&gt;44276),Main[[#This Row],[مقدار (کیلوگرم)]],0)</f>
        <v>2097</v>
      </c>
      <c r="N2321" s="6">
        <f ca="1">Main[[#This Row],[بدهکار (کیلوگرم)]]-Main[[#This Row],[بدهی تسویه نشده (کیلوگرم)]]</f>
        <v>0</v>
      </c>
      <c r="O2321" s="6">
        <f ca="1">Main[[#This Row],[تفکیک]]</f>
        <v>2097</v>
      </c>
      <c r="P2321" s="6">
        <f ca="1">IF(Main[[#This Row],[تاخیر از سررسید]]&gt;0,Main[[#This Row],[بدهی تسویه نشده (کیلوگرم)]],0)</f>
        <v>2097</v>
      </c>
      <c r="Q2321" s="6">
        <f ca="1">IF(Main[[#This Row],[بدهی تسویه نشده (کیلوگرم)]]&gt;0,'گزارش فردی'!$B$7-Main[[#This Row],[تاريخ میلادی]],0)</f>
        <v>934.75374085648218</v>
      </c>
      <c r="R2321" s="6">
        <f ca="1">IF(Main[[#This Row],[بدهی تسویه نشده (کیلوگرم)]]&gt;0,'گزارش فردی'!$B$7-Main[[#This Row],[تاريخ میلادی]]-'گزارش فردی'!$B$8,0)</f>
        <v>919.75374085648218</v>
      </c>
      <c r="S2321" s="6">
        <f ca="1">Main[[#This Row],[روز از ارسال سفارش]]*Main[[#This Row],[بدهی تسویه نشده (کیلوگرم)]]</f>
        <v>1960178.5945760431</v>
      </c>
      <c r="T2321" s="6">
        <f ca="1">Main[[#This Row],[بدهی سررسید شده (کیلوگرم)]]*Main[[#This Row],[روز از ارسال سفارش]]</f>
        <v>1960178.5945760431</v>
      </c>
      <c r="U2321" s="6">
        <f>-SUBTOTAL(9,INDEX(Main[مقدار (کیلوگرم)],1):Main[[#This Row],[مقدار (کیلوگرم)]])</f>
        <v>30981</v>
      </c>
      <c r="V232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1" s="6">
        <f>Main[[#This Row],[تعداد کل روزهای بدهکار (روز)]]*Main[[#This Row],[مانده در خط کل (کیلوگرم)]]</f>
        <v>61962</v>
      </c>
      <c r="X2321" s="6">
        <f ca="1">-SUBTOTAL(9,INDEX(Main[مقدار تسویه شده (کیلوگرم)],1):Main[[#This Row],[مقدار تسویه شده (کیلوگرم)]])</f>
        <v>27960</v>
      </c>
      <c r="Y2321" s="6">
        <f ca="1">IF(Main[[#This Row],[مانده در خط تسویه شده (کیلوگرم)]]&lt;&gt;0,Main[[#This Row],[تعداد کل روزهای بدهکار (روز)]],0)</f>
        <v>2</v>
      </c>
      <c r="Z2321" s="6">
        <f ca="1">Main[[#This Row],[تعداد روزهای بدهکار تسویه شده (روز)]]*Main[[#This Row],[مانده در خط تسویه شده (کیلوگرم)]]</f>
        <v>55920</v>
      </c>
      <c r="AA2321" s="6">
        <f ca="1">SUBTOTAL(9,INDEX(Main[بدهی تسویه نشده (کیلوگرم)],1):Main[[#This Row],[بدهی تسویه نشده (کیلوگرم)]])</f>
        <v>3021</v>
      </c>
      <c r="AB2321" s="6">
        <f ca="1">IF(Main[[#This Row],[مانده در خط تسویه نشده (کیلوگرم)]]&lt;&gt;0,Main[[#This Row],[تعداد کل روزهای بدهکار (روز)]],0)</f>
        <v>2</v>
      </c>
      <c r="AC2321" s="6">
        <f ca="1">Main[[#This Row],[تعداد روزهای بدهکار  تسویه نشده (روز)]]*Main[[#This Row],[مانده در خط تسویه نشده (کیلوگرم)]]</f>
        <v>6042</v>
      </c>
      <c r="AD2321" s="6">
        <f ca="1">SUBTOTAL(9,INDEX(Main[بدهی سررسید شده (کیلوگرم)],1):Main[[#This Row],[بدهی سررسید شده (کیلوگرم)]])</f>
        <v>3021</v>
      </c>
      <c r="AE2321" s="6">
        <f ca="1">IF(Main[[#This Row],[مانده در خط سررسید شده (کیلوگرم)]]&lt;&gt;0,Main[[#This Row],[تعداد کل روزهای بدهکار (روز)]],0)</f>
        <v>2</v>
      </c>
      <c r="AF2321" s="6">
        <f ca="1">Main[[#This Row],[تعداد روزهای بدهکار سررسید شده (روز)]]*Main[[#This Row],[مانده در خط سررسید شده (کیلوگرم)]]</f>
        <v>6042</v>
      </c>
    </row>
    <row r="2322" spans="1:32" hidden="1" x14ac:dyDescent="0.35">
      <c r="A2322" s="5">
        <f>ROW()-ROW(INDEX(Main[ردیف],1))+1</f>
        <v>2320</v>
      </c>
      <c r="B2322" s="31">
        <f>SUBTOTAL(2,INDEX(Main[ردیف],1):Main[[#This Row],[ردیف]])</f>
        <v>213</v>
      </c>
      <c r="C2322" s="32" t="s">
        <v>792</v>
      </c>
      <c r="D2322" s="32" t="str">
        <f>_xlfn.CONCAT("14",Main[[#This Row],[تاريخ]])</f>
        <v>1400/09/07</v>
      </c>
      <c r="E2322" s="33">
        <v>44528</v>
      </c>
      <c r="F2322" s="32">
        <v>30190</v>
      </c>
      <c r="G2322" s="5" t="str">
        <f>INDEX(customer[عنوان],MATCH(Main[[#This Row],[کد ردیابی]],customer[کد],0))</f>
        <v>ایران طلق</v>
      </c>
      <c r="H2322">
        <v>185</v>
      </c>
      <c r="I2322" s="6">
        <f ca="1">-Main[[#This Row],[بدهی تسویه شده (کیلوگرم)]]+Main[[#This Row],[بستانکار (کیلوگرم)]]</f>
        <v>185</v>
      </c>
      <c r="J2322" s="6">
        <f>IF(Main[[#This Row],[مقدار (کیلوگرم)]]&gt;0,Main[[#This Row],[مقدار (کیلوگرم)]],0)</f>
        <v>185</v>
      </c>
      <c r="K2322" s="6">
        <f>-IF(Main[[#This Row],[مقدار (کیلوگرم)]]&lt;0,Main[[#This Row],[مقدار (کیلوگرم)]],0)</f>
        <v>0</v>
      </c>
      <c r="L23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2" s="7">
        <f>-IF(AND(Main[[#This Row],[مقدار (کیلوگرم)]]&lt;0,Main[[#This Row],[تاريخ میلادی]]&gt;44276),Main[[#This Row],[مقدار (کیلوگرم)]],0)</f>
        <v>0</v>
      </c>
      <c r="N2322" s="6">
        <f ca="1">Main[[#This Row],[بدهکار (کیلوگرم)]]-Main[[#This Row],[بدهی تسویه نشده (کیلوگرم)]]</f>
        <v>0</v>
      </c>
      <c r="O2322" s="6">
        <f ca="1">Main[[#This Row],[تفکیک]]</f>
        <v>0</v>
      </c>
      <c r="P2322" s="6">
        <f ca="1">IF(Main[[#This Row],[تاخیر از سررسید]]&gt;0,Main[[#This Row],[بدهی تسویه نشده (کیلوگرم)]],0)</f>
        <v>0</v>
      </c>
      <c r="Q2322" s="6">
        <f ca="1">IF(Main[[#This Row],[بدهی تسویه نشده (کیلوگرم)]]&gt;0,'گزارش فردی'!$B$7-Main[[#This Row],[تاريخ میلادی]],0)</f>
        <v>0</v>
      </c>
      <c r="R2322" s="6">
        <f ca="1">IF(Main[[#This Row],[بدهی تسویه نشده (کیلوگرم)]]&gt;0,'گزارش فردی'!$B$7-Main[[#This Row],[تاريخ میلادی]]-'گزارش فردی'!$B$8,0)</f>
        <v>0</v>
      </c>
      <c r="S2322" s="6">
        <f ca="1">Main[[#This Row],[روز از ارسال سفارش]]*Main[[#This Row],[بدهی تسویه نشده (کیلوگرم)]]</f>
        <v>0</v>
      </c>
      <c r="T2322" s="6">
        <f ca="1">Main[[#This Row],[بدهی سررسید شده (کیلوگرم)]]*Main[[#This Row],[روز از ارسال سفارش]]</f>
        <v>0</v>
      </c>
      <c r="U2322" s="6">
        <f>-SUBTOTAL(9,INDEX(Main[مقدار (کیلوگرم)],1):Main[[#This Row],[مقدار (کیلوگرم)]])</f>
        <v>30981</v>
      </c>
      <c r="V232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2" s="6">
        <f>Main[[#This Row],[تعداد کل روزهای بدهکار (روز)]]*Main[[#This Row],[مانده در خط کل (کیلوگرم)]]</f>
        <v>61962</v>
      </c>
      <c r="X2322" s="6">
        <f ca="1">-SUBTOTAL(9,INDEX(Main[مقدار تسویه شده (کیلوگرم)],1):Main[[#This Row],[مقدار تسویه شده (کیلوگرم)]])</f>
        <v>27960</v>
      </c>
      <c r="Y2322" s="6">
        <f ca="1">IF(Main[[#This Row],[مانده در خط تسویه شده (کیلوگرم)]]&lt;&gt;0,Main[[#This Row],[تعداد کل روزهای بدهکار (روز)]],0)</f>
        <v>2</v>
      </c>
      <c r="Z2322" s="6">
        <f ca="1">Main[[#This Row],[تعداد روزهای بدهکار تسویه شده (روز)]]*Main[[#This Row],[مانده در خط تسویه شده (کیلوگرم)]]</f>
        <v>55920</v>
      </c>
      <c r="AA2322" s="6">
        <f ca="1">SUBTOTAL(9,INDEX(Main[بدهی تسویه نشده (کیلوگرم)],1):Main[[#This Row],[بدهی تسویه نشده (کیلوگرم)]])</f>
        <v>3021</v>
      </c>
      <c r="AB2322" s="6">
        <f ca="1">IF(Main[[#This Row],[مانده در خط تسویه نشده (کیلوگرم)]]&lt;&gt;0,Main[[#This Row],[تعداد کل روزهای بدهکار (روز)]],0)</f>
        <v>2</v>
      </c>
      <c r="AC2322" s="6">
        <f ca="1">Main[[#This Row],[تعداد روزهای بدهکار  تسویه نشده (روز)]]*Main[[#This Row],[مانده در خط تسویه نشده (کیلوگرم)]]</f>
        <v>6042</v>
      </c>
      <c r="AD2322" s="6">
        <f ca="1">SUBTOTAL(9,INDEX(Main[بدهی سررسید شده (کیلوگرم)],1):Main[[#This Row],[بدهی سررسید شده (کیلوگرم)]])</f>
        <v>3021</v>
      </c>
      <c r="AE2322" s="6">
        <f ca="1">IF(Main[[#This Row],[مانده در خط سررسید شده (کیلوگرم)]]&lt;&gt;0,Main[[#This Row],[تعداد کل روزهای بدهکار (روز)]],0)</f>
        <v>2</v>
      </c>
      <c r="AF2322" s="6">
        <f ca="1">Main[[#This Row],[تعداد روزهای بدهکار سررسید شده (روز)]]*Main[[#This Row],[مانده در خط سررسید شده (کیلوگرم)]]</f>
        <v>6042</v>
      </c>
    </row>
    <row r="2323" spans="1:32" hidden="1" x14ac:dyDescent="0.35">
      <c r="A2323" s="5">
        <f>ROW()-ROW(INDEX(Main[ردیف],1))+1</f>
        <v>2321</v>
      </c>
      <c r="B2323" s="31">
        <f>SUBTOTAL(2,INDEX(Main[ردیف],1):Main[[#This Row],[ردیف]])</f>
        <v>213</v>
      </c>
      <c r="C2323" s="32" t="s">
        <v>792</v>
      </c>
      <c r="D2323" s="32" t="str">
        <f>_xlfn.CONCAT("14",Main[[#This Row],[تاريخ]])</f>
        <v>1400/09/07</v>
      </c>
      <c r="E2323" s="33">
        <v>44528</v>
      </c>
      <c r="F2323" s="32">
        <v>30124</v>
      </c>
      <c r="G2323" s="5" t="str">
        <f>INDEX(customer[عنوان],MATCH(Main[[#This Row],[کد ردیابی]],customer[کد],0))</f>
        <v>شرکت لنگرمرواریدسبز</v>
      </c>
      <c r="H2323">
        <v>-746</v>
      </c>
      <c r="I2323" s="6">
        <f ca="1">-Main[[#This Row],[بدهی تسویه شده (کیلوگرم)]]+Main[[#This Row],[بستانکار (کیلوگرم)]]</f>
        <v>0</v>
      </c>
      <c r="J2323" s="6">
        <f>IF(Main[[#This Row],[مقدار (کیلوگرم)]]&gt;0,Main[[#This Row],[مقدار (کیلوگرم)]],0)</f>
        <v>0</v>
      </c>
      <c r="K2323" s="6">
        <f>-IF(Main[[#This Row],[مقدار (کیلوگرم)]]&lt;0,Main[[#This Row],[مقدار (کیلوگرم)]],0)</f>
        <v>746</v>
      </c>
      <c r="L23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746</v>
      </c>
      <c r="M2323" s="7">
        <f>-IF(AND(Main[[#This Row],[مقدار (کیلوگرم)]]&lt;0,Main[[#This Row],[تاريخ میلادی]]&gt;44276),Main[[#This Row],[مقدار (کیلوگرم)]],0)</f>
        <v>746</v>
      </c>
      <c r="N2323" s="6">
        <f ca="1">Main[[#This Row],[بدهکار (کیلوگرم)]]-Main[[#This Row],[بدهی تسویه نشده (کیلوگرم)]]</f>
        <v>0</v>
      </c>
      <c r="O2323" s="6">
        <f ca="1">Main[[#This Row],[تفکیک]]</f>
        <v>746</v>
      </c>
      <c r="P2323" s="6">
        <f ca="1">IF(Main[[#This Row],[تاخیر از سررسید]]&gt;0,Main[[#This Row],[بدهی تسویه نشده (کیلوگرم)]],0)</f>
        <v>746</v>
      </c>
      <c r="Q2323" s="6">
        <f ca="1">IF(Main[[#This Row],[بدهی تسویه نشده (کیلوگرم)]]&gt;0,'گزارش فردی'!$B$7-Main[[#This Row],[تاريخ میلادی]],0)</f>
        <v>934.75374085648218</v>
      </c>
      <c r="R2323" s="6">
        <f ca="1">IF(Main[[#This Row],[بدهی تسویه نشده (کیلوگرم)]]&gt;0,'گزارش فردی'!$B$7-Main[[#This Row],[تاريخ میلادی]]-'گزارش فردی'!$B$8,0)</f>
        <v>919.75374085648218</v>
      </c>
      <c r="S2323" s="6">
        <f ca="1">Main[[#This Row],[روز از ارسال سفارش]]*Main[[#This Row],[بدهی تسویه نشده (کیلوگرم)]]</f>
        <v>697326.29067893571</v>
      </c>
      <c r="T2323" s="6">
        <f ca="1">Main[[#This Row],[بدهی سررسید شده (کیلوگرم)]]*Main[[#This Row],[روز از ارسال سفارش]]</f>
        <v>697326.29067893571</v>
      </c>
      <c r="U2323" s="6">
        <f>-SUBTOTAL(9,INDEX(Main[مقدار (کیلوگرم)],1):Main[[#This Row],[مقدار (کیلوگرم)]])</f>
        <v>30981</v>
      </c>
      <c r="V232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3" s="6">
        <f>Main[[#This Row],[تعداد کل روزهای بدهکار (روز)]]*Main[[#This Row],[مانده در خط کل (کیلوگرم)]]</f>
        <v>61962</v>
      </c>
      <c r="X2323" s="6">
        <f ca="1">-SUBTOTAL(9,INDEX(Main[مقدار تسویه شده (کیلوگرم)],1):Main[[#This Row],[مقدار تسویه شده (کیلوگرم)]])</f>
        <v>27960</v>
      </c>
      <c r="Y2323" s="6">
        <f ca="1">IF(Main[[#This Row],[مانده در خط تسویه شده (کیلوگرم)]]&lt;&gt;0,Main[[#This Row],[تعداد کل روزهای بدهکار (روز)]],0)</f>
        <v>2</v>
      </c>
      <c r="Z2323" s="6">
        <f ca="1">Main[[#This Row],[تعداد روزهای بدهکار تسویه شده (روز)]]*Main[[#This Row],[مانده در خط تسویه شده (کیلوگرم)]]</f>
        <v>55920</v>
      </c>
      <c r="AA2323" s="6">
        <f ca="1">SUBTOTAL(9,INDEX(Main[بدهی تسویه نشده (کیلوگرم)],1):Main[[#This Row],[بدهی تسویه نشده (کیلوگرم)]])</f>
        <v>3021</v>
      </c>
      <c r="AB2323" s="6">
        <f ca="1">IF(Main[[#This Row],[مانده در خط تسویه نشده (کیلوگرم)]]&lt;&gt;0,Main[[#This Row],[تعداد کل روزهای بدهکار (روز)]],0)</f>
        <v>2</v>
      </c>
      <c r="AC2323" s="6">
        <f ca="1">Main[[#This Row],[تعداد روزهای بدهکار  تسویه نشده (روز)]]*Main[[#This Row],[مانده در خط تسویه نشده (کیلوگرم)]]</f>
        <v>6042</v>
      </c>
      <c r="AD2323" s="6">
        <f ca="1">SUBTOTAL(9,INDEX(Main[بدهی سررسید شده (کیلوگرم)],1):Main[[#This Row],[بدهی سررسید شده (کیلوگرم)]])</f>
        <v>3021</v>
      </c>
      <c r="AE2323" s="6">
        <f ca="1">IF(Main[[#This Row],[مانده در خط سررسید شده (کیلوگرم)]]&lt;&gt;0,Main[[#This Row],[تعداد کل روزهای بدهکار (روز)]],0)</f>
        <v>2</v>
      </c>
      <c r="AF2323" s="6">
        <f ca="1">Main[[#This Row],[تعداد روزهای بدهکار سررسید شده (روز)]]*Main[[#This Row],[مانده در خط سررسید شده (کیلوگرم)]]</f>
        <v>6042</v>
      </c>
    </row>
    <row r="2324" spans="1:32" hidden="1" x14ac:dyDescent="0.35">
      <c r="A2324" s="5">
        <f>ROW()-ROW(INDEX(Main[ردیف],1))+1</f>
        <v>2322</v>
      </c>
      <c r="B2324" s="31">
        <f>SUBTOTAL(2,INDEX(Main[ردیف],1):Main[[#This Row],[ردیف]])</f>
        <v>213</v>
      </c>
      <c r="C2324" s="32" t="s">
        <v>792</v>
      </c>
      <c r="D2324" s="32" t="str">
        <f>_xlfn.CONCAT("14",Main[[#This Row],[تاريخ]])</f>
        <v>1400/09/07</v>
      </c>
      <c r="E2324" s="33">
        <v>44528</v>
      </c>
      <c r="F2324" s="32">
        <v>30190</v>
      </c>
      <c r="G2324" s="5" t="str">
        <f>INDEX(customer[عنوان],MATCH(Main[[#This Row],[کد ردیابی]],customer[کد],0))</f>
        <v>ایران طلق</v>
      </c>
      <c r="H2324">
        <v>854</v>
      </c>
      <c r="I2324" s="6">
        <f ca="1">-Main[[#This Row],[بدهی تسویه شده (کیلوگرم)]]+Main[[#This Row],[بستانکار (کیلوگرم)]]</f>
        <v>854</v>
      </c>
      <c r="J2324" s="6">
        <f>IF(Main[[#This Row],[مقدار (کیلوگرم)]]&gt;0,Main[[#This Row],[مقدار (کیلوگرم)]],0)</f>
        <v>854</v>
      </c>
      <c r="K2324" s="6">
        <f>-IF(Main[[#This Row],[مقدار (کیلوگرم)]]&lt;0,Main[[#This Row],[مقدار (کیلوگرم)]],0)</f>
        <v>0</v>
      </c>
      <c r="L23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4" s="7">
        <f>-IF(AND(Main[[#This Row],[مقدار (کیلوگرم)]]&lt;0,Main[[#This Row],[تاريخ میلادی]]&gt;44276),Main[[#This Row],[مقدار (کیلوگرم)]],0)</f>
        <v>0</v>
      </c>
      <c r="N2324" s="6">
        <f ca="1">Main[[#This Row],[بدهکار (کیلوگرم)]]-Main[[#This Row],[بدهی تسویه نشده (کیلوگرم)]]</f>
        <v>0</v>
      </c>
      <c r="O2324" s="6">
        <f ca="1">Main[[#This Row],[تفکیک]]</f>
        <v>0</v>
      </c>
      <c r="P2324" s="6">
        <f ca="1">IF(Main[[#This Row],[تاخیر از سررسید]]&gt;0,Main[[#This Row],[بدهی تسویه نشده (کیلوگرم)]],0)</f>
        <v>0</v>
      </c>
      <c r="Q2324" s="6">
        <f ca="1">IF(Main[[#This Row],[بدهی تسویه نشده (کیلوگرم)]]&gt;0,'گزارش فردی'!$B$7-Main[[#This Row],[تاريخ میلادی]],0)</f>
        <v>0</v>
      </c>
      <c r="R2324" s="6">
        <f ca="1">IF(Main[[#This Row],[بدهی تسویه نشده (کیلوگرم)]]&gt;0,'گزارش فردی'!$B$7-Main[[#This Row],[تاريخ میلادی]]-'گزارش فردی'!$B$8,0)</f>
        <v>0</v>
      </c>
      <c r="S2324" s="6">
        <f ca="1">Main[[#This Row],[روز از ارسال سفارش]]*Main[[#This Row],[بدهی تسویه نشده (کیلوگرم)]]</f>
        <v>0</v>
      </c>
      <c r="T2324" s="6">
        <f ca="1">Main[[#This Row],[بدهی سررسید شده (کیلوگرم)]]*Main[[#This Row],[روز از ارسال سفارش]]</f>
        <v>0</v>
      </c>
      <c r="U2324" s="6">
        <f>-SUBTOTAL(9,INDEX(Main[مقدار (کیلوگرم)],1):Main[[#This Row],[مقدار (کیلوگرم)]])</f>
        <v>30981</v>
      </c>
      <c r="V232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4" s="6">
        <f>Main[[#This Row],[تعداد کل روزهای بدهکار (روز)]]*Main[[#This Row],[مانده در خط کل (کیلوگرم)]]</f>
        <v>61962</v>
      </c>
      <c r="X2324" s="6">
        <f ca="1">-SUBTOTAL(9,INDEX(Main[مقدار تسویه شده (کیلوگرم)],1):Main[[#This Row],[مقدار تسویه شده (کیلوگرم)]])</f>
        <v>27960</v>
      </c>
      <c r="Y2324" s="6">
        <f ca="1">IF(Main[[#This Row],[مانده در خط تسویه شده (کیلوگرم)]]&lt;&gt;0,Main[[#This Row],[تعداد کل روزهای بدهکار (روز)]],0)</f>
        <v>2</v>
      </c>
      <c r="Z2324" s="6">
        <f ca="1">Main[[#This Row],[تعداد روزهای بدهکار تسویه شده (روز)]]*Main[[#This Row],[مانده در خط تسویه شده (کیلوگرم)]]</f>
        <v>55920</v>
      </c>
      <c r="AA2324" s="6">
        <f ca="1">SUBTOTAL(9,INDEX(Main[بدهی تسویه نشده (کیلوگرم)],1):Main[[#This Row],[بدهی تسویه نشده (کیلوگرم)]])</f>
        <v>3021</v>
      </c>
      <c r="AB2324" s="6">
        <f ca="1">IF(Main[[#This Row],[مانده در خط تسویه نشده (کیلوگرم)]]&lt;&gt;0,Main[[#This Row],[تعداد کل روزهای بدهکار (روز)]],0)</f>
        <v>2</v>
      </c>
      <c r="AC2324" s="6">
        <f ca="1">Main[[#This Row],[تعداد روزهای بدهکار  تسویه نشده (روز)]]*Main[[#This Row],[مانده در خط تسویه نشده (کیلوگرم)]]</f>
        <v>6042</v>
      </c>
      <c r="AD2324" s="6">
        <f ca="1">SUBTOTAL(9,INDEX(Main[بدهی سررسید شده (کیلوگرم)],1):Main[[#This Row],[بدهی سررسید شده (کیلوگرم)]])</f>
        <v>3021</v>
      </c>
      <c r="AE2324" s="6">
        <f ca="1">IF(Main[[#This Row],[مانده در خط سررسید شده (کیلوگرم)]]&lt;&gt;0,Main[[#This Row],[تعداد کل روزهای بدهکار (روز)]],0)</f>
        <v>2</v>
      </c>
      <c r="AF2324" s="6">
        <f ca="1">Main[[#This Row],[تعداد روزهای بدهکار سررسید شده (روز)]]*Main[[#This Row],[مانده در خط سررسید شده (کیلوگرم)]]</f>
        <v>6042</v>
      </c>
    </row>
    <row r="2325" spans="1:32" hidden="1" x14ac:dyDescent="0.35">
      <c r="A2325" s="5">
        <f>ROW()-ROW(INDEX(Main[ردیف],1))+1</f>
        <v>2323</v>
      </c>
      <c r="B2325" s="31">
        <f>SUBTOTAL(2,INDEX(Main[ردیف],1):Main[[#This Row],[ردیف]])</f>
        <v>213</v>
      </c>
      <c r="C2325" s="32" t="s">
        <v>792</v>
      </c>
      <c r="D2325" s="32" t="str">
        <f>_xlfn.CONCAT("14",Main[[#This Row],[تاريخ]])</f>
        <v>1400/09/07</v>
      </c>
      <c r="E2325" s="33">
        <v>44528</v>
      </c>
      <c r="F2325" s="32">
        <v>30124</v>
      </c>
      <c r="G2325" s="5" t="str">
        <f>INDEX(customer[عنوان],MATCH(Main[[#This Row],[کد ردیابی]],customer[کد],0))</f>
        <v>شرکت لنگرمرواریدسبز</v>
      </c>
      <c r="H2325">
        <v>111</v>
      </c>
      <c r="I2325" s="6">
        <f ca="1">-Main[[#This Row],[بدهی تسویه شده (کیلوگرم)]]+Main[[#This Row],[بستانکار (کیلوگرم)]]</f>
        <v>111</v>
      </c>
      <c r="J2325" s="6">
        <f>IF(Main[[#This Row],[مقدار (کیلوگرم)]]&gt;0,Main[[#This Row],[مقدار (کیلوگرم)]],0)</f>
        <v>111</v>
      </c>
      <c r="K2325" s="6">
        <f>-IF(Main[[#This Row],[مقدار (کیلوگرم)]]&lt;0,Main[[#This Row],[مقدار (کیلوگرم)]],0)</f>
        <v>0</v>
      </c>
      <c r="L23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5" s="7">
        <f>-IF(AND(Main[[#This Row],[مقدار (کیلوگرم)]]&lt;0,Main[[#This Row],[تاريخ میلادی]]&gt;44276),Main[[#This Row],[مقدار (کیلوگرم)]],0)</f>
        <v>0</v>
      </c>
      <c r="N2325" s="6">
        <f ca="1">Main[[#This Row],[بدهکار (کیلوگرم)]]-Main[[#This Row],[بدهی تسویه نشده (کیلوگرم)]]</f>
        <v>0</v>
      </c>
      <c r="O2325" s="6">
        <f ca="1">Main[[#This Row],[تفکیک]]</f>
        <v>0</v>
      </c>
      <c r="P2325" s="6">
        <f ca="1">IF(Main[[#This Row],[تاخیر از سررسید]]&gt;0,Main[[#This Row],[بدهی تسویه نشده (کیلوگرم)]],0)</f>
        <v>0</v>
      </c>
      <c r="Q2325" s="6">
        <f ca="1">IF(Main[[#This Row],[بدهی تسویه نشده (کیلوگرم)]]&gt;0,'گزارش فردی'!$B$7-Main[[#This Row],[تاريخ میلادی]],0)</f>
        <v>0</v>
      </c>
      <c r="R2325" s="6">
        <f ca="1">IF(Main[[#This Row],[بدهی تسویه نشده (کیلوگرم)]]&gt;0,'گزارش فردی'!$B$7-Main[[#This Row],[تاريخ میلادی]]-'گزارش فردی'!$B$8,0)</f>
        <v>0</v>
      </c>
      <c r="S2325" s="6">
        <f ca="1">Main[[#This Row],[روز از ارسال سفارش]]*Main[[#This Row],[بدهی تسویه نشده (کیلوگرم)]]</f>
        <v>0</v>
      </c>
      <c r="T2325" s="6">
        <f ca="1">Main[[#This Row],[بدهی سررسید شده (کیلوگرم)]]*Main[[#This Row],[روز از ارسال سفارش]]</f>
        <v>0</v>
      </c>
      <c r="U2325" s="6">
        <f>-SUBTOTAL(9,INDEX(Main[مقدار (کیلوگرم)],1):Main[[#This Row],[مقدار (کیلوگرم)]])</f>
        <v>30981</v>
      </c>
      <c r="V23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5" s="6">
        <f>Main[[#This Row],[تعداد کل روزهای بدهکار (روز)]]*Main[[#This Row],[مانده در خط کل (کیلوگرم)]]</f>
        <v>61962</v>
      </c>
      <c r="X2325" s="6">
        <f ca="1">-SUBTOTAL(9,INDEX(Main[مقدار تسویه شده (کیلوگرم)],1):Main[[#This Row],[مقدار تسویه شده (کیلوگرم)]])</f>
        <v>27960</v>
      </c>
      <c r="Y2325" s="6">
        <f ca="1">IF(Main[[#This Row],[مانده در خط تسویه شده (کیلوگرم)]]&lt;&gt;0,Main[[#This Row],[تعداد کل روزهای بدهکار (روز)]],0)</f>
        <v>2</v>
      </c>
      <c r="Z2325" s="6">
        <f ca="1">Main[[#This Row],[تعداد روزهای بدهکار تسویه شده (روز)]]*Main[[#This Row],[مانده در خط تسویه شده (کیلوگرم)]]</f>
        <v>55920</v>
      </c>
      <c r="AA2325" s="6">
        <f ca="1">SUBTOTAL(9,INDEX(Main[بدهی تسویه نشده (کیلوگرم)],1):Main[[#This Row],[بدهی تسویه نشده (کیلوگرم)]])</f>
        <v>3021</v>
      </c>
      <c r="AB2325" s="6">
        <f ca="1">IF(Main[[#This Row],[مانده در خط تسویه نشده (کیلوگرم)]]&lt;&gt;0,Main[[#This Row],[تعداد کل روزهای بدهکار (روز)]],0)</f>
        <v>2</v>
      </c>
      <c r="AC2325" s="6">
        <f ca="1">Main[[#This Row],[تعداد روزهای بدهکار  تسویه نشده (روز)]]*Main[[#This Row],[مانده در خط تسویه نشده (کیلوگرم)]]</f>
        <v>6042</v>
      </c>
      <c r="AD2325" s="6">
        <f ca="1">SUBTOTAL(9,INDEX(Main[بدهی سررسید شده (کیلوگرم)],1):Main[[#This Row],[بدهی سررسید شده (کیلوگرم)]])</f>
        <v>3021</v>
      </c>
      <c r="AE2325" s="6">
        <f ca="1">IF(Main[[#This Row],[مانده در خط سررسید شده (کیلوگرم)]]&lt;&gt;0,Main[[#This Row],[تعداد کل روزهای بدهکار (روز)]],0)</f>
        <v>2</v>
      </c>
      <c r="AF2325" s="6">
        <f ca="1">Main[[#This Row],[تعداد روزهای بدهکار سررسید شده (روز)]]*Main[[#This Row],[مانده در خط سررسید شده (کیلوگرم)]]</f>
        <v>6042</v>
      </c>
    </row>
    <row r="2326" spans="1:32" hidden="1" x14ac:dyDescent="0.35">
      <c r="A2326" s="5">
        <f>ROW()-ROW(INDEX(Main[ردیف],1))+1</f>
        <v>2324</v>
      </c>
      <c r="B2326" s="31">
        <f>SUBTOTAL(2,INDEX(Main[ردیف],1):Main[[#This Row],[ردیف]])</f>
        <v>213</v>
      </c>
      <c r="C2326" s="32" t="s">
        <v>792</v>
      </c>
      <c r="D2326" s="32" t="str">
        <f>_xlfn.CONCAT("14",Main[[#This Row],[تاريخ]])</f>
        <v>1400/09/07</v>
      </c>
      <c r="E2326" s="33">
        <v>44528</v>
      </c>
      <c r="F2326" s="32">
        <v>30124</v>
      </c>
      <c r="G2326" s="5" t="str">
        <f>INDEX(customer[عنوان],MATCH(Main[[#This Row],[کد ردیابی]],customer[کد],0))</f>
        <v>شرکت لنگرمرواریدسبز</v>
      </c>
      <c r="H2326">
        <v>676</v>
      </c>
      <c r="I2326" s="6">
        <f ca="1">-Main[[#This Row],[بدهی تسویه شده (کیلوگرم)]]+Main[[#This Row],[بستانکار (کیلوگرم)]]</f>
        <v>676</v>
      </c>
      <c r="J2326" s="6">
        <f>IF(Main[[#This Row],[مقدار (کیلوگرم)]]&gt;0,Main[[#This Row],[مقدار (کیلوگرم)]],0)</f>
        <v>676</v>
      </c>
      <c r="K2326" s="6">
        <f>-IF(Main[[#This Row],[مقدار (کیلوگرم)]]&lt;0,Main[[#This Row],[مقدار (کیلوگرم)]],0)</f>
        <v>0</v>
      </c>
      <c r="L23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6" s="7">
        <f>-IF(AND(Main[[#This Row],[مقدار (کیلوگرم)]]&lt;0,Main[[#This Row],[تاريخ میلادی]]&gt;44276),Main[[#This Row],[مقدار (کیلوگرم)]],0)</f>
        <v>0</v>
      </c>
      <c r="N2326" s="6">
        <f ca="1">Main[[#This Row],[بدهکار (کیلوگرم)]]-Main[[#This Row],[بدهی تسویه نشده (کیلوگرم)]]</f>
        <v>0</v>
      </c>
      <c r="O2326" s="6">
        <f ca="1">Main[[#This Row],[تفکیک]]</f>
        <v>0</v>
      </c>
      <c r="P2326" s="6">
        <f ca="1">IF(Main[[#This Row],[تاخیر از سررسید]]&gt;0,Main[[#This Row],[بدهی تسویه نشده (کیلوگرم)]],0)</f>
        <v>0</v>
      </c>
      <c r="Q2326" s="6">
        <f ca="1">IF(Main[[#This Row],[بدهی تسویه نشده (کیلوگرم)]]&gt;0,'گزارش فردی'!$B$7-Main[[#This Row],[تاريخ میلادی]],0)</f>
        <v>0</v>
      </c>
      <c r="R2326" s="6">
        <f ca="1">IF(Main[[#This Row],[بدهی تسویه نشده (کیلوگرم)]]&gt;0,'گزارش فردی'!$B$7-Main[[#This Row],[تاريخ میلادی]]-'گزارش فردی'!$B$8,0)</f>
        <v>0</v>
      </c>
      <c r="S2326" s="6">
        <f ca="1">Main[[#This Row],[روز از ارسال سفارش]]*Main[[#This Row],[بدهی تسویه نشده (کیلوگرم)]]</f>
        <v>0</v>
      </c>
      <c r="T2326" s="6">
        <f ca="1">Main[[#This Row],[بدهی سررسید شده (کیلوگرم)]]*Main[[#This Row],[روز از ارسال سفارش]]</f>
        <v>0</v>
      </c>
      <c r="U2326" s="6">
        <f>-SUBTOTAL(9,INDEX(Main[مقدار (کیلوگرم)],1):Main[[#This Row],[مقدار (کیلوگرم)]])</f>
        <v>30981</v>
      </c>
      <c r="V23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6" s="6">
        <f>Main[[#This Row],[تعداد کل روزهای بدهکار (روز)]]*Main[[#This Row],[مانده در خط کل (کیلوگرم)]]</f>
        <v>61962</v>
      </c>
      <c r="X2326" s="6">
        <f ca="1">-SUBTOTAL(9,INDEX(Main[مقدار تسویه شده (کیلوگرم)],1):Main[[#This Row],[مقدار تسویه شده (کیلوگرم)]])</f>
        <v>27960</v>
      </c>
      <c r="Y2326" s="6">
        <f ca="1">IF(Main[[#This Row],[مانده در خط تسویه شده (کیلوگرم)]]&lt;&gt;0,Main[[#This Row],[تعداد کل روزهای بدهکار (روز)]],0)</f>
        <v>2</v>
      </c>
      <c r="Z2326" s="6">
        <f ca="1">Main[[#This Row],[تعداد روزهای بدهکار تسویه شده (روز)]]*Main[[#This Row],[مانده در خط تسویه شده (کیلوگرم)]]</f>
        <v>55920</v>
      </c>
      <c r="AA2326" s="6">
        <f ca="1">SUBTOTAL(9,INDEX(Main[بدهی تسویه نشده (کیلوگرم)],1):Main[[#This Row],[بدهی تسویه نشده (کیلوگرم)]])</f>
        <v>3021</v>
      </c>
      <c r="AB2326" s="6">
        <f ca="1">IF(Main[[#This Row],[مانده در خط تسویه نشده (کیلوگرم)]]&lt;&gt;0,Main[[#This Row],[تعداد کل روزهای بدهکار (روز)]],0)</f>
        <v>2</v>
      </c>
      <c r="AC2326" s="6">
        <f ca="1">Main[[#This Row],[تعداد روزهای بدهکار  تسویه نشده (روز)]]*Main[[#This Row],[مانده در خط تسویه نشده (کیلوگرم)]]</f>
        <v>6042</v>
      </c>
      <c r="AD2326" s="6">
        <f ca="1">SUBTOTAL(9,INDEX(Main[بدهی سررسید شده (کیلوگرم)],1):Main[[#This Row],[بدهی سررسید شده (کیلوگرم)]])</f>
        <v>3021</v>
      </c>
      <c r="AE2326" s="6">
        <f ca="1">IF(Main[[#This Row],[مانده در خط سررسید شده (کیلوگرم)]]&lt;&gt;0,Main[[#This Row],[تعداد کل روزهای بدهکار (روز)]],0)</f>
        <v>2</v>
      </c>
      <c r="AF2326" s="6">
        <f ca="1">Main[[#This Row],[تعداد روزهای بدهکار سررسید شده (روز)]]*Main[[#This Row],[مانده در خط سررسید شده (کیلوگرم)]]</f>
        <v>6042</v>
      </c>
    </row>
    <row r="2327" spans="1:32" hidden="1" x14ac:dyDescent="0.35">
      <c r="A2327" s="5">
        <f>ROW()-ROW(INDEX(Main[ردیف],1))+1</f>
        <v>2325</v>
      </c>
      <c r="B2327" s="31">
        <f>SUBTOTAL(2,INDEX(Main[ردیف],1):Main[[#This Row],[ردیف]])</f>
        <v>213</v>
      </c>
      <c r="C2327" s="32" t="s">
        <v>793</v>
      </c>
      <c r="D2327" s="32" t="str">
        <f>_xlfn.CONCAT("14",Main[[#This Row],[تاريخ]])</f>
        <v>1400/09/08</v>
      </c>
      <c r="E2327" s="33">
        <v>44529</v>
      </c>
      <c r="F2327" s="32">
        <v>30004</v>
      </c>
      <c r="G2327" s="5" t="str">
        <f>INDEX(customer[عنوان],MATCH(Main[[#This Row],[کد ردیابی]],customer[کد],0))</f>
        <v>تولیدی صنعتی صفاشیر پارس</v>
      </c>
      <c r="H2327">
        <v>-5066</v>
      </c>
      <c r="I2327" s="6">
        <f ca="1">-Main[[#This Row],[بدهی تسویه شده (کیلوگرم)]]+Main[[#This Row],[بستانکار (کیلوگرم)]]</f>
        <v>0</v>
      </c>
      <c r="J2327" s="6">
        <f>IF(Main[[#This Row],[مقدار (کیلوگرم)]]&gt;0,Main[[#This Row],[مقدار (کیلوگرم)]],0)</f>
        <v>0</v>
      </c>
      <c r="K2327" s="6">
        <f>-IF(Main[[#This Row],[مقدار (کیلوگرم)]]&lt;0,Main[[#This Row],[مقدار (کیلوگرم)]],0)</f>
        <v>5066</v>
      </c>
      <c r="L23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5066</v>
      </c>
      <c r="M2327" s="7">
        <f>-IF(AND(Main[[#This Row],[مقدار (کیلوگرم)]]&lt;0,Main[[#This Row],[تاريخ میلادی]]&gt;44276),Main[[#This Row],[مقدار (کیلوگرم)]],0)</f>
        <v>5066</v>
      </c>
      <c r="N2327" s="6">
        <f ca="1">Main[[#This Row],[بدهکار (کیلوگرم)]]-Main[[#This Row],[بدهی تسویه نشده (کیلوگرم)]]</f>
        <v>0</v>
      </c>
      <c r="O2327" s="6">
        <f ca="1">Main[[#This Row],[تفکیک]]</f>
        <v>5066</v>
      </c>
      <c r="P2327" s="6">
        <f ca="1">IF(Main[[#This Row],[تاخیر از سررسید]]&gt;0,Main[[#This Row],[بدهی تسویه نشده (کیلوگرم)]],0)</f>
        <v>5066</v>
      </c>
      <c r="Q2327" s="6">
        <f ca="1">IF(Main[[#This Row],[بدهی تسویه نشده (کیلوگرم)]]&gt;0,'گزارش فردی'!$B$7-Main[[#This Row],[تاريخ میلادی]],0)</f>
        <v>933.75374085648218</v>
      </c>
      <c r="R2327" s="6">
        <f ca="1">IF(Main[[#This Row],[بدهی تسویه نشده (کیلوگرم)]]&gt;0,'گزارش فردی'!$B$7-Main[[#This Row],[تاريخ میلادی]]-'گزارش فردی'!$B$8,0)</f>
        <v>918.75374085648218</v>
      </c>
      <c r="S2327" s="6">
        <f ca="1">Main[[#This Row],[روز از ارسال سفارش]]*Main[[#This Row],[بدهی تسویه نشده (کیلوگرم)]]</f>
        <v>4730396.4511789391</v>
      </c>
      <c r="T2327" s="6">
        <f ca="1">Main[[#This Row],[بدهی سررسید شده (کیلوگرم)]]*Main[[#This Row],[روز از ارسال سفارش]]</f>
        <v>4730396.4511789391</v>
      </c>
      <c r="U2327" s="6">
        <f>-SUBTOTAL(9,INDEX(Main[مقدار (کیلوگرم)],1):Main[[#This Row],[مقدار (کیلوگرم)]])</f>
        <v>30981</v>
      </c>
      <c r="V23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7" s="6">
        <f>Main[[#This Row],[تعداد کل روزهای بدهکار (روز)]]*Main[[#This Row],[مانده در خط کل (کیلوگرم)]]</f>
        <v>30981</v>
      </c>
      <c r="X2327" s="6">
        <f ca="1">-SUBTOTAL(9,INDEX(Main[مقدار تسویه شده (کیلوگرم)],1):Main[[#This Row],[مقدار تسویه شده (کیلوگرم)]])</f>
        <v>27960</v>
      </c>
      <c r="Y2327" s="6">
        <f ca="1">IF(Main[[#This Row],[مانده در خط تسویه شده (کیلوگرم)]]&lt;&gt;0,Main[[#This Row],[تعداد کل روزهای بدهکار (روز)]],0)</f>
        <v>1</v>
      </c>
      <c r="Z2327" s="6">
        <f ca="1">Main[[#This Row],[تعداد روزهای بدهکار تسویه شده (روز)]]*Main[[#This Row],[مانده در خط تسویه شده (کیلوگرم)]]</f>
        <v>27960</v>
      </c>
      <c r="AA2327" s="6">
        <f ca="1">SUBTOTAL(9,INDEX(Main[بدهی تسویه نشده (کیلوگرم)],1):Main[[#This Row],[بدهی تسویه نشده (کیلوگرم)]])</f>
        <v>3021</v>
      </c>
      <c r="AB2327" s="6">
        <f ca="1">IF(Main[[#This Row],[مانده در خط تسویه نشده (کیلوگرم)]]&lt;&gt;0,Main[[#This Row],[تعداد کل روزهای بدهکار (روز)]],0)</f>
        <v>1</v>
      </c>
      <c r="AC2327" s="6">
        <f ca="1">Main[[#This Row],[تعداد روزهای بدهکار  تسویه نشده (روز)]]*Main[[#This Row],[مانده در خط تسویه نشده (کیلوگرم)]]</f>
        <v>3021</v>
      </c>
      <c r="AD2327" s="6">
        <f ca="1">SUBTOTAL(9,INDEX(Main[بدهی سررسید شده (کیلوگرم)],1):Main[[#This Row],[بدهی سررسید شده (کیلوگرم)]])</f>
        <v>3021</v>
      </c>
      <c r="AE2327" s="6">
        <f ca="1">IF(Main[[#This Row],[مانده در خط سررسید شده (کیلوگرم)]]&lt;&gt;0,Main[[#This Row],[تعداد کل روزهای بدهکار (روز)]],0)</f>
        <v>1</v>
      </c>
      <c r="AF2327" s="6">
        <f ca="1">Main[[#This Row],[تعداد روزهای بدهکار سررسید شده (روز)]]*Main[[#This Row],[مانده در خط سررسید شده (کیلوگرم)]]</f>
        <v>3021</v>
      </c>
    </row>
    <row r="2328" spans="1:32" hidden="1" x14ac:dyDescent="0.35">
      <c r="A2328" s="5">
        <f>ROW()-ROW(INDEX(Main[ردیف],1))+1</f>
        <v>2326</v>
      </c>
      <c r="B2328" s="31">
        <f>SUBTOTAL(2,INDEX(Main[ردیف],1):Main[[#This Row],[ردیف]])</f>
        <v>213</v>
      </c>
      <c r="C2328" s="32" t="s">
        <v>793</v>
      </c>
      <c r="D2328" s="32" t="str">
        <f>_xlfn.CONCAT("14",Main[[#This Row],[تاريخ]])</f>
        <v>1400/09/08</v>
      </c>
      <c r="E2328" s="33">
        <v>44529</v>
      </c>
      <c r="F2328" s="32">
        <v>10026</v>
      </c>
      <c r="G2328" s="5" t="str">
        <f>INDEX(customer[عنوان],MATCH(Main[[#This Row],[کد ردیابی]],customer[کد],0))</f>
        <v xml:space="preserve">محسن فیاض بخش </v>
      </c>
      <c r="H2328">
        <v>1720</v>
      </c>
      <c r="I2328" s="6">
        <f ca="1">-Main[[#This Row],[بدهی تسویه شده (کیلوگرم)]]+Main[[#This Row],[بستانکار (کیلوگرم)]]</f>
        <v>1720</v>
      </c>
      <c r="J2328" s="6">
        <f>IF(Main[[#This Row],[مقدار (کیلوگرم)]]&gt;0,Main[[#This Row],[مقدار (کیلوگرم)]],0)</f>
        <v>1720</v>
      </c>
      <c r="K2328" s="6">
        <f>-IF(Main[[#This Row],[مقدار (کیلوگرم)]]&lt;0,Main[[#This Row],[مقدار (کیلوگرم)]],0)</f>
        <v>0</v>
      </c>
      <c r="L23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8" s="7">
        <f>-IF(AND(Main[[#This Row],[مقدار (کیلوگرم)]]&lt;0,Main[[#This Row],[تاريخ میلادی]]&gt;44276),Main[[#This Row],[مقدار (کیلوگرم)]],0)</f>
        <v>0</v>
      </c>
      <c r="N2328" s="6">
        <f ca="1">Main[[#This Row],[بدهکار (کیلوگرم)]]-Main[[#This Row],[بدهی تسویه نشده (کیلوگرم)]]</f>
        <v>0</v>
      </c>
      <c r="O2328" s="6">
        <f ca="1">Main[[#This Row],[تفکیک]]</f>
        <v>0</v>
      </c>
      <c r="P2328" s="6">
        <f ca="1">IF(Main[[#This Row],[تاخیر از سررسید]]&gt;0,Main[[#This Row],[بدهی تسویه نشده (کیلوگرم)]],0)</f>
        <v>0</v>
      </c>
      <c r="Q2328" s="6">
        <f ca="1">IF(Main[[#This Row],[بدهی تسویه نشده (کیلوگرم)]]&gt;0,'گزارش فردی'!$B$7-Main[[#This Row],[تاريخ میلادی]],0)</f>
        <v>0</v>
      </c>
      <c r="R2328" s="6">
        <f ca="1">IF(Main[[#This Row],[بدهی تسویه نشده (کیلوگرم)]]&gt;0,'گزارش فردی'!$B$7-Main[[#This Row],[تاريخ میلادی]]-'گزارش فردی'!$B$8,0)</f>
        <v>0</v>
      </c>
      <c r="S2328" s="6">
        <f ca="1">Main[[#This Row],[روز از ارسال سفارش]]*Main[[#This Row],[بدهی تسویه نشده (کیلوگرم)]]</f>
        <v>0</v>
      </c>
      <c r="T2328" s="6">
        <f ca="1">Main[[#This Row],[بدهی سررسید شده (کیلوگرم)]]*Main[[#This Row],[روز از ارسال سفارش]]</f>
        <v>0</v>
      </c>
      <c r="U2328" s="6">
        <f>-SUBTOTAL(9,INDEX(Main[مقدار (کیلوگرم)],1):Main[[#This Row],[مقدار (کیلوگرم)]])</f>
        <v>30981</v>
      </c>
      <c r="V23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8" s="6">
        <f>Main[[#This Row],[تعداد کل روزهای بدهکار (روز)]]*Main[[#This Row],[مانده در خط کل (کیلوگرم)]]</f>
        <v>30981</v>
      </c>
      <c r="X2328" s="6">
        <f ca="1">-SUBTOTAL(9,INDEX(Main[مقدار تسویه شده (کیلوگرم)],1):Main[[#This Row],[مقدار تسویه شده (کیلوگرم)]])</f>
        <v>27960</v>
      </c>
      <c r="Y2328" s="6">
        <f ca="1">IF(Main[[#This Row],[مانده در خط تسویه شده (کیلوگرم)]]&lt;&gt;0,Main[[#This Row],[تعداد کل روزهای بدهکار (روز)]],0)</f>
        <v>1</v>
      </c>
      <c r="Z2328" s="6">
        <f ca="1">Main[[#This Row],[تعداد روزهای بدهکار تسویه شده (روز)]]*Main[[#This Row],[مانده در خط تسویه شده (کیلوگرم)]]</f>
        <v>27960</v>
      </c>
      <c r="AA2328" s="6">
        <f ca="1">SUBTOTAL(9,INDEX(Main[بدهی تسویه نشده (کیلوگرم)],1):Main[[#This Row],[بدهی تسویه نشده (کیلوگرم)]])</f>
        <v>3021</v>
      </c>
      <c r="AB2328" s="6">
        <f ca="1">IF(Main[[#This Row],[مانده در خط تسویه نشده (کیلوگرم)]]&lt;&gt;0,Main[[#This Row],[تعداد کل روزهای بدهکار (روز)]],0)</f>
        <v>1</v>
      </c>
      <c r="AC2328" s="6">
        <f ca="1">Main[[#This Row],[تعداد روزهای بدهکار  تسویه نشده (روز)]]*Main[[#This Row],[مانده در خط تسویه نشده (کیلوگرم)]]</f>
        <v>3021</v>
      </c>
      <c r="AD2328" s="6">
        <f ca="1">SUBTOTAL(9,INDEX(Main[بدهی سررسید شده (کیلوگرم)],1):Main[[#This Row],[بدهی سررسید شده (کیلوگرم)]])</f>
        <v>3021</v>
      </c>
      <c r="AE2328" s="6">
        <f ca="1">IF(Main[[#This Row],[مانده در خط سررسید شده (کیلوگرم)]]&lt;&gt;0,Main[[#This Row],[تعداد کل روزهای بدهکار (روز)]],0)</f>
        <v>1</v>
      </c>
      <c r="AF2328" s="6">
        <f ca="1">Main[[#This Row],[تعداد روزهای بدهکار سررسید شده (روز)]]*Main[[#This Row],[مانده در خط سررسید شده (کیلوگرم)]]</f>
        <v>3021</v>
      </c>
    </row>
    <row r="2329" spans="1:32" hidden="1" x14ac:dyDescent="0.35">
      <c r="A2329" s="5">
        <f>ROW()-ROW(INDEX(Main[ردیف],1))+1</f>
        <v>2327</v>
      </c>
      <c r="B2329" s="31">
        <f>SUBTOTAL(2,INDEX(Main[ردیف],1):Main[[#This Row],[ردیف]])</f>
        <v>213</v>
      </c>
      <c r="C2329" s="32" t="s">
        <v>793</v>
      </c>
      <c r="D2329" s="32" t="str">
        <f>_xlfn.CONCAT("14",Main[[#This Row],[تاريخ]])</f>
        <v>1400/09/08</v>
      </c>
      <c r="E2329" s="33">
        <v>44529</v>
      </c>
      <c r="F2329" s="32">
        <v>30014</v>
      </c>
      <c r="G2329" s="5" t="str">
        <f>INDEX(customer[عنوان],MATCH(Main[[#This Row],[کد ردیابی]],customer[کد],0))</f>
        <v>کلون</v>
      </c>
      <c r="H2329">
        <v>-418</v>
      </c>
      <c r="I2329" s="6">
        <f ca="1">-Main[[#This Row],[بدهی تسویه شده (کیلوگرم)]]+Main[[#This Row],[بستانکار (کیلوگرم)]]</f>
        <v>0</v>
      </c>
      <c r="J2329" s="6">
        <f>IF(Main[[#This Row],[مقدار (کیلوگرم)]]&gt;0,Main[[#This Row],[مقدار (کیلوگرم)]],0)</f>
        <v>0</v>
      </c>
      <c r="K2329" s="6">
        <f>-IF(Main[[#This Row],[مقدار (کیلوگرم)]]&lt;0,Main[[#This Row],[مقدار (کیلوگرم)]],0)</f>
        <v>418</v>
      </c>
      <c r="L23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418</v>
      </c>
      <c r="M2329" s="7">
        <f>-IF(AND(Main[[#This Row],[مقدار (کیلوگرم)]]&lt;0,Main[[#This Row],[تاريخ میلادی]]&gt;44276),Main[[#This Row],[مقدار (کیلوگرم)]],0)</f>
        <v>418</v>
      </c>
      <c r="N2329" s="6">
        <f ca="1">Main[[#This Row],[بدهکار (کیلوگرم)]]-Main[[#This Row],[بدهی تسویه نشده (کیلوگرم)]]</f>
        <v>0</v>
      </c>
      <c r="O2329" s="6">
        <f ca="1">Main[[#This Row],[تفکیک]]</f>
        <v>418</v>
      </c>
      <c r="P2329" s="6">
        <f ca="1">IF(Main[[#This Row],[تاخیر از سررسید]]&gt;0,Main[[#This Row],[بدهی تسویه نشده (کیلوگرم)]],0)</f>
        <v>418</v>
      </c>
      <c r="Q2329" s="6">
        <f ca="1">IF(Main[[#This Row],[بدهی تسویه نشده (کیلوگرم)]]&gt;0,'گزارش فردی'!$B$7-Main[[#This Row],[تاريخ میلادی]],0)</f>
        <v>933.75374085648218</v>
      </c>
      <c r="R2329" s="6">
        <f ca="1">IF(Main[[#This Row],[بدهی تسویه نشده (کیلوگرم)]]&gt;0,'گزارش فردی'!$B$7-Main[[#This Row],[تاريخ میلادی]]-'گزارش فردی'!$B$8,0)</f>
        <v>918.75374085648218</v>
      </c>
      <c r="S2329" s="6">
        <f ca="1">Main[[#This Row],[روز از ارسال سفارش]]*Main[[#This Row],[بدهی تسویه نشده (کیلوگرم)]]</f>
        <v>390309.06367800955</v>
      </c>
      <c r="T2329" s="6">
        <f ca="1">Main[[#This Row],[بدهی سررسید شده (کیلوگرم)]]*Main[[#This Row],[روز از ارسال سفارش]]</f>
        <v>390309.06367800955</v>
      </c>
      <c r="U2329" s="6">
        <f>-SUBTOTAL(9,INDEX(Main[مقدار (کیلوگرم)],1):Main[[#This Row],[مقدار (کیلوگرم)]])</f>
        <v>30981</v>
      </c>
      <c r="V23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9" s="6">
        <f>Main[[#This Row],[تعداد کل روزهای بدهکار (روز)]]*Main[[#This Row],[مانده در خط کل (کیلوگرم)]]</f>
        <v>30981</v>
      </c>
      <c r="X2329" s="6">
        <f ca="1">-SUBTOTAL(9,INDEX(Main[مقدار تسویه شده (کیلوگرم)],1):Main[[#This Row],[مقدار تسویه شده (کیلوگرم)]])</f>
        <v>27960</v>
      </c>
      <c r="Y2329" s="6">
        <f ca="1">IF(Main[[#This Row],[مانده در خط تسویه شده (کیلوگرم)]]&lt;&gt;0,Main[[#This Row],[تعداد کل روزهای بدهکار (روز)]],0)</f>
        <v>1</v>
      </c>
      <c r="Z2329" s="6">
        <f ca="1">Main[[#This Row],[تعداد روزهای بدهکار تسویه شده (روز)]]*Main[[#This Row],[مانده در خط تسویه شده (کیلوگرم)]]</f>
        <v>27960</v>
      </c>
      <c r="AA2329" s="6">
        <f ca="1">SUBTOTAL(9,INDEX(Main[بدهی تسویه نشده (کیلوگرم)],1):Main[[#This Row],[بدهی تسویه نشده (کیلوگرم)]])</f>
        <v>3021</v>
      </c>
      <c r="AB2329" s="6">
        <f ca="1">IF(Main[[#This Row],[مانده در خط تسویه نشده (کیلوگرم)]]&lt;&gt;0,Main[[#This Row],[تعداد کل روزهای بدهکار (روز)]],0)</f>
        <v>1</v>
      </c>
      <c r="AC2329" s="6">
        <f ca="1">Main[[#This Row],[تعداد روزهای بدهکار  تسویه نشده (روز)]]*Main[[#This Row],[مانده در خط تسویه نشده (کیلوگرم)]]</f>
        <v>3021</v>
      </c>
      <c r="AD2329" s="6">
        <f ca="1">SUBTOTAL(9,INDEX(Main[بدهی سررسید شده (کیلوگرم)],1):Main[[#This Row],[بدهی سررسید شده (کیلوگرم)]])</f>
        <v>3021</v>
      </c>
      <c r="AE2329" s="6">
        <f ca="1">IF(Main[[#This Row],[مانده در خط سررسید شده (کیلوگرم)]]&lt;&gt;0,Main[[#This Row],[تعداد کل روزهای بدهکار (روز)]],0)</f>
        <v>1</v>
      </c>
      <c r="AF2329" s="6">
        <f ca="1">Main[[#This Row],[تعداد روزهای بدهکار سررسید شده (روز)]]*Main[[#This Row],[مانده در خط سررسید شده (کیلوگرم)]]</f>
        <v>3021</v>
      </c>
    </row>
    <row r="2330" spans="1:32" hidden="1" x14ac:dyDescent="0.35">
      <c r="A2330" s="5">
        <f>ROW()-ROW(INDEX(Main[ردیف],1))+1</f>
        <v>2328</v>
      </c>
      <c r="B2330" s="31">
        <f>SUBTOTAL(2,INDEX(Main[ردیف],1):Main[[#This Row],[ردیف]])</f>
        <v>213</v>
      </c>
      <c r="C2330" s="32" t="s">
        <v>793</v>
      </c>
      <c r="D2330" s="32" t="str">
        <f>_xlfn.CONCAT("14",Main[[#This Row],[تاريخ]])</f>
        <v>1400/09/08</v>
      </c>
      <c r="E2330" s="33">
        <v>44529</v>
      </c>
      <c r="F2330" s="32">
        <v>30004</v>
      </c>
      <c r="G2330" s="5" t="str">
        <f>INDEX(customer[عنوان],MATCH(Main[[#This Row],[کد ردیابی]],customer[کد],0))</f>
        <v>تولیدی صنعتی صفاشیر پارس</v>
      </c>
      <c r="H2330">
        <v>1422</v>
      </c>
      <c r="I2330" s="6">
        <f ca="1">-Main[[#This Row],[بدهی تسویه شده (کیلوگرم)]]+Main[[#This Row],[بستانکار (کیلوگرم)]]</f>
        <v>1422</v>
      </c>
      <c r="J2330" s="6">
        <f>IF(Main[[#This Row],[مقدار (کیلوگرم)]]&gt;0,Main[[#This Row],[مقدار (کیلوگرم)]],0)</f>
        <v>1422</v>
      </c>
      <c r="K2330" s="6">
        <f>-IF(Main[[#This Row],[مقدار (کیلوگرم)]]&lt;0,Main[[#This Row],[مقدار (کیلوگرم)]],0)</f>
        <v>0</v>
      </c>
      <c r="L23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0" s="7">
        <f>-IF(AND(Main[[#This Row],[مقدار (کیلوگرم)]]&lt;0,Main[[#This Row],[تاريخ میلادی]]&gt;44276),Main[[#This Row],[مقدار (کیلوگرم)]],0)</f>
        <v>0</v>
      </c>
      <c r="N2330" s="6">
        <f ca="1">Main[[#This Row],[بدهکار (کیلوگرم)]]-Main[[#This Row],[بدهی تسویه نشده (کیلوگرم)]]</f>
        <v>0</v>
      </c>
      <c r="O2330" s="6">
        <f ca="1">Main[[#This Row],[تفکیک]]</f>
        <v>0</v>
      </c>
      <c r="P2330" s="6">
        <f ca="1">IF(Main[[#This Row],[تاخیر از سررسید]]&gt;0,Main[[#This Row],[بدهی تسویه نشده (کیلوگرم)]],0)</f>
        <v>0</v>
      </c>
      <c r="Q2330" s="6">
        <f ca="1">IF(Main[[#This Row],[بدهی تسویه نشده (کیلوگرم)]]&gt;0,'گزارش فردی'!$B$7-Main[[#This Row],[تاريخ میلادی]],0)</f>
        <v>0</v>
      </c>
      <c r="R2330" s="6">
        <f ca="1">IF(Main[[#This Row],[بدهی تسویه نشده (کیلوگرم)]]&gt;0,'گزارش فردی'!$B$7-Main[[#This Row],[تاريخ میلادی]]-'گزارش فردی'!$B$8,0)</f>
        <v>0</v>
      </c>
      <c r="S2330" s="6">
        <f ca="1">Main[[#This Row],[روز از ارسال سفارش]]*Main[[#This Row],[بدهی تسویه نشده (کیلوگرم)]]</f>
        <v>0</v>
      </c>
      <c r="T2330" s="6">
        <f ca="1">Main[[#This Row],[بدهی سررسید شده (کیلوگرم)]]*Main[[#This Row],[روز از ارسال سفارش]]</f>
        <v>0</v>
      </c>
      <c r="U2330" s="6">
        <f>-SUBTOTAL(9,INDEX(Main[مقدار (کیلوگرم)],1):Main[[#This Row],[مقدار (کیلوگرم)]])</f>
        <v>30981</v>
      </c>
      <c r="V23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0" s="6">
        <f>Main[[#This Row],[تعداد کل روزهای بدهکار (روز)]]*Main[[#This Row],[مانده در خط کل (کیلوگرم)]]</f>
        <v>30981</v>
      </c>
      <c r="X2330" s="6">
        <f ca="1">-SUBTOTAL(9,INDEX(Main[مقدار تسویه شده (کیلوگرم)],1):Main[[#This Row],[مقدار تسویه شده (کیلوگرم)]])</f>
        <v>27960</v>
      </c>
      <c r="Y2330" s="6">
        <f ca="1">IF(Main[[#This Row],[مانده در خط تسویه شده (کیلوگرم)]]&lt;&gt;0,Main[[#This Row],[تعداد کل روزهای بدهکار (روز)]],0)</f>
        <v>1</v>
      </c>
      <c r="Z2330" s="6">
        <f ca="1">Main[[#This Row],[تعداد روزهای بدهکار تسویه شده (روز)]]*Main[[#This Row],[مانده در خط تسویه شده (کیلوگرم)]]</f>
        <v>27960</v>
      </c>
      <c r="AA2330" s="6">
        <f ca="1">SUBTOTAL(9,INDEX(Main[بدهی تسویه نشده (کیلوگرم)],1):Main[[#This Row],[بدهی تسویه نشده (کیلوگرم)]])</f>
        <v>3021</v>
      </c>
      <c r="AB2330" s="6">
        <f ca="1">IF(Main[[#This Row],[مانده در خط تسویه نشده (کیلوگرم)]]&lt;&gt;0,Main[[#This Row],[تعداد کل روزهای بدهکار (روز)]],0)</f>
        <v>1</v>
      </c>
      <c r="AC2330" s="6">
        <f ca="1">Main[[#This Row],[تعداد روزهای بدهکار  تسویه نشده (روز)]]*Main[[#This Row],[مانده در خط تسویه نشده (کیلوگرم)]]</f>
        <v>3021</v>
      </c>
      <c r="AD2330" s="6">
        <f ca="1">SUBTOTAL(9,INDEX(Main[بدهی سررسید شده (کیلوگرم)],1):Main[[#This Row],[بدهی سررسید شده (کیلوگرم)]])</f>
        <v>3021</v>
      </c>
      <c r="AE2330" s="6">
        <f ca="1">IF(Main[[#This Row],[مانده در خط سررسید شده (کیلوگرم)]]&lt;&gt;0,Main[[#This Row],[تعداد کل روزهای بدهکار (روز)]],0)</f>
        <v>1</v>
      </c>
      <c r="AF2330" s="6">
        <f ca="1">Main[[#This Row],[تعداد روزهای بدهکار سررسید شده (روز)]]*Main[[#This Row],[مانده در خط سررسید شده (کیلوگرم)]]</f>
        <v>3021</v>
      </c>
    </row>
    <row r="2331" spans="1:32" hidden="1" x14ac:dyDescent="0.35">
      <c r="A2331" s="5">
        <f>ROW()-ROW(INDEX(Main[ردیف],1))+1</f>
        <v>2329</v>
      </c>
      <c r="B2331" s="31">
        <f>SUBTOTAL(2,INDEX(Main[ردیف],1):Main[[#This Row],[ردیف]])</f>
        <v>213</v>
      </c>
      <c r="C2331" s="32" t="s">
        <v>793</v>
      </c>
      <c r="D2331" s="32" t="str">
        <f>_xlfn.CONCAT("14",Main[[#This Row],[تاريخ]])</f>
        <v>1400/09/08</v>
      </c>
      <c r="E2331" s="33">
        <v>44529</v>
      </c>
      <c r="F2331" s="32">
        <v>30058</v>
      </c>
      <c r="G2331" s="5" t="str">
        <f>INDEX(customer[عنوان],MATCH(Main[[#This Row],[کد ردیابی]],customer[کد],0))</f>
        <v xml:space="preserve">پارس شیر </v>
      </c>
      <c r="H2331">
        <v>-3171</v>
      </c>
      <c r="I2331" s="6">
        <f ca="1">-Main[[#This Row],[بدهی تسویه شده (کیلوگرم)]]+Main[[#This Row],[بستانکار (کیلوگرم)]]</f>
        <v>0</v>
      </c>
      <c r="J2331" s="6">
        <f>IF(Main[[#This Row],[مقدار (کیلوگرم)]]&gt;0,Main[[#This Row],[مقدار (کیلوگرم)]],0)</f>
        <v>0</v>
      </c>
      <c r="K2331" s="6">
        <f>-IF(Main[[#This Row],[مقدار (کیلوگرم)]]&lt;0,Main[[#This Row],[مقدار (کیلوگرم)]],0)</f>
        <v>3171</v>
      </c>
      <c r="L23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3171</v>
      </c>
      <c r="M2331" s="7">
        <f>-IF(AND(Main[[#This Row],[مقدار (کیلوگرم)]]&lt;0,Main[[#This Row],[تاريخ میلادی]]&gt;44276),Main[[#This Row],[مقدار (کیلوگرم)]],0)</f>
        <v>3171</v>
      </c>
      <c r="N2331" s="6">
        <f ca="1">Main[[#This Row],[بدهکار (کیلوگرم)]]-Main[[#This Row],[بدهی تسویه نشده (کیلوگرم)]]</f>
        <v>0</v>
      </c>
      <c r="O2331" s="6">
        <f ca="1">Main[[#This Row],[تفکیک]]</f>
        <v>3171</v>
      </c>
      <c r="P2331" s="6">
        <f ca="1">IF(Main[[#This Row],[تاخیر از سررسید]]&gt;0,Main[[#This Row],[بدهی تسویه نشده (کیلوگرم)]],0)</f>
        <v>3171</v>
      </c>
      <c r="Q2331" s="6">
        <f ca="1">IF(Main[[#This Row],[بدهی تسویه نشده (کیلوگرم)]]&gt;0,'گزارش فردی'!$B$7-Main[[#This Row],[تاريخ میلادی]],0)</f>
        <v>933.75374085648218</v>
      </c>
      <c r="R2331" s="6">
        <f ca="1">IF(Main[[#This Row],[بدهی تسویه نشده (کیلوگرم)]]&gt;0,'گزارش فردی'!$B$7-Main[[#This Row],[تاريخ میلادی]]-'گزارش فردی'!$B$8,0)</f>
        <v>918.75374085648218</v>
      </c>
      <c r="S2331" s="6">
        <f ca="1">Main[[#This Row],[روز از ارسال سفارش]]*Main[[#This Row],[بدهی تسویه نشده (کیلوگرم)]]</f>
        <v>2960933.1122559048</v>
      </c>
      <c r="T2331" s="6">
        <f ca="1">Main[[#This Row],[بدهی سررسید شده (کیلوگرم)]]*Main[[#This Row],[روز از ارسال سفارش]]</f>
        <v>2960933.1122559048</v>
      </c>
      <c r="U2331" s="6">
        <f>-SUBTOTAL(9,INDEX(Main[مقدار (کیلوگرم)],1):Main[[#This Row],[مقدار (کیلوگرم)]])</f>
        <v>30981</v>
      </c>
      <c r="V23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1" s="6">
        <f>Main[[#This Row],[تعداد کل روزهای بدهکار (روز)]]*Main[[#This Row],[مانده در خط کل (کیلوگرم)]]</f>
        <v>30981</v>
      </c>
      <c r="X2331" s="6">
        <f ca="1">-SUBTOTAL(9,INDEX(Main[مقدار تسویه شده (کیلوگرم)],1):Main[[#This Row],[مقدار تسویه شده (کیلوگرم)]])</f>
        <v>27960</v>
      </c>
      <c r="Y2331" s="6">
        <f ca="1">IF(Main[[#This Row],[مانده در خط تسویه شده (کیلوگرم)]]&lt;&gt;0,Main[[#This Row],[تعداد کل روزهای بدهکار (روز)]],0)</f>
        <v>1</v>
      </c>
      <c r="Z2331" s="6">
        <f ca="1">Main[[#This Row],[تعداد روزهای بدهکار تسویه شده (روز)]]*Main[[#This Row],[مانده در خط تسویه شده (کیلوگرم)]]</f>
        <v>27960</v>
      </c>
      <c r="AA2331" s="6">
        <f ca="1">SUBTOTAL(9,INDEX(Main[بدهی تسویه نشده (کیلوگرم)],1):Main[[#This Row],[بدهی تسویه نشده (کیلوگرم)]])</f>
        <v>3021</v>
      </c>
      <c r="AB2331" s="6">
        <f ca="1">IF(Main[[#This Row],[مانده در خط تسویه نشده (کیلوگرم)]]&lt;&gt;0,Main[[#This Row],[تعداد کل روزهای بدهکار (روز)]],0)</f>
        <v>1</v>
      </c>
      <c r="AC2331" s="6">
        <f ca="1">Main[[#This Row],[تعداد روزهای بدهکار  تسویه نشده (روز)]]*Main[[#This Row],[مانده در خط تسویه نشده (کیلوگرم)]]</f>
        <v>3021</v>
      </c>
      <c r="AD2331" s="6">
        <f ca="1">SUBTOTAL(9,INDEX(Main[بدهی سررسید شده (کیلوگرم)],1):Main[[#This Row],[بدهی سررسید شده (کیلوگرم)]])</f>
        <v>3021</v>
      </c>
      <c r="AE2331" s="6">
        <f ca="1">IF(Main[[#This Row],[مانده در خط سررسید شده (کیلوگرم)]]&lt;&gt;0,Main[[#This Row],[تعداد کل روزهای بدهکار (روز)]],0)</f>
        <v>1</v>
      </c>
      <c r="AF2331" s="6">
        <f ca="1">Main[[#This Row],[تعداد روزهای بدهکار سررسید شده (روز)]]*Main[[#This Row],[مانده در خط سررسید شده (کیلوگرم)]]</f>
        <v>3021</v>
      </c>
    </row>
    <row r="2332" spans="1:32" hidden="1" x14ac:dyDescent="0.35">
      <c r="A2332" s="5">
        <f>ROW()-ROW(INDEX(Main[ردیف],1))+1</f>
        <v>2330</v>
      </c>
      <c r="B2332" s="31">
        <f>SUBTOTAL(2,INDEX(Main[ردیف],1):Main[[#This Row],[ردیف]])</f>
        <v>213</v>
      </c>
      <c r="C2332" s="32" t="s">
        <v>793</v>
      </c>
      <c r="D2332" s="32" t="str">
        <f>_xlfn.CONCAT("14",Main[[#This Row],[تاريخ]])</f>
        <v>1400/09/08</v>
      </c>
      <c r="E2332" s="33">
        <v>44529</v>
      </c>
      <c r="F2332" s="32">
        <v>10020</v>
      </c>
      <c r="G2332" s="5" t="str">
        <f>INDEX(customer[عنوان],MATCH(Main[[#This Row],[کد ردیابی]],customer[کد],0))</f>
        <v>فرزاد اسماعیل زاده</v>
      </c>
      <c r="H2332">
        <v>-984</v>
      </c>
      <c r="I2332" s="6">
        <f ca="1">-Main[[#This Row],[بدهی تسویه شده (کیلوگرم)]]+Main[[#This Row],[بستانکار (کیلوگرم)]]</f>
        <v>0</v>
      </c>
      <c r="J2332" s="6">
        <f>IF(Main[[#This Row],[مقدار (کیلوگرم)]]&gt;0,Main[[#This Row],[مقدار (کیلوگرم)]],0)</f>
        <v>0</v>
      </c>
      <c r="K2332" s="6">
        <f>-IF(Main[[#This Row],[مقدار (کیلوگرم)]]&lt;0,Main[[#This Row],[مقدار (کیلوگرم)]],0)</f>
        <v>984</v>
      </c>
      <c r="L23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984</v>
      </c>
      <c r="M2332" s="7">
        <f>-IF(AND(Main[[#This Row],[مقدار (کیلوگرم)]]&lt;0,Main[[#This Row],[تاريخ میلادی]]&gt;44276),Main[[#This Row],[مقدار (کیلوگرم)]],0)</f>
        <v>984</v>
      </c>
      <c r="N2332" s="6">
        <f ca="1">Main[[#This Row],[بدهکار (کیلوگرم)]]-Main[[#This Row],[بدهی تسویه نشده (کیلوگرم)]]</f>
        <v>0</v>
      </c>
      <c r="O2332" s="6">
        <f ca="1">Main[[#This Row],[تفکیک]]</f>
        <v>984</v>
      </c>
      <c r="P2332" s="6">
        <f ca="1">IF(Main[[#This Row],[تاخیر از سررسید]]&gt;0,Main[[#This Row],[بدهی تسویه نشده (کیلوگرم)]],0)</f>
        <v>984</v>
      </c>
      <c r="Q2332" s="6">
        <f ca="1">IF(Main[[#This Row],[بدهی تسویه نشده (کیلوگرم)]]&gt;0,'گزارش فردی'!$B$7-Main[[#This Row],[تاريخ میلادی]],0)</f>
        <v>933.75374085648218</v>
      </c>
      <c r="R2332" s="6">
        <f ca="1">IF(Main[[#This Row],[بدهی تسویه نشده (کیلوگرم)]]&gt;0,'گزارش فردی'!$B$7-Main[[#This Row],[تاريخ میلادی]]-'گزارش فردی'!$B$8,0)</f>
        <v>918.75374085648218</v>
      </c>
      <c r="S2332" s="6">
        <f ca="1">Main[[#This Row],[روز از ارسال سفارش]]*Main[[#This Row],[بدهی تسویه نشده (کیلوگرم)]]</f>
        <v>918813.68100277847</v>
      </c>
      <c r="T2332" s="6">
        <f ca="1">Main[[#This Row],[بدهی سررسید شده (کیلوگرم)]]*Main[[#This Row],[روز از ارسال سفارش]]</f>
        <v>918813.68100277847</v>
      </c>
      <c r="U2332" s="6">
        <f>-SUBTOTAL(9,INDEX(Main[مقدار (کیلوگرم)],1):Main[[#This Row],[مقدار (کیلوگرم)]])</f>
        <v>30981</v>
      </c>
      <c r="V23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2" s="6">
        <f>Main[[#This Row],[تعداد کل روزهای بدهکار (روز)]]*Main[[#This Row],[مانده در خط کل (کیلوگرم)]]</f>
        <v>30981</v>
      </c>
      <c r="X2332" s="6">
        <f ca="1">-SUBTOTAL(9,INDEX(Main[مقدار تسویه شده (کیلوگرم)],1):Main[[#This Row],[مقدار تسویه شده (کیلوگرم)]])</f>
        <v>27960</v>
      </c>
      <c r="Y2332" s="6">
        <f ca="1">IF(Main[[#This Row],[مانده در خط تسویه شده (کیلوگرم)]]&lt;&gt;0,Main[[#This Row],[تعداد کل روزهای بدهکار (روز)]],0)</f>
        <v>1</v>
      </c>
      <c r="Z2332" s="6">
        <f ca="1">Main[[#This Row],[تعداد روزهای بدهکار تسویه شده (روز)]]*Main[[#This Row],[مانده در خط تسویه شده (کیلوگرم)]]</f>
        <v>27960</v>
      </c>
      <c r="AA2332" s="6">
        <f ca="1">SUBTOTAL(9,INDEX(Main[بدهی تسویه نشده (کیلوگرم)],1):Main[[#This Row],[بدهی تسویه نشده (کیلوگرم)]])</f>
        <v>3021</v>
      </c>
      <c r="AB2332" s="6">
        <f ca="1">IF(Main[[#This Row],[مانده در خط تسویه نشده (کیلوگرم)]]&lt;&gt;0,Main[[#This Row],[تعداد کل روزهای بدهکار (روز)]],0)</f>
        <v>1</v>
      </c>
      <c r="AC2332" s="6">
        <f ca="1">Main[[#This Row],[تعداد روزهای بدهکار  تسویه نشده (روز)]]*Main[[#This Row],[مانده در خط تسویه نشده (کیلوگرم)]]</f>
        <v>3021</v>
      </c>
      <c r="AD2332" s="6">
        <f ca="1">SUBTOTAL(9,INDEX(Main[بدهی سررسید شده (کیلوگرم)],1):Main[[#This Row],[بدهی سررسید شده (کیلوگرم)]])</f>
        <v>3021</v>
      </c>
      <c r="AE2332" s="6">
        <f ca="1">IF(Main[[#This Row],[مانده در خط سررسید شده (کیلوگرم)]]&lt;&gt;0,Main[[#This Row],[تعداد کل روزهای بدهکار (روز)]],0)</f>
        <v>1</v>
      </c>
      <c r="AF2332" s="6">
        <f ca="1">Main[[#This Row],[تعداد روزهای بدهکار سررسید شده (روز)]]*Main[[#This Row],[مانده در خط سررسید شده (کیلوگرم)]]</f>
        <v>3021</v>
      </c>
    </row>
    <row r="2333" spans="1:32" hidden="1" x14ac:dyDescent="0.35">
      <c r="A2333" s="5">
        <f>ROW()-ROW(INDEX(Main[ردیف],1))+1</f>
        <v>2331</v>
      </c>
      <c r="B2333" s="31">
        <f>SUBTOTAL(2,INDEX(Main[ردیف],1):Main[[#This Row],[ردیف]])</f>
        <v>213</v>
      </c>
      <c r="C2333" s="32" t="s">
        <v>793</v>
      </c>
      <c r="D2333" s="32" t="str">
        <f>_xlfn.CONCAT("14",Main[[#This Row],[تاريخ]])</f>
        <v>1400/09/08</v>
      </c>
      <c r="E2333" s="33">
        <v>44529</v>
      </c>
      <c r="F2333" s="32">
        <v>10026</v>
      </c>
      <c r="G2333" s="5" t="str">
        <f>INDEX(customer[عنوان],MATCH(Main[[#This Row],[کد ردیابی]],customer[کد],0))</f>
        <v xml:space="preserve">محسن فیاض بخش </v>
      </c>
      <c r="H2333">
        <v>-4234</v>
      </c>
      <c r="I2333" s="6">
        <f ca="1">-Main[[#This Row],[بدهی تسویه شده (کیلوگرم)]]+Main[[#This Row],[بستانکار (کیلوگرم)]]</f>
        <v>0</v>
      </c>
      <c r="J2333" s="6">
        <f>IF(Main[[#This Row],[مقدار (کیلوگرم)]]&gt;0,Main[[#This Row],[مقدار (کیلوگرم)]],0)</f>
        <v>0</v>
      </c>
      <c r="K2333" s="6">
        <f>-IF(Main[[#This Row],[مقدار (کیلوگرم)]]&lt;0,Main[[#This Row],[مقدار (کیلوگرم)]],0)</f>
        <v>4234</v>
      </c>
      <c r="L23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4234</v>
      </c>
      <c r="M2333" s="7">
        <f>-IF(AND(Main[[#This Row],[مقدار (کیلوگرم)]]&lt;0,Main[[#This Row],[تاريخ میلادی]]&gt;44276),Main[[#This Row],[مقدار (کیلوگرم)]],0)</f>
        <v>4234</v>
      </c>
      <c r="N2333" s="6">
        <f ca="1">Main[[#This Row],[بدهکار (کیلوگرم)]]-Main[[#This Row],[بدهی تسویه نشده (کیلوگرم)]]</f>
        <v>0</v>
      </c>
      <c r="O2333" s="6">
        <f ca="1">Main[[#This Row],[تفکیک]]</f>
        <v>4234</v>
      </c>
      <c r="P2333" s="6">
        <f ca="1">IF(Main[[#This Row],[تاخیر از سررسید]]&gt;0,Main[[#This Row],[بدهی تسویه نشده (کیلوگرم)]],0)</f>
        <v>4234</v>
      </c>
      <c r="Q2333" s="6">
        <f ca="1">IF(Main[[#This Row],[بدهی تسویه نشده (کیلوگرم)]]&gt;0,'گزارش فردی'!$B$7-Main[[#This Row],[تاريخ میلادی]],0)</f>
        <v>933.75374085648218</v>
      </c>
      <c r="R2333" s="6">
        <f ca="1">IF(Main[[#This Row],[بدهی تسویه نشده (کیلوگرم)]]&gt;0,'گزارش فردی'!$B$7-Main[[#This Row],[تاريخ میلادی]]-'گزارش فردی'!$B$8,0)</f>
        <v>918.75374085648218</v>
      </c>
      <c r="S2333" s="6">
        <f ca="1">Main[[#This Row],[روز از ارسال سفارش]]*Main[[#This Row],[بدهی تسویه نشده (کیلوگرم)]]</f>
        <v>3953513.3387863454</v>
      </c>
      <c r="T2333" s="6">
        <f ca="1">Main[[#This Row],[بدهی سررسید شده (کیلوگرم)]]*Main[[#This Row],[روز از ارسال سفارش]]</f>
        <v>3953513.3387863454</v>
      </c>
      <c r="U2333" s="6">
        <f>-SUBTOTAL(9,INDEX(Main[مقدار (کیلوگرم)],1):Main[[#This Row],[مقدار (کیلوگرم)]])</f>
        <v>30981</v>
      </c>
      <c r="V23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3" s="6">
        <f>Main[[#This Row],[تعداد کل روزهای بدهکار (روز)]]*Main[[#This Row],[مانده در خط کل (کیلوگرم)]]</f>
        <v>30981</v>
      </c>
      <c r="X2333" s="6">
        <f ca="1">-SUBTOTAL(9,INDEX(Main[مقدار تسویه شده (کیلوگرم)],1):Main[[#This Row],[مقدار تسویه شده (کیلوگرم)]])</f>
        <v>27960</v>
      </c>
      <c r="Y2333" s="6">
        <f ca="1">IF(Main[[#This Row],[مانده در خط تسویه شده (کیلوگرم)]]&lt;&gt;0,Main[[#This Row],[تعداد کل روزهای بدهکار (روز)]],0)</f>
        <v>1</v>
      </c>
      <c r="Z2333" s="6">
        <f ca="1">Main[[#This Row],[تعداد روزهای بدهکار تسویه شده (روز)]]*Main[[#This Row],[مانده در خط تسویه شده (کیلوگرم)]]</f>
        <v>27960</v>
      </c>
      <c r="AA2333" s="6">
        <f ca="1">SUBTOTAL(9,INDEX(Main[بدهی تسویه نشده (کیلوگرم)],1):Main[[#This Row],[بدهی تسویه نشده (کیلوگرم)]])</f>
        <v>3021</v>
      </c>
      <c r="AB2333" s="6">
        <f ca="1">IF(Main[[#This Row],[مانده در خط تسویه نشده (کیلوگرم)]]&lt;&gt;0,Main[[#This Row],[تعداد کل روزهای بدهکار (روز)]],0)</f>
        <v>1</v>
      </c>
      <c r="AC2333" s="6">
        <f ca="1">Main[[#This Row],[تعداد روزهای بدهکار  تسویه نشده (روز)]]*Main[[#This Row],[مانده در خط تسویه نشده (کیلوگرم)]]</f>
        <v>3021</v>
      </c>
      <c r="AD2333" s="6">
        <f ca="1">SUBTOTAL(9,INDEX(Main[بدهی سررسید شده (کیلوگرم)],1):Main[[#This Row],[بدهی سررسید شده (کیلوگرم)]])</f>
        <v>3021</v>
      </c>
      <c r="AE2333" s="6">
        <f ca="1">IF(Main[[#This Row],[مانده در خط سررسید شده (کیلوگرم)]]&lt;&gt;0,Main[[#This Row],[تعداد کل روزهای بدهکار (روز)]],0)</f>
        <v>1</v>
      </c>
      <c r="AF2333" s="6">
        <f ca="1">Main[[#This Row],[تعداد روزهای بدهکار سررسید شده (روز)]]*Main[[#This Row],[مانده در خط سررسید شده (کیلوگرم)]]</f>
        <v>3021</v>
      </c>
    </row>
    <row r="2334" spans="1:32" hidden="1" x14ac:dyDescent="0.35">
      <c r="A2334" s="5">
        <f>ROW()-ROW(INDEX(Main[ردیف],1))+1</f>
        <v>2332</v>
      </c>
      <c r="B2334" s="31">
        <f>SUBTOTAL(2,INDEX(Main[ردیف],1):Main[[#This Row],[ردیف]])</f>
        <v>213</v>
      </c>
      <c r="C2334" s="32" t="s">
        <v>793</v>
      </c>
      <c r="D2334" s="32" t="str">
        <f>_xlfn.CONCAT("14",Main[[#This Row],[تاريخ]])</f>
        <v>1400/09/08</v>
      </c>
      <c r="E2334" s="33">
        <v>44529</v>
      </c>
      <c r="F2334" s="32">
        <v>10104</v>
      </c>
      <c r="G2334" s="5" t="str">
        <f>INDEX(customer[عنوان],MATCH(Main[[#This Row],[کد ردیابی]],customer[کد],0))</f>
        <v>بهزادی فر اصغر</v>
      </c>
      <c r="H2334">
        <v>-274</v>
      </c>
      <c r="I2334" s="6">
        <f ca="1">-Main[[#This Row],[بدهی تسویه شده (کیلوگرم)]]+Main[[#This Row],[بستانکار (کیلوگرم)]]</f>
        <v>0</v>
      </c>
      <c r="J2334" s="6">
        <f>IF(Main[[#This Row],[مقدار (کیلوگرم)]]&gt;0,Main[[#This Row],[مقدار (کیلوگرم)]],0)</f>
        <v>0</v>
      </c>
      <c r="K2334" s="6">
        <f>-IF(Main[[#This Row],[مقدار (کیلوگرم)]]&lt;0,Main[[#This Row],[مقدار (کیلوگرم)]],0)</f>
        <v>274</v>
      </c>
      <c r="L23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274</v>
      </c>
      <c r="M2334" s="7">
        <f>-IF(AND(Main[[#This Row],[مقدار (کیلوگرم)]]&lt;0,Main[[#This Row],[تاريخ میلادی]]&gt;44276),Main[[#This Row],[مقدار (کیلوگرم)]],0)</f>
        <v>274</v>
      </c>
      <c r="N2334" s="6">
        <f ca="1">Main[[#This Row],[بدهکار (کیلوگرم)]]-Main[[#This Row],[بدهی تسویه نشده (کیلوگرم)]]</f>
        <v>0</v>
      </c>
      <c r="O2334" s="6">
        <f ca="1">Main[[#This Row],[تفکیک]]</f>
        <v>274</v>
      </c>
      <c r="P2334" s="6">
        <f ca="1">IF(Main[[#This Row],[تاخیر از سررسید]]&gt;0,Main[[#This Row],[بدهی تسویه نشده (کیلوگرم)]],0)</f>
        <v>274</v>
      </c>
      <c r="Q2334" s="6">
        <f ca="1">IF(Main[[#This Row],[بدهی تسویه نشده (کیلوگرم)]]&gt;0,'گزارش فردی'!$B$7-Main[[#This Row],[تاريخ میلادی]],0)</f>
        <v>933.75374085648218</v>
      </c>
      <c r="R2334" s="6">
        <f ca="1">IF(Main[[#This Row],[بدهی تسویه نشده (کیلوگرم)]]&gt;0,'گزارش فردی'!$B$7-Main[[#This Row],[تاريخ میلادی]]-'گزارش فردی'!$B$8,0)</f>
        <v>918.75374085648218</v>
      </c>
      <c r="S2334" s="6">
        <f ca="1">Main[[#This Row],[روز از ارسال سفارش]]*Main[[#This Row],[بدهی تسویه نشده (کیلوگرم)]]</f>
        <v>255848.52499467612</v>
      </c>
      <c r="T2334" s="6">
        <f ca="1">Main[[#This Row],[بدهی سررسید شده (کیلوگرم)]]*Main[[#This Row],[روز از ارسال سفارش]]</f>
        <v>255848.52499467612</v>
      </c>
      <c r="U2334" s="6">
        <f>-SUBTOTAL(9,INDEX(Main[مقدار (کیلوگرم)],1):Main[[#This Row],[مقدار (کیلوگرم)]])</f>
        <v>30981</v>
      </c>
      <c r="V23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4" s="6">
        <f>Main[[#This Row],[تعداد کل روزهای بدهکار (روز)]]*Main[[#This Row],[مانده در خط کل (کیلوگرم)]]</f>
        <v>30981</v>
      </c>
      <c r="X2334" s="6">
        <f ca="1">-SUBTOTAL(9,INDEX(Main[مقدار تسویه شده (کیلوگرم)],1):Main[[#This Row],[مقدار تسویه شده (کیلوگرم)]])</f>
        <v>27960</v>
      </c>
      <c r="Y2334" s="6">
        <f ca="1">IF(Main[[#This Row],[مانده در خط تسویه شده (کیلوگرم)]]&lt;&gt;0,Main[[#This Row],[تعداد کل روزهای بدهکار (روز)]],0)</f>
        <v>1</v>
      </c>
      <c r="Z2334" s="6">
        <f ca="1">Main[[#This Row],[تعداد روزهای بدهکار تسویه شده (روز)]]*Main[[#This Row],[مانده در خط تسویه شده (کیلوگرم)]]</f>
        <v>27960</v>
      </c>
      <c r="AA2334" s="6">
        <f ca="1">SUBTOTAL(9,INDEX(Main[بدهی تسویه نشده (کیلوگرم)],1):Main[[#This Row],[بدهی تسویه نشده (کیلوگرم)]])</f>
        <v>3021</v>
      </c>
      <c r="AB2334" s="6">
        <f ca="1">IF(Main[[#This Row],[مانده در خط تسویه نشده (کیلوگرم)]]&lt;&gt;0,Main[[#This Row],[تعداد کل روزهای بدهکار (روز)]],0)</f>
        <v>1</v>
      </c>
      <c r="AC2334" s="6">
        <f ca="1">Main[[#This Row],[تعداد روزهای بدهکار  تسویه نشده (روز)]]*Main[[#This Row],[مانده در خط تسویه نشده (کیلوگرم)]]</f>
        <v>3021</v>
      </c>
      <c r="AD2334" s="6">
        <f ca="1">SUBTOTAL(9,INDEX(Main[بدهی سررسید شده (کیلوگرم)],1):Main[[#This Row],[بدهی سررسید شده (کیلوگرم)]])</f>
        <v>3021</v>
      </c>
      <c r="AE2334" s="6">
        <f ca="1">IF(Main[[#This Row],[مانده در خط سررسید شده (کیلوگرم)]]&lt;&gt;0,Main[[#This Row],[تعداد کل روزهای بدهکار (روز)]],0)</f>
        <v>1</v>
      </c>
      <c r="AF2334" s="6">
        <f ca="1">Main[[#This Row],[تعداد روزهای بدهکار سررسید شده (روز)]]*Main[[#This Row],[مانده در خط سررسید شده (کیلوگرم)]]</f>
        <v>3021</v>
      </c>
    </row>
    <row r="2335" spans="1:32" hidden="1" x14ac:dyDescent="0.35">
      <c r="A2335" s="5">
        <f>ROW()-ROW(INDEX(Main[ردیف],1))+1</f>
        <v>2333</v>
      </c>
      <c r="B2335" s="31">
        <f>SUBTOTAL(2,INDEX(Main[ردیف],1):Main[[#This Row],[ردیف]])</f>
        <v>213</v>
      </c>
      <c r="C2335" s="32" t="s">
        <v>794</v>
      </c>
      <c r="D2335" s="32" t="str">
        <f>_xlfn.CONCAT("14",Main[[#This Row],[تاريخ]])</f>
        <v>1400/09/09</v>
      </c>
      <c r="E2335" s="33">
        <v>44530</v>
      </c>
      <c r="F2335" s="32">
        <v>30026</v>
      </c>
      <c r="G2335" s="5" t="str">
        <f>INDEX(customer[عنوان],MATCH(Main[[#This Row],[کد ردیابی]],customer[کد],0))</f>
        <v>آبکامه</v>
      </c>
      <c r="H2335">
        <v>14</v>
      </c>
      <c r="I2335" s="6">
        <f ca="1">-Main[[#This Row],[بدهی تسویه شده (کیلوگرم)]]+Main[[#This Row],[بستانکار (کیلوگرم)]]</f>
        <v>14</v>
      </c>
      <c r="J2335" s="6">
        <f>IF(Main[[#This Row],[مقدار (کیلوگرم)]]&gt;0,Main[[#This Row],[مقدار (کیلوگرم)]],0)</f>
        <v>14</v>
      </c>
      <c r="K2335" s="6">
        <f>-IF(Main[[#This Row],[مقدار (کیلوگرم)]]&lt;0,Main[[#This Row],[مقدار (کیلوگرم)]],0)</f>
        <v>0</v>
      </c>
      <c r="L23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5" s="7">
        <f>-IF(AND(Main[[#This Row],[مقدار (کیلوگرم)]]&lt;0,Main[[#This Row],[تاريخ میلادی]]&gt;44276),Main[[#This Row],[مقدار (کیلوگرم)]],0)</f>
        <v>0</v>
      </c>
      <c r="N2335" s="6">
        <f ca="1">Main[[#This Row],[بدهکار (کیلوگرم)]]-Main[[#This Row],[بدهی تسویه نشده (کیلوگرم)]]</f>
        <v>0</v>
      </c>
      <c r="O2335" s="6">
        <f ca="1">Main[[#This Row],[تفکیک]]</f>
        <v>0</v>
      </c>
      <c r="P2335" s="6">
        <f ca="1">IF(Main[[#This Row],[تاخیر از سررسید]]&gt;0,Main[[#This Row],[بدهی تسویه نشده (کیلوگرم)]],0)</f>
        <v>0</v>
      </c>
      <c r="Q2335" s="6">
        <f ca="1">IF(Main[[#This Row],[بدهی تسویه نشده (کیلوگرم)]]&gt;0,'گزارش فردی'!$B$7-Main[[#This Row],[تاريخ میلادی]],0)</f>
        <v>0</v>
      </c>
      <c r="R2335" s="6">
        <f ca="1">IF(Main[[#This Row],[بدهی تسویه نشده (کیلوگرم)]]&gt;0,'گزارش فردی'!$B$7-Main[[#This Row],[تاريخ میلادی]]-'گزارش فردی'!$B$8,0)</f>
        <v>0</v>
      </c>
      <c r="S2335" s="6">
        <f ca="1">Main[[#This Row],[روز از ارسال سفارش]]*Main[[#This Row],[بدهی تسویه نشده (کیلوگرم)]]</f>
        <v>0</v>
      </c>
      <c r="T2335" s="6">
        <f ca="1">Main[[#This Row],[بدهی سررسید شده (کیلوگرم)]]*Main[[#This Row],[روز از ارسال سفارش]]</f>
        <v>0</v>
      </c>
      <c r="U2335" s="6">
        <f>-SUBTOTAL(9,INDEX(Main[مقدار (کیلوگرم)],1):Main[[#This Row],[مقدار (کیلوگرم)]])</f>
        <v>30981</v>
      </c>
      <c r="V23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5" s="6">
        <f>Main[[#This Row],[تعداد کل روزهای بدهکار (روز)]]*Main[[#This Row],[مانده در خط کل (کیلوگرم)]]</f>
        <v>0</v>
      </c>
      <c r="X2335" s="6">
        <f ca="1">-SUBTOTAL(9,INDEX(Main[مقدار تسویه شده (کیلوگرم)],1):Main[[#This Row],[مقدار تسویه شده (کیلوگرم)]])</f>
        <v>27960</v>
      </c>
      <c r="Y2335" s="6">
        <f ca="1">IF(Main[[#This Row],[مانده در خط تسویه شده (کیلوگرم)]]&lt;&gt;0,Main[[#This Row],[تعداد کل روزهای بدهکار (روز)]],0)</f>
        <v>0</v>
      </c>
      <c r="Z2335" s="6">
        <f ca="1">Main[[#This Row],[تعداد روزهای بدهکار تسویه شده (روز)]]*Main[[#This Row],[مانده در خط تسویه شده (کیلوگرم)]]</f>
        <v>0</v>
      </c>
      <c r="AA2335" s="6">
        <f ca="1">SUBTOTAL(9,INDEX(Main[بدهی تسویه نشده (کیلوگرم)],1):Main[[#This Row],[بدهی تسویه نشده (کیلوگرم)]])</f>
        <v>3021</v>
      </c>
      <c r="AB2335" s="6">
        <f ca="1">IF(Main[[#This Row],[مانده در خط تسویه نشده (کیلوگرم)]]&lt;&gt;0,Main[[#This Row],[تعداد کل روزهای بدهکار (روز)]],0)</f>
        <v>0</v>
      </c>
      <c r="AC2335" s="6">
        <f ca="1">Main[[#This Row],[تعداد روزهای بدهکار  تسویه نشده (روز)]]*Main[[#This Row],[مانده در خط تسویه نشده (کیلوگرم)]]</f>
        <v>0</v>
      </c>
      <c r="AD2335" s="6">
        <f ca="1">SUBTOTAL(9,INDEX(Main[بدهی سررسید شده (کیلوگرم)],1):Main[[#This Row],[بدهی سررسید شده (کیلوگرم)]])</f>
        <v>3021</v>
      </c>
      <c r="AE2335" s="6">
        <f ca="1">IF(Main[[#This Row],[مانده در خط سررسید شده (کیلوگرم)]]&lt;&gt;0,Main[[#This Row],[تعداد کل روزهای بدهکار (روز)]],0)</f>
        <v>0</v>
      </c>
      <c r="AF2335" s="6">
        <f ca="1">Main[[#This Row],[تعداد روزهای بدهکار سررسید شده (روز)]]*Main[[#This Row],[مانده در خط سررسید شده (کیلوگرم)]]</f>
        <v>0</v>
      </c>
    </row>
    <row r="2336" spans="1:32" hidden="1" x14ac:dyDescent="0.35">
      <c r="A2336" s="5">
        <f>ROW()-ROW(INDEX(Main[ردیف],1))+1</f>
        <v>2334</v>
      </c>
      <c r="B2336" s="31">
        <f>SUBTOTAL(2,INDEX(Main[ردیف],1):Main[[#This Row],[ردیف]])</f>
        <v>213</v>
      </c>
      <c r="C2336" s="32" t="s">
        <v>794</v>
      </c>
      <c r="D2336" s="32" t="str">
        <f>_xlfn.CONCAT("14",Main[[#This Row],[تاريخ]])</f>
        <v>1400/09/09</v>
      </c>
      <c r="E2336" s="33">
        <v>44530</v>
      </c>
      <c r="F2336" s="32">
        <v>30012</v>
      </c>
      <c r="G2336" s="5" t="str">
        <f>INDEX(customer[عنوان],MATCH(Main[[#This Row],[کد ردیابی]],customer[کد],0))</f>
        <v xml:space="preserve">پارس قفل </v>
      </c>
      <c r="H2336">
        <v>-1844</v>
      </c>
      <c r="I2336" s="6">
        <f ca="1">-Main[[#This Row],[بدهی تسویه شده (کیلوگرم)]]+Main[[#This Row],[بستانکار (کیلوگرم)]]</f>
        <v>0</v>
      </c>
      <c r="J2336" s="6">
        <f>IF(Main[[#This Row],[مقدار (کیلوگرم)]]&gt;0,Main[[#This Row],[مقدار (کیلوگرم)]],0)</f>
        <v>0</v>
      </c>
      <c r="K2336" s="6">
        <f>-IF(Main[[#This Row],[مقدار (کیلوگرم)]]&lt;0,Main[[#This Row],[مقدار (کیلوگرم)]],0)</f>
        <v>1844</v>
      </c>
      <c r="L23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1844</v>
      </c>
      <c r="M2336" s="7">
        <f>-IF(AND(Main[[#This Row],[مقدار (کیلوگرم)]]&lt;0,Main[[#This Row],[تاريخ میلادی]]&gt;44276),Main[[#This Row],[مقدار (کیلوگرم)]],0)</f>
        <v>1844</v>
      </c>
      <c r="N2336" s="6">
        <f ca="1">Main[[#This Row],[بدهکار (کیلوگرم)]]-Main[[#This Row],[بدهی تسویه نشده (کیلوگرم)]]</f>
        <v>0</v>
      </c>
      <c r="O2336" s="6">
        <f ca="1">Main[[#This Row],[تفکیک]]</f>
        <v>1844</v>
      </c>
      <c r="P2336" s="6">
        <f ca="1">IF(Main[[#This Row],[تاخیر از سررسید]]&gt;0,Main[[#This Row],[بدهی تسویه نشده (کیلوگرم)]],0)</f>
        <v>1844</v>
      </c>
      <c r="Q2336" s="6">
        <f ca="1">IF(Main[[#This Row],[بدهی تسویه نشده (کیلوگرم)]]&gt;0,'گزارش فردی'!$B$7-Main[[#This Row],[تاريخ میلادی]],0)</f>
        <v>932.75374085648218</v>
      </c>
      <c r="R2336" s="6">
        <f ca="1">IF(Main[[#This Row],[بدهی تسویه نشده (کیلوگرم)]]&gt;0,'گزارش فردی'!$B$7-Main[[#This Row],[تاريخ میلادی]]-'گزارش فردی'!$B$8,0)</f>
        <v>917.75374085648218</v>
      </c>
      <c r="S2336" s="6">
        <f ca="1">Main[[#This Row],[روز از ارسال سفارش]]*Main[[#This Row],[بدهی تسویه نشده (کیلوگرم)]]</f>
        <v>1719997.8981393531</v>
      </c>
      <c r="T2336" s="6">
        <f ca="1">Main[[#This Row],[بدهی سررسید شده (کیلوگرم)]]*Main[[#This Row],[روز از ارسال سفارش]]</f>
        <v>1719997.8981393531</v>
      </c>
      <c r="U2336" s="6">
        <f>-SUBTOTAL(9,INDEX(Main[مقدار (کیلوگرم)],1):Main[[#This Row],[مقدار (کیلوگرم)]])</f>
        <v>30981</v>
      </c>
      <c r="V23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6" s="6">
        <f>Main[[#This Row],[تعداد کل روزهای بدهکار (روز)]]*Main[[#This Row],[مانده در خط کل (کیلوگرم)]]</f>
        <v>0</v>
      </c>
      <c r="X2336" s="6">
        <f ca="1">-SUBTOTAL(9,INDEX(Main[مقدار تسویه شده (کیلوگرم)],1):Main[[#This Row],[مقدار تسویه شده (کیلوگرم)]])</f>
        <v>27960</v>
      </c>
      <c r="Y2336" s="6">
        <f ca="1">IF(Main[[#This Row],[مانده در خط تسویه شده (کیلوگرم)]]&lt;&gt;0,Main[[#This Row],[تعداد کل روزهای بدهکار (روز)]],0)</f>
        <v>0</v>
      </c>
      <c r="Z2336" s="6">
        <f ca="1">Main[[#This Row],[تعداد روزهای بدهکار تسویه شده (روز)]]*Main[[#This Row],[مانده در خط تسویه شده (کیلوگرم)]]</f>
        <v>0</v>
      </c>
      <c r="AA2336" s="6">
        <f ca="1">SUBTOTAL(9,INDEX(Main[بدهی تسویه نشده (کیلوگرم)],1):Main[[#This Row],[بدهی تسویه نشده (کیلوگرم)]])</f>
        <v>3021</v>
      </c>
      <c r="AB2336" s="6">
        <f ca="1">IF(Main[[#This Row],[مانده در خط تسویه نشده (کیلوگرم)]]&lt;&gt;0,Main[[#This Row],[تعداد کل روزهای بدهکار (روز)]],0)</f>
        <v>0</v>
      </c>
      <c r="AC2336" s="6">
        <f ca="1">Main[[#This Row],[تعداد روزهای بدهکار  تسویه نشده (روز)]]*Main[[#This Row],[مانده در خط تسویه نشده (کیلوگرم)]]</f>
        <v>0</v>
      </c>
      <c r="AD2336" s="6">
        <f ca="1">SUBTOTAL(9,INDEX(Main[بدهی سررسید شده (کیلوگرم)],1):Main[[#This Row],[بدهی سررسید شده (کیلوگرم)]])</f>
        <v>3021</v>
      </c>
      <c r="AE2336" s="6">
        <f ca="1">IF(Main[[#This Row],[مانده در خط سررسید شده (کیلوگرم)]]&lt;&gt;0,Main[[#This Row],[تعداد کل روزهای بدهکار (روز)]],0)</f>
        <v>0</v>
      </c>
      <c r="AF2336" s="6">
        <f ca="1">Main[[#This Row],[تعداد روزهای بدهکار سررسید شده (روز)]]*Main[[#This Row],[مانده در خط سررسید شده (کیلوگرم)]]</f>
        <v>0</v>
      </c>
    </row>
    <row r="2337" spans="1:32" hidden="1" x14ac:dyDescent="0.35">
      <c r="A2337" s="5">
        <f>ROW()-ROW(INDEX(Main[ردیف],1))+1</f>
        <v>2335</v>
      </c>
      <c r="B2337" s="31">
        <f>SUBTOTAL(2,INDEX(Main[ردیف],1):Main[[#This Row],[ردیف]])</f>
        <v>213</v>
      </c>
      <c r="C2337" s="32" t="s">
        <v>794</v>
      </c>
      <c r="D2337" s="32" t="str">
        <f>_xlfn.CONCAT("14",Main[[#This Row],[تاريخ]])</f>
        <v>1400/09/09</v>
      </c>
      <c r="E2337" s="33">
        <v>44530</v>
      </c>
      <c r="F2337" s="32">
        <v>30026</v>
      </c>
      <c r="G2337" s="5" t="str">
        <f>INDEX(customer[عنوان],MATCH(Main[[#This Row],[کد ردیابی]],customer[کد],0))</f>
        <v>آبکامه</v>
      </c>
      <c r="H2337">
        <v>7</v>
      </c>
      <c r="I2337" s="6">
        <f ca="1">-Main[[#This Row],[بدهی تسویه شده (کیلوگرم)]]+Main[[#This Row],[بستانکار (کیلوگرم)]]</f>
        <v>7</v>
      </c>
      <c r="J2337" s="6">
        <f>IF(Main[[#This Row],[مقدار (کیلوگرم)]]&gt;0,Main[[#This Row],[مقدار (کیلوگرم)]],0)</f>
        <v>7</v>
      </c>
      <c r="K2337" s="6">
        <f>-IF(Main[[#This Row],[مقدار (کیلوگرم)]]&lt;0,Main[[#This Row],[مقدار (کیلوگرم)]],0)</f>
        <v>0</v>
      </c>
      <c r="L23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7" s="7">
        <f>-IF(AND(Main[[#This Row],[مقدار (کیلوگرم)]]&lt;0,Main[[#This Row],[تاريخ میلادی]]&gt;44276),Main[[#This Row],[مقدار (کیلوگرم)]],0)</f>
        <v>0</v>
      </c>
      <c r="N2337" s="6">
        <f ca="1">Main[[#This Row],[بدهکار (کیلوگرم)]]-Main[[#This Row],[بدهی تسویه نشده (کیلوگرم)]]</f>
        <v>0</v>
      </c>
      <c r="O2337" s="6">
        <f ca="1">Main[[#This Row],[تفکیک]]</f>
        <v>0</v>
      </c>
      <c r="P2337" s="6">
        <f ca="1">IF(Main[[#This Row],[تاخیر از سررسید]]&gt;0,Main[[#This Row],[بدهی تسویه نشده (کیلوگرم)]],0)</f>
        <v>0</v>
      </c>
      <c r="Q2337" s="6">
        <f ca="1">IF(Main[[#This Row],[بدهی تسویه نشده (کیلوگرم)]]&gt;0,'گزارش فردی'!$B$7-Main[[#This Row],[تاريخ میلادی]],0)</f>
        <v>0</v>
      </c>
      <c r="R2337" s="6">
        <f ca="1">IF(Main[[#This Row],[بدهی تسویه نشده (کیلوگرم)]]&gt;0,'گزارش فردی'!$B$7-Main[[#This Row],[تاريخ میلادی]]-'گزارش فردی'!$B$8,0)</f>
        <v>0</v>
      </c>
      <c r="S2337" s="6">
        <f ca="1">Main[[#This Row],[روز از ارسال سفارش]]*Main[[#This Row],[بدهی تسویه نشده (کیلوگرم)]]</f>
        <v>0</v>
      </c>
      <c r="T2337" s="6">
        <f ca="1">Main[[#This Row],[بدهی سررسید شده (کیلوگرم)]]*Main[[#This Row],[روز از ارسال سفارش]]</f>
        <v>0</v>
      </c>
      <c r="U2337" s="6">
        <f>-SUBTOTAL(9,INDEX(Main[مقدار (کیلوگرم)],1):Main[[#This Row],[مقدار (کیلوگرم)]])</f>
        <v>30981</v>
      </c>
      <c r="V23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7" s="6">
        <f>Main[[#This Row],[تعداد کل روزهای بدهکار (روز)]]*Main[[#This Row],[مانده در خط کل (کیلوگرم)]]</f>
        <v>0</v>
      </c>
      <c r="X2337" s="6">
        <f ca="1">-SUBTOTAL(9,INDEX(Main[مقدار تسویه شده (کیلوگرم)],1):Main[[#This Row],[مقدار تسویه شده (کیلوگرم)]])</f>
        <v>27960</v>
      </c>
      <c r="Y2337" s="6">
        <f ca="1">IF(Main[[#This Row],[مانده در خط تسویه شده (کیلوگرم)]]&lt;&gt;0,Main[[#This Row],[تعداد کل روزهای بدهکار (روز)]],0)</f>
        <v>0</v>
      </c>
      <c r="Z2337" s="6">
        <f ca="1">Main[[#This Row],[تعداد روزهای بدهکار تسویه شده (روز)]]*Main[[#This Row],[مانده در خط تسویه شده (کیلوگرم)]]</f>
        <v>0</v>
      </c>
      <c r="AA2337" s="6">
        <f ca="1">SUBTOTAL(9,INDEX(Main[بدهی تسویه نشده (کیلوگرم)],1):Main[[#This Row],[بدهی تسویه نشده (کیلوگرم)]])</f>
        <v>3021</v>
      </c>
      <c r="AB2337" s="6">
        <f ca="1">IF(Main[[#This Row],[مانده در خط تسویه نشده (کیلوگرم)]]&lt;&gt;0,Main[[#This Row],[تعداد کل روزهای بدهکار (روز)]],0)</f>
        <v>0</v>
      </c>
      <c r="AC2337" s="6">
        <f ca="1">Main[[#This Row],[تعداد روزهای بدهکار  تسویه نشده (روز)]]*Main[[#This Row],[مانده در خط تسویه نشده (کیلوگرم)]]</f>
        <v>0</v>
      </c>
      <c r="AD2337" s="6">
        <f ca="1">SUBTOTAL(9,INDEX(Main[بدهی سررسید شده (کیلوگرم)],1):Main[[#This Row],[بدهی سررسید شده (کیلوگرم)]])</f>
        <v>3021</v>
      </c>
      <c r="AE2337" s="6">
        <f ca="1">IF(Main[[#This Row],[مانده در خط سررسید شده (کیلوگرم)]]&lt;&gt;0,Main[[#This Row],[تعداد کل روزهای بدهکار (روز)]],0)</f>
        <v>0</v>
      </c>
      <c r="AF2337" s="6">
        <f ca="1">Main[[#This Row],[تعداد روزهای بدهکار سررسید شده (روز)]]*Main[[#This Row],[مانده در خط سررسید شده (کیلوگرم)]]</f>
        <v>0</v>
      </c>
    </row>
    <row r="2338" spans="1:32" hidden="1" x14ac:dyDescent="0.35">
      <c r="A2338" s="5">
        <f>ROW()-ROW(INDEX(Main[ردیف],1))+1</f>
        <v>2336</v>
      </c>
      <c r="B2338" s="31">
        <f>SUBTOTAL(2,INDEX(Main[ردیف],1):Main[[#This Row],[ردیف]])</f>
        <v>213</v>
      </c>
      <c r="C2338" s="32" t="s">
        <v>794</v>
      </c>
      <c r="D2338" s="32" t="str">
        <f>_xlfn.CONCAT("14",Main[[#This Row],[تاريخ]])</f>
        <v>1400/09/09</v>
      </c>
      <c r="E2338" s="33">
        <v>44530</v>
      </c>
      <c r="F2338" s="32">
        <v>30026</v>
      </c>
      <c r="G2338" s="5" t="str">
        <f>INDEX(customer[عنوان],MATCH(Main[[#This Row],[کد ردیابی]],customer[کد],0))</f>
        <v>آبکامه</v>
      </c>
      <c r="H2338">
        <v>-35</v>
      </c>
      <c r="I2338" s="6">
        <f ca="1">-Main[[#This Row],[بدهی تسویه شده (کیلوگرم)]]+Main[[#This Row],[بستانکار (کیلوگرم)]]</f>
        <v>0</v>
      </c>
      <c r="J2338" s="6">
        <f>IF(Main[[#This Row],[مقدار (کیلوگرم)]]&gt;0,Main[[#This Row],[مقدار (کیلوگرم)]],0)</f>
        <v>0</v>
      </c>
      <c r="K2338" s="6">
        <f>-IF(Main[[#This Row],[مقدار (کیلوگرم)]]&lt;0,Main[[#This Row],[مقدار (کیلوگرم)]],0)</f>
        <v>35</v>
      </c>
      <c r="L23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35</v>
      </c>
      <c r="M2338" s="7">
        <f>-IF(AND(Main[[#This Row],[مقدار (کیلوگرم)]]&lt;0,Main[[#This Row],[تاريخ میلادی]]&gt;44276),Main[[#This Row],[مقدار (کیلوگرم)]],0)</f>
        <v>35</v>
      </c>
      <c r="N2338" s="6">
        <f ca="1">Main[[#This Row],[بدهکار (کیلوگرم)]]-Main[[#This Row],[بدهی تسویه نشده (کیلوگرم)]]</f>
        <v>0</v>
      </c>
      <c r="O2338" s="6">
        <f ca="1">Main[[#This Row],[تفکیک]]</f>
        <v>35</v>
      </c>
      <c r="P2338" s="6">
        <f ca="1">IF(Main[[#This Row],[تاخیر از سررسید]]&gt;0,Main[[#This Row],[بدهی تسویه نشده (کیلوگرم)]],0)</f>
        <v>35</v>
      </c>
      <c r="Q2338" s="6">
        <f ca="1">IF(Main[[#This Row],[بدهی تسویه نشده (کیلوگرم)]]&gt;0,'گزارش فردی'!$B$7-Main[[#This Row],[تاريخ میلادی]],0)</f>
        <v>932.75374085648218</v>
      </c>
      <c r="R2338" s="6">
        <f ca="1">IF(Main[[#This Row],[بدهی تسویه نشده (کیلوگرم)]]&gt;0,'گزارش فردی'!$B$7-Main[[#This Row],[تاريخ میلادی]]-'گزارش فردی'!$B$8,0)</f>
        <v>917.75374085648218</v>
      </c>
      <c r="S2338" s="6">
        <f ca="1">Main[[#This Row],[روز از ارسال سفارش]]*Main[[#This Row],[بدهی تسویه نشده (کیلوگرم)]]</f>
        <v>32646.380929976876</v>
      </c>
      <c r="T2338" s="6">
        <f ca="1">Main[[#This Row],[بدهی سررسید شده (کیلوگرم)]]*Main[[#This Row],[روز از ارسال سفارش]]</f>
        <v>32646.380929976876</v>
      </c>
      <c r="U2338" s="6">
        <f>-SUBTOTAL(9,INDEX(Main[مقدار (کیلوگرم)],1):Main[[#This Row],[مقدار (کیلوگرم)]])</f>
        <v>30981</v>
      </c>
      <c r="V23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8" s="6">
        <f>Main[[#This Row],[تعداد کل روزهای بدهکار (روز)]]*Main[[#This Row],[مانده در خط کل (کیلوگرم)]]</f>
        <v>0</v>
      </c>
      <c r="X2338" s="6">
        <f ca="1">-SUBTOTAL(9,INDEX(Main[مقدار تسویه شده (کیلوگرم)],1):Main[[#This Row],[مقدار تسویه شده (کیلوگرم)]])</f>
        <v>27960</v>
      </c>
      <c r="Y2338" s="6">
        <f ca="1">IF(Main[[#This Row],[مانده در خط تسویه شده (کیلوگرم)]]&lt;&gt;0,Main[[#This Row],[تعداد کل روزهای بدهکار (روز)]],0)</f>
        <v>0</v>
      </c>
      <c r="Z2338" s="6">
        <f ca="1">Main[[#This Row],[تعداد روزهای بدهکار تسویه شده (روز)]]*Main[[#This Row],[مانده در خط تسویه شده (کیلوگرم)]]</f>
        <v>0</v>
      </c>
      <c r="AA2338" s="6">
        <f ca="1">SUBTOTAL(9,INDEX(Main[بدهی تسویه نشده (کیلوگرم)],1):Main[[#This Row],[بدهی تسویه نشده (کیلوگرم)]])</f>
        <v>3021</v>
      </c>
      <c r="AB2338" s="6">
        <f ca="1">IF(Main[[#This Row],[مانده در خط تسویه نشده (کیلوگرم)]]&lt;&gt;0,Main[[#This Row],[تعداد کل روزهای بدهکار (روز)]],0)</f>
        <v>0</v>
      </c>
      <c r="AC2338" s="6">
        <f ca="1">Main[[#This Row],[تعداد روزهای بدهکار  تسویه نشده (روز)]]*Main[[#This Row],[مانده در خط تسویه نشده (کیلوگرم)]]</f>
        <v>0</v>
      </c>
      <c r="AD2338" s="6">
        <f ca="1">SUBTOTAL(9,INDEX(Main[بدهی سررسید شده (کیلوگرم)],1):Main[[#This Row],[بدهی سررسید شده (کیلوگرم)]])</f>
        <v>3021</v>
      </c>
      <c r="AE2338" s="6">
        <f ca="1">IF(Main[[#This Row],[مانده در خط سررسید شده (کیلوگرم)]]&lt;&gt;0,Main[[#This Row],[تعداد کل روزهای بدهکار (روز)]],0)</f>
        <v>0</v>
      </c>
      <c r="AF2338" s="6">
        <f ca="1">Main[[#This Row],[تعداد روزهای بدهکار سررسید شده (روز)]]*Main[[#This Row],[مانده در خط سررسید شده (کیلوگرم)]]</f>
        <v>0</v>
      </c>
    </row>
    <row r="2339" spans="1:32" hidden="1" x14ac:dyDescent="0.35">
      <c r="A2339" s="5">
        <f>ROW()-ROW(INDEX(Main[ردیف],1))+1</f>
        <v>2337</v>
      </c>
      <c r="B2339" s="31">
        <f>SUBTOTAL(2,INDEX(Main[ردیف],1):Main[[#This Row],[ردیف]])</f>
        <v>213</v>
      </c>
      <c r="C2339" s="32" t="s">
        <v>794</v>
      </c>
      <c r="D2339" s="32" t="str">
        <f>_xlfn.CONCAT("14",Main[[#This Row],[تاريخ]])</f>
        <v>1400/09/09</v>
      </c>
      <c r="E2339" s="33">
        <v>44530</v>
      </c>
      <c r="F2339" s="32">
        <v>10084</v>
      </c>
      <c r="G2339" s="5" t="str">
        <f>INDEX(customer[عنوان],MATCH(Main[[#This Row],[کد ردیابی]],customer[کد],0))</f>
        <v xml:space="preserve">سیدحمید کاظمی </v>
      </c>
      <c r="H2339">
        <v>964</v>
      </c>
      <c r="I2339" s="6">
        <f ca="1">-Main[[#This Row],[بدهی تسویه شده (کیلوگرم)]]+Main[[#This Row],[بستانکار (کیلوگرم)]]</f>
        <v>964</v>
      </c>
      <c r="J2339" s="6">
        <f>IF(Main[[#This Row],[مقدار (کیلوگرم)]]&gt;0,Main[[#This Row],[مقدار (کیلوگرم)]],0)</f>
        <v>964</v>
      </c>
      <c r="K2339" s="6">
        <f>-IF(Main[[#This Row],[مقدار (کیلوگرم)]]&lt;0,Main[[#This Row],[مقدار (کیلوگرم)]],0)</f>
        <v>0</v>
      </c>
      <c r="L23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9" s="7">
        <f>-IF(AND(Main[[#This Row],[مقدار (کیلوگرم)]]&lt;0,Main[[#This Row],[تاريخ میلادی]]&gt;44276),Main[[#This Row],[مقدار (کیلوگرم)]],0)</f>
        <v>0</v>
      </c>
      <c r="N2339" s="6">
        <f ca="1">Main[[#This Row],[بدهکار (کیلوگرم)]]-Main[[#This Row],[بدهی تسویه نشده (کیلوگرم)]]</f>
        <v>0</v>
      </c>
      <c r="O2339" s="6">
        <f ca="1">Main[[#This Row],[تفکیک]]</f>
        <v>0</v>
      </c>
      <c r="P2339" s="6">
        <f ca="1">IF(Main[[#This Row],[تاخیر از سررسید]]&gt;0,Main[[#This Row],[بدهی تسویه نشده (کیلوگرم)]],0)</f>
        <v>0</v>
      </c>
      <c r="Q2339" s="6">
        <f ca="1">IF(Main[[#This Row],[بدهی تسویه نشده (کیلوگرم)]]&gt;0,'گزارش فردی'!$B$7-Main[[#This Row],[تاريخ میلادی]],0)</f>
        <v>0</v>
      </c>
      <c r="R2339" s="6">
        <f ca="1">IF(Main[[#This Row],[بدهی تسویه نشده (کیلوگرم)]]&gt;0,'گزارش فردی'!$B$7-Main[[#This Row],[تاريخ میلادی]]-'گزارش فردی'!$B$8,0)</f>
        <v>0</v>
      </c>
      <c r="S2339" s="6">
        <f ca="1">Main[[#This Row],[روز از ارسال سفارش]]*Main[[#This Row],[بدهی تسویه نشده (کیلوگرم)]]</f>
        <v>0</v>
      </c>
      <c r="T2339" s="6">
        <f ca="1">Main[[#This Row],[بدهی سررسید شده (کیلوگرم)]]*Main[[#This Row],[روز از ارسال سفارش]]</f>
        <v>0</v>
      </c>
      <c r="U2339" s="6">
        <f>-SUBTOTAL(9,INDEX(Main[مقدار (کیلوگرم)],1):Main[[#This Row],[مقدار (کیلوگرم)]])</f>
        <v>30981</v>
      </c>
      <c r="V23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9" s="6">
        <f>Main[[#This Row],[تعداد کل روزهای بدهکار (روز)]]*Main[[#This Row],[مانده در خط کل (کیلوگرم)]]</f>
        <v>0</v>
      </c>
      <c r="X2339" s="6">
        <f ca="1">-SUBTOTAL(9,INDEX(Main[مقدار تسویه شده (کیلوگرم)],1):Main[[#This Row],[مقدار تسویه شده (کیلوگرم)]])</f>
        <v>27960</v>
      </c>
      <c r="Y2339" s="6">
        <f ca="1">IF(Main[[#This Row],[مانده در خط تسویه شده (کیلوگرم)]]&lt;&gt;0,Main[[#This Row],[تعداد کل روزهای بدهکار (روز)]],0)</f>
        <v>0</v>
      </c>
      <c r="Z2339" s="6">
        <f ca="1">Main[[#This Row],[تعداد روزهای بدهکار تسویه شده (روز)]]*Main[[#This Row],[مانده در خط تسویه شده (کیلوگرم)]]</f>
        <v>0</v>
      </c>
      <c r="AA2339" s="6">
        <f ca="1">SUBTOTAL(9,INDEX(Main[بدهی تسویه نشده (کیلوگرم)],1):Main[[#This Row],[بدهی تسویه نشده (کیلوگرم)]])</f>
        <v>3021</v>
      </c>
      <c r="AB2339" s="6">
        <f ca="1">IF(Main[[#This Row],[مانده در خط تسویه نشده (کیلوگرم)]]&lt;&gt;0,Main[[#This Row],[تعداد کل روزهای بدهکار (روز)]],0)</f>
        <v>0</v>
      </c>
      <c r="AC2339" s="6">
        <f ca="1">Main[[#This Row],[تعداد روزهای بدهکار  تسویه نشده (روز)]]*Main[[#This Row],[مانده در خط تسویه نشده (کیلوگرم)]]</f>
        <v>0</v>
      </c>
      <c r="AD2339" s="6">
        <f ca="1">SUBTOTAL(9,INDEX(Main[بدهی سررسید شده (کیلوگرم)],1):Main[[#This Row],[بدهی سررسید شده (کیلوگرم)]])</f>
        <v>3021</v>
      </c>
      <c r="AE2339" s="6">
        <f ca="1">IF(Main[[#This Row],[مانده در خط سررسید شده (کیلوگرم)]]&lt;&gt;0,Main[[#This Row],[تعداد کل روزهای بدهکار (روز)]],0)</f>
        <v>0</v>
      </c>
      <c r="AF2339" s="6">
        <f ca="1">Main[[#This Row],[تعداد روزهای بدهکار سررسید شده (روز)]]*Main[[#This Row],[مانده در خط سررسید شده (کیلوگرم)]]</f>
        <v>0</v>
      </c>
    </row>
    <row r="2340" spans="1:32" hidden="1" x14ac:dyDescent="0.35">
      <c r="A2340" s="5">
        <f>ROW()-ROW(INDEX(Main[ردیف],1))+1</f>
        <v>2338</v>
      </c>
      <c r="B2340" s="31">
        <f>SUBTOTAL(2,INDEX(Main[ردیف],1):Main[[#This Row],[ردیف]])</f>
        <v>213</v>
      </c>
      <c r="C2340" s="32" t="s">
        <v>794</v>
      </c>
      <c r="D2340" s="32" t="str">
        <f>_xlfn.CONCAT("14",Main[[#This Row],[تاريخ]])</f>
        <v>1400/09/09</v>
      </c>
      <c r="E2340" s="33">
        <v>44530</v>
      </c>
      <c r="F2340" s="32">
        <v>30164</v>
      </c>
      <c r="G2340" s="5" t="str">
        <f>INDEX(customer[عنوان],MATCH(Main[[#This Row],[کد ردیابی]],customer[کد],0))</f>
        <v xml:space="preserve">پارت الکتریک </v>
      </c>
      <c r="H2340">
        <v>-1000</v>
      </c>
      <c r="I2340" s="6">
        <f ca="1">-Main[[#This Row],[بدهی تسویه شده (کیلوگرم)]]+Main[[#This Row],[بستانکار (کیلوگرم)]]</f>
        <v>0</v>
      </c>
      <c r="J2340" s="6">
        <f>IF(Main[[#This Row],[مقدار (کیلوگرم)]]&gt;0,Main[[#This Row],[مقدار (کیلوگرم)]],0)</f>
        <v>0</v>
      </c>
      <c r="K2340" s="6">
        <f>-IF(Main[[#This Row],[مقدار (کیلوگرم)]]&lt;0,Main[[#This Row],[مقدار (کیلوگرم)]],0)</f>
        <v>1000</v>
      </c>
      <c r="L23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1000</v>
      </c>
      <c r="M2340" s="7">
        <f>-IF(AND(Main[[#This Row],[مقدار (کیلوگرم)]]&lt;0,Main[[#This Row],[تاريخ میلادی]]&gt;44276),Main[[#This Row],[مقدار (کیلوگرم)]],0)</f>
        <v>1000</v>
      </c>
      <c r="N2340" s="6">
        <f ca="1">Main[[#This Row],[بدهکار (کیلوگرم)]]-Main[[#This Row],[بدهی تسویه نشده (کیلوگرم)]]</f>
        <v>0</v>
      </c>
      <c r="O2340" s="6">
        <f ca="1">Main[[#This Row],[تفکیک]]</f>
        <v>1000</v>
      </c>
      <c r="P2340" s="6">
        <f ca="1">IF(Main[[#This Row],[تاخیر از سررسید]]&gt;0,Main[[#This Row],[بدهی تسویه نشده (کیلوگرم)]],0)</f>
        <v>1000</v>
      </c>
      <c r="Q2340" s="6">
        <f ca="1">IF(Main[[#This Row],[بدهی تسویه نشده (کیلوگرم)]]&gt;0,'گزارش فردی'!$B$7-Main[[#This Row],[تاريخ میلادی]],0)</f>
        <v>932.75374085648218</v>
      </c>
      <c r="R2340" s="6">
        <f ca="1">IF(Main[[#This Row],[بدهی تسویه نشده (کیلوگرم)]]&gt;0,'گزارش فردی'!$B$7-Main[[#This Row],[تاريخ میلادی]]-'گزارش فردی'!$B$8,0)</f>
        <v>917.75374085648218</v>
      </c>
      <c r="S2340" s="6">
        <f ca="1">Main[[#This Row],[روز از ارسال سفارش]]*Main[[#This Row],[بدهی تسویه نشده (کیلوگرم)]]</f>
        <v>932753.74085648218</v>
      </c>
      <c r="T2340" s="6">
        <f ca="1">Main[[#This Row],[بدهی سررسید شده (کیلوگرم)]]*Main[[#This Row],[روز از ارسال سفارش]]</f>
        <v>932753.74085648218</v>
      </c>
      <c r="U2340" s="6">
        <f>-SUBTOTAL(9,INDEX(Main[مقدار (کیلوگرم)],1):Main[[#This Row],[مقدار (کیلوگرم)]])</f>
        <v>30981</v>
      </c>
      <c r="V23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0" s="6">
        <f>Main[[#This Row],[تعداد کل روزهای بدهکار (روز)]]*Main[[#This Row],[مانده در خط کل (کیلوگرم)]]</f>
        <v>0</v>
      </c>
      <c r="X2340" s="6">
        <f ca="1">-SUBTOTAL(9,INDEX(Main[مقدار تسویه شده (کیلوگرم)],1):Main[[#This Row],[مقدار تسویه شده (کیلوگرم)]])</f>
        <v>27960</v>
      </c>
      <c r="Y2340" s="6">
        <f ca="1">IF(Main[[#This Row],[مانده در خط تسویه شده (کیلوگرم)]]&lt;&gt;0,Main[[#This Row],[تعداد کل روزهای بدهکار (روز)]],0)</f>
        <v>0</v>
      </c>
      <c r="Z2340" s="6">
        <f ca="1">Main[[#This Row],[تعداد روزهای بدهکار تسویه شده (روز)]]*Main[[#This Row],[مانده در خط تسویه شده (کیلوگرم)]]</f>
        <v>0</v>
      </c>
      <c r="AA2340" s="6">
        <f ca="1">SUBTOTAL(9,INDEX(Main[بدهی تسویه نشده (کیلوگرم)],1):Main[[#This Row],[بدهی تسویه نشده (کیلوگرم)]])</f>
        <v>3021</v>
      </c>
      <c r="AB2340" s="6">
        <f ca="1">IF(Main[[#This Row],[مانده در خط تسویه نشده (کیلوگرم)]]&lt;&gt;0,Main[[#This Row],[تعداد کل روزهای بدهکار (روز)]],0)</f>
        <v>0</v>
      </c>
      <c r="AC2340" s="6">
        <f ca="1">Main[[#This Row],[تعداد روزهای بدهکار  تسویه نشده (روز)]]*Main[[#This Row],[مانده در خط تسویه نشده (کیلوگرم)]]</f>
        <v>0</v>
      </c>
      <c r="AD2340" s="6">
        <f ca="1">SUBTOTAL(9,INDEX(Main[بدهی سررسید شده (کیلوگرم)],1):Main[[#This Row],[بدهی سررسید شده (کیلوگرم)]])</f>
        <v>3021</v>
      </c>
      <c r="AE2340" s="6">
        <f ca="1">IF(Main[[#This Row],[مانده در خط سررسید شده (کیلوگرم)]]&lt;&gt;0,Main[[#This Row],[تعداد کل روزهای بدهکار (روز)]],0)</f>
        <v>0</v>
      </c>
      <c r="AF2340" s="6">
        <f ca="1">Main[[#This Row],[تعداد روزهای بدهکار سررسید شده (روز)]]*Main[[#This Row],[مانده در خط سررسید شده (کیلوگرم)]]</f>
        <v>0</v>
      </c>
    </row>
    <row r="2341" spans="1:32" hidden="1" x14ac:dyDescent="0.35">
      <c r="A2341" s="5">
        <f>ROW()-ROW(INDEX(Main[ردیف],1))+1</f>
        <v>2339</v>
      </c>
      <c r="B2341" s="31">
        <f>SUBTOTAL(2,INDEX(Main[ردیف],1):Main[[#This Row],[ردیف]])</f>
        <v>213</v>
      </c>
      <c r="C2341" s="32" t="s">
        <v>794</v>
      </c>
      <c r="D2341" s="32" t="str">
        <f>_xlfn.CONCAT("14",Main[[#This Row],[تاريخ]])</f>
        <v>1400/09/09</v>
      </c>
      <c r="E2341" s="33">
        <v>44530</v>
      </c>
      <c r="F2341" s="32">
        <v>30026</v>
      </c>
      <c r="G2341" s="5" t="str">
        <f>INDEX(customer[عنوان],MATCH(Main[[#This Row],[کد ردیابی]],customer[کد],0))</f>
        <v>آبکامه</v>
      </c>
      <c r="H2341">
        <v>11</v>
      </c>
      <c r="I2341" s="6">
        <f ca="1">-Main[[#This Row],[بدهی تسویه شده (کیلوگرم)]]+Main[[#This Row],[بستانکار (کیلوگرم)]]</f>
        <v>11</v>
      </c>
      <c r="J2341" s="6">
        <f>IF(Main[[#This Row],[مقدار (کیلوگرم)]]&gt;0,Main[[#This Row],[مقدار (کیلوگرم)]],0)</f>
        <v>11</v>
      </c>
      <c r="K2341" s="6">
        <f>-IF(Main[[#This Row],[مقدار (کیلوگرم)]]&lt;0,Main[[#This Row],[مقدار (کیلوگرم)]],0)</f>
        <v>0</v>
      </c>
      <c r="L23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1" s="7">
        <f>-IF(AND(Main[[#This Row],[مقدار (کیلوگرم)]]&lt;0,Main[[#This Row],[تاريخ میلادی]]&gt;44276),Main[[#This Row],[مقدار (کیلوگرم)]],0)</f>
        <v>0</v>
      </c>
      <c r="N2341" s="6">
        <f ca="1">Main[[#This Row],[بدهکار (کیلوگرم)]]-Main[[#This Row],[بدهی تسویه نشده (کیلوگرم)]]</f>
        <v>0</v>
      </c>
      <c r="O2341" s="6">
        <f ca="1">Main[[#This Row],[تفکیک]]</f>
        <v>0</v>
      </c>
      <c r="P2341" s="6">
        <f ca="1">IF(Main[[#This Row],[تاخیر از سررسید]]&gt;0,Main[[#This Row],[بدهی تسویه نشده (کیلوگرم)]],0)</f>
        <v>0</v>
      </c>
      <c r="Q2341" s="6">
        <f ca="1">IF(Main[[#This Row],[بدهی تسویه نشده (کیلوگرم)]]&gt;0,'گزارش فردی'!$B$7-Main[[#This Row],[تاريخ میلادی]],0)</f>
        <v>0</v>
      </c>
      <c r="R2341" s="6">
        <f ca="1">IF(Main[[#This Row],[بدهی تسویه نشده (کیلوگرم)]]&gt;0,'گزارش فردی'!$B$7-Main[[#This Row],[تاريخ میلادی]]-'گزارش فردی'!$B$8,0)</f>
        <v>0</v>
      </c>
      <c r="S2341" s="6">
        <f ca="1">Main[[#This Row],[روز از ارسال سفارش]]*Main[[#This Row],[بدهی تسویه نشده (کیلوگرم)]]</f>
        <v>0</v>
      </c>
      <c r="T2341" s="6">
        <f ca="1">Main[[#This Row],[بدهی سررسید شده (کیلوگرم)]]*Main[[#This Row],[روز از ارسال سفارش]]</f>
        <v>0</v>
      </c>
      <c r="U2341" s="6">
        <f>-SUBTOTAL(9,INDEX(Main[مقدار (کیلوگرم)],1):Main[[#This Row],[مقدار (کیلوگرم)]])</f>
        <v>30981</v>
      </c>
      <c r="V23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1" s="6">
        <f>Main[[#This Row],[تعداد کل روزهای بدهکار (روز)]]*Main[[#This Row],[مانده در خط کل (کیلوگرم)]]</f>
        <v>0</v>
      </c>
      <c r="X2341" s="6">
        <f ca="1">-SUBTOTAL(9,INDEX(Main[مقدار تسویه شده (کیلوگرم)],1):Main[[#This Row],[مقدار تسویه شده (کیلوگرم)]])</f>
        <v>27960</v>
      </c>
      <c r="Y2341" s="6">
        <f ca="1">IF(Main[[#This Row],[مانده در خط تسویه شده (کیلوگرم)]]&lt;&gt;0,Main[[#This Row],[تعداد کل روزهای بدهکار (روز)]],0)</f>
        <v>0</v>
      </c>
      <c r="Z2341" s="6">
        <f ca="1">Main[[#This Row],[تعداد روزهای بدهکار تسویه شده (روز)]]*Main[[#This Row],[مانده در خط تسویه شده (کیلوگرم)]]</f>
        <v>0</v>
      </c>
      <c r="AA2341" s="6">
        <f ca="1">SUBTOTAL(9,INDEX(Main[بدهی تسویه نشده (کیلوگرم)],1):Main[[#This Row],[بدهی تسویه نشده (کیلوگرم)]])</f>
        <v>3021</v>
      </c>
      <c r="AB2341" s="6">
        <f ca="1">IF(Main[[#This Row],[مانده در خط تسویه نشده (کیلوگرم)]]&lt;&gt;0,Main[[#This Row],[تعداد کل روزهای بدهکار (روز)]],0)</f>
        <v>0</v>
      </c>
      <c r="AC2341" s="6">
        <f ca="1">Main[[#This Row],[تعداد روزهای بدهکار  تسویه نشده (روز)]]*Main[[#This Row],[مانده در خط تسویه نشده (کیلوگرم)]]</f>
        <v>0</v>
      </c>
      <c r="AD2341" s="6">
        <f ca="1">SUBTOTAL(9,INDEX(Main[بدهی سررسید شده (کیلوگرم)],1):Main[[#This Row],[بدهی سررسید شده (کیلوگرم)]])</f>
        <v>3021</v>
      </c>
      <c r="AE2341" s="6">
        <f ca="1">IF(Main[[#This Row],[مانده در خط سررسید شده (کیلوگرم)]]&lt;&gt;0,Main[[#This Row],[تعداد کل روزهای بدهکار (روز)]],0)</f>
        <v>0</v>
      </c>
      <c r="AF2341" s="6">
        <f ca="1">Main[[#This Row],[تعداد روزهای بدهکار سررسید شده (روز)]]*Main[[#This Row],[مانده در خط سررسید شده (کیلوگرم)]]</f>
        <v>0</v>
      </c>
    </row>
    <row r="2342" spans="1:32" hidden="1" x14ac:dyDescent="0.35">
      <c r="A2342" s="5">
        <f>ROW()-ROW(INDEX(Main[ردیف],1))+1</f>
        <v>2340</v>
      </c>
      <c r="B2342" s="31">
        <f>SUBTOTAL(2,INDEX(Main[ردیف],1):Main[[#This Row],[ردیف]])</f>
        <v>213</v>
      </c>
      <c r="C2342" s="32" t="s">
        <v>794</v>
      </c>
      <c r="D2342" s="32" t="str">
        <f>_xlfn.CONCAT("14",Main[[#This Row],[تاريخ]])</f>
        <v>1400/09/09</v>
      </c>
      <c r="E2342" s="33">
        <v>44530</v>
      </c>
      <c r="F2342" s="32">
        <v>30009</v>
      </c>
      <c r="G2342" s="5" t="str">
        <f>INDEX(customer[عنوان],MATCH(Main[[#This Row],[کد ردیابی]],customer[کد],0))</f>
        <v>شرکت ایمن تک پیشرو</v>
      </c>
      <c r="H2342">
        <v>-1863</v>
      </c>
      <c r="I2342" s="6">
        <f ca="1">-Main[[#This Row],[بدهی تسویه شده (کیلوگرم)]]+Main[[#This Row],[بستانکار (کیلوگرم)]]</f>
        <v>0</v>
      </c>
      <c r="J2342" s="6">
        <f>IF(Main[[#This Row],[مقدار (کیلوگرم)]]&gt;0,Main[[#This Row],[مقدار (کیلوگرم)]],0)</f>
        <v>0</v>
      </c>
      <c r="K2342" s="6">
        <f>-IF(Main[[#This Row],[مقدار (کیلوگرم)]]&lt;0,Main[[#This Row],[مقدار (کیلوگرم)]],0)</f>
        <v>1863</v>
      </c>
      <c r="L23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1863</v>
      </c>
      <c r="M2342" s="7">
        <f>-IF(AND(Main[[#This Row],[مقدار (کیلوگرم)]]&lt;0,Main[[#This Row],[تاريخ میلادی]]&gt;44276),Main[[#This Row],[مقدار (کیلوگرم)]],0)</f>
        <v>1863</v>
      </c>
      <c r="N2342" s="6">
        <f ca="1">Main[[#This Row],[بدهکار (کیلوگرم)]]-Main[[#This Row],[بدهی تسویه نشده (کیلوگرم)]]</f>
        <v>0</v>
      </c>
      <c r="O2342" s="6">
        <f ca="1">Main[[#This Row],[تفکیک]]</f>
        <v>1863</v>
      </c>
      <c r="P2342" s="6">
        <f ca="1">IF(Main[[#This Row],[تاخیر از سررسید]]&gt;0,Main[[#This Row],[بدهی تسویه نشده (کیلوگرم)]],0)</f>
        <v>1863</v>
      </c>
      <c r="Q2342" s="6">
        <f ca="1">IF(Main[[#This Row],[بدهی تسویه نشده (کیلوگرم)]]&gt;0,'گزارش فردی'!$B$7-Main[[#This Row],[تاريخ میلادی]],0)</f>
        <v>932.75374085648218</v>
      </c>
      <c r="R2342" s="6">
        <f ca="1">IF(Main[[#This Row],[بدهی تسویه نشده (کیلوگرم)]]&gt;0,'گزارش فردی'!$B$7-Main[[#This Row],[تاريخ میلادی]]-'گزارش فردی'!$B$8,0)</f>
        <v>917.75374085648218</v>
      </c>
      <c r="S2342" s="6">
        <f ca="1">Main[[#This Row],[روز از ارسال سفارش]]*Main[[#This Row],[بدهی تسویه نشده (کیلوگرم)]]</f>
        <v>1737720.2192156264</v>
      </c>
      <c r="T2342" s="6">
        <f ca="1">Main[[#This Row],[بدهی سررسید شده (کیلوگرم)]]*Main[[#This Row],[روز از ارسال سفارش]]</f>
        <v>1737720.2192156264</v>
      </c>
      <c r="U2342" s="6">
        <f>-SUBTOTAL(9,INDEX(Main[مقدار (کیلوگرم)],1):Main[[#This Row],[مقدار (کیلوگرم)]])</f>
        <v>30981</v>
      </c>
      <c r="V23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2" s="6">
        <f>Main[[#This Row],[تعداد کل روزهای بدهکار (روز)]]*Main[[#This Row],[مانده در خط کل (کیلوگرم)]]</f>
        <v>0</v>
      </c>
      <c r="X2342" s="6">
        <f ca="1">-SUBTOTAL(9,INDEX(Main[مقدار تسویه شده (کیلوگرم)],1):Main[[#This Row],[مقدار تسویه شده (کیلوگرم)]])</f>
        <v>27960</v>
      </c>
      <c r="Y2342" s="6">
        <f ca="1">IF(Main[[#This Row],[مانده در خط تسویه شده (کیلوگرم)]]&lt;&gt;0,Main[[#This Row],[تعداد کل روزهای بدهکار (روز)]],0)</f>
        <v>0</v>
      </c>
      <c r="Z2342" s="6">
        <f ca="1">Main[[#This Row],[تعداد روزهای بدهکار تسویه شده (روز)]]*Main[[#This Row],[مانده در خط تسویه شده (کیلوگرم)]]</f>
        <v>0</v>
      </c>
      <c r="AA2342" s="6">
        <f ca="1">SUBTOTAL(9,INDEX(Main[بدهی تسویه نشده (کیلوگرم)],1):Main[[#This Row],[بدهی تسویه نشده (کیلوگرم)]])</f>
        <v>3021</v>
      </c>
      <c r="AB2342" s="6">
        <f ca="1">IF(Main[[#This Row],[مانده در خط تسویه نشده (کیلوگرم)]]&lt;&gt;0,Main[[#This Row],[تعداد کل روزهای بدهکار (روز)]],0)</f>
        <v>0</v>
      </c>
      <c r="AC2342" s="6">
        <f ca="1">Main[[#This Row],[تعداد روزهای بدهکار  تسویه نشده (روز)]]*Main[[#This Row],[مانده در خط تسویه نشده (کیلوگرم)]]</f>
        <v>0</v>
      </c>
      <c r="AD2342" s="6">
        <f ca="1">SUBTOTAL(9,INDEX(Main[بدهی سررسید شده (کیلوگرم)],1):Main[[#This Row],[بدهی سررسید شده (کیلوگرم)]])</f>
        <v>3021</v>
      </c>
      <c r="AE2342" s="6">
        <f ca="1">IF(Main[[#This Row],[مانده در خط سررسید شده (کیلوگرم)]]&lt;&gt;0,Main[[#This Row],[تعداد کل روزهای بدهکار (روز)]],0)</f>
        <v>0</v>
      </c>
      <c r="AF2342" s="6">
        <f ca="1">Main[[#This Row],[تعداد روزهای بدهکار سررسید شده (روز)]]*Main[[#This Row],[مانده در خط سررسید شده (کیلوگرم)]]</f>
        <v>0</v>
      </c>
    </row>
    <row r="2343" spans="1:32" hidden="1" x14ac:dyDescent="0.35">
      <c r="A2343" s="5">
        <f>ROW()-ROW(INDEX(Main[ردیف],1))+1</f>
        <v>2341</v>
      </c>
      <c r="B2343" s="31">
        <f>SUBTOTAL(2,INDEX(Main[ردیف],1):Main[[#This Row],[ردیف]])</f>
        <v>213</v>
      </c>
      <c r="C2343" s="32" t="s">
        <v>794</v>
      </c>
      <c r="D2343" s="32" t="str">
        <f>_xlfn.CONCAT("14",Main[[#This Row],[تاريخ]])</f>
        <v>1400/09/09</v>
      </c>
      <c r="E2343" s="33">
        <v>44530</v>
      </c>
      <c r="F2343" s="32">
        <v>10018</v>
      </c>
      <c r="G2343" s="5" t="str">
        <f>INDEX(customer[عنوان],MATCH(Main[[#This Row],[کد ردیابی]],customer[کد],0))</f>
        <v xml:space="preserve">کوهی </v>
      </c>
      <c r="H2343">
        <v>525</v>
      </c>
      <c r="I2343" s="6">
        <f ca="1">-Main[[#This Row],[بدهی تسویه شده (کیلوگرم)]]+Main[[#This Row],[بستانکار (کیلوگرم)]]</f>
        <v>525</v>
      </c>
      <c r="J2343" s="6">
        <f>IF(Main[[#This Row],[مقدار (کیلوگرم)]]&gt;0,Main[[#This Row],[مقدار (کیلوگرم)]],0)</f>
        <v>525</v>
      </c>
      <c r="K2343" s="6">
        <f>-IF(Main[[#This Row],[مقدار (کیلوگرم)]]&lt;0,Main[[#This Row],[مقدار (کیلوگرم)]],0)</f>
        <v>0</v>
      </c>
      <c r="L23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3" s="7">
        <f>-IF(AND(Main[[#This Row],[مقدار (کیلوگرم)]]&lt;0,Main[[#This Row],[تاريخ میلادی]]&gt;44276),Main[[#This Row],[مقدار (کیلوگرم)]],0)</f>
        <v>0</v>
      </c>
      <c r="N2343" s="6">
        <f ca="1">Main[[#This Row],[بدهکار (کیلوگرم)]]-Main[[#This Row],[بدهی تسویه نشده (کیلوگرم)]]</f>
        <v>0</v>
      </c>
      <c r="O2343" s="6">
        <f ca="1">Main[[#This Row],[تفکیک]]</f>
        <v>0</v>
      </c>
      <c r="P2343" s="6">
        <f ca="1">IF(Main[[#This Row],[تاخیر از سررسید]]&gt;0,Main[[#This Row],[بدهی تسویه نشده (کیلوگرم)]],0)</f>
        <v>0</v>
      </c>
      <c r="Q2343" s="6">
        <f ca="1">IF(Main[[#This Row],[بدهی تسویه نشده (کیلوگرم)]]&gt;0,'گزارش فردی'!$B$7-Main[[#This Row],[تاريخ میلادی]],0)</f>
        <v>0</v>
      </c>
      <c r="R2343" s="6">
        <f ca="1">IF(Main[[#This Row],[بدهی تسویه نشده (کیلوگرم)]]&gt;0,'گزارش فردی'!$B$7-Main[[#This Row],[تاريخ میلادی]]-'گزارش فردی'!$B$8,0)</f>
        <v>0</v>
      </c>
      <c r="S2343" s="6">
        <f ca="1">Main[[#This Row],[روز از ارسال سفارش]]*Main[[#This Row],[بدهی تسویه نشده (کیلوگرم)]]</f>
        <v>0</v>
      </c>
      <c r="T2343" s="6">
        <f ca="1">Main[[#This Row],[بدهی سررسید شده (کیلوگرم)]]*Main[[#This Row],[روز از ارسال سفارش]]</f>
        <v>0</v>
      </c>
      <c r="U2343" s="6">
        <f>-SUBTOTAL(9,INDEX(Main[مقدار (کیلوگرم)],1):Main[[#This Row],[مقدار (کیلوگرم)]])</f>
        <v>30981</v>
      </c>
      <c r="V23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3" s="6">
        <f>Main[[#This Row],[تعداد کل روزهای بدهکار (روز)]]*Main[[#This Row],[مانده در خط کل (کیلوگرم)]]</f>
        <v>0</v>
      </c>
      <c r="X2343" s="6">
        <f ca="1">-SUBTOTAL(9,INDEX(Main[مقدار تسویه شده (کیلوگرم)],1):Main[[#This Row],[مقدار تسویه شده (کیلوگرم)]])</f>
        <v>27960</v>
      </c>
      <c r="Y2343" s="6">
        <f ca="1">IF(Main[[#This Row],[مانده در خط تسویه شده (کیلوگرم)]]&lt;&gt;0,Main[[#This Row],[تعداد کل روزهای بدهکار (روز)]],0)</f>
        <v>0</v>
      </c>
      <c r="Z2343" s="6">
        <f ca="1">Main[[#This Row],[تعداد روزهای بدهکار تسویه شده (روز)]]*Main[[#This Row],[مانده در خط تسویه شده (کیلوگرم)]]</f>
        <v>0</v>
      </c>
      <c r="AA2343" s="6">
        <f ca="1">SUBTOTAL(9,INDEX(Main[بدهی تسویه نشده (کیلوگرم)],1):Main[[#This Row],[بدهی تسویه نشده (کیلوگرم)]])</f>
        <v>3021</v>
      </c>
      <c r="AB2343" s="6">
        <f ca="1">IF(Main[[#This Row],[مانده در خط تسویه نشده (کیلوگرم)]]&lt;&gt;0,Main[[#This Row],[تعداد کل روزهای بدهکار (روز)]],0)</f>
        <v>0</v>
      </c>
      <c r="AC2343" s="6">
        <f ca="1">Main[[#This Row],[تعداد روزهای بدهکار  تسویه نشده (روز)]]*Main[[#This Row],[مانده در خط تسویه نشده (کیلوگرم)]]</f>
        <v>0</v>
      </c>
      <c r="AD2343" s="6">
        <f ca="1">SUBTOTAL(9,INDEX(Main[بدهی سررسید شده (کیلوگرم)],1):Main[[#This Row],[بدهی سررسید شده (کیلوگرم)]])</f>
        <v>3021</v>
      </c>
      <c r="AE2343" s="6">
        <f ca="1">IF(Main[[#This Row],[مانده در خط سررسید شده (کیلوگرم)]]&lt;&gt;0,Main[[#This Row],[تعداد کل روزهای بدهکار (روز)]],0)</f>
        <v>0</v>
      </c>
      <c r="AF2343" s="6">
        <f ca="1">Main[[#This Row],[تعداد روزهای بدهکار سررسید شده (روز)]]*Main[[#This Row],[مانده در خط سررسید شده (کیلوگرم)]]</f>
        <v>0</v>
      </c>
    </row>
    <row r="2344" spans="1:32" x14ac:dyDescent="0.35">
      <c r="A2344" s="5">
        <f>ROW()-ROW(INDEX(Main[ردیف],1))+1</f>
        <v>2342</v>
      </c>
      <c r="B2344" s="31">
        <f>SUBTOTAL(2,INDEX(Main[ردیف],1):Main[[#This Row],[ردیف]])</f>
        <v>214</v>
      </c>
      <c r="C2344" s="32" t="s">
        <v>794</v>
      </c>
      <c r="D2344" s="32" t="str">
        <f>_xlfn.CONCAT("14",Main[[#This Row],[تاريخ]])</f>
        <v>1400/09/09</v>
      </c>
      <c r="E2344" s="33">
        <v>44530</v>
      </c>
      <c r="F2344" s="32">
        <v>10003</v>
      </c>
      <c r="G2344" s="5" t="str">
        <f>INDEX(customer[عنوان],MATCH(Main[[#This Row],[کد ردیابی]],customer[کد],0))</f>
        <v>اصغر نورعلی</v>
      </c>
      <c r="H2344">
        <v>-1942</v>
      </c>
      <c r="I2344" s="6">
        <f ca="1">-Main[[#This Row],[بدهی تسویه شده (کیلوگرم)]]+Main[[#This Row],[بستانکار (کیلوگرم)]]</f>
        <v>0</v>
      </c>
      <c r="J2344" s="6">
        <f>IF(Main[[#This Row],[مقدار (کیلوگرم)]]&gt;0,Main[[#This Row],[مقدار (کیلوگرم)]],0)</f>
        <v>0</v>
      </c>
      <c r="K2344" s="6">
        <f>-IF(Main[[#This Row],[مقدار (کیلوگرم)]]&lt;0,Main[[#This Row],[مقدار (کیلوگرم)]],0)</f>
        <v>1942</v>
      </c>
      <c r="L23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1942</v>
      </c>
      <c r="M2344" s="7">
        <f>-IF(AND(Main[[#This Row],[مقدار (کیلوگرم)]]&lt;0,Main[[#This Row],[تاريخ میلادی]]&gt;44276),Main[[#This Row],[مقدار (کیلوگرم)]],0)</f>
        <v>1942</v>
      </c>
      <c r="N2344" s="6">
        <f ca="1">Main[[#This Row],[بدهکار (کیلوگرم)]]-Main[[#This Row],[بدهی تسویه نشده (کیلوگرم)]]</f>
        <v>0</v>
      </c>
      <c r="O2344" s="6">
        <f ca="1">Main[[#This Row],[تفکیک]]</f>
        <v>1942</v>
      </c>
      <c r="P2344" s="6">
        <f ca="1">IF(Main[[#This Row],[تاخیر از سررسید]]&gt;0,Main[[#This Row],[بدهی تسویه نشده (کیلوگرم)]],0)</f>
        <v>1942</v>
      </c>
      <c r="Q2344" s="6">
        <f ca="1">IF(Main[[#This Row],[بدهی تسویه نشده (کیلوگرم)]]&gt;0,'گزارش فردی'!$B$7-Main[[#This Row],[تاريخ میلادی]],0)</f>
        <v>932.75374085648218</v>
      </c>
      <c r="R2344" s="6">
        <f ca="1">IF(Main[[#This Row],[بدهی تسویه نشده (کیلوگرم)]]&gt;0,'گزارش فردی'!$B$7-Main[[#This Row],[تاريخ میلادی]]-'گزارش فردی'!$B$8,0)</f>
        <v>917.75374085648218</v>
      </c>
      <c r="S2344" s="6">
        <f ca="1">Main[[#This Row],[روز از ارسال سفارش]]*Main[[#This Row],[بدهی تسویه نشده (کیلوگرم)]]</f>
        <v>1811407.7647432885</v>
      </c>
      <c r="T2344" s="6">
        <f ca="1">Main[[#This Row],[بدهی سررسید شده (کیلوگرم)]]*Main[[#This Row],[روز از ارسال سفارش]]</f>
        <v>1811407.7647432885</v>
      </c>
      <c r="U2344" s="6">
        <f>-SUBTOTAL(9,INDEX(Main[مقدار (کیلوگرم)],1):Main[[#This Row],[مقدار (کیلوگرم)]])</f>
        <v>32923</v>
      </c>
      <c r="V234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4" s="6">
        <f>Main[[#This Row],[تعداد کل روزهای بدهکار (روز)]]*Main[[#This Row],[مانده در خط کل (کیلوگرم)]]</f>
        <v>131692</v>
      </c>
      <c r="X2344" s="6">
        <f ca="1">-SUBTOTAL(9,INDEX(Main[مقدار تسویه شده (کیلوگرم)],1):Main[[#This Row],[مقدار تسویه شده (کیلوگرم)]])</f>
        <v>27960</v>
      </c>
      <c r="Y2344" s="6">
        <f ca="1">IF(Main[[#This Row],[مانده در خط تسویه شده (کیلوگرم)]]&lt;&gt;0,Main[[#This Row],[تعداد کل روزهای بدهکار (روز)]],0)</f>
        <v>4</v>
      </c>
      <c r="Z2344" s="6">
        <f ca="1">Main[[#This Row],[تعداد روزهای بدهکار تسویه شده (روز)]]*Main[[#This Row],[مانده در خط تسویه شده (کیلوگرم)]]</f>
        <v>111840</v>
      </c>
      <c r="AA2344" s="6">
        <f ca="1">SUBTOTAL(9,INDEX(Main[بدهی تسویه نشده (کیلوگرم)],1):Main[[#This Row],[بدهی تسویه نشده (کیلوگرم)]])</f>
        <v>4963</v>
      </c>
      <c r="AB2344" s="6">
        <f ca="1">IF(Main[[#This Row],[مانده در خط تسویه نشده (کیلوگرم)]]&lt;&gt;0,Main[[#This Row],[تعداد کل روزهای بدهکار (روز)]],0)</f>
        <v>4</v>
      </c>
      <c r="AC2344" s="6">
        <f ca="1">Main[[#This Row],[تعداد روزهای بدهکار  تسویه نشده (روز)]]*Main[[#This Row],[مانده در خط تسویه نشده (کیلوگرم)]]</f>
        <v>19852</v>
      </c>
      <c r="AD2344" s="6">
        <f ca="1">SUBTOTAL(9,INDEX(Main[بدهی سررسید شده (کیلوگرم)],1):Main[[#This Row],[بدهی سررسید شده (کیلوگرم)]])</f>
        <v>4963</v>
      </c>
      <c r="AE2344" s="6">
        <f ca="1">IF(Main[[#This Row],[مانده در خط سررسید شده (کیلوگرم)]]&lt;&gt;0,Main[[#This Row],[تعداد کل روزهای بدهکار (روز)]],0)</f>
        <v>4</v>
      </c>
      <c r="AF2344" s="6">
        <f ca="1">Main[[#This Row],[تعداد روزهای بدهکار سررسید شده (روز)]]*Main[[#This Row],[مانده در خط سررسید شده (کیلوگرم)]]</f>
        <v>19852</v>
      </c>
    </row>
    <row r="2345" spans="1:32" hidden="1" x14ac:dyDescent="0.35">
      <c r="A2345" s="5">
        <f>ROW()-ROW(INDEX(Main[ردیف],1))+1</f>
        <v>2343</v>
      </c>
      <c r="B2345" s="31">
        <f>SUBTOTAL(2,INDEX(Main[ردیف],1):Main[[#This Row],[ردیف]])</f>
        <v>214</v>
      </c>
      <c r="C2345" s="32" t="s">
        <v>794</v>
      </c>
      <c r="D2345" s="32" t="str">
        <f>_xlfn.CONCAT("14",Main[[#This Row],[تاريخ]])</f>
        <v>1400/09/09</v>
      </c>
      <c r="E2345" s="33">
        <v>44530</v>
      </c>
      <c r="F2345" s="32">
        <v>10018</v>
      </c>
      <c r="G2345" s="5" t="str">
        <f>INDEX(customer[عنوان],MATCH(Main[[#This Row],[کد ردیابی]],customer[کد],0))</f>
        <v xml:space="preserve">کوهی </v>
      </c>
      <c r="H2345">
        <v>21</v>
      </c>
      <c r="I2345" s="6">
        <f ca="1">-Main[[#This Row],[بدهی تسویه شده (کیلوگرم)]]+Main[[#This Row],[بستانکار (کیلوگرم)]]</f>
        <v>21</v>
      </c>
      <c r="J2345" s="6">
        <f>IF(Main[[#This Row],[مقدار (کیلوگرم)]]&gt;0,Main[[#This Row],[مقدار (کیلوگرم)]],0)</f>
        <v>21</v>
      </c>
      <c r="K2345" s="6">
        <f>-IF(Main[[#This Row],[مقدار (کیلوگرم)]]&lt;0,Main[[#This Row],[مقدار (کیلوگرم)]],0)</f>
        <v>0</v>
      </c>
      <c r="L23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5" s="7">
        <f>-IF(AND(Main[[#This Row],[مقدار (کیلوگرم)]]&lt;0,Main[[#This Row],[تاريخ میلادی]]&gt;44276),Main[[#This Row],[مقدار (کیلوگرم)]],0)</f>
        <v>0</v>
      </c>
      <c r="N2345" s="6">
        <f ca="1">Main[[#This Row],[بدهکار (کیلوگرم)]]-Main[[#This Row],[بدهی تسویه نشده (کیلوگرم)]]</f>
        <v>0</v>
      </c>
      <c r="O2345" s="6">
        <f ca="1">Main[[#This Row],[تفکیک]]</f>
        <v>0</v>
      </c>
      <c r="P2345" s="6">
        <f ca="1">IF(Main[[#This Row],[تاخیر از سررسید]]&gt;0,Main[[#This Row],[بدهی تسویه نشده (کیلوگرم)]],0)</f>
        <v>0</v>
      </c>
      <c r="Q2345" s="6">
        <f ca="1">IF(Main[[#This Row],[بدهی تسویه نشده (کیلوگرم)]]&gt;0,'گزارش فردی'!$B$7-Main[[#This Row],[تاريخ میلادی]],0)</f>
        <v>0</v>
      </c>
      <c r="R2345" s="6">
        <f ca="1">IF(Main[[#This Row],[بدهی تسویه نشده (کیلوگرم)]]&gt;0,'گزارش فردی'!$B$7-Main[[#This Row],[تاريخ میلادی]]-'گزارش فردی'!$B$8,0)</f>
        <v>0</v>
      </c>
      <c r="S2345" s="6">
        <f ca="1">Main[[#This Row],[روز از ارسال سفارش]]*Main[[#This Row],[بدهی تسویه نشده (کیلوگرم)]]</f>
        <v>0</v>
      </c>
      <c r="T2345" s="6">
        <f ca="1">Main[[#This Row],[بدهی سررسید شده (کیلوگرم)]]*Main[[#This Row],[روز از ارسال سفارش]]</f>
        <v>0</v>
      </c>
      <c r="U2345" s="6">
        <f>-SUBTOTAL(9,INDEX(Main[مقدار (کیلوگرم)],1):Main[[#This Row],[مقدار (کیلوگرم)]])</f>
        <v>32923</v>
      </c>
      <c r="V2345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5" s="6">
        <f>Main[[#This Row],[تعداد کل روزهای بدهکار (روز)]]*Main[[#This Row],[مانده در خط کل (کیلوگرم)]]</f>
        <v>131692</v>
      </c>
      <c r="X2345" s="6">
        <f ca="1">-SUBTOTAL(9,INDEX(Main[مقدار تسویه شده (کیلوگرم)],1):Main[[#This Row],[مقدار تسویه شده (کیلوگرم)]])</f>
        <v>27960</v>
      </c>
      <c r="Y2345" s="6">
        <f ca="1">IF(Main[[#This Row],[مانده در خط تسویه شده (کیلوگرم)]]&lt;&gt;0,Main[[#This Row],[تعداد کل روزهای بدهکار (روز)]],0)</f>
        <v>4</v>
      </c>
      <c r="Z2345" s="6">
        <f ca="1">Main[[#This Row],[تعداد روزهای بدهکار تسویه شده (روز)]]*Main[[#This Row],[مانده در خط تسویه شده (کیلوگرم)]]</f>
        <v>111840</v>
      </c>
      <c r="AA2345" s="6">
        <f ca="1">SUBTOTAL(9,INDEX(Main[بدهی تسویه نشده (کیلوگرم)],1):Main[[#This Row],[بدهی تسویه نشده (کیلوگرم)]])</f>
        <v>4963</v>
      </c>
      <c r="AB2345" s="6">
        <f ca="1">IF(Main[[#This Row],[مانده در خط تسویه نشده (کیلوگرم)]]&lt;&gt;0,Main[[#This Row],[تعداد کل روزهای بدهکار (روز)]],0)</f>
        <v>4</v>
      </c>
      <c r="AC2345" s="6">
        <f ca="1">Main[[#This Row],[تعداد روزهای بدهکار  تسویه نشده (روز)]]*Main[[#This Row],[مانده در خط تسویه نشده (کیلوگرم)]]</f>
        <v>19852</v>
      </c>
      <c r="AD2345" s="6">
        <f ca="1">SUBTOTAL(9,INDEX(Main[بدهی سررسید شده (کیلوگرم)],1):Main[[#This Row],[بدهی سررسید شده (کیلوگرم)]])</f>
        <v>4963</v>
      </c>
      <c r="AE2345" s="6">
        <f ca="1">IF(Main[[#This Row],[مانده در خط سررسید شده (کیلوگرم)]]&lt;&gt;0,Main[[#This Row],[تعداد کل روزهای بدهکار (روز)]],0)</f>
        <v>4</v>
      </c>
      <c r="AF2345" s="6">
        <f ca="1">Main[[#This Row],[تعداد روزهای بدهکار سررسید شده (روز)]]*Main[[#This Row],[مانده در خط سررسید شده (کیلوگرم)]]</f>
        <v>19852</v>
      </c>
    </row>
    <row r="2346" spans="1:32" hidden="1" x14ac:dyDescent="0.35">
      <c r="A2346" s="5">
        <f>ROW()-ROW(INDEX(Main[ردیف],1))+1</f>
        <v>2344</v>
      </c>
      <c r="B2346" s="31">
        <f>SUBTOTAL(2,INDEX(Main[ردیف],1):Main[[#This Row],[ردیف]])</f>
        <v>214</v>
      </c>
      <c r="C2346" s="32" t="s">
        <v>794</v>
      </c>
      <c r="D2346" s="32" t="str">
        <f>_xlfn.CONCAT("14",Main[[#This Row],[تاريخ]])</f>
        <v>1400/09/09</v>
      </c>
      <c r="E2346" s="33">
        <v>44530</v>
      </c>
      <c r="F2346" s="32">
        <v>10018</v>
      </c>
      <c r="G2346" s="5" t="str">
        <f>INDEX(customer[عنوان],MATCH(Main[[#This Row],[کد ردیابی]],customer[کد],0))</f>
        <v xml:space="preserve">کوهی </v>
      </c>
      <c r="H2346">
        <v>-502</v>
      </c>
      <c r="I2346" s="6">
        <f ca="1">-Main[[#This Row],[بدهی تسویه شده (کیلوگرم)]]+Main[[#This Row],[بستانکار (کیلوگرم)]]</f>
        <v>0</v>
      </c>
      <c r="J2346" s="6">
        <f>IF(Main[[#This Row],[مقدار (کیلوگرم)]]&gt;0,Main[[#This Row],[مقدار (کیلوگرم)]],0)</f>
        <v>0</v>
      </c>
      <c r="K2346" s="6">
        <f>-IF(Main[[#This Row],[مقدار (کیلوگرم)]]&lt;0,Main[[#This Row],[مقدار (کیلوگرم)]],0)</f>
        <v>502</v>
      </c>
      <c r="L23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502</v>
      </c>
      <c r="M2346" s="7">
        <f>-IF(AND(Main[[#This Row],[مقدار (کیلوگرم)]]&lt;0,Main[[#This Row],[تاريخ میلادی]]&gt;44276),Main[[#This Row],[مقدار (کیلوگرم)]],0)</f>
        <v>502</v>
      </c>
      <c r="N2346" s="6">
        <f ca="1">Main[[#This Row],[بدهکار (کیلوگرم)]]-Main[[#This Row],[بدهی تسویه نشده (کیلوگرم)]]</f>
        <v>0</v>
      </c>
      <c r="O2346" s="6">
        <f ca="1">Main[[#This Row],[تفکیک]]</f>
        <v>502</v>
      </c>
      <c r="P2346" s="6">
        <f ca="1">IF(Main[[#This Row],[تاخیر از سررسید]]&gt;0,Main[[#This Row],[بدهی تسویه نشده (کیلوگرم)]],0)</f>
        <v>502</v>
      </c>
      <c r="Q2346" s="6">
        <f ca="1">IF(Main[[#This Row],[بدهی تسویه نشده (کیلوگرم)]]&gt;0,'گزارش فردی'!$B$7-Main[[#This Row],[تاريخ میلادی]],0)</f>
        <v>932.75374085648218</v>
      </c>
      <c r="R2346" s="6">
        <f ca="1">IF(Main[[#This Row],[بدهی تسویه نشده (کیلوگرم)]]&gt;0,'گزارش فردی'!$B$7-Main[[#This Row],[تاريخ میلادی]]-'گزارش فردی'!$B$8,0)</f>
        <v>917.75374085648218</v>
      </c>
      <c r="S2346" s="6">
        <f ca="1">Main[[#This Row],[روز از ارسال سفارش]]*Main[[#This Row],[بدهی تسویه نشده (کیلوگرم)]]</f>
        <v>468242.37790995406</v>
      </c>
      <c r="T2346" s="6">
        <f ca="1">Main[[#This Row],[بدهی سررسید شده (کیلوگرم)]]*Main[[#This Row],[روز از ارسال سفارش]]</f>
        <v>468242.37790995406</v>
      </c>
      <c r="U2346" s="6">
        <f>-SUBTOTAL(9,INDEX(Main[مقدار (کیلوگرم)],1):Main[[#This Row],[مقدار (کیلوگرم)]])</f>
        <v>32923</v>
      </c>
      <c r="V2346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6" s="6">
        <f>Main[[#This Row],[تعداد کل روزهای بدهکار (روز)]]*Main[[#This Row],[مانده در خط کل (کیلوگرم)]]</f>
        <v>131692</v>
      </c>
      <c r="X2346" s="6">
        <f ca="1">-SUBTOTAL(9,INDEX(Main[مقدار تسویه شده (کیلوگرم)],1):Main[[#This Row],[مقدار تسویه شده (کیلوگرم)]])</f>
        <v>27960</v>
      </c>
      <c r="Y2346" s="6">
        <f ca="1">IF(Main[[#This Row],[مانده در خط تسویه شده (کیلوگرم)]]&lt;&gt;0,Main[[#This Row],[تعداد کل روزهای بدهکار (روز)]],0)</f>
        <v>4</v>
      </c>
      <c r="Z2346" s="6">
        <f ca="1">Main[[#This Row],[تعداد روزهای بدهکار تسویه شده (روز)]]*Main[[#This Row],[مانده در خط تسویه شده (کیلوگرم)]]</f>
        <v>111840</v>
      </c>
      <c r="AA2346" s="6">
        <f ca="1">SUBTOTAL(9,INDEX(Main[بدهی تسویه نشده (کیلوگرم)],1):Main[[#This Row],[بدهی تسویه نشده (کیلوگرم)]])</f>
        <v>4963</v>
      </c>
      <c r="AB2346" s="6">
        <f ca="1">IF(Main[[#This Row],[مانده در خط تسویه نشده (کیلوگرم)]]&lt;&gt;0,Main[[#This Row],[تعداد کل روزهای بدهکار (روز)]],0)</f>
        <v>4</v>
      </c>
      <c r="AC2346" s="6">
        <f ca="1">Main[[#This Row],[تعداد روزهای بدهکار  تسویه نشده (روز)]]*Main[[#This Row],[مانده در خط تسویه نشده (کیلوگرم)]]</f>
        <v>19852</v>
      </c>
      <c r="AD2346" s="6">
        <f ca="1">SUBTOTAL(9,INDEX(Main[بدهی سررسید شده (کیلوگرم)],1):Main[[#This Row],[بدهی سررسید شده (کیلوگرم)]])</f>
        <v>4963</v>
      </c>
      <c r="AE2346" s="6">
        <f ca="1">IF(Main[[#This Row],[مانده در خط سررسید شده (کیلوگرم)]]&lt;&gt;0,Main[[#This Row],[تعداد کل روزهای بدهکار (روز)]],0)</f>
        <v>4</v>
      </c>
      <c r="AF2346" s="6">
        <f ca="1">Main[[#This Row],[تعداد روزهای بدهکار سررسید شده (روز)]]*Main[[#This Row],[مانده در خط سررسید شده (کیلوگرم)]]</f>
        <v>19852</v>
      </c>
    </row>
    <row r="2347" spans="1:32" hidden="1" x14ac:dyDescent="0.35">
      <c r="A2347" s="5">
        <f>ROW()-ROW(INDEX(Main[ردیف],1))+1</f>
        <v>2345</v>
      </c>
      <c r="B2347" s="31">
        <f>SUBTOTAL(2,INDEX(Main[ردیف],1):Main[[#This Row],[ردیف]])</f>
        <v>214</v>
      </c>
      <c r="C2347" s="32" t="s">
        <v>794</v>
      </c>
      <c r="D2347" s="32" t="str">
        <f>_xlfn.CONCAT("14",Main[[#This Row],[تاريخ]])</f>
        <v>1400/09/09</v>
      </c>
      <c r="E2347" s="33">
        <v>44530</v>
      </c>
      <c r="F2347" s="32">
        <v>10084</v>
      </c>
      <c r="G2347" s="5" t="str">
        <f>INDEX(customer[عنوان],MATCH(Main[[#This Row],[کد ردیابی]],customer[کد],0))</f>
        <v xml:space="preserve">سیدحمید کاظمی </v>
      </c>
      <c r="H2347">
        <v>55</v>
      </c>
      <c r="I2347" s="6">
        <f ca="1">-Main[[#This Row],[بدهی تسویه شده (کیلوگرم)]]+Main[[#This Row],[بستانکار (کیلوگرم)]]</f>
        <v>55</v>
      </c>
      <c r="J2347" s="6">
        <f>IF(Main[[#This Row],[مقدار (کیلوگرم)]]&gt;0,Main[[#This Row],[مقدار (کیلوگرم)]],0)</f>
        <v>55</v>
      </c>
      <c r="K2347" s="6">
        <f>-IF(Main[[#This Row],[مقدار (کیلوگرم)]]&lt;0,Main[[#This Row],[مقدار (کیلوگرم)]],0)</f>
        <v>0</v>
      </c>
      <c r="L23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7" s="7">
        <f>-IF(AND(Main[[#This Row],[مقدار (کیلوگرم)]]&lt;0,Main[[#This Row],[تاريخ میلادی]]&gt;44276),Main[[#This Row],[مقدار (کیلوگرم)]],0)</f>
        <v>0</v>
      </c>
      <c r="N2347" s="6">
        <f ca="1">Main[[#This Row],[بدهکار (کیلوگرم)]]-Main[[#This Row],[بدهی تسویه نشده (کیلوگرم)]]</f>
        <v>0</v>
      </c>
      <c r="O2347" s="6">
        <f ca="1">Main[[#This Row],[تفکیک]]</f>
        <v>0</v>
      </c>
      <c r="P2347" s="6">
        <f ca="1">IF(Main[[#This Row],[تاخیر از سررسید]]&gt;0,Main[[#This Row],[بدهی تسویه نشده (کیلوگرم)]],0)</f>
        <v>0</v>
      </c>
      <c r="Q2347" s="6">
        <f ca="1">IF(Main[[#This Row],[بدهی تسویه نشده (کیلوگرم)]]&gt;0,'گزارش فردی'!$B$7-Main[[#This Row],[تاريخ میلادی]],0)</f>
        <v>0</v>
      </c>
      <c r="R2347" s="6">
        <f ca="1">IF(Main[[#This Row],[بدهی تسویه نشده (کیلوگرم)]]&gt;0,'گزارش فردی'!$B$7-Main[[#This Row],[تاريخ میلادی]]-'گزارش فردی'!$B$8,0)</f>
        <v>0</v>
      </c>
      <c r="S2347" s="6">
        <f ca="1">Main[[#This Row],[روز از ارسال سفارش]]*Main[[#This Row],[بدهی تسویه نشده (کیلوگرم)]]</f>
        <v>0</v>
      </c>
      <c r="T2347" s="6">
        <f ca="1">Main[[#This Row],[بدهی سررسید شده (کیلوگرم)]]*Main[[#This Row],[روز از ارسال سفارش]]</f>
        <v>0</v>
      </c>
      <c r="U2347" s="6">
        <f>-SUBTOTAL(9,INDEX(Main[مقدار (کیلوگرم)],1):Main[[#This Row],[مقدار (کیلوگرم)]])</f>
        <v>32923</v>
      </c>
      <c r="V234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7" s="6">
        <f>Main[[#This Row],[تعداد کل روزهای بدهکار (روز)]]*Main[[#This Row],[مانده در خط کل (کیلوگرم)]]</f>
        <v>131692</v>
      </c>
      <c r="X2347" s="6">
        <f ca="1">-SUBTOTAL(9,INDEX(Main[مقدار تسویه شده (کیلوگرم)],1):Main[[#This Row],[مقدار تسویه شده (کیلوگرم)]])</f>
        <v>27960</v>
      </c>
      <c r="Y2347" s="6">
        <f ca="1">IF(Main[[#This Row],[مانده در خط تسویه شده (کیلوگرم)]]&lt;&gt;0,Main[[#This Row],[تعداد کل روزهای بدهکار (روز)]],0)</f>
        <v>4</v>
      </c>
      <c r="Z2347" s="6">
        <f ca="1">Main[[#This Row],[تعداد روزهای بدهکار تسویه شده (روز)]]*Main[[#This Row],[مانده در خط تسویه شده (کیلوگرم)]]</f>
        <v>111840</v>
      </c>
      <c r="AA2347" s="6">
        <f ca="1">SUBTOTAL(9,INDEX(Main[بدهی تسویه نشده (کیلوگرم)],1):Main[[#This Row],[بدهی تسویه نشده (کیلوگرم)]])</f>
        <v>4963</v>
      </c>
      <c r="AB2347" s="6">
        <f ca="1">IF(Main[[#This Row],[مانده در خط تسویه نشده (کیلوگرم)]]&lt;&gt;0,Main[[#This Row],[تعداد کل روزهای بدهکار (روز)]],0)</f>
        <v>4</v>
      </c>
      <c r="AC2347" s="6">
        <f ca="1">Main[[#This Row],[تعداد روزهای بدهکار  تسویه نشده (روز)]]*Main[[#This Row],[مانده در خط تسویه نشده (کیلوگرم)]]</f>
        <v>19852</v>
      </c>
      <c r="AD2347" s="6">
        <f ca="1">SUBTOTAL(9,INDEX(Main[بدهی سررسید شده (کیلوگرم)],1):Main[[#This Row],[بدهی سررسید شده (کیلوگرم)]])</f>
        <v>4963</v>
      </c>
      <c r="AE2347" s="6">
        <f ca="1">IF(Main[[#This Row],[مانده در خط سررسید شده (کیلوگرم)]]&lt;&gt;0,Main[[#This Row],[تعداد کل روزهای بدهکار (روز)]],0)</f>
        <v>4</v>
      </c>
      <c r="AF2347" s="6">
        <f ca="1">Main[[#This Row],[تعداد روزهای بدهکار سررسید شده (روز)]]*Main[[#This Row],[مانده در خط سررسید شده (کیلوگرم)]]</f>
        <v>19852</v>
      </c>
    </row>
    <row r="2348" spans="1:32" hidden="1" x14ac:dyDescent="0.35">
      <c r="A2348" s="5">
        <f>ROW()-ROW(INDEX(Main[ردیف],1))+1</f>
        <v>2346</v>
      </c>
      <c r="B2348" s="31">
        <f>SUBTOTAL(2,INDEX(Main[ردیف],1):Main[[#This Row],[ردیف]])</f>
        <v>214</v>
      </c>
      <c r="C2348" s="32" t="s">
        <v>794</v>
      </c>
      <c r="D2348" s="32" t="str">
        <f>_xlfn.CONCAT("14",Main[[#This Row],[تاريخ]])</f>
        <v>1400/09/09</v>
      </c>
      <c r="E2348" s="33">
        <v>44530</v>
      </c>
      <c r="F2348" s="32">
        <v>10084</v>
      </c>
      <c r="G2348" s="5" t="str">
        <f>INDEX(customer[عنوان],MATCH(Main[[#This Row],[کد ردیابی]],customer[کد],0))</f>
        <v xml:space="preserve">سیدحمید کاظمی </v>
      </c>
      <c r="H2348">
        <v>-1508</v>
      </c>
      <c r="I2348" s="6">
        <f ca="1">-Main[[#This Row],[بدهی تسویه شده (کیلوگرم)]]+Main[[#This Row],[بستانکار (کیلوگرم)]]</f>
        <v>0</v>
      </c>
      <c r="J2348" s="6">
        <f>IF(Main[[#This Row],[مقدار (کیلوگرم)]]&gt;0,Main[[#This Row],[مقدار (کیلوگرم)]],0)</f>
        <v>0</v>
      </c>
      <c r="K2348" s="6">
        <f>-IF(Main[[#This Row],[مقدار (کیلوگرم)]]&lt;0,Main[[#This Row],[مقدار (کیلوگرم)]],0)</f>
        <v>1508</v>
      </c>
      <c r="L23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1508</v>
      </c>
      <c r="M2348" s="7">
        <f>-IF(AND(Main[[#This Row],[مقدار (کیلوگرم)]]&lt;0,Main[[#This Row],[تاريخ میلادی]]&gt;44276),Main[[#This Row],[مقدار (کیلوگرم)]],0)</f>
        <v>1508</v>
      </c>
      <c r="N2348" s="6">
        <f ca="1">Main[[#This Row],[بدهکار (کیلوگرم)]]-Main[[#This Row],[بدهی تسویه نشده (کیلوگرم)]]</f>
        <v>0</v>
      </c>
      <c r="O2348" s="6">
        <f ca="1">Main[[#This Row],[تفکیک]]</f>
        <v>1508</v>
      </c>
      <c r="P2348" s="6">
        <f ca="1">IF(Main[[#This Row],[تاخیر از سررسید]]&gt;0,Main[[#This Row],[بدهی تسویه نشده (کیلوگرم)]],0)</f>
        <v>1508</v>
      </c>
      <c r="Q2348" s="6">
        <f ca="1">IF(Main[[#This Row],[بدهی تسویه نشده (کیلوگرم)]]&gt;0,'گزارش فردی'!$B$7-Main[[#This Row],[تاريخ میلادی]],0)</f>
        <v>932.75374085648218</v>
      </c>
      <c r="R2348" s="6">
        <f ca="1">IF(Main[[#This Row],[بدهی تسویه نشده (کیلوگرم)]]&gt;0,'گزارش فردی'!$B$7-Main[[#This Row],[تاريخ میلادی]]-'گزارش فردی'!$B$8,0)</f>
        <v>917.75374085648218</v>
      </c>
      <c r="S2348" s="6">
        <f ca="1">Main[[#This Row],[روز از ارسال سفارش]]*Main[[#This Row],[بدهی تسویه نشده (کیلوگرم)]]</f>
        <v>1406592.6412115751</v>
      </c>
      <c r="T2348" s="6">
        <f ca="1">Main[[#This Row],[بدهی سررسید شده (کیلوگرم)]]*Main[[#This Row],[روز از ارسال سفارش]]</f>
        <v>1406592.6412115751</v>
      </c>
      <c r="U2348" s="6">
        <f>-SUBTOTAL(9,INDEX(Main[مقدار (کیلوگرم)],1):Main[[#This Row],[مقدار (کیلوگرم)]])</f>
        <v>32923</v>
      </c>
      <c r="V234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8" s="6">
        <f>Main[[#This Row],[تعداد کل روزهای بدهکار (روز)]]*Main[[#This Row],[مانده در خط کل (کیلوگرم)]]</f>
        <v>131692</v>
      </c>
      <c r="X2348" s="6">
        <f ca="1">-SUBTOTAL(9,INDEX(Main[مقدار تسویه شده (کیلوگرم)],1):Main[[#This Row],[مقدار تسویه شده (کیلوگرم)]])</f>
        <v>27960</v>
      </c>
      <c r="Y2348" s="6">
        <f ca="1">IF(Main[[#This Row],[مانده در خط تسویه شده (کیلوگرم)]]&lt;&gt;0,Main[[#This Row],[تعداد کل روزهای بدهکار (روز)]],0)</f>
        <v>4</v>
      </c>
      <c r="Z2348" s="6">
        <f ca="1">Main[[#This Row],[تعداد روزهای بدهکار تسویه شده (روز)]]*Main[[#This Row],[مانده در خط تسویه شده (کیلوگرم)]]</f>
        <v>111840</v>
      </c>
      <c r="AA2348" s="6">
        <f ca="1">SUBTOTAL(9,INDEX(Main[بدهی تسویه نشده (کیلوگرم)],1):Main[[#This Row],[بدهی تسویه نشده (کیلوگرم)]])</f>
        <v>4963</v>
      </c>
      <c r="AB2348" s="6">
        <f ca="1">IF(Main[[#This Row],[مانده در خط تسویه نشده (کیلوگرم)]]&lt;&gt;0,Main[[#This Row],[تعداد کل روزهای بدهکار (روز)]],0)</f>
        <v>4</v>
      </c>
      <c r="AC2348" s="6">
        <f ca="1">Main[[#This Row],[تعداد روزهای بدهکار  تسویه نشده (روز)]]*Main[[#This Row],[مانده در خط تسویه نشده (کیلوگرم)]]</f>
        <v>19852</v>
      </c>
      <c r="AD2348" s="6">
        <f ca="1">SUBTOTAL(9,INDEX(Main[بدهی سررسید شده (کیلوگرم)],1):Main[[#This Row],[بدهی سررسید شده (کیلوگرم)]])</f>
        <v>4963</v>
      </c>
      <c r="AE2348" s="6">
        <f ca="1">IF(Main[[#This Row],[مانده در خط سررسید شده (کیلوگرم)]]&lt;&gt;0,Main[[#This Row],[تعداد کل روزهای بدهکار (روز)]],0)</f>
        <v>4</v>
      </c>
      <c r="AF2348" s="6">
        <f ca="1">Main[[#This Row],[تعداد روزهای بدهکار سررسید شده (روز)]]*Main[[#This Row],[مانده در خط سررسید شده (کیلوگرم)]]</f>
        <v>19852</v>
      </c>
    </row>
    <row r="2349" spans="1:32" hidden="1" x14ac:dyDescent="0.35">
      <c r="A2349" s="5">
        <f>ROW()-ROW(INDEX(Main[ردیف],1))+1</f>
        <v>2347</v>
      </c>
      <c r="B2349" s="31">
        <f>SUBTOTAL(2,INDEX(Main[ردیف],1):Main[[#This Row],[ردیف]])</f>
        <v>214</v>
      </c>
      <c r="C2349" s="32" t="s">
        <v>794</v>
      </c>
      <c r="D2349" s="32" t="str">
        <f>_xlfn.CONCAT("14",Main[[#This Row],[تاريخ]])</f>
        <v>1400/09/09</v>
      </c>
      <c r="E2349" s="33">
        <v>44530</v>
      </c>
      <c r="F2349" s="32">
        <v>10126</v>
      </c>
      <c r="G2349" s="5" t="str">
        <f>INDEX(customer[عنوان],MATCH(Main[[#This Row],[کد ردیابی]],customer[کد],0))</f>
        <v xml:space="preserve">کریم اسمعیلی </v>
      </c>
      <c r="H2349">
        <v>226</v>
      </c>
      <c r="I2349" s="6">
        <f ca="1">-Main[[#This Row],[بدهی تسویه شده (کیلوگرم)]]+Main[[#This Row],[بستانکار (کیلوگرم)]]</f>
        <v>226</v>
      </c>
      <c r="J2349" s="6">
        <f>IF(Main[[#This Row],[مقدار (کیلوگرم)]]&gt;0,Main[[#This Row],[مقدار (کیلوگرم)]],0)</f>
        <v>226</v>
      </c>
      <c r="K2349" s="6">
        <f>-IF(Main[[#This Row],[مقدار (کیلوگرم)]]&lt;0,Main[[#This Row],[مقدار (کیلوگرم)]],0)</f>
        <v>0</v>
      </c>
      <c r="L23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9" s="7">
        <f>-IF(AND(Main[[#This Row],[مقدار (کیلوگرم)]]&lt;0,Main[[#This Row],[تاريخ میلادی]]&gt;44276),Main[[#This Row],[مقدار (کیلوگرم)]],0)</f>
        <v>0</v>
      </c>
      <c r="N2349" s="6">
        <f ca="1">Main[[#This Row],[بدهکار (کیلوگرم)]]-Main[[#This Row],[بدهی تسویه نشده (کیلوگرم)]]</f>
        <v>0</v>
      </c>
      <c r="O2349" s="6">
        <f ca="1">Main[[#This Row],[تفکیک]]</f>
        <v>0</v>
      </c>
      <c r="P2349" s="6">
        <f ca="1">IF(Main[[#This Row],[تاخیر از سررسید]]&gt;0,Main[[#This Row],[بدهی تسویه نشده (کیلوگرم)]],0)</f>
        <v>0</v>
      </c>
      <c r="Q2349" s="6">
        <f ca="1">IF(Main[[#This Row],[بدهی تسویه نشده (کیلوگرم)]]&gt;0,'گزارش فردی'!$B$7-Main[[#This Row],[تاريخ میلادی]],0)</f>
        <v>0</v>
      </c>
      <c r="R2349" s="6">
        <f ca="1">IF(Main[[#This Row],[بدهی تسویه نشده (کیلوگرم)]]&gt;0,'گزارش فردی'!$B$7-Main[[#This Row],[تاريخ میلادی]]-'گزارش فردی'!$B$8,0)</f>
        <v>0</v>
      </c>
      <c r="S2349" s="6">
        <f ca="1">Main[[#This Row],[روز از ارسال سفارش]]*Main[[#This Row],[بدهی تسویه نشده (کیلوگرم)]]</f>
        <v>0</v>
      </c>
      <c r="T2349" s="6">
        <f ca="1">Main[[#This Row],[بدهی سررسید شده (کیلوگرم)]]*Main[[#This Row],[روز از ارسال سفارش]]</f>
        <v>0</v>
      </c>
      <c r="U2349" s="6">
        <f>-SUBTOTAL(9,INDEX(Main[مقدار (کیلوگرم)],1):Main[[#This Row],[مقدار (کیلوگرم)]])</f>
        <v>32923</v>
      </c>
      <c r="V234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9" s="6">
        <f>Main[[#This Row],[تعداد کل روزهای بدهکار (روز)]]*Main[[#This Row],[مانده در خط کل (کیلوگرم)]]</f>
        <v>131692</v>
      </c>
      <c r="X2349" s="6">
        <f ca="1">-SUBTOTAL(9,INDEX(Main[مقدار تسویه شده (کیلوگرم)],1):Main[[#This Row],[مقدار تسویه شده (کیلوگرم)]])</f>
        <v>27960</v>
      </c>
      <c r="Y2349" s="6">
        <f ca="1">IF(Main[[#This Row],[مانده در خط تسویه شده (کیلوگرم)]]&lt;&gt;0,Main[[#This Row],[تعداد کل روزهای بدهکار (روز)]],0)</f>
        <v>4</v>
      </c>
      <c r="Z2349" s="6">
        <f ca="1">Main[[#This Row],[تعداد روزهای بدهکار تسویه شده (روز)]]*Main[[#This Row],[مانده در خط تسویه شده (کیلوگرم)]]</f>
        <v>111840</v>
      </c>
      <c r="AA2349" s="6">
        <f ca="1">SUBTOTAL(9,INDEX(Main[بدهی تسویه نشده (کیلوگرم)],1):Main[[#This Row],[بدهی تسویه نشده (کیلوگرم)]])</f>
        <v>4963</v>
      </c>
      <c r="AB2349" s="6">
        <f ca="1">IF(Main[[#This Row],[مانده در خط تسویه نشده (کیلوگرم)]]&lt;&gt;0,Main[[#This Row],[تعداد کل روزهای بدهکار (روز)]],0)</f>
        <v>4</v>
      </c>
      <c r="AC2349" s="6">
        <f ca="1">Main[[#This Row],[تعداد روزهای بدهکار  تسویه نشده (روز)]]*Main[[#This Row],[مانده در خط تسویه نشده (کیلوگرم)]]</f>
        <v>19852</v>
      </c>
      <c r="AD2349" s="6">
        <f ca="1">SUBTOTAL(9,INDEX(Main[بدهی سررسید شده (کیلوگرم)],1):Main[[#This Row],[بدهی سررسید شده (کیلوگرم)]])</f>
        <v>4963</v>
      </c>
      <c r="AE2349" s="6">
        <f ca="1">IF(Main[[#This Row],[مانده در خط سررسید شده (کیلوگرم)]]&lt;&gt;0,Main[[#This Row],[تعداد کل روزهای بدهکار (روز)]],0)</f>
        <v>4</v>
      </c>
      <c r="AF2349" s="6">
        <f ca="1">Main[[#This Row],[تعداد روزهای بدهکار سررسید شده (روز)]]*Main[[#This Row],[مانده در خط سررسید شده (کیلوگرم)]]</f>
        <v>19852</v>
      </c>
    </row>
    <row r="2350" spans="1:32" hidden="1" x14ac:dyDescent="0.35">
      <c r="A2350" s="5">
        <f>ROW()-ROW(INDEX(Main[ردیف],1))+1</f>
        <v>2348</v>
      </c>
      <c r="B2350" s="31">
        <f>SUBTOTAL(2,INDEX(Main[ردیف],1):Main[[#This Row],[ردیف]])</f>
        <v>214</v>
      </c>
      <c r="C2350" s="32" t="s">
        <v>794</v>
      </c>
      <c r="D2350" s="32" t="str">
        <f>_xlfn.CONCAT("14",Main[[#This Row],[تاريخ]])</f>
        <v>1400/09/09</v>
      </c>
      <c r="E2350" s="33">
        <v>44530</v>
      </c>
      <c r="F2350" s="32">
        <v>30164</v>
      </c>
      <c r="G2350" s="5" t="str">
        <f>INDEX(customer[عنوان],MATCH(Main[[#This Row],[کد ردیابی]],customer[کد],0))</f>
        <v xml:space="preserve">پارت الکتریک </v>
      </c>
      <c r="H2350">
        <v>100</v>
      </c>
      <c r="I2350" s="6">
        <f ca="1">-Main[[#This Row],[بدهی تسویه شده (کیلوگرم)]]+Main[[#This Row],[بستانکار (کیلوگرم)]]</f>
        <v>100</v>
      </c>
      <c r="J2350" s="6">
        <f>IF(Main[[#This Row],[مقدار (کیلوگرم)]]&gt;0,Main[[#This Row],[مقدار (کیلوگرم)]],0)</f>
        <v>100</v>
      </c>
      <c r="K2350" s="6">
        <f>-IF(Main[[#This Row],[مقدار (کیلوگرم)]]&lt;0,Main[[#This Row],[مقدار (کیلوگرم)]],0)</f>
        <v>0</v>
      </c>
      <c r="L23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0" s="7">
        <f>-IF(AND(Main[[#This Row],[مقدار (کیلوگرم)]]&lt;0,Main[[#This Row],[تاريخ میلادی]]&gt;44276),Main[[#This Row],[مقدار (کیلوگرم)]],0)</f>
        <v>0</v>
      </c>
      <c r="N2350" s="6">
        <f ca="1">Main[[#This Row],[بدهکار (کیلوگرم)]]-Main[[#This Row],[بدهی تسویه نشده (کیلوگرم)]]</f>
        <v>0</v>
      </c>
      <c r="O2350" s="6">
        <f ca="1">Main[[#This Row],[تفکیک]]</f>
        <v>0</v>
      </c>
      <c r="P2350" s="6">
        <f ca="1">IF(Main[[#This Row],[تاخیر از سررسید]]&gt;0,Main[[#This Row],[بدهی تسویه نشده (کیلوگرم)]],0)</f>
        <v>0</v>
      </c>
      <c r="Q2350" s="6">
        <f ca="1">IF(Main[[#This Row],[بدهی تسویه نشده (کیلوگرم)]]&gt;0,'گزارش فردی'!$B$7-Main[[#This Row],[تاريخ میلادی]],0)</f>
        <v>0</v>
      </c>
      <c r="R2350" s="6">
        <f ca="1">IF(Main[[#This Row],[بدهی تسویه نشده (کیلوگرم)]]&gt;0,'گزارش فردی'!$B$7-Main[[#This Row],[تاريخ میلادی]]-'گزارش فردی'!$B$8,0)</f>
        <v>0</v>
      </c>
      <c r="S2350" s="6">
        <f ca="1">Main[[#This Row],[روز از ارسال سفارش]]*Main[[#This Row],[بدهی تسویه نشده (کیلوگرم)]]</f>
        <v>0</v>
      </c>
      <c r="T2350" s="6">
        <f ca="1">Main[[#This Row],[بدهی سررسید شده (کیلوگرم)]]*Main[[#This Row],[روز از ارسال سفارش]]</f>
        <v>0</v>
      </c>
      <c r="U2350" s="6">
        <f>-SUBTOTAL(9,INDEX(Main[مقدار (کیلوگرم)],1):Main[[#This Row],[مقدار (کیلوگرم)]])</f>
        <v>32923</v>
      </c>
      <c r="V235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0" s="6">
        <f>Main[[#This Row],[تعداد کل روزهای بدهکار (روز)]]*Main[[#This Row],[مانده در خط کل (کیلوگرم)]]</f>
        <v>131692</v>
      </c>
      <c r="X2350" s="6">
        <f ca="1">-SUBTOTAL(9,INDEX(Main[مقدار تسویه شده (کیلوگرم)],1):Main[[#This Row],[مقدار تسویه شده (کیلوگرم)]])</f>
        <v>27960</v>
      </c>
      <c r="Y2350" s="6">
        <f ca="1">IF(Main[[#This Row],[مانده در خط تسویه شده (کیلوگرم)]]&lt;&gt;0,Main[[#This Row],[تعداد کل روزهای بدهکار (روز)]],0)</f>
        <v>4</v>
      </c>
      <c r="Z2350" s="6">
        <f ca="1">Main[[#This Row],[تعداد روزهای بدهکار تسویه شده (روز)]]*Main[[#This Row],[مانده در خط تسویه شده (کیلوگرم)]]</f>
        <v>111840</v>
      </c>
      <c r="AA2350" s="6">
        <f ca="1">SUBTOTAL(9,INDEX(Main[بدهی تسویه نشده (کیلوگرم)],1):Main[[#This Row],[بدهی تسویه نشده (کیلوگرم)]])</f>
        <v>4963</v>
      </c>
      <c r="AB2350" s="6">
        <f ca="1">IF(Main[[#This Row],[مانده در خط تسویه نشده (کیلوگرم)]]&lt;&gt;0,Main[[#This Row],[تعداد کل روزهای بدهکار (روز)]],0)</f>
        <v>4</v>
      </c>
      <c r="AC2350" s="6">
        <f ca="1">Main[[#This Row],[تعداد روزهای بدهکار  تسویه نشده (روز)]]*Main[[#This Row],[مانده در خط تسویه نشده (کیلوگرم)]]</f>
        <v>19852</v>
      </c>
      <c r="AD2350" s="6">
        <f ca="1">SUBTOTAL(9,INDEX(Main[بدهی سررسید شده (کیلوگرم)],1):Main[[#This Row],[بدهی سررسید شده (کیلوگرم)]])</f>
        <v>4963</v>
      </c>
      <c r="AE2350" s="6">
        <f ca="1">IF(Main[[#This Row],[مانده در خط سررسید شده (کیلوگرم)]]&lt;&gt;0,Main[[#This Row],[تعداد کل روزهای بدهکار (روز)]],0)</f>
        <v>4</v>
      </c>
      <c r="AF2350" s="6">
        <f ca="1">Main[[#This Row],[تعداد روزهای بدهکار سررسید شده (روز)]]*Main[[#This Row],[مانده در خط سررسید شده (کیلوگرم)]]</f>
        <v>19852</v>
      </c>
    </row>
    <row r="2351" spans="1:32" hidden="1" x14ac:dyDescent="0.35">
      <c r="A2351" s="5">
        <f>ROW()-ROW(INDEX(Main[ردیف],1))+1</f>
        <v>2349</v>
      </c>
      <c r="B2351" s="31">
        <f>SUBTOTAL(2,INDEX(Main[ردیف],1):Main[[#This Row],[ردیف]])</f>
        <v>214</v>
      </c>
      <c r="C2351" s="32" t="s">
        <v>794</v>
      </c>
      <c r="D2351" s="32" t="str">
        <f>_xlfn.CONCAT("14",Main[[#This Row],[تاريخ]])</f>
        <v>1400/09/09</v>
      </c>
      <c r="E2351" s="33">
        <v>44530</v>
      </c>
      <c r="F2351" s="32">
        <v>30164</v>
      </c>
      <c r="G2351" s="5" t="str">
        <f>INDEX(customer[عنوان],MATCH(Main[[#This Row],[کد ردیابی]],customer[کد],0))</f>
        <v xml:space="preserve">پارت الکتریک </v>
      </c>
      <c r="H2351">
        <v>1327</v>
      </c>
      <c r="I2351" s="6">
        <f ca="1">-Main[[#This Row],[بدهی تسویه شده (کیلوگرم)]]+Main[[#This Row],[بستانکار (کیلوگرم)]]</f>
        <v>1327</v>
      </c>
      <c r="J2351" s="6">
        <f>IF(Main[[#This Row],[مقدار (کیلوگرم)]]&gt;0,Main[[#This Row],[مقدار (کیلوگرم)]],0)</f>
        <v>1327</v>
      </c>
      <c r="K2351" s="6">
        <f>-IF(Main[[#This Row],[مقدار (کیلوگرم)]]&lt;0,Main[[#This Row],[مقدار (کیلوگرم)]],0)</f>
        <v>0</v>
      </c>
      <c r="L23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1" s="7">
        <f>-IF(AND(Main[[#This Row],[مقدار (کیلوگرم)]]&lt;0,Main[[#This Row],[تاريخ میلادی]]&gt;44276),Main[[#This Row],[مقدار (کیلوگرم)]],0)</f>
        <v>0</v>
      </c>
      <c r="N2351" s="6">
        <f ca="1">Main[[#This Row],[بدهکار (کیلوگرم)]]-Main[[#This Row],[بدهی تسویه نشده (کیلوگرم)]]</f>
        <v>0</v>
      </c>
      <c r="O2351" s="6">
        <f ca="1">Main[[#This Row],[تفکیک]]</f>
        <v>0</v>
      </c>
      <c r="P2351" s="6">
        <f ca="1">IF(Main[[#This Row],[تاخیر از سررسید]]&gt;0,Main[[#This Row],[بدهی تسویه نشده (کیلوگرم)]],0)</f>
        <v>0</v>
      </c>
      <c r="Q2351" s="6">
        <f ca="1">IF(Main[[#This Row],[بدهی تسویه نشده (کیلوگرم)]]&gt;0,'گزارش فردی'!$B$7-Main[[#This Row],[تاريخ میلادی]],0)</f>
        <v>0</v>
      </c>
      <c r="R2351" s="6">
        <f ca="1">IF(Main[[#This Row],[بدهی تسویه نشده (کیلوگرم)]]&gt;0,'گزارش فردی'!$B$7-Main[[#This Row],[تاريخ میلادی]]-'گزارش فردی'!$B$8,0)</f>
        <v>0</v>
      </c>
      <c r="S2351" s="6">
        <f ca="1">Main[[#This Row],[روز از ارسال سفارش]]*Main[[#This Row],[بدهی تسویه نشده (کیلوگرم)]]</f>
        <v>0</v>
      </c>
      <c r="T2351" s="6">
        <f ca="1">Main[[#This Row],[بدهی سررسید شده (کیلوگرم)]]*Main[[#This Row],[روز از ارسال سفارش]]</f>
        <v>0</v>
      </c>
      <c r="U2351" s="6">
        <f>-SUBTOTAL(9,INDEX(Main[مقدار (کیلوگرم)],1):Main[[#This Row],[مقدار (کیلوگرم)]])</f>
        <v>32923</v>
      </c>
      <c r="V235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1" s="6">
        <f>Main[[#This Row],[تعداد کل روزهای بدهکار (روز)]]*Main[[#This Row],[مانده در خط کل (کیلوگرم)]]</f>
        <v>131692</v>
      </c>
      <c r="X2351" s="6">
        <f ca="1">-SUBTOTAL(9,INDEX(Main[مقدار تسویه شده (کیلوگرم)],1):Main[[#This Row],[مقدار تسویه شده (کیلوگرم)]])</f>
        <v>27960</v>
      </c>
      <c r="Y2351" s="6">
        <f ca="1">IF(Main[[#This Row],[مانده در خط تسویه شده (کیلوگرم)]]&lt;&gt;0,Main[[#This Row],[تعداد کل روزهای بدهکار (روز)]],0)</f>
        <v>4</v>
      </c>
      <c r="Z2351" s="6">
        <f ca="1">Main[[#This Row],[تعداد روزهای بدهکار تسویه شده (روز)]]*Main[[#This Row],[مانده در خط تسویه شده (کیلوگرم)]]</f>
        <v>111840</v>
      </c>
      <c r="AA2351" s="6">
        <f ca="1">SUBTOTAL(9,INDEX(Main[بدهی تسویه نشده (کیلوگرم)],1):Main[[#This Row],[بدهی تسویه نشده (کیلوگرم)]])</f>
        <v>4963</v>
      </c>
      <c r="AB2351" s="6">
        <f ca="1">IF(Main[[#This Row],[مانده در خط تسویه نشده (کیلوگرم)]]&lt;&gt;0,Main[[#This Row],[تعداد کل روزهای بدهکار (روز)]],0)</f>
        <v>4</v>
      </c>
      <c r="AC2351" s="6">
        <f ca="1">Main[[#This Row],[تعداد روزهای بدهکار  تسویه نشده (روز)]]*Main[[#This Row],[مانده در خط تسویه نشده (کیلوگرم)]]</f>
        <v>19852</v>
      </c>
      <c r="AD2351" s="6">
        <f ca="1">SUBTOTAL(9,INDEX(Main[بدهی سررسید شده (کیلوگرم)],1):Main[[#This Row],[بدهی سررسید شده (کیلوگرم)]])</f>
        <v>4963</v>
      </c>
      <c r="AE2351" s="6">
        <f ca="1">IF(Main[[#This Row],[مانده در خط سررسید شده (کیلوگرم)]]&lt;&gt;0,Main[[#This Row],[تعداد کل روزهای بدهکار (روز)]],0)</f>
        <v>4</v>
      </c>
      <c r="AF2351" s="6">
        <f ca="1">Main[[#This Row],[تعداد روزهای بدهکار سررسید شده (روز)]]*Main[[#This Row],[مانده در خط سررسید شده (کیلوگرم)]]</f>
        <v>19852</v>
      </c>
    </row>
    <row r="2352" spans="1:32" hidden="1" x14ac:dyDescent="0.35">
      <c r="A2352" s="5">
        <f>ROW()-ROW(INDEX(Main[ردیف],1))+1</f>
        <v>2350</v>
      </c>
      <c r="B2352" s="31">
        <f>SUBTOTAL(2,INDEX(Main[ردیف],1):Main[[#This Row],[ردیف]])</f>
        <v>214</v>
      </c>
      <c r="C2352" s="32" t="s">
        <v>794</v>
      </c>
      <c r="D2352" s="32" t="str">
        <f>_xlfn.CONCAT("14",Main[[#This Row],[تاريخ]])</f>
        <v>1400/09/09</v>
      </c>
      <c r="E2352" s="33">
        <v>44530</v>
      </c>
      <c r="F2352" s="32">
        <v>30191</v>
      </c>
      <c r="G2352" s="5" t="str">
        <f>INDEX(customer[عنوان],MATCH(Main[[#This Row],[کد ردیابی]],customer[کد],0))</f>
        <v>ایران گرما</v>
      </c>
      <c r="H2352">
        <v>106</v>
      </c>
      <c r="I2352" s="6">
        <f ca="1">-Main[[#This Row],[بدهی تسویه شده (کیلوگرم)]]+Main[[#This Row],[بستانکار (کیلوگرم)]]</f>
        <v>106</v>
      </c>
      <c r="J2352" s="6">
        <f>IF(Main[[#This Row],[مقدار (کیلوگرم)]]&gt;0,Main[[#This Row],[مقدار (کیلوگرم)]],0)</f>
        <v>106</v>
      </c>
      <c r="K2352" s="6">
        <f>-IF(Main[[#This Row],[مقدار (کیلوگرم)]]&lt;0,Main[[#This Row],[مقدار (کیلوگرم)]],0)</f>
        <v>0</v>
      </c>
      <c r="L23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2" s="7">
        <f>-IF(AND(Main[[#This Row],[مقدار (کیلوگرم)]]&lt;0,Main[[#This Row],[تاريخ میلادی]]&gt;44276),Main[[#This Row],[مقدار (کیلوگرم)]],0)</f>
        <v>0</v>
      </c>
      <c r="N2352" s="6">
        <f ca="1">Main[[#This Row],[بدهکار (کیلوگرم)]]-Main[[#This Row],[بدهی تسویه نشده (کیلوگرم)]]</f>
        <v>0</v>
      </c>
      <c r="O2352" s="6">
        <f ca="1">Main[[#This Row],[تفکیک]]</f>
        <v>0</v>
      </c>
      <c r="P2352" s="6">
        <f ca="1">IF(Main[[#This Row],[تاخیر از سررسید]]&gt;0,Main[[#This Row],[بدهی تسویه نشده (کیلوگرم)]],0)</f>
        <v>0</v>
      </c>
      <c r="Q2352" s="6">
        <f ca="1">IF(Main[[#This Row],[بدهی تسویه نشده (کیلوگرم)]]&gt;0,'گزارش فردی'!$B$7-Main[[#This Row],[تاريخ میلادی]],0)</f>
        <v>0</v>
      </c>
      <c r="R2352" s="6">
        <f ca="1">IF(Main[[#This Row],[بدهی تسویه نشده (کیلوگرم)]]&gt;0,'گزارش فردی'!$B$7-Main[[#This Row],[تاريخ میلادی]]-'گزارش فردی'!$B$8,0)</f>
        <v>0</v>
      </c>
      <c r="S2352" s="6">
        <f ca="1">Main[[#This Row],[روز از ارسال سفارش]]*Main[[#This Row],[بدهی تسویه نشده (کیلوگرم)]]</f>
        <v>0</v>
      </c>
      <c r="T2352" s="6">
        <f ca="1">Main[[#This Row],[بدهی سررسید شده (کیلوگرم)]]*Main[[#This Row],[روز از ارسال سفارش]]</f>
        <v>0</v>
      </c>
      <c r="U2352" s="6">
        <f>-SUBTOTAL(9,INDEX(Main[مقدار (کیلوگرم)],1):Main[[#This Row],[مقدار (کیلوگرم)]])</f>
        <v>32923</v>
      </c>
      <c r="V235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2" s="6">
        <f>Main[[#This Row],[تعداد کل روزهای بدهکار (روز)]]*Main[[#This Row],[مانده در خط کل (کیلوگرم)]]</f>
        <v>131692</v>
      </c>
      <c r="X2352" s="6">
        <f ca="1">-SUBTOTAL(9,INDEX(Main[مقدار تسویه شده (کیلوگرم)],1):Main[[#This Row],[مقدار تسویه شده (کیلوگرم)]])</f>
        <v>27960</v>
      </c>
      <c r="Y2352" s="6">
        <f ca="1">IF(Main[[#This Row],[مانده در خط تسویه شده (کیلوگرم)]]&lt;&gt;0,Main[[#This Row],[تعداد کل روزهای بدهکار (روز)]],0)</f>
        <v>4</v>
      </c>
      <c r="Z2352" s="6">
        <f ca="1">Main[[#This Row],[تعداد روزهای بدهکار تسویه شده (روز)]]*Main[[#This Row],[مانده در خط تسویه شده (کیلوگرم)]]</f>
        <v>111840</v>
      </c>
      <c r="AA2352" s="6">
        <f ca="1">SUBTOTAL(9,INDEX(Main[بدهی تسویه نشده (کیلوگرم)],1):Main[[#This Row],[بدهی تسویه نشده (کیلوگرم)]])</f>
        <v>4963</v>
      </c>
      <c r="AB2352" s="6">
        <f ca="1">IF(Main[[#This Row],[مانده در خط تسویه نشده (کیلوگرم)]]&lt;&gt;0,Main[[#This Row],[تعداد کل روزهای بدهکار (روز)]],0)</f>
        <v>4</v>
      </c>
      <c r="AC2352" s="6">
        <f ca="1">Main[[#This Row],[تعداد روزهای بدهکار  تسویه نشده (روز)]]*Main[[#This Row],[مانده در خط تسویه نشده (کیلوگرم)]]</f>
        <v>19852</v>
      </c>
      <c r="AD2352" s="6">
        <f ca="1">SUBTOTAL(9,INDEX(Main[بدهی سررسید شده (کیلوگرم)],1):Main[[#This Row],[بدهی سررسید شده (کیلوگرم)]])</f>
        <v>4963</v>
      </c>
      <c r="AE2352" s="6">
        <f ca="1">IF(Main[[#This Row],[مانده در خط سررسید شده (کیلوگرم)]]&lt;&gt;0,Main[[#This Row],[تعداد کل روزهای بدهکار (روز)]],0)</f>
        <v>4</v>
      </c>
      <c r="AF2352" s="6">
        <f ca="1">Main[[#This Row],[تعداد روزهای بدهکار سررسید شده (روز)]]*Main[[#This Row],[مانده در خط سررسید شده (کیلوگرم)]]</f>
        <v>19852</v>
      </c>
    </row>
    <row r="2353" spans="1:32" hidden="1" x14ac:dyDescent="0.35">
      <c r="A2353" s="5">
        <f>ROW()-ROW(INDEX(Main[ردیف],1))+1</f>
        <v>2351</v>
      </c>
      <c r="B2353" s="31">
        <f>SUBTOTAL(2,INDEX(Main[ردیف],1):Main[[#This Row],[ردیف]])</f>
        <v>214</v>
      </c>
      <c r="C2353" s="32" t="s">
        <v>794</v>
      </c>
      <c r="D2353" s="32" t="str">
        <f>_xlfn.CONCAT("14",Main[[#This Row],[تاريخ]])</f>
        <v>1400/09/09</v>
      </c>
      <c r="E2353" s="33">
        <v>44530</v>
      </c>
      <c r="F2353" s="32">
        <v>30191</v>
      </c>
      <c r="G2353" s="5" t="str">
        <f>INDEX(customer[عنوان],MATCH(Main[[#This Row],[کد ردیابی]],customer[کد],0))</f>
        <v>ایران گرما</v>
      </c>
      <c r="H2353">
        <v>40</v>
      </c>
      <c r="I2353" s="6">
        <f ca="1">-Main[[#This Row],[بدهی تسویه شده (کیلوگرم)]]+Main[[#This Row],[بستانکار (کیلوگرم)]]</f>
        <v>40</v>
      </c>
      <c r="J2353" s="6">
        <f>IF(Main[[#This Row],[مقدار (کیلوگرم)]]&gt;0,Main[[#This Row],[مقدار (کیلوگرم)]],0)</f>
        <v>40</v>
      </c>
      <c r="K2353" s="6">
        <f>-IF(Main[[#This Row],[مقدار (کیلوگرم)]]&lt;0,Main[[#This Row],[مقدار (کیلوگرم)]],0)</f>
        <v>0</v>
      </c>
      <c r="L23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3" s="7">
        <f>-IF(AND(Main[[#This Row],[مقدار (کیلوگرم)]]&lt;0,Main[[#This Row],[تاريخ میلادی]]&gt;44276),Main[[#This Row],[مقدار (کیلوگرم)]],0)</f>
        <v>0</v>
      </c>
      <c r="N2353" s="6">
        <f ca="1">Main[[#This Row],[بدهکار (کیلوگرم)]]-Main[[#This Row],[بدهی تسویه نشده (کیلوگرم)]]</f>
        <v>0</v>
      </c>
      <c r="O2353" s="6">
        <f ca="1">Main[[#This Row],[تفکیک]]</f>
        <v>0</v>
      </c>
      <c r="P2353" s="6">
        <f ca="1">IF(Main[[#This Row],[تاخیر از سررسید]]&gt;0,Main[[#This Row],[بدهی تسویه نشده (کیلوگرم)]],0)</f>
        <v>0</v>
      </c>
      <c r="Q2353" s="6">
        <f ca="1">IF(Main[[#This Row],[بدهی تسویه نشده (کیلوگرم)]]&gt;0,'گزارش فردی'!$B$7-Main[[#This Row],[تاريخ میلادی]],0)</f>
        <v>0</v>
      </c>
      <c r="R2353" s="6">
        <f ca="1">IF(Main[[#This Row],[بدهی تسویه نشده (کیلوگرم)]]&gt;0,'گزارش فردی'!$B$7-Main[[#This Row],[تاريخ میلادی]]-'گزارش فردی'!$B$8,0)</f>
        <v>0</v>
      </c>
      <c r="S2353" s="6">
        <f ca="1">Main[[#This Row],[روز از ارسال سفارش]]*Main[[#This Row],[بدهی تسویه نشده (کیلوگرم)]]</f>
        <v>0</v>
      </c>
      <c r="T2353" s="6">
        <f ca="1">Main[[#This Row],[بدهی سررسید شده (کیلوگرم)]]*Main[[#This Row],[روز از ارسال سفارش]]</f>
        <v>0</v>
      </c>
      <c r="U2353" s="6">
        <f>-SUBTOTAL(9,INDEX(Main[مقدار (کیلوگرم)],1):Main[[#This Row],[مقدار (کیلوگرم)]])</f>
        <v>32923</v>
      </c>
      <c r="V2353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3" s="6">
        <f>Main[[#This Row],[تعداد کل روزهای بدهکار (روز)]]*Main[[#This Row],[مانده در خط کل (کیلوگرم)]]</f>
        <v>131692</v>
      </c>
      <c r="X2353" s="6">
        <f ca="1">-SUBTOTAL(9,INDEX(Main[مقدار تسویه شده (کیلوگرم)],1):Main[[#This Row],[مقدار تسویه شده (کیلوگرم)]])</f>
        <v>27960</v>
      </c>
      <c r="Y2353" s="6">
        <f ca="1">IF(Main[[#This Row],[مانده در خط تسویه شده (کیلوگرم)]]&lt;&gt;0,Main[[#This Row],[تعداد کل روزهای بدهکار (روز)]],0)</f>
        <v>4</v>
      </c>
      <c r="Z2353" s="6">
        <f ca="1">Main[[#This Row],[تعداد روزهای بدهکار تسویه شده (روز)]]*Main[[#This Row],[مانده در خط تسویه شده (کیلوگرم)]]</f>
        <v>111840</v>
      </c>
      <c r="AA2353" s="6">
        <f ca="1">SUBTOTAL(9,INDEX(Main[بدهی تسویه نشده (کیلوگرم)],1):Main[[#This Row],[بدهی تسویه نشده (کیلوگرم)]])</f>
        <v>4963</v>
      </c>
      <c r="AB2353" s="6">
        <f ca="1">IF(Main[[#This Row],[مانده در خط تسویه نشده (کیلوگرم)]]&lt;&gt;0,Main[[#This Row],[تعداد کل روزهای بدهکار (روز)]],0)</f>
        <v>4</v>
      </c>
      <c r="AC2353" s="6">
        <f ca="1">Main[[#This Row],[تعداد روزهای بدهکار  تسویه نشده (روز)]]*Main[[#This Row],[مانده در خط تسویه نشده (کیلوگرم)]]</f>
        <v>19852</v>
      </c>
      <c r="AD2353" s="6">
        <f ca="1">SUBTOTAL(9,INDEX(Main[بدهی سررسید شده (کیلوگرم)],1):Main[[#This Row],[بدهی سررسید شده (کیلوگرم)]])</f>
        <v>4963</v>
      </c>
      <c r="AE2353" s="6">
        <f ca="1">IF(Main[[#This Row],[مانده در خط سررسید شده (کیلوگرم)]]&lt;&gt;0,Main[[#This Row],[تعداد کل روزهای بدهکار (روز)]],0)</f>
        <v>4</v>
      </c>
      <c r="AF2353" s="6">
        <f ca="1">Main[[#This Row],[تعداد روزهای بدهکار سررسید شده (روز)]]*Main[[#This Row],[مانده در خط سررسید شده (کیلوگرم)]]</f>
        <v>19852</v>
      </c>
    </row>
    <row r="2354" spans="1:32" hidden="1" x14ac:dyDescent="0.35">
      <c r="A2354" s="5">
        <f>ROW()-ROW(INDEX(Main[ردیف],1))+1</f>
        <v>2352</v>
      </c>
      <c r="B2354" s="31">
        <f>SUBTOTAL(2,INDEX(Main[ردیف],1):Main[[#This Row],[ردیف]])</f>
        <v>214</v>
      </c>
      <c r="C2354" s="32" t="s">
        <v>794</v>
      </c>
      <c r="D2354" s="32" t="str">
        <f>_xlfn.CONCAT("14",Main[[#This Row],[تاريخ]])</f>
        <v>1400/09/09</v>
      </c>
      <c r="E2354" s="33">
        <v>44530</v>
      </c>
      <c r="F2354" s="32">
        <v>10126</v>
      </c>
      <c r="G2354" s="5" t="str">
        <f>INDEX(customer[عنوان],MATCH(Main[[#This Row],[کد ردیابی]],customer[کد],0))</f>
        <v xml:space="preserve">کریم اسمعیلی </v>
      </c>
      <c r="H2354">
        <v>250</v>
      </c>
      <c r="I2354" s="6">
        <f ca="1">-Main[[#This Row],[بدهی تسویه شده (کیلوگرم)]]+Main[[#This Row],[بستانکار (کیلوگرم)]]</f>
        <v>250</v>
      </c>
      <c r="J2354" s="6">
        <f>IF(Main[[#This Row],[مقدار (کیلوگرم)]]&gt;0,Main[[#This Row],[مقدار (کیلوگرم)]],0)</f>
        <v>250</v>
      </c>
      <c r="K2354" s="6">
        <f>-IF(Main[[#This Row],[مقدار (کیلوگرم)]]&lt;0,Main[[#This Row],[مقدار (کیلوگرم)]],0)</f>
        <v>0</v>
      </c>
      <c r="L23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4" s="7">
        <f>-IF(AND(Main[[#This Row],[مقدار (کیلوگرم)]]&lt;0,Main[[#This Row],[تاريخ میلادی]]&gt;44276),Main[[#This Row],[مقدار (کیلوگرم)]],0)</f>
        <v>0</v>
      </c>
      <c r="N2354" s="6">
        <f ca="1">Main[[#This Row],[بدهکار (کیلوگرم)]]-Main[[#This Row],[بدهی تسویه نشده (کیلوگرم)]]</f>
        <v>0</v>
      </c>
      <c r="O2354" s="6">
        <f ca="1">Main[[#This Row],[تفکیک]]</f>
        <v>0</v>
      </c>
      <c r="P2354" s="6">
        <f ca="1">IF(Main[[#This Row],[تاخیر از سررسید]]&gt;0,Main[[#This Row],[بدهی تسویه نشده (کیلوگرم)]],0)</f>
        <v>0</v>
      </c>
      <c r="Q2354" s="6">
        <f ca="1">IF(Main[[#This Row],[بدهی تسویه نشده (کیلوگرم)]]&gt;0,'گزارش فردی'!$B$7-Main[[#This Row],[تاريخ میلادی]],0)</f>
        <v>0</v>
      </c>
      <c r="R2354" s="6">
        <f ca="1">IF(Main[[#This Row],[بدهی تسویه نشده (کیلوگرم)]]&gt;0,'گزارش فردی'!$B$7-Main[[#This Row],[تاريخ میلادی]]-'گزارش فردی'!$B$8,0)</f>
        <v>0</v>
      </c>
      <c r="S2354" s="6">
        <f ca="1">Main[[#This Row],[روز از ارسال سفارش]]*Main[[#This Row],[بدهی تسویه نشده (کیلوگرم)]]</f>
        <v>0</v>
      </c>
      <c r="T2354" s="6">
        <f ca="1">Main[[#This Row],[بدهی سررسید شده (کیلوگرم)]]*Main[[#This Row],[روز از ارسال سفارش]]</f>
        <v>0</v>
      </c>
      <c r="U2354" s="6">
        <f>-SUBTOTAL(9,INDEX(Main[مقدار (کیلوگرم)],1):Main[[#This Row],[مقدار (کیلوگرم)]])</f>
        <v>32923</v>
      </c>
      <c r="V235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4" s="6">
        <f>Main[[#This Row],[تعداد کل روزهای بدهکار (روز)]]*Main[[#This Row],[مانده در خط کل (کیلوگرم)]]</f>
        <v>131692</v>
      </c>
      <c r="X2354" s="6">
        <f ca="1">-SUBTOTAL(9,INDEX(Main[مقدار تسویه شده (کیلوگرم)],1):Main[[#This Row],[مقدار تسویه شده (کیلوگرم)]])</f>
        <v>27960</v>
      </c>
      <c r="Y2354" s="6">
        <f ca="1">IF(Main[[#This Row],[مانده در خط تسویه شده (کیلوگرم)]]&lt;&gt;0,Main[[#This Row],[تعداد کل روزهای بدهکار (روز)]],0)</f>
        <v>4</v>
      </c>
      <c r="Z2354" s="6">
        <f ca="1">Main[[#This Row],[تعداد روزهای بدهکار تسویه شده (روز)]]*Main[[#This Row],[مانده در خط تسویه شده (کیلوگرم)]]</f>
        <v>111840</v>
      </c>
      <c r="AA2354" s="6">
        <f ca="1">SUBTOTAL(9,INDEX(Main[بدهی تسویه نشده (کیلوگرم)],1):Main[[#This Row],[بدهی تسویه نشده (کیلوگرم)]])</f>
        <v>4963</v>
      </c>
      <c r="AB2354" s="6">
        <f ca="1">IF(Main[[#This Row],[مانده در خط تسویه نشده (کیلوگرم)]]&lt;&gt;0,Main[[#This Row],[تعداد کل روزهای بدهکار (روز)]],0)</f>
        <v>4</v>
      </c>
      <c r="AC2354" s="6">
        <f ca="1">Main[[#This Row],[تعداد روزهای بدهکار  تسویه نشده (روز)]]*Main[[#This Row],[مانده در خط تسویه نشده (کیلوگرم)]]</f>
        <v>19852</v>
      </c>
      <c r="AD2354" s="6">
        <f ca="1">SUBTOTAL(9,INDEX(Main[بدهی سررسید شده (کیلوگرم)],1):Main[[#This Row],[بدهی سررسید شده (کیلوگرم)]])</f>
        <v>4963</v>
      </c>
      <c r="AE2354" s="6">
        <f ca="1">IF(Main[[#This Row],[مانده در خط سررسید شده (کیلوگرم)]]&lt;&gt;0,Main[[#This Row],[تعداد کل روزهای بدهکار (روز)]],0)</f>
        <v>4</v>
      </c>
      <c r="AF2354" s="6">
        <f ca="1">Main[[#This Row],[تعداد روزهای بدهکار سررسید شده (روز)]]*Main[[#This Row],[مانده در خط سررسید شده (کیلوگرم)]]</f>
        <v>19852</v>
      </c>
    </row>
    <row r="2355" spans="1:32" hidden="1" x14ac:dyDescent="0.35">
      <c r="A2355" s="5">
        <f>ROW()-ROW(INDEX(Main[ردیف],1))+1</f>
        <v>2353</v>
      </c>
      <c r="B2355" s="31">
        <f>SUBTOTAL(2,INDEX(Main[ردیف],1):Main[[#This Row],[ردیف]])</f>
        <v>214</v>
      </c>
      <c r="C2355" s="32" t="s">
        <v>795</v>
      </c>
      <c r="D2355" s="32" t="str">
        <f>_xlfn.CONCAT("14",Main[[#This Row],[تاريخ]])</f>
        <v>1400/09/10</v>
      </c>
      <c r="E2355" s="33">
        <v>44531</v>
      </c>
      <c r="F2355" s="32">
        <v>30186</v>
      </c>
      <c r="G2355" s="5" t="str">
        <f>INDEX(customer[عنوان],MATCH(Main[[#This Row],[کد ردیابی]],customer[کد],0))</f>
        <v>سارا گاز</v>
      </c>
      <c r="H2355">
        <v>-2305</v>
      </c>
      <c r="I2355" s="6">
        <f ca="1">-Main[[#This Row],[بدهی تسویه شده (کیلوگرم)]]+Main[[#This Row],[بستانکار (کیلوگرم)]]</f>
        <v>0</v>
      </c>
      <c r="J2355" s="6">
        <f>IF(Main[[#This Row],[مقدار (کیلوگرم)]]&gt;0,Main[[#This Row],[مقدار (کیلوگرم)]],0)</f>
        <v>0</v>
      </c>
      <c r="K2355" s="6">
        <f>-IF(Main[[#This Row],[مقدار (کیلوگرم)]]&lt;0,Main[[#This Row],[مقدار (کیلوگرم)]],0)</f>
        <v>2305</v>
      </c>
      <c r="L23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2305</v>
      </c>
      <c r="M2355" s="7">
        <f>-IF(AND(Main[[#This Row],[مقدار (کیلوگرم)]]&lt;0,Main[[#This Row],[تاريخ میلادی]]&gt;44276),Main[[#This Row],[مقدار (کیلوگرم)]],0)</f>
        <v>2305</v>
      </c>
      <c r="N2355" s="6">
        <f ca="1">Main[[#This Row],[بدهکار (کیلوگرم)]]-Main[[#This Row],[بدهی تسویه نشده (کیلوگرم)]]</f>
        <v>0</v>
      </c>
      <c r="O2355" s="6">
        <f ca="1">Main[[#This Row],[تفکیک]]</f>
        <v>2305</v>
      </c>
      <c r="P2355" s="6">
        <f ca="1">IF(Main[[#This Row],[تاخیر از سررسید]]&gt;0,Main[[#This Row],[بدهی تسویه نشده (کیلوگرم)]],0)</f>
        <v>2305</v>
      </c>
      <c r="Q2355" s="6">
        <f ca="1">IF(Main[[#This Row],[بدهی تسویه نشده (کیلوگرم)]]&gt;0,'گزارش فردی'!$B$7-Main[[#This Row],[تاريخ میلادی]],0)</f>
        <v>931.75374085648218</v>
      </c>
      <c r="R2355" s="6">
        <f ca="1">IF(Main[[#This Row],[بدهی تسویه نشده (کیلوگرم)]]&gt;0,'گزارش فردی'!$B$7-Main[[#This Row],[تاريخ میلادی]]-'گزارش فردی'!$B$8,0)</f>
        <v>916.75374085648218</v>
      </c>
      <c r="S2355" s="6">
        <f ca="1">Main[[#This Row],[روز از ارسال سفارش]]*Main[[#This Row],[بدهی تسویه نشده (کیلوگرم)]]</f>
        <v>2147692.3726741914</v>
      </c>
      <c r="T2355" s="6">
        <f ca="1">Main[[#This Row],[بدهی سررسید شده (کیلوگرم)]]*Main[[#This Row],[روز از ارسال سفارش]]</f>
        <v>2147692.3726741914</v>
      </c>
      <c r="U2355" s="6">
        <f>-SUBTOTAL(9,INDEX(Main[مقدار (کیلوگرم)],1):Main[[#This Row],[مقدار (کیلوگرم)]])</f>
        <v>32923</v>
      </c>
      <c r="V235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5" s="6">
        <f>Main[[#This Row],[تعداد کل روزهای بدهکار (روز)]]*Main[[#This Row],[مانده در خط کل (کیلوگرم)]]</f>
        <v>98769</v>
      </c>
      <c r="X2355" s="6">
        <f ca="1">-SUBTOTAL(9,INDEX(Main[مقدار تسویه شده (کیلوگرم)],1):Main[[#This Row],[مقدار تسویه شده (کیلوگرم)]])</f>
        <v>27960</v>
      </c>
      <c r="Y2355" s="6">
        <f ca="1">IF(Main[[#This Row],[مانده در خط تسویه شده (کیلوگرم)]]&lt;&gt;0,Main[[#This Row],[تعداد کل روزهای بدهکار (روز)]],0)</f>
        <v>3</v>
      </c>
      <c r="Z2355" s="6">
        <f ca="1">Main[[#This Row],[تعداد روزهای بدهکار تسویه شده (روز)]]*Main[[#This Row],[مانده در خط تسویه شده (کیلوگرم)]]</f>
        <v>83880</v>
      </c>
      <c r="AA2355" s="6">
        <f ca="1">SUBTOTAL(9,INDEX(Main[بدهی تسویه نشده (کیلوگرم)],1):Main[[#This Row],[بدهی تسویه نشده (کیلوگرم)]])</f>
        <v>4963</v>
      </c>
      <c r="AB2355" s="6">
        <f ca="1">IF(Main[[#This Row],[مانده در خط تسویه نشده (کیلوگرم)]]&lt;&gt;0,Main[[#This Row],[تعداد کل روزهای بدهکار (روز)]],0)</f>
        <v>3</v>
      </c>
      <c r="AC2355" s="6">
        <f ca="1">Main[[#This Row],[تعداد روزهای بدهکار  تسویه نشده (روز)]]*Main[[#This Row],[مانده در خط تسویه نشده (کیلوگرم)]]</f>
        <v>14889</v>
      </c>
      <c r="AD2355" s="6">
        <f ca="1">SUBTOTAL(9,INDEX(Main[بدهی سررسید شده (کیلوگرم)],1):Main[[#This Row],[بدهی سررسید شده (کیلوگرم)]])</f>
        <v>4963</v>
      </c>
      <c r="AE2355" s="6">
        <f ca="1">IF(Main[[#This Row],[مانده در خط سررسید شده (کیلوگرم)]]&lt;&gt;0,Main[[#This Row],[تعداد کل روزهای بدهکار (روز)]],0)</f>
        <v>3</v>
      </c>
      <c r="AF2355" s="6">
        <f ca="1">Main[[#This Row],[تعداد روزهای بدهکار سررسید شده (روز)]]*Main[[#This Row],[مانده در خط سررسید شده (کیلوگرم)]]</f>
        <v>14889</v>
      </c>
    </row>
    <row r="2356" spans="1:32" hidden="1" x14ac:dyDescent="0.35">
      <c r="A2356" s="5">
        <f>ROW()-ROW(INDEX(Main[ردیف],1))+1</f>
        <v>2354</v>
      </c>
      <c r="B2356" s="31">
        <f>SUBTOTAL(2,INDEX(Main[ردیف],1):Main[[#This Row],[ردیف]])</f>
        <v>214</v>
      </c>
      <c r="C2356" s="32" t="s">
        <v>795</v>
      </c>
      <c r="D2356" s="32" t="str">
        <f>_xlfn.CONCAT("14",Main[[#This Row],[تاريخ]])</f>
        <v>1400/09/10</v>
      </c>
      <c r="E2356" s="33">
        <v>44531</v>
      </c>
      <c r="F2356" s="32">
        <v>30003</v>
      </c>
      <c r="G2356" s="5" t="str">
        <f>INDEX(customer[عنوان],MATCH(Main[[#This Row],[کد ردیابی]],customer[کد],0))</f>
        <v xml:space="preserve">شهاب گاز سوز </v>
      </c>
      <c r="H2356">
        <v>824</v>
      </c>
      <c r="I2356" s="6">
        <f ca="1">-Main[[#This Row],[بدهی تسویه شده (کیلوگرم)]]+Main[[#This Row],[بستانکار (کیلوگرم)]]</f>
        <v>824</v>
      </c>
      <c r="J2356" s="6">
        <f>IF(Main[[#This Row],[مقدار (کیلوگرم)]]&gt;0,Main[[#This Row],[مقدار (کیلوگرم)]],0)</f>
        <v>824</v>
      </c>
      <c r="K2356" s="6">
        <f>-IF(Main[[#This Row],[مقدار (کیلوگرم)]]&lt;0,Main[[#This Row],[مقدار (کیلوگرم)]],0)</f>
        <v>0</v>
      </c>
      <c r="L23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6" s="7">
        <f>-IF(AND(Main[[#This Row],[مقدار (کیلوگرم)]]&lt;0,Main[[#This Row],[تاريخ میلادی]]&gt;44276),Main[[#This Row],[مقدار (کیلوگرم)]],0)</f>
        <v>0</v>
      </c>
      <c r="N2356" s="6">
        <f ca="1">Main[[#This Row],[بدهکار (کیلوگرم)]]-Main[[#This Row],[بدهی تسویه نشده (کیلوگرم)]]</f>
        <v>0</v>
      </c>
      <c r="O2356" s="6">
        <f ca="1">Main[[#This Row],[تفکیک]]</f>
        <v>0</v>
      </c>
      <c r="P2356" s="6">
        <f ca="1">IF(Main[[#This Row],[تاخیر از سررسید]]&gt;0,Main[[#This Row],[بدهی تسویه نشده (کیلوگرم)]],0)</f>
        <v>0</v>
      </c>
      <c r="Q2356" s="6">
        <f ca="1">IF(Main[[#This Row],[بدهی تسویه نشده (کیلوگرم)]]&gt;0,'گزارش فردی'!$B$7-Main[[#This Row],[تاريخ میلادی]],0)</f>
        <v>0</v>
      </c>
      <c r="R2356" s="6">
        <f ca="1">IF(Main[[#This Row],[بدهی تسویه نشده (کیلوگرم)]]&gt;0,'گزارش فردی'!$B$7-Main[[#This Row],[تاريخ میلادی]]-'گزارش فردی'!$B$8,0)</f>
        <v>0</v>
      </c>
      <c r="S2356" s="6">
        <f ca="1">Main[[#This Row],[روز از ارسال سفارش]]*Main[[#This Row],[بدهی تسویه نشده (کیلوگرم)]]</f>
        <v>0</v>
      </c>
      <c r="T2356" s="6">
        <f ca="1">Main[[#This Row],[بدهی سررسید شده (کیلوگرم)]]*Main[[#This Row],[روز از ارسال سفارش]]</f>
        <v>0</v>
      </c>
      <c r="U2356" s="6">
        <f>-SUBTOTAL(9,INDEX(Main[مقدار (کیلوگرم)],1):Main[[#This Row],[مقدار (کیلوگرم)]])</f>
        <v>32923</v>
      </c>
      <c r="V235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6" s="6">
        <f>Main[[#This Row],[تعداد کل روزهای بدهکار (روز)]]*Main[[#This Row],[مانده در خط کل (کیلوگرم)]]</f>
        <v>98769</v>
      </c>
      <c r="X2356" s="6">
        <f ca="1">-SUBTOTAL(9,INDEX(Main[مقدار تسویه شده (کیلوگرم)],1):Main[[#This Row],[مقدار تسویه شده (کیلوگرم)]])</f>
        <v>27960</v>
      </c>
      <c r="Y2356" s="6">
        <f ca="1">IF(Main[[#This Row],[مانده در خط تسویه شده (کیلوگرم)]]&lt;&gt;0,Main[[#This Row],[تعداد کل روزهای بدهکار (روز)]],0)</f>
        <v>3</v>
      </c>
      <c r="Z2356" s="6">
        <f ca="1">Main[[#This Row],[تعداد روزهای بدهکار تسویه شده (روز)]]*Main[[#This Row],[مانده در خط تسویه شده (کیلوگرم)]]</f>
        <v>83880</v>
      </c>
      <c r="AA2356" s="6">
        <f ca="1">SUBTOTAL(9,INDEX(Main[بدهی تسویه نشده (کیلوگرم)],1):Main[[#This Row],[بدهی تسویه نشده (کیلوگرم)]])</f>
        <v>4963</v>
      </c>
      <c r="AB2356" s="6">
        <f ca="1">IF(Main[[#This Row],[مانده در خط تسویه نشده (کیلوگرم)]]&lt;&gt;0,Main[[#This Row],[تعداد کل روزهای بدهکار (روز)]],0)</f>
        <v>3</v>
      </c>
      <c r="AC2356" s="6">
        <f ca="1">Main[[#This Row],[تعداد روزهای بدهکار  تسویه نشده (روز)]]*Main[[#This Row],[مانده در خط تسویه نشده (کیلوگرم)]]</f>
        <v>14889</v>
      </c>
      <c r="AD2356" s="6">
        <f ca="1">SUBTOTAL(9,INDEX(Main[بدهی سررسید شده (کیلوگرم)],1):Main[[#This Row],[بدهی سررسید شده (کیلوگرم)]])</f>
        <v>4963</v>
      </c>
      <c r="AE2356" s="6">
        <f ca="1">IF(Main[[#This Row],[مانده در خط سررسید شده (کیلوگرم)]]&lt;&gt;0,Main[[#This Row],[تعداد کل روزهای بدهکار (روز)]],0)</f>
        <v>3</v>
      </c>
      <c r="AF2356" s="6">
        <f ca="1">Main[[#This Row],[تعداد روزهای بدهکار سررسید شده (روز)]]*Main[[#This Row],[مانده در خط سررسید شده (کیلوگرم)]]</f>
        <v>14889</v>
      </c>
    </row>
    <row r="2357" spans="1:32" hidden="1" x14ac:dyDescent="0.35">
      <c r="A2357" s="5">
        <f>ROW()-ROW(INDEX(Main[ردیف],1))+1</f>
        <v>2355</v>
      </c>
      <c r="B2357" s="31">
        <f>SUBTOTAL(2,INDEX(Main[ردیف],1):Main[[#This Row],[ردیف]])</f>
        <v>214</v>
      </c>
      <c r="C2357" s="32" t="s">
        <v>795</v>
      </c>
      <c r="D2357" s="32" t="str">
        <f>_xlfn.CONCAT("14",Main[[#This Row],[تاريخ]])</f>
        <v>1400/09/10</v>
      </c>
      <c r="E2357" s="33">
        <v>44531</v>
      </c>
      <c r="F2357" s="32">
        <v>30155</v>
      </c>
      <c r="G2357" s="5" t="str">
        <f>INDEX(customer[عنوان],MATCH(Main[[#This Row],[کد ردیابی]],customer[کد],0))</f>
        <v>سری تراشی طاهری</v>
      </c>
      <c r="H2357">
        <v>-2018</v>
      </c>
      <c r="I2357" s="6">
        <f ca="1">-Main[[#This Row],[بدهی تسویه شده (کیلوگرم)]]+Main[[#This Row],[بستانکار (کیلوگرم)]]</f>
        <v>0</v>
      </c>
      <c r="J2357" s="6">
        <f>IF(Main[[#This Row],[مقدار (کیلوگرم)]]&gt;0,Main[[#This Row],[مقدار (کیلوگرم)]],0)</f>
        <v>0</v>
      </c>
      <c r="K2357" s="6">
        <f>-IF(Main[[#This Row],[مقدار (کیلوگرم)]]&lt;0,Main[[#This Row],[مقدار (کیلوگرم)]],0)</f>
        <v>2018</v>
      </c>
      <c r="L23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2018</v>
      </c>
      <c r="M2357" s="7">
        <f>-IF(AND(Main[[#This Row],[مقدار (کیلوگرم)]]&lt;0,Main[[#This Row],[تاريخ میلادی]]&gt;44276),Main[[#This Row],[مقدار (کیلوگرم)]],0)</f>
        <v>2018</v>
      </c>
      <c r="N2357" s="6">
        <f ca="1">Main[[#This Row],[بدهکار (کیلوگرم)]]-Main[[#This Row],[بدهی تسویه نشده (کیلوگرم)]]</f>
        <v>0</v>
      </c>
      <c r="O2357" s="6">
        <f ca="1">Main[[#This Row],[تفکیک]]</f>
        <v>2018</v>
      </c>
      <c r="P2357" s="6">
        <f ca="1">IF(Main[[#This Row],[تاخیر از سررسید]]&gt;0,Main[[#This Row],[بدهی تسویه نشده (کیلوگرم)]],0)</f>
        <v>2018</v>
      </c>
      <c r="Q2357" s="6">
        <f ca="1">IF(Main[[#This Row],[بدهی تسویه نشده (کیلوگرم)]]&gt;0,'گزارش فردی'!$B$7-Main[[#This Row],[تاريخ میلادی]],0)</f>
        <v>931.75374085648218</v>
      </c>
      <c r="R2357" s="6">
        <f ca="1">IF(Main[[#This Row],[بدهی تسویه نشده (کیلوگرم)]]&gt;0,'گزارش فردی'!$B$7-Main[[#This Row],[تاريخ میلادی]]-'گزارش فردی'!$B$8,0)</f>
        <v>916.75374085648218</v>
      </c>
      <c r="S2357" s="6">
        <f ca="1">Main[[#This Row],[روز از ارسال سفارش]]*Main[[#This Row],[بدهی تسویه نشده (کیلوگرم)]]</f>
        <v>1880279.0490483809</v>
      </c>
      <c r="T2357" s="6">
        <f ca="1">Main[[#This Row],[بدهی سررسید شده (کیلوگرم)]]*Main[[#This Row],[روز از ارسال سفارش]]</f>
        <v>1880279.0490483809</v>
      </c>
      <c r="U2357" s="6">
        <f>-SUBTOTAL(9,INDEX(Main[مقدار (کیلوگرم)],1):Main[[#This Row],[مقدار (کیلوگرم)]])</f>
        <v>32923</v>
      </c>
      <c r="V235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7" s="6">
        <f>Main[[#This Row],[تعداد کل روزهای بدهکار (روز)]]*Main[[#This Row],[مانده در خط کل (کیلوگرم)]]</f>
        <v>98769</v>
      </c>
      <c r="X2357" s="6">
        <f ca="1">-SUBTOTAL(9,INDEX(Main[مقدار تسویه شده (کیلوگرم)],1):Main[[#This Row],[مقدار تسویه شده (کیلوگرم)]])</f>
        <v>27960</v>
      </c>
      <c r="Y2357" s="6">
        <f ca="1">IF(Main[[#This Row],[مانده در خط تسویه شده (کیلوگرم)]]&lt;&gt;0,Main[[#This Row],[تعداد کل روزهای بدهکار (روز)]],0)</f>
        <v>3</v>
      </c>
      <c r="Z2357" s="6">
        <f ca="1">Main[[#This Row],[تعداد روزهای بدهکار تسویه شده (روز)]]*Main[[#This Row],[مانده در خط تسویه شده (کیلوگرم)]]</f>
        <v>83880</v>
      </c>
      <c r="AA2357" s="6">
        <f ca="1">SUBTOTAL(9,INDEX(Main[بدهی تسویه نشده (کیلوگرم)],1):Main[[#This Row],[بدهی تسویه نشده (کیلوگرم)]])</f>
        <v>4963</v>
      </c>
      <c r="AB2357" s="6">
        <f ca="1">IF(Main[[#This Row],[مانده در خط تسویه نشده (کیلوگرم)]]&lt;&gt;0,Main[[#This Row],[تعداد کل روزهای بدهکار (روز)]],0)</f>
        <v>3</v>
      </c>
      <c r="AC2357" s="6">
        <f ca="1">Main[[#This Row],[تعداد روزهای بدهکار  تسویه نشده (روز)]]*Main[[#This Row],[مانده در خط تسویه نشده (کیلوگرم)]]</f>
        <v>14889</v>
      </c>
      <c r="AD2357" s="6">
        <f ca="1">SUBTOTAL(9,INDEX(Main[بدهی سررسید شده (کیلوگرم)],1):Main[[#This Row],[بدهی سررسید شده (کیلوگرم)]])</f>
        <v>4963</v>
      </c>
      <c r="AE2357" s="6">
        <f ca="1">IF(Main[[#This Row],[مانده در خط سررسید شده (کیلوگرم)]]&lt;&gt;0,Main[[#This Row],[تعداد کل روزهای بدهکار (روز)]],0)</f>
        <v>3</v>
      </c>
      <c r="AF2357" s="6">
        <f ca="1">Main[[#This Row],[تعداد روزهای بدهکار سررسید شده (روز)]]*Main[[#This Row],[مانده در خط سررسید شده (کیلوگرم)]]</f>
        <v>14889</v>
      </c>
    </row>
    <row r="2358" spans="1:32" hidden="1" x14ac:dyDescent="0.35">
      <c r="A2358" s="5">
        <f>ROW()-ROW(INDEX(Main[ردیف],1))+1</f>
        <v>2356</v>
      </c>
      <c r="B2358" s="31">
        <f>SUBTOTAL(2,INDEX(Main[ردیف],1):Main[[#This Row],[ردیف]])</f>
        <v>214</v>
      </c>
      <c r="C2358" s="32" t="s">
        <v>795</v>
      </c>
      <c r="D2358" s="32" t="str">
        <f>_xlfn.CONCAT("14",Main[[#This Row],[تاريخ]])</f>
        <v>1400/09/10</v>
      </c>
      <c r="E2358" s="33">
        <v>44531</v>
      </c>
      <c r="F2358" s="32">
        <v>30003</v>
      </c>
      <c r="G2358" s="5" t="str">
        <f>INDEX(customer[عنوان],MATCH(Main[[#This Row],[کد ردیابی]],customer[کد],0))</f>
        <v xml:space="preserve">شهاب گاز سوز </v>
      </c>
      <c r="H2358">
        <v>207</v>
      </c>
      <c r="I2358" s="6">
        <f ca="1">-Main[[#This Row],[بدهی تسویه شده (کیلوگرم)]]+Main[[#This Row],[بستانکار (کیلوگرم)]]</f>
        <v>207</v>
      </c>
      <c r="J2358" s="6">
        <f>IF(Main[[#This Row],[مقدار (کیلوگرم)]]&gt;0,Main[[#This Row],[مقدار (کیلوگرم)]],0)</f>
        <v>207</v>
      </c>
      <c r="K2358" s="6">
        <f>-IF(Main[[#This Row],[مقدار (کیلوگرم)]]&lt;0,Main[[#This Row],[مقدار (کیلوگرم)]],0)</f>
        <v>0</v>
      </c>
      <c r="L23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8" s="7">
        <f>-IF(AND(Main[[#This Row],[مقدار (کیلوگرم)]]&lt;0,Main[[#This Row],[تاريخ میلادی]]&gt;44276),Main[[#This Row],[مقدار (کیلوگرم)]],0)</f>
        <v>0</v>
      </c>
      <c r="N2358" s="6">
        <f ca="1">Main[[#This Row],[بدهکار (کیلوگرم)]]-Main[[#This Row],[بدهی تسویه نشده (کیلوگرم)]]</f>
        <v>0</v>
      </c>
      <c r="O2358" s="6">
        <f ca="1">Main[[#This Row],[تفکیک]]</f>
        <v>0</v>
      </c>
      <c r="P2358" s="6">
        <f ca="1">IF(Main[[#This Row],[تاخیر از سررسید]]&gt;0,Main[[#This Row],[بدهی تسویه نشده (کیلوگرم)]],0)</f>
        <v>0</v>
      </c>
      <c r="Q2358" s="6">
        <f ca="1">IF(Main[[#This Row],[بدهی تسویه نشده (کیلوگرم)]]&gt;0,'گزارش فردی'!$B$7-Main[[#This Row],[تاريخ میلادی]],0)</f>
        <v>0</v>
      </c>
      <c r="R2358" s="6">
        <f ca="1">IF(Main[[#This Row],[بدهی تسویه نشده (کیلوگرم)]]&gt;0,'گزارش فردی'!$B$7-Main[[#This Row],[تاريخ میلادی]]-'گزارش فردی'!$B$8,0)</f>
        <v>0</v>
      </c>
      <c r="S2358" s="6">
        <f ca="1">Main[[#This Row],[روز از ارسال سفارش]]*Main[[#This Row],[بدهی تسویه نشده (کیلوگرم)]]</f>
        <v>0</v>
      </c>
      <c r="T2358" s="6">
        <f ca="1">Main[[#This Row],[بدهی سررسید شده (کیلوگرم)]]*Main[[#This Row],[روز از ارسال سفارش]]</f>
        <v>0</v>
      </c>
      <c r="U2358" s="6">
        <f>-SUBTOTAL(9,INDEX(Main[مقدار (کیلوگرم)],1):Main[[#This Row],[مقدار (کیلوگرم)]])</f>
        <v>32923</v>
      </c>
      <c r="V235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8" s="6">
        <f>Main[[#This Row],[تعداد کل روزهای بدهکار (روز)]]*Main[[#This Row],[مانده در خط کل (کیلوگرم)]]</f>
        <v>98769</v>
      </c>
      <c r="X2358" s="6">
        <f ca="1">-SUBTOTAL(9,INDEX(Main[مقدار تسویه شده (کیلوگرم)],1):Main[[#This Row],[مقدار تسویه شده (کیلوگرم)]])</f>
        <v>27960</v>
      </c>
      <c r="Y2358" s="6">
        <f ca="1">IF(Main[[#This Row],[مانده در خط تسویه شده (کیلوگرم)]]&lt;&gt;0,Main[[#This Row],[تعداد کل روزهای بدهکار (روز)]],0)</f>
        <v>3</v>
      </c>
      <c r="Z2358" s="6">
        <f ca="1">Main[[#This Row],[تعداد روزهای بدهکار تسویه شده (روز)]]*Main[[#This Row],[مانده در خط تسویه شده (کیلوگرم)]]</f>
        <v>83880</v>
      </c>
      <c r="AA2358" s="6">
        <f ca="1">SUBTOTAL(9,INDEX(Main[بدهی تسویه نشده (کیلوگرم)],1):Main[[#This Row],[بدهی تسویه نشده (کیلوگرم)]])</f>
        <v>4963</v>
      </c>
      <c r="AB2358" s="6">
        <f ca="1">IF(Main[[#This Row],[مانده در خط تسویه نشده (کیلوگرم)]]&lt;&gt;0,Main[[#This Row],[تعداد کل روزهای بدهکار (روز)]],0)</f>
        <v>3</v>
      </c>
      <c r="AC2358" s="6">
        <f ca="1">Main[[#This Row],[تعداد روزهای بدهکار  تسویه نشده (روز)]]*Main[[#This Row],[مانده در خط تسویه نشده (کیلوگرم)]]</f>
        <v>14889</v>
      </c>
      <c r="AD2358" s="6">
        <f ca="1">SUBTOTAL(9,INDEX(Main[بدهی سررسید شده (کیلوگرم)],1):Main[[#This Row],[بدهی سررسید شده (کیلوگرم)]])</f>
        <v>4963</v>
      </c>
      <c r="AE2358" s="6">
        <f ca="1">IF(Main[[#This Row],[مانده در خط سررسید شده (کیلوگرم)]]&lt;&gt;0,Main[[#This Row],[تعداد کل روزهای بدهکار (روز)]],0)</f>
        <v>3</v>
      </c>
      <c r="AF2358" s="6">
        <f ca="1">Main[[#This Row],[تعداد روزهای بدهکار سررسید شده (روز)]]*Main[[#This Row],[مانده در خط سررسید شده (کیلوگرم)]]</f>
        <v>14889</v>
      </c>
    </row>
    <row r="2359" spans="1:32" hidden="1" x14ac:dyDescent="0.35">
      <c r="A2359" s="5">
        <f>ROW()-ROW(INDEX(Main[ردیف],1))+1</f>
        <v>2357</v>
      </c>
      <c r="B2359" s="31">
        <f>SUBTOTAL(2,INDEX(Main[ردیف],1):Main[[#This Row],[ردیف]])</f>
        <v>214</v>
      </c>
      <c r="C2359" s="32" t="s">
        <v>795</v>
      </c>
      <c r="D2359" s="32" t="str">
        <f>_xlfn.CONCAT("14",Main[[#This Row],[تاريخ]])</f>
        <v>1400/09/10</v>
      </c>
      <c r="E2359" s="33">
        <v>44531</v>
      </c>
      <c r="F2359" s="32">
        <v>10070</v>
      </c>
      <c r="G2359" s="5" t="str">
        <f>INDEX(customer[عنوان],MATCH(Main[[#This Row],[کد ردیابی]],customer[کد],0))</f>
        <v xml:space="preserve">حمیدرضا شفیعی </v>
      </c>
      <c r="H2359">
        <v>-1274</v>
      </c>
      <c r="I2359" s="6">
        <f ca="1">-Main[[#This Row],[بدهی تسویه شده (کیلوگرم)]]+Main[[#This Row],[بستانکار (کیلوگرم)]]</f>
        <v>0</v>
      </c>
      <c r="J2359" s="6">
        <f>IF(Main[[#This Row],[مقدار (کیلوگرم)]]&gt;0,Main[[#This Row],[مقدار (کیلوگرم)]],0)</f>
        <v>0</v>
      </c>
      <c r="K2359" s="6">
        <f>-IF(Main[[#This Row],[مقدار (کیلوگرم)]]&lt;0,Main[[#This Row],[مقدار (کیلوگرم)]],0)</f>
        <v>1274</v>
      </c>
      <c r="L23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1274</v>
      </c>
      <c r="M2359" s="7">
        <f>-IF(AND(Main[[#This Row],[مقدار (کیلوگرم)]]&lt;0,Main[[#This Row],[تاريخ میلادی]]&gt;44276),Main[[#This Row],[مقدار (کیلوگرم)]],0)</f>
        <v>1274</v>
      </c>
      <c r="N2359" s="6">
        <f ca="1">Main[[#This Row],[بدهکار (کیلوگرم)]]-Main[[#This Row],[بدهی تسویه نشده (کیلوگرم)]]</f>
        <v>0</v>
      </c>
      <c r="O2359" s="6">
        <f ca="1">Main[[#This Row],[تفکیک]]</f>
        <v>1274</v>
      </c>
      <c r="P2359" s="6">
        <f ca="1">IF(Main[[#This Row],[تاخیر از سررسید]]&gt;0,Main[[#This Row],[بدهی تسویه نشده (کیلوگرم)]],0)</f>
        <v>1274</v>
      </c>
      <c r="Q2359" s="6">
        <f ca="1">IF(Main[[#This Row],[بدهی تسویه نشده (کیلوگرم)]]&gt;0,'گزارش فردی'!$B$7-Main[[#This Row],[تاريخ میلادی]],0)</f>
        <v>931.75374085648218</v>
      </c>
      <c r="R2359" s="6">
        <f ca="1">IF(Main[[#This Row],[بدهی تسویه نشده (کیلوگرم)]]&gt;0,'گزارش فردی'!$B$7-Main[[#This Row],[تاريخ میلادی]]-'گزارش فردی'!$B$8,0)</f>
        <v>916.75374085648218</v>
      </c>
      <c r="S2359" s="6">
        <f ca="1">Main[[#This Row],[روز از ارسال سفارش]]*Main[[#This Row],[بدهی تسویه نشده (کیلوگرم)]]</f>
        <v>1187054.2658511582</v>
      </c>
      <c r="T2359" s="6">
        <f ca="1">Main[[#This Row],[بدهی سررسید شده (کیلوگرم)]]*Main[[#This Row],[روز از ارسال سفارش]]</f>
        <v>1187054.2658511582</v>
      </c>
      <c r="U2359" s="6">
        <f>-SUBTOTAL(9,INDEX(Main[مقدار (کیلوگرم)],1):Main[[#This Row],[مقدار (کیلوگرم)]])</f>
        <v>32923</v>
      </c>
      <c r="V235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9" s="6">
        <f>Main[[#This Row],[تعداد کل روزهای بدهکار (روز)]]*Main[[#This Row],[مانده در خط کل (کیلوگرم)]]</f>
        <v>98769</v>
      </c>
      <c r="X2359" s="6">
        <f ca="1">-SUBTOTAL(9,INDEX(Main[مقدار تسویه شده (کیلوگرم)],1):Main[[#This Row],[مقدار تسویه شده (کیلوگرم)]])</f>
        <v>27960</v>
      </c>
      <c r="Y2359" s="6">
        <f ca="1">IF(Main[[#This Row],[مانده در خط تسویه شده (کیلوگرم)]]&lt;&gt;0,Main[[#This Row],[تعداد کل روزهای بدهکار (روز)]],0)</f>
        <v>3</v>
      </c>
      <c r="Z2359" s="6">
        <f ca="1">Main[[#This Row],[تعداد روزهای بدهکار تسویه شده (روز)]]*Main[[#This Row],[مانده در خط تسویه شده (کیلوگرم)]]</f>
        <v>83880</v>
      </c>
      <c r="AA2359" s="6">
        <f ca="1">SUBTOTAL(9,INDEX(Main[بدهی تسویه نشده (کیلوگرم)],1):Main[[#This Row],[بدهی تسویه نشده (کیلوگرم)]])</f>
        <v>4963</v>
      </c>
      <c r="AB2359" s="6">
        <f ca="1">IF(Main[[#This Row],[مانده در خط تسویه نشده (کیلوگرم)]]&lt;&gt;0,Main[[#This Row],[تعداد کل روزهای بدهکار (روز)]],0)</f>
        <v>3</v>
      </c>
      <c r="AC2359" s="6">
        <f ca="1">Main[[#This Row],[تعداد روزهای بدهکار  تسویه نشده (روز)]]*Main[[#This Row],[مانده در خط تسویه نشده (کیلوگرم)]]</f>
        <v>14889</v>
      </c>
      <c r="AD2359" s="6">
        <f ca="1">SUBTOTAL(9,INDEX(Main[بدهی سررسید شده (کیلوگرم)],1):Main[[#This Row],[بدهی سررسید شده (کیلوگرم)]])</f>
        <v>4963</v>
      </c>
      <c r="AE2359" s="6">
        <f ca="1">IF(Main[[#This Row],[مانده در خط سررسید شده (کیلوگرم)]]&lt;&gt;0,Main[[#This Row],[تعداد کل روزهای بدهکار (روز)]],0)</f>
        <v>3</v>
      </c>
      <c r="AF2359" s="6">
        <f ca="1">Main[[#This Row],[تعداد روزهای بدهکار سررسید شده (روز)]]*Main[[#This Row],[مانده در خط سررسید شده (کیلوگرم)]]</f>
        <v>14889</v>
      </c>
    </row>
    <row r="2360" spans="1:32" hidden="1" x14ac:dyDescent="0.35">
      <c r="A2360" s="5">
        <f>ROW()-ROW(INDEX(Main[ردیف],1))+1</f>
        <v>2358</v>
      </c>
      <c r="B2360" s="31">
        <f>SUBTOTAL(2,INDEX(Main[ردیف],1):Main[[#This Row],[ردیف]])</f>
        <v>214</v>
      </c>
      <c r="C2360" s="32" t="s">
        <v>795</v>
      </c>
      <c r="D2360" s="32" t="str">
        <f>_xlfn.CONCAT("14",Main[[#This Row],[تاريخ]])</f>
        <v>1400/09/10</v>
      </c>
      <c r="E2360" s="33">
        <v>44531</v>
      </c>
      <c r="F2360" s="32">
        <v>10055</v>
      </c>
      <c r="G2360" s="5" t="str">
        <f>INDEX(customer[عنوان],MATCH(Main[[#This Row],[کد ردیابی]],customer[کد],0))</f>
        <v xml:space="preserve">مریم فیض آبادی  </v>
      </c>
      <c r="H2360">
        <v>5084</v>
      </c>
      <c r="I2360" s="6">
        <f ca="1">-Main[[#This Row],[بدهی تسویه شده (کیلوگرم)]]+Main[[#This Row],[بستانکار (کیلوگرم)]]</f>
        <v>5084</v>
      </c>
      <c r="J2360" s="6">
        <f>IF(Main[[#This Row],[مقدار (کیلوگرم)]]&gt;0,Main[[#This Row],[مقدار (کیلوگرم)]],0)</f>
        <v>5084</v>
      </c>
      <c r="K2360" s="6">
        <f>-IF(Main[[#This Row],[مقدار (کیلوگرم)]]&lt;0,Main[[#This Row],[مقدار (کیلوگرم)]],0)</f>
        <v>0</v>
      </c>
      <c r="L23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0" s="7">
        <f>-IF(AND(Main[[#This Row],[مقدار (کیلوگرم)]]&lt;0,Main[[#This Row],[تاريخ میلادی]]&gt;44276),Main[[#This Row],[مقدار (کیلوگرم)]],0)</f>
        <v>0</v>
      </c>
      <c r="N2360" s="6">
        <f ca="1">Main[[#This Row],[بدهکار (کیلوگرم)]]-Main[[#This Row],[بدهی تسویه نشده (کیلوگرم)]]</f>
        <v>0</v>
      </c>
      <c r="O2360" s="6">
        <f ca="1">Main[[#This Row],[تفکیک]]</f>
        <v>0</v>
      </c>
      <c r="P2360" s="6">
        <f ca="1">IF(Main[[#This Row],[تاخیر از سررسید]]&gt;0,Main[[#This Row],[بدهی تسویه نشده (کیلوگرم)]],0)</f>
        <v>0</v>
      </c>
      <c r="Q2360" s="6">
        <f ca="1">IF(Main[[#This Row],[بدهی تسویه نشده (کیلوگرم)]]&gt;0,'گزارش فردی'!$B$7-Main[[#This Row],[تاريخ میلادی]],0)</f>
        <v>0</v>
      </c>
      <c r="R2360" s="6">
        <f ca="1">IF(Main[[#This Row],[بدهی تسویه نشده (کیلوگرم)]]&gt;0,'گزارش فردی'!$B$7-Main[[#This Row],[تاريخ میلادی]]-'گزارش فردی'!$B$8,0)</f>
        <v>0</v>
      </c>
      <c r="S2360" s="6">
        <f ca="1">Main[[#This Row],[روز از ارسال سفارش]]*Main[[#This Row],[بدهی تسویه نشده (کیلوگرم)]]</f>
        <v>0</v>
      </c>
      <c r="T2360" s="6">
        <f ca="1">Main[[#This Row],[بدهی سررسید شده (کیلوگرم)]]*Main[[#This Row],[روز از ارسال سفارش]]</f>
        <v>0</v>
      </c>
      <c r="U2360" s="6">
        <f>-SUBTOTAL(9,INDEX(Main[مقدار (کیلوگرم)],1):Main[[#This Row],[مقدار (کیلوگرم)]])</f>
        <v>32923</v>
      </c>
      <c r="V236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0" s="6">
        <f>Main[[#This Row],[تعداد کل روزهای بدهکار (روز)]]*Main[[#This Row],[مانده در خط کل (کیلوگرم)]]</f>
        <v>98769</v>
      </c>
      <c r="X2360" s="6">
        <f ca="1">-SUBTOTAL(9,INDEX(Main[مقدار تسویه شده (کیلوگرم)],1):Main[[#This Row],[مقدار تسویه شده (کیلوگرم)]])</f>
        <v>27960</v>
      </c>
      <c r="Y2360" s="6">
        <f ca="1">IF(Main[[#This Row],[مانده در خط تسویه شده (کیلوگرم)]]&lt;&gt;0,Main[[#This Row],[تعداد کل روزهای بدهکار (روز)]],0)</f>
        <v>3</v>
      </c>
      <c r="Z2360" s="6">
        <f ca="1">Main[[#This Row],[تعداد روزهای بدهکار تسویه شده (روز)]]*Main[[#This Row],[مانده در خط تسویه شده (کیلوگرم)]]</f>
        <v>83880</v>
      </c>
      <c r="AA2360" s="6">
        <f ca="1">SUBTOTAL(9,INDEX(Main[بدهی تسویه نشده (کیلوگرم)],1):Main[[#This Row],[بدهی تسویه نشده (کیلوگرم)]])</f>
        <v>4963</v>
      </c>
      <c r="AB2360" s="6">
        <f ca="1">IF(Main[[#This Row],[مانده در خط تسویه نشده (کیلوگرم)]]&lt;&gt;0,Main[[#This Row],[تعداد کل روزهای بدهکار (روز)]],0)</f>
        <v>3</v>
      </c>
      <c r="AC2360" s="6">
        <f ca="1">Main[[#This Row],[تعداد روزهای بدهکار  تسویه نشده (روز)]]*Main[[#This Row],[مانده در خط تسویه نشده (کیلوگرم)]]</f>
        <v>14889</v>
      </c>
      <c r="AD2360" s="6">
        <f ca="1">SUBTOTAL(9,INDEX(Main[بدهی سررسید شده (کیلوگرم)],1):Main[[#This Row],[بدهی سررسید شده (کیلوگرم)]])</f>
        <v>4963</v>
      </c>
      <c r="AE2360" s="6">
        <f ca="1">IF(Main[[#This Row],[مانده در خط سررسید شده (کیلوگرم)]]&lt;&gt;0,Main[[#This Row],[تعداد کل روزهای بدهکار (روز)]],0)</f>
        <v>3</v>
      </c>
      <c r="AF2360" s="6">
        <f ca="1">Main[[#This Row],[تعداد روزهای بدهکار سررسید شده (روز)]]*Main[[#This Row],[مانده در خط سررسید شده (کیلوگرم)]]</f>
        <v>14889</v>
      </c>
    </row>
    <row r="2361" spans="1:32" hidden="1" x14ac:dyDescent="0.35">
      <c r="A2361" s="5">
        <f>ROW()-ROW(INDEX(Main[ردیف],1))+1</f>
        <v>2359</v>
      </c>
      <c r="B2361" s="31">
        <f>SUBTOTAL(2,INDEX(Main[ردیف],1):Main[[#This Row],[ردیف]])</f>
        <v>214</v>
      </c>
      <c r="C2361" s="32" t="s">
        <v>795</v>
      </c>
      <c r="D2361" s="32" t="str">
        <f>_xlfn.CONCAT("14",Main[[#This Row],[تاريخ]])</f>
        <v>1400/09/10</v>
      </c>
      <c r="E2361" s="33">
        <v>44531</v>
      </c>
      <c r="F2361" s="32">
        <v>30187</v>
      </c>
      <c r="G2361" s="5" t="str">
        <f>INDEX(customer[عنوان],MATCH(Main[[#This Row],[کد ردیابی]],customer[کد],0))</f>
        <v>شرکت جام جم</v>
      </c>
      <c r="H2361">
        <v>-1310</v>
      </c>
      <c r="I2361" s="6">
        <f ca="1">-Main[[#This Row],[بدهی تسویه شده (کیلوگرم)]]+Main[[#This Row],[بستانکار (کیلوگرم)]]</f>
        <v>0</v>
      </c>
      <c r="J2361" s="6">
        <f>IF(Main[[#This Row],[مقدار (کیلوگرم)]]&gt;0,Main[[#This Row],[مقدار (کیلوگرم)]],0)</f>
        <v>0</v>
      </c>
      <c r="K2361" s="6">
        <f>-IF(Main[[#This Row],[مقدار (کیلوگرم)]]&lt;0,Main[[#This Row],[مقدار (کیلوگرم)]],0)</f>
        <v>1310</v>
      </c>
      <c r="L23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1310</v>
      </c>
      <c r="M2361" s="7">
        <f>-IF(AND(Main[[#This Row],[مقدار (کیلوگرم)]]&lt;0,Main[[#This Row],[تاريخ میلادی]]&gt;44276),Main[[#This Row],[مقدار (کیلوگرم)]],0)</f>
        <v>1310</v>
      </c>
      <c r="N2361" s="6">
        <f ca="1">Main[[#This Row],[بدهکار (کیلوگرم)]]-Main[[#This Row],[بدهی تسویه نشده (کیلوگرم)]]</f>
        <v>0</v>
      </c>
      <c r="O2361" s="6">
        <f ca="1">Main[[#This Row],[تفکیک]]</f>
        <v>1310</v>
      </c>
      <c r="P2361" s="6">
        <f ca="1">IF(Main[[#This Row],[تاخیر از سررسید]]&gt;0,Main[[#This Row],[بدهی تسویه نشده (کیلوگرم)]],0)</f>
        <v>1310</v>
      </c>
      <c r="Q2361" s="6">
        <f ca="1">IF(Main[[#This Row],[بدهی تسویه نشده (کیلوگرم)]]&gt;0,'گزارش فردی'!$B$7-Main[[#This Row],[تاريخ میلادی]],0)</f>
        <v>931.75374085648218</v>
      </c>
      <c r="R2361" s="6">
        <f ca="1">IF(Main[[#This Row],[بدهی تسویه نشده (کیلوگرم)]]&gt;0,'گزارش فردی'!$B$7-Main[[#This Row],[تاريخ میلادی]]-'گزارش فردی'!$B$8,0)</f>
        <v>916.75374085648218</v>
      </c>
      <c r="S2361" s="6">
        <f ca="1">Main[[#This Row],[روز از ارسال سفارش]]*Main[[#This Row],[بدهی تسویه نشده (کیلوگرم)]]</f>
        <v>1220597.4005219918</v>
      </c>
      <c r="T2361" s="6">
        <f ca="1">Main[[#This Row],[بدهی سررسید شده (کیلوگرم)]]*Main[[#This Row],[روز از ارسال سفارش]]</f>
        <v>1220597.4005219918</v>
      </c>
      <c r="U2361" s="6">
        <f>-SUBTOTAL(9,INDEX(Main[مقدار (کیلوگرم)],1):Main[[#This Row],[مقدار (کیلوگرم)]])</f>
        <v>32923</v>
      </c>
      <c r="V236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1" s="6">
        <f>Main[[#This Row],[تعداد کل روزهای بدهکار (روز)]]*Main[[#This Row],[مانده در خط کل (کیلوگرم)]]</f>
        <v>98769</v>
      </c>
      <c r="X2361" s="6">
        <f ca="1">-SUBTOTAL(9,INDEX(Main[مقدار تسویه شده (کیلوگرم)],1):Main[[#This Row],[مقدار تسویه شده (کیلوگرم)]])</f>
        <v>27960</v>
      </c>
      <c r="Y2361" s="6">
        <f ca="1">IF(Main[[#This Row],[مانده در خط تسویه شده (کیلوگرم)]]&lt;&gt;0,Main[[#This Row],[تعداد کل روزهای بدهکار (روز)]],0)</f>
        <v>3</v>
      </c>
      <c r="Z2361" s="6">
        <f ca="1">Main[[#This Row],[تعداد روزهای بدهکار تسویه شده (روز)]]*Main[[#This Row],[مانده در خط تسویه شده (کیلوگرم)]]</f>
        <v>83880</v>
      </c>
      <c r="AA2361" s="6">
        <f ca="1">SUBTOTAL(9,INDEX(Main[بدهی تسویه نشده (کیلوگرم)],1):Main[[#This Row],[بدهی تسویه نشده (کیلوگرم)]])</f>
        <v>4963</v>
      </c>
      <c r="AB2361" s="6">
        <f ca="1">IF(Main[[#This Row],[مانده در خط تسویه نشده (کیلوگرم)]]&lt;&gt;0,Main[[#This Row],[تعداد کل روزهای بدهکار (روز)]],0)</f>
        <v>3</v>
      </c>
      <c r="AC2361" s="6">
        <f ca="1">Main[[#This Row],[تعداد روزهای بدهکار  تسویه نشده (روز)]]*Main[[#This Row],[مانده در خط تسویه نشده (کیلوگرم)]]</f>
        <v>14889</v>
      </c>
      <c r="AD2361" s="6">
        <f ca="1">SUBTOTAL(9,INDEX(Main[بدهی سررسید شده (کیلوگرم)],1):Main[[#This Row],[بدهی سررسید شده (کیلوگرم)]])</f>
        <v>4963</v>
      </c>
      <c r="AE2361" s="6">
        <f ca="1">IF(Main[[#This Row],[مانده در خط سررسید شده (کیلوگرم)]]&lt;&gt;0,Main[[#This Row],[تعداد کل روزهای بدهکار (روز)]],0)</f>
        <v>3</v>
      </c>
      <c r="AF2361" s="6">
        <f ca="1">Main[[#This Row],[تعداد روزهای بدهکار سررسید شده (روز)]]*Main[[#This Row],[مانده در خط سررسید شده (کیلوگرم)]]</f>
        <v>14889</v>
      </c>
    </row>
    <row r="2362" spans="1:32" hidden="1" x14ac:dyDescent="0.35">
      <c r="A2362" s="5">
        <f>ROW()-ROW(INDEX(Main[ردیف],1))+1</f>
        <v>2360</v>
      </c>
      <c r="B2362" s="31">
        <f>SUBTOTAL(2,INDEX(Main[ردیف],1):Main[[#This Row],[ردیف]])</f>
        <v>214</v>
      </c>
      <c r="C2362" s="32" t="s">
        <v>795</v>
      </c>
      <c r="D2362" s="32" t="str">
        <f>_xlfn.CONCAT("14",Main[[#This Row],[تاريخ]])</f>
        <v>1400/09/10</v>
      </c>
      <c r="E2362" s="33">
        <v>44531</v>
      </c>
      <c r="F2362" s="32">
        <v>30081</v>
      </c>
      <c r="G2362" s="5" t="str">
        <f>INDEX(customer[عنوان],MATCH(Main[[#This Row],[کد ردیابی]],customer[کد],0))</f>
        <v xml:space="preserve">شیرآلات بهداشتی راسان </v>
      </c>
      <c r="H2362">
        <v>760</v>
      </c>
      <c r="I2362" s="6">
        <f ca="1">-Main[[#This Row],[بدهی تسویه شده (کیلوگرم)]]+Main[[#This Row],[بستانکار (کیلوگرم)]]</f>
        <v>760</v>
      </c>
      <c r="J2362" s="6">
        <f>IF(Main[[#This Row],[مقدار (کیلوگرم)]]&gt;0,Main[[#This Row],[مقدار (کیلوگرم)]],0)</f>
        <v>760</v>
      </c>
      <c r="K2362" s="6">
        <f>-IF(Main[[#This Row],[مقدار (کیلوگرم)]]&lt;0,Main[[#This Row],[مقدار (کیلوگرم)]],0)</f>
        <v>0</v>
      </c>
      <c r="L23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2" s="7">
        <f>-IF(AND(Main[[#This Row],[مقدار (کیلوگرم)]]&lt;0,Main[[#This Row],[تاريخ میلادی]]&gt;44276),Main[[#This Row],[مقدار (کیلوگرم)]],0)</f>
        <v>0</v>
      </c>
      <c r="N2362" s="6">
        <f ca="1">Main[[#This Row],[بدهکار (کیلوگرم)]]-Main[[#This Row],[بدهی تسویه نشده (کیلوگرم)]]</f>
        <v>0</v>
      </c>
      <c r="O2362" s="6">
        <f ca="1">Main[[#This Row],[تفکیک]]</f>
        <v>0</v>
      </c>
      <c r="P2362" s="6">
        <f ca="1">IF(Main[[#This Row],[تاخیر از سررسید]]&gt;0,Main[[#This Row],[بدهی تسویه نشده (کیلوگرم)]],0)</f>
        <v>0</v>
      </c>
      <c r="Q2362" s="6">
        <f ca="1">IF(Main[[#This Row],[بدهی تسویه نشده (کیلوگرم)]]&gt;0,'گزارش فردی'!$B$7-Main[[#This Row],[تاريخ میلادی]],0)</f>
        <v>0</v>
      </c>
      <c r="R2362" s="6">
        <f ca="1">IF(Main[[#This Row],[بدهی تسویه نشده (کیلوگرم)]]&gt;0,'گزارش فردی'!$B$7-Main[[#This Row],[تاريخ میلادی]]-'گزارش فردی'!$B$8,0)</f>
        <v>0</v>
      </c>
      <c r="S2362" s="6">
        <f ca="1">Main[[#This Row],[روز از ارسال سفارش]]*Main[[#This Row],[بدهی تسویه نشده (کیلوگرم)]]</f>
        <v>0</v>
      </c>
      <c r="T2362" s="6">
        <f ca="1">Main[[#This Row],[بدهی سررسید شده (کیلوگرم)]]*Main[[#This Row],[روز از ارسال سفارش]]</f>
        <v>0</v>
      </c>
      <c r="U2362" s="6">
        <f>-SUBTOTAL(9,INDEX(Main[مقدار (کیلوگرم)],1):Main[[#This Row],[مقدار (کیلوگرم)]])</f>
        <v>32923</v>
      </c>
      <c r="V236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2" s="6">
        <f>Main[[#This Row],[تعداد کل روزهای بدهکار (روز)]]*Main[[#This Row],[مانده در خط کل (کیلوگرم)]]</f>
        <v>98769</v>
      </c>
      <c r="X2362" s="6">
        <f ca="1">-SUBTOTAL(9,INDEX(Main[مقدار تسویه شده (کیلوگرم)],1):Main[[#This Row],[مقدار تسویه شده (کیلوگرم)]])</f>
        <v>27960</v>
      </c>
      <c r="Y2362" s="6">
        <f ca="1">IF(Main[[#This Row],[مانده در خط تسویه شده (کیلوگرم)]]&lt;&gt;0,Main[[#This Row],[تعداد کل روزهای بدهکار (روز)]],0)</f>
        <v>3</v>
      </c>
      <c r="Z2362" s="6">
        <f ca="1">Main[[#This Row],[تعداد روزهای بدهکار تسویه شده (روز)]]*Main[[#This Row],[مانده در خط تسویه شده (کیلوگرم)]]</f>
        <v>83880</v>
      </c>
      <c r="AA2362" s="6">
        <f ca="1">SUBTOTAL(9,INDEX(Main[بدهی تسویه نشده (کیلوگرم)],1):Main[[#This Row],[بدهی تسویه نشده (کیلوگرم)]])</f>
        <v>4963</v>
      </c>
      <c r="AB2362" s="6">
        <f ca="1">IF(Main[[#This Row],[مانده در خط تسویه نشده (کیلوگرم)]]&lt;&gt;0,Main[[#This Row],[تعداد کل روزهای بدهکار (روز)]],0)</f>
        <v>3</v>
      </c>
      <c r="AC2362" s="6">
        <f ca="1">Main[[#This Row],[تعداد روزهای بدهکار  تسویه نشده (روز)]]*Main[[#This Row],[مانده در خط تسویه نشده (کیلوگرم)]]</f>
        <v>14889</v>
      </c>
      <c r="AD2362" s="6">
        <f ca="1">SUBTOTAL(9,INDEX(Main[بدهی سررسید شده (کیلوگرم)],1):Main[[#This Row],[بدهی سررسید شده (کیلوگرم)]])</f>
        <v>4963</v>
      </c>
      <c r="AE2362" s="6">
        <f ca="1">IF(Main[[#This Row],[مانده در خط سررسید شده (کیلوگرم)]]&lt;&gt;0,Main[[#This Row],[تعداد کل روزهای بدهکار (روز)]],0)</f>
        <v>3</v>
      </c>
      <c r="AF2362" s="6">
        <f ca="1">Main[[#This Row],[تعداد روزهای بدهکار سررسید شده (روز)]]*Main[[#This Row],[مانده در خط سررسید شده (کیلوگرم)]]</f>
        <v>14889</v>
      </c>
    </row>
    <row r="2363" spans="1:32" hidden="1" x14ac:dyDescent="0.35">
      <c r="A2363" s="5">
        <f>ROW()-ROW(INDEX(Main[ردیف],1))+1</f>
        <v>2361</v>
      </c>
      <c r="B2363" s="31">
        <f>SUBTOTAL(2,INDEX(Main[ردیف],1):Main[[#This Row],[ردیف]])</f>
        <v>214</v>
      </c>
      <c r="C2363" s="32" t="s">
        <v>795</v>
      </c>
      <c r="D2363" s="32" t="str">
        <f>_xlfn.CONCAT("14",Main[[#This Row],[تاريخ]])</f>
        <v>1400/09/10</v>
      </c>
      <c r="E2363" s="33">
        <v>44531</v>
      </c>
      <c r="F2363" s="32">
        <v>10055</v>
      </c>
      <c r="G2363" s="5" t="str">
        <f>INDEX(customer[عنوان],MATCH(Main[[#This Row],[کد ردیابی]],customer[کد],0))</f>
        <v xml:space="preserve">مریم فیض آبادی  </v>
      </c>
      <c r="H2363">
        <v>-4904</v>
      </c>
      <c r="I2363" s="6">
        <f ca="1">-Main[[#This Row],[بدهی تسویه شده (کیلوگرم)]]+Main[[#This Row],[بستانکار (کیلوگرم)]]</f>
        <v>0</v>
      </c>
      <c r="J2363" s="6">
        <f>IF(Main[[#This Row],[مقدار (کیلوگرم)]]&gt;0,Main[[#This Row],[مقدار (کیلوگرم)]],0)</f>
        <v>0</v>
      </c>
      <c r="K2363" s="6">
        <f>-IF(Main[[#This Row],[مقدار (کیلوگرم)]]&lt;0,Main[[#This Row],[مقدار (کیلوگرم)]],0)</f>
        <v>4904</v>
      </c>
      <c r="L23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4904</v>
      </c>
      <c r="M2363" s="7">
        <f>-IF(AND(Main[[#This Row],[مقدار (کیلوگرم)]]&lt;0,Main[[#This Row],[تاريخ میلادی]]&gt;44276),Main[[#This Row],[مقدار (کیلوگرم)]],0)</f>
        <v>4904</v>
      </c>
      <c r="N2363" s="6">
        <f ca="1">Main[[#This Row],[بدهکار (کیلوگرم)]]-Main[[#This Row],[بدهی تسویه نشده (کیلوگرم)]]</f>
        <v>0</v>
      </c>
      <c r="O2363" s="6">
        <f ca="1">Main[[#This Row],[تفکیک]]</f>
        <v>4904</v>
      </c>
      <c r="P2363" s="6">
        <f ca="1">IF(Main[[#This Row],[تاخیر از سررسید]]&gt;0,Main[[#This Row],[بدهی تسویه نشده (کیلوگرم)]],0)</f>
        <v>4904</v>
      </c>
      <c r="Q2363" s="6">
        <f ca="1">IF(Main[[#This Row],[بدهی تسویه نشده (کیلوگرم)]]&gt;0,'گزارش فردی'!$B$7-Main[[#This Row],[تاريخ میلادی]],0)</f>
        <v>931.75374085648218</v>
      </c>
      <c r="R2363" s="6">
        <f ca="1">IF(Main[[#This Row],[بدهی تسویه نشده (کیلوگرم)]]&gt;0,'گزارش فردی'!$B$7-Main[[#This Row],[تاريخ میلادی]]-'گزارش فردی'!$B$8,0)</f>
        <v>916.75374085648218</v>
      </c>
      <c r="S2363" s="6">
        <f ca="1">Main[[#This Row],[روز از ارسال سفارش]]*Main[[#This Row],[بدهی تسویه نشده (کیلوگرم)]]</f>
        <v>4569320.3451601882</v>
      </c>
      <c r="T2363" s="6">
        <f ca="1">Main[[#This Row],[بدهی سررسید شده (کیلوگرم)]]*Main[[#This Row],[روز از ارسال سفارش]]</f>
        <v>4569320.3451601882</v>
      </c>
      <c r="U2363" s="6">
        <f>-SUBTOTAL(9,INDEX(Main[مقدار (کیلوگرم)],1):Main[[#This Row],[مقدار (کیلوگرم)]])</f>
        <v>32923</v>
      </c>
      <c r="V236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3" s="6">
        <f>Main[[#This Row],[تعداد کل روزهای بدهکار (روز)]]*Main[[#This Row],[مانده در خط کل (کیلوگرم)]]</f>
        <v>98769</v>
      </c>
      <c r="X2363" s="6">
        <f ca="1">-SUBTOTAL(9,INDEX(Main[مقدار تسویه شده (کیلوگرم)],1):Main[[#This Row],[مقدار تسویه شده (کیلوگرم)]])</f>
        <v>27960</v>
      </c>
      <c r="Y2363" s="6">
        <f ca="1">IF(Main[[#This Row],[مانده در خط تسویه شده (کیلوگرم)]]&lt;&gt;0,Main[[#This Row],[تعداد کل روزهای بدهکار (روز)]],0)</f>
        <v>3</v>
      </c>
      <c r="Z2363" s="6">
        <f ca="1">Main[[#This Row],[تعداد روزهای بدهکار تسویه شده (روز)]]*Main[[#This Row],[مانده در خط تسویه شده (کیلوگرم)]]</f>
        <v>83880</v>
      </c>
      <c r="AA2363" s="6">
        <f ca="1">SUBTOTAL(9,INDEX(Main[بدهی تسویه نشده (کیلوگرم)],1):Main[[#This Row],[بدهی تسویه نشده (کیلوگرم)]])</f>
        <v>4963</v>
      </c>
      <c r="AB2363" s="6">
        <f ca="1">IF(Main[[#This Row],[مانده در خط تسویه نشده (کیلوگرم)]]&lt;&gt;0,Main[[#This Row],[تعداد کل روزهای بدهکار (روز)]],0)</f>
        <v>3</v>
      </c>
      <c r="AC2363" s="6">
        <f ca="1">Main[[#This Row],[تعداد روزهای بدهکار  تسویه نشده (روز)]]*Main[[#This Row],[مانده در خط تسویه نشده (کیلوگرم)]]</f>
        <v>14889</v>
      </c>
      <c r="AD2363" s="6">
        <f ca="1">SUBTOTAL(9,INDEX(Main[بدهی سررسید شده (کیلوگرم)],1):Main[[#This Row],[بدهی سررسید شده (کیلوگرم)]])</f>
        <v>4963</v>
      </c>
      <c r="AE2363" s="6">
        <f ca="1">IF(Main[[#This Row],[مانده در خط سررسید شده (کیلوگرم)]]&lt;&gt;0,Main[[#This Row],[تعداد کل روزهای بدهکار (روز)]],0)</f>
        <v>3</v>
      </c>
      <c r="AF2363" s="6">
        <f ca="1">Main[[#This Row],[تعداد روزهای بدهکار سررسید شده (روز)]]*Main[[#This Row],[مانده در خط سررسید شده (کیلوگرم)]]</f>
        <v>14889</v>
      </c>
    </row>
    <row r="2364" spans="1:32" hidden="1" x14ac:dyDescent="0.35">
      <c r="A2364" s="5">
        <f>ROW()-ROW(INDEX(Main[ردیف],1))+1</f>
        <v>2362</v>
      </c>
      <c r="B2364" s="31">
        <f>SUBTOTAL(2,INDEX(Main[ردیف],1):Main[[#This Row],[ردیف]])</f>
        <v>214</v>
      </c>
      <c r="C2364" s="32" t="s">
        <v>795</v>
      </c>
      <c r="D2364" s="32" t="str">
        <f>_xlfn.CONCAT("14",Main[[#This Row],[تاريخ]])</f>
        <v>1400/09/10</v>
      </c>
      <c r="E2364" s="33">
        <v>44531</v>
      </c>
      <c r="F2364" s="32">
        <v>30155</v>
      </c>
      <c r="G2364" s="5" t="str">
        <f>INDEX(customer[عنوان],MATCH(Main[[#This Row],[کد ردیابی]],customer[کد],0))</f>
        <v>سری تراشی طاهری</v>
      </c>
      <c r="H2364">
        <v>669</v>
      </c>
      <c r="I2364" s="6">
        <f ca="1">-Main[[#This Row],[بدهی تسویه شده (کیلوگرم)]]+Main[[#This Row],[بستانکار (کیلوگرم)]]</f>
        <v>669</v>
      </c>
      <c r="J2364" s="6">
        <f>IF(Main[[#This Row],[مقدار (کیلوگرم)]]&gt;0,Main[[#This Row],[مقدار (کیلوگرم)]],0)</f>
        <v>669</v>
      </c>
      <c r="K2364" s="6">
        <f>-IF(Main[[#This Row],[مقدار (کیلوگرم)]]&lt;0,Main[[#This Row],[مقدار (کیلوگرم)]],0)</f>
        <v>0</v>
      </c>
      <c r="L23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4" s="7">
        <f>-IF(AND(Main[[#This Row],[مقدار (کیلوگرم)]]&lt;0,Main[[#This Row],[تاريخ میلادی]]&gt;44276),Main[[#This Row],[مقدار (کیلوگرم)]],0)</f>
        <v>0</v>
      </c>
      <c r="N2364" s="6">
        <f ca="1">Main[[#This Row],[بدهکار (کیلوگرم)]]-Main[[#This Row],[بدهی تسویه نشده (کیلوگرم)]]</f>
        <v>0</v>
      </c>
      <c r="O2364" s="6">
        <f ca="1">Main[[#This Row],[تفکیک]]</f>
        <v>0</v>
      </c>
      <c r="P2364" s="6">
        <f ca="1">IF(Main[[#This Row],[تاخیر از سررسید]]&gt;0,Main[[#This Row],[بدهی تسویه نشده (کیلوگرم)]],0)</f>
        <v>0</v>
      </c>
      <c r="Q2364" s="6">
        <f ca="1">IF(Main[[#This Row],[بدهی تسویه نشده (کیلوگرم)]]&gt;0,'گزارش فردی'!$B$7-Main[[#This Row],[تاريخ میلادی]],0)</f>
        <v>0</v>
      </c>
      <c r="R2364" s="6">
        <f ca="1">IF(Main[[#This Row],[بدهی تسویه نشده (کیلوگرم)]]&gt;0,'گزارش فردی'!$B$7-Main[[#This Row],[تاريخ میلادی]]-'گزارش فردی'!$B$8,0)</f>
        <v>0</v>
      </c>
      <c r="S2364" s="6">
        <f ca="1">Main[[#This Row],[روز از ارسال سفارش]]*Main[[#This Row],[بدهی تسویه نشده (کیلوگرم)]]</f>
        <v>0</v>
      </c>
      <c r="T2364" s="6">
        <f ca="1">Main[[#This Row],[بدهی سررسید شده (کیلوگرم)]]*Main[[#This Row],[روز از ارسال سفارش]]</f>
        <v>0</v>
      </c>
      <c r="U2364" s="6">
        <f>-SUBTOTAL(9,INDEX(Main[مقدار (کیلوگرم)],1):Main[[#This Row],[مقدار (کیلوگرم)]])</f>
        <v>32923</v>
      </c>
      <c r="V236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4" s="6">
        <f>Main[[#This Row],[تعداد کل روزهای بدهکار (روز)]]*Main[[#This Row],[مانده در خط کل (کیلوگرم)]]</f>
        <v>98769</v>
      </c>
      <c r="X2364" s="6">
        <f ca="1">-SUBTOTAL(9,INDEX(Main[مقدار تسویه شده (کیلوگرم)],1):Main[[#This Row],[مقدار تسویه شده (کیلوگرم)]])</f>
        <v>27960</v>
      </c>
      <c r="Y2364" s="6">
        <f ca="1">IF(Main[[#This Row],[مانده در خط تسویه شده (کیلوگرم)]]&lt;&gt;0,Main[[#This Row],[تعداد کل روزهای بدهکار (روز)]],0)</f>
        <v>3</v>
      </c>
      <c r="Z2364" s="6">
        <f ca="1">Main[[#This Row],[تعداد روزهای بدهکار تسویه شده (روز)]]*Main[[#This Row],[مانده در خط تسویه شده (کیلوگرم)]]</f>
        <v>83880</v>
      </c>
      <c r="AA2364" s="6">
        <f ca="1">SUBTOTAL(9,INDEX(Main[بدهی تسویه نشده (کیلوگرم)],1):Main[[#This Row],[بدهی تسویه نشده (کیلوگرم)]])</f>
        <v>4963</v>
      </c>
      <c r="AB2364" s="6">
        <f ca="1">IF(Main[[#This Row],[مانده در خط تسویه نشده (کیلوگرم)]]&lt;&gt;0,Main[[#This Row],[تعداد کل روزهای بدهکار (روز)]],0)</f>
        <v>3</v>
      </c>
      <c r="AC2364" s="6">
        <f ca="1">Main[[#This Row],[تعداد روزهای بدهکار  تسویه نشده (روز)]]*Main[[#This Row],[مانده در خط تسویه نشده (کیلوگرم)]]</f>
        <v>14889</v>
      </c>
      <c r="AD2364" s="6">
        <f ca="1">SUBTOTAL(9,INDEX(Main[بدهی سررسید شده (کیلوگرم)],1):Main[[#This Row],[بدهی سررسید شده (کیلوگرم)]])</f>
        <v>4963</v>
      </c>
      <c r="AE2364" s="6">
        <f ca="1">IF(Main[[#This Row],[مانده در خط سررسید شده (کیلوگرم)]]&lt;&gt;0,Main[[#This Row],[تعداد کل روزهای بدهکار (روز)]],0)</f>
        <v>3</v>
      </c>
      <c r="AF2364" s="6">
        <f ca="1">Main[[#This Row],[تعداد روزهای بدهکار سررسید شده (روز)]]*Main[[#This Row],[مانده در خط سررسید شده (کیلوگرم)]]</f>
        <v>14889</v>
      </c>
    </row>
    <row r="2365" spans="1:32" hidden="1" x14ac:dyDescent="0.35">
      <c r="A2365" s="5">
        <f>ROW()-ROW(INDEX(Main[ردیف],1))+1</f>
        <v>2363</v>
      </c>
      <c r="B2365" s="31">
        <f>SUBTOTAL(2,INDEX(Main[ردیف],1):Main[[#This Row],[ردیف]])</f>
        <v>214</v>
      </c>
      <c r="C2365" s="32" t="s">
        <v>795</v>
      </c>
      <c r="D2365" s="32" t="str">
        <f>_xlfn.CONCAT("14",Main[[#This Row],[تاريخ]])</f>
        <v>1400/09/10</v>
      </c>
      <c r="E2365" s="33">
        <v>44531</v>
      </c>
      <c r="F2365" s="32">
        <v>10020</v>
      </c>
      <c r="G2365" s="5" t="str">
        <f>INDEX(customer[عنوان],MATCH(Main[[#This Row],[کد ردیابی]],customer[کد],0))</f>
        <v>فرزاد اسماعیل زاده</v>
      </c>
      <c r="H2365">
        <v>-504</v>
      </c>
      <c r="I2365" s="6">
        <f ca="1">-Main[[#This Row],[بدهی تسویه شده (کیلوگرم)]]+Main[[#This Row],[بستانکار (کیلوگرم)]]</f>
        <v>0</v>
      </c>
      <c r="J2365" s="6">
        <f>IF(Main[[#This Row],[مقدار (کیلوگرم)]]&gt;0,Main[[#This Row],[مقدار (کیلوگرم)]],0)</f>
        <v>0</v>
      </c>
      <c r="K2365" s="6">
        <f>-IF(Main[[#This Row],[مقدار (کیلوگرم)]]&lt;0,Main[[#This Row],[مقدار (کیلوگرم)]],0)</f>
        <v>504</v>
      </c>
      <c r="L23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504</v>
      </c>
      <c r="M2365" s="7">
        <f>-IF(AND(Main[[#This Row],[مقدار (کیلوگرم)]]&lt;0,Main[[#This Row],[تاريخ میلادی]]&gt;44276),Main[[#This Row],[مقدار (کیلوگرم)]],0)</f>
        <v>504</v>
      </c>
      <c r="N2365" s="6">
        <f ca="1">Main[[#This Row],[بدهکار (کیلوگرم)]]-Main[[#This Row],[بدهی تسویه نشده (کیلوگرم)]]</f>
        <v>0</v>
      </c>
      <c r="O2365" s="6">
        <f ca="1">Main[[#This Row],[تفکیک]]</f>
        <v>504</v>
      </c>
      <c r="P2365" s="6">
        <f ca="1">IF(Main[[#This Row],[تاخیر از سررسید]]&gt;0,Main[[#This Row],[بدهی تسویه نشده (کیلوگرم)]],0)</f>
        <v>504</v>
      </c>
      <c r="Q2365" s="6">
        <f ca="1">IF(Main[[#This Row],[بدهی تسویه نشده (کیلوگرم)]]&gt;0,'گزارش فردی'!$B$7-Main[[#This Row],[تاريخ میلادی]],0)</f>
        <v>931.75374085648218</v>
      </c>
      <c r="R2365" s="6">
        <f ca="1">IF(Main[[#This Row],[بدهی تسویه نشده (کیلوگرم)]]&gt;0,'گزارش فردی'!$B$7-Main[[#This Row],[تاريخ میلادی]]-'گزارش فردی'!$B$8,0)</f>
        <v>916.75374085648218</v>
      </c>
      <c r="S2365" s="6">
        <f ca="1">Main[[#This Row],[روز از ارسال سفارش]]*Main[[#This Row],[بدهی تسویه نشده (کیلوگرم)]]</f>
        <v>469603.88539166702</v>
      </c>
      <c r="T2365" s="6">
        <f ca="1">Main[[#This Row],[بدهی سررسید شده (کیلوگرم)]]*Main[[#This Row],[روز از ارسال سفارش]]</f>
        <v>469603.88539166702</v>
      </c>
      <c r="U2365" s="6">
        <f>-SUBTOTAL(9,INDEX(Main[مقدار (کیلوگرم)],1):Main[[#This Row],[مقدار (کیلوگرم)]])</f>
        <v>32923</v>
      </c>
      <c r="V236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5" s="6">
        <f>Main[[#This Row],[تعداد کل روزهای بدهکار (روز)]]*Main[[#This Row],[مانده در خط کل (کیلوگرم)]]</f>
        <v>98769</v>
      </c>
      <c r="X2365" s="6">
        <f ca="1">-SUBTOTAL(9,INDEX(Main[مقدار تسویه شده (کیلوگرم)],1):Main[[#This Row],[مقدار تسویه شده (کیلوگرم)]])</f>
        <v>27960</v>
      </c>
      <c r="Y2365" s="6">
        <f ca="1">IF(Main[[#This Row],[مانده در خط تسویه شده (کیلوگرم)]]&lt;&gt;0,Main[[#This Row],[تعداد کل روزهای بدهکار (روز)]],0)</f>
        <v>3</v>
      </c>
      <c r="Z2365" s="6">
        <f ca="1">Main[[#This Row],[تعداد روزهای بدهکار تسویه شده (روز)]]*Main[[#This Row],[مانده در خط تسویه شده (کیلوگرم)]]</f>
        <v>83880</v>
      </c>
      <c r="AA2365" s="6">
        <f ca="1">SUBTOTAL(9,INDEX(Main[بدهی تسویه نشده (کیلوگرم)],1):Main[[#This Row],[بدهی تسویه نشده (کیلوگرم)]])</f>
        <v>4963</v>
      </c>
      <c r="AB2365" s="6">
        <f ca="1">IF(Main[[#This Row],[مانده در خط تسویه نشده (کیلوگرم)]]&lt;&gt;0,Main[[#This Row],[تعداد کل روزهای بدهکار (روز)]],0)</f>
        <v>3</v>
      </c>
      <c r="AC2365" s="6">
        <f ca="1">Main[[#This Row],[تعداد روزهای بدهکار  تسویه نشده (روز)]]*Main[[#This Row],[مانده در خط تسویه نشده (کیلوگرم)]]</f>
        <v>14889</v>
      </c>
      <c r="AD2365" s="6">
        <f ca="1">SUBTOTAL(9,INDEX(Main[بدهی سررسید شده (کیلوگرم)],1):Main[[#This Row],[بدهی سررسید شده (کیلوگرم)]])</f>
        <v>4963</v>
      </c>
      <c r="AE2365" s="6">
        <f ca="1">IF(Main[[#This Row],[مانده در خط سررسید شده (کیلوگرم)]]&lt;&gt;0,Main[[#This Row],[تعداد کل روزهای بدهکار (روز)]],0)</f>
        <v>3</v>
      </c>
      <c r="AF2365" s="6">
        <f ca="1">Main[[#This Row],[تعداد روزهای بدهکار سررسید شده (روز)]]*Main[[#This Row],[مانده در خط سررسید شده (کیلوگرم)]]</f>
        <v>14889</v>
      </c>
    </row>
    <row r="2366" spans="1:32" hidden="1" x14ac:dyDescent="0.35">
      <c r="A2366" s="5">
        <f>ROW()-ROW(INDEX(Main[ردیف],1))+1</f>
        <v>2364</v>
      </c>
      <c r="B2366" s="31">
        <f>SUBTOTAL(2,INDEX(Main[ردیف],1):Main[[#This Row],[ردیف]])</f>
        <v>214</v>
      </c>
      <c r="C2366" s="32" t="s">
        <v>795</v>
      </c>
      <c r="D2366" s="32" t="str">
        <f>_xlfn.CONCAT("14",Main[[#This Row],[تاريخ]])</f>
        <v>1400/09/10</v>
      </c>
      <c r="E2366" s="33">
        <v>44531</v>
      </c>
      <c r="F2366" s="32">
        <v>30155</v>
      </c>
      <c r="G2366" s="5" t="str">
        <f>INDEX(customer[عنوان],MATCH(Main[[#This Row],[کد ردیابی]],customer[کد],0))</f>
        <v>سری تراشی طاهری</v>
      </c>
      <c r="H2366">
        <v>806</v>
      </c>
      <c r="I2366" s="6">
        <f ca="1">-Main[[#This Row],[بدهی تسویه شده (کیلوگرم)]]+Main[[#This Row],[بستانکار (کیلوگرم)]]</f>
        <v>806</v>
      </c>
      <c r="J2366" s="6">
        <f>IF(Main[[#This Row],[مقدار (کیلوگرم)]]&gt;0,Main[[#This Row],[مقدار (کیلوگرم)]],0)</f>
        <v>806</v>
      </c>
      <c r="K2366" s="6">
        <f>-IF(Main[[#This Row],[مقدار (کیلوگرم)]]&lt;0,Main[[#This Row],[مقدار (کیلوگرم)]],0)</f>
        <v>0</v>
      </c>
      <c r="L23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6" s="7">
        <f>-IF(AND(Main[[#This Row],[مقدار (کیلوگرم)]]&lt;0,Main[[#This Row],[تاريخ میلادی]]&gt;44276),Main[[#This Row],[مقدار (کیلوگرم)]],0)</f>
        <v>0</v>
      </c>
      <c r="N2366" s="6">
        <f ca="1">Main[[#This Row],[بدهکار (کیلوگرم)]]-Main[[#This Row],[بدهی تسویه نشده (کیلوگرم)]]</f>
        <v>0</v>
      </c>
      <c r="O2366" s="6">
        <f ca="1">Main[[#This Row],[تفکیک]]</f>
        <v>0</v>
      </c>
      <c r="P2366" s="6">
        <f ca="1">IF(Main[[#This Row],[تاخیر از سررسید]]&gt;0,Main[[#This Row],[بدهی تسویه نشده (کیلوگرم)]],0)</f>
        <v>0</v>
      </c>
      <c r="Q2366" s="6">
        <f ca="1">IF(Main[[#This Row],[بدهی تسویه نشده (کیلوگرم)]]&gt;0,'گزارش فردی'!$B$7-Main[[#This Row],[تاريخ میلادی]],0)</f>
        <v>0</v>
      </c>
      <c r="R2366" s="6">
        <f ca="1">IF(Main[[#This Row],[بدهی تسویه نشده (کیلوگرم)]]&gt;0,'گزارش فردی'!$B$7-Main[[#This Row],[تاريخ میلادی]]-'گزارش فردی'!$B$8,0)</f>
        <v>0</v>
      </c>
      <c r="S2366" s="6">
        <f ca="1">Main[[#This Row],[روز از ارسال سفارش]]*Main[[#This Row],[بدهی تسویه نشده (کیلوگرم)]]</f>
        <v>0</v>
      </c>
      <c r="T2366" s="6">
        <f ca="1">Main[[#This Row],[بدهی سررسید شده (کیلوگرم)]]*Main[[#This Row],[روز از ارسال سفارش]]</f>
        <v>0</v>
      </c>
      <c r="U2366" s="6">
        <f>-SUBTOTAL(9,INDEX(Main[مقدار (کیلوگرم)],1):Main[[#This Row],[مقدار (کیلوگرم)]])</f>
        <v>32923</v>
      </c>
      <c r="V236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6" s="6">
        <f>Main[[#This Row],[تعداد کل روزهای بدهکار (روز)]]*Main[[#This Row],[مانده در خط کل (کیلوگرم)]]</f>
        <v>98769</v>
      </c>
      <c r="X2366" s="6">
        <f ca="1">-SUBTOTAL(9,INDEX(Main[مقدار تسویه شده (کیلوگرم)],1):Main[[#This Row],[مقدار تسویه شده (کیلوگرم)]])</f>
        <v>27960</v>
      </c>
      <c r="Y2366" s="6">
        <f ca="1">IF(Main[[#This Row],[مانده در خط تسویه شده (کیلوگرم)]]&lt;&gt;0,Main[[#This Row],[تعداد کل روزهای بدهکار (روز)]],0)</f>
        <v>3</v>
      </c>
      <c r="Z2366" s="6">
        <f ca="1">Main[[#This Row],[تعداد روزهای بدهکار تسویه شده (روز)]]*Main[[#This Row],[مانده در خط تسویه شده (کیلوگرم)]]</f>
        <v>83880</v>
      </c>
      <c r="AA2366" s="6">
        <f ca="1">SUBTOTAL(9,INDEX(Main[بدهی تسویه نشده (کیلوگرم)],1):Main[[#This Row],[بدهی تسویه نشده (کیلوگرم)]])</f>
        <v>4963</v>
      </c>
      <c r="AB2366" s="6">
        <f ca="1">IF(Main[[#This Row],[مانده در خط تسویه نشده (کیلوگرم)]]&lt;&gt;0,Main[[#This Row],[تعداد کل روزهای بدهکار (روز)]],0)</f>
        <v>3</v>
      </c>
      <c r="AC2366" s="6">
        <f ca="1">Main[[#This Row],[تعداد روزهای بدهکار  تسویه نشده (روز)]]*Main[[#This Row],[مانده در خط تسویه نشده (کیلوگرم)]]</f>
        <v>14889</v>
      </c>
      <c r="AD2366" s="6">
        <f ca="1">SUBTOTAL(9,INDEX(Main[بدهی سررسید شده (کیلوگرم)],1):Main[[#This Row],[بدهی سررسید شده (کیلوگرم)]])</f>
        <v>4963</v>
      </c>
      <c r="AE2366" s="6">
        <f ca="1">IF(Main[[#This Row],[مانده در خط سررسید شده (کیلوگرم)]]&lt;&gt;0,Main[[#This Row],[تعداد کل روزهای بدهکار (روز)]],0)</f>
        <v>3</v>
      </c>
      <c r="AF2366" s="6">
        <f ca="1">Main[[#This Row],[تعداد روزهای بدهکار سررسید شده (روز)]]*Main[[#This Row],[مانده در خط سررسید شده (کیلوگرم)]]</f>
        <v>14889</v>
      </c>
    </row>
    <row r="2367" spans="1:32" hidden="1" x14ac:dyDescent="0.35">
      <c r="A2367" s="5">
        <f>ROW()-ROW(INDEX(Main[ردیف],1))+1</f>
        <v>2365</v>
      </c>
      <c r="B2367" s="31">
        <f>SUBTOTAL(2,INDEX(Main[ردیف],1):Main[[#This Row],[ردیف]])</f>
        <v>214</v>
      </c>
      <c r="C2367" s="32" t="s">
        <v>795</v>
      </c>
      <c r="D2367" s="32" t="str">
        <f>_xlfn.CONCAT("14",Main[[#This Row],[تاريخ]])</f>
        <v>1400/09/10</v>
      </c>
      <c r="E2367" s="33">
        <v>44531</v>
      </c>
      <c r="F2367" s="32">
        <v>30022</v>
      </c>
      <c r="G2367" s="5" t="str">
        <f>INDEX(customer[عنوان],MATCH(Main[[#This Row],[کد ردیابی]],customer[کد],0))</f>
        <v xml:space="preserve">کلار پویا </v>
      </c>
      <c r="H2367">
        <v>-3197</v>
      </c>
      <c r="I2367" s="6">
        <f ca="1">-Main[[#This Row],[بدهی تسویه شده (کیلوگرم)]]+Main[[#This Row],[بستانکار (کیلوگرم)]]</f>
        <v>0</v>
      </c>
      <c r="J2367" s="6">
        <f>IF(Main[[#This Row],[مقدار (کیلوگرم)]]&gt;0,Main[[#This Row],[مقدار (کیلوگرم)]],0)</f>
        <v>0</v>
      </c>
      <c r="K2367" s="6">
        <f>-IF(Main[[#This Row],[مقدار (کیلوگرم)]]&lt;0,Main[[#This Row],[مقدار (کیلوگرم)]],0)</f>
        <v>3197</v>
      </c>
      <c r="L23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3197</v>
      </c>
      <c r="M2367" s="7">
        <f>-IF(AND(Main[[#This Row],[مقدار (کیلوگرم)]]&lt;0,Main[[#This Row],[تاريخ میلادی]]&gt;44276),Main[[#This Row],[مقدار (کیلوگرم)]],0)</f>
        <v>3197</v>
      </c>
      <c r="N2367" s="6">
        <f ca="1">Main[[#This Row],[بدهکار (کیلوگرم)]]-Main[[#This Row],[بدهی تسویه نشده (کیلوگرم)]]</f>
        <v>0</v>
      </c>
      <c r="O2367" s="6">
        <f ca="1">Main[[#This Row],[تفکیک]]</f>
        <v>3197</v>
      </c>
      <c r="P2367" s="6">
        <f ca="1">IF(Main[[#This Row],[تاخیر از سررسید]]&gt;0,Main[[#This Row],[بدهی تسویه نشده (کیلوگرم)]],0)</f>
        <v>3197</v>
      </c>
      <c r="Q2367" s="6">
        <f ca="1">IF(Main[[#This Row],[بدهی تسویه نشده (کیلوگرم)]]&gt;0,'گزارش فردی'!$B$7-Main[[#This Row],[تاريخ میلادی]],0)</f>
        <v>931.75374085648218</v>
      </c>
      <c r="R2367" s="6">
        <f ca="1">IF(Main[[#This Row],[بدهی تسویه نشده (کیلوگرم)]]&gt;0,'گزارش فردی'!$B$7-Main[[#This Row],[تاريخ میلادی]]-'گزارش فردی'!$B$8,0)</f>
        <v>916.75374085648218</v>
      </c>
      <c r="S2367" s="6">
        <f ca="1">Main[[#This Row],[روز از ارسال سفارش]]*Main[[#This Row],[بدهی تسویه نشده (کیلوگرم)]]</f>
        <v>2978816.7095181737</v>
      </c>
      <c r="T2367" s="6">
        <f ca="1">Main[[#This Row],[بدهی سررسید شده (کیلوگرم)]]*Main[[#This Row],[روز از ارسال سفارش]]</f>
        <v>2978816.7095181737</v>
      </c>
      <c r="U2367" s="6">
        <f>-SUBTOTAL(9,INDEX(Main[مقدار (کیلوگرم)],1):Main[[#This Row],[مقدار (کیلوگرم)]])</f>
        <v>32923</v>
      </c>
      <c r="V236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7" s="6">
        <f>Main[[#This Row],[تعداد کل روزهای بدهکار (روز)]]*Main[[#This Row],[مانده در خط کل (کیلوگرم)]]</f>
        <v>98769</v>
      </c>
      <c r="X2367" s="6">
        <f ca="1">-SUBTOTAL(9,INDEX(Main[مقدار تسویه شده (کیلوگرم)],1):Main[[#This Row],[مقدار تسویه شده (کیلوگرم)]])</f>
        <v>27960</v>
      </c>
      <c r="Y2367" s="6">
        <f ca="1">IF(Main[[#This Row],[مانده در خط تسویه شده (کیلوگرم)]]&lt;&gt;0,Main[[#This Row],[تعداد کل روزهای بدهکار (روز)]],0)</f>
        <v>3</v>
      </c>
      <c r="Z2367" s="6">
        <f ca="1">Main[[#This Row],[تعداد روزهای بدهکار تسویه شده (روز)]]*Main[[#This Row],[مانده در خط تسویه شده (کیلوگرم)]]</f>
        <v>83880</v>
      </c>
      <c r="AA2367" s="6">
        <f ca="1">SUBTOTAL(9,INDEX(Main[بدهی تسویه نشده (کیلوگرم)],1):Main[[#This Row],[بدهی تسویه نشده (کیلوگرم)]])</f>
        <v>4963</v>
      </c>
      <c r="AB2367" s="6">
        <f ca="1">IF(Main[[#This Row],[مانده در خط تسویه نشده (کیلوگرم)]]&lt;&gt;0,Main[[#This Row],[تعداد کل روزهای بدهکار (روز)]],0)</f>
        <v>3</v>
      </c>
      <c r="AC2367" s="6">
        <f ca="1">Main[[#This Row],[تعداد روزهای بدهکار  تسویه نشده (روز)]]*Main[[#This Row],[مانده در خط تسویه نشده (کیلوگرم)]]</f>
        <v>14889</v>
      </c>
      <c r="AD2367" s="6">
        <f ca="1">SUBTOTAL(9,INDEX(Main[بدهی سررسید شده (کیلوگرم)],1):Main[[#This Row],[بدهی سررسید شده (کیلوگرم)]])</f>
        <v>4963</v>
      </c>
      <c r="AE2367" s="6">
        <f ca="1">IF(Main[[#This Row],[مانده در خط سررسید شده (کیلوگرم)]]&lt;&gt;0,Main[[#This Row],[تعداد کل روزهای بدهکار (روز)]],0)</f>
        <v>3</v>
      </c>
      <c r="AF2367" s="6">
        <f ca="1">Main[[#This Row],[تعداد روزهای بدهکار سررسید شده (روز)]]*Main[[#This Row],[مانده در خط سررسید شده (کیلوگرم)]]</f>
        <v>14889</v>
      </c>
    </row>
    <row r="2368" spans="1:32" hidden="1" x14ac:dyDescent="0.35">
      <c r="A2368" s="5">
        <f>ROW()-ROW(INDEX(Main[ردیف],1))+1</f>
        <v>2366</v>
      </c>
      <c r="B2368" s="31">
        <f>SUBTOTAL(2,INDEX(Main[ردیف],1):Main[[#This Row],[ردیف]])</f>
        <v>214</v>
      </c>
      <c r="C2368" s="32" t="s">
        <v>795</v>
      </c>
      <c r="D2368" s="32" t="str">
        <f>_xlfn.CONCAT("14",Main[[#This Row],[تاريخ]])</f>
        <v>1400/09/10</v>
      </c>
      <c r="E2368" s="33">
        <v>44531</v>
      </c>
      <c r="F2368" s="32">
        <v>30155</v>
      </c>
      <c r="G2368" s="5" t="str">
        <f>INDEX(customer[عنوان],MATCH(Main[[#This Row],[کد ردیابی]],customer[کد],0))</f>
        <v>سری تراشی طاهری</v>
      </c>
      <c r="H2368">
        <v>53</v>
      </c>
      <c r="I2368" s="6">
        <f ca="1">-Main[[#This Row],[بدهی تسویه شده (کیلوگرم)]]+Main[[#This Row],[بستانکار (کیلوگرم)]]</f>
        <v>53</v>
      </c>
      <c r="J2368" s="6">
        <f>IF(Main[[#This Row],[مقدار (کیلوگرم)]]&gt;0,Main[[#This Row],[مقدار (کیلوگرم)]],0)</f>
        <v>53</v>
      </c>
      <c r="K2368" s="6">
        <f>-IF(Main[[#This Row],[مقدار (کیلوگرم)]]&lt;0,Main[[#This Row],[مقدار (کیلوگرم)]],0)</f>
        <v>0</v>
      </c>
      <c r="L23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8" s="7">
        <f>-IF(AND(Main[[#This Row],[مقدار (کیلوگرم)]]&lt;0,Main[[#This Row],[تاريخ میلادی]]&gt;44276),Main[[#This Row],[مقدار (کیلوگرم)]],0)</f>
        <v>0</v>
      </c>
      <c r="N2368" s="6">
        <f ca="1">Main[[#This Row],[بدهکار (کیلوگرم)]]-Main[[#This Row],[بدهی تسویه نشده (کیلوگرم)]]</f>
        <v>0</v>
      </c>
      <c r="O2368" s="6">
        <f ca="1">Main[[#This Row],[تفکیک]]</f>
        <v>0</v>
      </c>
      <c r="P2368" s="6">
        <f ca="1">IF(Main[[#This Row],[تاخیر از سررسید]]&gt;0,Main[[#This Row],[بدهی تسویه نشده (کیلوگرم)]],0)</f>
        <v>0</v>
      </c>
      <c r="Q2368" s="6">
        <f ca="1">IF(Main[[#This Row],[بدهی تسویه نشده (کیلوگرم)]]&gt;0,'گزارش فردی'!$B$7-Main[[#This Row],[تاريخ میلادی]],0)</f>
        <v>0</v>
      </c>
      <c r="R2368" s="6">
        <f ca="1">IF(Main[[#This Row],[بدهی تسویه نشده (کیلوگرم)]]&gt;0,'گزارش فردی'!$B$7-Main[[#This Row],[تاريخ میلادی]]-'گزارش فردی'!$B$8,0)</f>
        <v>0</v>
      </c>
      <c r="S2368" s="6">
        <f ca="1">Main[[#This Row],[روز از ارسال سفارش]]*Main[[#This Row],[بدهی تسویه نشده (کیلوگرم)]]</f>
        <v>0</v>
      </c>
      <c r="T2368" s="6">
        <f ca="1">Main[[#This Row],[بدهی سررسید شده (کیلوگرم)]]*Main[[#This Row],[روز از ارسال سفارش]]</f>
        <v>0</v>
      </c>
      <c r="U2368" s="6">
        <f>-SUBTOTAL(9,INDEX(Main[مقدار (کیلوگرم)],1):Main[[#This Row],[مقدار (کیلوگرم)]])</f>
        <v>32923</v>
      </c>
      <c r="V236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8" s="6">
        <f>Main[[#This Row],[تعداد کل روزهای بدهکار (روز)]]*Main[[#This Row],[مانده در خط کل (کیلوگرم)]]</f>
        <v>98769</v>
      </c>
      <c r="X2368" s="6">
        <f ca="1">-SUBTOTAL(9,INDEX(Main[مقدار تسویه شده (کیلوگرم)],1):Main[[#This Row],[مقدار تسویه شده (کیلوگرم)]])</f>
        <v>27960</v>
      </c>
      <c r="Y2368" s="6">
        <f ca="1">IF(Main[[#This Row],[مانده در خط تسویه شده (کیلوگرم)]]&lt;&gt;0,Main[[#This Row],[تعداد کل روزهای بدهکار (روز)]],0)</f>
        <v>3</v>
      </c>
      <c r="Z2368" s="6">
        <f ca="1">Main[[#This Row],[تعداد روزهای بدهکار تسویه شده (روز)]]*Main[[#This Row],[مانده در خط تسویه شده (کیلوگرم)]]</f>
        <v>83880</v>
      </c>
      <c r="AA2368" s="6">
        <f ca="1">SUBTOTAL(9,INDEX(Main[بدهی تسویه نشده (کیلوگرم)],1):Main[[#This Row],[بدهی تسویه نشده (کیلوگرم)]])</f>
        <v>4963</v>
      </c>
      <c r="AB2368" s="6">
        <f ca="1">IF(Main[[#This Row],[مانده در خط تسویه نشده (کیلوگرم)]]&lt;&gt;0,Main[[#This Row],[تعداد کل روزهای بدهکار (روز)]],0)</f>
        <v>3</v>
      </c>
      <c r="AC2368" s="6">
        <f ca="1">Main[[#This Row],[تعداد روزهای بدهکار  تسویه نشده (روز)]]*Main[[#This Row],[مانده در خط تسویه نشده (کیلوگرم)]]</f>
        <v>14889</v>
      </c>
      <c r="AD2368" s="6">
        <f ca="1">SUBTOTAL(9,INDEX(Main[بدهی سررسید شده (کیلوگرم)],1):Main[[#This Row],[بدهی سررسید شده (کیلوگرم)]])</f>
        <v>4963</v>
      </c>
      <c r="AE2368" s="6">
        <f ca="1">IF(Main[[#This Row],[مانده در خط سررسید شده (کیلوگرم)]]&lt;&gt;0,Main[[#This Row],[تعداد کل روزهای بدهکار (روز)]],0)</f>
        <v>3</v>
      </c>
      <c r="AF2368" s="6">
        <f ca="1">Main[[#This Row],[تعداد روزهای بدهکار سررسید شده (روز)]]*Main[[#This Row],[مانده در خط سررسید شده (کیلوگرم)]]</f>
        <v>14889</v>
      </c>
    </row>
    <row r="2369" spans="1:32" hidden="1" x14ac:dyDescent="0.35">
      <c r="A2369" s="5">
        <f>ROW()-ROW(INDEX(Main[ردیف],1))+1</f>
        <v>2367</v>
      </c>
      <c r="B2369" s="31">
        <f>SUBTOTAL(2,INDEX(Main[ردیف],1):Main[[#This Row],[ردیف]])</f>
        <v>214</v>
      </c>
      <c r="C2369" s="32" t="s">
        <v>795</v>
      </c>
      <c r="D2369" s="32" t="str">
        <f>_xlfn.CONCAT("14",Main[[#This Row],[تاريخ]])</f>
        <v>1400/09/10</v>
      </c>
      <c r="E2369" s="33">
        <v>44531</v>
      </c>
      <c r="F2369" s="32">
        <v>30003</v>
      </c>
      <c r="G2369" s="5" t="str">
        <f>INDEX(customer[عنوان],MATCH(Main[[#This Row],[کد ردیابی]],customer[کد],0))</f>
        <v xml:space="preserve">شهاب گاز سوز </v>
      </c>
      <c r="H2369">
        <v>-702</v>
      </c>
      <c r="I2369" s="6">
        <f ca="1">-Main[[#This Row],[بدهی تسویه شده (کیلوگرم)]]+Main[[#This Row],[بستانکار (کیلوگرم)]]</f>
        <v>0</v>
      </c>
      <c r="J2369" s="6">
        <f>IF(Main[[#This Row],[مقدار (کیلوگرم)]]&gt;0,Main[[#This Row],[مقدار (کیلوگرم)]],0)</f>
        <v>0</v>
      </c>
      <c r="K2369" s="6">
        <f>-IF(Main[[#This Row],[مقدار (کیلوگرم)]]&lt;0,Main[[#This Row],[مقدار (کیلوگرم)]],0)</f>
        <v>702</v>
      </c>
      <c r="L23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702</v>
      </c>
      <c r="M2369" s="7">
        <f>-IF(AND(Main[[#This Row],[مقدار (کیلوگرم)]]&lt;0,Main[[#This Row],[تاريخ میلادی]]&gt;44276),Main[[#This Row],[مقدار (کیلوگرم)]],0)</f>
        <v>702</v>
      </c>
      <c r="N2369" s="6">
        <f ca="1">Main[[#This Row],[بدهکار (کیلوگرم)]]-Main[[#This Row],[بدهی تسویه نشده (کیلوگرم)]]</f>
        <v>0</v>
      </c>
      <c r="O2369" s="6">
        <f ca="1">Main[[#This Row],[تفکیک]]</f>
        <v>702</v>
      </c>
      <c r="P2369" s="6">
        <f ca="1">IF(Main[[#This Row],[تاخیر از سررسید]]&gt;0,Main[[#This Row],[بدهی تسویه نشده (کیلوگرم)]],0)</f>
        <v>702</v>
      </c>
      <c r="Q2369" s="6">
        <f ca="1">IF(Main[[#This Row],[بدهی تسویه نشده (کیلوگرم)]]&gt;0,'گزارش فردی'!$B$7-Main[[#This Row],[تاريخ میلادی]],0)</f>
        <v>931.75374085648218</v>
      </c>
      <c r="R2369" s="6">
        <f ca="1">IF(Main[[#This Row],[بدهی تسویه نشده (کیلوگرم)]]&gt;0,'گزارش فردی'!$B$7-Main[[#This Row],[تاريخ میلادی]]-'گزارش فردی'!$B$8,0)</f>
        <v>916.75374085648218</v>
      </c>
      <c r="S2369" s="6">
        <f ca="1">Main[[#This Row],[روز از ارسال سفارش]]*Main[[#This Row],[بدهی تسویه نشده (کیلوگرم)]]</f>
        <v>654091.12608125049</v>
      </c>
      <c r="T2369" s="6">
        <f ca="1">Main[[#This Row],[بدهی سررسید شده (کیلوگرم)]]*Main[[#This Row],[روز از ارسال سفارش]]</f>
        <v>654091.12608125049</v>
      </c>
      <c r="U2369" s="6">
        <f>-SUBTOTAL(9,INDEX(Main[مقدار (کیلوگرم)],1):Main[[#This Row],[مقدار (کیلوگرم)]])</f>
        <v>32923</v>
      </c>
      <c r="V236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9" s="6">
        <f>Main[[#This Row],[تعداد کل روزهای بدهکار (روز)]]*Main[[#This Row],[مانده در خط کل (کیلوگرم)]]</f>
        <v>98769</v>
      </c>
      <c r="X2369" s="6">
        <f ca="1">-SUBTOTAL(9,INDEX(Main[مقدار تسویه شده (کیلوگرم)],1):Main[[#This Row],[مقدار تسویه شده (کیلوگرم)]])</f>
        <v>27960</v>
      </c>
      <c r="Y2369" s="6">
        <f ca="1">IF(Main[[#This Row],[مانده در خط تسویه شده (کیلوگرم)]]&lt;&gt;0,Main[[#This Row],[تعداد کل روزهای بدهکار (روز)]],0)</f>
        <v>3</v>
      </c>
      <c r="Z2369" s="6">
        <f ca="1">Main[[#This Row],[تعداد روزهای بدهکار تسویه شده (روز)]]*Main[[#This Row],[مانده در خط تسویه شده (کیلوگرم)]]</f>
        <v>83880</v>
      </c>
      <c r="AA2369" s="6">
        <f ca="1">SUBTOTAL(9,INDEX(Main[بدهی تسویه نشده (کیلوگرم)],1):Main[[#This Row],[بدهی تسویه نشده (کیلوگرم)]])</f>
        <v>4963</v>
      </c>
      <c r="AB2369" s="6">
        <f ca="1">IF(Main[[#This Row],[مانده در خط تسویه نشده (کیلوگرم)]]&lt;&gt;0,Main[[#This Row],[تعداد کل روزهای بدهکار (روز)]],0)</f>
        <v>3</v>
      </c>
      <c r="AC2369" s="6">
        <f ca="1">Main[[#This Row],[تعداد روزهای بدهکار  تسویه نشده (روز)]]*Main[[#This Row],[مانده در خط تسویه نشده (کیلوگرم)]]</f>
        <v>14889</v>
      </c>
      <c r="AD2369" s="6">
        <f ca="1">SUBTOTAL(9,INDEX(Main[بدهی سررسید شده (کیلوگرم)],1):Main[[#This Row],[بدهی سررسید شده (کیلوگرم)]])</f>
        <v>4963</v>
      </c>
      <c r="AE2369" s="6">
        <f ca="1">IF(Main[[#This Row],[مانده در خط سررسید شده (کیلوگرم)]]&lt;&gt;0,Main[[#This Row],[تعداد کل روزهای بدهکار (روز)]],0)</f>
        <v>3</v>
      </c>
      <c r="AF2369" s="6">
        <f ca="1">Main[[#This Row],[تعداد روزهای بدهکار سررسید شده (روز)]]*Main[[#This Row],[مانده در خط سررسید شده (کیلوگرم)]]</f>
        <v>14889</v>
      </c>
    </row>
    <row r="2370" spans="1:32" hidden="1" x14ac:dyDescent="0.35">
      <c r="A2370" s="5">
        <f>ROW()-ROW(INDEX(Main[ردیف],1))+1</f>
        <v>2368</v>
      </c>
      <c r="B2370" s="31">
        <f>SUBTOTAL(2,INDEX(Main[ردیف],1):Main[[#This Row],[ردیف]])</f>
        <v>214</v>
      </c>
      <c r="C2370" s="32" t="s">
        <v>795</v>
      </c>
      <c r="D2370" s="32" t="str">
        <f>_xlfn.CONCAT("14",Main[[#This Row],[تاريخ]])</f>
        <v>1400/09/10</v>
      </c>
      <c r="E2370" s="33">
        <v>44531</v>
      </c>
      <c r="F2370" s="32">
        <v>10026</v>
      </c>
      <c r="G2370" s="5" t="str">
        <f>INDEX(customer[عنوان],MATCH(Main[[#This Row],[کد ردیابی]],customer[کد],0))</f>
        <v xml:space="preserve">محسن فیاض بخش </v>
      </c>
      <c r="H2370">
        <v>3810</v>
      </c>
      <c r="I2370" s="6">
        <f ca="1">-Main[[#This Row],[بدهی تسویه شده (کیلوگرم)]]+Main[[#This Row],[بستانکار (کیلوگرم)]]</f>
        <v>3810</v>
      </c>
      <c r="J2370" s="6">
        <f>IF(Main[[#This Row],[مقدار (کیلوگرم)]]&gt;0,Main[[#This Row],[مقدار (کیلوگرم)]],0)</f>
        <v>3810</v>
      </c>
      <c r="K2370" s="6">
        <f>-IF(Main[[#This Row],[مقدار (کیلوگرم)]]&lt;0,Main[[#This Row],[مقدار (کیلوگرم)]],0)</f>
        <v>0</v>
      </c>
      <c r="L23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0" s="7">
        <f>-IF(AND(Main[[#This Row],[مقدار (کیلوگرم)]]&lt;0,Main[[#This Row],[تاريخ میلادی]]&gt;44276),Main[[#This Row],[مقدار (کیلوگرم)]],0)</f>
        <v>0</v>
      </c>
      <c r="N2370" s="6">
        <f ca="1">Main[[#This Row],[بدهکار (کیلوگرم)]]-Main[[#This Row],[بدهی تسویه نشده (کیلوگرم)]]</f>
        <v>0</v>
      </c>
      <c r="O2370" s="6">
        <f ca="1">Main[[#This Row],[تفکیک]]</f>
        <v>0</v>
      </c>
      <c r="P2370" s="6">
        <f ca="1">IF(Main[[#This Row],[تاخیر از سررسید]]&gt;0,Main[[#This Row],[بدهی تسویه نشده (کیلوگرم)]],0)</f>
        <v>0</v>
      </c>
      <c r="Q2370" s="6">
        <f ca="1">IF(Main[[#This Row],[بدهی تسویه نشده (کیلوگرم)]]&gt;0,'گزارش فردی'!$B$7-Main[[#This Row],[تاريخ میلادی]],0)</f>
        <v>0</v>
      </c>
      <c r="R2370" s="6">
        <f ca="1">IF(Main[[#This Row],[بدهی تسویه نشده (کیلوگرم)]]&gt;0,'گزارش فردی'!$B$7-Main[[#This Row],[تاريخ میلادی]]-'گزارش فردی'!$B$8,0)</f>
        <v>0</v>
      </c>
      <c r="S2370" s="6">
        <f ca="1">Main[[#This Row],[روز از ارسال سفارش]]*Main[[#This Row],[بدهی تسویه نشده (کیلوگرم)]]</f>
        <v>0</v>
      </c>
      <c r="T2370" s="6">
        <f ca="1">Main[[#This Row],[بدهی سررسید شده (کیلوگرم)]]*Main[[#This Row],[روز از ارسال سفارش]]</f>
        <v>0</v>
      </c>
      <c r="U2370" s="6">
        <f>-SUBTOTAL(9,INDEX(Main[مقدار (کیلوگرم)],1):Main[[#This Row],[مقدار (کیلوگرم)]])</f>
        <v>32923</v>
      </c>
      <c r="V237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70" s="6">
        <f>Main[[#This Row],[تعداد کل روزهای بدهکار (روز)]]*Main[[#This Row],[مانده در خط کل (کیلوگرم)]]</f>
        <v>98769</v>
      </c>
      <c r="X2370" s="6">
        <f ca="1">-SUBTOTAL(9,INDEX(Main[مقدار تسویه شده (کیلوگرم)],1):Main[[#This Row],[مقدار تسویه شده (کیلوگرم)]])</f>
        <v>27960</v>
      </c>
      <c r="Y2370" s="6">
        <f ca="1">IF(Main[[#This Row],[مانده در خط تسویه شده (کیلوگرم)]]&lt;&gt;0,Main[[#This Row],[تعداد کل روزهای بدهکار (روز)]],0)</f>
        <v>3</v>
      </c>
      <c r="Z2370" s="6">
        <f ca="1">Main[[#This Row],[تعداد روزهای بدهکار تسویه شده (روز)]]*Main[[#This Row],[مانده در خط تسویه شده (کیلوگرم)]]</f>
        <v>83880</v>
      </c>
      <c r="AA2370" s="6">
        <f ca="1">SUBTOTAL(9,INDEX(Main[بدهی تسویه نشده (کیلوگرم)],1):Main[[#This Row],[بدهی تسویه نشده (کیلوگرم)]])</f>
        <v>4963</v>
      </c>
      <c r="AB2370" s="6">
        <f ca="1">IF(Main[[#This Row],[مانده در خط تسویه نشده (کیلوگرم)]]&lt;&gt;0,Main[[#This Row],[تعداد کل روزهای بدهکار (روز)]],0)</f>
        <v>3</v>
      </c>
      <c r="AC2370" s="6">
        <f ca="1">Main[[#This Row],[تعداد روزهای بدهکار  تسویه نشده (روز)]]*Main[[#This Row],[مانده در خط تسویه نشده (کیلوگرم)]]</f>
        <v>14889</v>
      </c>
      <c r="AD2370" s="6">
        <f ca="1">SUBTOTAL(9,INDEX(Main[بدهی سررسید شده (کیلوگرم)],1):Main[[#This Row],[بدهی سررسید شده (کیلوگرم)]])</f>
        <v>4963</v>
      </c>
      <c r="AE2370" s="6">
        <f ca="1">IF(Main[[#This Row],[مانده در خط سررسید شده (کیلوگرم)]]&lt;&gt;0,Main[[#This Row],[تعداد کل روزهای بدهکار (روز)]],0)</f>
        <v>3</v>
      </c>
      <c r="AF2370" s="6">
        <f ca="1">Main[[#This Row],[تعداد روزهای بدهکار سررسید شده (روز)]]*Main[[#This Row],[مانده در خط سررسید شده (کیلوگرم)]]</f>
        <v>14889</v>
      </c>
    </row>
    <row r="2371" spans="1:32" hidden="1" x14ac:dyDescent="0.35">
      <c r="A2371" s="5">
        <f>ROW()-ROW(INDEX(Main[ردیف],1))+1</f>
        <v>2369</v>
      </c>
      <c r="B2371" s="31">
        <f>SUBTOTAL(2,INDEX(Main[ردیف],1):Main[[#This Row],[ردیف]])</f>
        <v>214</v>
      </c>
      <c r="C2371" s="32" t="s">
        <v>795</v>
      </c>
      <c r="D2371" s="32" t="str">
        <f>_xlfn.CONCAT("14",Main[[#This Row],[تاريخ]])</f>
        <v>1400/09/10</v>
      </c>
      <c r="E2371" s="33">
        <v>44531</v>
      </c>
      <c r="F2371" s="32">
        <v>30155</v>
      </c>
      <c r="G2371" s="5" t="str">
        <f>INDEX(customer[عنوان],MATCH(Main[[#This Row],[کد ردیابی]],customer[کد],0))</f>
        <v>سری تراشی طاهری</v>
      </c>
      <c r="H2371">
        <v>450</v>
      </c>
      <c r="I2371" s="6">
        <f ca="1">-Main[[#This Row],[بدهی تسویه شده (کیلوگرم)]]+Main[[#This Row],[بستانکار (کیلوگرم)]]</f>
        <v>450</v>
      </c>
      <c r="J2371" s="6">
        <f>IF(Main[[#This Row],[مقدار (کیلوگرم)]]&gt;0,Main[[#This Row],[مقدار (کیلوگرم)]],0)</f>
        <v>450</v>
      </c>
      <c r="K2371" s="6">
        <f>-IF(Main[[#This Row],[مقدار (کیلوگرم)]]&lt;0,Main[[#This Row],[مقدار (کیلوگرم)]],0)</f>
        <v>0</v>
      </c>
      <c r="L23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1" s="7">
        <f>-IF(AND(Main[[#This Row],[مقدار (کیلوگرم)]]&lt;0,Main[[#This Row],[تاريخ میلادی]]&gt;44276),Main[[#This Row],[مقدار (کیلوگرم)]],0)</f>
        <v>0</v>
      </c>
      <c r="N2371" s="6">
        <f ca="1">Main[[#This Row],[بدهکار (کیلوگرم)]]-Main[[#This Row],[بدهی تسویه نشده (کیلوگرم)]]</f>
        <v>0</v>
      </c>
      <c r="O2371" s="6">
        <f ca="1">Main[[#This Row],[تفکیک]]</f>
        <v>0</v>
      </c>
      <c r="P2371" s="6">
        <f ca="1">IF(Main[[#This Row],[تاخیر از سررسید]]&gt;0,Main[[#This Row],[بدهی تسویه نشده (کیلوگرم)]],0)</f>
        <v>0</v>
      </c>
      <c r="Q2371" s="6">
        <f ca="1">IF(Main[[#This Row],[بدهی تسویه نشده (کیلوگرم)]]&gt;0,'گزارش فردی'!$B$7-Main[[#This Row],[تاريخ میلادی]],0)</f>
        <v>0</v>
      </c>
      <c r="R2371" s="6">
        <f ca="1">IF(Main[[#This Row],[بدهی تسویه نشده (کیلوگرم)]]&gt;0,'گزارش فردی'!$B$7-Main[[#This Row],[تاريخ میلادی]]-'گزارش فردی'!$B$8,0)</f>
        <v>0</v>
      </c>
      <c r="S2371" s="6">
        <f ca="1">Main[[#This Row],[روز از ارسال سفارش]]*Main[[#This Row],[بدهی تسویه نشده (کیلوگرم)]]</f>
        <v>0</v>
      </c>
      <c r="T2371" s="6">
        <f ca="1">Main[[#This Row],[بدهی سررسید شده (کیلوگرم)]]*Main[[#This Row],[روز از ارسال سفارش]]</f>
        <v>0</v>
      </c>
      <c r="U2371" s="6">
        <f>-SUBTOTAL(9,INDEX(Main[مقدار (کیلوگرم)],1):Main[[#This Row],[مقدار (کیلوگرم)]])</f>
        <v>32923</v>
      </c>
      <c r="V237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71" s="6">
        <f>Main[[#This Row],[تعداد کل روزهای بدهکار (روز)]]*Main[[#This Row],[مانده در خط کل (کیلوگرم)]]</f>
        <v>98769</v>
      </c>
      <c r="X2371" s="6">
        <f ca="1">-SUBTOTAL(9,INDEX(Main[مقدار تسویه شده (کیلوگرم)],1):Main[[#This Row],[مقدار تسویه شده (کیلوگرم)]])</f>
        <v>27960</v>
      </c>
      <c r="Y2371" s="6">
        <f ca="1">IF(Main[[#This Row],[مانده در خط تسویه شده (کیلوگرم)]]&lt;&gt;0,Main[[#This Row],[تعداد کل روزهای بدهکار (روز)]],0)</f>
        <v>3</v>
      </c>
      <c r="Z2371" s="6">
        <f ca="1">Main[[#This Row],[تعداد روزهای بدهکار تسویه شده (روز)]]*Main[[#This Row],[مانده در خط تسویه شده (کیلوگرم)]]</f>
        <v>83880</v>
      </c>
      <c r="AA2371" s="6">
        <f ca="1">SUBTOTAL(9,INDEX(Main[بدهی تسویه نشده (کیلوگرم)],1):Main[[#This Row],[بدهی تسویه نشده (کیلوگرم)]])</f>
        <v>4963</v>
      </c>
      <c r="AB2371" s="6">
        <f ca="1">IF(Main[[#This Row],[مانده در خط تسویه نشده (کیلوگرم)]]&lt;&gt;0,Main[[#This Row],[تعداد کل روزهای بدهکار (روز)]],0)</f>
        <v>3</v>
      </c>
      <c r="AC2371" s="6">
        <f ca="1">Main[[#This Row],[تعداد روزهای بدهکار  تسویه نشده (روز)]]*Main[[#This Row],[مانده در خط تسویه نشده (کیلوگرم)]]</f>
        <v>14889</v>
      </c>
      <c r="AD2371" s="6">
        <f ca="1">SUBTOTAL(9,INDEX(Main[بدهی سررسید شده (کیلوگرم)],1):Main[[#This Row],[بدهی سررسید شده (کیلوگرم)]])</f>
        <v>4963</v>
      </c>
      <c r="AE2371" s="6">
        <f ca="1">IF(Main[[#This Row],[مانده در خط سررسید شده (کیلوگرم)]]&lt;&gt;0,Main[[#This Row],[تعداد کل روزهای بدهکار (روز)]],0)</f>
        <v>3</v>
      </c>
      <c r="AF2371" s="6">
        <f ca="1">Main[[#This Row],[تعداد روزهای بدهکار سررسید شده (روز)]]*Main[[#This Row],[مانده در خط سررسید شده (کیلوگرم)]]</f>
        <v>14889</v>
      </c>
    </row>
    <row r="2372" spans="1:32" hidden="1" x14ac:dyDescent="0.35">
      <c r="A2372" s="5">
        <f>ROW()-ROW(INDEX(Main[ردیف],1))+1</f>
        <v>2370</v>
      </c>
      <c r="B2372" s="31">
        <f>SUBTOTAL(2,INDEX(Main[ردیف],1):Main[[#This Row],[ردیف]])</f>
        <v>214</v>
      </c>
      <c r="C2372" s="32" t="s">
        <v>796</v>
      </c>
      <c r="D2372" s="32" t="str">
        <f>_xlfn.CONCAT("14",Main[[#This Row],[تاريخ]])</f>
        <v>1400/09/11</v>
      </c>
      <c r="E2372" s="33">
        <v>44532</v>
      </c>
      <c r="F2372" s="32">
        <v>30018</v>
      </c>
      <c r="G2372" s="5" t="str">
        <f>INDEX(customer[عنوان],MATCH(Main[[#This Row],[کد ردیابی]],customer[کد],0))</f>
        <v xml:space="preserve">تولیدی شیر سازی غریب پویا </v>
      </c>
      <c r="H2372">
        <v>-2036</v>
      </c>
      <c r="I2372" s="6">
        <f ca="1">-Main[[#This Row],[بدهی تسویه شده (کیلوگرم)]]+Main[[#This Row],[بستانکار (کیلوگرم)]]</f>
        <v>0</v>
      </c>
      <c r="J2372" s="6">
        <f>IF(Main[[#This Row],[مقدار (کیلوگرم)]]&gt;0,Main[[#This Row],[مقدار (کیلوگرم)]],0)</f>
        <v>0</v>
      </c>
      <c r="K2372" s="6">
        <f>-IF(Main[[#This Row],[مقدار (کیلوگرم)]]&lt;0,Main[[#This Row],[مقدار (کیلوگرم)]],0)</f>
        <v>2036</v>
      </c>
      <c r="L23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2036</v>
      </c>
      <c r="M2372" s="7">
        <f>-IF(AND(Main[[#This Row],[مقدار (کیلوگرم)]]&lt;0,Main[[#This Row],[تاريخ میلادی]]&gt;44276),Main[[#This Row],[مقدار (کیلوگرم)]],0)</f>
        <v>2036</v>
      </c>
      <c r="N2372" s="6">
        <f ca="1">Main[[#This Row],[بدهکار (کیلوگرم)]]-Main[[#This Row],[بدهی تسویه نشده (کیلوگرم)]]</f>
        <v>0</v>
      </c>
      <c r="O2372" s="6">
        <f ca="1">Main[[#This Row],[تفکیک]]</f>
        <v>2036</v>
      </c>
      <c r="P2372" s="6">
        <f ca="1">IF(Main[[#This Row],[تاخیر از سررسید]]&gt;0,Main[[#This Row],[بدهی تسویه نشده (کیلوگرم)]],0)</f>
        <v>2036</v>
      </c>
      <c r="Q2372" s="6">
        <f ca="1">IF(Main[[#This Row],[بدهی تسویه نشده (کیلوگرم)]]&gt;0,'گزارش فردی'!$B$7-Main[[#This Row],[تاريخ میلادی]],0)</f>
        <v>930.75374085648218</v>
      </c>
      <c r="R2372" s="6">
        <f ca="1">IF(Main[[#This Row],[بدهی تسویه نشده (کیلوگرم)]]&gt;0,'گزارش فردی'!$B$7-Main[[#This Row],[تاريخ میلادی]]-'گزارش فردی'!$B$8,0)</f>
        <v>915.75374085648218</v>
      </c>
      <c r="S2372" s="6">
        <f ca="1">Main[[#This Row],[روز از ارسال سفارش]]*Main[[#This Row],[بدهی تسویه نشده (کیلوگرم)]]</f>
        <v>1895014.6163837977</v>
      </c>
      <c r="T2372" s="6">
        <f ca="1">Main[[#This Row],[بدهی سررسید شده (کیلوگرم)]]*Main[[#This Row],[روز از ارسال سفارش]]</f>
        <v>1895014.6163837977</v>
      </c>
      <c r="U2372" s="6">
        <f>-SUBTOTAL(9,INDEX(Main[مقدار (کیلوگرم)],1):Main[[#This Row],[مقدار (کیلوگرم)]])</f>
        <v>32923</v>
      </c>
      <c r="V237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2" s="6">
        <f>Main[[#This Row],[تعداد کل روزهای بدهکار (روز)]]*Main[[#This Row],[مانده در خط کل (کیلوگرم)]]</f>
        <v>65846</v>
      </c>
      <c r="X2372" s="6">
        <f ca="1">-SUBTOTAL(9,INDEX(Main[مقدار تسویه شده (کیلوگرم)],1):Main[[#This Row],[مقدار تسویه شده (کیلوگرم)]])</f>
        <v>27960</v>
      </c>
      <c r="Y2372" s="6">
        <f ca="1">IF(Main[[#This Row],[مانده در خط تسویه شده (کیلوگرم)]]&lt;&gt;0,Main[[#This Row],[تعداد کل روزهای بدهکار (روز)]],0)</f>
        <v>2</v>
      </c>
      <c r="Z2372" s="6">
        <f ca="1">Main[[#This Row],[تعداد روزهای بدهکار تسویه شده (روز)]]*Main[[#This Row],[مانده در خط تسویه شده (کیلوگرم)]]</f>
        <v>55920</v>
      </c>
      <c r="AA2372" s="6">
        <f ca="1">SUBTOTAL(9,INDEX(Main[بدهی تسویه نشده (کیلوگرم)],1):Main[[#This Row],[بدهی تسویه نشده (کیلوگرم)]])</f>
        <v>4963</v>
      </c>
      <c r="AB2372" s="6">
        <f ca="1">IF(Main[[#This Row],[مانده در خط تسویه نشده (کیلوگرم)]]&lt;&gt;0,Main[[#This Row],[تعداد کل روزهای بدهکار (روز)]],0)</f>
        <v>2</v>
      </c>
      <c r="AC2372" s="6">
        <f ca="1">Main[[#This Row],[تعداد روزهای بدهکار  تسویه نشده (روز)]]*Main[[#This Row],[مانده در خط تسویه نشده (کیلوگرم)]]</f>
        <v>9926</v>
      </c>
      <c r="AD2372" s="6">
        <f ca="1">SUBTOTAL(9,INDEX(Main[بدهی سررسید شده (کیلوگرم)],1):Main[[#This Row],[بدهی سررسید شده (کیلوگرم)]])</f>
        <v>4963</v>
      </c>
      <c r="AE2372" s="6">
        <f ca="1">IF(Main[[#This Row],[مانده در خط سررسید شده (کیلوگرم)]]&lt;&gt;0,Main[[#This Row],[تعداد کل روزهای بدهکار (روز)]],0)</f>
        <v>2</v>
      </c>
      <c r="AF2372" s="6">
        <f ca="1">Main[[#This Row],[تعداد روزهای بدهکار سررسید شده (روز)]]*Main[[#This Row],[مانده در خط سررسید شده (کیلوگرم)]]</f>
        <v>9926</v>
      </c>
    </row>
    <row r="2373" spans="1:32" hidden="1" x14ac:dyDescent="0.35">
      <c r="A2373" s="5">
        <f>ROW()-ROW(INDEX(Main[ردیف],1))+1</f>
        <v>2371</v>
      </c>
      <c r="B2373" s="31">
        <f>SUBTOTAL(2,INDEX(Main[ردیف],1):Main[[#This Row],[ردیف]])</f>
        <v>214</v>
      </c>
      <c r="C2373" s="32" t="s">
        <v>796</v>
      </c>
      <c r="D2373" s="32" t="str">
        <f>_xlfn.CONCAT("14",Main[[#This Row],[تاريخ]])</f>
        <v>1400/09/11</v>
      </c>
      <c r="E2373" s="33">
        <v>44532</v>
      </c>
      <c r="F2373" s="32">
        <v>10055</v>
      </c>
      <c r="G2373" s="5" t="str">
        <f>INDEX(customer[عنوان],MATCH(Main[[#This Row],[کد ردیابی]],customer[کد],0))</f>
        <v xml:space="preserve">مریم فیض آبادی  </v>
      </c>
      <c r="H2373">
        <v>5723</v>
      </c>
      <c r="I2373" s="6">
        <f ca="1">-Main[[#This Row],[بدهی تسویه شده (کیلوگرم)]]+Main[[#This Row],[بستانکار (کیلوگرم)]]</f>
        <v>5723</v>
      </c>
      <c r="J2373" s="6">
        <f>IF(Main[[#This Row],[مقدار (کیلوگرم)]]&gt;0,Main[[#This Row],[مقدار (کیلوگرم)]],0)</f>
        <v>5723</v>
      </c>
      <c r="K2373" s="6">
        <f>-IF(Main[[#This Row],[مقدار (کیلوگرم)]]&lt;0,Main[[#This Row],[مقدار (کیلوگرم)]],0)</f>
        <v>0</v>
      </c>
      <c r="L23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3" s="7">
        <f>-IF(AND(Main[[#This Row],[مقدار (کیلوگرم)]]&lt;0,Main[[#This Row],[تاريخ میلادی]]&gt;44276),Main[[#This Row],[مقدار (کیلوگرم)]],0)</f>
        <v>0</v>
      </c>
      <c r="N2373" s="6">
        <f ca="1">Main[[#This Row],[بدهکار (کیلوگرم)]]-Main[[#This Row],[بدهی تسویه نشده (کیلوگرم)]]</f>
        <v>0</v>
      </c>
      <c r="O2373" s="6">
        <f ca="1">Main[[#This Row],[تفکیک]]</f>
        <v>0</v>
      </c>
      <c r="P2373" s="6">
        <f ca="1">IF(Main[[#This Row],[تاخیر از سررسید]]&gt;0,Main[[#This Row],[بدهی تسویه نشده (کیلوگرم)]],0)</f>
        <v>0</v>
      </c>
      <c r="Q2373" s="6">
        <f ca="1">IF(Main[[#This Row],[بدهی تسویه نشده (کیلوگرم)]]&gt;0,'گزارش فردی'!$B$7-Main[[#This Row],[تاريخ میلادی]],0)</f>
        <v>0</v>
      </c>
      <c r="R2373" s="6">
        <f ca="1">IF(Main[[#This Row],[بدهی تسویه نشده (کیلوگرم)]]&gt;0,'گزارش فردی'!$B$7-Main[[#This Row],[تاريخ میلادی]]-'گزارش فردی'!$B$8,0)</f>
        <v>0</v>
      </c>
      <c r="S2373" s="6">
        <f ca="1">Main[[#This Row],[روز از ارسال سفارش]]*Main[[#This Row],[بدهی تسویه نشده (کیلوگرم)]]</f>
        <v>0</v>
      </c>
      <c r="T2373" s="6">
        <f ca="1">Main[[#This Row],[بدهی سررسید شده (کیلوگرم)]]*Main[[#This Row],[روز از ارسال سفارش]]</f>
        <v>0</v>
      </c>
      <c r="U2373" s="6">
        <f>-SUBTOTAL(9,INDEX(Main[مقدار (کیلوگرم)],1):Main[[#This Row],[مقدار (کیلوگرم)]])</f>
        <v>32923</v>
      </c>
      <c r="V237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3" s="6">
        <f>Main[[#This Row],[تعداد کل روزهای بدهکار (روز)]]*Main[[#This Row],[مانده در خط کل (کیلوگرم)]]</f>
        <v>65846</v>
      </c>
      <c r="X2373" s="6">
        <f ca="1">-SUBTOTAL(9,INDEX(Main[مقدار تسویه شده (کیلوگرم)],1):Main[[#This Row],[مقدار تسویه شده (کیلوگرم)]])</f>
        <v>27960</v>
      </c>
      <c r="Y2373" s="6">
        <f ca="1">IF(Main[[#This Row],[مانده در خط تسویه شده (کیلوگرم)]]&lt;&gt;0,Main[[#This Row],[تعداد کل روزهای بدهکار (روز)]],0)</f>
        <v>2</v>
      </c>
      <c r="Z2373" s="6">
        <f ca="1">Main[[#This Row],[تعداد روزهای بدهکار تسویه شده (روز)]]*Main[[#This Row],[مانده در خط تسویه شده (کیلوگرم)]]</f>
        <v>55920</v>
      </c>
      <c r="AA2373" s="6">
        <f ca="1">SUBTOTAL(9,INDEX(Main[بدهی تسویه نشده (کیلوگرم)],1):Main[[#This Row],[بدهی تسویه نشده (کیلوگرم)]])</f>
        <v>4963</v>
      </c>
      <c r="AB2373" s="6">
        <f ca="1">IF(Main[[#This Row],[مانده در خط تسویه نشده (کیلوگرم)]]&lt;&gt;0,Main[[#This Row],[تعداد کل روزهای بدهکار (روز)]],0)</f>
        <v>2</v>
      </c>
      <c r="AC2373" s="6">
        <f ca="1">Main[[#This Row],[تعداد روزهای بدهکار  تسویه نشده (روز)]]*Main[[#This Row],[مانده در خط تسویه نشده (کیلوگرم)]]</f>
        <v>9926</v>
      </c>
      <c r="AD2373" s="6">
        <f ca="1">SUBTOTAL(9,INDEX(Main[بدهی سررسید شده (کیلوگرم)],1):Main[[#This Row],[بدهی سررسید شده (کیلوگرم)]])</f>
        <v>4963</v>
      </c>
      <c r="AE2373" s="6">
        <f ca="1">IF(Main[[#This Row],[مانده در خط سررسید شده (کیلوگرم)]]&lt;&gt;0,Main[[#This Row],[تعداد کل روزهای بدهکار (روز)]],0)</f>
        <v>2</v>
      </c>
      <c r="AF2373" s="6">
        <f ca="1">Main[[#This Row],[تعداد روزهای بدهکار سررسید شده (روز)]]*Main[[#This Row],[مانده در خط سررسید شده (کیلوگرم)]]</f>
        <v>9926</v>
      </c>
    </row>
    <row r="2374" spans="1:32" hidden="1" x14ac:dyDescent="0.35">
      <c r="A2374" s="5">
        <f>ROW()-ROW(INDEX(Main[ردیف],1))+1</f>
        <v>2372</v>
      </c>
      <c r="B2374" s="31">
        <f>SUBTOTAL(2,INDEX(Main[ردیف],1):Main[[#This Row],[ردیف]])</f>
        <v>214</v>
      </c>
      <c r="C2374" s="32" t="s">
        <v>796</v>
      </c>
      <c r="D2374" s="32" t="str">
        <f>_xlfn.CONCAT("14",Main[[#This Row],[تاريخ]])</f>
        <v>1400/09/11</v>
      </c>
      <c r="E2374" s="33">
        <v>44532</v>
      </c>
      <c r="F2374" s="32">
        <v>30186</v>
      </c>
      <c r="G2374" s="5" t="str">
        <f>INDEX(customer[عنوان],MATCH(Main[[#This Row],[کد ردیابی]],customer[کد],0))</f>
        <v>سارا گاز</v>
      </c>
      <c r="H2374">
        <v>-2549</v>
      </c>
      <c r="I2374" s="6">
        <f ca="1">-Main[[#This Row],[بدهی تسویه شده (کیلوگرم)]]+Main[[#This Row],[بستانکار (کیلوگرم)]]</f>
        <v>0</v>
      </c>
      <c r="J2374" s="6">
        <f>IF(Main[[#This Row],[مقدار (کیلوگرم)]]&gt;0,Main[[#This Row],[مقدار (کیلوگرم)]],0)</f>
        <v>0</v>
      </c>
      <c r="K2374" s="6">
        <f>-IF(Main[[#This Row],[مقدار (کیلوگرم)]]&lt;0,Main[[#This Row],[مقدار (کیلوگرم)]],0)</f>
        <v>2549</v>
      </c>
      <c r="L23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2549</v>
      </c>
      <c r="M2374" s="7">
        <f>-IF(AND(Main[[#This Row],[مقدار (کیلوگرم)]]&lt;0,Main[[#This Row],[تاريخ میلادی]]&gt;44276),Main[[#This Row],[مقدار (کیلوگرم)]],0)</f>
        <v>2549</v>
      </c>
      <c r="N2374" s="6">
        <f ca="1">Main[[#This Row],[بدهکار (کیلوگرم)]]-Main[[#This Row],[بدهی تسویه نشده (کیلوگرم)]]</f>
        <v>0</v>
      </c>
      <c r="O2374" s="6">
        <f ca="1">Main[[#This Row],[تفکیک]]</f>
        <v>2549</v>
      </c>
      <c r="P2374" s="6">
        <f ca="1">IF(Main[[#This Row],[تاخیر از سررسید]]&gt;0,Main[[#This Row],[بدهی تسویه نشده (کیلوگرم)]],0)</f>
        <v>2549</v>
      </c>
      <c r="Q2374" s="6">
        <f ca="1">IF(Main[[#This Row],[بدهی تسویه نشده (کیلوگرم)]]&gt;0,'گزارش فردی'!$B$7-Main[[#This Row],[تاريخ میلادی]],0)</f>
        <v>930.75374085648218</v>
      </c>
      <c r="R2374" s="6">
        <f ca="1">IF(Main[[#This Row],[بدهی تسویه نشده (کیلوگرم)]]&gt;0,'گزارش فردی'!$B$7-Main[[#This Row],[تاريخ میلادی]]-'گزارش فردی'!$B$8,0)</f>
        <v>915.75374085648218</v>
      </c>
      <c r="S2374" s="6">
        <f ca="1">Main[[#This Row],[روز از ارسال سفارش]]*Main[[#This Row],[بدهی تسویه نشده (کیلوگرم)]]</f>
        <v>2372491.2854431733</v>
      </c>
      <c r="T2374" s="6">
        <f ca="1">Main[[#This Row],[بدهی سررسید شده (کیلوگرم)]]*Main[[#This Row],[روز از ارسال سفارش]]</f>
        <v>2372491.2854431733</v>
      </c>
      <c r="U2374" s="6">
        <f>-SUBTOTAL(9,INDEX(Main[مقدار (کیلوگرم)],1):Main[[#This Row],[مقدار (کیلوگرم)]])</f>
        <v>32923</v>
      </c>
      <c r="V237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4" s="6">
        <f>Main[[#This Row],[تعداد کل روزهای بدهکار (روز)]]*Main[[#This Row],[مانده در خط کل (کیلوگرم)]]</f>
        <v>65846</v>
      </c>
      <c r="X2374" s="6">
        <f ca="1">-SUBTOTAL(9,INDEX(Main[مقدار تسویه شده (کیلوگرم)],1):Main[[#This Row],[مقدار تسویه شده (کیلوگرم)]])</f>
        <v>27960</v>
      </c>
      <c r="Y2374" s="6">
        <f ca="1">IF(Main[[#This Row],[مانده در خط تسویه شده (کیلوگرم)]]&lt;&gt;0,Main[[#This Row],[تعداد کل روزهای بدهکار (روز)]],0)</f>
        <v>2</v>
      </c>
      <c r="Z2374" s="6">
        <f ca="1">Main[[#This Row],[تعداد روزهای بدهکار تسویه شده (روز)]]*Main[[#This Row],[مانده در خط تسویه شده (کیلوگرم)]]</f>
        <v>55920</v>
      </c>
      <c r="AA2374" s="6">
        <f ca="1">SUBTOTAL(9,INDEX(Main[بدهی تسویه نشده (کیلوگرم)],1):Main[[#This Row],[بدهی تسویه نشده (کیلوگرم)]])</f>
        <v>4963</v>
      </c>
      <c r="AB2374" s="6">
        <f ca="1">IF(Main[[#This Row],[مانده در خط تسویه نشده (کیلوگرم)]]&lt;&gt;0,Main[[#This Row],[تعداد کل روزهای بدهکار (روز)]],0)</f>
        <v>2</v>
      </c>
      <c r="AC2374" s="6">
        <f ca="1">Main[[#This Row],[تعداد روزهای بدهکار  تسویه نشده (روز)]]*Main[[#This Row],[مانده در خط تسویه نشده (کیلوگرم)]]</f>
        <v>9926</v>
      </c>
      <c r="AD2374" s="6">
        <f ca="1">SUBTOTAL(9,INDEX(Main[بدهی سررسید شده (کیلوگرم)],1):Main[[#This Row],[بدهی سررسید شده (کیلوگرم)]])</f>
        <v>4963</v>
      </c>
      <c r="AE2374" s="6">
        <f ca="1">IF(Main[[#This Row],[مانده در خط سررسید شده (کیلوگرم)]]&lt;&gt;0,Main[[#This Row],[تعداد کل روزهای بدهکار (روز)]],0)</f>
        <v>2</v>
      </c>
      <c r="AF2374" s="6">
        <f ca="1">Main[[#This Row],[تعداد روزهای بدهکار سررسید شده (روز)]]*Main[[#This Row],[مانده در خط سررسید شده (کیلوگرم)]]</f>
        <v>9926</v>
      </c>
    </row>
    <row r="2375" spans="1:32" hidden="1" x14ac:dyDescent="0.35">
      <c r="A2375" s="5">
        <f>ROW()-ROW(INDEX(Main[ردیف],1))+1</f>
        <v>2373</v>
      </c>
      <c r="B2375" s="31">
        <f>SUBTOTAL(2,INDEX(Main[ردیف],1):Main[[#This Row],[ردیف]])</f>
        <v>214</v>
      </c>
      <c r="C2375" s="32" t="s">
        <v>796</v>
      </c>
      <c r="D2375" s="32" t="str">
        <f>_xlfn.CONCAT("14",Main[[#This Row],[تاريخ]])</f>
        <v>1400/09/11</v>
      </c>
      <c r="E2375" s="33">
        <v>44532</v>
      </c>
      <c r="F2375" s="32">
        <v>30018</v>
      </c>
      <c r="G2375" s="5" t="str">
        <f>INDEX(customer[عنوان],MATCH(Main[[#This Row],[کد ردیابی]],customer[کد],0))</f>
        <v xml:space="preserve">تولیدی شیر سازی غریب پویا </v>
      </c>
      <c r="H2375">
        <v>932</v>
      </c>
      <c r="I2375" s="6">
        <f ca="1">-Main[[#This Row],[بدهی تسویه شده (کیلوگرم)]]+Main[[#This Row],[بستانکار (کیلوگرم)]]</f>
        <v>932</v>
      </c>
      <c r="J2375" s="6">
        <f>IF(Main[[#This Row],[مقدار (کیلوگرم)]]&gt;0,Main[[#This Row],[مقدار (کیلوگرم)]],0)</f>
        <v>932</v>
      </c>
      <c r="K2375" s="6">
        <f>-IF(Main[[#This Row],[مقدار (کیلوگرم)]]&lt;0,Main[[#This Row],[مقدار (کیلوگرم)]],0)</f>
        <v>0</v>
      </c>
      <c r="L23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5" s="7">
        <f>-IF(AND(Main[[#This Row],[مقدار (کیلوگرم)]]&lt;0,Main[[#This Row],[تاريخ میلادی]]&gt;44276),Main[[#This Row],[مقدار (کیلوگرم)]],0)</f>
        <v>0</v>
      </c>
      <c r="N2375" s="6">
        <f ca="1">Main[[#This Row],[بدهکار (کیلوگرم)]]-Main[[#This Row],[بدهی تسویه نشده (کیلوگرم)]]</f>
        <v>0</v>
      </c>
      <c r="O2375" s="6">
        <f ca="1">Main[[#This Row],[تفکیک]]</f>
        <v>0</v>
      </c>
      <c r="P2375" s="6">
        <f ca="1">IF(Main[[#This Row],[تاخیر از سررسید]]&gt;0,Main[[#This Row],[بدهی تسویه نشده (کیلوگرم)]],0)</f>
        <v>0</v>
      </c>
      <c r="Q2375" s="6">
        <f ca="1">IF(Main[[#This Row],[بدهی تسویه نشده (کیلوگرم)]]&gt;0,'گزارش فردی'!$B$7-Main[[#This Row],[تاريخ میلادی]],0)</f>
        <v>0</v>
      </c>
      <c r="R2375" s="6">
        <f ca="1">IF(Main[[#This Row],[بدهی تسویه نشده (کیلوگرم)]]&gt;0,'گزارش فردی'!$B$7-Main[[#This Row],[تاريخ میلادی]]-'گزارش فردی'!$B$8,0)</f>
        <v>0</v>
      </c>
      <c r="S2375" s="6">
        <f ca="1">Main[[#This Row],[روز از ارسال سفارش]]*Main[[#This Row],[بدهی تسویه نشده (کیلوگرم)]]</f>
        <v>0</v>
      </c>
      <c r="T2375" s="6">
        <f ca="1">Main[[#This Row],[بدهی سررسید شده (کیلوگرم)]]*Main[[#This Row],[روز از ارسال سفارش]]</f>
        <v>0</v>
      </c>
      <c r="U2375" s="6">
        <f>-SUBTOTAL(9,INDEX(Main[مقدار (کیلوگرم)],1):Main[[#This Row],[مقدار (کیلوگرم)]])</f>
        <v>32923</v>
      </c>
      <c r="V23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5" s="6">
        <f>Main[[#This Row],[تعداد کل روزهای بدهکار (روز)]]*Main[[#This Row],[مانده در خط کل (کیلوگرم)]]</f>
        <v>65846</v>
      </c>
      <c r="X2375" s="6">
        <f ca="1">-SUBTOTAL(9,INDEX(Main[مقدار تسویه شده (کیلوگرم)],1):Main[[#This Row],[مقدار تسویه شده (کیلوگرم)]])</f>
        <v>27960</v>
      </c>
      <c r="Y2375" s="6">
        <f ca="1">IF(Main[[#This Row],[مانده در خط تسویه شده (کیلوگرم)]]&lt;&gt;0,Main[[#This Row],[تعداد کل روزهای بدهکار (روز)]],0)</f>
        <v>2</v>
      </c>
      <c r="Z2375" s="6">
        <f ca="1">Main[[#This Row],[تعداد روزهای بدهکار تسویه شده (روز)]]*Main[[#This Row],[مانده در خط تسویه شده (کیلوگرم)]]</f>
        <v>55920</v>
      </c>
      <c r="AA2375" s="6">
        <f ca="1">SUBTOTAL(9,INDEX(Main[بدهی تسویه نشده (کیلوگرم)],1):Main[[#This Row],[بدهی تسویه نشده (کیلوگرم)]])</f>
        <v>4963</v>
      </c>
      <c r="AB2375" s="6">
        <f ca="1">IF(Main[[#This Row],[مانده در خط تسویه نشده (کیلوگرم)]]&lt;&gt;0,Main[[#This Row],[تعداد کل روزهای بدهکار (روز)]],0)</f>
        <v>2</v>
      </c>
      <c r="AC2375" s="6">
        <f ca="1">Main[[#This Row],[تعداد روزهای بدهکار  تسویه نشده (روز)]]*Main[[#This Row],[مانده در خط تسویه نشده (کیلوگرم)]]</f>
        <v>9926</v>
      </c>
      <c r="AD2375" s="6">
        <f ca="1">SUBTOTAL(9,INDEX(Main[بدهی سررسید شده (کیلوگرم)],1):Main[[#This Row],[بدهی سررسید شده (کیلوگرم)]])</f>
        <v>4963</v>
      </c>
      <c r="AE2375" s="6">
        <f ca="1">IF(Main[[#This Row],[مانده در خط سررسید شده (کیلوگرم)]]&lt;&gt;0,Main[[#This Row],[تعداد کل روزهای بدهکار (روز)]],0)</f>
        <v>2</v>
      </c>
      <c r="AF2375" s="6">
        <f ca="1">Main[[#This Row],[تعداد روزهای بدهکار سررسید شده (روز)]]*Main[[#This Row],[مانده در خط سررسید شده (کیلوگرم)]]</f>
        <v>9926</v>
      </c>
    </row>
    <row r="2376" spans="1:32" hidden="1" x14ac:dyDescent="0.35">
      <c r="A2376" s="5">
        <f>ROW()-ROW(INDEX(Main[ردیف],1))+1</f>
        <v>2374</v>
      </c>
      <c r="B2376" s="31">
        <f>SUBTOTAL(2,INDEX(Main[ردیف],1):Main[[#This Row],[ردیف]])</f>
        <v>214</v>
      </c>
      <c r="C2376" s="32" t="s">
        <v>796</v>
      </c>
      <c r="D2376" s="32" t="str">
        <f>_xlfn.CONCAT("14",Main[[#This Row],[تاريخ]])</f>
        <v>1400/09/11</v>
      </c>
      <c r="E2376" s="33">
        <v>44532</v>
      </c>
      <c r="F2376" s="32">
        <v>30004</v>
      </c>
      <c r="G2376" s="5" t="str">
        <f>INDEX(customer[عنوان],MATCH(Main[[#This Row],[کد ردیابی]],customer[کد],0))</f>
        <v>تولیدی صنعتی صفاشیر پارس</v>
      </c>
      <c r="H2376">
        <v>-4159</v>
      </c>
      <c r="I2376" s="6">
        <f ca="1">-Main[[#This Row],[بدهی تسویه شده (کیلوگرم)]]+Main[[#This Row],[بستانکار (کیلوگرم)]]</f>
        <v>0</v>
      </c>
      <c r="J2376" s="6">
        <f>IF(Main[[#This Row],[مقدار (کیلوگرم)]]&gt;0,Main[[#This Row],[مقدار (کیلوگرم)]],0)</f>
        <v>0</v>
      </c>
      <c r="K2376" s="6">
        <f>-IF(Main[[#This Row],[مقدار (کیلوگرم)]]&lt;0,Main[[#This Row],[مقدار (کیلوگرم)]],0)</f>
        <v>4159</v>
      </c>
      <c r="L23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4159</v>
      </c>
      <c r="M2376" s="7">
        <f>-IF(AND(Main[[#This Row],[مقدار (کیلوگرم)]]&lt;0,Main[[#This Row],[تاريخ میلادی]]&gt;44276),Main[[#This Row],[مقدار (کیلوگرم)]],0)</f>
        <v>4159</v>
      </c>
      <c r="N2376" s="6">
        <f ca="1">Main[[#This Row],[بدهکار (کیلوگرم)]]-Main[[#This Row],[بدهی تسویه نشده (کیلوگرم)]]</f>
        <v>0</v>
      </c>
      <c r="O2376" s="6">
        <f ca="1">Main[[#This Row],[تفکیک]]</f>
        <v>4159</v>
      </c>
      <c r="P2376" s="6">
        <f ca="1">IF(Main[[#This Row],[تاخیر از سررسید]]&gt;0,Main[[#This Row],[بدهی تسویه نشده (کیلوگرم)]],0)</f>
        <v>4159</v>
      </c>
      <c r="Q2376" s="6">
        <f ca="1">IF(Main[[#This Row],[بدهی تسویه نشده (کیلوگرم)]]&gt;0,'گزارش فردی'!$B$7-Main[[#This Row],[تاريخ میلادی]],0)</f>
        <v>930.75374085648218</v>
      </c>
      <c r="R2376" s="6">
        <f ca="1">IF(Main[[#This Row],[بدهی تسویه نشده (کیلوگرم)]]&gt;0,'گزارش فردی'!$B$7-Main[[#This Row],[تاريخ میلادی]]-'گزارش فردی'!$B$8,0)</f>
        <v>915.75374085648218</v>
      </c>
      <c r="S2376" s="6">
        <f ca="1">Main[[#This Row],[روز از ارسال سفارش]]*Main[[#This Row],[بدهی تسویه نشده (کیلوگرم)]]</f>
        <v>3871004.8082221095</v>
      </c>
      <c r="T2376" s="6">
        <f ca="1">Main[[#This Row],[بدهی سررسید شده (کیلوگرم)]]*Main[[#This Row],[روز از ارسال سفارش]]</f>
        <v>3871004.8082221095</v>
      </c>
      <c r="U2376" s="6">
        <f>-SUBTOTAL(9,INDEX(Main[مقدار (کیلوگرم)],1):Main[[#This Row],[مقدار (کیلوگرم)]])</f>
        <v>32923</v>
      </c>
      <c r="V237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6" s="6">
        <f>Main[[#This Row],[تعداد کل روزهای بدهکار (روز)]]*Main[[#This Row],[مانده در خط کل (کیلوگرم)]]</f>
        <v>65846</v>
      </c>
      <c r="X2376" s="6">
        <f ca="1">-SUBTOTAL(9,INDEX(Main[مقدار تسویه شده (کیلوگرم)],1):Main[[#This Row],[مقدار تسویه شده (کیلوگرم)]])</f>
        <v>27960</v>
      </c>
      <c r="Y2376" s="6">
        <f ca="1">IF(Main[[#This Row],[مانده در خط تسویه شده (کیلوگرم)]]&lt;&gt;0,Main[[#This Row],[تعداد کل روزهای بدهکار (روز)]],0)</f>
        <v>2</v>
      </c>
      <c r="Z2376" s="6">
        <f ca="1">Main[[#This Row],[تعداد روزهای بدهکار تسویه شده (روز)]]*Main[[#This Row],[مانده در خط تسویه شده (کیلوگرم)]]</f>
        <v>55920</v>
      </c>
      <c r="AA2376" s="6">
        <f ca="1">SUBTOTAL(9,INDEX(Main[بدهی تسویه نشده (کیلوگرم)],1):Main[[#This Row],[بدهی تسویه نشده (کیلوگرم)]])</f>
        <v>4963</v>
      </c>
      <c r="AB2376" s="6">
        <f ca="1">IF(Main[[#This Row],[مانده در خط تسویه نشده (کیلوگرم)]]&lt;&gt;0,Main[[#This Row],[تعداد کل روزهای بدهکار (روز)]],0)</f>
        <v>2</v>
      </c>
      <c r="AC2376" s="6">
        <f ca="1">Main[[#This Row],[تعداد روزهای بدهکار  تسویه نشده (روز)]]*Main[[#This Row],[مانده در خط تسویه نشده (کیلوگرم)]]</f>
        <v>9926</v>
      </c>
      <c r="AD2376" s="6">
        <f ca="1">SUBTOTAL(9,INDEX(Main[بدهی سررسید شده (کیلوگرم)],1):Main[[#This Row],[بدهی سررسید شده (کیلوگرم)]])</f>
        <v>4963</v>
      </c>
      <c r="AE2376" s="6">
        <f ca="1">IF(Main[[#This Row],[مانده در خط سررسید شده (کیلوگرم)]]&lt;&gt;0,Main[[#This Row],[تعداد کل روزهای بدهکار (روز)]],0)</f>
        <v>2</v>
      </c>
      <c r="AF2376" s="6">
        <f ca="1">Main[[#This Row],[تعداد روزهای بدهکار سررسید شده (روز)]]*Main[[#This Row],[مانده در خط سررسید شده (کیلوگرم)]]</f>
        <v>9926</v>
      </c>
    </row>
    <row r="2377" spans="1:32" hidden="1" x14ac:dyDescent="0.35">
      <c r="A2377" s="5">
        <f>ROW()-ROW(INDEX(Main[ردیف],1))+1</f>
        <v>2375</v>
      </c>
      <c r="B2377" s="31">
        <f>SUBTOTAL(2,INDEX(Main[ردیف],1):Main[[#This Row],[ردیف]])</f>
        <v>214</v>
      </c>
      <c r="C2377" s="32" t="s">
        <v>796</v>
      </c>
      <c r="D2377" s="32" t="str">
        <f>_xlfn.CONCAT("14",Main[[#This Row],[تاريخ]])</f>
        <v>1400/09/11</v>
      </c>
      <c r="E2377" s="33">
        <v>44532</v>
      </c>
      <c r="F2377" s="32">
        <v>30018</v>
      </c>
      <c r="G2377" s="5" t="str">
        <f>INDEX(customer[عنوان],MATCH(Main[[#This Row],[کد ردیابی]],customer[کد],0))</f>
        <v xml:space="preserve">تولیدی شیر سازی غریب پویا </v>
      </c>
      <c r="H2377">
        <v>428</v>
      </c>
      <c r="I2377" s="6">
        <f ca="1">-Main[[#This Row],[بدهی تسویه شده (کیلوگرم)]]+Main[[#This Row],[بستانکار (کیلوگرم)]]</f>
        <v>428</v>
      </c>
      <c r="J2377" s="6">
        <f>IF(Main[[#This Row],[مقدار (کیلوگرم)]]&gt;0,Main[[#This Row],[مقدار (کیلوگرم)]],0)</f>
        <v>428</v>
      </c>
      <c r="K2377" s="6">
        <f>-IF(Main[[#This Row],[مقدار (کیلوگرم)]]&lt;0,Main[[#This Row],[مقدار (کیلوگرم)]],0)</f>
        <v>0</v>
      </c>
      <c r="L23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7" s="7">
        <f>-IF(AND(Main[[#This Row],[مقدار (کیلوگرم)]]&lt;0,Main[[#This Row],[تاريخ میلادی]]&gt;44276),Main[[#This Row],[مقدار (کیلوگرم)]],0)</f>
        <v>0</v>
      </c>
      <c r="N2377" s="6">
        <f ca="1">Main[[#This Row],[بدهکار (کیلوگرم)]]-Main[[#This Row],[بدهی تسویه نشده (کیلوگرم)]]</f>
        <v>0</v>
      </c>
      <c r="O2377" s="6">
        <f ca="1">Main[[#This Row],[تفکیک]]</f>
        <v>0</v>
      </c>
      <c r="P2377" s="6">
        <f ca="1">IF(Main[[#This Row],[تاخیر از سررسید]]&gt;0,Main[[#This Row],[بدهی تسویه نشده (کیلوگرم)]],0)</f>
        <v>0</v>
      </c>
      <c r="Q2377" s="6">
        <f ca="1">IF(Main[[#This Row],[بدهی تسویه نشده (کیلوگرم)]]&gt;0,'گزارش فردی'!$B$7-Main[[#This Row],[تاريخ میلادی]],0)</f>
        <v>0</v>
      </c>
      <c r="R2377" s="6">
        <f ca="1">IF(Main[[#This Row],[بدهی تسویه نشده (کیلوگرم)]]&gt;0,'گزارش فردی'!$B$7-Main[[#This Row],[تاريخ میلادی]]-'گزارش فردی'!$B$8,0)</f>
        <v>0</v>
      </c>
      <c r="S2377" s="6">
        <f ca="1">Main[[#This Row],[روز از ارسال سفارش]]*Main[[#This Row],[بدهی تسویه نشده (کیلوگرم)]]</f>
        <v>0</v>
      </c>
      <c r="T2377" s="6">
        <f ca="1">Main[[#This Row],[بدهی سررسید شده (کیلوگرم)]]*Main[[#This Row],[روز از ارسال سفارش]]</f>
        <v>0</v>
      </c>
      <c r="U2377" s="6">
        <f>-SUBTOTAL(9,INDEX(Main[مقدار (کیلوگرم)],1):Main[[#This Row],[مقدار (کیلوگرم)]])</f>
        <v>32923</v>
      </c>
      <c r="V237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7" s="6">
        <f>Main[[#This Row],[تعداد کل روزهای بدهکار (روز)]]*Main[[#This Row],[مانده در خط کل (کیلوگرم)]]</f>
        <v>65846</v>
      </c>
      <c r="X2377" s="6">
        <f ca="1">-SUBTOTAL(9,INDEX(Main[مقدار تسویه شده (کیلوگرم)],1):Main[[#This Row],[مقدار تسویه شده (کیلوگرم)]])</f>
        <v>27960</v>
      </c>
      <c r="Y2377" s="6">
        <f ca="1">IF(Main[[#This Row],[مانده در خط تسویه شده (کیلوگرم)]]&lt;&gt;0,Main[[#This Row],[تعداد کل روزهای بدهکار (روز)]],0)</f>
        <v>2</v>
      </c>
      <c r="Z2377" s="6">
        <f ca="1">Main[[#This Row],[تعداد روزهای بدهکار تسویه شده (روز)]]*Main[[#This Row],[مانده در خط تسویه شده (کیلوگرم)]]</f>
        <v>55920</v>
      </c>
      <c r="AA2377" s="6">
        <f ca="1">SUBTOTAL(9,INDEX(Main[بدهی تسویه نشده (کیلوگرم)],1):Main[[#This Row],[بدهی تسویه نشده (کیلوگرم)]])</f>
        <v>4963</v>
      </c>
      <c r="AB2377" s="6">
        <f ca="1">IF(Main[[#This Row],[مانده در خط تسویه نشده (کیلوگرم)]]&lt;&gt;0,Main[[#This Row],[تعداد کل روزهای بدهکار (روز)]],0)</f>
        <v>2</v>
      </c>
      <c r="AC2377" s="6">
        <f ca="1">Main[[#This Row],[تعداد روزهای بدهکار  تسویه نشده (روز)]]*Main[[#This Row],[مانده در خط تسویه نشده (کیلوگرم)]]</f>
        <v>9926</v>
      </c>
      <c r="AD2377" s="6">
        <f ca="1">SUBTOTAL(9,INDEX(Main[بدهی سررسید شده (کیلوگرم)],1):Main[[#This Row],[بدهی سررسید شده (کیلوگرم)]])</f>
        <v>4963</v>
      </c>
      <c r="AE2377" s="6">
        <f ca="1">IF(Main[[#This Row],[مانده در خط سررسید شده (کیلوگرم)]]&lt;&gt;0,Main[[#This Row],[تعداد کل روزهای بدهکار (روز)]],0)</f>
        <v>2</v>
      </c>
      <c r="AF2377" s="6">
        <f ca="1">Main[[#This Row],[تعداد روزهای بدهکار سررسید شده (روز)]]*Main[[#This Row],[مانده در خط سررسید شده (کیلوگرم)]]</f>
        <v>9926</v>
      </c>
    </row>
    <row r="2378" spans="1:32" hidden="1" x14ac:dyDescent="0.35">
      <c r="A2378" s="5">
        <f>ROW()-ROW(INDEX(Main[ردیف],1))+1</f>
        <v>2376</v>
      </c>
      <c r="B2378" s="31">
        <f>SUBTOTAL(2,INDEX(Main[ردیف],1):Main[[#This Row],[ردیف]])</f>
        <v>214</v>
      </c>
      <c r="C2378" s="32" t="s">
        <v>796</v>
      </c>
      <c r="D2378" s="32" t="str">
        <f>_xlfn.CONCAT("14",Main[[#This Row],[تاريخ]])</f>
        <v>1400/09/11</v>
      </c>
      <c r="E2378" s="33">
        <v>44532</v>
      </c>
      <c r="F2378" s="32">
        <v>30009</v>
      </c>
      <c r="G2378" s="5" t="str">
        <f>INDEX(customer[عنوان],MATCH(Main[[#This Row],[کد ردیابی]],customer[کد],0))</f>
        <v>شرکت ایمن تک پیشرو</v>
      </c>
      <c r="H2378">
        <v>-1968</v>
      </c>
      <c r="I2378" s="6">
        <f ca="1">-Main[[#This Row],[بدهی تسویه شده (کیلوگرم)]]+Main[[#This Row],[بستانکار (کیلوگرم)]]</f>
        <v>0</v>
      </c>
      <c r="J2378" s="6">
        <f>IF(Main[[#This Row],[مقدار (کیلوگرم)]]&gt;0,Main[[#This Row],[مقدار (کیلوگرم)]],0)</f>
        <v>0</v>
      </c>
      <c r="K2378" s="6">
        <f>-IF(Main[[#This Row],[مقدار (کیلوگرم)]]&lt;0,Main[[#This Row],[مقدار (کیلوگرم)]],0)</f>
        <v>1968</v>
      </c>
      <c r="L23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1968</v>
      </c>
      <c r="M2378" s="7">
        <f>-IF(AND(Main[[#This Row],[مقدار (کیلوگرم)]]&lt;0,Main[[#This Row],[تاريخ میلادی]]&gt;44276),Main[[#This Row],[مقدار (کیلوگرم)]],0)</f>
        <v>1968</v>
      </c>
      <c r="N2378" s="6">
        <f ca="1">Main[[#This Row],[بدهکار (کیلوگرم)]]-Main[[#This Row],[بدهی تسویه نشده (کیلوگرم)]]</f>
        <v>0</v>
      </c>
      <c r="O2378" s="6">
        <f ca="1">Main[[#This Row],[تفکیک]]</f>
        <v>1968</v>
      </c>
      <c r="P2378" s="6">
        <f ca="1">IF(Main[[#This Row],[تاخیر از سررسید]]&gt;0,Main[[#This Row],[بدهی تسویه نشده (کیلوگرم)]],0)</f>
        <v>1968</v>
      </c>
      <c r="Q2378" s="6">
        <f ca="1">IF(Main[[#This Row],[بدهی تسویه نشده (کیلوگرم)]]&gt;0,'گزارش فردی'!$B$7-Main[[#This Row],[تاريخ میلادی]],0)</f>
        <v>930.75374085648218</v>
      </c>
      <c r="R2378" s="6">
        <f ca="1">IF(Main[[#This Row],[بدهی تسویه نشده (کیلوگرم)]]&gt;0,'گزارش فردی'!$B$7-Main[[#This Row],[تاريخ میلادی]]-'گزارش فردی'!$B$8,0)</f>
        <v>915.75374085648218</v>
      </c>
      <c r="S2378" s="6">
        <f ca="1">Main[[#This Row],[روز از ارسال سفارش]]*Main[[#This Row],[بدهی تسویه نشده (کیلوگرم)]]</f>
        <v>1831723.3620055569</v>
      </c>
      <c r="T2378" s="6">
        <f ca="1">Main[[#This Row],[بدهی سررسید شده (کیلوگرم)]]*Main[[#This Row],[روز از ارسال سفارش]]</f>
        <v>1831723.3620055569</v>
      </c>
      <c r="U2378" s="6">
        <f>-SUBTOTAL(9,INDEX(Main[مقدار (کیلوگرم)],1):Main[[#This Row],[مقدار (کیلوگرم)]])</f>
        <v>32923</v>
      </c>
      <c r="V237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8" s="6">
        <f>Main[[#This Row],[تعداد کل روزهای بدهکار (روز)]]*Main[[#This Row],[مانده در خط کل (کیلوگرم)]]</f>
        <v>65846</v>
      </c>
      <c r="X2378" s="6">
        <f ca="1">-SUBTOTAL(9,INDEX(Main[مقدار تسویه شده (کیلوگرم)],1):Main[[#This Row],[مقدار تسویه شده (کیلوگرم)]])</f>
        <v>27960</v>
      </c>
      <c r="Y2378" s="6">
        <f ca="1">IF(Main[[#This Row],[مانده در خط تسویه شده (کیلوگرم)]]&lt;&gt;0,Main[[#This Row],[تعداد کل روزهای بدهکار (روز)]],0)</f>
        <v>2</v>
      </c>
      <c r="Z2378" s="6">
        <f ca="1">Main[[#This Row],[تعداد روزهای بدهکار تسویه شده (روز)]]*Main[[#This Row],[مانده در خط تسویه شده (کیلوگرم)]]</f>
        <v>55920</v>
      </c>
      <c r="AA2378" s="6">
        <f ca="1">SUBTOTAL(9,INDEX(Main[بدهی تسویه نشده (کیلوگرم)],1):Main[[#This Row],[بدهی تسویه نشده (کیلوگرم)]])</f>
        <v>4963</v>
      </c>
      <c r="AB2378" s="6">
        <f ca="1">IF(Main[[#This Row],[مانده در خط تسویه نشده (کیلوگرم)]]&lt;&gt;0,Main[[#This Row],[تعداد کل روزهای بدهکار (روز)]],0)</f>
        <v>2</v>
      </c>
      <c r="AC2378" s="6">
        <f ca="1">Main[[#This Row],[تعداد روزهای بدهکار  تسویه نشده (روز)]]*Main[[#This Row],[مانده در خط تسویه نشده (کیلوگرم)]]</f>
        <v>9926</v>
      </c>
      <c r="AD2378" s="6">
        <f ca="1">SUBTOTAL(9,INDEX(Main[بدهی سررسید شده (کیلوگرم)],1):Main[[#This Row],[بدهی سررسید شده (کیلوگرم)]])</f>
        <v>4963</v>
      </c>
      <c r="AE2378" s="6">
        <f ca="1">IF(Main[[#This Row],[مانده در خط سررسید شده (کیلوگرم)]]&lt;&gt;0,Main[[#This Row],[تعداد کل روزهای بدهکار (روز)]],0)</f>
        <v>2</v>
      </c>
      <c r="AF2378" s="6">
        <f ca="1">Main[[#This Row],[تعداد روزهای بدهکار سررسید شده (روز)]]*Main[[#This Row],[مانده در خط سررسید شده (کیلوگرم)]]</f>
        <v>9926</v>
      </c>
    </row>
    <row r="2379" spans="1:32" hidden="1" x14ac:dyDescent="0.35">
      <c r="A2379" s="5">
        <f>ROW()-ROW(INDEX(Main[ردیف],1))+1</f>
        <v>2377</v>
      </c>
      <c r="B2379" s="31">
        <f>SUBTOTAL(2,INDEX(Main[ردیف],1):Main[[#This Row],[ردیف]])</f>
        <v>214</v>
      </c>
      <c r="C2379" s="32" t="s">
        <v>796</v>
      </c>
      <c r="D2379" s="32" t="str">
        <f>_xlfn.CONCAT("14",Main[[#This Row],[تاريخ]])</f>
        <v>1400/09/11</v>
      </c>
      <c r="E2379" s="33">
        <v>44532</v>
      </c>
      <c r="F2379" s="32">
        <v>30009</v>
      </c>
      <c r="G2379" s="5" t="str">
        <f>INDEX(customer[عنوان],MATCH(Main[[#This Row],[کد ردیابی]],customer[کد],0))</f>
        <v>شرکت ایمن تک پیشرو</v>
      </c>
      <c r="H2379">
        <v>1342</v>
      </c>
      <c r="I2379" s="6">
        <f ca="1">-Main[[#This Row],[بدهی تسویه شده (کیلوگرم)]]+Main[[#This Row],[بستانکار (کیلوگرم)]]</f>
        <v>1342</v>
      </c>
      <c r="J2379" s="6">
        <f>IF(Main[[#This Row],[مقدار (کیلوگرم)]]&gt;0,Main[[#This Row],[مقدار (کیلوگرم)]],0)</f>
        <v>1342</v>
      </c>
      <c r="K2379" s="6">
        <f>-IF(Main[[#This Row],[مقدار (کیلوگرم)]]&lt;0,Main[[#This Row],[مقدار (کیلوگرم)]],0)</f>
        <v>0</v>
      </c>
      <c r="L23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9" s="7">
        <f>-IF(AND(Main[[#This Row],[مقدار (کیلوگرم)]]&lt;0,Main[[#This Row],[تاريخ میلادی]]&gt;44276),Main[[#This Row],[مقدار (کیلوگرم)]],0)</f>
        <v>0</v>
      </c>
      <c r="N2379" s="6">
        <f ca="1">Main[[#This Row],[بدهکار (کیلوگرم)]]-Main[[#This Row],[بدهی تسویه نشده (کیلوگرم)]]</f>
        <v>0</v>
      </c>
      <c r="O2379" s="6">
        <f ca="1">Main[[#This Row],[تفکیک]]</f>
        <v>0</v>
      </c>
      <c r="P2379" s="6">
        <f ca="1">IF(Main[[#This Row],[تاخیر از سررسید]]&gt;0,Main[[#This Row],[بدهی تسویه نشده (کیلوگرم)]],0)</f>
        <v>0</v>
      </c>
      <c r="Q2379" s="6">
        <f ca="1">IF(Main[[#This Row],[بدهی تسویه نشده (کیلوگرم)]]&gt;0,'گزارش فردی'!$B$7-Main[[#This Row],[تاريخ میلادی]],0)</f>
        <v>0</v>
      </c>
      <c r="R2379" s="6">
        <f ca="1">IF(Main[[#This Row],[بدهی تسویه نشده (کیلوگرم)]]&gt;0,'گزارش فردی'!$B$7-Main[[#This Row],[تاريخ میلادی]]-'گزارش فردی'!$B$8,0)</f>
        <v>0</v>
      </c>
      <c r="S2379" s="6">
        <f ca="1">Main[[#This Row],[روز از ارسال سفارش]]*Main[[#This Row],[بدهی تسویه نشده (کیلوگرم)]]</f>
        <v>0</v>
      </c>
      <c r="T2379" s="6">
        <f ca="1">Main[[#This Row],[بدهی سررسید شده (کیلوگرم)]]*Main[[#This Row],[روز از ارسال سفارش]]</f>
        <v>0</v>
      </c>
      <c r="U2379" s="6">
        <f>-SUBTOTAL(9,INDEX(Main[مقدار (کیلوگرم)],1):Main[[#This Row],[مقدار (کیلوگرم)]])</f>
        <v>32923</v>
      </c>
      <c r="V237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9" s="6">
        <f>Main[[#This Row],[تعداد کل روزهای بدهکار (روز)]]*Main[[#This Row],[مانده در خط کل (کیلوگرم)]]</f>
        <v>65846</v>
      </c>
      <c r="X2379" s="6">
        <f ca="1">-SUBTOTAL(9,INDEX(Main[مقدار تسویه شده (کیلوگرم)],1):Main[[#This Row],[مقدار تسویه شده (کیلوگرم)]])</f>
        <v>27960</v>
      </c>
      <c r="Y2379" s="6">
        <f ca="1">IF(Main[[#This Row],[مانده در خط تسویه شده (کیلوگرم)]]&lt;&gt;0,Main[[#This Row],[تعداد کل روزهای بدهکار (روز)]],0)</f>
        <v>2</v>
      </c>
      <c r="Z2379" s="6">
        <f ca="1">Main[[#This Row],[تعداد روزهای بدهکار تسویه شده (روز)]]*Main[[#This Row],[مانده در خط تسویه شده (کیلوگرم)]]</f>
        <v>55920</v>
      </c>
      <c r="AA2379" s="6">
        <f ca="1">SUBTOTAL(9,INDEX(Main[بدهی تسویه نشده (کیلوگرم)],1):Main[[#This Row],[بدهی تسویه نشده (کیلوگرم)]])</f>
        <v>4963</v>
      </c>
      <c r="AB2379" s="6">
        <f ca="1">IF(Main[[#This Row],[مانده در خط تسویه نشده (کیلوگرم)]]&lt;&gt;0,Main[[#This Row],[تعداد کل روزهای بدهکار (روز)]],0)</f>
        <v>2</v>
      </c>
      <c r="AC2379" s="6">
        <f ca="1">Main[[#This Row],[تعداد روزهای بدهکار  تسویه نشده (روز)]]*Main[[#This Row],[مانده در خط تسویه نشده (کیلوگرم)]]</f>
        <v>9926</v>
      </c>
      <c r="AD2379" s="6">
        <f ca="1">SUBTOTAL(9,INDEX(Main[بدهی سررسید شده (کیلوگرم)],1):Main[[#This Row],[بدهی سررسید شده (کیلوگرم)]])</f>
        <v>4963</v>
      </c>
      <c r="AE2379" s="6">
        <f ca="1">IF(Main[[#This Row],[مانده در خط سررسید شده (کیلوگرم)]]&lt;&gt;0,Main[[#This Row],[تعداد کل روزهای بدهکار (روز)]],0)</f>
        <v>2</v>
      </c>
      <c r="AF2379" s="6">
        <f ca="1">Main[[#This Row],[تعداد روزهای بدهکار سررسید شده (روز)]]*Main[[#This Row],[مانده در خط سررسید شده (کیلوگرم)]]</f>
        <v>9926</v>
      </c>
    </row>
    <row r="2380" spans="1:32" hidden="1" x14ac:dyDescent="0.35">
      <c r="A2380" s="5">
        <f>ROW()-ROW(INDEX(Main[ردیف],1))+1</f>
        <v>2378</v>
      </c>
      <c r="B2380" s="31">
        <f>SUBTOTAL(2,INDEX(Main[ردیف],1):Main[[#This Row],[ردیف]])</f>
        <v>214</v>
      </c>
      <c r="C2380" s="32" t="s">
        <v>796</v>
      </c>
      <c r="D2380" s="32" t="str">
        <f>_xlfn.CONCAT("14",Main[[#This Row],[تاريخ]])</f>
        <v>1400/09/11</v>
      </c>
      <c r="E2380" s="33">
        <v>44532</v>
      </c>
      <c r="F2380" s="32">
        <v>30022</v>
      </c>
      <c r="G2380" s="5" t="str">
        <f>INDEX(customer[عنوان],MATCH(Main[[#This Row],[کد ردیابی]],customer[کد],0))</f>
        <v xml:space="preserve">کلار پویا </v>
      </c>
      <c r="H2380">
        <v>4856</v>
      </c>
      <c r="I2380" s="6">
        <f ca="1">-Main[[#This Row],[بدهی تسویه شده (کیلوگرم)]]+Main[[#This Row],[بستانکار (کیلوگرم)]]</f>
        <v>4856</v>
      </c>
      <c r="J2380" s="6">
        <f>IF(Main[[#This Row],[مقدار (کیلوگرم)]]&gt;0,Main[[#This Row],[مقدار (کیلوگرم)]],0)</f>
        <v>4856</v>
      </c>
      <c r="K2380" s="6">
        <f>-IF(Main[[#This Row],[مقدار (کیلوگرم)]]&lt;0,Main[[#This Row],[مقدار (کیلوگرم)]],0)</f>
        <v>0</v>
      </c>
      <c r="L23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0" s="7">
        <f>-IF(AND(Main[[#This Row],[مقدار (کیلوگرم)]]&lt;0,Main[[#This Row],[تاريخ میلادی]]&gt;44276),Main[[#This Row],[مقدار (کیلوگرم)]],0)</f>
        <v>0</v>
      </c>
      <c r="N2380" s="6">
        <f ca="1">Main[[#This Row],[بدهکار (کیلوگرم)]]-Main[[#This Row],[بدهی تسویه نشده (کیلوگرم)]]</f>
        <v>0</v>
      </c>
      <c r="O2380" s="6">
        <f ca="1">Main[[#This Row],[تفکیک]]</f>
        <v>0</v>
      </c>
      <c r="P2380" s="6">
        <f ca="1">IF(Main[[#This Row],[تاخیر از سررسید]]&gt;0,Main[[#This Row],[بدهی تسویه نشده (کیلوگرم)]],0)</f>
        <v>0</v>
      </c>
      <c r="Q2380" s="6">
        <f ca="1">IF(Main[[#This Row],[بدهی تسویه نشده (کیلوگرم)]]&gt;0,'گزارش فردی'!$B$7-Main[[#This Row],[تاريخ میلادی]],0)</f>
        <v>0</v>
      </c>
      <c r="R2380" s="6">
        <f ca="1">IF(Main[[#This Row],[بدهی تسویه نشده (کیلوگرم)]]&gt;0,'گزارش فردی'!$B$7-Main[[#This Row],[تاريخ میلادی]]-'گزارش فردی'!$B$8,0)</f>
        <v>0</v>
      </c>
      <c r="S2380" s="6">
        <f ca="1">Main[[#This Row],[روز از ارسال سفارش]]*Main[[#This Row],[بدهی تسویه نشده (کیلوگرم)]]</f>
        <v>0</v>
      </c>
      <c r="T2380" s="6">
        <f ca="1">Main[[#This Row],[بدهی سررسید شده (کیلوگرم)]]*Main[[#This Row],[روز از ارسال سفارش]]</f>
        <v>0</v>
      </c>
      <c r="U2380" s="6">
        <f>-SUBTOTAL(9,INDEX(Main[مقدار (کیلوگرم)],1):Main[[#This Row],[مقدار (کیلوگرم)]])</f>
        <v>32923</v>
      </c>
      <c r="V238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80" s="6">
        <f>Main[[#This Row],[تعداد کل روزهای بدهکار (روز)]]*Main[[#This Row],[مانده در خط کل (کیلوگرم)]]</f>
        <v>65846</v>
      </c>
      <c r="X2380" s="6">
        <f ca="1">-SUBTOTAL(9,INDEX(Main[مقدار تسویه شده (کیلوگرم)],1):Main[[#This Row],[مقدار تسویه شده (کیلوگرم)]])</f>
        <v>27960</v>
      </c>
      <c r="Y2380" s="6">
        <f ca="1">IF(Main[[#This Row],[مانده در خط تسویه شده (کیلوگرم)]]&lt;&gt;0,Main[[#This Row],[تعداد کل روزهای بدهکار (روز)]],0)</f>
        <v>2</v>
      </c>
      <c r="Z2380" s="6">
        <f ca="1">Main[[#This Row],[تعداد روزهای بدهکار تسویه شده (روز)]]*Main[[#This Row],[مانده در خط تسویه شده (کیلوگرم)]]</f>
        <v>55920</v>
      </c>
      <c r="AA2380" s="6">
        <f ca="1">SUBTOTAL(9,INDEX(Main[بدهی تسویه نشده (کیلوگرم)],1):Main[[#This Row],[بدهی تسویه نشده (کیلوگرم)]])</f>
        <v>4963</v>
      </c>
      <c r="AB2380" s="6">
        <f ca="1">IF(Main[[#This Row],[مانده در خط تسویه نشده (کیلوگرم)]]&lt;&gt;0,Main[[#This Row],[تعداد کل روزهای بدهکار (روز)]],0)</f>
        <v>2</v>
      </c>
      <c r="AC2380" s="6">
        <f ca="1">Main[[#This Row],[تعداد روزهای بدهکار  تسویه نشده (روز)]]*Main[[#This Row],[مانده در خط تسویه نشده (کیلوگرم)]]</f>
        <v>9926</v>
      </c>
      <c r="AD2380" s="6">
        <f ca="1">SUBTOTAL(9,INDEX(Main[بدهی سررسید شده (کیلوگرم)],1):Main[[#This Row],[بدهی سررسید شده (کیلوگرم)]])</f>
        <v>4963</v>
      </c>
      <c r="AE2380" s="6">
        <f ca="1">IF(Main[[#This Row],[مانده در خط سررسید شده (کیلوگرم)]]&lt;&gt;0,Main[[#This Row],[تعداد کل روزهای بدهکار (روز)]],0)</f>
        <v>2</v>
      </c>
      <c r="AF2380" s="6">
        <f ca="1">Main[[#This Row],[تعداد روزهای بدهکار سررسید شده (روز)]]*Main[[#This Row],[مانده در خط سررسید شده (کیلوگرم)]]</f>
        <v>9926</v>
      </c>
    </row>
    <row r="2381" spans="1:32" hidden="1" x14ac:dyDescent="0.35">
      <c r="A2381" s="5">
        <f>ROW()-ROW(INDEX(Main[ردیف],1))+1</f>
        <v>2379</v>
      </c>
      <c r="B2381" s="31">
        <f>SUBTOTAL(2,INDEX(Main[ردیف],1):Main[[#This Row],[ردیف]])</f>
        <v>214</v>
      </c>
      <c r="C2381" s="32" t="s">
        <v>796</v>
      </c>
      <c r="D2381" s="32" t="str">
        <f>_xlfn.CONCAT("14",Main[[#This Row],[تاريخ]])</f>
        <v>1400/09/11</v>
      </c>
      <c r="E2381" s="33">
        <v>44532</v>
      </c>
      <c r="F2381" s="32">
        <v>30004</v>
      </c>
      <c r="G2381" s="5" t="str">
        <f>INDEX(customer[عنوان],MATCH(Main[[#This Row],[کد ردیابی]],customer[کد],0))</f>
        <v>تولیدی صنعتی صفاشیر پارس</v>
      </c>
      <c r="H2381">
        <v>4877</v>
      </c>
      <c r="I2381" s="6">
        <f ca="1">-Main[[#This Row],[بدهی تسویه شده (کیلوگرم)]]+Main[[#This Row],[بستانکار (کیلوگرم)]]</f>
        <v>4877</v>
      </c>
      <c r="J2381" s="6">
        <f>IF(Main[[#This Row],[مقدار (کیلوگرم)]]&gt;0,Main[[#This Row],[مقدار (کیلوگرم)]],0)</f>
        <v>4877</v>
      </c>
      <c r="K2381" s="6">
        <f>-IF(Main[[#This Row],[مقدار (کیلوگرم)]]&lt;0,Main[[#This Row],[مقدار (کیلوگرم)]],0)</f>
        <v>0</v>
      </c>
      <c r="L23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1" s="7">
        <f>-IF(AND(Main[[#This Row],[مقدار (کیلوگرم)]]&lt;0,Main[[#This Row],[تاريخ میلادی]]&gt;44276),Main[[#This Row],[مقدار (کیلوگرم)]],0)</f>
        <v>0</v>
      </c>
      <c r="N2381" s="6">
        <f ca="1">Main[[#This Row],[بدهکار (کیلوگرم)]]-Main[[#This Row],[بدهی تسویه نشده (کیلوگرم)]]</f>
        <v>0</v>
      </c>
      <c r="O2381" s="6">
        <f ca="1">Main[[#This Row],[تفکیک]]</f>
        <v>0</v>
      </c>
      <c r="P2381" s="6">
        <f ca="1">IF(Main[[#This Row],[تاخیر از سررسید]]&gt;0,Main[[#This Row],[بدهی تسویه نشده (کیلوگرم)]],0)</f>
        <v>0</v>
      </c>
      <c r="Q2381" s="6">
        <f ca="1">IF(Main[[#This Row],[بدهی تسویه نشده (کیلوگرم)]]&gt;0,'گزارش فردی'!$B$7-Main[[#This Row],[تاريخ میلادی]],0)</f>
        <v>0</v>
      </c>
      <c r="R2381" s="6">
        <f ca="1">IF(Main[[#This Row],[بدهی تسویه نشده (کیلوگرم)]]&gt;0,'گزارش فردی'!$B$7-Main[[#This Row],[تاريخ میلادی]]-'گزارش فردی'!$B$8,0)</f>
        <v>0</v>
      </c>
      <c r="S2381" s="6">
        <f ca="1">Main[[#This Row],[روز از ارسال سفارش]]*Main[[#This Row],[بدهی تسویه نشده (کیلوگرم)]]</f>
        <v>0</v>
      </c>
      <c r="T2381" s="6">
        <f ca="1">Main[[#This Row],[بدهی سررسید شده (کیلوگرم)]]*Main[[#This Row],[روز از ارسال سفارش]]</f>
        <v>0</v>
      </c>
      <c r="U2381" s="6">
        <f>-SUBTOTAL(9,INDEX(Main[مقدار (کیلوگرم)],1):Main[[#This Row],[مقدار (کیلوگرم)]])</f>
        <v>32923</v>
      </c>
      <c r="V238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81" s="6">
        <f>Main[[#This Row],[تعداد کل روزهای بدهکار (روز)]]*Main[[#This Row],[مانده در خط کل (کیلوگرم)]]</f>
        <v>65846</v>
      </c>
      <c r="X2381" s="6">
        <f ca="1">-SUBTOTAL(9,INDEX(Main[مقدار تسویه شده (کیلوگرم)],1):Main[[#This Row],[مقدار تسویه شده (کیلوگرم)]])</f>
        <v>27960</v>
      </c>
      <c r="Y2381" s="6">
        <f ca="1">IF(Main[[#This Row],[مانده در خط تسویه شده (کیلوگرم)]]&lt;&gt;0,Main[[#This Row],[تعداد کل روزهای بدهکار (روز)]],0)</f>
        <v>2</v>
      </c>
      <c r="Z2381" s="6">
        <f ca="1">Main[[#This Row],[تعداد روزهای بدهکار تسویه شده (روز)]]*Main[[#This Row],[مانده در خط تسویه شده (کیلوگرم)]]</f>
        <v>55920</v>
      </c>
      <c r="AA2381" s="6">
        <f ca="1">SUBTOTAL(9,INDEX(Main[بدهی تسویه نشده (کیلوگرم)],1):Main[[#This Row],[بدهی تسویه نشده (کیلوگرم)]])</f>
        <v>4963</v>
      </c>
      <c r="AB2381" s="6">
        <f ca="1">IF(Main[[#This Row],[مانده در خط تسویه نشده (کیلوگرم)]]&lt;&gt;0,Main[[#This Row],[تعداد کل روزهای بدهکار (روز)]],0)</f>
        <v>2</v>
      </c>
      <c r="AC2381" s="6">
        <f ca="1">Main[[#This Row],[تعداد روزهای بدهکار  تسویه نشده (روز)]]*Main[[#This Row],[مانده در خط تسویه نشده (کیلوگرم)]]</f>
        <v>9926</v>
      </c>
      <c r="AD2381" s="6">
        <f ca="1">SUBTOTAL(9,INDEX(Main[بدهی سررسید شده (کیلوگرم)],1):Main[[#This Row],[بدهی سررسید شده (کیلوگرم)]])</f>
        <v>4963</v>
      </c>
      <c r="AE2381" s="6">
        <f ca="1">IF(Main[[#This Row],[مانده در خط سررسید شده (کیلوگرم)]]&lt;&gt;0,Main[[#This Row],[تعداد کل روزهای بدهکار (روز)]],0)</f>
        <v>2</v>
      </c>
      <c r="AF2381" s="6">
        <f ca="1">Main[[#This Row],[تعداد روزهای بدهکار سررسید شده (روز)]]*Main[[#This Row],[مانده در خط سررسید شده (کیلوگرم)]]</f>
        <v>9926</v>
      </c>
    </row>
    <row r="2382" spans="1:32" hidden="1" x14ac:dyDescent="0.35">
      <c r="A2382" s="5">
        <f>ROW()-ROW(INDEX(Main[ردیف],1))+1</f>
        <v>2380</v>
      </c>
      <c r="B2382" s="31">
        <f>SUBTOTAL(2,INDEX(Main[ردیف],1):Main[[#This Row],[ردیف]])</f>
        <v>214</v>
      </c>
      <c r="C2382" s="32" t="s">
        <v>797</v>
      </c>
      <c r="D2382" s="32" t="str">
        <f>_xlfn.CONCAT("14",Main[[#This Row],[تاريخ]])</f>
        <v>1400/09/13</v>
      </c>
      <c r="E2382" s="33">
        <v>44534</v>
      </c>
      <c r="F2382" s="32">
        <v>30186</v>
      </c>
      <c r="G2382" s="5" t="str">
        <f>INDEX(customer[عنوان],MATCH(Main[[#This Row],[کد ردیابی]],customer[کد],0))</f>
        <v>سارا گاز</v>
      </c>
      <c r="H2382">
        <v>-2679</v>
      </c>
      <c r="I2382" s="6">
        <f ca="1">-Main[[#This Row],[بدهی تسویه شده (کیلوگرم)]]+Main[[#This Row],[بستانکار (کیلوگرم)]]</f>
        <v>0</v>
      </c>
      <c r="J2382" s="6">
        <f>IF(Main[[#This Row],[مقدار (کیلوگرم)]]&gt;0,Main[[#This Row],[مقدار (کیلوگرم)]],0)</f>
        <v>0</v>
      </c>
      <c r="K2382" s="6">
        <f>-IF(Main[[#This Row],[مقدار (کیلوگرم)]]&lt;0,Main[[#This Row],[مقدار (کیلوگرم)]],0)</f>
        <v>2679</v>
      </c>
      <c r="L23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2679</v>
      </c>
      <c r="M2382" s="7">
        <f>-IF(AND(Main[[#This Row],[مقدار (کیلوگرم)]]&lt;0,Main[[#This Row],[تاريخ میلادی]]&gt;44276),Main[[#This Row],[مقدار (کیلوگرم)]],0)</f>
        <v>2679</v>
      </c>
      <c r="N2382" s="6">
        <f ca="1">Main[[#This Row],[بدهکار (کیلوگرم)]]-Main[[#This Row],[بدهی تسویه نشده (کیلوگرم)]]</f>
        <v>0</v>
      </c>
      <c r="O2382" s="6">
        <f ca="1">Main[[#This Row],[تفکیک]]</f>
        <v>2679</v>
      </c>
      <c r="P2382" s="6">
        <f ca="1">IF(Main[[#This Row],[تاخیر از سررسید]]&gt;0,Main[[#This Row],[بدهی تسویه نشده (کیلوگرم)]],0)</f>
        <v>2679</v>
      </c>
      <c r="Q2382" s="6">
        <f ca="1">IF(Main[[#This Row],[بدهی تسویه نشده (کیلوگرم)]]&gt;0,'گزارش فردی'!$B$7-Main[[#This Row],[تاريخ میلادی]],0)</f>
        <v>928.75374085648218</v>
      </c>
      <c r="R2382" s="6">
        <f ca="1">IF(Main[[#This Row],[بدهی تسویه نشده (کیلوگرم)]]&gt;0,'گزارش فردی'!$B$7-Main[[#This Row],[تاريخ میلادی]]-'گزارش فردی'!$B$8,0)</f>
        <v>913.75374085648218</v>
      </c>
      <c r="S2382" s="6">
        <f ca="1">Main[[#This Row],[روز از ارسال سفارش]]*Main[[#This Row],[بدهی تسویه نشده (کیلوگرم)]]</f>
        <v>2488131.2717545158</v>
      </c>
      <c r="T2382" s="6">
        <f ca="1">Main[[#This Row],[بدهی سررسید شده (کیلوگرم)]]*Main[[#This Row],[روز از ارسال سفارش]]</f>
        <v>2488131.2717545158</v>
      </c>
      <c r="U2382" s="6">
        <f>-SUBTOTAL(9,INDEX(Main[مقدار (کیلوگرم)],1):Main[[#This Row],[مقدار (کیلوگرم)]])</f>
        <v>32923</v>
      </c>
      <c r="V23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2" s="6">
        <f>Main[[#This Row],[تعداد کل روزهای بدهکار (روز)]]*Main[[#This Row],[مانده در خط کل (کیلوگرم)]]</f>
        <v>0</v>
      </c>
      <c r="X2382" s="6">
        <f ca="1">-SUBTOTAL(9,INDEX(Main[مقدار تسویه شده (کیلوگرم)],1):Main[[#This Row],[مقدار تسویه شده (کیلوگرم)]])</f>
        <v>27960</v>
      </c>
      <c r="Y2382" s="6">
        <f ca="1">IF(Main[[#This Row],[مانده در خط تسویه شده (کیلوگرم)]]&lt;&gt;0,Main[[#This Row],[تعداد کل روزهای بدهکار (روز)]],0)</f>
        <v>0</v>
      </c>
      <c r="Z2382" s="6">
        <f ca="1">Main[[#This Row],[تعداد روزهای بدهکار تسویه شده (روز)]]*Main[[#This Row],[مانده در خط تسویه شده (کیلوگرم)]]</f>
        <v>0</v>
      </c>
      <c r="AA2382" s="6">
        <f ca="1">SUBTOTAL(9,INDEX(Main[بدهی تسویه نشده (کیلوگرم)],1):Main[[#This Row],[بدهی تسویه نشده (کیلوگرم)]])</f>
        <v>4963</v>
      </c>
      <c r="AB2382" s="6">
        <f ca="1">IF(Main[[#This Row],[مانده در خط تسویه نشده (کیلوگرم)]]&lt;&gt;0,Main[[#This Row],[تعداد کل روزهای بدهکار (روز)]],0)</f>
        <v>0</v>
      </c>
      <c r="AC2382" s="6">
        <f ca="1">Main[[#This Row],[تعداد روزهای بدهکار  تسویه نشده (روز)]]*Main[[#This Row],[مانده در خط تسویه نشده (کیلوگرم)]]</f>
        <v>0</v>
      </c>
      <c r="AD2382" s="6">
        <f ca="1">SUBTOTAL(9,INDEX(Main[بدهی سررسید شده (کیلوگرم)],1):Main[[#This Row],[بدهی سررسید شده (کیلوگرم)]])</f>
        <v>4963</v>
      </c>
      <c r="AE2382" s="6">
        <f ca="1">IF(Main[[#This Row],[مانده در خط سررسید شده (کیلوگرم)]]&lt;&gt;0,Main[[#This Row],[تعداد کل روزهای بدهکار (روز)]],0)</f>
        <v>0</v>
      </c>
      <c r="AF2382" s="6">
        <f ca="1">Main[[#This Row],[تعداد روزهای بدهکار سررسید شده (روز)]]*Main[[#This Row],[مانده در خط سررسید شده (کیلوگرم)]]</f>
        <v>0</v>
      </c>
    </row>
    <row r="2383" spans="1:32" hidden="1" x14ac:dyDescent="0.35">
      <c r="A2383" s="5">
        <f>ROW()-ROW(INDEX(Main[ردیف],1))+1</f>
        <v>2381</v>
      </c>
      <c r="B2383" s="31">
        <f>SUBTOTAL(2,INDEX(Main[ردیف],1):Main[[#This Row],[ردیف]])</f>
        <v>214</v>
      </c>
      <c r="C2383" s="32" t="s">
        <v>797</v>
      </c>
      <c r="D2383" s="32" t="str">
        <f>_xlfn.CONCAT("14",Main[[#This Row],[تاريخ]])</f>
        <v>1400/09/13</v>
      </c>
      <c r="E2383" s="33">
        <v>44534</v>
      </c>
      <c r="F2383" s="32">
        <v>10004</v>
      </c>
      <c r="G2383" s="5" t="str">
        <f>INDEX(customer[عنوان],MATCH(Main[[#This Row],[کد ردیابی]],customer[کد],0))</f>
        <v xml:space="preserve">محمد عباسی </v>
      </c>
      <c r="H2383">
        <v>767</v>
      </c>
      <c r="I2383" s="6">
        <f ca="1">-Main[[#This Row],[بدهی تسویه شده (کیلوگرم)]]+Main[[#This Row],[بستانکار (کیلوگرم)]]</f>
        <v>767</v>
      </c>
      <c r="J2383" s="6">
        <f>IF(Main[[#This Row],[مقدار (کیلوگرم)]]&gt;0,Main[[#This Row],[مقدار (کیلوگرم)]],0)</f>
        <v>767</v>
      </c>
      <c r="K2383" s="6">
        <f>-IF(Main[[#This Row],[مقدار (کیلوگرم)]]&lt;0,Main[[#This Row],[مقدار (کیلوگرم)]],0)</f>
        <v>0</v>
      </c>
      <c r="L23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3" s="7">
        <f>-IF(AND(Main[[#This Row],[مقدار (کیلوگرم)]]&lt;0,Main[[#This Row],[تاريخ میلادی]]&gt;44276),Main[[#This Row],[مقدار (کیلوگرم)]],0)</f>
        <v>0</v>
      </c>
      <c r="N2383" s="6">
        <f ca="1">Main[[#This Row],[بدهکار (کیلوگرم)]]-Main[[#This Row],[بدهی تسویه نشده (کیلوگرم)]]</f>
        <v>0</v>
      </c>
      <c r="O2383" s="6">
        <f ca="1">Main[[#This Row],[تفکیک]]</f>
        <v>0</v>
      </c>
      <c r="P2383" s="6">
        <f ca="1">IF(Main[[#This Row],[تاخیر از سررسید]]&gt;0,Main[[#This Row],[بدهی تسویه نشده (کیلوگرم)]],0)</f>
        <v>0</v>
      </c>
      <c r="Q2383" s="6">
        <f ca="1">IF(Main[[#This Row],[بدهی تسویه نشده (کیلوگرم)]]&gt;0,'گزارش فردی'!$B$7-Main[[#This Row],[تاريخ میلادی]],0)</f>
        <v>0</v>
      </c>
      <c r="R2383" s="6">
        <f ca="1">IF(Main[[#This Row],[بدهی تسویه نشده (کیلوگرم)]]&gt;0,'گزارش فردی'!$B$7-Main[[#This Row],[تاريخ میلادی]]-'گزارش فردی'!$B$8,0)</f>
        <v>0</v>
      </c>
      <c r="S2383" s="6">
        <f ca="1">Main[[#This Row],[روز از ارسال سفارش]]*Main[[#This Row],[بدهی تسویه نشده (کیلوگرم)]]</f>
        <v>0</v>
      </c>
      <c r="T2383" s="6">
        <f ca="1">Main[[#This Row],[بدهی سررسید شده (کیلوگرم)]]*Main[[#This Row],[روز از ارسال سفارش]]</f>
        <v>0</v>
      </c>
      <c r="U2383" s="6">
        <f>-SUBTOTAL(9,INDEX(Main[مقدار (کیلوگرم)],1):Main[[#This Row],[مقدار (کیلوگرم)]])</f>
        <v>32923</v>
      </c>
      <c r="V23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3" s="6">
        <f>Main[[#This Row],[تعداد کل روزهای بدهکار (روز)]]*Main[[#This Row],[مانده در خط کل (کیلوگرم)]]</f>
        <v>0</v>
      </c>
      <c r="X2383" s="6">
        <f ca="1">-SUBTOTAL(9,INDEX(Main[مقدار تسویه شده (کیلوگرم)],1):Main[[#This Row],[مقدار تسویه شده (کیلوگرم)]])</f>
        <v>27960</v>
      </c>
      <c r="Y2383" s="6">
        <f ca="1">IF(Main[[#This Row],[مانده در خط تسویه شده (کیلوگرم)]]&lt;&gt;0,Main[[#This Row],[تعداد کل روزهای بدهکار (روز)]],0)</f>
        <v>0</v>
      </c>
      <c r="Z2383" s="6">
        <f ca="1">Main[[#This Row],[تعداد روزهای بدهکار تسویه شده (روز)]]*Main[[#This Row],[مانده در خط تسویه شده (کیلوگرم)]]</f>
        <v>0</v>
      </c>
      <c r="AA2383" s="6">
        <f ca="1">SUBTOTAL(9,INDEX(Main[بدهی تسویه نشده (کیلوگرم)],1):Main[[#This Row],[بدهی تسویه نشده (کیلوگرم)]])</f>
        <v>4963</v>
      </c>
      <c r="AB2383" s="6">
        <f ca="1">IF(Main[[#This Row],[مانده در خط تسویه نشده (کیلوگرم)]]&lt;&gt;0,Main[[#This Row],[تعداد کل روزهای بدهکار (روز)]],0)</f>
        <v>0</v>
      </c>
      <c r="AC2383" s="6">
        <f ca="1">Main[[#This Row],[تعداد روزهای بدهکار  تسویه نشده (روز)]]*Main[[#This Row],[مانده در خط تسویه نشده (کیلوگرم)]]</f>
        <v>0</v>
      </c>
      <c r="AD2383" s="6">
        <f ca="1">SUBTOTAL(9,INDEX(Main[بدهی سررسید شده (کیلوگرم)],1):Main[[#This Row],[بدهی سررسید شده (کیلوگرم)]])</f>
        <v>4963</v>
      </c>
      <c r="AE2383" s="6">
        <f ca="1">IF(Main[[#This Row],[مانده در خط سررسید شده (کیلوگرم)]]&lt;&gt;0,Main[[#This Row],[تعداد کل روزهای بدهکار (روز)]],0)</f>
        <v>0</v>
      </c>
      <c r="AF2383" s="6">
        <f ca="1">Main[[#This Row],[تعداد روزهای بدهکار سررسید شده (روز)]]*Main[[#This Row],[مانده در خط سررسید شده (کیلوگرم)]]</f>
        <v>0</v>
      </c>
    </row>
    <row r="2384" spans="1:32" hidden="1" x14ac:dyDescent="0.35">
      <c r="A2384" s="5">
        <f>ROW()-ROW(INDEX(Main[ردیف],1))+1</f>
        <v>2382</v>
      </c>
      <c r="B2384" s="31">
        <f>SUBTOTAL(2,INDEX(Main[ردیف],1):Main[[#This Row],[ردیف]])</f>
        <v>214</v>
      </c>
      <c r="C2384" s="32" t="s">
        <v>797</v>
      </c>
      <c r="D2384" s="32" t="str">
        <f>_xlfn.CONCAT("14",Main[[#This Row],[تاريخ]])</f>
        <v>1400/09/13</v>
      </c>
      <c r="E2384" s="33">
        <v>44534</v>
      </c>
      <c r="F2384" s="32">
        <v>30205</v>
      </c>
      <c r="G2384" s="5" t="str">
        <f>INDEX(customer[عنوان],MATCH(Main[[#This Row],[کد ردیابی]],customer[کد],0))</f>
        <v>ایران پالاد</v>
      </c>
      <c r="H2384">
        <v>-201</v>
      </c>
      <c r="I2384" s="6">
        <f ca="1">-Main[[#This Row],[بدهی تسویه شده (کیلوگرم)]]+Main[[#This Row],[بستانکار (کیلوگرم)]]</f>
        <v>0</v>
      </c>
      <c r="J2384" s="6">
        <f>IF(Main[[#This Row],[مقدار (کیلوگرم)]]&gt;0,Main[[#This Row],[مقدار (کیلوگرم)]],0)</f>
        <v>0</v>
      </c>
      <c r="K2384" s="6">
        <f>-IF(Main[[#This Row],[مقدار (کیلوگرم)]]&lt;0,Main[[#This Row],[مقدار (کیلوگرم)]],0)</f>
        <v>201</v>
      </c>
      <c r="L23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201</v>
      </c>
      <c r="M2384" s="7">
        <f>-IF(AND(Main[[#This Row],[مقدار (کیلوگرم)]]&lt;0,Main[[#This Row],[تاريخ میلادی]]&gt;44276),Main[[#This Row],[مقدار (کیلوگرم)]],0)</f>
        <v>201</v>
      </c>
      <c r="N2384" s="6">
        <f ca="1">Main[[#This Row],[بدهکار (کیلوگرم)]]-Main[[#This Row],[بدهی تسویه نشده (کیلوگرم)]]</f>
        <v>0</v>
      </c>
      <c r="O2384" s="6">
        <f ca="1">Main[[#This Row],[تفکیک]]</f>
        <v>201</v>
      </c>
      <c r="P2384" s="6">
        <f ca="1">IF(Main[[#This Row],[تاخیر از سررسید]]&gt;0,Main[[#This Row],[بدهی تسویه نشده (کیلوگرم)]],0)</f>
        <v>201</v>
      </c>
      <c r="Q2384" s="6">
        <f ca="1">IF(Main[[#This Row],[بدهی تسویه نشده (کیلوگرم)]]&gt;0,'گزارش فردی'!$B$7-Main[[#This Row],[تاريخ میلادی]],0)</f>
        <v>928.75374085648218</v>
      </c>
      <c r="R2384" s="6">
        <f ca="1">IF(Main[[#This Row],[بدهی تسویه نشده (کیلوگرم)]]&gt;0,'گزارش فردی'!$B$7-Main[[#This Row],[تاريخ میلادی]]-'گزارش فردی'!$B$8,0)</f>
        <v>913.75374085648218</v>
      </c>
      <c r="S2384" s="6">
        <f ca="1">Main[[#This Row],[روز از ارسال سفارش]]*Main[[#This Row],[بدهی تسویه نشده (کیلوگرم)]]</f>
        <v>186679.50191215292</v>
      </c>
      <c r="T2384" s="6">
        <f ca="1">Main[[#This Row],[بدهی سررسید شده (کیلوگرم)]]*Main[[#This Row],[روز از ارسال سفارش]]</f>
        <v>186679.50191215292</v>
      </c>
      <c r="U2384" s="6">
        <f>-SUBTOTAL(9,INDEX(Main[مقدار (کیلوگرم)],1):Main[[#This Row],[مقدار (کیلوگرم)]])</f>
        <v>32923</v>
      </c>
      <c r="V23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4" s="6">
        <f>Main[[#This Row],[تعداد کل روزهای بدهکار (روز)]]*Main[[#This Row],[مانده در خط کل (کیلوگرم)]]</f>
        <v>0</v>
      </c>
      <c r="X2384" s="6">
        <f ca="1">-SUBTOTAL(9,INDEX(Main[مقدار تسویه شده (کیلوگرم)],1):Main[[#This Row],[مقدار تسویه شده (کیلوگرم)]])</f>
        <v>27960</v>
      </c>
      <c r="Y2384" s="6">
        <f ca="1">IF(Main[[#This Row],[مانده در خط تسویه شده (کیلوگرم)]]&lt;&gt;0,Main[[#This Row],[تعداد کل روزهای بدهکار (روز)]],0)</f>
        <v>0</v>
      </c>
      <c r="Z2384" s="6">
        <f ca="1">Main[[#This Row],[تعداد روزهای بدهکار تسویه شده (روز)]]*Main[[#This Row],[مانده در خط تسویه شده (کیلوگرم)]]</f>
        <v>0</v>
      </c>
      <c r="AA2384" s="6">
        <f ca="1">SUBTOTAL(9,INDEX(Main[بدهی تسویه نشده (کیلوگرم)],1):Main[[#This Row],[بدهی تسویه نشده (کیلوگرم)]])</f>
        <v>4963</v>
      </c>
      <c r="AB2384" s="6">
        <f ca="1">IF(Main[[#This Row],[مانده در خط تسویه نشده (کیلوگرم)]]&lt;&gt;0,Main[[#This Row],[تعداد کل روزهای بدهکار (روز)]],0)</f>
        <v>0</v>
      </c>
      <c r="AC2384" s="6">
        <f ca="1">Main[[#This Row],[تعداد روزهای بدهکار  تسویه نشده (روز)]]*Main[[#This Row],[مانده در خط تسویه نشده (کیلوگرم)]]</f>
        <v>0</v>
      </c>
      <c r="AD2384" s="6">
        <f ca="1">SUBTOTAL(9,INDEX(Main[بدهی سررسید شده (کیلوگرم)],1):Main[[#This Row],[بدهی سررسید شده (کیلوگرم)]])</f>
        <v>4963</v>
      </c>
      <c r="AE2384" s="6">
        <f ca="1">IF(Main[[#This Row],[مانده در خط سررسید شده (کیلوگرم)]]&lt;&gt;0,Main[[#This Row],[تعداد کل روزهای بدهکار (روز)]],0)</f>
        <v>0</v>
      </c>
      <c r="AF2384" s="6">
        <f ca="1">Main[[#This Row],[تعداد روزهای بدهکار سررسید شده (روز)]]*Main[[#This Row],[مانده در خط سررسید شده (کیلوگرم)]]</f>
        <v>0</v>
      </c>
    </row>
    <row r="2385" spans="1:32" hidden="1" x14ac:dyDescent="0.35">
      <c r="A2385" s="5">
        <f>ROW()-ROW(INDEX(Main[ردیف],1))+1</f>
        <v>2383</v>
      </c>
      <c r="B2385" s="31">
        <f>SUBTOTAL(2,INDEX(Main[ردیف],1):Main[[#This Row],[ردیف]])</f>
        <v>214</v>
      </c>
      <c r="C2385" s="32" t="s">
        <v>797</v>
      </c>
      <c r="D2385" s="32" t="str">
        <f>_xlfn.CONCAT("14",Main[[#This Row],[تاريخ]])</f>
        <v>1400/09/13</v>
      </c>
      <c r="E2385" s="33">
        <v>44534</v>
      </c>
      <c r="F2385" s="32">
        <v>30009</v>
      </c>
      <c r="G2385" s="5" t="str">
        <f>INDEX(customer[عنوان],MATCH(Main[[#This Row],[کد ردیابی]],customer[کد],0))</f>
        <v>شرکت ایمن تک پیشرو</v>
      </c>
      <c r="H2385">
        <v>1908</v>
      </c>
      <c r="I2385" s="6">
        <f ca="1">-Main[[#This Row],[بدهی تسویه شده (کیلوگرم)]]+Main[[#This Row],[بستانکار (کیلوگرم)]]</f>
        <v>1908</v>
      </c>
      <c r="J2385" s="6">
        <f>IF(Main[[#This Row],[مقدار (کیلوگرم)]]&gt;0,Main[[#This Row],[مقدار (کیلوگرم)]],0)</f>
        <v>1908</v>
      </c>
      <c r="K2385" s="6">
        <f>-IF(Main[[#This Row],[مقدار (کیلوگرم)]]&lt;0,Main[[#This Row],[مقدار (کیلوگرم)]],0)</f>
        <v>0</v>
      </c>
      <c r="L23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5" s="7">
        <f>-IF(AND(Main[[#This Row],[مقدار (کیلوگرم)]]&lt;0,Main[[#This Row],[تاريخ میلادی]]&gt;44276),Main[[#This Row],[مقدار (کیلوگرم)]],0)</f>
        <v>0</v>
      </c>
      <c r="N2385" s="6">
        <f ca="1">Main[[#This Row],[بدهکار (کیلوگرم)]]-Main[[#This Row],[بدهی تسویه نشده (کیلوگرم)]]</f>
        <v>0</v>
      </c>
      <c r="O2385" s="6">
        <f ca="1">Main[[#This Row],[تفکیک]]</f>
        <v>0</v>
      </c>
      <c r="P2385" s="6">
        <f ca="1">IF(Main[[#This Row],[تاخیر از سررسید]]&gt;0,Main[[#This Row],[بدهی تسویه نشده (کیلوگرم)]],0)</f>
        <v>0</v>
      </c>
      <c r="Q2385" s="6">
        <f ca="1">IF(Main[[#This Row],[بدهی تسویه نشده (کیلوگرم)]]&gt;0,'گزارش فردی'!$B$7-Main[[#This Row],[تاريخ میلادی]],0)</f>
        <v>0</v>
      </c>
      <c r="R2385" s="6">
        <f ca="1">IF(Main[[#This Row],[بدهی تسویه نشده (کیلوگرم)]]&gt;0,'گزارش فردی'!$B$7-Main[[#This Row],[تاريخ میلادی]]-'گزارش فردی'!$B$8,0)</f>
        <v>0</v>
      </c>
      <c r="S2385" s="6">
        <f ca="1">Main[[#This Row],[روز از ارسال سفارش]]*Main[[#This Row],[بدهی تسویه نشده (کیلوگرم)]]</f>
        <v>0</v>
      </c>
      <c r="T2385" s="6">
        <f ca="1">Main[[#This Row],[بدهی سررسید شده (کیلوگرم)]]*Main[[#This Row],[روز از ارسال سفارش]]</f>
        <v>0</v>
      </c>
      <c r="U2385" s="6">
        <f>-SUBTOTAL(9,INDEX(Main[مقدار (کیلوگرم)],1):Main[[#This Row],[مقدار (کیلوگرم)]])</f>
        <v>32923</v>
      </c>
      <c r="V23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5" s="6">
        <f>Main[[#This Row],[تعداد کل روزهای بدهکار (روز)]]*Main[[#This Row],[مانده در خط کل (کیلوگرم)]]</f>
        <v>0</v>
      </c>
      <c r="X2385" s="6">
        <f ca="1">-SUBTOTAL(9,INDEX(Main[مقدار تسویه شده (کیلوگرم)],1):Main[[#This Row],[مقدار تسویه شده (کیلوگرم)]])</f>
        <v>27960</v>
      </c>
      <c r="Y2385" s="6">
        <f ca="1">IF(Main[[#This Row],[مانده در خط تسویه شده (کیلوگرم)]]&lt;&gt;0,Main[[#This Row],[تعداد کل روزهای بدهکار (روز)]],0)</f>
        <v>0</v>
      </c>
      <c r="Z2385" s="6">
        <f ca="1">Main[[#This Row],[تعداد روزهای بدهکار تسویه شده (روز)]]*Main[[#This Row],[مانده در خط تسویه شده (کیلوگرم)]]</f>
        <v>0</v>
      </c>
      <c r="AA2385" s="6">
        <f ca="1">SUBTOTAL(9,INDEX(Main[بدهی تسویه نشده (کیلوگرم)],1):Main[[#This Row],[بدهی تسویه نشده (کیلوگرم)]])</f>
        <v>4963</v>
      </c>
      <c r="AB2385" s="6">
        <f ca="1">IF(Main[[#This Row],[مانده در خط تسویه نشده (کیلوگرم)]]&lt;&gt;0,Main[[#This Row],[تعداد کل روزهای بدهکار (روز)]],0)</f>
        <v>0</v>
      </c>
      <c r="AC2385" s="6">
        <f ca="1">Main[[#This Row],[تعداد روزهای بدهکار  تسویه نشده (روز)]]*Main[[#This Row],[مانده در خط تسویه نشده (کیلوگرم)]]</f>
        <v>0</v>
      </c>
      <c r="AD2385" s="6">
        <f ca="1">SUBTOTAL(9,INDEX(Main[بدهی سررسید شده (کیلوگرم)],1):Main[[#This Row],[بدهی سررسید شده (کیلوگرم)]])</f>
        <v>4963</v>
      </c>
      <c r="AE2385" s="6">
        <f ca="1">IF(Main[[#This Row],[مانده در خط سررسید شده (کیلوگرم)]]&lt;&gt;0,Main[[#This Row],[تعداد کل روزهای بدهکار (روز)]],0)</f>
        <v>0</v>
      </c>
      <c r="AF2385" s="6">
        <f ca="1">Main[[#This Row],[تعداد روزهای بدهکار سررسید شده (روز)]]*Main[[#This Row],[مانده در خط سررسید شده (کیلوگرم)]]</f>
        <v>0</v>
      </c>
    </row>
    <row r="2386" spans="1:32" hidden="1" x14ac:dyDescent="0.35">
      <c r="A2386" s="5">
        <f>ROW()-ROW(INDEX(Main[ردیف],1))+1</f>
        <v>2384</v>
      </c>
      <c r="B2386" s="31">
        <f>SUBTOTAL(2,INDEX(Main[ردیف],1):Main[[#This Row],[ردیف]])</f>
        <v>214</v>
      </c>
      <c r="C2386" s="32" t="s">
        <v>797</v>
      </c>
      <c r="D2386" s="32" t="str">
        <f>_xlfn.CONCAT("14",Main[[#This Row],[تاريخ]])</f>
        <v>1400/09/13</v>
      </c>
      <c r="E2386" s="33">
        <v>44534</v>
      </c>
      <c r="F2386" s="32">
        <v>30081</v>
      </c>
      <c r="G2386" s="5" t="str">
        <f>INDEX(customer[عنوان],MATCH(Main[[#This Row],[کد ردیابی]],customer[کد],0))</f>
        <v xml:space="preserve">شیرآلات بهداشتی راسان </v>
      </c>
      <c r="H2386">
        <v>-1572</v>
      </c>
      <c r="I2386" s="6">
        <f ca="1">-Main[[#This Row],[بدهی تسویه شده (کیلوگرم)]]+Main[[#This Row],[بستانکار (کیلوگرم)]]</f>
        <v>0</v>
      </c>
      <c r="J2386" s="6">
        <f>IF(Main[[#This Row],[مقدار (کیلوگرم)]]&gt;0,Main[[#This Row],[مقدار (کیلوگرم)]],0)</f>
        <v>0</v>
      </c>
      <c r="K2386" s="6">
        <f>-IF(Main[[#This Row],[مقدار (کیلوگرم)]]&lt;0,Main[[#This Row],[مقدار (کیلوگرم)]],0)</f>
        <v>1572</v>
      </c>
      <c r="L23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1572</v>
      </c>
      <c r="M2386" s="7">
        <f>-IF(AND(Main[[#This Row],[مقدار (کیلوگرم)]]&lt;0,Main[[#This Row],[تاريخ میلادی]]&gt;44276),Main[[#This Row],[مقدار (کیلوگرم)]],0)</f>
        <v>1572</v>
      </c>
      <c r="N2386" s="6">
        <f ca="1">Main[[#This Row],[بدهکار (کیلوگرم)]]-Main[[#This Row],[بدهی تسویه نشده (کیلوگرم)]]</f>
        <v>0</v>
      </c>
      <c r="O2386" s="6">
        <f ca="1">Main[[#This Row],[تفکیک]]</f>
        <v>1572</v>
      </c>
      <c r="P2386" s="6">
        <f ca="1">IF(Main[[#This Row],[تاخیر از سررسید]]&gt;0,Main[[#This Row],[بدهی تسویه نشده (کیلوگرم)]],0)</f>
        <v>1572</v>
      </c>
      <c r="Q2386" s="6">
        <f ca="1">IF(Main[[#This Row],[بدهی تسویه نشده (کیلوگرم)]]&gt;0,'گزارش فردی'!$B$7-Main[[#This Row],[تاريخ میلادی]],0)</f>
        <v>928.75374085648218</v>
      </c>
      <c r="R2386" s="6">
        <f ca="1">IF(Main[[#This Row],[بدهی تسویه نشده (کیلوگرم)]]&gt;0,'گزارش فردی'!$B$7-Main[[#This Row],[تاريخ میلادی]]-'گزارش فردی'!$B$8,0)</f>
        <v>913.75374085648218</v>
      </c>
      <c r="S2386" s="6">
        <f ca="1">Main[[#This Row],[روز از ارسال سفارش]]*Main[[#This Row],[بدهی تسویه نشده (کیلوگرم)]]</f>
        <v>1460000.88062639</v>
      </c>
      <c r="T2386" s="6">
        <f ca="1">Main[[#This Row],[بدهی سررسید شده (کیلوگرم)]]*Main[[#This Row],[روز از ارسال سفارش]]</f>
        <v>1460000.88062639</v>
      </c>
      <c r="U2386" s="6">
        <f>-SUBTOTAL(9,INDEX(Main[مقدار (کیلوگرم)],1):Main[[#This Row],[مقدار (کیلوگرم)]])</f>
        <v>32923</v>
      </c>
      <c r="V23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6" s="6">
        <f>Main[[#This Row],[تعداد کل روزهای بدهکار (روز)]]*Main[[#This Row],[مانده در خط کل (کیلوگرم)]]</f>
        <v>0</v>
      </c>
      <c r="X2386" s="6">
        <f ca="1">-SUBTOTAL(9,INDEX(Main[مقدار تسویه شده (کیلوگرم)],1):Main[[#This Row],[مقدار تسویه شده (کیلوگرم)]])</f>
        <v>27960</v>
      </c>
      <c r="Y2386" s="6">
        <f ca="1">IF(Main[[#This Row],[مانده در خط تسویه شده (کیلوگرم)]]&lt;&gt;0,Main[[#This Row],[تعداد کل روزهای بدهکار (روز)]],0)</f>
        <v>0</v>
      </c>
      <c r="Z2386" s="6">
        <f ca="1">Main[[#This Row],[تعداد روزهای بدهکار تسویه شده (روز)]]*Main[[#This Row],[مانده در خط تسویه شده (کیلوگرم)]]</f>
        <v>0</v>
      </c>
      <c r="AA2386" s="6">
        <f ca="1">SUBTOTAL(9,INDEX(Main[بدهی تسویه نشده (کیلوگرم)],1):Main[[#This Row],[بدهی تسویه نشده (کیلوگرم)]])</f>
        <v>4963</v>
      </c>
      <c r="AB2386" s="6">
        <f ca="1">IF(Main[[#This Row],[مانده در خط تسویه نشده (کیلوگرم)]]&lt;&gt;0,Main[[#This Row],[تعداد کل روزهای بدهکار (روز)]],0)</f>
        <v>0</v>
      </c>
      <c r="AC2386" s="6">
        <f ca="1">Main[[#This Row],[تعداد روزهای بدهکار  تسویه نشده (روز)]]*Main[[#This Row],[مانده در خط تسویه نشده (کیلوگرم)]]</f>
        <v>0</v>
      </c>
      <c r="AD2386" s="6">
        <f ca="1">SUBTOTAL(9,INDEX(Main[بدهی سررسید شده (کیلوگرم)],1):Main[[#This Row],[بدهی سررسید شده (کیلوگرم)]])</f>
        <v>4963</v>
      </c>
      <c r="AE2386" s="6">
        <f ca="1">IF(Main[[#This Row],[مانده در خط سررسید شده (کیلوگرم)]]&lt;&gt;0,Main[[#This Row],[تعداد کل روزهای بدهکار (روز)]],0)</f>
        <v>0</v>
      </c>
      <c r="AF2386" s="6">
        <f ca="1">Main[[#This Row],[تعداد روزهای بدهکار سررسید شده (روز)]]*Main[[#This Row],[مانده در خط سررسید شده (کیلوگرم)]]</f>
        <v>0</v>
      </c>
    </row>
    <row r="2387" spans="1:32" hidden="1" x14ac:dyDescent="0.35">
      <c r="A2387" s="5">
        <f>ROW()-ROW(INDEX(Main[ردیف],1))+1</f>
        <v>2385</v>
      </c>
      <c r="B2387" s="31">
        <f>SUBTOTAL(2,INDEX(Main[ردیف],1):Main[[#This Row],[ردیف]])</f>
        <v>214</v>
      </c>
      <c r="C2387" s="32" t="s">
        <v>797</v>
      </c>
      <c r="D2387" s="32" t="str">
        <f>_xlfn.CONCAT("14",Main[[#This Row],[تاريخ]])</f>
        <v>1400/09/13</v>
      </c>
      <c r="E2387" s="33">
        <v>44534</v>
      </c>
      <c r="F2387" s="32">
        <v>10048</v>
      </c>
      <c r="G2387" s="5" t="str">
        <f>INDEX(customer[عنوان],MATCH(Main[[#This Row],[کد ردیابی]],customer[کد],0))</f>
        <v xml:space="preserve">حسام کریمان  </v>
      </c>
      <c r="H2387">
        <v>242</v>
      </c>
      <c r="I2387" s="6">
        <f ca="1">-Main[[#This Row],[بدهی تسویه شده (کیلوگرم)]]+Main[[#This Row],[بستانکار (کیلوگرم)]]</f>
        <v>242</v>
      </c>
      <c r="J2387" s="6">
        <f>IF(Main[[#This Row],[مقدار (کیلوگرم)]]&gt;0,Main[[#This Row],[مقدار (کیلوگرم)]],0)</f>
        <v>242</v>
      </c>
      <c r="K2387" s="6">
        <f>-IF(Main[[#This Row],[مقدار (کیلوگرم)]]&lt;0,Main[[#This Row],[مقدار (کیلوگرم)]],0)</f>
        <v>0</v>
      </c>
      <c r="L23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7" s="7">
        <f>-IF(AND(Main[[#This Row],[مقدار (کیلوگرم)]]&lt;0,Main[[#This Row],[تاريخ میلادی]]&gt;44276),Main[[#This Row],[مقدار (کیلوگرم)]],0)</f>
        <v>0</v>
      </c>
      <c r="N2387" s="6">
        <f ca="1">Main[[#This Row],[بدهکار (کیلوگرم)]]-Main[[#This Row],[بدهی تسویه نشده (کیلوگرم)]]</f>
        <v>0</v>
      </c>
      <c r="O2387" s="6">
        <f ca="1">Main[[#This Row],[تفکیک]]</f>
        <v>0</v>
      </c>
      <c r="P2387" s="6">
        <f ca="1">IF(Main[[#This Row],[تاخیر از سررسید]]&gt;0,Main[[#This Row],[بدهی تسویه نشده (کیلوگرم)]],0)</f>
        <v>0</v>
      </c>
      <c r="Q2387" s="6">
        <f ca="1">IF(Main[[#This Row],[بدهی تسویه نشده (کیلوگرم)]]&gt;0,'گزارش فردی'!$B$7-Main[[#This Row],[تاريخ میلادی]],0)</f>
        <v>0</v>
      </c>
      <c r="R2387" s="6">
        <f ca="1">IF(Main[[#This Row],[بدهی تسویه نشده (کیلوگرم)]]&gt;0,'گزارش فردی'!$B$7-Main[[#This Row],[تاريخ میلادی]]-'گزارش فردی'!$B$8,0)</f>
        <v>0</v>
      </c>
      <c r="S2387" s="6">
        <f ca="1">Main[[#This Row],[روز از ارسال سفارش]]*Main[[#This Row],[بدهی تسویه نشده (کیلوگرم)]]</f>
        <v>0</v>
      </c>
      <c r="T2387" s="6">
        <f ca="1">Main[[#This Row],[بدهی سررسید شده (کیلوگرم)]]*Main[[#This Row],[روز از ارسال سفارش]]</f>
        <v>0</v>
      </c>
      <c r="U2387" s="6">
        <f>-SUBTOTAL(9,INDEX(Main[مقدار (کیلوگرم)],1):Main[[#This Row],[مقدار (کیلوگرم)]])</f>
        <v>32923</v>
      </c>
      <c r="V23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7" s="6">
        <f>Main[[#This Row],[تعداد کل روزهای بدهکار (روز)]]*Main[[#This Row],[مانده در خط کل (کیلوگرم)]]</f>
        <v>0</v>
      </c>
      <c r="X2387" s="6">
        <f ca="1">-SUBTOTAL(9,INDEX(Main[مقدار تسویه شده (کیلوگرم)],1):Main[[#This Row],[مقدار تسویه شده (کیلوگرم)]])</f>
        <v>27960</v>
      </c>
      <c r="Y2387" s="6">
        <f ca="1">IF(Main[[#This Row],[مانده در خط تسویه شده (کیلوگرم)]]&lt;&gt;0,Main[[#This Row],[تعداد کل روزهای بدهکار (روز)]],0)</f>
        <v>0</v>
      </c>
      <c r="Z2387" s="6">
        <f ca="1">Main[[#This Row],[تعداد روزهای بدهکار تسویه شده (روز)]]*Main[[#This Row],[مانده در خط تسویه شده (کیلوگرم)]]</f>
        <v>0</v>
      </c>
      <c r="AA2387" s="6">
        <f ca="1">SUBTOTAL(9,INDEX(Main[بدهی تسویه نشده (کیلوگرم)],1):Main[[#This Row],[بدهی تسویه نشده (کیلوگرم)]])</f>
        <v>4963</v>
      </c>
      <c r="AB2387" s="6">
        <f ca="1">IF(Main[[#This Row],[مانده در خط تسویه نشده (کیلوگرم)]]&lt;&gt;0,Main[[#This Row],[تعداد کل روزهای بدهکار (روز)]],0)</f>
        <v>0</v>
      </c>
      <c r="AC2387" s="6">
        <f ca="1">Main[[#This Row],[تعداد روزهای بدهکار  تسویه نشده (روز)]]*Main[[#This Row],[مانده در خط تسویه نشده (کیلوگرم)]]</f>
        <v>0</v>
      </c>
      <c r="AD2387" s="6">
        <f ca="1">SUBTOTAL(9,INDEX(Main[بدهی سررسید شده (کیلوگرم)],1):Main[[#This Row],[بدهی سررسید شده (کیلوگرم)]])</f>
        <v>4963</v>
      </c>
      <c r="AE2387" s="6">
        <f ca="1">IF(Main[[#This Row],[مانده در خط سررسید شده (کیلوگرم)]]&lt;&gt;0,Main[[#This Row],[تعداد کل روزهای بدهکار (روز)]],0)</f>
        <v>0</v>
      </c>
      <c r="AF2387" s="6">
        <f ca="1">Main[[#This Row],[تعداد روزهای بدهکار سررسید شده (روز)]]*Main[[#This Row],[مانده در خط سررسید شده (کیلوگرم)]]</f>
        <v>0</v>
      </c>
    </row>
    <row r="2388" spans="1:32" hidden="1" x14ac:dyDescent="0.35">
      <c r="A2388" s="5">
        <f>ROW()-ROW(INDEX(Main[ردیف],1))+1</f>
        <v>2386</v>
      </c>
      <c r="B2388" s="31">
        <f>SUBTOTAL(2,INDEX(Main[ردیف],1):Main[[#This Row],[ردیف]])</f>
        <v>214</v>
      </c>
      <c r="C2388" s="32" t="s">
        <v>797</v>
      </c>
      <c r="D2388" s="32" t="str">
        <f>_xlfn.CONCAT("14",Main[[#This Row],[تاريخ]])</f>
        <v>1400/09/13</v>
      </c>
      <c r="E2388" s="33">
        <v>44534</v>
      </c>
      <c r="F2388" s="32">
        <v>30019</v>
      </c>
      <c r="G2388" s="5" t="str">
        <f>INDEX(customer[عنوان],MATCH(Main[[#This Row],[کد ردیابی]],customer[کد],0))</f>
        <v xml:space="preserve">گسترش ارتباطات بهداد </v>
      </c>
      <c r="H2388">
        <v>-110</v>
      </c>
      <c r="I2388" s="6">
        <f ca="1">-Main[[#This Row],[بدهی تسویه شده (کیلوگرم)]]+Main[[#This Row],[بستانکار (کیلوگرم)]]</f>
        <v>0</v>
      </c>
      <c r="J2388" s="6">
        <f>IF(Main[[#This Row],[مقدار (کیلوگرم)]]&gt;0,Main[[#This Row],[مقدار (کیلوگرم)]],0)</f>
        <v>0</v>
      </c>
      <c r="K2388" s="6">
        <f>-IF(Main[[#This Row],[مقدار (کیلوگرم)]]&lt;0,Main[[#This Row],[مقدار (کیلوگرم)]],0)</f>
        <v>110</v>
      </c>
      <c r="L23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110</v>
      </c>
      <c r="M2388" s="7">
        <f>-IF(AND(Main[[#This Row],[مقدار (کیلوگرم)]]&lt;0,Main[[#This Row],[تاريخ میلادی]]&gt;44276),Main[[#This Row],[مقدار (کیلوگرم)]],0)</f>
        <v>110</v>
      </c>
      <c r="N2388" s="6">
        <f ca="1">Main[[#This Row],[بدهکار (کیلوگرم)]]-Main[[#This Row],[بدهی تسویه نشده (کیلوگرم)]]</f>
        <v>0</v>
      </c>
      <c r="O2388" s="6">
        <f ca="1">Main[[#This Row],[تفکیک]]</f>
        <v>110</v>
      </c>
      <c r="P2388" s="6">
        <f ca="1">IF(Main[[#This Row],[تاخیر از سررسید]]&gt;0,Main[[#This Row],[بدهی تسویه نشده (کیلوگرم)]],0)</f>
        <v>110</v>
      </c>
      <c r="Q2388" s="6">
        <f ca="1">IF(Main[[#This Row],[بدهی تسویه نشده (کیلوگرم)]]&gt;0,'گزارش فردی'!$B$7-Main[[#This Row],[تاريخ میلادی]],0)</f>
        <v>928.75374085648218</v>
      </c>
      <c r="R2388" s="6">
        <f ca="1">IF(Main[[#This Row],[بدهی تسویه نشده (کیلوگرم)]]&gt;0,'گزارش فردی'!$B$7-Main[[#This Row],[تاريخ میلادی]]-'گزارش فردی'!$B$8,0)</f>
        <v>913.75374085648218</v>
      </c>
      <c r="S2388" s="6">
        <f ca="1">Main[[#This Row],[روز از ارسال سفارش]]*Main[[#This Row],[بدهی تسویه نشده (کیلوگرم)]]</f>
        <v>102162.91149421304</v>
      </c>
      <c r="T2388" s="6">
        <f ca="1">Main[[#This Row],[بدهی سررسید شده (کیلوگرم)]]*Main[[#This Row],[روز از ارسال سفارش]]</f>
        <v>102162.91149421304</v>
      </c>
      <c r="U2388" s="6">
        <f>-SUBTOTAL(9,INDEX(Main[مقدار (کیلوگرم)],1):Main[[#This Row],[مقدار (کیلوگرم)]])</f>
        <v>32923</v>
      </c>
      <c r="V23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8" s="6">
        <f>Main[[#This Row],[تعداد کل روزهای بدهکار (روز)]]*Main[[#This Row],[مانده در خط کل (کیلوگرم)]]</f>
        <v>0</v>
      </c>
      <c r="X2388" s="6">
        <f ca="1">-SUBTOTAL(9,INDEX(Main[مقدار تسویه شده (کیلوگرم)],1):Main[[#This Row],[مقدار تسویه شده (کیلوگرم)]])</f>
        <v>27960</v>
      </c>
      <c r="Y2388" s="6">
        <f ca="1">IF(Main[[#This Row],[مانده در خط تسویه شده (کیلوگرم)]]&lt;&gt;0,Main[[#This Row],[تعداد کل روزهای بدهکار (روز)]],0)</f>
        <v>0</v>
      </c>
      <c r="Z2388" s="6">
        <f ca="1">Main[[#This Row],[تعداد روزهای بدهکار تسویه شده (روز)]]*Main[[#This Row],[مانده در خط تسویه شده (کیلوگرم)]]</f>
        <v>0</v>
      </c>
      <c r="AA2388" s="6">
        <f ca="1">SUBTOTAL(9,INDEX(Main[بدهی تسویه نشده (کیلوگرم)],1):Main[[#This Row],[بدهی تسویه نشده (کیلوگرم)]])</f>
        <v>4963</v>
      </c>
      <c r="AB2388" s="6">
        <f ca="1">IF(Main[[#This Row],[مانده در خط تسویه نشده (کیلوگرم)]]&lt;&gt;0,Main[[#This Row],[تعداد کل روزهای بدهکار (روز)]],0)</f>
        <v>0</v>
      </c>
      <c r="AC2388" s="6">
        <f ca="1">Main[[#This Row],[تعداد روزهای بدهکار  تسویه نشده (روز)]]*Main[[#This Row],[مانده در خط تسویه نشده (کیلوگرم)]]</f>
        <v>0</v>
      </c>
      <c r="AD2388" s="6">
        <f ca="1">SUBTOTAL(9,INDEX(Main[بدهی سررسید شده (کیلوگرم)],1):Main[[#This Row],[بدهی سررسید شده (کیلوگرم)]])</f>
        <v>4963</v>
      </c>
      <c r="AE2388" s="6">
        <f ca="1">IF(Main[[#This Row],[مانده در خط سررسید شده (کیلوگرم)]]&lt;&gt;0,Main[[#This Row],[تعداد کل روزهای بدهکار (روز)]],0)</f>
        <v>0</v>
      </c>
      <c r="AF2388" s="6">
        <f ca="1">Main[[#This Row],[تعداد روزهای بدهکار سررسید شده (روز)]]*Main[[#This Row],[مانده در خط سررسید شده (کیلوگرم)]]</f>
        <v>0</v>
      </c>
    </row>
    <row r="2389" spans="1:32" x14ac:dyDescent="0.35">
      <c r="A2389" s="5">
        <f>ROW()-ROW(INDEX(Main[ردیف],1))+1</f>
        <v>2387</v>
      </c>
      <c r="B2389" s="31">
        <f>SUBTOTAL(2,INDEX(Main[ردیف],1):Main[[#This Row],[ردیف]])</f>
        <v>215</v>
      </c>
      <c r="C2389" s="32" t="s">
        <v>797</v>
      </c>
      <c r="D2389" s="32" t="str">
        <f>_xlfn.CONCAT("14",Main[[#This Row],[تاريخ]])</f>
        <v>1400/09/13</v>
      </c>
      <c r="E2389" s="33">
        <v>44534</v>
      </c>
      <c r="F2389" s="32">
        <v>10003</v>
      </c>
      <c r="G2389" s="5" t="str">
        <f>INDEX(customer[عنوان],MATCH(Main[[#This Row],[کد ردیابی]],customer[کد],0))</f>
        <v>اصغر نورعلی</v>
      </c>
      <c r="H2389">
        <v>2215</v>
      </c>
      <c r="I2389" s="6">
        <f ca="1">-Main[[#This Row],[بدهی تسویه شده (کیلوگرم)]]+Main[[#This Row],[بستانکار (کیلوگرم)]]</f>
        <v>2215</v>
      </c>
      <c r="J2389" s="6">
        <f>IF(Main[[#This Row],[مقدار (کیلوگرم)]]&gt;0,Main[[#This Row],[مقدار (کیلوگرم)]],0)</f>
        <v>2215</v>
      </c>
      <c r="K2389" s="6">
        <f>-IF(Main[[#This Row],[مقدار (کیلوگرم)]]&lt;0,Main[[#This Row],[مقدار (کیلوگرم)]],0)</f>
        <v>0</v>
      </c>
      <c r="L23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9" s="7">
        <f>-IF(AND(Main[[#This Row],[مقدار (کیلوگرم)]]&lt;0,Main[[#This Row],[تاريخ میلادی]]&gt;44276),Main[[#This Row],[مقدار (کیلوگرم)]],0)</f>
        <v>0</v>
      </c>
      <c r="N2389" s="6">
        <f ca="1">Main[[#This Row],[بدهکار (کیلوگرم)]]-Main[[#This Row],[بدهی تسویه نشده (کیلوگرم)]]</f>
        <v>0</v>
      </c>
      <c r="O2389" s="6">
        <f ca="1">Main[[#This Row],[تفکیک]]</f>
        <v>0</v>
      </c>
      <c r="P2389" s="6">
        <f ca="1">IF(Main[[#This Row],[تاخیر از سررسید]]&gt;0,Main[[#This Row],[بدهی تسویه نشده (کیلوگرم)]],0)</f>
        <v>0</v>
      </c>
      <c r="Q2389" s="6">
        <f ca="1">IF(Main[[#This Row],[بدهی تسویه نشده (کیلوگرم)]]&gt;0,'گزارش فردی'!$B$7-Main[[#This Row],[تاريخ میلادی]],0)</f>
        <v>0</v>
      </c>
      <c r="R2389" s="6">
        <f ca="1">IF(Main[[#This Row],[بدهی تسویه نشده (کیلوگرم)]]&gt;0,'گزارش فردی'!$B$7-Main[[#This Row],[تاريخ میلادی]]-'گزارش فردی'!$B$8,0)</f>
        <v>0</v>
      </c>
      <c r="S2389" s="6">
        <f ca="1">Main[[#This Row],[روز از ارسال سفارش]]*Main[[#This Row],[بدهی تسویه نشده (کیلوگرم)]]</f>
        <v>0</v>
      </c>
      <c r="T2389" s="6">
        <f ca="1">Main[[#This Row],[بدهی سررسید شده (کیلوگرم)]]*Main[[#This Row],[روز از ارسال سفارش]]</f>
        <v>0</v>
      </c>
      <c r="U2389" s="6">
        <f>-SUBTOTAL(9,INDEX(Main[مقدار (کیلوگرم)],1):Main[[#This Row],[مقدار (کیلوگرم)]])</f>
        <v>30708</v>
      </c>
      <c r="V23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89" s="6">
        <f>Main[[#This Row],[تعداد کل روزهای بدهکار (روز)]]*Main[[#This Row],[مانده در خط کل (کیلوگرم)]]</f>
        <v>30708</v>
      </c>
      <c r="X2389" s="6">
        <f ca="1">-SUBTOTAL(9,INDEX(Main[مقدار تسویه شده (کیلوگرم)],1):Main[[#This Row],[مقدار تسویه شده (کیلوگرم)]])</f>
        <v>25745</v>
      </c>
      <c r="Y2389" s="6">
        <f ca="1">IF(Main[[#This Row],[مانده در خط تسویه شده (کیلوگرم)]]&lt;&gt;0,Main[[#This Row],[تعداد کل روزهای بدهکار (روز)]],0)</f>
        <v>1</v>
      </c>
      <c r="Z2389" s="6">
        <f ca="1">Main[[#This Row],[تعداد روزهای بدهکار تسویه شده (روز)]]*Main[[#This Row],[مانده در خط تسویه شده (کیلوگرم)]]</f>
        <v>25745</v>
      </c>
      <c r="AA2389" s="6">
        <f ca="1">SUBTOTAL(9,INDEX(Main[بدهی تسویه نشده (کیلوگرم)],1):Main[[#This Row],[بدهی تسویه نشده (کیلوگرم)]])</f>
        <v>4963</v>
      </c>
      <c r="AB2389" s="6">
        <f ca="1">IF(Main[[#This Row],[مانده در خط تسویه نشده (کیلوگرم)]]&lt;&gt;0,Main[[#This Row],[تعداد کل روزهای بدهکار (روز)]],0)</f>
        <v>1</v>
      </c>
      <c r="AC2389" s="6">
        <f ca="1">Main[[#This Row],[تعداد روزهای بدهکار  تسویه نشده (روز)]]*Main[[#This Row],[مانده در خط تسویه نشده (کیلوگرم)]]</f>
        <v>4963</v>
      </c>
      <c r="AD2389" s="6">
        <f ca="1">SUBTOTAL(9,INDEX(Main[بدهی سررسید شده (کیلوگرم)],1):Main[[#This Row],[بدهی سررسید شده (کیلوگرم)]])</f>
        <v>4963</v>
      </c>
      <c r="AE2389" s="6">
        <f ca="1">IF(Main[[#This Row],[مانده در خط سررسید شده (کیلوگرم)]]&lt;&gt;0,Main[[#This Row],[تعداد کل روزهای بدهکار (روز)]],0)</f>
        <v>1</v>
      </c>
      <c r="AF2389" s="6">
        <f ca="1">Main[[#This Row],[تعداد روزهای بدهکار سررسید شده (روز)]]*Main[[#This Row],[مانده در خط سررسید شده (کیلوگرم)]]</f>
        <v>4963</v>
      </c>
    </row>
    <row r="2390" spans="1:32" hidden="1" x14ac:dyDescent="0.35">
      <c r="A2390" s="5">
        <f>ROW()-ROW(INDEX(Main[ردیف],1))+1</f>
        <v>2388</v>
      </c>
      <c r="B2390" s="31">
        <f>SUBTOTAL(2,INDEX(Main[ردیف],1):Main[[#This Row],[ردیف]])</f>
        <v>215</v>
      </c>
      <c r="C2390" s="32" t="s">
        <v>797</v>
      </c>
      <c r="D2390" s="32" t="str">
        <f>_xlfn.CONCAT("14",Main[[#This Row],[تاريخ]])</f>
        <v>1400/09/13</v>
      </c>
      <c r="E2390" s="33">
        <v>44534</v>
      </c>
      <c r="F2390" s="32">
        <v>10004</v>
      </c>
      <c r="G2390" s="5" t="str">
        <f>INDEX(customer[عنوان],MATCH(Main[[#This Row],[کد ردیابی]],customer[کد],0))</f>
        <v xml:space="preserve">محمد عباسی </v>
      </c>
      <c r="H2390">
        <v>-1382</v>
      </c>
      <c r="I2390" s="6">
        <f ca="1">-Main[[#This Row],[بدهی تسویه شده (کیلوگرم)]]+Main[[#This Row],[بستانکار (کیلوگرم)]]</f>
        <v>0</v>
      </c>
      <c r="J2390" s="6">
        <f>IF(Main[[#This Row],[مقدار (کیلوگرم)]]&gt;0,Main[[#This Row],[مقدار (کیلوگرم)]],0)</f>
        <v>0</v>
      </c>
      <c r="K2390" s="6">
        <f>-IF(Main[[#This Row],[مقدار (کیلوگرم)]]&lt;0,Main[[#This Row],[مقدار (کیلوگرم)]],0)</f>
        <v>1382</v>
      </c>
      <c r="L23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1382</v>
      </c>
      <c r="M2390" s="7">
        <f>-IF(AND(Main[[#This Row],[مقدار (کیلوگرم)]]&lt;0,Main[[#This Row],[تاريخ میلادی]]&gt;44276),Main[[#This Row],[مقدار (کیلوگرم)]],0)</f>
        <v>1382</v>
      </c>
      <c r="N2390" s="6">
        <f ca="1">Main[[#This Row],[بدهکار (کیلوگرم)]]-Main[[#This Row],[بدهی تسویه نشده (کیلوگرم)]]</f>
        <v>0</v>
      </c>
      <c r="O2390" s="6">
        <f ca="1">Main[[#This Row],[تفکیک]]</f>
        <v>1382</v>
      </c>
      <c r="P2390" s="6">
        <f ca="1">IF(Main[[#This Row],[تاخیر از سررسید]]&gt;0,Main[[#This Row],[بدهی تسویه نشده (کیلوگرم)]],0)</f>
        <v>1382</v>
      </c>
      <c r="Q2390" s="6">
        <f ca="1">IF(Main[[#This Row],[بدهی تسویه نشده (کیلوگرم)]]&gt;0,'گزارش فردی'!$B$7-Main[[#This Row],[تاريخ میلادی]],0)</f>
        <v>928.75374085648218</v>
      </c>
      <c r="R2390" s="6">
        <f ca="1">IF(Main[[#This Row],[بدهی تسویه نشده (کیلوگرم)]]&gt;0,'گزارش فردی'!$B$7-Main[[#This Row],[تاريخ میلادی]]-'گزارش فردی'!$B$8,0)</f>
        <v>913.75374085648218</v>
      </c>
      <c r="S2390" s="6">
        <f ca="1">Main[[#This Row],[روز از ارسال سفارش]]*Main[[#This Row],[بدهی تسویه نشده (کیلوگرم)]]</f>
        <v>1283537.6698636585</v>
      </c>
      <c r="T2390" s="6">
        <f ca="1">Main[[#This Row],[بدهی سررسید شده (کیلوگرم)]]*Main[[#This Row],[روز از ارسال سفارش]]</f>
        <v>1283537.6698636585</v>
      </c>
      <c r="U2390" s="6">
        <f>-SUBTOTAL(9,INDEX(Main[مقدار (کیلوگرم)],1):Main[[#This Row],[مقدار (کیلوگرم)]])</f>
        <v>30708</v>
      </c>
      <c r="V23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0" s="6">
        <f>Main[[#This Row],[تعداد کل روزهای بدهکار (روز)]]*Main[[#This Row],[مانده در خط کل (کیلوگرم)]]</f>
        <v>30708</v>
      </c>
      <c r="X2390" s="6">
        <f ca="1">-SUBTOTAL(9,INDEX(Main[مقدار تسویه شده (کیلوگرم)],1):Main[[#This Row],[مقدار تسویه شده (کیلوگرم)]])</f>
        <v>25745</v>
      </c>
      <c r="Y2390" s="6">
        <f ca="1">IF(Main[[#This Row],[مانده در خط تسویه شده (کیلوگرم)]]&lt;&gt;0,Main[[#This Row],[تعداد کل روزهای بدهکار (روز)]],0)</f>
        <v>1</v>
      </c>
      <c r="Z2390" s="6">
        <f ca="1">Main[[#This Row],[تعداد روزهای بدهکار تسویه شده (روز)]]*Main[[#This Row],[مانده در خط تسویه شده (کیلوگرم)]]</f>
        <v>25745</v>
      </c>
      <c r="AA2390" s="6">
        <f ca="1">SUBTOTAL(9,INDEX(Main[بدهی تسویه نشده (کیلوگرم)],1):Main[[#This Row],[بدهی تسویه نشده (کیلوگرم)]])</f>
        <v>4963</v>
      </c>
      <c r="AB2390" s="6">
        <f ca="1">IF(Main[[#This Row],[مانده در خط تسویه نشده (کیلوگرم)]]&lt;&gt;0,Main[[#This Row],[تعداد کل روزهای بدهکار (روز)]],0)</f>
        <v>1</v>
      </c>
      <c r="AC2390" s="6">
        <f ca="1">Main[[#This Row],[تعداد روزهای بدهکار  تسویه نشده (روز)]]*Main[[#This Row],[مانده در خط تسویه نشده (کیلوگرم)]]</f>
        <v>4963</v>
      </c>
      <c r="AD2390" s="6">
        <f ca="1">SUBTOTAL(9,INDEX(Main[بدهی سررسید شده (کیلوگرم)],1):Main[[#This Row],[بدهی سررسید شده (کیلوگرم)]])</f>
        <v>4963</v>
      </c>
      <c r="AE2390" s="6">
        <f ca="1">IF(Main[[#This Row],[مانده در خط سررسید شده (کیلوگرم)]]&lt;&gt;0,Main[[#This Row],[تعداد کل روزهای بدهکار (روز)]],0)</f>
        <v>1</v>
      </c>
      <c r="AF2390" s="6">
        <f ca="1">Main[[#This Row],[تعداد روزهای بدهکار سررسید شده (روز)]]*Main[[#This Row],[مانده در خط سررسید شده (کیلوگرم)]]</f>
        <v>4963</v>
      </c>
    </row>
    <row r="2391" spans="1:32" hidden="1" x14ac:dyDescent="0.35">
      <c r="A2391" s="5">
        <f>ROW()-ROW(INDEX(Main[ردیف],1))+1</f>
        <v>2389</v>
      </c>
      <c r="B2391" s="31">
        <f>SUBTOTAL(2,INDEX(Main[ردیف],1):Main[[#This Row],[ردیف]])</f>
        <v>215</v>
      </c>
      <c r="C2391" s="32" t="s">
        <v>797</v>
      </c>
      <c r="D2391" s="32" t="str">
        <f>_xlfn.CONCAT("14",Main[[#This Row],[تاريخ]])</f>
        <v>1400/09/13</v>
      </c>
      <c r="E2391" s="33">
        <v>44534</v>
      </c>
      <c r="F2391" s="32">
        <v>10048</v>
      </c>
      <c r="G2391" s="5" t="str">
        <f>INDEX(customer[عنوان],MATCH(Main[[#This Row],[کد ردیابی]],customer[کد],0))</f>
        <v xml:space="preserve">حسام کریمان  </v>
      </c>
      <c r="H2391">
        <v>559</v>
      </c>
      <c r="I2391" s="6">
        <f ca="1">-Main[[#This Row],[بدهی تسویه شده (کیلوگرم)]]+Main[[#This Row],[بستانکار (کیلوگرم)]]</f>
        <v>559</v>
      </c>
      <c r="J2391" s="6">
        <f>IF(Main[[#This Row],[مقدار (کیلوگرم)]]&gt;0,Main[[#This Row],[مقدار (کیلوگرم)]],0)</f>
        <v>559</v>
      </c>
      <c r="K2391" s="6">
        <f>-IF(Main[[#This Row],[مقدار (کیلوگرم)]]&lt;0,Main[[#This Row],[مقدار (کیلوگرم)]],0)</f>
        <v>0</v>
      </c>
      <c r="L23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1" s="7">
        <f>-IF(AND(Main[[#This Row],[مقدار (کیلوگرم)]]&lt;0,Main[[#This Row],[تاريخ میلادی]]&gt;44276),Main[[#This Row],[مقدار (کیلوگرم)]],0)</f>
        <v>0</v>
      </c>
      <c r="N2391" s="6">
        <f ca="1">Main[[#This Row],[بدهکار (کیلوگرم)]]-Main[[#This Row],[بدهی تسویه نشده (کیلوگرم)]]</f>
        <v>0</v>
      </c>
      <c r="O2391" s="6">
        <f ca="1">Main[[#This Row],[تفکیک]]</f>
        <v>0</v>
      </c>
      <c r="P2391" s="6">
        <f ca="1">IF(Main[[#This Row],[تاخیر از سررسید]]&gt;0,Main[[#This Row],[بدهی تسویه نشده (کیلوگرم)]],0)</f>
        <v>0</v>
      </c>
      <c r="Q2391" s="6">
        <f ca="1">IF(Main[[#This Row],[بدهی تسویه نشده (کیلوگرم)]]&gt;0,'گزارش فردی'!$B$7-Main[[#This Row],[تاريخ میلادی]],0)</f>
        <v>0</v>
      </c>
      <c r="R2391" s="6">
        <f ca="1">IF(Main[[#This Row],[بدهی تسویه نشده (کیلوگرم)]]&gt;0,'گزارش فردی'!$B$7-Main[[#This Row],[تاريخ میلادی]]-'گزارش فردی'!$B$8,0)</f>
        <v>0</v>
      </c>
      <c r="S2391" s="6">
        <f ca="1">Main[[#This Row],[روز از ارسال سفارش]]*Main[[#This Row],[بدهی تسویه نشده (کیلوگرم)]]</f>
        <v>0</v>
      </c>
      <c r="T2391" s="6">
        <f ca="1">Main[[#This Row],[بدهی سررسید شده (کیلوگرم)]]*Main[[#This Row],[روز از ارسال سفارش]]</f>
        <v>0</v>
      </c>
      <c r="U2391" s="6">
        <f>-SUBTOTAL(9,INDEX(Main[مقدار (کیلوگرم)],1):Main[[#This Row],[مقدار (کیلوگرم)]])</f>
        <v>30708</v>
      </c>
      <c r="V23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1" s="6">
        <f>Main[[#This Row],[تعداد کل روزهای بدهکار (روز)]]*Main[[#This Row],[مانده در خط کل (کیلوگرم)]]</f>
        <v>30708</v>
      </c>
      <c r="X2391" s="6">
        <f ca="1">-SUBTOTAL(9,INDEX(Main[مقدار تسویه شده (کیلوگرم)],1):Main[[#This Row],[مقدار تسویه شده (کیلوگرم)]])</f>
        <v>25745</v>
      </c>
      <c r="Y2391" s="6">
        <f ca="1">IF(Main[[#This Row],[مانده در خط تسویه شده (کیلوگرم)]]&lt;&gt;0,Main[[#This Row],[تعداد کل روزهای بدهکار (روز)]],0)</f>
        <v>1</v>
      </c>
      <c r="Z2391" s="6">
        <f ca="1">Main[[#This Row],[تعداد روزهای بدهکار تسویه شده (روز)]]*Main[[#This Row],[مانده در خط تسویه شده (کیلوگرم)]]</f>
        <v>25745</v>
      </c>
      <c r="AA2391" s="6">
        <f ca="1">SUBTOTAL(9,INDEX(Main[بدهی تسویه نشده (کیلوگرم)],1):Main[[#This Row],[بدهی تسویه نشده (کیلوگرم)]])</f>
        <v>4963</v>
      </c>
      <c r="AB2391" s="6">
        <f ca="1">IF(Main[[#This Row],[مانده در خط تسویه نشده (کیلوگرم)]]&lt;&gt;0,Main[[#This Row],[تعداد کل روزهای بدهکار (روز)]],0)</f>
        <v>1</v>
      </c>
      <c r="AC2391" s="6">
        <f ca="1">Main[[#This Row],[تعداد روزهای بدهکار  تسویه نشده (روز)]]*Main[[#This Row],[مانده در خط تسویه نشده (کیلوگرم)]]</f>
        <v>4963</v>
      </c>
      <c r="AD2391" s="6">
        <f ca="1">SUBTOTAL(9,INDEX(Main[بدهی سررسید شده (کیلوگرم)],1):Main[[#This Row],[بدهی سررسید شده (کیلوگرم)]])</f>
        <v>4963</v>
      </c>
      <c r="AE2391" s="6">
        <f ca="1">IF(Main[[#This Row],[مانده در خط سررسید شده (کیلوگرم)]]&lt;&gt;0,Main[[#This Row],[تعداد کل روزهای بدهکار (روز)]],0)</f>
        <v>1</v>
      </c>
      <c r="AF2391" s="6">
        <f ca="1">Main[[#This Row],[تعداد روزهای بدهکار سررسید شده (روز)]]*Main[[#This Row],[مانده در خط سررسید شده (کیلوگرم)]]</f>
        <v>4963</v>
      </c>
    </row>
    <row r="2392" spans="1:32" hidden="1" x14ac:dyDescent="0.35">
      <c r="A2392" s="5">
        <f>ROW()-ROW(INDEX(Main[ردیف],1))+1</f>
        <v>2390</v>
      </c>
      <c r="B2392" s="31">
        <f>SUBTOTAL(2,INDEX(Main[ردیف],1):Main[[#This Row],[ردیف]])</f>
        <v>215</v>
      </c>
      <c r="C2392" s="32" t="s">
        <v>797</v>
      </c>
      <c r="D2392" s="32" t="str">
        <f>_xlfn.CONCAT("14",Main[[#This Row],[تاريخ]])</f>
        <v>1400/09/13</v>
      </c>
      <c r="E2392" s="33">
        <v>44534</v>
      </c>
      <c r="F2392" s="32">
        <v>10048</v>
      </c>
      <c r="G2392" s="5" t="str">
        <f>INDEX(customer[عنوان],MATCH(Main[[#This Row],[کد ردیابی]],customer[کد],0))</f>
        <v xml:space="preserve">حسام کریمان  </v>
      </c>
      <c r="H2392">
        <v>-609</v>
      </c>
      <c r="I2392" s="6">
        <f ca="1">-Main[[#This Row],[بدهی تسویه شده (کیلوگرم)]]+Main[[#This Row],[بستانکار (کیلوگرم)]]</f>
        <v>0</v>
      </c>
      <c r="J2392" s="6">
        <f>IF(Main[[#This Row],[مقدار (کیلوگرم)]]&gt;0,Main[[#This Row],[مقدار (کیلوگرم)]],0)</f>
        <v>0</v>
      </c>
      <c r="K2392" s="6">
        <f>-IF(Main[[#This Row],[مقدار (کیلوگرم)]]&lt;0,Main[[#This Row],[مقدار (کیلوگرم)]],0)</f>
        <v>609</v>
      </c>
      <c r="L23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609</v>
      </c>
      <c r="M2392" s="7">
        <f>-IF(AND(Main[[#This Row],[مقدار (کیلوگرم)]]&lt;0,Main[[#This Row],[تاريخ میلادی]]&gt;44276),Main[[#This Row],[مقدار (کیلوگرم)]],0)</f>
        <v>609</v>
      </c>
      <c r="N2392" s="6">
        <f ca="1">Main[[#This Row],[بدهکار (کیلوگرم)]]-Main[[#This Row],[بدهی تسویه نشده (کیلوگرم)]]</f>
        <v>0</v>
      </c>
      <c r="O2392" s="6">
        <f ca="1">Main[[#This Row],[تفکیک]]</f>
        <v>609</v>
      </c>
      <c r="P2392" s="6">
        <f ca="1">IF(Main[[#This Row],[تاخیر از سررسید]]&gt;0,Main[[#This Row],[بدهی تسویه نشده (کیلوگرم)]],0)</f>
        <v>609</v>
      </c>
      <c r="Q2392" s="6">
        <f ca="1">IF(Main[[#This Row],[بدهی تسویه نشده (کیلوگرم)]]&gt;0,'گزارش فردی'!$B$7-Main[[#This Row],[تاريخ میلادی]],0)</f>
        <v>928.75374085648218</v>
      </c>
      <c r="R2392" s="6">
        <f ca="1">IF(Main[[#This Row],[بدهی تسویه نشده (کیلوگرم)]]&gt;0,'گزارش فردی'!$B$7-Main[[#This Row],[تاريخ میلادی]]-'گزارش فردی'!$B$8,0)</f>
        <v>913.75374085648218</v>
      </c>
      <c r="S2392" s="6">
        <f ca="1">Main[[#This Row],[روز از ارسال سفارش]]*Main[[#This Row],[بدهی تسویه نشده (کیلوگرم)]]</f>
        <v>565611.02818159759</v>
      </c>
      <c r="T2392" s="6">
        <f ca="1">Main[[#This Row],[بدهی سررسید شده (کیلوگرم)]]*Main[[#This Row],[روز از ارسال سفارش]]</f>
        <v>565611.02818159759</v>
      </c>
      <c r="U2392" s="6">
        <f>-SUBTOTAL(9,INDEX(Main[مقدار (کیلوگرم)],1):Main[[#This Row],[مقدار (کیلوگرم)]])</f>
        <v>30708</v>
      </c>
      <c r="V23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2" s="6">
        <f>Main[[#This Row],[تعداد کل روزهای بدهکار (روز)]]*Main[[#This Row],[مانده در خط کل (کیلوگرم)]]</f>
        <v>30708</v>
      </c>
      <c r="X2392" s="6">
        <f ca="1">-SUBTOTAL(9,INDEX(Main[مقدار تسویه شده (کیلوگرم)],1):Main[[#This Row],[مقدار تسویه شده (کیلوگرم)]])</f>
        <v>25745</v>
      </c>
      <c r="Y2392" s="6">
        <f ca="1">IF(Main[[#This Row],[مانده در خط تسویه شده (کیلوگرم)]]&lt;&gt;0,Main[[#This Row],[تعداد کل روزهای بدهکار (روز)]],0)</f>
        <v>1</v>
      </c>
      <c r="Z2392" s="6">
        <f ca="1">Main[[#This Row],[تعداد روزهای بدهکار تسویه شده (روز)]]*Main[[#This Row],[مانده در خط تسویه شده (کیلوگرم)]]</f>
        <v>25745</v>
      </c>
      <c r="AA2392" s="6">
        <f ca="1">SUBTOTAL(9,INDEX(Main[بدهی تسویه نشده (کیلوگرم)],1):Main[[#This Row],[بدهی تسویه نشده (کیلوگرم)]])</f>
        <v>4963</v>
      </c>
      <c r="AB2392" s="6">
        <f ca="1">IF(Main[[#This Row],[مانده در خط تسویه نشده (کیلوگرم)]]&lt;&gt;0,Main[[#This Row],[تعداد کل روزهای بدهکار (روز)]],0)</f>
        <v>1</v>
      </c>
      <c r="AC2392" s="6">
        <f ca="1">Main[[#This Row],[تعداد روزهای بدهکار  تسویه نشده (روز)]]*Main[[#This Row],[مانده در خط تسویه نشده (کیلوگرم)]]</f>
        <v>4963</v>
      </c>
      <c r="AD2392" s="6">
        <f ca="1">SUBTOTAL(9,INDEX(Main[بدهی سررسید شده (کیلوگرم)],1):Main[[#This Row],[بدهی سررسید شده (کیلوگرم)]])</f>
        <v>4963</v>
      </c>
      <c r="AE2392" s="6">
        <f ca="1">IF(Main[[#This Row],[مانده در خط سررسید شده (کیلوگرم)]]&lt;&gt;0,Main[[#This Row],[تعداد کل روزهای بدهکار (روز)]],0)</f>
        <v>1</v>
      </c>
      <c r="AF2392" s="6">
        <f ca="1">Main[[#This Row],[تعداد روزهای بدهکار سررسید شده (روز)]]*Main[[#This Row],[مانده در خط سررسید شده (کیلوگرم)]]</f>
        <v>4963</v>
      </c>
    </row>
    <row r="2393" spans="1:32" hidden="1" x14ac:dyDescent="0.35">
      <c r="A2393" s="5">
        <f>ROW()-ROW(INDEX(Main[ردیف],1))+1</f>
        <v>2391</v>
      </c>
      <c r="B2393" s="31">
        <f>SUBTOTAL(2,INDEX(Main[ردیف],1):Main[[#This Row],[ردیف]])</f>
        <v>215</v>
      </c>
      <c r="C2393" s="32" t="s">
        <v>797</v>
      </c>
      <c r="D2393" s="32" t="str">
        <f>_xlfn.CONCAT("14",Main[[#This Row],[تاريخ]])</f>
        <v>1400/09/13</v>
      </c>
      <c r="E2393" s="33">
        <v>44534</v>
      </c>
      <c r="F2393" s="32">
        <v>10004</v>
      </c>
      <c r="G2393" s="5" t="str">
        <f>INDEX(customer[عنوان],MATCH(Main[[#This Row],[کد ردیابی]],customer[کد],0))</f>
        <v xml:space="preserve">محمد عباسی </v>
      </c>
      <c r="H2393">
        <v>121</v>
      </c>
      <c r="I2393" s="6">
        <f ca="1">-Main[[#This Row],[بدهی تسویه شده (کیلوگرم)]]+Main[[#This Row],[بستانکار (کیلوگرم)]]</f>
        <v>121</v>
      </c>
      <c r="J2393" s="6">
        <f>IF(Main[[#This Row],[مقدار (کیلوگرم)]]&gt;0,Main[[#This Row],[مقدار (کیلوگرم)]],0)</f>
        <v>121</v>
      </c>
      <c r="K2393" s="6">
        <f>-IF(Main[[#This Row],[مقدار (کیلوگرم)]]&lt;0,Main[[#This Row],[مقدار (کیلوگرم)]],0)</f>
        <v>0</v>
      </c>
      <c r="L23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3" s="7">
        <f>-IF(AND(Main[[#This Row],[مقدار (کیلوگرم)]]&lt;0,Main[[#This Row],[تاريخ میلادی]]&gt;44276),Main[[#This Row],[مقدار (کیلوگرم)]],0)</f>
        <v>0</v>
      </c>
      <c r="N2393" s="6">
        <f ca="1">Main[[#This Row],[بدهکار (کیلوگرم)]]-Main[[#This Row],[بدهی تسویه نشده (کیلوگرم)]]</f>
        <v>0</v>
      </c>
      <c r="O2393" s="6">
        <f ca="1">Main[[#This Row],[تفکیک]]</f>
        <v>0</v>
      </c>
      <c r="P2393" s="6">
        <f ca="1">IF(Main[[#This Row],[تاخیر از سررسید]]&gt;0,Main[[#This Row],[بدهی تسویه نشده (کیلوگرم)]],0)</f>
        <v>0</v>
      </c>
      <c r="Q2393" s="6">
        <f ca="1">IF(Main[[#This Row],[بدهی تسویه نشده (کیلوگرم)]]&gt;0,'گزارش فردی'!$B$7-Main[[#This Row],[تاريخ میلادی]],0)</f>
        <v>0</v>
      </c>
      <c r="R2393" s="6">
        <f ca="1">IF(Main[[#This Row],[بدهی تسویه نشده (کیلوگرم)]]&gt;0,'گزارش فردی'!$B$7-Main[[#This Row],[تاريخ میلادی]]-'گزارش فردی'!$B$8,0)</f>
        <v>0</v>
      </c>
      <c r="S2393" s="6">
        <f ca="1">Main[[#This Row],[روز از ارسال سفارش]]*Main[[#This Row],[بدهی تسویه نشده (کیلوگرم)]]</f>
        <v>0</v>
      </c>
      <c r="T2393" s="6">
        <f ca="1">Main[[#This Row],[بدهی سررسید شده (کیلوگرم)]]*Main[[#This Row],[روز از ارسال سفارش]]</f>
        <v>0</v>
      </c>
      <c r="U2393" s="6">
        <f>-SUBTOTAL(9,INDEX(Main[مقدار (کیلوگرم)],1):Main[[#This Row],[مقدار (کیلوگرم)]])</f>
        <v>30708</v>
      </c>
      <c r="V23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3" s="6">
        <f>Main[[#This Row],[تعداد کل روزهای بدهکار (روز)]]*Main[[#This Row],[مانده در خط کل (کیلوگرم)]]</f>
        <v>30708</v>
      </c>
      <c r="X2393" s="6">
        <f ca="1">-SUBTOTAL(9,INDEX(Main[مقدار تسویه شده (کیلوگرم)],1):Main[[#This Row],[مقدار تسویه شده (کیلوگرم)]])</f>
        <v>25745</v>
      </c>
      <c r="Y2393" s="6">
        <f ca="1">IF(Main[[#This Row],[مانده در خط تسویه شده (کیلوگرم)]]&lt;&gt;0,Main[[#This Row],[تعداد کل روزهای بدهکار (روز)]],0)</f>
        <v>1</v>
      </c>
      <c r="Z2393" s="6">
        <f ca="1">Main[[#This Row],[تعداد روزهای بدهکار تسویه شده (روز)]]*Main[[#This Row],[مانده در خط تسویه شده (کیلوگرم)]]</f>
        <v>25745</v>
      </c>
      <c r="AA2393" s="6">
        <f ca="1">SUBTOTAL(9,INDEX(Main[بدهی تسویه نشده (کیلوگرم)],1):Main[[#This Row],[بدهی تسویه نشده (کیلوگرم)]])</f>
        <v>4963</v>
      </c>
      <c r="AB2393" s="6">
        <f ca="1">IF(Main[[#This Row],[مانده در خط تسویه نشده (کیلوگرم)]]&lt;&gt;0,Main[[#This Row],[تعداد کل روزهای بدهکار (روز)]],0)</f>
        <v>1</v>
      </c>
      <c r="AC2393" s="6">
        <f ca="1">Main[[#This Row],[تعداد روزهای بدهکار  تسویه نشده (روز)]]*Main[[#This Row],[مانده در خط تسویه نشده (کیلوگرم)]]</f>
        <v>4963</v>
      </c>
      <c r="AD2393" s="6">
        <f ca="1">SUBTOTAL(9,INDEX(Main[بدهی سررسید شده (کیلوگرم)],1):Main[[#This Row],[بدهی سررسید شده (کیلوگرم)]])</f>
        <v>4963</v>
      </c>
      <c r="AE2393" s="6">
        <f ca="1">IF(Main[[#This Row],[مانده در خط سررسید شده (کیلوگرم)]]&lt;&gt;0,Main[[#This Row],[تعداد کل روزهای بدهکار (روز)]],0)</f>
        <v>1</v>
      </c>
      <c r="AF2393" s="6">
        <f ca="1">Main[[#This Row],[تعداد روزهای بدهکار سررسید شده (روز)]]*Main[[#This Row],[مانده در خط سررسید شده (کیلوگرم)]]</f>
        <v>4963</v>
      </c>
    </row>
    <row r="2394" spans="1:32" hidden="1" x14ac:dyDescent="0.35">
      <c r="A2394" s="5">
        <f>ROW()-ROW(INDEX(Main[ردیف],1))+1</f>
        <v>2392</v>
      </c>
      <c r="B2394" s="31">
        <f>SUBTOTAL(2,INDEX(Main[ردیف],1):Main[[#This Row],[ردیف]])</f>
        <v>215</v>
      </c>
      <c r="C2394" s="32" t="s">
        <v>797</v>
      </c>
      <c r="D2394" s="32" t="str">
        <f>_xlfn.CONCAT("14",Main[[#This Row],[تاريخ]])</f>
        <v>1400/09/13</v>
      </c>
      <c r="E2394" s="33">
        <v>44534</v>
      </c>
      <c r="F2394" s="32">
        <v>10055</v>
      </c>
      <c r="G2394" s="5" t="str">
        <f>INDEX(customer[عنوان],MATCH(Main[[#This Row],[کد ردیابی]],customer[کد],0))</f>
        <v xml:space="preserve">مریم فیض آبادی  </v>
      </c>
      <c r="H2394">
        <v>-5038</v>
      </c>
      <c r="I2394" s="6">
        <f ca="1">-Main[[#This Row],[بدهی تسویه شده (کیلوگرم)]]+Main[[#This Row],[بستانکار (کیلوگرم)]]</f>
        <v>0</v>
      </c>
      <c r="J2394" s="6">
        <f>IF(Main[[#This Row],[مقدار (کیلوگرم)]]&gt;0,Main[[#This Row],[مقدار (کیلوگرم)]],0)</f>
        <v>0</v>
      </c>
      <c r="K2394" s="6">
        <f>-IF(Main[[#This Row],[مقدار (کیلوگرم)]]&lt;0,Main[[#This Row],[مقدار (کیلوگرم)]],0)</f>
        <v>5038</v>
      </c>
      <c r="L23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5038</v>
      </c>
      <c r="M2394" s="7">
        <f>-IF(AND(Main[[#This Row],[مقدار (کیلوگرم)]]&lt;0,Main[[#This Row],[تاريخ میلادی]]&gt;44276),Main[[#This Row],[مقدار (کیلوگرم)]],0)</f>
        <v>5038</v>
      </c>
      <c r="N2394" s="6">
        <f ca="1">Main[[#This Row],[بدهکار (کیلوگرم)]]-Main[[#This Row],[بدهی تسویه نشده (کیلوگرم)]]</f>
        <v>0</v>
      </c>
      <c r="O2394" s="6">
        <f ca="1">Main[[#This Row],[تفکیک]]</f>
        <v>5038</v>
      </c>
      <c r="P2394" s="6">
        <f ca="1">IF(Main[[#This Row],[تاخیر از سررسید]]&gt;0,Main[[#This Row],[بدهی تسویه نشده (کیلوگرم)]],0)</f>
        <v>5038</v>
      </c>
      <c r="Q2394" s="6">
        <f ca="1">IF(Main[[#This Row],[بدهی تسویه نشده (کیلوگرم)]]&gt;0,'گزارش فردی'!$B$7-Main[[#This Row],[تاريخ میلادی]],0)</f>
        <v>928.75374085648218</v>
      </c>
      <c r="R2394" s="6">
        <f ca="1">IF(Main[[#This Row],[بدهی تسویه نشده (کیلوگرم)]]&gt;0,'گزارش فردی'!$B$7-Main[[#This Row],[تاريخ میلادی]]-'گزارش فردی'!$B$8,0)</f>
        <v>913.75374085648218</v>
      </c>
      <c r="S2394" s="6">
        <f ca="1">Main[[#This Row],[روز از ارسال سفارش]]*Main[[#This Row],[بدهی تسویه نشده (کیلوگرم)]]</f>
        <v>4679061.3464349573</v>
      </c>
      <c r="T2394" s="6">
        <f ca="1">Main[[#This Row],[بدهی سررسید شده (کیلوگرم)]]*Main[[#This Row],[روز از ارسال سفارش]]</f>
        <v>4679061.3464349573</v>
      </c>
      <c r="U2394" s="6">
        <f>-SUBTOTAL(9,INDEX(Main[مقدار (کیلوگرم)],1):Main[[#This Row],[مقدار (کیلوگرم)]])</f>
        <v>30708</v>
      </c>
      <c r="V23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4" s="6">
        <f>Main[[#This Row],[تعداد کل روزهای بدهکار (روز)]]*Main[[#This Row],[مانده در خط کل (کیلوگرم)]]</f>
        <v>30708</v>
      </c>
      <c r="X2394" s="6">
        <f ca="1">-SUBTOTAL(9,INDEX(Main[مقدار تسویه شده (کیلوگرم)],1):Main[[#This Row],[مقدار تسویه شده (کیلوگرم)]])</f>
        <v>25745</v>
      </c>
      <c r="Y2394" s="6">
        <f ca="1">IF(Main[[#This Row],[مانده در خط تسویه شده (کیلوگرم)]]&lt;&gt;0,Main[[#This Row],[تعداد کل روزهای بدهکار (روز)]],0)</f>
        <v>1</v>
      </c>
      <c r="Z2394" s="6">
        <f ca="1">Main[[#This Row],[تعداد روزهای بدهکار تسویه شده (روز)]]*Main[[#This Row],[مانده در خط تسویه شده (کیلوگرم)]]</f>
        <v>25745</v>
      </c>
      <c r="AA2394" s="6">
        <f ca="1">SUBTOTAL(9,INDEX(Main[بدهی تسویه نشده (کیلوگرم)],1):Main[[#This Row],[بدهی تسویه نشده (کیلوگرم)]])</f>
        <v>4963</v>
      </c>
      <c r="AB2394" s="6">
        <f ca="1">IF(Main[[#This Row],[مانده در خط تسویه نشده (کیلوگرم)]]&lt;&gt;0,Main[[#This Row],[تعداد کل روزهای بدهکار (روز)]],0)</f>
        <v>1</v>
      </c>
      <c r="AC2394" s="6">
        <f ca="1">Main[[#This Row],[تعداد روزهای بدهکار  تسویه نشده (روز)]]*Main[[#This Row],[مانده در خط تسویه نشده (کیلوگرم)]]</f>
        <v>4963</v>
      </c>
      <c r="AD2394" s="6">
        <f ca="1">SUBTOTAL(9,INDEX(Main[بدهی سررسید شده (کیلوگرم)],1):Main[[#This Row],[بدهی سررسید شده (کیلوگرم)]])</f>
        <v>4963</v>
      </c>
      <c r="AE2394" s="6">
        <f ca="1">IF(Main[[#This Row],[مانده در خط سررسید شده (کیلوگرم)]]&lt;&gt;0,Main[[#This Row],[تعداد کل روزهای بدهکار (روز)]],0)</f>
        <v>1</v>
      </c>
      <c r="AF2394" s="6">
        <f ca="1">Main[[#This Row],[تعداد روزهای بدهکار سررسید شده (روز)]]*Main[[#This Row],[مانده در خط سررسید شده (کیلوگرم)]]</f>
        <v>4963</v>
      </c>
    </row>
    <row r="2395" spans="1:32" hidden="1" x14ac:dyDescent="0.35">
      <c r="A2395" s="5">
        <f>ROW()-ROW(INDEX(Main[ردیف],1))+1</f>
        <v>2393</v>
      </c>
      <c r="B2395" s="31">
        <f>SUBTOTAL(2,INDEX(Main[ردیف],1):Main[[#This Row],[ردیف]])</f>
        <v>215</v>
      </c>
      <c r="C2395" s="32" t="s">
        <v>798</v>
      </c>
      <c r="D2395" s="32" t="str">
        <f>_xlfn.CONCAT("14",Main[[#This Row],[تاريخ]])</f>
        <v>1400/09/14</v>
      </c>
      <c r="E2395" s="33">
        <v>44535</v>
      </c>
      <c r="F2395" s="32">
        <v>30146</v>
      </c>
      <c r="G2395" s="5" t="str">
        <f>INDEX(customer[عنوان],MATCH(Main[[#This Row],[کد ردیابی]],customer[کد],0))</f>
        <v>شرکت آذرپاد</v>
      </c>
      <c r="H2395">
        <v>3050</v>
      </c>
      <c r="I2395" s="6">
        <f ca="1">-Main[[#This Row],[بدهی تسویه شده (کیلوگرم)]]+Main[[#This Row],[بستانکار (کیلوگرم)]]</f>
        <v>3050</v>
      </c>
      <c r="J2395" s="6">
        <f>IF(Main[[#This Row],[مقدار (کیلوگرم)]]&gt;0,Main[[#This Row],[مقدار (کیلوگرم)]],0)</f>
        <v>3050</v>
      </c>
      <c r="K2395" s="6">
        <f>-IF(Main[[#This Row],[مقدار (کیلوگرم)]]&lt;0,Main[[#This Row],[مقدار (کیلوگرم)]],0)</f>
        <v>0</v>
      </c>
      <c r="L23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5" s="7">
        <f>-IF(AND(Main[[#This Row],[مقدار (کیلوگرم)]]&lt;0,Main[[#This Row],[تاريخ میلادی]]&gt;44276),Main[[#This Row],[مقدار (کیلوگرم)]],0)</f>
        <v>0</v>
      </c>
      <c r="N2395" s="6">
        <f ca="1">Main[[#This Row],[بدهکار (کیلوگرم)]]-Main[[#This Row],[بدهی تسویه نشده (کیلوگرم)]]</f>
        <v>0</v>
      </c>
      <c r="O2395" s="6">
        <f ca="1">Main[[#This Row],[تفکیک]]</f>
        <v>0</v>
      </c>
      <c r="P2395" s="6">
        <f ca="1">IF(Main[[#This Row],[تاخیر از سررسید]]&gt;0,Main[[#This Row],[بدهی تسویه نشده (کیلوگرم)]],0)</f>
        <v>0</v>
      </c>
      <c r="Q2395" s="6">
        <f ca="1">IF(Main[[#This Row],[بدهی تسویه نشده (کیلوگرم)]]&gt;0,'گزارش فردی'!$B$7-Main[[#This Row],[تاريخ میلادی]],0)</f>
        <v>0</v>
      </c>
      <c r="R2395" s="6">
        <f ca="1">IF(Main[[#This Row],[بدهی تسویه نشده (کیلوگرم)]]&gt;0,'گزارش فردی'!$B$7-Main[[#This Row],[تاريخ میلادی]]-'گزارش فردی'!$B$8,0)</f>
        <v>0</v>
      </c>
      <c r="S2395" s="6">
        <f ca="1">Main[[#This Row],[روز از ارسال سفارش]]*Main[[#This Row],[بدهی تسویه نشده (کیلوگرم)]]</f>
        <v>0</v>
      </c>
      <c r="T2395" s="6">
        <f ca="1">Main[[#This Row],[بدهی سررسید شده (کیلوگرم)]]*Main[[#This Row],[روز از ارسال سفارش]]</f>
        <v>0</v>
      </c>
      <c r="U2395" s="6">
        <f>-SUBTOTAL(9,INDEX(Main[مقدار (کیلوگرم)],1):Main[[#This Row],[مقدار (کیلوگرم)]])</f>
        <v>30708</v>
      </c>
      <c r="V23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5" s="6">
        <f>Main[[#This Row],[تعداد کل روزهای بدهکار (روز)]]*Main[[#This Row],[مانده در خط کل (کیلوگرم)]]</f>
        <v>0</v>
      </c>
      <c r="X2395" s="6">
        <f ca="1">-SUBTOTAL(9,INDEX(Main[مقدار تسویه شده (کیلوگرم)],1):Main[[#This Row],[مقدار تسویه شده (کیلوگرم)]])</f>
        <v>25745</v>
      </c>
      <c r="Y2395" s="6">
        <f ca="1">IF(Main[[#This Row],[مانده در خط تسویه شده (کیلوگرم)]]&lt;&gt;0,Main[[#This Row],[تعداد کل روزهای بدهکار (روز)]],0)</f>
        <v>0</v>
      </c>
      <c r="Z2395" s="6">
        <f ca="1">Main[[#This Row],[تعداد روزهای بدهکار تسویه شده (روز)]]*Main[[#This Row],[مانده در خط تسویه شده (کیلوگرم)]]</f>
        <v>0</v>
      </c>
      <c r="AA2395" s="6">
        <f ca="1">SUBTOTAL(9,INDEX(Main[بدهی تسویه نشده (کیلوگرم)],1):Main[[#This Row],[بدهی تسویه نشده (کیلوگرم)]])</f>
        <v>4963</v>
      </c>
      <c r="AB2395" s="6">
        <f ca="1">IF(Main[[#This Row],[مانده در خط تسویه نشده (کیلوگرم)]]&lt;&gt;0,Main[[#This Row],[تعداد کل روزهای بدهکار (روز)]],0)</f>
        <v>0</v>
      </c>
      <c r="AC2395" s="6">
        <f ca="1">Main[[#This Row],[تعداد روزهای بدهکار  تسویه نشده (روز)]]*Main[[#This Row],[مانده در خط تسویه نشده (کیلوگرم)]]</f>
        <v>0</v>
      </c>
      <c r="AD2395" s="6">
        <f ca="1">SUBTOTAL(9,INDEX(Main[بدهی سررسید شده (کیلوگرم)],1):Main[[#This Row],[بدهی سررسید شده (کیلوگرم)]])</f>
        <v>4963</v>
      </c>
      <c r="AE2395" s="6">
        <f ca="1">IF(Main[[#This Row],[مانده در خط سررسید شده (کیلوگرم)]]&lt;&gt;0,Main[[#This Row],[تعداد کل روزهای بدهکار (روز)]],0)</f>
        <v>0</v>
      </c>
      <c r="AF2395" s="6">
        <f ca="1">Main[[#This Row],[تعداد روزهای بدهکار سررسید شده (روز)]]*Main[[#This Row],[مانده در خط سررسید شده (کیلوگرم)]]</f>
        <v>0</v>
      </c>
    </row>
    <row r="2396" spans="1:32" hidden="1" x14ac:dyDescent="0.35">
      <c r="A2396" s="5">
        <f>ROW()-ROW(INDEX(Main[ردیف],1))+1</f>
        <v>2394</v>
      </c>
      <c r="B2396" s="31">
        <f>SUBTOTAL(2,INDEX(Main[ردیف],1):Main[[#This Row],[ردیف]])</f>
        <v>215</v>
      </c>
      <c r="C2396" s="32" t="s">
        <v>798</v>
      </c>
      <c r="D2396" s="32" t="str">
        <f>_xlfn.CONCAT("14",Main[[#This Row],[تاريخ]])</f>
        <v>1400/09/14</v>
      </c>
      <c r="E2396" s="33">
        <v>44535</v>
      </c>
      <c r="F2396" s="32">
        <v>30081</v>
      </c>
      <c r="G2396" s="5" t="str">
        <f>INDEX(customer[عنوان],MATCH(Main[[#This Row],[کد ردیابی]],customer[کد],0))</f>
        <v xml:space="preserve">شیرآلات بهداشتی راسان </v>
      </c>
      <c r="H2396">
        <v>-2173</v>
      </c>
      <c r="I2396" s="6">
        <f ca="1">-Main[[#This Row],[بدهی تسویه شده (کیلوگرم)]]+Main[[#This Row],[بستانکار (کیلوگرم)]]</f>
        <v>0</v>
      </c>
      <c r="J2396" s="6">
        <f>IF(Main[[#This Row],[مقدار (کیلوگرم)]]&gt;0,Main[[#This Row],[مقدار (کیلوگرم)]],0)</f>
        <v>0</v>
      </c>
      <c r="K2396" s="6">
        <f>-IF(Main[[#This Row],[مقدار (کیلوگرم)]]&lt;0,Main[[#This Row],[مقدار (کیلوگرم)]],0)</f>
        <v>2173</v>
      </c>
      <c r="L23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2173</v>
      </c>
      <c r="M2396" s="7">
        <f>-IF(AND(Main[[#This Row],[مقدار (کیلوگرم)]]&lt;0,Main[[#This Row],[تاريخ میلادی]]&gt;44276),Main[[#This Row],[مقدار (کیلوگرم)]],0)</f>
        <v>2173</v>
      </c>
      <c r="N2396" s="6">
        <f ca="1">Main[[#This Row],[بدهکار (کیلوگرم)]]-Main[[#This Row],[بدهی تسویه نشده (کیلوگرم)]]</f>
        <v>0</v>
      </c>
      <c r="O2396" s="6">
        <f ca="1">Main[[#This Row],[تفکیک]]</f>
        <v>2173</v>
      </c>
      <c r="P2396" s="6">
        <f ca="1">IF(Main[[#This Row],[تاخیر از سررسید]]&gt;0,Main[[#This Row],[بدهی تسویه نشده (کیلوگرم)]],0)</f>
        <v>2173</v>
      </c>
      <c r="Q2396" s="6">
        <f ca="1">IF(Main[[#This Row],[بدهی تسویه نشده (کیلوگرم)]]&gt;0,'گزارش فردی'!$B$7-Main[[#This Row],[تاريخ میلادی]],0)</f>
        <v>927.75374085648218</v>
      </c>
      <c r="R2396" s="6">
        <f ca="1">IF(Main[[#This Row],[بدهی تسویه نشده (کیلوگرم)]]&gt;0,'گزارش فردی'!$B$7-Main[[#This Row],[تاريخ میلادی]]-'گزارش فردی'!$B$8,0)</f>
        <v>912.75374085648218</v>
      </c>
      <c r="S2396" s="6">
        <f ca="1">Main[[#This Row],[روز از ارسال سفارش]]*Main[[#This Row],[بدهی تسویه نشده (کیلوگرم)]]</f>
        <v>2016008.8788811357</v>
      </c>
      <c r="T2396" s="6">
        <f ca="1">Main[[#This Row],[بدهی سررسید شده (کیلوگرم)]]*Main[[#This Row],[روز از ارسال سفارش]]</f>
        <v>2016008.8788811357</v>
      </c>
      <c r="U2396" s="6">
        <f>-SUBTOTAL(9,INDEX(Main[مقدار (کیلوگرم)],1):Main[[#This Row],[مقدار (کیلوگرم)]])</f>
        <v>30708</v>
      </c>
      <c r="V23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6" s="6">
        <f>Main[[#This Row],[تعداد کل روزهای بدهکار (روز)]]*Main[[#This Row],[مانده در خط کل (کیلوگرم)]]</f>
        <v>0</v>
      </c>
      <c r="X2396" s="6">
        <f ca="1">-SUBTOTAL(9,INDEX(Main[مقدار تسویه شده (کیلوگرم)],1):Main[[#This Row],[مقدار تسویه شده (کیلوگرم)]])</f>
        <v>25745</v>
      </c>
      <c r="Y2396" s="6">
        <f ca="1">IF(Main[[#This Row],[مانده در خط تسویه شده (کیلوگرم)]]&lt;&gt;0,Main[[#This Row],[تعداد کل روزهای بدهکار (روز)]],0)</f>
        <v>0</v>
      </c>
      <c r="Z2396" s="6">
        <f ca="1">Main[[#This Row],[تعداد روزهای بدهکار تسویه شده (روز)]]*Main[[#This Row],[مانده در خط تسویه شده (کیلوگرم)]]</f>
        <v>0</v>
      </c>
      <c r="AA2396" s="6">
        <f ca="1">SUBTOTAL(9,INDEX(Main[بدهی تسویه نشده (کیلوگرم)],1):Main[[#This Row],[بدهی تسویه نشده (کیلوگرم)]])</f>
        <v>4963</v>
      </c>
      <c r="AB2396" s="6">
        <f ca="1">IF(Main[[#This Row],[مانده در خط تسویه نشده (کیلوگرم)]]&lt;&gt;0,Main[[#This Row],[تعداد کل روزهای بدهکار (روز)]],0)</f>
        <v>0</v>
      </c>
      <c r="AC2396" s="6">
        <f ca="1">Main[[#This Row],[تعداد روزهای بدهکار  تسویه نشده (روز)]]*Main[[#This Row],[مانده در خط تسویه نشده (کیلوگرم)]]</f>
        <v>0</v>
      </c>
      <c r="AD2396" s="6">
        <f ca="1">SUBTOTAL(9,INDEX(Main[بدهی سررسید شده (کیلوگرم)],1):Main[[#This Row],[بدهی سررسید شده (کیلوگرم)]])</f>
        <v>4963</v>
      </c>
      <c r="AE2396" s="6">
        <f ca="1">IF(Main[[#This Row],[مانده در خط سررسید شده (کیلوگرم)]]&lt;&gt;0,Main[[#This Row],[تعداد کل روزهای بدهکار (روز)]],0)</f>
        <v>0</v>
      </c>
      <c r="AF2396" s="6">
        <f ca="1">Main[[#This Row],[تعداد روزهای بدهکار سررسید شده (روز)]]*Main[[#This Row],[مانده در خط سررسید شده (کیلوگرم)]]</f>
        <v>0</v>
      </c>
    </row>
    <row r="2397" spans="1:32" hidden="1" x14ac:dyDescent="0.35">
      <c r="A2397" s="5">
        <f>ROW()-ROW(INDEX(Main[ردیف],1))+1</f>
        <v>2395</v>
      </c>
      <c r="B2397" s="31">
        <f>SUBTOTAL(2,INDEX(Main[ردیف],1):Main[[#This Row],[ردیف]])</f>
        <v>215</v>
      </c>
      <c r="C2397" s="32" t="s">
        <v>798</v>
      </c>
      <c r="D2397" s="32" t="str">
        <f>_xlfn.CONCAT("14",Main[[#This Row],[تاريخ]])</f>
        <v>1400/09/14</v>
      </c>
      <c r="E2397" s="33">
        <v>44535</v>
      </c>
      <c r="F2397" s="32">
        <v>30003</v>
      </c>
      <c r="G2397" s="5" t="str">
        <f>INDEX(customer[عنوان],MATCH(Main[[#This Row],[کد ردیابی]],customer[کد],0))</f>
        <v xml:space="preserve">شهاب گاز سوز </v>
      </c>
      <c r="H2397">
        <v>400</v>
      </c>
      <c r="I2397" s="6">
        <f ca="1">-Main[[#This Row],[بدهی تسویه شده (کیلوگرم)]]+Main[[#This Row],[بستانکار (کیلوگرم)]]</f>
        <v>400</v>
      </c>
      <c r="J2397" s="6">
        <f>IF(Main[[#This Row],[مقدار (کیلوگرم)]]&gt;0,Main[[#This Row],[مقدار (کیلوگرم)]],0)</f>
        <v>400</v>
      </c>
      <c r="K2397" s="6">
        <f>-IF(Main[[#This Row],[مقدار (کیلوگرم)]]&lt;0,Main[[#This Row],[مقدار (کیلوگرم)]],0)</f>
        <v>0</v>
      </c>
      <c r="L23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7" s="7">
        <f>-IF(AND(Main[[#This Row],[مقدار (کیلوگرم)]]&lt;0,Main[[#This Row],[تاريخ میلادی]]&gt;44276),Main[[#This Row],[مقدار (کیلوگرم)]],0)</f>
        <v>0</v>
      </c>
      <c r="N2397" s="6">
        <f ca="1">Main[[#This Row],[بدهکار (کیلوگرم)]]-Main[[#This Row],[بدهی تسویه نشده (کیلوگرم)]]</f>
        <v>0</v>
      </c>
      <c r="O2397" s="6">
        <f ca="1">Main[[#This Row],[تفکیک]]</f>
        <v>0</v>
      </c>
      <c r="P2397" s="6">
        <f ca="1">IF(Main[[#This Row],[تاخیر از سررسید]]&gt;0,Main[[#This Row],[بدهی تسویه نشده (کیلوگرم)]],0)</f>
        <v>0</v>
      </c>
      <c r="Q2397" s="6">
        <f ca="1">IF(Main[[#This Row],[بدهی تسویه نشده (کیلوگرم)]]&gt;0,'گزارش فردی'!$B$7-Main[[#This Row],[تاريخ میلادی]],0)</f>
        <v>0</v>
      </c>
      <c r="R2397" s="6">
        <f ca="1">IF(Main[[#This Row],[بدهی تسویه نشده (کیلوگرم)]]&gt;0,'گزارش فردی'!$B$7-Main[[#This Row],[تاريخ میلادی]]-'گزارش فردی'!$B$8,0)</f>
        <v>0</v>
      </c>
      <c r="S2397" s="6">
        <f ca="1">Main[[#This Row],[روز از ارسال سفارش]]*Main[[#This Row],[بدهی تسویه نشده (کیلوگرم)]]</f>
        <v>0</v>
      </c>
      <c r="T2397" s="6">
        <f ca="1">Main[[#This Row],[بدهی سررسید شده (کیلوگرم)]]*Main[[#This Row],[روز از ارسال سفارش]]</f>
        <v>0</v>
      </c>
      <c r="U2397" s="6">
        <f>-SUBTOTAL(9,INDEX(Main[مقدار (کیلوگرم)],1):Main[[#This Row],[مقدار (کیلوگرم)]])</f>
        <v>30708</v>
      </c>
      <c r="V23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7" s="6">
        <f>Main[[#This Row],[تعداد کل روزهای بدهکار (روز)]]*Main[[#This Row],[مانده در خط کل (کیلوگرم)]]</f>
        <v>0</v>
      </c>
      <c r="X2397" s="6">
        <f ca="1">-SUBTOTAL(9,INDEX(Main[مقدار تسویه شده (کیلوگرم)],1):Main[[#This Row],[مقدار تسویه شده (کیلوگرم)]])</f>
        <v>25745</v>
      </c>
      <c r="Y2397" s="6">
        <f ca="1">IF(Main[[#This Row],[مانده در خط تسویه شده (کیلوگرم)]]&lt;&gt;0,Main[[#This Row],[تعداد کل روزهای بدهکار (روز)]],0)</f>
        <v>0</v>
      </c>
      <c r="Z2397" s="6">
        <f ca="1">Main[[#This Row],[تعداد روزهای بدهکار تسویه شده (روز)]]*Main[[#This Row],[مانده در خط تسویه شده (کیلوگرم)]]</f>
        <v>0</v>
      </c>
      <c r="AA2397" s="6">
        <f ca="1">SUBTOTAL(9,INDEX(Main[بدهی تسویه نشده (کیلوگرم)],1):Main[[#This Row],[بدهی تسویه نشده (کیلوگرم)]])</f>
        <v>4963</v>
      </c>
      <c r="AB2397" s="6">
        <f ca="1">IF(Main[[#This Row],[مانده در خط تسویه نشده (کیلوگرم)]]&lt;&gt;0,Main[[#This Row],[تعداد کل روزهای بدهکار (روز)]],0)</f>
        <v>0</v>
      </c>
      <c r="AC2397" s="6">
        <f ca="1">Main[[#This Row],[تعداد روزهای بدهکار  تسویه نشده (روز)]]*Main[[#This Row],[مانده در خط تسویه نشده (کیلوگرم)]]</f>
        <v>0</v>
      </c>
      <c r="AD2397" s="6">
        <f ca="1">SUBTOTAL(9,INDEX(Main[بدهی سررسید شده (کیلوگرم)],1):Main[[#This Row],[بدهی سررسید شده (کیلوگرم)]])</f>
        <v>4963</v>
      </c>
      <c r="AE2397" s="6">
        <f ca="1">IF(Main[[#This Row],[مانده در خط سررسید شده (کیلوگرم)]]&lt;&gt;0,Main[[#This Row],[تعداد کل روزهای بدهکار (روز)]],0)</f>
        <v>0</v>
      </c>
      <c r="AF2397" s="6">
        <f ca="1">Main[[#This Row],[تعداد روزهای بدهکار سررسید شده (روز)]]*Main[[#This Row],[مانده در خط سررسید شده (کیلوگرم)]]</f>
        <v>0</v>
      </c>
    </row>
    <row r="2398" spans="1:32" hidden="1" x14ac:dyDescent="0.35">
      <c r="A2398" s="5">
        <f>ROW()-ROW(INDEX(Main[ردیف],1))+1</f>
        <v>2396</v>
      </c>
      <c r="B2398" s="31">
        <f>SUBTOTAL(2,INDEX(Main[ردیف],1):Main[[#This Row],[ردیف]])</f>
        <v>215</v>
      </c>
      <c r="C2398" s="32" t="s">
        <v>798</v>
      </c>
      <c r="D2398" s="32" t="str">
        <f>_xlfn.CONCAT("14",Main[[#This Row],[تاريخ]])</f>
        <v>1400/09/14</v>
      </c>
      <c r="E2398" s="33">
        <v>44535</v>
      </c>
      <c r="F2398" s="32">
        <v>30034</v>
      </c>
      <c r="G2398" s="5" t="str">
        <f>INDEX(customer[عنوان],MATCH(Main[[#This Row],[کد ردیابی]],customer[کد],0))</f>
        <v xml:space="preserve">پیک افروز </v>
      </c>
      <c r="H2398">
        <v>-2006</v>
      </c>
      <c r="I2398" s="6">
        <f ca="1">-Main[[#This Row],[بدهی تسویه شده (کیلوگرم)]]+Main[[#This Row],[بستانکار (کیلوگرم)]]</f>
        <v>0</v>
      </c>
      <c r="J2398" s="6">
        <f>IF(Main[[#This Row],[مقدار (کیلوگرم)]]&gt;0,Main[[#This Row],[مقدار (کیلوگرم)]],0)</f>
        <v>0</v>
      </c>
      <c r="K2398" s="6">
        <f>-IF(Main[[#This Row],[مقدار (کیلوگرم)]]&lt;0,Main[[#This Row],[مقدار (کیلوگرم)]],0)</f>
        <v>2006</v>
      </c>
      <c r="L23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2006</v>
      </c>
      <c r="M2398" s="7">
        <f>-IF(AND(Main[[#This Row],[مقدار (کیلوگرم)]]&lt;0,Main[[#This Row],[تاريخ میلادی]]&gt;44276),Main[[#This Row],[مقدار (کیلوگرم)]],0)</f>
        <v>2006</v>
      </c>
      <c r="N2398" s="6">
        <f ca="1">Main[[#This Row],[بدهکار (کیلوگرم)]]-Main[[#This Row],[بدهی تسویه نشده (کیلوگرم)]]</f>
        <v>0</v>
      </c>
      <c r="O2398" s="6">
        <f ca="1">Main[[#This Row],[تفکیک]]</f>
        <v>2006</v>
      </c>
      <c r="P2398" s="6">
        <f ca="1">IF(Main[[#This Row],[تاخیر از سررسید]]&gt;0,Main[[#This Row],[بدهی تسویه نشده (کیلوگرم)]],0)</f>
        <v>2006</v>
      </c>
      <c r="Q2398" s="6">
        <f ca="1">IF(Main[[#This Row],[بدهی تسویه نشده (کیلوگرم)]]&gt;0,'گزارش فردی'!$B$7-Main[[#This Row],[تاريخ میلادی]],0)</f>
        <v>927.75374085648218</v>
      </c>
      <c r="R2398" s="6">
        <f ca="1">IF(Main[[#This Row],[بدهی تسویه نشده (کیلوگرم)]]&gt;0,'گزارش فردی'!$B$7-Main[[#This Row],[تاريخ میلادی]]-'گزارش فردی'!$B$8,0)</f>
        <v>912.75374085648218</v>
      </c>
      <c r="S2398" s="6">
        <f ca="1">Main[[#This Row],[روز از ارسال سفارش]]*Main[[#This Row],[بدهی تسویه نشده (کیلوگرم)]]</f>
        <v>1861074.0041581034</v>
      </c>
      <c r="T2398" s="6">
        <f ca="1">Main[[#This Row],[بدهی سررسید شده (کیلوگرم)]]*Main[[#This Row],[روز از ارسال سفارش]]</f>
        <v>1861074.0041581034</v>
      </c>
      <c r="U2398" s="6">
        <f>-SUBTOTAL(9,INDEX(Main[مقدار (کیلوگرم)],1):Main[[#This Row],[مقدار (کیلوگرم)]])</f>
        <v>30708</v>
      </c>
      <c r="V23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8" s="6">
        <f>Main[[#This Row],[تعداد کل روزهای بدهکار (روز)]]*Main[[#This Row],[مانده در خط کل (کیلوگرم)]]</f>
        <v>0</v>
      </c>
      <c r="X2398" s="6">
        <f ca="1">-SUBTOTAL(9,INDEX(Main[مقدار تسویه شده (کیلوگرم)],1):Main[[#This Row],[مقدار تسویه شده (کیلوگرم)]])</f>
        <v>25745</v>
      </c>
      <c r="Y2398" s="6">
        <f ca="1">IF(Main[[#This Row],[مانده در خط تسویه شده (کیلوگرم)]]&lt;&gt;0,Main[[#This Row],[تعداد کل روزهای بدهکار (روز)]],0)</f>
        <v>0</v>
      </c>
      <c r="Z2398" s="6">
        <f ca="1">Main[[#This Row],[تعداد روزهای بدهکار تسویه شده (روز)]]*Main[[#This Row],[مانده در خط تسویه شده (کیلوگرم)]]</f>
        <v>0</v>
      </c>
      <c r="AA2398" s="6">
        <f ca="1">SUBTOTAL(9,INDEX(Main[بدهی تسویه نشده (کیلوگرم)],1):Main[[#This Row],[بدهی تسویه نشده (کیلوگرم)]])</f>
        <v>4963</v>
      </c>
      <c r="AB2398" s="6">
        <f ca="1">IF(Main[[#This Row],[مانده در خط تسویه نشده (کیلوگرم)]]&lt;&gt;0,Main[[#This Row],[تعداد کل روزهای بدهکار (روز)]],0)</f>
        <v>0</v>
      </c>
      <c r="AC2398" s="6">
        <f ca="1">Main[[#This Row],[تعداد روزهای بدهکار  تسویه نشده (روز)]]*Main[[#This Row],[مانده در خط تسویه نشده (کیلوگرم)]]</f>
        <v>0</v>
      </c>
      <c r="AD2398" s="6">
        <f ca="1">SUBTOTAL(9,INDEX(Main[بدهی سررسید شده (کیلوگرم)],1):Main[[#This Row],[بدهی سررسید شده (کیلوگرم)]])</f>
        <v>4963</v>
      </c>
      <c r="AE2398" s="6">
        <f ca="1">IF(Main[[#This Row],[مانده در خط سررسید شده (کیلوگرم)]]&lt;&gt;0,Main[[#This Row],[تعداد کل روزهای بدهکار (روز)]],0)</f>
        <v>0</v>
      </c>
      <c r="AF2398" s="6">
        <f ca="1">Main[[#This Row],[تعداد روزهای بدهکار سررسید شده (روز)]]*Main[[#This Row],[مانده در خط سررسید شده (کیلوگرم)]]</f>
        <v>0</v>
      </c>
    </row>
    <row r="2399" spans="1:32" hidden="1" x14ac:dyDescent="0.35">
      <c r="A2399" s="5">
        <f>ROW()-ROW(INDEX(Main[ردیف],1))+1</f>
        <v>2397</v>
      </c>
      <c r="B2399" s="31">
        <f>SUBTOTAL(2,INDEX(Main[ردیف],1):Main[[#This Row],[ردیف]])</f>
        <v>215</v>
      </c>
      <c r="C2399" s="32" t="s">
        <v>798</v>
      </c>
      <c r="D2399" s="32" t="str">
        <f>_xlfn.CONCAT("14",Main[[#This Row],[تاريخ]])</f>
        <v>1400/09/14</v>
      </c>
      <c r="E2399" s="33">
        <v>44535</v>
      </c>
      <c r="F2399" s="32">
        <v>10009</v>
      </c>
      <c r="G2399" s="5" t="str">
        <f>INDEX(customer[عنوان],MATCH(Main[[#This Row],[کد ردیابی]],customer[کد],0))</f>
        <v>محمد نمازی</v>
      </c>
      <c r="H2399">
        <v>260</v>
      </c>
      <c r="I2399" s="6">
        <f ca="1">-Main[[#This Row],[بدهی تسویه شده (کیلوگرم)]]+Main[[#This Row],[بستانکار (کیلوگرم)]]</f>
        <v>260</v>
      </c>
      <c r="J2399" s="6">
        <f>IF(Main[[#This Row],[مقدار (کیلوگرم)]]&gt;0,Main[[#This Row],[مقدار (کیلوگرم)]],0)</f>
        <v>260</v>
      </c>
      <c r="K2399" s="6">
        <f>-IF(Main[[#This Row],[مقدار (کیلوگرم)]]&lt;0,Main[[#This Row],[مقدار (کیلوگرم)]],0)</f>
        <v>0</v>
      </c>
      <c r="L23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9" s="7">
        <f>-IF(AND(Main[[#This Row],[مقدار (کیلوگرم)]]&lt;0,Main[[#This Row],[تاريخ میلادی]]&gt;44276),Main[[#This Row],[مقدار (کیلوگرم)]],0)</f>
        <v>0</v>
      </c>
      <c r="N2399" s="6">
        <f ca="1">Main[[#This Row],[بدهکار (کیلوگرم)]]-Main[[#This Row],[بدهی تسویه نشده (کیلوگرم)]]</f>
        <v>0</v>
      </c>
      <c r="O2399" s="6">
        <f ca="1">Main[[#This Row],[تفکیک]]</f>
        <v>0</v>
      </c>
      <c r="P2399" s="6">
        <f ca="1">IF(Main[[#This Row],[تاخیر از سررسید]]&gt;0,Main[[#This Row],[بدهی تسویه نشده (کیلوگرم)]],0)</f>
        <v>0</v>
      </c>
      <c r="Q2399" s="6">
        <f ca="1">IF(Main[[#This Row],[بدهی تسویه نشده (کیلوگرم)]]&gt;0,'گزارش فردی'!$B$7-Main[[#This Row],[تاريخ میلادی]],0)</f>
        <v>0</v>
      </c>
      <c r="R2399" s="6">
        <f ca="1">IF(Main[[#This Row],[بدهی تسویه نشده (کیلوگرم)]]&gt;0,'گزارش فردی'!$B$7-Main[[#This Row],[تاريخ میلادی]]-'گزارش فردی'!$B$8,0)</f>
        <v>0</v>
      </c>
      <c r="S2399" s="6">
        <f ca="1">Main[[#This Row],[روز از ارسال سفارش]]*Main[[#This Row],[بدهی تسویه نشده (کیلوگرم)]]</f>
        <v>0</v>
      </c>
      <c r="T2399" s="6">
        <f ca="1">Main[[#This Row],[بدهی سررسید شده (کیلوگرم)]]*Main[[#This Row],[روز از ارسال سفارش]]</f>
        <v>0</v>
      </c>
      <c r="U2399" s="6">
        <f>-SUBTOTAL(9,INDEX(Main[مقدار (کیلوگرم)],1):Main[[#This Row],[مقدار (کیلوگرم)]])</f>
        <v>30708</v>
      </c>
      <c r="V23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9" s="6">
        <f>Main[[#This Row],[تعداد کل روزهای بدهکار (روز)]]*Main[[#This Row],[مانده در خط کل (کیلوگرم)]]</f>
        <v>0</v>
      </c>
      <c r="X2399" s="6">
        <f ca="1">-SUBTOTAL(9,INDEX(Main[مقدار تسویه شده (کیلوگرم)],1):Main[[#This Row],[مقدار تسویه شده (کیلوگرم)]])</f>
        <v>25745</v>
      </c>
      <c r="Y2399" s="6">
        <f ca="1">IF(Main[[#This Row],[مانده در خط تسویه شده (کیلوگرم)]]&lt;&gt;0,Main[[#This Row],[تعداد کل روزهای بدهکار (روز)]],0)</f>
        <v>0</v>
      </c>
      <c r="Z2399" s="6">
        <f ca="1">Main[[#This Row],[تعداد روزهای بدهکار تسویه شده (روز)]]*Main[[#This Row],[مانده در خط تسویه شده (کیلوگرم)]]</f>
        <v>0</v>
      </c>
      <c r="AA2399" s="6">
        <f ca="1">SUBTOTAL(9,INDEX(Main[بدهی تسویه نشده (کیلوگرم)],1):Main[[#This Row],[بدهی تسویه نشده (کیلوگرم)]])</f>
        <v>4963</v>
      </c>
      <c r="AB2399" s="6">
        <f ca="1">IF(Main[[#This Row],[مانده در خط تسویه نشده (کیلوگرم)]]&lt;&gt;0,Main[[#This Row],[تعداد کل روزهای بدهکار (روز)]],0)</f>
        <v>0</v>
      </c>
      <c r="AC2399" s="6">
        <f ca="1">Main[[#This Row],[تعداد روزهای بدهکار  تسویه نشده (روز)]]*Main[[#This Row],[مانده در خط تسویه نشده (کیلوگرم)]]</f>
        <v>0</v>
      </c>
      <c r="AD2399" s="6">
        <f ca="1">SUBTOTAL(9,INDEX(Main[بدهی سررسید شده (کیلوگرم)],1):Main[[#This Row],[بدهی سررسید شده (کیلوگرم)]])</f>
        <v>4963</v>
      </c>
      <c r="AE2399" s="6">
        <f ca="1">IF(Main[[#This Row],[مانده در خط سررسید شده (کیلوگرم)]]&lt;&gt;0,Main[[#This Row],[تعداد کل روزهای بدهکار (روز)]],0)</f>
        <v>0</v>
      </c>
      <c r="AF2399" s="6">
        <f ca="1">Main[[#This Row],[تعداد روزهای بدهکار سررسید شده (روز)]]*Main[[#This Row],[مانده در خط سررسید شده (کیلوگرم)]]</f>
        <v>0</v>
      </c>
    </row>
    <row r="2400" spans="1:32" hidden="1" x14ac:dyDescent="0.35">
      <c r="A2400" s="5">
        <f>ROW()-ROW(INDEX(Main[ردیف],1))+1</f>
        <v>2398</v>
      </c>
      <c r="B2400" s="31">
        <f>SUBTOTAL(2,INDEX(Main[ردیف],1):Main[[#This Row],[ردیف]])</f>
        <v>215</v>
      </c>
      <c r="C2400" s="32" t="s">
        <v>798</v>
      </c>
      <c r="D2400" s="32" t="str">
        <f>_xlfn.CONCAT("14",Main[[#This Row],[تاريخ]])</f>
        <v>1400/09/14</v>
      </c>
      <c r="E2400" s="33">
        <v>44535</v>
      </c>
      <c r="F2400" s="32">
        <v>30186</v>
      </c>
      <c r="G2400" s="5" t="str">
        <f>INDEX(customer[عنوان],MATCH(Main[[#This Row],[کد ردیابی]],customer[کد],0))</f>
        <v>سارا گاز</v>
      </c>
      <c r="H2400">
        <v>-3273</v>
      </c>
      <c r="I2400" s="6">
        <f ca="1">-Main[[#This Row],[بدهی تسویه شده (کیلوگرم)]]+Main[[#This Row],[بستانکار (کیلوگرم)]]</f>
        <v>0</v>
      </c>
      <c r="J2400" s="6">
        <f>IF(Main[[#This Row],[مقدار (کیلوگرم)]]&gt;0,Main[[#This Row],[مقدار (کیلوگرم)]],0)</f>
        <v>0</v>
      </c>
      <c r="K2400" s="6">
        <f>-IF(Main[[#This Row],[مقدار (کیلوگرم)]]&lt;0,Main[[#This Row],[مقدار (کیلوگرم)]],0)</f>
        <v>3273</v>
      </c>
      <c r="L24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3273</v>
      </c>
      <c r="M2400" s="7">
        <f>-IF(AND(Main[[#This Row],[مقدار (کیلوگرم)]]&lt;0,Main[[#This Row],[تاريخ میلادی]]&gt;44276),Main[[#This Row],[مقدار (کیلوگرم)]],0)</f>
        <v>3273</v>
      </c>
      <c r="N2400" s="6">
        <f ca="1">Main[[#This Row],[بدهکار (کیلوگرم)]]-Main[[#This Row],[بدهی تسویه نشده (کیلوگرم)]]</f>
        <v>0</v>
      </c>
      <c r="O2400" s="6">
        <f ca="1">Main[[#This Row],[تفکیک]]</f>
        <v>3273</v>
      </c>
      <c r="P2400" s="6">
        <f ca="1">IF(Main[[#This Row],[تاخیر از سررسید]]&gt;0,Main[[#This Row],[بدهی تسویه نشده (کیلوگرم)]],0)</f>
        <v>3273</v>
      </c>
      <c r="Q2400" s="6">
        <f ca="1">IF(Main[[#This Row],[بدهی تسویه نشده (کیلوگرم)]]&gt;0,'گزارش فردی'!$B$7-Main[[#This Row],[تاريخ میلادی]],0)</f>
        <v>927.75374085648218</v>
      </c>
      <c r="R2400" s="6">
        <f ca="1">IF(Main[[#This Row],[بدهی تسویه نشده (کیلوگرم)]]&gt;0,'گزارش فردی'!$B$7-Main[[#This Row],[تاريخ میلادی]]-'گزارش فردی'!$B$8,0)</f>
        <v>912.75374085648218</v>
      </c>
      <c r="S2400" s="6">
        <f ca="1">Main[[#This Row],[روز از ارسال سفارش]]*Main[[#This Row],[بدهی تسویه نشده (کیلوگرم)]]</f>
        <v>3036537.9938232661</v>
      </c>
      <c r="T2400" s="6">
        <f ca="1">Main[[#This Row],[بدهی سررسید شده (کیلوگرم)]]*Main[[#This Row],[روز از ارسال سفارش]]</f>
        <v>3036537.9938232661</v>
      </c>
      <c r="U2400" s="6">
        <f>-SUBTOTAL(9,INDEX(Main[مقدار (کیلوگرم)],1):Main[[#This Row],[مقدار (کیلوگرم)]])</f>
        <v>30708</v>
      </c>
      <c r="V24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0" s="6">
        <f>Main[[#This Row],[تعداد کل روزهای بدهکار (روز)]]*Main[[#This Row],[مانده در خط کل (کیلوگرم)]]</f>
        <v>0</v>
      </c>
      <c r="X2400" s="6">
        <f ca="1">-SUBTOTAL(9,INDEX(Main[مقدار تسویه شده (کیلوگرم)],1):Main[[#This Row],[مقدار تسویه شده (کیلوگرم)]])</f>
        <v>25745</v>
      </c>
      <c r="Y2400" s="6">
        <f ca="1">IF(Main[[#This Row],[مانده در خط تسویه شده (کیلوگرم)]]&lt;&gt;0,Main[[#This Row],[تعداد کل روزهای بدهکار (روز)]],0)</f>
        <v>0</v>
      </c>
      <c r="Z2400" s="6">
        <f ca="1">Main[[#This Row],[تعداد روزهای بدهکار تسویه شده (روز)]]*Main[[#This Row],[مانده در خط تسویه شده (کیلوگرم)]]</f>
        <v>0</v>
      </c>
      <c r="AA2400" s="6">
        <f ca="1">SUBTOTAL(9,INDEX(Main[بدهی تسویه نشده (کیلوگرم)],1):Main[[#This Row],[بدهی تسویه نشده (کیلوگرم)]])</f>
        <v>4963</v>
      </c>
      <c r="AB2400" s="6">
        <f ca="1">IF(Main[[#This Row],[مانده در خط تسویه نشده (کیلوگرم)]]&lt;&gt;0,Main[[#This Row],[تعداد کل روزهای بدهکار (روز)]],0)</f>
        <v>0</v>
      </c>
      <c r="AC2400" s="6">
        <f ca="1">Main[[#This Row],[تعداد روزهای بدهکار  تسویه نشده (روز)]]*Main[[#This Row],[مانده در خط تسویه نشده (کیلوگرم)]]</f>
        <v>0</v>
      </c>
      <c r="AD2400" s="6">
        <f ca="1">SUBTOTAL(9,INDEX(Main[بدهی سررسید شده (کیلوگرم)],1):Main[[#This Row],[بدهی سررسید شده (کیلوگرم)]])</f>
        <v>4963</v>
      </c>
      <c r="AE2400" s="6">
        <f ca="1">IF(Main[[#This Row],[مانده در خط سررسید شده (کیلوگرم)]]&lt;&gt;0,Main[[#This Row],[تعداد کل روزهای بدهکار (روز)]],0)</f>
        <v>0</v>
      </c>
      <c r="AF2400" s="6">
        <f ca="1">Main[[#This Row],[تعداد روزهای بدهکار سررسید شده (روز)]]*Main[[#This Row],[مانده در خط سررسید شده (کیلوگرم)]]</f>
        <v>0</v>
      </c>
    </row>
    <row r="2401" spans="1:32" x14ac:dyDescent="0.35">
      <c r="A2401" s="5">
        <f>ROW()-ROW(INDEX(Main[ردیف],1))+1</f>
        <v>2399</v>
      </c>
      <c r="B2401" s="31">
        <f>SUBTOTAL(2,INDEX(Main[ردیف],1):Main[[#This Row],[ردیف]])</f>
        <v>216</v>
      </c>
      <c r="C2401" s="32" t="s">
        <v>798</v>
      </c>
      <c r="D2401" s="32" t="str">
        <f>_xlfn.CONCAT("14",Main[[#This Row],[تاريخ]])</f>
        <v>1400/09/14</v>
      </c>
      <c r="E2401" s="33">
        <v>44535</v>
      </c>
      <c r="F2401" s="32">
        <v>10003</v>
      </c>
      <c r="G2401" s="5" t="str">
        <f>INDEX(customer[عنوان],MATCH(Main[[#This Row],[کد ردیابی]],customer[کد],0))</f>
        <v>اصغر نورعلی</v>
      </c>
      <c r="H2401">
        <v>1926</v>
      </c>
      <c r="I2401" s="6">
        <f ca="1">-Main[[#This Row],[بدهی تسویه شده (کیلوگرم)]]+Main[[#This Row],[بستانکار (کیلوگرم)]]</f>
        <v>1926</v>
      </c>
      <c r="J2401" s="6">
        <f>IF(Main[[#This Row],[مقدار (کیلوگرم)]]&gt;0,Main[[#This Row],[مقدار (کیلوگرم)]],0)</f>
        <v>1926</v>
      </c>
      <c r="K2401" s="6">
        <f>-IF(Main[[#This Row],[مقدار (کیلوگرم)]]&lt;0,Main[[#This Row],[مقدار (کیلوگرم)]],0)</f>
        <v>0</v>
      </c>
      <c r="L24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1" s="7">
        <f>-IF(AND(Main[[#This Row],[مقدار (کیلوگرم)]]&lt;0,Main[[#This Row],[تاريخ میلادی]]&gt;44276),Main[[#This Row],[مقدار (کیلوگرم)]],0)</f>
        <v>0</v>
      </c>
      <c r="N2401" s="6">
        <f ca="1">Main[[#This Row],[بدهکار (کیلوگرم)]]-Main[[#This Row],[بدهی تسویه نشده (کیلوگرم)]]</f>
        <v>0</v>
      </c>
      <c r="O2401" s="6">
        <f ca="1">Main[[#This Row],[تفکیک]]</f>
        <v>0</v>
      </c>
      <c r="P2401" s="6">
        <f ca="1">IF(Main[[#This Row],[تاخیر از سررسید]]&gt;0,Main[[#This Row],[بدهی تسویه نشده (کیلوگرم)]],0)</f>
        <v>0</v>
      </c>
      <c r="Q2401" s="6">
        <f ca="1">IF(Main[[#This Row],[بدهی تسویه نشده (کیلوگرم)]]&gt;0,'گزارش فردی'!$B$7-Main[[#This Row],[تاريخ میلادی]],0)</f>
        <v>0</v>
      </c>
      <c r="R2401" s="6">
        <f ca="1">IF(Main[[#This Row],[بدهی تسویه نشده (کیلوگرم)]]&gt;0,'گزارش فردی'!$B$7-Main[[#This Row],[تاريخ میلادی]]-'گزارش فردی'!$B$8,0)</f>
        <v>0</v>
      </c>
      <c r="S2401" s="6">
        <f ca="1">Main[[#This Row],[روز از ارسال سفارش]]*Main[[#This Row],[بدهی تسویه نشده (کیلوگرم)]]</f>
        <v>0</v>
      </c>
      <c r="T2401" s="6">
        <f ca="1">Main[[#This Row],[بدهی سررسید شده (کیلوگرم)]]*Main[[#This Row],[روز از ارسال سفارش]]</f>
        <v>0</v>
      </c>
      <c r="U2401" s="6">
        <f>-SUBTOTAL(9,INDEX(Main[مقدار (کیلوگرم)],1):Main[[#This Row],[مقدار (کیلوگرم)]])</f>
        <v>28782</v>
      </c>
      <c r="V24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1" s="6">
        <f>Main[[#This Row],[تعداد کل روزهای بدهکار (روز)]]*Main[[#This Row],[مانده در خط کل (کیلوگرم)]]</f>
        <v>0</v>
      </c>
      <c r="X2401" s="6">
        <f ca="1">-SUBTOTAL(9,INDEX(Main[مقدار تسویه شده (کیلوگرم)],1):Main[[#This Row],[مقدار تسویه شده (کیلوگرم)]])</f>
        <v>23819</v>
      </c>
      <c r="Y2401" s="6">
        <f ca="1">IF(Main[[#This Row],[مانده در خط تسویه شده (کیلوگرم)]]&lt;&gt;0,Main[[#This Row],[تعداد کل روزهای بدهکار (روز)]],0)</f>
        <v>0</v>
      </c>
      <c r="Z2401" s="6">
        <f ca="1">Main[[#This Row],[تعداد روزهای بدهکار تسویه شده (روز)]]*Main[[#This Row],[مانده در خط تسویه شده (کیلوگرم)]]</f>
        <v>0</v>
      </c>
      <c r="AA2401" s="6">
        <f ca="1">SUBTOTAL(9,INDEX(Main[بدهی تسویه نشده (کیلوگرم)],1):Main[[#This Row],[بدهی تسویه نشده (کیلوگرم)]])</f>
        <v>4963</v>
      </c>
      <c r="AB2401" s="6">
        <f ca="1">IF(Main[[#This Row],[مانده در خط تسویه نشده (کیلوگرم)]]&lt;&gt;0,Main[[#This Row],[تعداد کل روزهای بدهکار (روز)]],0)</f>
        <v>0</v>
      </c>
      <c r="AC2401" s="6">
        <f ca="1">Main[[#This Row],[تعداد روزهای بدهکار  تسویه نشده (روز)]]*Main[[#This Row],[مانده در خط تسویه نشده (کیلوگرم)]]</f>
        <v>0</v>
      </c>
      <c r="AD2401" s="6">
        <f ca="1">SUBTOTAL(9,INDEX(Main[بدهی سررسید شده (کیلوگرم)],1):Main[[#This Row],[بدهی سررسید شده (کیلوگرم)]])</f>
        <v>4963</v>
      </c>
      <c r="AE2401" s="6">
        <f ca="1">IF(Main[[#This Row],[مانده در خط سررسید شده (کیلوگرم)]]&lt;&gt;0,Main[[#This Row],[تعداد کل روزهای بدهکار (روز)]],0)</f>
        <v>0</v>
      </c>
      <c r="AF2401" s="6">
        <f ca="1">Main[[#This Row],[تعداد روزهای بدهکار سررسید شده (روز)]]*Main[[#This Row],[مانده در خط سررسید شده (کیلوگرم)]]</f>
        <v>0</v>
      </c>
    </row>
    <row r="2402" spans="1:32" x14ac:dyDescent="0.35">
      <c r="A2402" s="5">
        <f>ROW()-ROW(INDEX(Main[ردیف],1))+1</f>
        <v>2400</v>
      </c>
      <c r="B2402" s="31">
        <f>SUBTOTAL(2,INDEX(Main[ردیف],1):Main[[#This Row],[ردیف]])</f>
        <v>217</v>
      </c>
      <c r="C2402" s="32" t="s">
        <v>798</v>
      </c>
      <c r="D2402" s="32" t="str">
        <f>_xlfn.CONCAT("14",Main[[#This Row],[تاريخ]])</f>
        <v>1400/09/14</v>
      </c>
      <c r="E2402" s="33">
        <v>44535</v>
      </c>
      <c r="F2402" s="32">
        <v>10003</v>
      </c>
      <c r="G2402" s="5" t="str">
        <f>INDEX(customer[عنوان],MATCH(Main[[#This Row],[کد ردیابی]],customer[کد],0))</f>
        <v>اصغر نورعلی</v>
      </c>
      <c r="H2402">
        <v>-2941</v>
      </c>
      <c r="I2402" s="6">
        <f ca="1">-Main[[#This Row],[بدهی تسویه شده (کیلوگرم)]]+Main[[#This Row],[بستانکار (کیلوگرم)]]</f>
        <v>0</v>
      </c>
      <c r="J2402" s="6">
        <f>IF(Main[[#This Row],[مقدار (کیلوگرم)]]&gt;0,Main[[#This Row],[مقدار (کیلوگرم)]],0)</f>
        <v>0</v>
      </c>
      <c r="K2402" s="6">
        <f>-IF(Main[[#This Row],[مقدار (کیلوگرم)]]&lt;0,Main[[#This Row],[مقدار (کیلوگرم)]],0)</f>
        <v>2941</v>
      </c>
      <c r="L24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2941</v>
      </c>
      <c r="M2402" s="7">
        <f>-IF(AND(Main[[#This Row],[مقدار (کیلوگرم)]]&lt;0,Main[[#This Row],[تاريخ میلادی]]&gt;44276),Main[[#This Row],[مقدار (کیلوگرم)]],0)</f>
        <v>2941</v>
      </c>
      <c r="N2402" s="6">
        <f ca="1">Main[[#This Row],[بدهکار (کیلوگرم)]]-Main[[#This Row],[بدهی تسویه نشده (کیلوگرم)]]</f>
        <v>0</v>
      </c>
      <c r="O2402" s="6">
        <f ca="1">Main[[#This Row],[تفکیک]]</f>
        <v>2941</v>
      </c>
      <c r="P2402" s="6">
        <f ca="1">IF(Main[[#This Row],[تاخیر از سررسید]]&gt;0,Main[[#This Row],[بدهی تسویه نشده (کیلوگرم)]],0)</f>
        <v>2941</v>
      </c>
      <c r="Q2402" s="6">
        <f ca="1">IF(Main[[#This Row],[بدهی تسویه نشده (کیلوگرم)]]&gt;0,'گزارش فردی'!$B$7-Main[[#This Row],[تاريخ میلادی]],0)</f>
        <v>927.75374085648218</v>
      </c>
      <c r="R2402" s="6">
        <f ca="1">IF(Main[[#This Row],[بدهی تسویه نشده (کیلوگرم)]]&gt;0,'گزارش فردی'!$B$7-Main[[#This Row],[تاريخ میلادی]]-'گزارش فردی'!$B$8,0)</f>
        <v>912.75374085648218</v>
      </c>
      <c r="S2402" s="6">
        <f ca="1">Main[[#This Row],[روز از ارسال سفارش]]*Main[[#This Row],[بدهی تسویه نشده (کیلوگرم)]]</f>
        <v>2728523.7518589143</v>
      </c>
      <c r="T2402" s="6">
        <f ca="1">Main[[#This Row],[بدهی سررسید شده (کیلوگرم)]]*Main[[#This Row],[روز از ارسال سفارش]]</f>
        <v>2728523.7518589143</v>
      </c>
      <c r="U2402" s="6">
        <f>-SUBTOTAL(9,INDEX(Main[مقدار (کیلوگرم)],1):Main[[#This Row],[مقدار (کیلوگرم)]])</f>
        <v>31723</v>
      </c>
      <c r="V24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2" s="6">
        <f>Main[[#This Row],[تعداد کل روزهای بدهکار (روز)]]*Main[[#This Row],[مانده در خط کل (کیلوگرم)]]</f>
        <v>0</v>
      </c>
      <c r="X2402" s="6">
        <f ca="1">-SUBTOTAL(9,INDEX(Main[مقدار تسویه شده (کیلوگرم)],1):Main[[#This Row],[مقدار تسویه شده (کیلوگرم)]])</f>
        <v>23819</v>
      </c>
      <c r="Y2402" s="6">
        <f ca="1">IF(Main[[#This Row],[مانده در خط تسویه شده (کیلوگرم)]]&lt;&gt;0,Main[[#This Row],[تعداد کل روزهای بدهکار (روز)]],0)</f>
        <v>0</v>
      </c>
      <c r="Z2402" s="6">
        <f ca="1">Main[[#This Row],[تعداد روزهای بدهکار تسویه شده (روز)]]*Main[[#This Row],[مانده در خط تسویه شده (کیلوگرم)]]</f>
        <v>0</v>
      </c>
      <c r="AA2402" s="6">
        <f ca="1">SUBTOTAL(9,INDEX(Main[بدهی تسویه نشده (کیلوگرم)],1):Main[[#This Row],[بدهی تسویه نشده (کیلوگرم)]])</f>
        <v>7904</v>
      </c>
      <c r="AB2402" s="6">
        <f ca="1">IF(Main[[#This Row],[مانده در خط تسویه نشده (کیلوگرم)]]&lt;&gt;0,Main[[#This Row],[تعداد کل روزهای بدهکار (روز)]],0)</f>
        <v>0</v>
      </c>
      <c r="AC2402" s="6">
        <f ca="1">Main[[#This Row],[تعداد روزهای بدهکار  تسویه نشده (روز)]]*Main[[#This Row],[مانده در خط تسویه نشده (کیلوگرم)]]</f>
        <v>0</v>
      </c>
      <c r="AD2402" s="6">
        <f ca="1">SUBTOTAL(9,INDEX(Main[بدهی سررسید شده (کیلوگرم)],1):Main[[#This Row],[بدهی سررسید شده (کیلوگرم)]])</f>
        <v>7904</v>
      </c>
      <c r="AE2402" s="6">
        <f ca="1">IF(Main[[#This Row],[مانده در خط سررسید شده (کیلوگرم)]]&lt;&gt;0,Main[[#This Row],[تعداد کل روزهای بدهکار (روز)]],0)</f>
        <v>0</v>
      </c>
      <c r="AF2402" s="6">
        <f ca="1">Main[[#This Row],[تعداد روزهای بدهکار سررسید شده (روز)]]*Main[[#This Row],[مانده در خط سررسید شده (کیلوگرم)]]</f>
        <v>0</v>
      </c>
    </row>
    <row r="2403" spans="1:32" hidden="1" x14ac:dyDescent="0.35">
      <c r="A2403" s="5">
        <f>ROW()-ROW(INDEX(Main[ردیف],1))+1</f>
        <v>2401</v>
      </c>
      <c r="B2403" s="31">
        <f>SUBTOTAL(2,INDEX(Main[ردیف],1):Main[[#This Row],[ردیف]])</f>
        <v>217</v>
      </c>
      <c r="C2403" s="32" t="s">
        <v>798</v>
      </c>
      <c r="D2403" s="32" t="str">
        <f>_xlfn.CONCAT("14",Main[[#This Row],[تاريخ]])</f>
        <v>1400/09/14</v>
      </c>
      <c r="E2403" s="33">
        <v>44535</v>
      </c>
      <c r="F2403" s="32">
        <v>10009</v>
      </c>
      <c r="G2403" s="5" t="str">
        <f>INDEX(customer[عنوان],MATCH(Main[[#This Row],[کد ردیابی]],customer[کد],0))</f>
        <v>محمد نمازی</v>
      </c>
      <c r="H2403">
        <v>2204</v>
      </c>
      <c r="I2403" s="6">
        <f ca="1">-Main[[#This Row],[بدهی تسویه شده (کیلوگرم)]]+Main[[#This Row],[بستانکار (کیلوگرم)]]</f>
        <v>2204</v>
      </c>
      <c r="J2403" s="6">
        <f>IF(Main[[#This Row],[مقدار (کیلوگرم)]]&gt;0,Main[[#This Row],[مقدار (کیلوگرم)]],0)</f>
        <v>2204</v>
      </c>
      <c r="K2403" s="6">
        <f>-IF(Main[[#This Row],[مقدار (کیلوگرم)]]&lt;0,Main[[#This Row],[مقدار (کیلوگرم)]],0)</f>
        <v>0</v>
      </c>
      <c r="L24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3" s="7">
        <f>-IF(AND(Main[[#This Row],[مقدار (کیلوگرم)]]&lt;0,Main[[#This Row],[تاريخ میلادی]]&gt;44276),Main[[#This Row],[مقدار (کیلوگرم)]],0)</f>
        <v>0</v>
      </c>
      <c r="N2403" s="6">
        <f ca="1">Main[[#This Row],[بدهکار (کیلوگرم)]]-Main[[#This Row],[بدهی تسویه نشده (کیلوگرم)]]</f>
        <v>0</v>
      </c>
      <c r="O2403" s="6">
        <f ca="1">Main[[#This Row],[تفکیک]]</f>
        <v>0</v>
      </c>
      <c r="P2403" s="6">
        <f ca="1">IF(Main[[#This Row],[تاخیر از سررسید]]&gt;0,Main[[#This Row],[بدهی تسویه نشده (کیلوگرم)]],0)</f>
        <v>0</v>
      </c>
      <c r="Q2403" s="6">
        <f ca="1">IF(Main[[#This Row],[بدهی تسویه نشده (کیلوگرم)]]&gt;0,'گزارش فردی'!$B$7-Main[[#This Row],[تاريخ میلادی]],0)</f>
        <v>0</v>
      </c>
      <c r="R2403" s="6">
        <f ca="1">IF(Main[[#This Row],[بدهی تسویه نشده (کیلوگرم)]]&gt;0,'گزارش فردی'!$B$7-Main[[#This Row],[تاريخ میلادی]]-'گزارش فردی'!$B$8,0)</f>
        <v>0</v>
      </c>
      <c r="S2403" s="6">
        <f ca="1">Main[[#This Row],[روز از ارسال سفارش]]*Main[[#This Row],[بدهی تسویه نشده (کیلوگرم)]]</f>
        <v>0</v>
      </c>
      <c r="T2403" s="6">
        <f ca="1">Main[[#This Row],[بدهی سررسید شده (کیلوگرم)]]*Main[[#This Row],[روز از ارسال سفارش]]</f>
        <v>0</v>
      </c>
      <c r="U2403" s="6">
        <f>-SUBTOTAL(9,INDEX(Main[مقدار (کیلوگرم)],1):Main[[#This Row],[مقدار (کیلوگرم)]])</f>
        <v>31723</v>
      </c>
      <c r="V24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3" s="6">
        <f>Main[[#This Row],[تعداد کل روزهای بدهکار (روز)]]*Main[[#This Row],[مانده در خط کل (کیلوگرم)]]</f>
        <v>0</v>
      </c>
      <c r="X2403" s="6">
        <f ca="1">-SUBTOTAL(9,INDEX(Main[مقدار تسویه شده (کیلوگرم)],1):Main[[#This Row],[مقدار تسویه شده (کیلوگرم)]])</f>
        <v>23819</v>
      </c>
      <c r="Y2403" s="6">
        <f ca="1">IF(Main[[#This Row],[مانده در خط تسویه شده (کیلوگرم)]]&lt;&gt;0,Main[[#This Row],[تعداد کل روزهای بدهکار (روز)]],0)</f>
        <v>0</v>
      </c>
      <c r="Z2403" s="6">
        <f ca="1">Main[[#This Row],[تعداد روزهای بدهکار تسویه شده (روز)]]*Main[[#This Row],[مانده در خط تسویه شده (کیلوگرم)]]</f>
        <v>0</v>
      </c>
      <c r="AA2403" s="6">
        <f ca="1">SUBTOTAL(9,INDEX(Main[بدهی تسویه نشده (کیلوگرم)],1):Main[[#This Row],[بدهی تسویه نشده (کیلوگرم)]])</f>
        <v>7904</v>
      </c>
      <c r="AB2403" s="6">
        <f ca="1">IF(Main[[#This Row],[مانده در خط تسویه نشده (کیلوگرم)]]&lt;&gt;0,Main[[#This Row],[تعداد کل روزهای بدهکار (روز)]],0)</f>
        <v>0</v>
      </c>
      <c r="AC2403" s="6">
        <f ca="1">Main[[#This Row],[تعداد روزهای بدهکار  تسویه نشده (روز)]]*Main[[#This Row],[مانده در خط تسویه نشده (کیلوگرم)]]</f>
        <v>0</v>
      </c>
      <c r="AD2403" s="6">
        <f ca="1">SUBTOTAL(9,INDEX(Main[بدهی سررسید شده (کیلوگرم)],1):Main[[#This Row],[بدهی سررسید شده (کیلوگرم)]])</f>
        <v>7904</v>
      </c>
      <c r="AE2403" s="6">
        <f ca="1">IF(Main[[#This Row],[مانده در خط سررسید شده (کیلوگرم)]]&lt;&gt;0,Main[[#This Row],[تعداد کل روزهای بدهکار (روز)]],0)</f>
        <v>0</v>
      </c>
      <c r="AF2403" s="6">
        <f ca="1">Main[[#This Row],[تعداد روزهای بدهکار سررسید شده (روز)]]*Main[[#This Row],[مانده در خط سررسید شده (کیلوگرم)]]</f>
        <v>0</v>
      </c>
    </row>
    <row r="2404" spans="1:32" hidden="1" x14ac:dyDescent="0.35">
      <c r="A2404" s="5">
        <f>ROW()-ROW(INDEX(Main[ردیف],1))+1</f>
        <v>2402</v>
      </c>
      <c r="B2404" s="31">
        <f>SUBTOTAL(2,INDEX(Main[ردیف],1):Main[[#This Row],[ردیف]])</f>
        <v>217</v>
      </c>
      <c r="C2404" s="32" t="s">
        <v>798</v>
      </c>
      <c r="D2404" s="32" t="str">
        <f>_xlfn.CONCAT("14",Main[[#This Row],[تاريخ]])</f>
        <v>1400/09/14</v>
      </c>
      <c r="E2404" s="33">
        <v>44535</v>
      </c>
      <c r="F2404" s="32">
        <v>30196</v>
      </c>
      <c r="G2404" s="5" t="str">
        <f>INDEX(customer[عنوان],MATCH(Main[[#This Row],[کد ردیابی]],customer[کد],0))</f>
        <v>شرکت فردوس</v>
      </c>
      <c r="H2404">
        <v>-11</v>
      </c>
      <c r="I2404" s="6">
        <f ca="1">-Main[[#This Row],[بدهی تسویه شده (کیلوگرم)]]+Main[[#This Row],[بستانکار (کیلوگرم)]]</f>
        <v>0</v>
      </c>
      <c r="J2404" s="6">
        <f>IF(Main[[#This Row],[مقدار (کیلوگرم)]]&gt;0,Main[[#This Row],[مقدار (کیلوگرم)]],0)</f>
        <v>0</v>
      </c>
      <c r="K2404" s="6">
        <f>-IF(Main[[#This Row],[مقدار (کیلوگرم)]]&lt;0,Main[[#This Row],[مقدار (کیلوگرم)]],0)</f>
        <v>11</v>
      </c>
      <c r="L24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</v>
      </c>
      <c r="M2404" s="7">
        <f>-IF(AND(Main[[#This Row],[مقدار (کیلوگرم)]]&lt;0,Main[[#This Row],[تاريخ میلادی]]&gt;44276),Main[[#This Row],[مقدار (کیلوگرم)]],0)</f>
        <v>11</v>
      </c>
      <c r="N2404" s="6">
        <f ca="1">Main[[#This Row],[بدهکار (کیلوگرم)]]-Main[[#This Row],[بدهی تسویه نشده (کیلوگرم)]]</f>
        <v>0</v>
      </c>
      <c r="O2404" s="6">
        <f ca="1">Main[[#This Row],[تفکیک]]</f>
        <v>11</v>
      </c>
      <c r="P2404" s="6">
        <f ca="1">IF(Main[[#This Row],[تاخیر از سررسید]]&gt;0,Main[[#This Row],[بدهی تسویه نشده (کیلوگرم)]],0)</f>
        <v>11</v>
      </c>
      <c r="Q2404" s="6">
        <f ca="1">IF(Main[[#This Row],[بدهی تسویه نشده (کیلوگرم)]]&gt;0,'گزارش فردی'!$B$7-Main[[#This Row],[تاريخ میلادی]],0)</f>
        <v>927.75374085648218</v>
      </c>
      <c r="R2404" s="6">
        <f ca="1">IF(Main[[#This Row],[بدهی تسویه نشده (کیلوگرم)]]&gt;0,'گزارش فردی'!$B$7-Main[[#This Row],[تاريخ میلادی]]-'گزارش فردی'!$B$8,0)</f>
        <v>912.75374085648218</v>
      </c>
      <c r="S2404" s="6">
        <f ca="1">Main[[#This Row],[روز از ارسال سفارش]]*Main[[#This Row],[بدهی تسویه نشده (کیلوگرم)]]</f>
        <v>10205.291149421304</v>
      </c>
      <c r="T2404" s="6">
        <f ca="1">Main[[#This Row],[بدهی سررسید شده (کیلوگرم)]]*Main[[#This Row],[روز از ارسال سفارش]]</f>
        <v>10205.291149421304</v>
      </c>
      <c r="U2404" s="6">
        <f>-SUBTOTAL(9,INDEX(Main[مقدار (کیلوگرم)],1):Main[[#This Row],[مقدار (کیلوگرم)]])</f>
        <v>31723</v>
      </c>
      <c r="V24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4" s="6">
        <f>Main[[#This Row],[تعداد کل روزهای بدهکار (روز)]]*Main[[#This Row],[مانده در خط کل (کیلوگرم)]]</f>
        <v>0</v>
      </c>
      <c r="X2404" s="6">
        <f ca="1">-SUBTOTAL(9,INDEX(Main[مقدار تسویه شده (کیلوگرم)],1):Main[[#This Row],[مقدار تسویه شده (کیلوگرم)]])</f>
        <v>23819</v>
      </c>
      <c r="Y2404" s="6">
        <f ca="1">IF(Main[[#This Row],[مانده در خط تسویه شده (کیلوگرم)]]&lt;&gt;0,Main[[#This Row],[تعداد کل روزهای بدهکار (روز)]],0)</f>
        <v>0</v>
      </c>
      <c r="Z2404" s="6">
        <f ca="1">Main[[#This Row],[تعداد روزهای بدهکار تسویه شده (روز)]]*Main[[#This Row],[مانده در خط تسویه شده (کیلوگرم)]]</f>
        <v>0</v>
      </c>
      <c r="AA2404" s="6">
        <f ca="1">SUBTOTAL(9,INDEX(Main[بدهی تسویه نشده (کیلوگرم)],1):Main[[#This Row],[بدهی تسویه نشده (کیلوگرم)]])</f>
        <v>7904</v>
      </c>
      <c r="AB2404" s="6">
        <f ca="1">IF(Main[[#This Row],[مانده در خط تسویه نشده (کیلوگرم)]]&lt;&gt;0,Main[[#This Row],[تعداد کل روزهای بدهکار (روز)]],0)</f>
        <v>0</v>
      </c>
      <c r="AC2404" s="6">
        <f ca="1">Main[[#This Row],[تعداد روزهای بدهکار  تسویه نشده (روز)]]*Main[[#This Row],[مانده در خط تسویه نشده (کیلوگرم)]]</f>
        <v>0</v>
      </c>
      <c r="AD2404" s="6">
        <f ca="1">SUBTOTAL(9,INDEX(Main[بدهی سررسید شده (کیلوگرم)],1):Main[[#This Row],[بدهی سررسید شده (کیلوگرم)]])</f>
        <v>7904</v>
      </c>
      <c r="AE2404" s="6">
        <f ca="1">IF(Main[[#This Row],[مانده در خط سررسید شده (کیلوگرم)]]&lt;&gt;0,Main[[#This Row],[تعداد کل روزهای بدهکار (روز)]],0)</f>
        <v>0</v>
      </c>
      <c r="AF2404" s="6">
        <f ca="1">Main[[#This Row],[تعداد روزهای بدهکار سررسید شده (روز)]]*Main[[#This Row],[مانده در خط سررسید شده (کیلوگرم)]]</f>
        <v>0</v>
      </c>
    </row>
    <row r="2405" spans="1:32" hidden="1" x14ac:dyDescent="0.35">
      <c r="A2405" s="5">
        <f>ROW()-ROW(INDEX(Main[ردیف],1))+1</f>
        <v>2403</v>
      </c>
      <c r="B2405" s="31">
        <f>SUBTOTAL(2,INDEX(Main[ردیف],1):Main[[#This Row],[ردیف]])</f>
        <v>217</v>
      </c>
      <c r="C2405" s="32" t="s">
        <v>798</v>
      </c>
      <c r="D2405" s="32" t="str">
        <f>_xlfn.CONCAT("14",Main[[#This Row],[تاريخ]])</f>
        <v>1400/09/14</v>
      </c>
      <c r="E2405" s="33">
        <v>44535</v>
      </c>
      <c r="F2405" s="32">
        <v>10018</v>
      </c>
      <c r="G2405" s="5" t="str">
        <f>INDEX(customer[عنوان],MATCH(Main[[#This Row],[کد ردیابی]],customer[کد],0))</f>
        <v xml:space="preserve">کوهی </v>
      </c>
      <c r="H2405">
        <v>17</v>
      </c>
      <c r="I2405" s="6">
        <f ca="1">-Main[[#This Row],[بدهی تسویه شده (کیلوگرم)]]+Main[[#This Row],[بستانکار (کیلوگرم)]]</f>
        <v>17</v>
      </c>
      <c r="J2405" s="6">
        <f>IF(Main[[#This Row],[مقدار (کیلوگرم)]]&gt;0,Main[[#This Row],[مقدار (کیلوگرم)]],0)</f>
        <v>17</v>
      </c>
      <c r="K2405" s="6">
        <f>-IF(Main[[#This Row],[مقدار (کیلوگرم)]]&lt;0,Main[[#This Row],[مقدار (کیلوگرم)]],0)</f>
        <v>0</v>
      </c>
      <c r="L24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5" s="7">
        <f>-IF(AND(Main[[#This Row],[مقدار (کیلوگرم)]]&lt;0,Main[[#This Row],[تاريخ میلادی]]&gt;44276),Main[[#This Row],[مقدار (کیلوگرم)]],0)</f>
        <v>0</v>
      </c>
      <c r="N2405" s="6">
        <f ca="1">Main[[#This Row],[بدهکار (کیلوگرم)]]-Main[[#This Row],[بدهی تسویه نشده (کیلوگرم)]]</f>
        <v>0</v>
      </c>
      <c r="O2405" s="6">
        <f ca="1">Main[[#This Row],[تفکیک]]</f>
        <v>0</v>
      </c>
      <c r="P2405" s="6">
        <f ca="1">IF(Main[[#This Row],[تاخیر از سررسید]]&gt;0,Main[[#This Row],[بدهی تسویه نشده (کیلوگرم)]],0)</f>
        <v>0</v>
      </c>
      <c r="Q2405" s="6">
        <f ca="1">IF(Main[[#This Row],[بدهی تسویه نشده (کیلوگرم)]]&gt;0,'گزارش فردی'!$B$7-Main[[#This Row],[تاريخ میلادی]],0)</f>
        <v>0</v>
      </c>
      <c r="R2405" s="6">
        <f ca="1">IF(Main[[#This Row],[بدهی تسویه نشده (کیلوگرم)]]&gt;0,'گزارش فردی'!$B$7-Main[[#This Row],[تاريخ میلادی]]-'گزارش فردی'!$B$8,0)</f>
        <v>0</v>
      </c>
      <c r="S2405" s="6">
        <f ca="1">Main[[#This Row],[روز از ارسال سفارش]]*Main[[#This Row],[بدهی تسویه نشده (کیلوگرم)]]</f>
        <v>0</v>
      </c>
      <c r="T2405" s="6">
        <f ca="1">Main[[#This Row],[بدهی سررسید شده (کیلوگرم)]]*Main[[#This Row],[روز از ارسال سفارش]]</f>
        <v>0</v>
      </c>
      <c r="U2405" s="6">
        <f>-SUBTOTAL(9,INDEX(Main[مقدار (کیلوگرم)],1):Main[[#This Row],[مقدار (کیلوگرم)]])</f>
        <v>31723</v>
      </c>
      <c r="V24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5" s="6">
        <f>Main[[#This Row],[تعداد کل روزهای بدهکار (روز)]]*Main[[#This Row],[مانده در خط کل (کیلوگرم)]]</f>
        <v>0</v>
      </c>
      <c r="X2405" s="6">
        <f ca="1">-SUBTOTAL(9,INDEX(Main[مقدار تسویه شده (کیلوگرم)],1):Main[[#This Row],[مقدار تسویه شده (کیلوگرم)]])</f>
        <v>23819</v>
      </c>
      <c r="Y2405" s="6">
        <f ca="1">IF(Main[[#This Row],[مانده در خط تسویه شده (کیلوگرم)]]&lt;&gt;0,Main[[#This Row],[تعداد کل روزهای بدهکار (روز)]],0)</f>
        <v>0</v>
      </c>
      <c r="Z2405" s="6">
        <f ca="1">Main[[#This Row],[تعداد روزهای بدهکار تسویه شده (روز)]]*Main[[#This Row],[مانده در خط تسویه شده (کیلوگرم)]]</f>
        <v>0</v>
      </c>
      <c r="AA2405" s="6">
        <f ca="1">SUBTOTAL(9,INDEX(Main[بدهی تسویه نشده (کیلوگرم)],1):Main[[#This Row],[بدهی تسویه نشده (کیلوگرم)]])</f>
        <v>7904</v>
      </c>
      <c r="AB2405" s="6">
        <f ca="1">IF(Main[[#This Row],[مانده در خط تسویه نشده (کیلوگرم)]]&lt;&gt;0,Main[[#This Row],[تعداد کل روزهای بدهکار (روز)]],0)</f>
        <v>0</v>
      </c>
      <c r="AC2405" s="6">
        <f ca="1">Main[[#This Row],[تعداد روزهای بدهکار  تسویه نشده (روز)]]*Main[[#This Row],[مانده در خط تسویه نشده (کیلوگرم)]]</f>
        <v>0</v>
      </c>
      <c r="AD2405" s="6">
        <f ca="1">SUBTOTAL(9,INDEX(Main[بدهی سررسید شده (کیلوگرم)],1):Main[[#This Row],[بدهی سررسید شده (کیلوگرم)]])</f>
        <v>7904</v>
      </c>
      <c r="AE2405" s="6">
        <f ca="1">IF(Main[[#This Row],[مانده در خط سررسید شده (کیلوگرم)]]&lt;&gt;0,Main[[#This Row],[تعداد کل روزهای بدهکار (روز)]],0)</f>
        <v>0</v>
      </c>
      <c r="AF2405" s="6">
        <f ca="1">Main[[#This Row],[تعداد روزهای بدهکار سررسید شده (روز)]]*Main[[#This Row],[مانده در خط سررسید شده (کیلوگرم)]]</f>
        <v>0</v>
      </c>
    </row>
    <row r="2406" spans="1:32" hidden="1" x14ac:dyDescent="0.35">
      <c r="A2406" s="5">
        <f>ROW()-ROW(INDEX(Main[ردیف],1))+1</f>
        <v>2404</v>
      </c>
      <c r="B2406" s="31">
        <f>SUBTOTAL(2,INDEX(Main[ردیف],1):Main[[#This Row],[ردیف]])</f>
        <v>217</v>
      </c>
      <c r="C2406" s="32" t="s">
        <v>798</v>
      </c>
      <c r="D2406" s="32" t="str">
        <f>_xlfn.CONCAT("14",Main[[#This Row],[تاريخ]])</f>
        <v>1400/09/14</v>
      </c>
      <c r="E2406" s="33">
        <v>44535</v>
      </c>
      <c r="F2406" s="32">
        <v>30009</v>
      </c>
      <c r="G2406" s="5" t="str">
        <f>INDEX(customer[عنوان],MATCH(Main[[#This Row],[کد ردیابی]],customer[کد],0))</f>
        <v>شرکت ایمن تک پیشرو</v>
      </c>
      <c r="H2406">
        <v>-400</v>
      </c>
      <c r="I2406" s="6">
        <f ca="1">-Main[[#This Row],[بدهی تسویه شده (کیلوگرم)]]+Main[[#This Row],[بستانکار (کیلوگرم)]]</f>
        <v>0</v>
      </c>
      <c r="J2406" s="6">
        <f>IF(Main[[#This Row],[مقدار (کیلوگرم)]]&gt;0,Main[[#This Row],[مقدار (کیلوگرم)]],0)</f>
        <v>0</v>
      </c>
      <c r="K2406" s="6">
        <f>-IF(Main[[#This Row],[مقدار (کیلوگرم)]]&lt;0,Main[[#This Row],[مقدار (کیلوگرم)]],0)</f>
        <v>400</v>
      </c>
      <c r="L24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400</v>
      </c>
      <c r="M2406" s="7">
        <f>-IF(AND(Main[[#This Row],[مقدار (کیلوگرم)]]&lt;0,Main[[#This Row],[تاريخ میلادی]]&gt;44276),Main[[#This Row],[مقدار (کیلوگرم)]],0)</f>
        <v>400</v>
      </c>
      <c r="N2406" s="6">
        <f ca="1">Main[[#This Row],[بدهکار (کیلوگرم)]]-Main[[#This Row],[بدهی تسویه نشده (کیلوگرم)]]</f>
        <v>0</v>
      </c>
      <c r="O2406" s="6">
        <f ca="1">Main[[#This Row],[تفکیک]]</f>
        <v>400</v>
      </c>
      <c r="P2406" s="6">
        <f ca="1">IF(Main[[#This Row],[تاخیر از سررسید]]&gt;0,Main[[#This Row],[بدهی تسویه نشده (کیلوگرم)]],0)</f>
        <v>400</v>
      </c>
      <c r="Q2406" s="6">
        <f ca="1">IF(Main[[#This Row],[بدهی تسویه نشده (کیلوگرم)]]&gt;0,'گزارش فردی'!$B$7-Main[[#This Row],[تاريخ میلادی]],0)</f>
        <v>927.75374085648218</v>
      </c>
      <c r="R2406" s="6">
        <f ca="1">IF(Main[[#This Row],[بدهی تسویه نشده (کیلوگرم)]]&gt;0,'گزارش فردی'!$B$7-Main[[#This Row],[تاريخ میلادی]]-'گزارش فردی'!$B$8,0)</f>
        <v>912.75374085648218</v>
      </c>
      <c r="S2406" s="6">
        <f ca="1">Main[[#This Row],[روز از ارسال سفارش]]*Main[[#This Row],[بدهی تسویه نشده (کیلوگرم)]]</f>
        <v>371101.49634259287</v>
      </c>
      <c r="T2406" s="6">
        <f ca="1">Main[[#This Row],[بدهی سررسید شده (کیلوگرم)]]*Main[[#This Row],[روز از ارسال سفارش]]</f>
        <v>371101.49634259287</v>
      </c>
      <c r="U2406" s="6">
        <f>-SUBTOTAL(9,INDEX(Main[مقدار (کیلوگرم)],1):Main[[#This Row],[مقدار (کیلوگرم)]])</f>
        <v>31723</v>
      </c>
      <c r="V24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6" s="6">
        <f>Main[[#This Row],[تعداد کل روزهای بدهکار (روز)]]*Main[[#This Row],[مانده در خط کل (کیلوگرم)]]</f>
        <v>0</v>
      </c>
      <c r="X2406" s="6">
        <f ca="1">-SUBTOTAL(9,INDEX(Main[مقدار تسویه شده (کیلوگرم)],1):Main[[#This Row],[مقدار تسویه شده (کیلوگرم)]])</f>
        <v>23819</v>
      </c>
      <c r="Y2406" s="6">
        <f ca="1">IF(Main[[#This Row],[مانده در خط تسویه شده (کیلوگرم)]]&lt;&gt;0,Main[[#This Row],[تعداد کل روزهای بدهکار (روز)]],0)</f>
        <v>0</v>
      </c>
      <c r="Z2406" s="6">
        <f ca="1">Main[[#This Row],[تعداد روزهای بدهکار تسویه شده (روز)]]*Main[[#This Row],[مانده در خط تسویه شده (کیلوگرم)]]</f>
        <v>0</v>
      </c>
      <c r="AA2406" s="6">
        <f ca="1">SUBTOTAL(9,INDEX(Main[بدهی تسویه نشده (کیلوگرم)],1):Main[[#This Row],[بدهی تسویه نشده (کیلوگرم)]])</f>
        <v>7904</v>
      </c>
      <c r="AB2406" s="6">
        <f ca="1">IF(Main[[#This Row],[مانده در خط تسویه نشده (کیلوگرم)]]&lt;&gt;0,Main[[#This Row],[تعداد کل روزهای بدهکار (روز)]],0)</f>
        <v>0</v>
      </c>
      <c r="AC2406" s="6">
        <f ca="1">Main[[#This Row],[تعداد روزهای بدهکار  تسویه نشده (روز)]]*Main[[#This Row],[مانده در خط تسویه نشده (کیلوگرم)]]</f>
        <v>0</v>
      </c>
      <c r="AD2406" s="6">
        <f ca="1">SUBTOTAL(9,INDEX(Main[بدهی سررسید شده (کیلوگرم)],1):Main[[#This Row],[بدهی سررسید شده (کیلوگرم)]])</f>
        <v>7904</v>
      </c>
      <c r="AE2406" s="6">
        <f ca="1">IF(Main[[#This Row],[مانده در خط سررسید شده (کیلوگرم)]]&lt;&gt;0,Main[[#This Row],[تعداد کل روزهای بدهکار (روز)]],0)</f>
        <v>0</v>
      </c>
      <c r="AF2406" s="6">
        <f ca="1">Main[[#This Row],[تعداد روزهای بدهکار سررسید شده (روز)]]*Main[[#This Row],[مانده در خط سررسید شده (کیلوگرم)]]</f>
        <v>0</v>
      </c>
    </row>
    <row r="2407" spans="1:32" hidden="1" x14ac:dyDescent="0.35">
      <c r="A2407" s="5">
        <f>ROW()-ROW(INDEX(Main[ردیف],1))+1</f>
        <v>2405</v>
      </c>
      <c r="B2407" s="31">
        <f>SUBTOTAL(2,INDEX(Main[ردیف],1):Main[[#This Row],[ردیف]])</f>
        <v>217</v>
      </c>
      <c r="C2407" s="32" t="s">
        <v>798</v>
      </c>
      <c r="D2407" s="32" t="str">
        <f>_xlfn.CONCAT("14",Main[[#This Row],[تاريخ]])</f>
        <v>1400/09/14</v>
      </c>
      <c r="E2407" s="33">
        <v>44535</v>
      </c>
      <c r="F2407" s="32">
        <v>30006</v>
      </c>
      <c r="G2407" s="5" t="str">
        <f>INDEX(customer[عنوان],MATCH(Main[[#This Row],[کد ردیابی]],customer[کد],0))</f>
        <v xml:space="preserve">توان جم </v>
      </c>
      <c r="H2407">
        <v>4334</v>
      </c>
      <c r="I2407" s="6">
        <f ca="1">-Main[[#This Row],[بدهی تسویه شده (کیلوگرم)]]+Main[[#This Row],[بستانکار (کیلوگرم)]]</f>
        <v>4334</v>
      </c>
      <c r="J2407" s="6">
        <f>IF(Main[[#This Row],[مقدار (کیلوگرم)]]&gt;0,Main[[#This Row],[مقدار (کیلوگرم)]],0)</f>
        <v>4334</v>
      </c>
      <c r="K2407" s="6">
        <f>-IF(Main[[#This Row],[مقدار (کیلوگرم)]]&lt;0,Main[[#This Row],[مقدار (کیلوگرم)]],0)</f>
        <v>0</v>
      </c>
      <c r="L24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7" s="7">
        <f>-IF(AND(Main[[#This Row],[مقدار (کیلوگرم)]]&lt;0,Main[[#This Row],[تاريخ میلادی]]&gt;44276),Main[[#This Row],[مقدار (کیلوگرم)]],0)</f>
        <v>0</v>
      </c>
      <c r="N2407" s="6">
        <f ca="1">Main[[#This Row],[بدهکار (کیلوگرم)]]-Main[[#This Row],[بدهی تسویه نشده (کیلوگرم)]]</f>
        <v>0</v>
      </c>
      <c r="O2407" s="6">
        <f ca="1">Main[[#This Row],[تفکیک]]</f>
        <v>0</v>
      </c>
      <c r="P2407" s="6">
        <f ca="1">IF(Main[[#This Row],[تاخیر از سررسید]]&gt;0,Main[[#This Row],[بدهی تسویه نشده (کیلوگرم)]],0)</f>
        <v>0</v>
      </c>
      <c r="Q2407" s="6">
        <f ca="1">IF(Main[[#This Row],[بدهی تسویه نشده (کیلوگرم)]]&gt;0,'گزارش فردی'!$B$7-Main[[#This Row],[تاريخ میلادی]],0)</f>
        <v>0</v>
      </c>
      <c r="R2407" s="6">
        <f ca="1">IF(Main[[#This Row],[بدهی تسویه نشده (کیلوگرم)]]&gt;0,'گزارش فردی'!$B$7-Main[[#This Row],[تاريخ میلادی]]-'گزارش فردی'!$B$8,0)</f>
        <v>0</v>
      </c>
      <c r="S2407" s="6">
        <f ca="1">Main[[#This Row],[روز از ارسال سفارش]]*Main[[#This Row],[بدهی تسویه نشده (کیلوگرم)]]</f>
        <v>0</v>
      </c>
      <c r="T2407" s="6">
        <f ca="1">Main[[#This Row],[بدهی سررسید شده (کیلوگرم)]]*Main[[#This Row],[روز از ارسال سفارش]]</f>
        <v>0</v>
      </c>
      <c r="U2407" s="6">
        <f>-SUBTOTAL(9,INDEX(Main[مقدار (کیلوگرم)],1):Main[[#This Row],[مقدار (کیلوگرم)]])</f>
        <v>31723</v>
      </c>
      <c r="V24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7" s="6">
        <f>Main[[#This Row],[تعداد کل روزهای بدهکار (روز)]]*Main[[#This Row],[مانده در خط کل (کیلوگرم)]]</f>
        <v>0</v>
      </c>
      <c r="X2407" s="6">
        <f ca="1">-SUBTOTAL(9,INDEX(Main[مقدار تسویه شده (کیلوگرم)],1):Main[[#This Row],[مقدار تسویه شده (کیلوگرم)]])</f>
        <v>23819</v>
      </c>
      <c r="Y2407" s="6">
        <f ca="1">IF(Main[[#This Row],[مانده در خط تسویه شده (کیلوگرم)]]&lt;&gt;0,Main[[#This Row],[تعداد کل روزهای بدهکار (روز)]],0)</f>
        <v>0</v>
      </c>
      <c r="Z2407" s="6">
        <f ca="1">Main[[#This Row],[تعداد روزهای بدهکار تسویه شده (روز)]]*Main[[#This Row],[مانده در خط تسویه شده (کیلوگرم)]]</f>
        <v>0</v>
      </c>
      <c r="AA2407" s="6">
        <f ca="1">SUBTOTAL(9,INDEX(Main[بدهی تسویه نشده (کیلوگرم)],1):Main[[#This Row],[بدهی تسویه نشده (کیلوگرم)]])</f>
        <v>7904</v>
      </c>
      <c r="AB2407" s="6">
        <f ca="1">IF(Main[[#This Row],[مانده در خط تسویه نشده (کیلوگرم)]]&lt;&gt;0,Main[[#This Row],[تعداد کل روزهای بدهکار (روز)]],0)</f>
        <v>0</v>
      </c>
      <c r="AC2407" s="6">
        <f ca="1">Main[[#This Row],[تعداد روزهای بدهکار  تسویه نشده (روز)]]*Main[[#This Row],[مانده در خط تسویه نشده (کیلوگرم)]]</f>
        <v>0</v>
      </c>
      <c r="AD2407" s="6">
        <f ca="1">SUBTOTAL(9,INDEX(Main[بدهی سررسید شده (کیلوگرم)],1):Main[[#This Row],[بدهی سررسید شده (کیلوگرم)]])</f>
        <v>7904</v>
      </c>
      <c r="AE2407" s="6">
        <f ca="1">IF(Main[[#This Row],[مانده در خط سررسید شده (کیلوگرم)]]&lt;&gt;0,Main[[#This Row],[تعداد کل روزهای بدهکار (روز)]],0)</f>
        <v>0</v>
      </c>
      <c r="AF2407" s="6">
        <f ca="1">Main[[#This Row],[تعداد روزهای بدهکار سررسید شده (روز)]]*Main[[#This Row],[مانده در خط سررسید شده (کیلوگرم)]]</f>
        <v>0</v>
      </c>
    </row>
    <row r="2408" spans="1:32" hidden="1" x14ac:dyDescent="0.35">
      <c r="A2408" s="5">
        <f>ROW()-ROW(INDEX(Main[ردیف],1))+1</f>
        <v>2406</v>
      </c>
      <c r="B2408" s="31">
        <f>SUBTOTAL(2,INDEX(Main[ردیف],1):Main[[#This Row],[ردیف]])</f>
        <v>217</v>
      </c>
      <c r="C2408" s="32" t="s">
        <v>798</v>
      </c>
      <c r="D2408" s="32" t="str">
        <f>_xlfn.CONCAT("14",Main[[#This Row],[تاريخ]])</f>
        <v>1400/09/14</v>
      </c>
      <c r="E2408" s="33">
        <v>44535</v>
      </c>
      <c r="F2408" s="32">
        <v>10009</v>
      </c>
      <c r="G2408" s="5" t="str">
        <f>INDEX(customer[عنوان],MATCH(Main[[#This Row],[کد ردیابی]],customer[کد],0))</f>
        <v>محمد نمازی</v>
      </c>
      <c r="H2408">
        <v>-979</v>
      </c>
      <c r="I2408" s="6">
        <f ca="1">-Main[[#This Row],[بدهی تسویه شده (کیلوگرم)]]+Main[[#This Row],[بستانکار (کیلوگرم)]]</f>
        <v>0</v>
      </c>
      <c r="J2408" s="6">
        <f>IF(Main[[#This Row],[مقدار (کیلوگرم)]]&gt;0,Main[[#This Row],[مقدار (کیلوگرم)]],0)</f>
        <v>0</v>
      </c>
      <c r="K2408" s="6">
        <f>-IF(Main[[#This Row],[مقدار (کیلوگرم)]]&lt;0,Main[[#This Row],[مقدار (کیلوگرم)]],0)</f>
        <v>979</v>
      </c>
      <c r="L24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979</v>
      </c>
      <c r="M2408" s="7">
        <f>-IF(AND(Main[[#This Row],[مقدار (کیلوگرم)]]&lt;0,Main[[#This Row],[تاريخ میلادی]]&gt;44276),Main[[#This Row],[مقدار (کیلوگرم)]],0)</f>
        <v>979</v>
      </c>
      <c r="N2408" s="6">
        <f ca="1">Main[[#This Row],[بدهکار (کیلوگرم)]]-Main[[#This Row],[بدهی تسویه نشده (کیلوگرم)]]</f>
        <v>0</v>
      </c>
      <c r="O2408" s="6">
        <f ca="1">Main[[#This Row],[تفکیک]]</f>
        <v>979</v>
      </c>
      <c r="P2408" s="6">
        <f ca="1">IF(Main[[#This Row],[تاخیر از سررسید]]&gt;0,Main[[#This Row],[بدهی تسویه نشده (کیلوگرم)]],0)</f>
        <v>979</v>
      </c>
      <c r="Q2408" s="6">
        <f ca="1">IF(Main[[#This Row],[بدهی تسویه نشده (کیلوگرم)]]&gt;0,'گزارش فردی'!$B$7-Main[[#This Row],[تاريخ میلادی]],0)</f>
        <v>927.75374085648218</v>
      </c>
      <c r="R2408" s="6">
        <f ca="1">IF(Main[[#This Row],[بدهی تسویه نشده (کیلوگرم)]]&gt;0,'گزارش فردی'!$B$7-Main[[#This Row],[تاريخ میلادی]]-'گزارش فردی'!$B$8,0)</f>
        <v>912.75374085648218</v>
      </c>
      <c r="S2408" s="6">
        <f ca="1">Main[[#This Row],[روز از ارسال سفارش]]*Main[[#This Row],[بدهی تسویه نشده (کیلوگرم)]]</f>
        <v>908270.91229849611</v>
      </c>
      <c r="T2408" s="6">
        <f ca="1">Main[[#This Row],[بدهی سررسید شده (کیلوگرم)]]*Main[[#This Row],[روز از ارسال سفارش]]</f>
        <v>908270.91229849611</v>
      </c>
      <c r="U2408" s="6">
        <f>-SUBTOTAL(9,INDEX(Main[مقدار (کیلوگرم)],1):Main[[#This Row],[مقدار (کیلوگرم)]])</f>
        <v>31723</v>
      </c>
      <c r="V24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8" s="6">
        <f>Main[[#This Row],[تعداد کل روزهای بدهکار (روز)]]*Main[[#This Row],[مانده در خط کل (کیلوگرم)]]</f>
        <v>0</v>
      </c>
      <c r="X2408" s="6">
        <f ca="1">-SUBTOTAL(9,INDEX(Main[مقدار تسویه شده (کیلوگرم)],1):Main[[#This Row],[مقدار تسویه شده (کیلوگرم)]])</f>
        <v>23819</v>
      </c>
      <c r="Y2408" s="6">
        <f ca="1">IF(Main[[#This Row],[مانده در خط تسویه شده (کیلوگرم)]]&lt;&gt;0,Main[[#This Row],[تعداد کل روزهای بدهکار (روز)]],0)</f>
        <v>0</v>
      </c>
      <c r="Z2408" s="6">
        <f ca="1">Main[[#This Row],[تعداد روزهای بدهکار تسویه شده (روز)]]*Main[[#This Row],[مانده در خط تسویه شده (کیلوگرم)]]</f>
        <v>0</v>
      </c>
      <c r="AA2408" s="6">
        <f ca="1">SUBTOTAL(9,INDEX(Main[بدهی تسویه نشده (کیلوگرم)],1):Main[[#This Row],[بدهی تسویه نشده (کیلوگرم)]])</f>
        <v>7904</v>
      </c>
      <c r="AB2408" s="6">
        <f ca="1">IF(Main[[#This Row],[مانده در خط تسویه نشده (کیلوگرم)]]&lt;&gt;0,Main[[#This Row],[تعداد کل روزهای بدهکار (روز)]],0)</f>
        <v>0</v>
      </c>
      <c r="AC2408" s="6">
        <f ca="1">Main[[#This Row],[تعداد روزهای بدهکار  تسویه نشده (روز)]]*Main[[#This Row],[مانده در خط تسویه نشده (کیلوگرم)]]</f>
        <v>0</v>
      </c>
      <c r="AD2408" s="6">
        <f ca="1">SUBTOTAL(9,INDEX(Main[بدهی سررسید شده (کیلوگرم)],1):Main[[#This Row],[بدهی سررسید شده (کیلوگرم)]])</f>
        <v>7904</v>
      </c>
      <c r="AE2408" s="6">
        <f ca="1">IF(Main[[#This Row],[مانده در خط سررسید شده (کیلوگرم)]]&lt;&gt;0,Main[[#This Row],[تعداد کل روزهای بدهکار (روز)]],0)</f>
        <v>0</v>
      </c>
      <c r="AF2408" s="6">
        <f ca="1">Main[[#This Row],[تعداد روزهای بدهکار سررسید شده (روز)]]*Main[[#This Row],[مانده در خط سررسید شده (کیلوگرم)]]</f>
        <v>0</v>
      </c>
    </row>
    <row r="2409" spans="1:32" hidden="1" x14ac:dyDescent="0.35">
      <c r="A2409" s="5">
        <f>ROW()-ROW(INDEX(Main[ردیف],1))+1</f>
        <v>2407</v>
      </c>
      <c r="B2409" s="31">
        <f>SUBTOTAL(2,INDEX(Main[ردیف],1):Main[[#This Row],[ردیف]])</f>
        <v>217</v>
      </c>
      <c r="C2409" s="32" t="s">
        <v>798</v>
      </c>
      <c r="D2409" s="32" t="str">
        <f>_xlfn.CONCAT("14",Main[[#This Row],[تاريخ]])</f>
        <v>1400/09/14</v>
      </c>
      <c r="E2409" s="33">
        <v>44535</v>
      </c>
      <c r="F2409" s="32">
        <v>10018</v>
      </c>
      <c r="G2409" s="5" t="str">
        <f>INDEX(customer[عنوان],MATCH(Main[[#This Row],[کد ردیابی]],customer[کد],0))</f>
        <v xml:space="preserve">کوهی </v>
      </c>
      <c r="H2409">
        <v>205</v>
      </c>
      <c r="I2409" s="6">
        <f ca="1">-Main[[#This Row],[بدهی تسویه شده (کیلوگرم)]]+Main[[#This Row],[بستانکار (کیلوگرم)]]</f>
        <v>205</v>
      </c>
      <c r="J2409" s="6">
        <f>IF(Main[[#This Row],[مقدار (کیلوگرم)]]&gt;0,Main[[#This Row],[مقدار (کیلوگرم)]],0)</f>
        <v>205</v>
      </c>
      <c r="K2409" s="6">
        <f>-IF(Main[[#This Row],[مقدار (کیلوگرم)]]&lt;0,Main[[#This Row],[مقدار (کیلوگرم)]],0)</f>
        <v>0</v>
      </c>
      <c r="L24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9" s="7">
        <f>-IF(AND(Main[[#This Row],[مقدار (کیلوگرم)]]&lt;0,Main[[#This Row],[تاريخ میلادی]]&gt;44276),Main[[#This Row],[مقدار (کیلوگرم)]],0)</f>
        <v>0</v>
      </c>
      <c r="N2409" s="6">
        <f ca="1">Main[[#This Row],[بدهکار (کیلوگرم)]]-Main[[#This Row],[بدهی تسویه نشده (کیلوگرم)]]</f>
        <v>0</v>
      </c>
      <c r="O2409" s="6">
        <f ca="1">Main[[#This Row],[تفکیک]]</f>
        <v>0</v>
      </c>
      <c r="P2409" s="6">
        <f ca="1">IF(Main[[#This Row],[تاخیر از سررسید]]&gt;0,Main[[#This Row],[بدهی تسویه نشده (کیلوگرم)]],0)</f>
        <v>0</v>
      </c>
      <c r="Q2409" s="6">
        <f ca="1">IF(Main[[#This Row],[بدهی تسویه نشده (کیلوگرم)]]&gt;0,'گزارش فردی'!$B$7-Main[[#This Row],[تاريخ میلادی]],0)</f>
        <v>0</v>
      </c>
      <c r="R2409" s="6">
        <f ca="1">IF(Main[[#This Row],[بدهی تسویه نشده (کیلوگرم)]]&gt;0,'گزارش فردی'!$B$7-Main[[#This Row],[تاريخ میلادی]]-'گزارش فردی'!$B$8,0)</f>
        <v>0</v>
      </c>
      <c r="S2409" s="6">
        <f ca="1">Main[[#This Row],[روز از ارسال سفارش]]*Main[[#This Row],[بدهی تسویه نشده (کیلوگرم)]]</f>
        <v>0</v>
      </c>
      <c r="T2409" s="6">
        <f ca="1">Main[[#This Row],[بدهی سررسید شده (کیلوگرم)]]*Main[[#This Row],[روز از ارسال سفارش]]</f>
        <v>0</v>
      </c>
      <c r="U2409" s="6">
        <f>-SUBTOTAL(9,INDEX(Main[مقدار (کیلوگرم)],1):Main[[#This Row],[مقدار (کیلوگرم)]])</f>
        <v>31723</v>
      </c>
      <c r="V24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9" s="6">
        <f>Main[[#This Row],[تعداد کل روزهای بدهکار (روز)]]*Main[[#This Row],[مانده در خط کل (کیلوگرم)]]</f>
        <v>0</v>
      </c>
      <c r="X2409" s="6">
        <f ca="1">-SUBTOTAL(9,INDEX(Main[مقدار تسویه شده (کیلوگرم)],1):Main[[#This Row],[مقدار تسویه شده (کیلوگرم)]])</f>
        <v>23819</v>
      </c>
      <c r="Y2409" s="6">
        <f ca="1">IF(Main[[#This Row],[مانده در خط تسویه شده (کیلوگرم)]]&lt;&gt;0,Main[[#This Row],[تعداد کل روزهای بدهکار (روز)]],0)</f>
        <v>0</v>
      </c>
      <c r="Z2409" s="6">
        <f ca="1">Main[[#This Row],[تعداد روزهای بدهکار تسویه شده (روز)]]*Main[[#This Row],[مانده در خط تسویه شده (کیلوگرم)]]</f>
        <v>0</v>
      </c>
      <c r="AA2409" s="6">
        <f ca="1">SUBTOTAL(9,INDEX(Main[بدهی تسویه نشده (کیلوگرم)],1):Main[[#This Row],[بدهی تسویه نشده (کیلوگرم)]])</f>
        <v>7904</v>
      </c>
      <c r="AB2409" s="6">
        <f ca="1">IF(Main[[#This Row],[مانده در خط تسویه نشده (کیلوگرم)]]&lt;&gt;0,Main[[#This Row],[تعداد کل روزهای بدهکار (روز)]],0)</f>
        <v>0</v>
      </c>
      <c r="AC2409" s="6">
        <f ca="1">Main[[#This Row],[تعداد روزهای بدهکار  تسویه نشده (روز)]]*Main[[#This Row],[مانده در خط تسویه نشده (کیلوگرم)]]</f>
        <v>0</v>
      </c>
      <c r="AD2409" s="6">
        <f ca="1">SUBTOTAL(9,INDEX(Main[بدهی سررسید شده (کیلوگرم)],1):Main[[#This Row],[بدهی سررسید شده (کیلوگرم)]])</f>
        <v>7904</v>
      </c>
      <c r="AE2409" s="6">
        <f ca="1">IF(Main[[#This Row],[مانده در خط سررسید شده (کیلوگرم)]]&lt;&gt;0,Main[[#This Row],[تعداد کل روزهای بدهکار (روز)]],0)</f>
        <v>0</v>
      </c>
      <c r="AF2409" s="6">
        <f ca="1">Main[[#This Row],[تعداد روزهای بدهکار سررسید شده (روز)]]*Main[[#This Row],[مانده در خط سررسید شده (کیلوگرم)]]</f>
        <v>0</v>
      </c>
    </row>
    <row r="2410" spans="1:32" x14ac:dyDescent="0.35">
      <c r="A2410" s="5">
        <f>ROW()-ROW(INDEX(Main[ردیف],1))+1</f>
        <v>2408</v>
      </c>
      <c r="B2410" s="31">
        <f>SUBTOTAL(2,INDEX(Main[ردیف],1):Main[[#This Row],[ردیف]])</f>
        <v>218</v>
      </c>
      <c r="C2410" s="32" t="s">
        <v>798</v>
      </c>
      <c r="D2410" s="32" t="str">
        <f>_xlfn.CONCAT("14",Main[[#This Row],[تاريخ]])</f>
        <v>1400/09/14</v>
      </c>
      <c r="E2410" s="33">
        <v>44535</v>
      </c>
      <c r="F2410" s="32">
        <v>10003</v>
      </c>
      <c r="G2410" s="5" t="str">
        <f>INDEX(customer[عنوان],MATCH(Main[[#This Row],[کد ردیابی]],customer[کد],0))</f>
        <v>اصغر نورعلی</v>
      </c>
      <c r="H2410">
        <v>-2892</v>
      </c>
      <c r="I2410" s="6">
        <f ca="1">-Main[[#This Row],[بدهی تسویه شده (کیلوگرم)]]+Main[[#This Row],[بستانکار (کیلوگرم)]]</f>
        <v>0</v>
      </c>
      <c r="J2410" s="6">
        <f>IF(Main[[#This Row],[مقدار (کیلوگرم)]]&gt;0,Main[[#This Row],[مقدار (کیلوگرم)]],0)</f>
        <v>0</v>
      </c>
      <c r="K2410" s="6">
        <f>-IF(Main[[#This Row],[مقدار (کیلوگرم)]]&lt;0,Main[[#This Row],[مقدار (کیلوگرم)]],0)</f>
        <v>2892</v>
      </c>
      <c r="L24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2892</v>
      </c>
      <c r="M2410" s="7">
        <f>-IF(AND(Main[[#This Row],[مقدار (کیلوگرم)]]&lt;0,Main[[#This Row],[تاريخ میلادی]]&gt;44276),Main[[#This Row],[مقدار (کیلوگرم)]],0)</f>
        <v>2892</v>
      </c>
      <c r="N2410" s="6">
        <f ca="1">Main[[#This Row],[بدهکار (کیلوگرم)]]-Main[[#This Row],[بدهی تسویه نشده (کیلوگرم)]]</f>
        <v>0</v>
      </c>
      <c r="O2410" s="6">
        <f ca="1">Main[[#This Row],[تفکیک]]</f>
        <v>2892</v>
      </c>
      <c r="P2410" s="6">
        <f ca="1">IF(Main[[#This Row],[تاخیر از سررسید]]&gt;0,Main[[#This Row],[بدهی تسویه نشده (کیلوگرم)]],0)</f>
        <v>2892</v>
      </c>
      <c r="Q2410" s="6">
        <f ca="1">IF(Main[[#This Row],[بدهی تسویه نشده (کیلوگرم)]]&gt;0,'گزارش فردی'!$B$7-Main[[#This Row],[تاريخ میلادی]],0)</f>
        <v>927.75374085648218</v>
      </c>
      <c r="R2410" s="6">
        <f ca="1">IF(Main[[#This Row],[بدهی تسویه نشده (کیلوگرم)]]&gt;0,'گزارش فردی'!$B$7-Main[[#This Row],[تاريخ میلادی]]-'گزارش فردی'!$B$8,0)</f>
        <v>912.75374085648218</v>
      </c>
      <c r="S2410" s="6">
        <f ca="1">Main[[#This Row],[روز از ارسال سفارش]]*Main[[#This Row],[بدهی تسویه نشده (کیلوگرم)]]</f>
        <v>2683063.8185569467</v>
      </c>
      <c r="T2410" s="6">
        <f ca="1">Main[[#This Row],[بدهی سررسید شده (کیلوگرم)]]*Main[[#This Row],[روز از ارسال سفارش]]</f>
        <v>2683063.8185569467</v>
      </c>
      <c r="U2410" s="6">
        <f>-SUBTOTAL(9,INDEX(Main[مقدار (کیلوگرم)],1):Main[[#This Row],[مقدار (کیلوگرم)]])</f>
        <v>34615</v>
      </c>
      <c r="V24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0" s="6">
        <f>Main[[#This Row],[تعداد کل روزهای بدهکار (روز)]]*Main[[#This Row],[مانده در خط کل (کیلوگرم)]]</f>
        <v>69230</v>
      </c>
      <c r="X2410" s="6">
        <f ca="1">-SUBTOTAL(9,INDEX(Main[مقدار تسویه شده (کیلوگرم)],1):Main[[#This Row],[مقدار تسویه شده (کیلوگرم)]])</f>
        <v>23819</v>
      </c>
      <c r="Y2410" s="6">
        <f ca="1">IF(Main[[#This Row],[مانده در خط تسویه شده (کیلوگرم)]]&lt;&gt;0,Main[[#This Row],[تعداد کل روزهای بدهکار (روز)]],0)</f>
        <v>2</v>
      </c>
      <c r="Z2410" s="6">
        <f ca="1">Main[[#This Row],[تعداد روزهای بدهکار تسویه شده (روز)]]*Main[[#This Row],[مانده در خط تسویه شده (کیلوگرم)]]</f>
        <v>47638</v>
      </c>
      <c r="AA2410" s="6">
        <f ca="1">SUBTOTAL(9,INDEX(Main[بدهی تسویه نشده (کیلوگرم)],1):Main[[#This Row],[بدهی تسویه نشده (کیلوگرم)]])</f>
        <v>10796</v>
      </c>
      <c r="AB2410" s="6">
        <f ca="1">IF(Main[[#This Row],[مانده در خط تسویه نشده (کیلوگرم)]]&lt;&gt;0,Main[[#This Row],[تعداد کل روزهای بدهکار (روز)]],0)</f>
        <v>2</v>
      </c>
      <c r="AC2410" s="6">
        <f ca="1">Main[[#This Row],[تعداد روزهای بدهکار  تسویه نشده (روز)]]*Main[[#This Row],[مانده در خط تسویه نشده (کیلوگرم)]]</f>
        <v>21592</v>
      </c>
      <c r="AD2410" s="6">
        <f ca="1">SUBTOTAL(9,INDEX(Main[بدهی سررسید شده (کیلوگرم)],1):Main[[#This Row],[بدهی سررسید شده (کیلوگرم)]])</f>
        <v>10796</v>
      </c>
      <c r="AE2410" s="6">
        <f ca="1">IF(Main[[#This Row],[مانده در خط سررسید شده (کیلوگرم)]]&lt;&gt;0,Main[[#This Row],[تعداد کل روزهای بدهکار (روز)]],0)</f>
        <v>2</v>
      </c>
      <c r="AF2410" s="6">
        <f ca="1">Main[[#This Row],[تعداد روزهای بدهکار سررسید شده (روز)]]*Main[[#This Row],[مانده در خط سررسید شده (کیلوگرم)]]</f>
        <v>21592</v>
      </c>
    </row>
    <row r="2411" spans="1:32" hidden="1" x14ac:dyDescent="0.35">
      <c r="A2411" s="5">
        <f>ROW()-ROW(INDEX(Main[ردیف],1))+1</f>
        <v>2409</v>
      </c>
      <c r="B2411" s="31">
        <f>SUBTOTAL(2,INDEX(Main[ردیف],1):Main[[#This Row],[ردیف]])</f>
        <v>218</v>
      </c>
      <c r="C2411" s="32" t="s">
        <v>798</v>
      </c>
      <c r="D2411" s="32" t="str">
        <f>_xlfn.CONCAT("14",Main[[#This Row],[تاريخ]])</f>
        <v>1400/09/14</v>
      </c>
      <c r="E2411" s="33">
        <v>44535</v>
      </c>
      <c r="F2411" s="32">
        <v>30009</v>
      </c>
      <c r="G2411" s="5" t="str">
        <f>INDEX(customer[عنوان],MATCH(Main[[#This Row],[کد ردیابی]],customer[کد],0))</f>
        <v>شرکت ایمن تک پیشرو</v>
      </c>
      <c r="H2411">
        <v>1836</v>
      </c>
      <c r="I2411" s="6">
        <f ca="1">-Main[[#This Row],[بدهی تسویه شده (کیلوگرم)]]+Main[[#This Row],[بستانکار (کیلوگرم)]]</f>
        <v>1836</v>
      </c>
      <c r="J2411" s="6">
        <f>IF(Main[[#This Row],[مقدار (کیلوگرم)]]&gt;0,Main[[#This Row],[مقدار (کیلوگرم)]],0)</f>
        <v>1836</v>
      </c>
      <c r="K2411" s="6">
        <f>-IF(Main[[#This Row],[مقدار (کیلوگرم)]]&lt;0,Main[[#This Row],[مقدار (کیلوگرم)]],0)</f>
        <v>0</v>
      </c>
      <c r="L24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1" s="7">
        <f>-IF(AND(Main[[#This Row],[مقدار (کیلوگرم)]]&lt;0,Main[[#This Row],[تاريخ میلادی]]&gt;44276),Main[[#This Row],[مقدار (کیلوگرم)]],0)</f>
        <v>0</v>
      </c>
      <c r="N2411" s="6">
        <f ca="1">Main[[#This Row],[بدهکار (کیلوگرم)]]-Main[[#This Row],[بدهی تسویه نشده (کیلوگرم)]]</f>
        <v>0</v>
      </c>
      <c r="O2411" s="6">
        <f ca="1">Main[[#This Row],[تفکیک]]</f>
        <v>0</v>
      </c>
      <c r="P2411" s="6">
        <f ca="1">IF(Main[[#This Row],[تاخیر از سررسید]]&gt;0,Main[[#This Row],[بدهی تسویه نشده (کیلوگرم)]],0)</f>
        <v>0</v>
      </c>
      <c r="Q2411" s="6">
        <f ca="1">IF(Main[[#This Row],[بدهی تسویه نشده (کیلوگرم)]]&gt;0,'گزارش فردی'!$B$7-Main[[#This Row],[تاريخ میلادی]],0)</f>
        <v>0</v>
      </c>
      <c r="R2411" s="6">
        <f ca="1">IF(Main[[#This Row],[بدهی تسویه نشده (کیلوگرم)]]&gt;0,'گزارش فردی'!$B$7-Main[[#This Row],[تاريخ میلادی]]-'گزارش فردی'!$B$8,0)</f>
        <v>0</v>
      </c>
      <c r="S2411" s="6">
        <f ca="1">Main[[#This Row],[روز از ارسال سفارش]]*Main[[#This Row],[بدهی تسویه نشده (کیلوگرم)]]</f>
        <v>0</v>
      </c>
      <c r="T2411" s="6">
        <f ca="1">Main[[#This Row],[بدهی سررسید شده (کیلوگرم)]]*Main[[#This Row],[روز از ارسال سفارش]]</f>
        <v>0</v>
      </c>
      <c r="U2411" s="6">
        <f>-SUBTOTAL(9,INDEX(Main[مقدار (کیلوگرم)],1):Main[[#This Row],[مقدار (کیلوگرم)]])</f>
        <v>34615</v>
      </c>
      <c r="V24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1" s="6">
        <f>Main[[#This Row],[تعداد کل روزهای بدهکار (روز)]]*Main[[#This Row],[مانده در خط کل (کیلوگرم)]]</f>
        <v>69230</v>
      </c>
      <c r="X2411" s="6">
        <f ca="1">-SUBTOTAL(9,INDEX(Main[مقدار تسویه شده (کیلوگرم)],1):Main[[#This Row],[مقدار تسویه شده (کیلوگرم)]])</f>
        <v>23819</v>
      </c>
      <c r="Y2411" s="6">
        <f ca="1">IF(Main[[#This Row],[مانده در خط تسویه شده (کیلوگرم)]]&lt;&gt;0,Main[[#This Row],[تعداد کل روزهای بدهکار (روز)]],0)</f>
        <v>2</v>
      </c>
      <c r="Z2411" s="6">
        <f ca="1">Main[[#This Row],[تعداد روزهای بدهکار تسویه شده (روز)]]*Main[[#This Row],[مانده در خط تسویه شده (کیلوگرم)]]</f>
        <v>47638</v>
      </c>
      <c r="AA2411" s="6">
        <f ca="1">SUBTOTAL(9,INDEX(Main[بدهی تسویه نشده (کیلوگرم)],1):Main[[#This Row],[بدهی تسویه نشده (کیلوگرم)]])</f>
        <v>10796</v>
      </c>
      <c r="AB2411" s="6">
        <f ca="1">IF(Main[[#This Row],[مانده در خط تسویه نشده (کیلوگرم)]]&lt;&gt;0,Main[[#This Row],[تعداد کل روزهای بدهکار (روز)]],0)</f>
        <v>2</v>
      </c>
      <c r="AC2411" s="6">
        <f ca="1">Main[[#This Row],[تعداد روزهای بدهکار  تسویه نشده (روز)]]*Main[[#This Row],[مانده در خط تسویه نشده (کیلوگرم)]]</f>
        <v>21592</v>
      </c>
      <c r="AD2411" s="6">
        <f ca="1">SUBTOTAL(9,INDEX(Main[بدهی سررسید شده (کیلوگرم)],1):Main[[#This Row],[بدهی سررسید شده (کیلوگرم)]])</f>
        <v>10796</v>
      </c>
      <c r="AE2411" s="6">
        <f ca="1">IF(Main[[#This Row],[مانده در خط سررسید شده (کیلوگرم)]]&lt;&gt;0,Main[[#This Row],[تعداد کل روزهای بدهکار (روز)]],0)</f>
        <v>2</v>
      </c>
      <c r="AF2411" s="6">
        <f ca="1">Main[[#This Row],[تعداد روزهای بدهکار سررسید شده (روز)]]*Main[[#This Row],[مانده در خط سررسید شده (کیلوگرم)]]</f>
        <v>21592</v>
      </c>
    </row>
    <row r="2412" spans="1:32" hidden="1" x14ac:dyDescent="0.35">
      <c r="A2412" s="5">
        <f>ROW()-ROW(INDEX(Main[ردیف],1))+1</f>
        <v>2410</v>
      </c>
      <c r="B2412" s="31">
        <f>SUBTOTAL(2,INDEX(Main[ردیف],1):Main[[#This Row],[ردیف]])</f>
        <v>218</v>
      </c>
      <c r="C2412" s="32" t="s">
        <v>798</v>
      </c>
      <c r="D2412" s="32" t="str">
        <f>_xlfn.CONCAT("14",Main[[#This Row],[تاريخ]])</f>
        <v>1400/09/14</v>
      </c>
      <c r="E2412" s="33">
        <v>44535</v>
      </c>
      <c r="F2412" s="32">
        <v>10029</v>
      </c>
      <c r="G2412" s="5" t="str">
        <f>INDEX(customer[عنوان],MATCH(Main[[#This Row],[کد ردیابی]],customer[کد],0))</f>
        <v>رضا شریعتی</v>
      </c>
      <c r="H2412">
        <v>-2301</v>
      </c>
      <c r="I2412" s="6">
        <f ca="1">-Main[[#This Row],[بدهی تسویه شده (کیلوگرم)]]+Main[[#This Row],[بستانکار (کیلوگرم)]]</f>
        <v>0</v>
      </c>
      <c r="J2412" s="6">
        <f>IF(Main[[#This Row],[مقدار (کیلوگرم)]]&gt;0,Main[[#This Row],[مقدار (کیلوگرم)]],0)</f>
        <v>0</v>
      </c>
      <c r="K2412" s="6">
        <f>-IF(Main[[#This Row],[مقدار (کیلوگرم)]]&lt;0,Main[[#This Row],[مقدار (کیلوگرم)]],0)</f>
        <v>2301</v>
      </c>
      <c r="L24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2301</v>
      </c>
      <c r="M2412" s="7">
        <f>-IF(AND(Main[[#This Row],[مقدار (کیلوگرم)]]&lt;0,Main[[#This Row],[تاريخ میلادی]]&gt;44276),Main[[#This Row],[مقدار (کیلوگرم)]],0)</f>
        <v>2301</v>
      </c>
      <c r="N2412" s="6">
        <f ca="1">Main[[#This Row],[بدهکار (کیلوگرم)]]-Main[[#This Row],[بدهی تسویه نشده (کیلوگرم)]]</f>
        <v>0</v>
      </c>
      <c r="O2412" s="6">
        <f ca="1">Main[[#This Row],[تفکیک]]</f>
        <v>2301</v>
      </c>
      <c r="P2412" s="6">
        <f ca="1">IF(Main[[#This Row],[تاخیر از سررسید]]&gt;0,Main[[#This Row],[بدهی تسویه نشده (کیلوگرم)]],0)</f>
        <v>2301</v>
      </c>
      <c r="Q2412" s="6">
        <f ca="1">IF(Main[[#This Row],[بدهی تسویه نشده (کیلوگرم)]]&gt;0,'گزارش فردی'!$B$7-Main[[#This Row],[تاريخ میلادی]],0)</f>
        <v>927.75374085648218</v>
      </c>
      <c r="R2412" s="6">
        <f ca="1">IF(Main[[#This Row],[بدهی تسویه نشده (کیلوگرم)]]&gt;0,'گزارش فردی'!$B$7-Main[[#This Row],[تاريخ میلادی]]-'گزارش فردی'!$B$8,0)</f>
        <v>912.75374085648218</v>
      </c>
      <c r="S2412" s="6">
        <f ca="1">Main[[#This Row],[روز از ارسال سفارش]]*Main[[#This Row],[بدهی تسویه نشده (کیلوگرم)]]</f>
        <v>2134761.3577107657</v>
      </c>
      <c r="T2412" s="6">
        <f ca="1">Main[[#This Row],[بدهی سررسید شده (کیلوگرم)]]*Main[[#This Row],[روز از ارسال سفارش]]</f>
        <v>2134761.3577107657</v>
      </c>
      <c r="U2412" s="6">
        <f>-SUBTOTAL(9,INDEX(Main[مقدار (کیلوگرم)],1):Main[[#This Row],[مقدار (کیلوگرم)]])</f>
        <v>34615</v>
      </c>
      <c r="V24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2" s="6">
        <f>Main[[#This Row],[تعداد کل روزهای بدهکار (روز)]]*Main[[#This Row],[مانده در خط کل (کیلوگرم)]]</f>
        <v>69230</v>
      </c>
      <c r="X2412" s="6">
        <f ca="1">-SUBTOTAL(9,INDEX(Main[مقدار تسویه شده (کیلوگرم)],1):Main[[#This Row],[مقدار تسویه شده (کیلوگرم)]])</f>
        <v>23819</v>
      </c>
      <c r="Y2412" s="6">
        <f ca="1">IF(Main[[#This Row],[مانده در خط تسویه شده (کیلوگرم)]]&lt;&gt;0,Main[[#This Row],[تعداد کل روزهای بدهکار (روز)]],0)</f>
        <v>2</v>
      </c>
      <c r="Z2412" s="6">
        <f ca="1">Main[[#This Row],[تعداد روزهای بدهکار تسویه شده (روز)]]*Main[[#This Row],[مانده در خط تسویه شده (کیلوگرم)]]</f>
        <v>47638</v>
      </c>
      <c r="AA2412" s="6">
        <f ca="1">SUBTOTAL(9,INDEX(Main[بدهی تسویه نشده (کیلوگرم)],1):Main[[#This Row],[بدهی تسویه نشده (کیلوگرم)]])</f>
        <v>10796</v>
      </c>
      <c r="AB2412" s="6">
        <f ca="1">IF(Main[[#This Row],[مانده در خط تسویه نشده (کیلوگرم)]]&lt;&gt;0,Main[[#This Row],[تعداد کل روزهای بدهکار (روز)]],0)</f>
        <v>2</v>
      </c>
      <c r="AC2412" s="6">
        <f ca="1">Main[[#This Row],[تعداد روزهای بدهکار  تسویه نشده (روز)]]*Main[[#This Row],[مانده در خط تسویه نشده (کیلوگرم)]]</f>
        <v>21592</v>
      </c>
      <c r="AD2412" s="6">
        <f ca="1">SUBTOTAL(9,INDEX(Main[بدهی سررسید شده (کیلوگرم)],1):Main[[#This Row],[بدهی سررسید شده (کیلوگرم)]])</f>
        <v>10796</v>
      </c>
      <c r="AE2412" s="6">
        <f ca="1">IF(Main[[#This Row],[مانده در خط سررسید شده (کیلوگرم)]]&lt;&gt;0,Main[[#This Row],[تعداد کل روزهای بدهکار (روز)]],0)</f>
        <v>2</v>
      </c>
      <c r="AF2412" s="6">
        <f ca="1">Main[[#This Row],[تعداد روزهای بدهکار سررسید شده (روز)]]*Main[[#This Row],[مانده در خط سررسید شده (کیلوگرم)]]</f>
        <v>21592</v>
      </c>
    </row>
    <row r="2413" spans="1:32" hidden="1" x14ac:dyDescent="0.35">
      <c r="A2413" s="5">
        <f>ROW()-ROW(INDEX(Main[ردیف],1))+1</f>
        <v>2411</v>
      </c>
      <c r="B2413" s="31">
        <f>SUBTOTAL(2,INDEX(Main[ردیف],1):Main[[#This Row],[ردیف]])</f>
        <v>218</v>
      </c>
      <c r="C2413" s="32" t="s">
        <v>798</v>
      </c>
      <c r="D2413" s="32" t="str">
        <f>_xlfn.CONCAT("14",Main[[#This Row],[تاريخ]])</f>
        <v>1400/09/14</v>
      </c>
      <c r="E2413" s="33">
        <v>44535</v>
      </c>
      <c r="F2413" s="32">
        <v>10029</v>
      </c>
      <c r="G2413" s="5" t="str">
        <f>INDEX(customer[عنوان],MATCH(Main[[#This Row],[کد ردیابی]],customer[کد],0))</f>
        <v>رضا شریعتی</v>
      </c>
      <c r="H2413">
        <v>5396</v>
      </c>
      <c r="I2413" s="6">
        <f ca="1">-Main[[#This Row],[بدهی تسویه شده (کیلوگرم)]]+Main[[#This Row],[بستانکار (کیلوگرم)]]</f>
        <v>5396</v>
      </c>
      <c r="J2413" s="6">
        <f>IF(Main[[#This Row],[مقدار (کیلوگرم)]]&gt;0,Main[[#This Row],[مقدار (کیلوگرم)]],0)</f>
        <v>5396</v>
      </c>
      <c r="K2413" s="6">
        <f>-IF(Main[[#This Row],[مقدار (کیلوگرم)]]&lt;0,Main[[#This Row],[مقدار (کیلوگرم)]],0)</f>
        <v>0</v>
      </c>
      <c r="L24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3" s="7">
        <f>-IF(AND(Main[[#This Row],[مقدار (کیلوگرم)]]&lt;0,Main[[#This Row],[تاريخ میلادی]]&gt;44276),Main[[#This Row],[مقدار (کیلوگرم)]],0)</f>
        <v>0</v>
      </c>
      <c r="N2413" s="6">
        <f ca="1">Main[[#This Row],[بدهکار (کیلوگرم)]]-Main[[#This Row],[بدهی تسویه نشده (کیلوگرم)]]</f>
        <v>0</v>
      </c>
      <c r="O2413" s="6">
        <f ca="1">Main[[#This Row],[تفکیک]]</f>
        <v>0</v>
      </c>
      <c r="P2413" s="6">
        <f ca="1">IF(Main[[#This Row],[تاخیر از سررسید]]&gt;0,Main[[#This Row],[بدهی تسویه نشده (کیلوگرم)]],0)</f>
        <v>0</v>
      </c>
      <c r="Q2413" s="6">
        <f ca="1">IF(Main[[#This Row],[بدهی تسویه نشده (کیلوگرم)]]&gt;0,'گزارش فردی'!$B$7-Main[[#This Row],[تاريخ میلادی]],0)</f>
        <v>0</v>
      </c>
      <c r="R2413" s="6">
        <f ca="1">IF(Main[[#This Row],[بدهی تسویه نشده (کیلوگرم)]]&gt;0,'گزارش فردی'!$B$7-Main[[#This Row],[تاريخ میلادی]]-'گزارش فردی'!$B$8,0)</f>
        <v>0</v>
      </c>
      <c r="S2413" s="6">
        <f ca="1">Main[[#This Row],[روز از ارسال سفارش]]*Main[[#This Row],[بدهی تسویه نشده (کیلوگرم)]]</f>
        <v>0</v>
      </c>
      <c r="T2413" s="6">
        <f ca="1">Main[[#This Row],[بدهی سررسید شده (کیلوگرم)]]*Main[[#This Row],[روز از ارسال سفارش]]</f>
        <v>0</v>
      </c>
      <c r="U2413" s="6">
        <f>-SUBTOTAL(9,INDEX(Main[مقدار (کیلوگرم)],1):Main[[#This Row],[مقدار (کیلوگرم)]])</f>
        <v>34615</v>
      </c>
      <c r="V24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3" s="6">
        <f>Main[[#This Row],[تعداد کل روزهای بدهکار (روز)]]*Main[[#This Row],[مانده در خط کل (کیلوگرم)]]</f>
        <v>69230</v>
      </c>
      <c r="X2413" s="6">
        <f ca="1">-SUBTOTAL(9,INDEX(Main[مقدار تسویه شده (کیلوگرم)],1):Main[[#This Row],[مقدار تسویه شده (کیلوگرم)]])</f>
        <v>23819</v>
      </c>
      <c r="Y2413" s="6">
        <f ca="1">IF(Main[[#This Row],[مانده در خط تسویه شده (کیلوگرم)]]&lt;&gt;0,Main[[#This Row],[تعداد کل روزهای بدهکار (روز)]],0)</f>
        <v>2</v>
      </c>
      <c r="Z2413" s="6">
        <f ca="1">Main[[#This Row],[تعداد روزهای بدهکار تسویه شده (روز)]]*Main[[#This Row],[مانده در خط تسویه شده (کیلوگرم)]]</f>
        <v>47638</v>
      </c>
      <c r="AA2413" s="6">
        <f ca="1">SUBTOTAL(9,INDEX(Main[بدهی تسویه نشده (کیلوگرم)],1):Main[[#This Row],[بدهی تسویه نشده (کیلوگرم)]])</f>
        <v>10796</v>
      </c>
      <c r="AB2413" s="6">
        <f ca="1">IF(Main[[#This Row],[مانده در خط تسویه نشده (کیلوگرم)]]&lt;&gt;0,Main[[#This Row],[تعداد کل روزهای بدهکار (روز)]],0)</f>
        <v>2</v>
      </c>
      <c r="AC2413" s="6">
        <f ca="1">Main[[#This Row],[تعداد روزهای بدهکار  تسویه نشده (روز)]]*Main[[#This Row],[مانده در خط تسویه نشده (کیلوگرم)]]</f>
        <v>21592</v>
      </c>
      <c r="AD2413" s="6">
        <f ca="1">SUBTOTAL(9,INDEX(Main[بدهی سررسید شده (کیلوگرم)],1):Main[[#This Row],[بدهی سررسید شده (کیلوگرم)]])</f>
        <v>10796</v>
      </c>
      <c r="AE2413" s="6">
        <f ca="1">IF(Main[[#This Row],[مانده در خط سررسید شده (کیلوگرم)]]&lt;&gt;0,Main[[#This Row],[تعداد کل روزهای بدهکار (روز)]],0)</f>
        <v>2</v>
      </c>
      <c r="AF2413" s="6">
        <f ca="1">Main[[#This Row],[تعداد روزهای بدهکار سررسید شده (روز)]]*Main[[#This Row],[مانده در خط سررسید شده (کیلوگرم)]]</f>
        <v>21592</v>
      </c>
    </row>
    <row r="2414" spans="1:32" hidden="1" x14ac:dyDescent="0.35">
      <c r="A2414" s="5">
        <f>ROW()-ROW(INDEX(Main[ردیف],1))+1</f>
        <v>2412</v>
      </c>
      <c r="B2414" s="31">
        <f>SUBTOTAL(2,INDEX(Main[ردیف],1):Main[[#This Row],[ردیف]])</f>
        <v>218</v>
      </c>
      <c r="C2414" s="32" t="s">
        <v>798</v>
      </c>
      <c r="D2414" s="32" t="str">
        <f>_xlfn.CONCAT("14",Main[[#This Row],[تاريخ]])</f>
        <v>1400/09/14</v>
      </c>
      <c r="E2414" s="33">
        <v>44535</v>
      </c>
      <c r="F2414" s="32">
        <v>30006</v>
      </c>
      <c r="G2414" s="5" t="str">
        <f>INDEX(customer[عنوان],MATCH(Main[[#This Row],[کد ردیابی]],customer[کد],0))</f>
        <v xml:space="preserve">توان جم </v>
      </c>
      <c r="H2414">
        <v>-2628</v>
      </c>
      <c r="I2414" s="6">
        <f ca="1">-Main[[#This Row],[بدهی تسویه شده (کیلوگرم)]]+Main[[#This Row],[بستانکار (کیلوگرم)]]</f>
        <v>0</v>
      </c>
      <c r="J2414" s="6">
        <f>IF(Main[[#This Row],[مقدار (کیلوگرم)]]&gt;0,Main[[#This Row],[مقدار (کیلوگرم)]],0)</f>
        <v>0</v>
      </c>
      <c r="K2414" s="6">
        <f>-IF(Main[[#This Row],[مقدار (کیلوگرم)]]&lt;0,Main[[#This Row],[مقدار (کیلوگرم)]],0)</f>
        <v>2628</v>
      </c>
      <c r="L24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2628</v>
      </c>
      <c r="M2414" s="7">
        <f>-IF(AND(Main[[#This Row],[مقدار (کیلوگرم)]]&lt;0,Main[[#This Row],[تاريخ میلادی]]&gt;44276),Main[[#This Row],[مقدار (کیلوگرم)]],0)</f>
        <v>2628</v>
      </c>
      <c r="N2414" s="6">
        <f ca="1">Main[[#This Row],[بدهکار (کیلوگرم)]]-Main[[#This Row],[بدهی تسویه نشده (کیلوگرم)]]</f>
        <v>0</v>
      </c>
      <c r="O2414" s="6">
        <f ca="1">Main[[#This Row],[تفکیک]]</f>
        <v>2628</v>
      </c>
      <c r="P2414" s="6">
        <f ca="1">IF(Main[[#This Row],[تاخیر از سررسید]]&gt;0,Main[[#This Row],[بدهی تسویه نشده (کیلوگرم)]],0)</f>
        <v>2628</v>
      </c>
      <c r="Q2414" s="6">
        <f ca="1">IF(Main[[#This Row],[بدهی تسویه نشده (کیلوگرم)]]&gt;0,'گزارش فردی'!$B$7-Main[[#This Row],[تاريخ میلادی]],0)</f>
        <v>927.75374085648218</v>
      </c>
      <c r="R2414" s="6">
        <f ca="1">IF(Main[[#This Row],[بدهی تسویه نشده (کیلوگرم)]]&gt;0,'گزارش فردی'!$B$7-Main[[#This Row],[تاريخ میلادی]]-'گزارش فردی'!$B$8,0)</f>
        <v>912.75374085648218</v>
      </c>
      <c r="S2414" s="6">
        <f ca="1">Main[[#This Row],[روز از ارسال سفارش]]*Main[[#This Row],[بدهی تسویه نشده (کیلوگرم)]]</f>
        <v>2438136.8309708349</v>
      </c>
      <c r="T2414" s="6">
        <f ca="1">Main[[#This Row],[بدهی سررسید شده (کیلوگرم)]]*Main[[#This Row],[روز از ارسال سفارش]]</f>
        <v>2438136.8309708349</v>
      </c>
      <c r="U2414" s="6">
        <f>-SUBTOTAL(9,INDEX(Main[مقدار (کیلوگرم)],1):Main[[#This Row],[مقدار (کیلوگرم)]])</f>
        <v>34615</v>
      </c>
      <c r="V24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4" s="6">
        <f>Main[[#This Row],[تعداد کل روزهای بدهکار (روز)]]*Main[[#This Row],[مانده در خط کل (کیلوگرم)]]</f>
        <v>69230</v>
      </c>
      <c r="X2414" s="6">
        <f ca="1">-SUBTOTAL(9,INDEX(Main[مقدار تسویه شده (کیلوگرم)],1):Main[[#This Row],[مقدار تسویه شده (کیلوگرم)]])</f>
        <v>23819</v>
      </c>
      <c r="Y2414" s="6">
        <f ca="1">IF(Main[[#This Row],[مانده در خط تسویه شده (کیلوگرم)]]&lt;&gt;0,Main[[#This Row],[تعداد کل روزهای بدهکار (روز)]],0)</f>
        <v>2</v>
      </c>
      <c r="Z2414" s="6">
        <f ca="1">Main[[#This Row],[تعداد روزهای بدهکار تسویه شده (روز)]]*Main[[#This Row],[مانده در خط تسویه شده (کیلوگرم)]]</f>
        <v>47638</v>
      </c>
      <c r="AA2414" s="6">
        <f ca="1">SUBTOTAL(9,INDEX(Main[بدهی تسویه نشده (کیلوگرم)],1):Main[[#This Row],[بدهی تسویه نشده (کیلوگرم)]])</f>
        <v>10796</v>
      </c>
      <c r="AB2414" s="6">
        <f ca="1">IF(Main[[#This Row],[مانده در خط تسویه نشده (کیلوگرم)]]&lt;&gt;0,Main[[#This Row],[تعداد کل روزهای بدهکار (روز)]],0)</f>
        <v>2</v>
      </c>
      <c r="AC2414" s="6">
        <f ca="1">Main[[#This Row],[تعداد روزهای بدهکار  تسویه نشده (روز)]]*Main[[#This Row],[مانده در خط تسویه نشده (کیلوگرم)]]</f>
        <v>21592</v>
      </c>
      <c r="AD2414" s="6">
        <f ca="1">SUBTOTAL(9,INDEX(Main[بدهی سررسید شده (کیلوگرم)],1):Main[[#This Row],[بدهی سررسید شده (کیلوگرم)]])</f>
        <v>10796</v>
      </c>
      <c r="AE2414" s="6">
        <f ca="1">IF(Main[[#This Row],[مانده در خط سررسید شده (کیلوگرم)]]&lt;&gt;0,Main[[#This Row],[تعداد کل روزهای بدهکار (روز)]],0)</f>
        <v>2</v>
      </c>
      <c r="AF2414" s="6">
        <f ca="1">Main[[#This Row],[تعداد روزهای بدهکار سررسید شده (روز)]]*Main[[#This Row],[مانده در خط سررسید شده (کیلوگرم)]]</f>
        <v>21592</v>
      </c>
    </row>
    <row r="2415" spans="1:32" hidden="1" x14ac:dyDescent="0.35">
      <c r="A2415" s="5">
        <f>ROW()-ROW(INDEX(Main[ردیف],1))+1</f>
        <v>2413</v>
      </c>
      <c r="B2415" s="31">
        <f>SUBTOTAL(2,INDEX(Main[ردیف],1):Main[[#This Row],[ردیف]])</f>
        <v>218</v>
      </c>
      <c r="C2415" s="32" t="s">
        <v>798</v>
      </c>
      <c r="D2415" s="32" t="str">
        <f>_xlfn.CONCAT("14",Main[[#This Row],[تاريخ]])</f>
        <v>1400/09/14</v>
      </c>
      <c r="E2415" s="33">
        <v>44535</v>
      </c>
      <c r="F2415" s="32">
        <v>30003</v>
      </c>
      <c r="G2415" s="5" t="str">
        <f>INDEX(customer[عنوان],MATCH(Main[[#This Row],[کد ردیابی]],customer[کد],0))</f>
        <v xml:space="preserve">شهاب گاز سوز </v>
      </c>
      <c r="H2415">
        <v>-622</v>
      </c>
      <c r="I2415" s="6">
        <f ca="1">-Main[[#This Row],[بدهی تسویه شده (کیلوگرم)]]+Main[[#This Row],[بستانکار (کیلوگرم)]]</f>
        <v>0</v>
      </c>
      <c r="J2415" s="6">
        <f>IF(Main[[#This Row],[مقدار (کیلوگرم)]]&gt;0,Main[[#This Row],[مقدار (کیلوگرم)]],0)</f>
        <v>0</v>
      </c>
      <c r="K2415" s="6">
        <f>-IF(Main[[#This Row],[مقدار (کیلوگرم)]]&lt;0,Main[[#This Row],[مقدار (کیلوگرم)]],0)</f>
        <v>622</v>
      </c>
      <c r="L24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622</v>
      </c>
      <c r="M2415" s="7">
        <f>-IF(AND(Main[[#This Row],[مقدار (کیلوگرم)]]&lt;0,Main[[#This Row],[تاريخ میلادی]]&gt;44276),Main[[#This Row],[مقدار (کیلوگرم)]],0)</f>
        <v>622</v>
      </c>
      <c r="N2415" s="6">
        <f ca="1">Main[[#This Row],[بدهکار (کیلوگرم)]]-Main[[#This Row],[بدهی تسویه نشده (کیلوگرم)]]</f>
        <v>0</v>
      </c>
      <c r="O2415" s="6">
        <f ca="1">Main[[#This Row],[تفکیک]]</f>
        <v>622</v>
      </c>
      <c r="P2415" s="6">
        <f ca="1">IF(Main[[#This Row],[تاخیر از سررسید]]&gt;0,Main[[#This Row],[بدهی تسویه نشده (کیلوگرم)]],0)</f>
        <v>622</v>
      </c>
      <c r="Q2415" s="6">
        <f ca="1">IF(Main[[#This Row],[بدهی تسویه نشده (کیلوگرم)]]&gt;0,'گزارش فردی'!$B$7-Main[[#This Row],[تاريخ میلادی]],0)</f>
        <v>927.75374085648218</v>
      </c>
      <c r="R2415" s="6">
        <f ca="1">IF(Main[[#This Row],[بدهی تسویه نشده (کیلوگرم)]]&gt;0,'گزارش فردی'!$B$7-Main[[#This Row],[تاريخ میلادی]]-'گزارش فردی'!$B$8,0)</f>
        <v>912.75374085648218</v>
      </c>
      <c r="S2415" s="6">
        <f ca="1">Main[[#This Row],[روز از ارسال سفارش]]*Main[[#This Row],[بدهی تسویه نشده (کیلوگرم)]]</f>
        <v>577062.82681273192</v>
      </c>
      <c r="T2415" s="6">
        <f ca="1">Main[[#This Row],[بدهی سررسید شده (کیلوگرم)]]*Main[[#This Row],[روز از ارسال سفارش]]</f>
        <v>577062.82681273192</v>
      </c>
      <c r="U2415" s="6">
        <f>-SUBTOTAL(9,INDEX(Main[مقدار (کیلوگرم)],1):Main[[#This Row],[مقدار (کیلوگرم)]])</f>
        <v>34615</v>
      </c>
      <c r="V24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5" s="6">
        <f>Main[[#This Row],[تعداد کل روزهای بدهکار (روز)]]*Main[[#This Row],[مانده در خط کل (کیلوگرم)]]</f>
        <v>69230</v>
      </c>
      <c r="X2415" s="6">
        <f ca="1">-SUBTOTAL(9,INDEX(Main[مقدار تسویه شده (کیلوگرم)],1):Main[[#This Row],[مقدار تسویه شده (کیلوگرم)]])</f>
        <v>23819</v>
      </c>
      <c r="Y2415" s="6">
        <f ca="1">IF(Main[[#This Row],[مانده در خط تسویه شده (کیلوگرم)]]&lt;&gt;0,Main[[#This Row],[تعداد کل روزهای بدهکار (روز)]],0)</f>
        <v>2</v>
      </c>
      <c r="Z2415" s="6">
        <f ca="1">Main[[#This Row],[تعداد روزهای بدهکار تسویه شده (روز)]]*Main[[#This Row],[مانده در خط تسویه شده (کیلوگرم)]]</f>
        <v>47638</v>
      </c>
      <c r="AA2415" s="6">
        <f ca="1">SUBTOTAL(9,INDEX(Main[بدهی تسویه نشده (کیلوگرم)],1):Main[[#This Row],[بدهی تسویه نشده (کیلوگرم)]])</f>
        <v>10796</v>
      </c>
      <c r="AB2415" s="6">
        <f ca="1">IF(Main[[#This Row],[مانده در خط تسویه نشده (کیلوگرم)]]&lt;&gt;0,Main[[#This Row],[تعداد کل روزهای بدهکار (روز)]],0)</f>
        <v>2</v>
      </c>
      <c r="AC2415" s="6">
        <f ca="1">Main[[#This Row],[تعداد روزهای بدهکار  تسویه نشده (روز)]]*Main[[#This Row],[مانده در خط تسویه نشده (کیلوگرم)]]</f>
        <v>21592</v>
      </c>
      <c r="AD2415" s="6">
        <f ca="1">SUBTOTAL(9,INDEX(Main[بدهی سررسید شده (کیلوگرم)],1):Main[[#This Row],[بدهی سررسید شده (کیلوگرم)]])</f>
        <v>10796</v>
      </c>
      <c r="AE2415" s="6">
        <f ca="1">IF(Main[[#This Row],[مانده در خط سررسید شده (کیلوگرم)]]&lt;&gt;0,Main[[#This Row],[تعداد کل روزهای بدهکار (روز)]],0)</f>
        <v>2</v>
      </c>
      <c r="AF2415" s="6">
        <f ca="1">Main[[#This Row],[تعداد روزهای بدهکار سررسید شده (روز)]]*Main[[#This Row],[مانده در خط سررسید شده (کیلوگرم)]]</f>
        <v>21592</v>
      </c>
    </row>
    <row r="2416" spans="1:32" hidden="1" x14ac:dyDescent="0.35">
      <c r="A2416" s="5">
        <f>ROW()-ROW(INDEX(Main[ردیف],1))+1</f>
        <v>2414</v>
      </c>
      <c r="B2416" s="31">
        <f>SUBTOTAL(2,INDEX(Main[ردیف],1):Main[[#This Row],[ردیف]])</f>
        <v>218</v>
      </c>
      <c r="C2416" s="32" t="s">
        <v>803</v>
      </c>
      <c r="D2416" s="32" t="str">
        <f>_xlfn.CONCAT("14",Main[[#This Row],[تاريخ]])</f>
        <v>1400/09/15</v>
      </c>
      <c r="E2416" s="33">
        <v>44536</v>
      </c>
      <c r="F2416" s="32">
        <v>30004</v>
      </c>
      <c r="G2416" s="5" t="str">
        <f>INDEX(customer[عنوان],MATCH(Main[[#This Row],[کد ردیابی]],customer[کد],0))</f>
        <v>تولیدی صنعتی صفاشیر پارس</v>
      </c>
      <c r="H2416">
        <v>2312</v>
      </c>
      <c r="I2416" s="6">
        <f ca="1">-Main[[#This Row],[بدهی تسویه شده (کیلوگرم)]]+Main[[#This Row],[بستانکار (کیلوگرم)]]</f>
        <v>2312</v>
      </c>
      <c r="J2416" s="6">
        <f>IF(Main[[#This Row],[مقدار (کیلوگرم)]]&gt;0,Main[[#This Row],[مقدار (کیلوگرم)]],0)</f>
        <v>2312</v>
      </c>
      <c r="K2416" s="6">
        <f>-IF(Main[[#This Row],[مقدار (کیلوگرم)]]&lt;0,Main[[#This Row],[مقدار (کیلوگرم)]],0)</f>
        <v>0</v>
      </c>
      <c r="L24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6" s="7">
        <f>-IF(AND(Main[[#This Row],[مقدار (کیلوگرم)]]&lt;0,Main[[#This Row],[تاريخ میلادی]]&gt;44276),Main[[#This Row],[مقدار (کیلوگرم)]],0)</f>
        <v>0</v>
      </c>
      <c r="N2416" s="6">
        <f ca="1">Main[[#This Row],[بدهکار (کیلوگرم)]]-Main[[#This Row],[بدهی تسویه نشده (کیلوگرم)]]</f>
        <v>0</v>
      </c>
      <c r="O2416" s="6">
        <f ca="1">Main[[#This Row],[تفکیک]]</f>
        <v>0</v>
      </c>
      <c r="P2416" s="6">
        <f ca="1">IF(Main[[#This Row],[تاخیر از سررسید]]&gt;0,Main[[#This Row],[بدهی تسویه نشده (کیلوگرم)]],0)</f>
        <v>0</v>
      </c>
      <c r="Q2416" s="6">
        <f ca="1">IF(Main[[#This Row],[بدهی تسویه نشده (کیلوگرم)]]&gt;0,'گزارش فردی'!$B$7-Main[[#This Row],[تاريخ میلادی]],0)</f>
        <v>0</v>
      </c>
      <c r="R2416" s="6">
        <f ca="1">IF(Main[[#This Row],[بدهی تسویه نشده (کیلوگرم)]]&gt;0,'گزارش فردی'!$B$7-Main[[#This Row],[تاريخ میلادی]]-'گزارش فردی'!$B$8,0)</f>
        <v>0</v>
      </c>
      <c r="S2416" s="6">
        <f ca="1">Main[[#This Row],[روز از ارسال سفارش]]*Main[[#This Row],[بدهی تسویه نشده (کیلوگرم)]]</f>
        <v>0</v>
      </c>
      <c r="T2416" s="6">
        <f ca="1">Main[[#This Row],[بدهی سررسید شده (کیلوگرم)]]*Main[[#This Row],[روز از ارسال سفارش]]</f>
        <v>0</v>
      </c>
      <c r="U2416" s="6">
        <f>-SUBTOTAL(9,INDEX(Main[مقدار (کیلوگرم)],1):Main[[#This Row],[مقدار (کیلوگرم)]])</f>
        <v>34615</v>
      </c>
      <c r="V24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6" s="6">
        <f>Main[[#This Row],[تعداد کل روزهای بدهکار (روز)]]*Main[[#This Row],[مانده در خط کل (کیلوگرم)]]</f>
        <v>34615</v>
      </c>
      <c r="X2416" s="6">
        <f ca="1">-SUBTOTAL(9,INDEX(Main[مقدار تسویه شده (کیلوگرم)],1):Main[[#This Row],[مقدار تسویه شده (کیلوگرم)]])</f>
        <v>23819</v>
      </c>
      <c r="Y2416" s="6">
        <f ca="1">IF(Main[[#This Row],[مانده در خط تسویه شده (کیلوگرم)]]&lt;&gt;0,Main[[#This Row],[تعداد کل روزهای بدهکار (روز)]],0)</f>
        <v>1</v>
      </c>
      <c r="Z2416" s="6">
        <f ca="1">Main[[#This Row],[تعداد روزهای بدهکار تسویه شده (روز)]]*Main[[#This Row],[مانده در خط تسویه شده (کیلوگرم)]]</f>
        <v>23819</v>
      </c>
      <c r="AA2416" s="6">
        <f ca="1">SUBTOTAL(9,INDEX(Main[بدهی تسویه نشده (کیلوگرم)],1):Main[[#This Row],[بدهی تسویه نشده (کیلوگرم)]])</f>
        <v>10796</v>
      </c>
      <c r="AB2416" s="6">
        <f ca="1">IF(Main[[#This Row],[مانده در خط تسویه نشده (کیلوگرم)]]&lt;&gt;0,Main[[#This Row],[تعداد کل روزهای بدهکار (روز)]],0)</f>
        <v>1</v>
      </c>
      <c r="AC2416" s="6">
        <f ca="1">Main[[#This Row],[تعداد روزهای بدهکار  تسویه نشده (روز)]]*Main[[#This Row],[مانده در خط تسویه نشده (کیلوگرم)]]</f>
        <v>10796</v>
      </c>
      <c r="AD2416" s="6">
        <f ca="1">SUBTOTAL(9,INDEX(Main[بدهی سررسید شده (کیلوگرم)],1):Main[[#This Row],[بدهی سررسید شده (کیلوگرم)]])</f>
        <v>10796</v>
      </c>
      <c r="AE2416" s="6">
        <f ca="1">IF(Main[[#This Row],[مانده در خط سررسید شده (کیلوگرم)]]&lt;&gt;0,Main[[#This Row],[تعداد کل روزهای بدهکار (روز)]],0)</f>
        <v>1</v>
      </c>
      <c r="AF2416" s="6">
        <f ca="1">Main[[#This Row],[تعداد روزهای بدهکار سررسید شده (روز)]]*Main[[#This Row],[مانده در خط سررسید شده (کیلوگرم)]]</f>
        <v>10796</v>
      </c>
    </row>
    <row r="2417" spans="1:32" hidden="1" x14ac:dyDescent="0.35">
      <c r="A2417" s="5">
        <f>ROW()-ROW(INDEX(Main[ردیف],1))+1</f>
        <v>2415</v>
      </c>
      <c r="B2417" s="31">
        <f>SUBTOTAL(2,INDEX(Main[ردیف],1):Main[[#This Row],[ردیف]])</f>
        <v>218</v>
      </c>
      <c r="C2417" s="32" t="s">
        <v>803</v>
      </c>
      <c r="D2417" s="32" t="str">
        <f>_xlfn.CONCAT("14",Main[[#This Row],[تاريخ]])</f>
        <v>1400/09/15</v>
      </c>
      <c r="E2417" s="33">
        <v>44536</v>
      </c>
      <c r="F2417" s="32">
        <v>30004</v>
      </c>
      <c r="G2417" s="5" t="str">
        <f>INDEX(customer[عنوان],MATCH(Main[[#This Row],[کد ردیابی]],customer[کد],0))</f>
        <v>تولیدی صنعتی صفاشیر پارس</v>
      </c>
      <c r="H2417">
        <v>-4419</v>
      </c>
      <c r="I2417" s="6">
        <f ca="1">-Main[[#This Row],[بدهی تسویه شده (کیلوگرم)]]+Main[[#This Row],[بستانکار (کیلوگرم)]]</f>
        <v>0</v>
      </c>
      <c r="J2417" s="6">
        <f>IF(Main[[#This Row],[مقدار (کیلوگرم)]]&gt;0,Main[[#This Row],[مقدار (کیلوگرم)]],0)</f>
        <v>0</v>
      </c>
      <c r="K2417" s="6">
        <f>-IF(Main[[#This Row],[مقدار (کیلوگرم)]]&lt;0,Main[[#This Row],[مقدار (کیلوگرم)]],0)</f>
        <v>4419</v>
      </c>
      <c r="L24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4419</v>
      </c>
      <c r="M2417" s="7">
        <f>-IF(AND(Main[[#This Row],[مقدار (کیلوگرم)]]&lt;0,Main[[#This Row],[تاريخ میلادی]]&gt;44276),Main[[#This Row],[مقدار (کیلوگرم)]],0)</f>
        <v>4419</v>
      </c>
      <c r="N2417" s="6">
        <f ca="1">Main[[#This Row],[بدهکار (کیلوگرم)]]-Main[[#This Row],[بدهی تسویه نشده (کیلوگرم)]]</f>
        <v>0</v>
      </c>
      <c r="O2417" s="6">
        <f ca="1">Main[[#This Row],[تفکیک]]</f>
        <v>4419</v>
      </c>
      <c r="P2417" s="6">
        <f ca="1">IF(Main[[#This Row],[تاخیر از سررسید]]&gt;0,Main[[#This Row],[بدهی تسویه نشده (کیلوگرم)]],0)</f>
        <v>4419</v>
      </c>
      <c r="Q2417" s="6">
        <f ca="1">IF(Main[[#This Row],[بدهی تسویه نشده (کیلوگرم)]]&gt;0,'گزارش فردی'!$B$7-Main[[#This Row],[تاريخ میلادی]],0)</f>
        <v>926.75374085648218</v>
      </c>
      <c r="R2417" s="6">
        <f ca="1">IF(Main[[#This Row],[بدهی تسویه نشده (کیلوگرم)]]&gt;0,'گزارش فردی'!$B$7-Main[[#This Row],[تاريخ میلادی]]-'گزارش فردی'!$B$8,0)</f>
        <v>911.75374085648218</v>
      </c>
      <c r="S2417" s="6">
        <f ca="1">Main[[#This Row],[روز از ارسال سفارش]]*Main[[#This Row],[بدهی تسویه نشده (کیلوگرم)]]</f>
        <v>4095324.7808447946</v>
      </c>
      <c r="T2417" s="6">
        <f ca="1">Main[[#This Row],[بدهی سررسید شده (کیلوگرم)]]*Main[[#This Row],[روز از ارسال سفارش]]</f>
        <v>4095324.7808447946</v>
      </c>
      <c r="U2417" s="6">
        <f>-SUBTOTAL(9,INDEX(Main[مقدار (کیلوگرم)],1):Main[[#This Row],[مقدار (کیلوگرم)]])</f>
        <v>34615</v>
      </c>
      <c r="V24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7" s="6">
        <f>Main[[#This Row],[تعداد کل روزهای بدهکار (روز)]]*Main[[#This Row],[مانده در خط کل (کیلوگرم)]]</f>
        <v>34615</v>
      </c>
      <c r="X2417" s="6">
        <f ca="1">-SUBTOTAL(9,INDEX(Main[مقدار تسویه شده (کیلوگرم)],1):Main[[#This Row],[مقدار تسویه شده (کیلوگرم)]])</f>
        <v>23819</v>
      </c>
      <c r="Y2417" s="6">
        <f ca="1">IF(Main[[#This Row],[مانده در خط تسویه شده (کیلوگرم)]]&lt;&gt;0,Main[[#This Row],[تعداد کل روزهای بدهکار (روز)]],0)</f>
        <v>1</v>
      </c>
      <c r="Z2417" s="6">
        <f ca="1">Main[[#This Row],[تعداد روزهای بدهکار تسویه شده (روز)]]*Main[[#This Row],[مانده در خط تسویه شده (کیلوگرم)]]</f>
        <v>23819</v>
      </c>
      <c r="AA2417" s="6">
        <f ca="1">SUBTOTAL(9,INDEX(Main[بدهی تسویه نشده (کیلوگرم)],1):Main[[#This Row],[بدهی تسویه نشده (کیلوگرم)]])</f>
        <v>10796</v>
      </c>
      <c r="AB2417" s="6">
        <f ca="1">IF(Main[[#This Row],[مانده در خط تسویه نشده (کیلوگرم)]]&lt;&gt;0,Main[[#This Row],[تعداد کل روزهای بدهکار (روز)]],0)</f>
        <v>1</v>
      </c>
      <c r="AC2417" s="6">
        <f ca="1">Main[[#This Row],[تعداد روزهای بدهکار  تسویه نشده (روز)]]*Main[[#This Row],[مانده در خط تسویه نشده (کیلوگرم)]]</f>
        <v>10796</v>
      </c>
      <c r="AD2417" s="6">
        <f ca="1">SUBTOTAL(9,INDEX(Main[بدهی سررسید شده (کیلوگرم)],1):Main[[#This Row],[بدهی سررسید شده (کیلوگرم)]])</f>
        <v>10796</v>
      </c>
      <c r="AE2417" s="6">
        <f ca="1">IF(Main[[#This Row],[مانده در خط سررسید شده (کیلوگرم)]]&lt;&gt;0,Main[[#This Row],[تعداد کل روزهای بدهکار (روز)]],0)</f>
        <v>1</v>
      </c>
      <c r="AF2417" s="6">
        <f ca="1">Main[[#This Row],[تعداد روزهای بدهکار سررسید شده (روز)]]*Main[[#This Row],[مانده در خط سررسید شده (کیلوگرم)]]</f>
        <v>10796</v>
      </c>
    </row>
    <row r="2418" spans="1:32" hidden="1" x14ac:dyDescent="0.35">
      <c r="A2418" s="5">
        <f>ROW()-ROW(INDEX(Main[ردیف],1))+1</f>
        <v>2416</v>
      </c>
      <c r="B2418" s="31">
        <f>SUBTOTAL(2,INDEX(Main[ردیف],1):Main[[#This Row],[ردیف]])</f>
        <v>218</v>
      </c>
      <c r="C2418" s="32" t="s">
        <v>803</v>
      </c>
      <c r="D2418" s="32" t="str">
        <f>_xlfn.CONCAT("14",Main[[#This Row],[تاريخ]])</f>
        <v>1400/09/15</v>
      </c>
      <c r="E2418" s="33">
        <v>44536</v>
      </c>
      <c r="F2418" s="32">
        <v>30200</v>
      </c>
      <c r="G2418" s="5" t="str">
        <f>INDEX(customer[عنوان],MATCH(Main[[#This Row],[کد ردیابی]],customer[کد],0))</f>
        <v>تولیدی پیام</v>
      </c>
      <c r="H2418">
        <v>616</v>
      </c>
      <c r="I2418" s="6">
        <f ca="1">-Main[[#This Row],[بدهی تسویه شده (کیلوگرم)]]+Main[[#This Row],[بستانکار (کیلوگرم)]]</f>
        <v>616</v>
      </c>
      <c r="J2418" s="6">
        <f>IF(Main[[#This Row],[مقدار (کیلوگرم)]]&gt;0,Main[[#This Row],[مقدار (کیلوگرم)]],0)</f>
        <v>616</v>
      </c>
      <c r="K2418" s="6">
        <f>-IF(Main[[#This Row],[مقدار (کیلوگرم)]]&lt;0,Main[[#This Row],[مقدار (کیلوگرم)]],0)</f>
        <v>0</v>
      </c>
      <c r="L24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8" s="7">
        <f>-IF(AND(Main[[#This Row],[مقدار (کیلوگرم)]]&lt;0,Main[[#This Row],[تاريخ میلادی]]&gt;44276),Main[[#This Row],[مقدار (کیلوگرم)]],0)</f>
        <v>0</v>
      </c>
      <c r="N2418" s="6">
        <f ca="1">Main[[#This Row],[بدهکار (کیلوگرم)]]-Main[[#This Row],[بدهی تسویه نشده (کیلوگرم)]]</f>
        <v>0</v>
      </c>
      <c r="O2418" s="6">
        <f ca="1">Main[[#This Row],[تفکیک]]</f>
        <v>0</v>
      </c>
      <c r="P2418" s="6">
        <f ca="1">IF(Main[[#This Row],[تاخیر از سررسید]]&gt;0,Main[[#This Row],[بدهی تسویه نشده (کیلوگرم)]],0)</f>
        <v>0</v>
      </c>
      <c r="Q2418" s="6">
        <f ca="1">IF(Main[[#This Row],[بدهی تسویه نشده (کیلوگرم)]]&gt;0,'گزارش فردی'!$B$7-Main[[#This Row],[تاريخ میلادی]],0)</f>
        <v>0</v>
      </c>
      <c r="R2418" s="6">
        <f ca="1">IF(Main[[#This Row],[بدهی تسویه نشده (کیلوگرم)]]&gt;0,'گزارش فردی'!$B$7-Main[[#This Row],[تاريخ میلادی]]-'گزارش فردی'!$B$8,0)</f>
        <v>0</v>
      </c>
      <c r="S2418" s="6">
        <f ca="1">Main[[#This Row],[روز از ارسال سفارش]]*Main[[#This Row],[بدهی تسویه نشده (کیلوگرم)]]</f>
        <v>0</v>
      </c>
      <c r="T2418" s="6">
        <f ca="1">Main[[#This Row],[بدهی سررسید شده (کیلوگرم)]]*Main[[#This Row],[روز از ارسال سفارش]]</f>
        <v>0</v>
      </c>
      <c r="U2418" s="6">
        <f>-SUBTOTAL(9,INDEX(Main[مقدار (کیلوگرم)],1):Main[[#This Row],[مقدار (کیلوگرم)]])</f>
        <v>34615</v>
      </c>
      <c r="V24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8" s="6">
        <f>Main[[#This Row],[تعداد کل روزهای بدهکار (روز)]]*Main[[#This Row],[مانده در خط کل (کیلوگرم)]]</f>
        <v>34615</v>
      </c>
      <c r="X2418" s="6">
        <f ca="1">-SUBTOTAL(9,INDEX(Main[مقدار تسویه شده (کیلوگرم)],1):Main[[#This Row],[مقدار تسویه شده (کیلوگرم)]])</f>
        <v>23819</v>
      </c>
      <c r="Y2418" s="6">
        <f ca="1">IF(Main[[#This Row],[مانده در خط تسویه شده (کیلوگرم)]]&lt;&gt;0,Main[[#This Row],[تعداد کل روزهای بدهکار (روز)]],0)</f>
        <v>1</v>
      </c>
      <c r="Z2418" s="6">
        <f ca="1">Main[[#This Row],[تعداد روزهای بدهکار تسویه شده (روز)]]*Main[[#This Row],[مانده در خط تسویه شده (کیلوگرم)]]</f>
        <v>23819</v>
      </c>
      <c r="AA2418" s="6">
        <f ca="1">SUBTOTAL(9,INDEX(Main[بدهی تسویه نشده (کیلوگرم)],1):Main[[#This Row],[بدهی تسویه نشده (کیلوگرم)]])</f>
        <v>10796</v>
      </c>
      <c r="AB2418" s="6">
        <f ca="1">IF(Main[[#This Row],[مانده در خط تسویه نشده (کیلوگرم)]]&lt;&gt;0,Main[[#This Row],[تعداد کل روزهای بدهکار (روز)]],0)</f>
        <v>1</v>
      </c>
      <c r="AC2418" s="6">
        <f ca="1">Main[[#This Row],[تعداد روزهای بدهکار  تسویه نشده (روز)]]*Main[[#This Row],[مانده در خط تسویه نشده (کیلوگرم)]]</f>
        <v>10796</v>
      </c>
      <c r="AD2418" s="6">
        <f ca="1">SUBTOTAL(9,INDEX(Main[بدهی سررسید شده (کیلوگرم)],1):Main[[#This Row],[بدهی سررسید شده (کیلوگرم)]])</f>
        <v>10796</v>
      </c>
      <c r="AE2418" s="6">
        <f ca="1">IF(Main[[#This Row],[مانده در خط سررسید شده (کیلوگرم)]]&lt;&gt;0,Main[[#This Row],[تعداد کل روزهای بدهکار (روز)]],0)</f>
        <v>1</v>
      </c>
      <c r="AF2418" s="6">
        <f ca="1">Main[[#This Row],[تعداد روزهای بدهکار سررسید شده (روز)]]*Main[[#This Row],[مانده در خط سررسید شده (کیلوگرم)]]</f>
        <v>10796</v>
      </c>
    </row>
    <row r="2419" spans="1:32" hidden="1" x14ac:dyDescent="0.35">
      <c r="A2419" s="5">
        <f>ROW()-ROW(INDEX(Main[ردیف],1))+1</f>
        <v>2417</v>
      </c>
      <c r="B2419" s="31">
        <f>SUBTOTAL(2,INDEX(Main[ردیف],1):Main[[#This Row],[ردیف]])</f>
        <v>218</v>
      </c>
      <c r="C2419" s="32" t="s">
        <v>803</v>
      </c>
      <c r="D2419" s="32" t="str">
        <f>_xlfn.CONCAT("14",Main[[#This Row],[تاريخ]])</f>
        <v>1400/09/15</v>
      </c>
      <c r="E2419" s="33">
        <v>44536</v>
      </c>
      <c r="F2419" s="32">
        <v>10029</v>
      </c>
      <c r="G2419" s="5" t="str">
        <f>INDEX(customer[عنوان],MATCH(Main[[#This Row],[کد ردیابی]],customer[کد],0))</f>
        <v>رضا شریعتی</v>
      </c>
      <c r="H2419">
        <v>-787</v>
      </c>
      <c r="I2419" s="6">
        <f ca="1">-Main[[#This Row],[بدهی تسویه شده (کیلوگرم)]]+Main[[#This Row],[بستانکار (کیلوگرم)]]</f>
        <v>0</v>
      </c>
      <c r="J2419" s="6">
        <f>IF(Main[[#This Row],[مقدار (کیلوگرم)]]&gt;0,Main[[#This Row],[مقدار (کیلوگرم)]],0)</f>
        <v>0</v>
      </c>
      <c r="K2419" s="6">
        <f>-IF(Main[[#This Row],[مقدار (کیلوگرم)]]&lt;0,Main[[#This Row],[مقدار (کیلوگرم)]],0)</f>
        <v>787</v>
      </c>
      <c r="L24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787</v>
      </c>
      <c r="M2419" s="7">
        <f>-IF(AND(Main[[#This Row],[مقدار (کیلوگرم)]]&lt;0,Main[[#This Row],[تاريخ میلادی]]&gt;44276),Main[[#This Row],[مقدار (کیلوگرم)]],0)</f>
        <v>787</v>
      </c>
      <c r="N2419" s="6">
        <f ca="1">Main[[#This Row],[بدهکار (کیلوگرم)]]-Main[[#This Row],[بدهی تسویه نشده (کیلوگرم)]]</f>
        <v>0</v>
      </c>
      <c r="O2419" s="6">
        <f ca="1">Main[[#This Row],[تفکیک]]</f>
        <v>787</v>
      </c>
      <c r="P2419" s="6">
        <f ca="1">IF(Main[[#This Row],[تاخیر از سررسید]]&gt;0,Main[[#This Row],[بدهی تسویه نشده (کیلوگرم)]],0)</f>
        <v>787</v>
      </c>
      <c r="Q2419" s="6">
        <f ca="1">IF(Main[[#This Row],[بدهی تسویه نشده (کیلوگرم)]]&gt;0,'گزارش فردی'!$B$7-Main[[#This Row],[تاريخ میلادی]],0)</f>
        <v>926.75374085648218</v>
      </c>
      <c r="R2419" s="6">
        <f ca="1">IF(Main[[#This Row],[بدهی تسویه نشده (کیلوگرم)]]&gt;0,'گزارش فردی'!$B$7-Main[[#This Row],[تاريخ میلادی]]-'گزارش فردی'!$B$8,0)</f>
        <v>911.75374085648218</v>
      </c>
      <c r="S2419" s="6">
        <f ca="1">Main[[#This Row],[روز از ارسال سفارش]]*Main[[#This Row],[بدهی تسویه نشده (کیلوگرم)]]</f>
        <v>729355.19405405154</v>
      </c>
      <c r="T2419" s="6">
        <f ca="1">Main[[#This Row],[بدهی سررسید شده (کیلوگرم)]]*Main[[#This Row],[روز از ارسال سفارش]]</f>
        <v>729355.19405405154</v>
      </c>
      <c r="U2419" s="6">
        <f>-SUBTOTAL(9,INDEX(Main[مقدار (کیلوگرم)],1):Main[[#This Row],[مقدار (کیلوگرم)]])</f>
        <v>34615</v>
      </c>
      <c r="V24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9" s="6">
        <f>Main[[#This Row],[تعداد کل روزهای بدهکار (روز)]]*Main[[#This Row],[مانده در خط کل (کیلوگرم)]]</f>
        <v>34615</v>
      </c>
      <c r="X2419" s="6">
        <f ca="1">-SUBTOTAL(9,INDEX(Main[مقدار تسویه شده (کیلوگرم)],1):Main[[#This Row],[مقدار تسویه شده (کیلوگرم)]])</f>
        <v>23819</v>
      </c>
      <c r="Y2419" s="6">
        <f ca="1">IF(Main[[#This Row],[مانده در خط تسویه شده (کیلوگرم)]]&lt;&gt;0,Main[[#This Row],[تعداد کل روزهای بدهکار (روز)]],0)</f>
        <v>1</v>
      </c>
      <c r="Z2419" s="6">
        <f ca="1">Main[[#This Row],[تعداد روزهای بدهکار تسویه شده (روز)]]*Main[[#This Row],[مانده در خط تسویه شده (کیلوگرم)]]</f>
        <v>23819</v>
      </c>
      <c r="AA2419" s="6">
        <f ca="1">SUBTOTAL(9,INDEX(Main[بدهی تسویه نشده (کیلوگرم)],1):Main[[#This Row],[بدهی تسویه نشده (کیلوگرم)]])</f>
        <v>10796</v>
      </c>
      <c r="AB2419" s="6">
        <f ca="1">IF(Main[[#This Row],[مانده در خط تسویه نشده (کیلوگرم)]]&lt;&gt;0,Main[[#This Row],[تعداد کل روزهای بدهکار (روز)]],0)</f>
        <v>1</v>
      </c>
      <c r="AC2419" s="6">
        <f ca="1">Main[[#This Row],[تعداد روزهای بدهکار  تسویه نشده (روز)]]*Main[[#This Row],[مانده در خط تسویه نشده (کیلوگرم)]]</f>
        <v>10796</v>
      </c>
      <c r="AD2419" s="6">
        <f ca="1">SUBTOTAL(9,INDEX(Main[بدهی سررسید شده (کیلوگرم)],1):Main[[#This Row],[بدهی سررسید شده (کیلوگرم)]])</f>
        <v>10796</v>
      </c>
      <c r="AE2419" s="6">
        <f ca="1">IF(Main[[#This Row],[مانده در خط سررسید شده (کیلوگرم)]]&lt;&gt;0,Main[[#This Row],[تعداد کل روزهای بدهکار (روز)]],0)</f>
        <v>1</v>
      </c>
      <c r="AF2419" s="6">
        <f ca="1">Main[[#This Row],[تعداد روزهای بدهکار سررسید شده (روز)]]*Main[[#This Row],[مانده در خط سررسید شده (کیلوگرم)]]</f>
        <v>10796</v>
      </c>
    </row>
    <row r="2420" spans="1:32" hidden="1" x14ac:dyDescent="0.35">
      <c r="A2420" s="5">
        <f>ROW()-ROW(INDEX(Main[ردیف],1))+1</f>
        <v>2418</v>
      </c>
      <c r="B2420" s="31">
        <f>SUBTOTAL(2,INDEX(Main[ردیف],1):Main[[#This Row],[ردیف]])</f>
        <v>218</v>
      </c>
      <c r="C2420" s="32" t="s">
        <v>803</v>
      </c>
      <c r="D2420" s="32" t="str">
        <f>_xlfn.CONCAT("14",Main[[#This Row],[تاريخ]])</f>
        <v>1400/09/15</v>
      </c>
      <c r="E2420" s="33">
        <v>44536</v>
      </c>
      <c r="F2420" s="32">
        <v>30196</v>
      </c>
      <c r="G2420" s="5" t="str">
        <f>INDEX(customer[عنوان],MATCH(Main[[#This Row],[کد ردیابی]],customer[کد],0))</f>
        <v>شرکت فردوس</v>
      </c>
      <c r="H2420">
        <v>208</v>
      </c>
      <c r="I2420" s="6">
        <f ca="1">-Main[[#This Row],[بدهی تسویه شده (کیلوگرم)]]+Main[[#This Row],[بستانکار (کیلوگرم)]]</f>
        <v>208</v>
      </c>
      <c r="J2420" s="6">
        <f>IF(Main[[#This Row],[مقدار (کیلوگرم)]]&gt;0,Main[[#This Row],[مقدار (کیلوگرم)]],0)</f>
        <v>208</v>
      </c>
      <c r="K2420" s="6">
        <f>-IF(Main[[#This Row],[مقدار (کیلوگرم)]]&lt;0,Main[[#This Row],[مقدار (کیلوگرم)]],0)</f>
        <v>0</v>
      </c>
      <c r="L24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0" s="7">
        <f>-IF(AND(Main[[#This Row],[مقدار (کیلوگرم)]]&lt;0,Main[[#This Row],[تاريخ میلادی]]&gt;44276),Main[[#This Row],[مقدار (کیلوگرم)]],0)</f>
        <v>0</v>
      </c>
      <c r="N2420" s="6">
        <f ca="1">Main[[#This Row],[بدهکار (کیلوگرم)]]-Main[[#This Row],[بدهی تسویه نشده (کیلوگرم)]]</f>
        <v>0</v>
      </c>
      <c r="O2420" s="6">
        <f ca="1">Main[[#This Row],[تفکیک]]</f>
        <v>0</v>
      </c>
      <c r="P2420" s="6">
        <f ca="1">IF(Main[[#This Row],[تاخیر از سررسید]]&gt;0,Main[[#This Row],[بدهی تسویه نشده (کیلوگرم)]],0)</f>
        <v>0</v>
      </c>
      <c r="Q2420" s="6">
        <f ca="1">IF(Main[[#This Row],[بدهی تسویه نشده (کیلوگرم)]]&gt;0,'گزارش فردی'!$B$7-Main[[#This Row],[تاريخ میلادی]],0)</f>
        <v>0</v>
      </c>
      <c r="R2420" s="6">
        <f ca="1">IF(Main[[#This Row],[بدهی تسویه نشده (کیلوگرم)]]&gt;0,'گزارش فردی'!$B$7-Main[[#This Row],[تاريخ میلادی]]-'گزارش فردی'!$B$8,0)</f>
        <v>0</v>
      </c>
      <c r="S2420" s="6">
        <f ca="1">Main[[#This Row],[روز از ارسال سفارش]]*Main[[#This Row],[بدهی تسویه نشده (کیلوگرم)]]</f>
        <v>0</v>
      </c>
      <c r="T2420" s="6">
        <f ca="1">Main[[#This Row],[بدهی سررسید شده (کیلوگرم)]]*Main[[#This Row],[روز از ارسال سفارش]]</f>
        <v>0</v>
      </c>
      <c r="U2420" s="6">
        <f>-SUBTOTAL(9,INDEX(Main[مقدار (کیلوگرم)],1):Main[[#This Row],[مقدار (کیلوگرم)]])</f>
        <v>34615</v>
      </c>
      <c r="V24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0" s="6">
        <f>Main[[#This Row],[تعداد کل روزهای بدهکار (روز)]]*Main[[#This Row],[مانده در خط کل (کیلوگرم)]]</f>
        <v>34615</v>
      </c>
      <c r="X2420" s="6">
        <f ca="1">-SUBTOTAL(9,INDEX(Main[مقدار تسویه شده (کیلوگرم)],1):Main[[#This Row],[مقدار تسویه شده (کیلوگرم)]])</f>
        <v>23819</v>
      </c>
      <c r="Y2420" s="6">
        <f ca="1">IF(Main[[#This Row],[مانده در خط تسویه شده (کیلوگرم)]]&lt;&gt;0,Main[[#This Row],[تعداد کل روزهای بدهکار (روز)]],0)</f>
        <v>1</v>
      </c>
      <c r="Z2420" s="6">
        <f ca="1">Main[[#This Row],[تعداد روزهای بدهکار تسویه شده (روز)]]*Main[[#This Row],[مانده در خط تسویه شده (کیلوگرم)]]</f>
        <v>23819</v>
      </c>
      <c r="AA2420" s="6">
        <f ca="1">SUBTOTAL(9,INDEX(Main[بدهی تسویه نشده (کیلوگرم)],1):Main[[#This Row],[بدهی تسویه نشده (کیلوگرم)]])</f>
        <v>10796</v>
      </c>
      <c r="AB2420" s="6">
        <f ca="1">IF(Main[[#This Row],[مانده در خط تسویه نشده (کیلوگرم)]]&lt;&gt;0,Main[[#This Row],[تعداد کل روزهای بدهکار (روز)]],0)</f>
        <v>1</v>
      </c>
      <c r="AC2420" s="6">
        <f ca="1">Main[[#This Row],[تعداد روزهای بدهکار  تسویه نشده (روز)]]*Main[[#This Row],[مانده در خط تسویه نشده (کیلوگرم)]]</f>
        <v>10796</v>
      </c>
      <c r="AD2420" s="6">
        <f ca="1">SUBTOTAL(9,INDEX(Main[بدهی سررسید شده (کیلوگرم)],1):Main[[#This Row],[بدهی سررسید شده (کیلوگرم)]])</f>
        <v>10796</v>
      </c>
      <c r="AE2420" s="6">
        <f ca="1">IF(Main[[#This Row],[مانده در خط سررسید شده (کیلوگرم)]]&lt;&gt;0,Main[[#This Row],[تعداد کل روزهای بدهکار (روز)]],0)</f>
        <v>1</v>
      </c>
      <c r="AF2420" s="6">
        <f ca="1">Main[[#This Row],[تعداد روزهای بدهکار سررسید شده (روز)]]*Main[[#This Row],[مانده در خط سررسید شده (کیلوگرم)]]</f>
        <v>10796</v>
      </c>
    </row>
    <row r="2421" spans="1:32" hidden="1" x14ac:dyDescent="0.35">
      <c r="A2421" s="5">
        <f>ROW()-ROW(INDEX(Main[ردیف],1))+1</f>
        <v>2419</v>
      </c>
      <c r="B2421" s="31">
        <f>SUBTOTAL(2,INDEX(Main[ردیف],1):Main[[#This Row],[ردیف]])</f>
        <v>218</v>
      </c>
      <c r="C2421" s="32" t="s">
        <v>803</v>
      </c>
      <c r="D2421" s="32" t="str">
        <f>_xlfn.CONCAT("14",Main[[#This Row],[تاريخ]])</f>
        <v>1400/09/15</v>
      </c>
      <c r="E2421" s="33">
        <v>44536</v>
      </c>
      <c r="F2421" s="32">
        <v>10141</v>
      </c>
      <c r="G2421" s="5" t="str">
        <f>INDEX(customer[عنوان],MATCH(Main[[#This Row],[کد ردیابی]],customer[کد],0))</f>
        <v>حسین ریاحی</v>
      </c>
      <c r="H2421">
        <v>350</v>
      </c>
      <c r="I2421" s="6">
        <f ca="1">-Main[[#This Row],[بدهی تسویه شده (کیلوگرم)]]+Main[[#This Row],[بستانکار (کیلوگرم)]]</f>
        <v>350</v>
      </c>
      <c r="J2421" s="6">
        <f>IF(Main[[#This Row],[مقدار (کیلوگرم)]]&gt;0,Main[[#This Row],[مقدار (کیلوگرم)]],0)</f>
        <v>350</v>
      </c>
      <c r="K2421" s="6">
        <f>-IF(Main[[#This Row],[مقدار (کیلوگرم)]]&lt;0,Main[[#This Row],[مقدار (کیلوگرم)]],0)</f>
        <v>0</v>
      </c>
      <c r="L24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1" s="7">
        <f>-IF(AND(Main[[#This Row],[مقدار (کیلوگرم)]]&lt;0,Main[[#This Row],[تاريخ میلادی]]&gt;44276),Main[[#This Row],[مقدار (کیلوگرم)]],0)</f>
        <v>0</v>
      </c>
      <c r="N2421" s="6">
        <f ca="1">Main[[#This Row],[بدهکار (کیلوگرم)]]-Main[[#This Row],[بدهی تسویه نشده (کیلوگرم)]]</f>
        <v>0</v>
      </c>
      <c r="O2421" s="6">
        <f ca="1">Main[[#This Row],[تفکیک]]</f>
        <v>0</v>
      </c>
      <c r="P2421" s="6">
        <f ca="1">IF(Main[[#This Row],[تاخیر از سررسید]]&gt;0,Main[[#This Row],[بدهی تسویه نشده (کیلوگرم)]],0)</f>
        <v>0</v>
      </c>
      <c r="Q2421" s="6">
        <f ca="1">IF(Main[[#This Row],[بدهی تسویه نشده (کیلوگرم)]]&gt;0,'گزارش فردی'!$B$7-Main[[#This Row],[تاريخ میلادی]],0)</f>
        <v>0</v>
      </c>
      <c r="R2421" s="6">
        <f ca="1">IF(Main[[#This Row],[بدهی تسویه نشده (کیلوگرم)]]&gt;0,'گزارش فردی'!$B$7-Main[[#This Row],[تاريخ میلادی]]-'گزارش فردی'!$B$8,0)</f>
        <v>0</v>
      </c>
      <c r="S2421" s="6">
        <f ca="1">Main[[#This Row],[روز از ارسال سفارش]]*Main[[#This Row],[بدهی تسویه نشده (کیلوگرم)]]</f>
        <v>0</v>
      </c>
      <c r="T2421" s="6">
        <f ca="1">Main[[#This Row],[بدهی سررسید شده (کیلوگرم)]]*Main[[#This Row],[روز از ارسال سفارش]]</f>
        <v>0</v>
      </c>
      <c r="U2421" s="6">
        <f>-SUBTOTAL(9,INDEX(Main[مقدار (کیلوگرم)],1):Main[[#This Row],[مقدار (کیلوگرم)]])</f>
        <v>34615</v>
      </c>
      <c r="V24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1" s="6">
        <f>Main[[#This Row],[تعداد کل روزهای بدهکار (روز)]]*Main[[#This Row],[مانده در خط کل (کیلوگرم)]]</f>
        <v>34615</v>
      </c>
      <c r="X2421" s="6">
        <f ca="1">-SUBTOTAL(9,INDEX(Main[مقدار تسویه شده (کیلوگرم)],1):Main[[#This Row],[مقدار تسویه شده (کیلوگرم)]])</f>
        <v>23819</v>
      </c>
      <c r="Y2421" s="6">
        <f ca="1">IF(Main[[#This Row],[مانده در خط تسویه شده (کیلوگرم)]]&lt;&gt;0,Main[[#This Row],[تعداد کل روزهای بدهکار (روز)]],0)</f>
        <v>1</v>
      </c>
      <c r="Z2421" s="6">
        <f ca="1">Main[[#This Row],[تعداد روزهای بدهکار تسویه شده (روز)]]*Main[[#This Row],[مانده در خط تسویه شده (کیلوگرم)]]</f>
        <v>23819</v>
      </c>
      <c r="AA2421" s="6">
        <f ca="1">SUBTOTAL(9,INDEX(Main[بدهی تسویه نشده (کیلوگرم)],1):Main[[#This Row],[بدهی تسویه نشده (کیلوگرم)]])</f>
        <v>10796</v>
      </c>
      <c r="AB2421" s="6">
        <f ca="1">IF(Main[[#This Row],[مانده در خط تسویه نشده (کیلوگرم)]]&lt;&gt;0,Main[[#This Row],[تعداد کل روزهای بدهکار (روز)]],0)</f>
        <v>1</v>
      </c>
      <c r="AC2421" s="6">
        <f ca="1">Main[[#This Row],[تعداد روزهای بدهکار  تسویه نشده (روز)]]*Main[[#This Row],[مانده در خط تسویه نشده (کیلوگرم)]]</f>
        <v>10796</v>
      </c>
      <c r="AD2421" s="6">
        <f ca="1">SUBTOTAL(9,INDEX(Main[بدهی سررسید شده (کیلوگرم)],1):Main[[#This Row],[بدهی سررسید شده (کیلوگرم)]])</f>
        <v>10796</v>
      </c>
      <c r="AE2421" s="6">
        <f ca="1">IF(Main[[#This Row],[مانده در خط سررسید شده (کیلوگرم)]]&lt;&gt;0,Main[[#This Row],[تعداد کل روزهای بدهکار (روز)]],0)</f>
        <v>1</v>
      </c>
      <c r="AF2421" s="6">
        <f ca="1">Main[[#This Row],[تعداد روزهای بدهکار سررسید شده (روز)]]*Main[[#This Row],[مانده در خط سررسید شده (کیلوگرم)]]</f>
        <v>10796</v>
      </c>
    </row>
    <row r="2422" spans="1:32" hidden="1" x14ac:dyDescent="0.35">
      <c r="A2422" s="5">
        <f>ROW()-ROW(INDEX(Main[ردیف],1))+1</f>
        <v>2420</v>
      </c>
      <c r="B2422" s="31">
        <f>SUBTOTAL(2,INDEX(Main[ردیف],1):Main[[#This Row],[ردیف]])</f>
        <v>218</v>
      </c>
      <c r="C2422" s="32" t="s">
        <v>803</v>
      </c>
      <c r="D2422" s="32" t="str">
        <f>_xlfn.CONCAT("14",Main[[#This Row],[تاريخ]])</f>
        <v>1400/09/15</v>
      </c>
      <c r="E2422" s="33">
        <v>44536</v>
      </c>
      <c r="F2422" s="32">
        <v>30196</v>
      </c>
      <c r="G2422" s="5" t="str">
        <f>INDEX(customer[عنوان],MATCH(Main[[#This Row],[کد ردیابی]],customer[کد],0))</f>
        <v>شرکت فردوس</v>
      </c>
      <c r="H2422">
        <v>1781</v>
      </c>
      <c r="I2422" s="6">
        <f ca="1">-Main[[#This Row],[بدهی تسویه شده (کیلوگرم)]]+Main[[#This Row],[بستانکار (کیلوگرم)]]</f>
        <v>1781</v>
      </c>
      <c r="J2422" s="6">
        <f>IF(Main[[#This Row],[مقدار (کیلوگرم)]]&gt;0,Main[[#This Row],[مقدار (کیلوگرم)]],0)</f>
        <v>1781</v>
      </c>
      <c r="K2422" s="6">
        <f>-IF(Main[[#This Row],[مقدار (کیلوگرم)]]&lt;0,Main[[#This Row],[مقدار (کیلوگرم)]],0)</f>
        <v>0</v>
      </c>
      <c r="L24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2" s="7">
        <f>-IF(AND(Main[[#This Row],[مقدار (کیلوگرم)]]&lt;0,Main[[#This Row],[تاريخ میلادی]]&gt;44276),Main[[#This Row],[مقدار (کیلوگرم)]],0)</f>
        <v>0</v>
      </c>
      <c r="N2422" s="6">
        <f ca="1">Main[[#This Row],[بدهکار (کیلوگرم)]]-Main[[#This Row],[بدهی تسویه نشده (کیلوگرم)]]</f>
        <v>0</v>
      </c>
      <c r="O2422" s="6">
        <f ca="1">Main[[#This Row],[تفکیک]]</f>
        <v>0</v>
      </c>
      <c r="P2422" s="6">
        <f ca="1">IF(Main[[#This Row],[تاخیر از سررسید]]&gt;0,Main[[#This Row],[بدهی تسویه نشده (کیلوگرم)]],0)</f>
        <v>0</v>
      </c>
      <c r="Q2422" s="6">
        <f ca="1">IF(Main[[#This Row],[بدهی تسویه نشده (کیلوگرم)]]&gt;0,'گزارش فردی'!$B$7-Main[[#This Row],[تاريخ میلادی]],0)</f>
        <v>0</v>
      </c>
      <c r="R2422" s="6">
        <f ca="1">IF(Main[[#This Row],[بدهی تسویه نشده (کیلوگرم)]]&gt;0,'گزارش فردی'!$B$7-Main[[#This Row],[تاريخ میلادی]]-'گزارش فردی'!$B$8,0)</f>
        <v>0</v>
      </c>
      <c r="S2422" s="6">
        <f ca="1">Main[[#This Row],[روز از ارسال سفارش]]*Main[[#This Row],[بدهی تسویه نشده (کیلوگرم)]]</f>
        <v>0</v>
      </c>
      <c r="T2422" s="6">
        <f ca="1">Main[[#This Row],[بدهی سررسید شده (کیلوگرم)]]*Main[[#This Row],[روز از ارسال سفارش]]</f>
        <v>0</v>
      </c>
      <c r="U2422" s="6">
        <f>-SUBTOTAL(9,INDEX(Main[مقدار (کیلوگرم)],1):Main[[#This Row],[مقدار (کیلوگرم)]])</f>
        <v>34615</v>
      </c>
      <c r="V24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2" s="6">
        <f>Main[[#This Row],[تعداد کل روزهای بدهکار (روز)]]*Main[[#This Row],[مانده در خط کل (کیلوگرم)]]</f>
        <v>34615</v>
      </c>
      <c r="X2422" s="6">
        <f ca="1">-SUBTOTAL(9,INDEX(Main[مقدار تسویه شده (کیلوگرم)],1):Main[[#This Row],[مقدار تسویه شده (کیلوگرم)]])</f>
        <v>23819</v>
      </c>
      <c r="Y2422" s="6">
        <f ca="1">IF(Main[[#This Row],[مانده در خط تسویه شده (کیلوگرم)]]&lt;&gt;0,Main[[#This Row],[تعداد کل روزهای بدهکار (روز)]],0)</f>
        <v>1</v>
      </c>
      <c r="Z2422" s="6">
        <f ca="1">Main[[#This Row],[تعداد روزهای بدهکار تسویه شده (روز)]]*Main[[#This Row],[مانده در خط تسویه شده (کیلوگرم)]]</f>
        <v>23819</v>
      </c>
      <c r="AA2422" s="6">
        <f ca="1">SUBTOTAL(9,INDEX(Main[بدهی تسویه نشده (کیلوگرم)],1):Main[[#This Row],[بدهی تسویه نشده (کیلوگرم)]])</f>
        <v>10796</v>
      </c>
      <c r="AB2422" s="6">
        <f ca="1">IF(Main[[#This Row],[مانده در خط تسویه نشده (کیلوگرم)]]&lt;&gt;0,Main[[#This Row],[تعداد کل روزهای بدهکار (روز)]],0)</f>
        <v>1</v>
      </c>
      <c r="AC2422" s="6">
        <f ca="1">Main[[#This Row],[تعداد روزهای بدهکار  تسویه نشده (روز)]]*Main[[#This Row],[مانده در خط تسویه نشده (کیلوگرم)]]</f>
        <v>10796</v>
      </c>
      <c r="AD2422" s="6">
        <f ca="1">SUBTOTAL(9,INDEX(Main[بدهی سررسید شده (کیلوگرم)],1):Main[[#This Row],[بدهی سررسید شده (کیلوگرم)]])</f>
        <v>10796</v>
      </c>
      <c r="AE2422" s="6">
        <f ca="1">IF(Main[[#This Row],[مانده در خط سررسید شده (کیلوگرم)]]&lt;&gt;0,Main[[#This Row],[تعداد کل روزهای بدهکار (روز)]],0)</f>
        <v>1</v>
      </c>
      <c r="AF2422" s="6">
        <f ca="1">Main[[#This Row],[تعداد روزهای بدهکار سررسید شده (روز)]]*Main[[#This Row],[مانده در خط سررسید شده (کیلوگرم)]]</f>
        <v>10796</v>
      </c>
    </row>
    <row r="2423" spans="1:32" hidden="1" x14ac:dyDescent="0.35">
      <c r="A2423" s="5">
        <f>ROW()-ROW(INDEX(Main[ردیف],1))+1</f>
        <v>2421</v>
      </c>
      <c r="B2423" s="31">
        <f>SUBTOTAL(2,INDEX(Main[ردیف],1):Main[[#This Row],[ردیف]])</f>
        <v>218</v>
      </c>
      <c r="C2423" s="32" t="s">
        <v>803</v>
      </c>
      <c r="D2423" s="32" t="str">
        <f>_xlfn.CONCAT("14",Main[[#This Row],[تاريخ]])</f>
        <v>1400/09/15</v>
      </c>
      <c r="E2423" s="33">
        <v>44536</v>
      </c>
      <c r="F2423" s="32">
        <v>30034</v>
      </c>
      <c r="G2423" s="5" t="str">
        <f>INDEX(customer[عنوان],MATCH(Main[[#This Row],[کد ردیابی]],customer[کد],0))</f>
        <v xml:space="preserve">پیک افروز </v>
      </c>
      <c r="H2423">
        <v>2806</v>
      </c>
      <c r="I2423" s="6">
        <f ca="1">-Main[[#This Row],[بدهی تسویه شده (کیلوگرم)]]+Main[[#This Row],[بستانکار (کیلوگرم)]]</f>
        <v>2806</v>
      </c>
      <c r="J2423" s="6">
        <f>IF(Main[[#This Row],[مقدار (کیلوگرم)]]&gt;0,Main[[#This Row],[مقدار (کیلوگرم)]],0)</f>
        <v>2806</v>
      </c>
      <c r="K2423" s="6">
        <f>-IF(Main[[#This Row],[مقدار (کیلوگرم)]]&lt;0,Main[[#This Row],[مقدار (کیلوگرم)]],0)</f>
        <v>0</v>
      </c>
      <c r="L24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3" s="7">
        <f>-IF(AND(Main[[#This Row],[مقدار (کیلوگرم)]]&lt;0,Main[[#This Row],[تاريخ میلادی]]&gt;44276),Main[[#This Row],[مقدار (کیلوگرم)]],0)</f>
        <v>0</v>
      </c>
      <c r="N2423" s="6">
        <f ca="1">Main[[#This Row],[بدهکار (کیلوگرم)]]-Main[[#This Row],[بدهی تسویه نشده (کیلوگرم)]]</f>
        <v>0</v>
      </c>
      <c r="O2423" s="6">
        <f ca="1">Main[[#This Row],[تفکیک]]</f>
        <v>0</v>
      </c>
      <c r="P2423" s="6">
        <f ca="1">IF(Main[[#This Row],[تاخیر از سررسید]]&gt;0,Main[[#This Row],[بدهی تسویه نشده (کیلوگرم)]],0)</f>
        <v>0</v>
      </c>
      <c r="Q2423" s="6">
        <f ca="1">IF(Main[[#This Row],[بدهی تسویه نشده (کیلوگرم)]]&gt;0,'گزارش فردی'!$B$7-Main[[#This Row],[تاريخ میلادی]],0)</f>
        <v>0</v>
      </c>
      <c r="R2423" s="6">
        <f ca="1">IF(Main[[#This Row],[بدهی تسویه نشده (کیلوگرم)]]&gt;0,'گزارش فردی'!$B$7-Main[[#This Row],[تاريخ میلادی]]-'گزارش فردی'!$B$8,0)</f>
        <v>0</v>
      </c>
      <c r="S2423" s="6">
        <f ca="1">Main[[#This Row],[روز از ارسال سفارش]]*Main[[#This Row],[بدهی تسویه نشده (کیلوگرم)]]</f>
        <v>0</v>
      </c>
      <c r="T2423" s="6">
        <f ca="1">Main[[#This Row],[بدهی سررسید شده (کیلوگرم)]]*Main[[#This Row],[روز از ارسال سفارش]]</f>
        <v>0</v>
      </c>
      <c r="U2423" s="6">
        <f>-SUBTOTAL(9,INDEX(Main[مقدار (کیلوگرم)],1):Main[[#This Row],[مقدار (کیلوگرم)]])</f>
        <v>34615</v>
      </c>
      <c r="V24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3" s="6">
        <f>Main[[#This Row],[تعداد کل روزهای بدهکار (روز)]]*Main[[#This Row],[مانده در خط کل (کیلوگرم)]]</f>
        <v>34615</v>
      </c>
      <c r="X2423" s="6">
        <f ca="1">-SUBTOTAL(9,INDEX(Main[مقدار تسویه شده (کیلوگرم)],1):Main[[#This Row],[مقدار تسویه شده (کیلوگرم)]])</f>
        <v>23819</v>
      </c>
      <c r="Y2423" s="6">
        <f ca="1">IF(Main[[#This Row],[مانده در خط تسویه شده (کیلوگرم)]]&lt;&gt;0,Main[[#This Row],[تعداد کل روزهای بدهکار (روز)]],0)</f>
        <v>1</v>
      </c>
      <c r="Z2423" s="6">
        <f ca="1">Main[[#This Row],[تعداد روزهای بدهکار تسویه شده (روز)]]*Main[[#This Row],[مانده در خط تسویه شده (کیلوگرم)]]</f>
        <v>23819</v>
      </c>
      <c r="AA2423" s="6">
        <f ca="1">SUBTOTAL(9,INDEX(Main[بدهی تسویه نشده (کیلوگرم)],1):Main[[#This Row],[بدهی تسویه نشده (کیلوگرم)]])</f>
        <v>10796</v>
      </c>
      <c r="AB2423" s="6">
        <f ca="1">IF(Main[[#This Row],[مانده در خط تسویه نشده (کیلوگرم)]]&lt;&gt;0,Main[[#This Row],[تعداد کل روزهای بدهکار (روز)]],0)</f>
        <v>1</v>
      </c>
      <c r="AC2423" s="6">
        <f ca="1">Main[[#This Row],[تعداد روزهای بدهکار  تسویه نشده (روز)]]*Main[[#This Row],[مانده در خط تسویه نشده (کیلوگرم)]]</f>
        <v>10796</v>
      </c>
      <c r="AD2423" s="6">
        <f ca="1">SUBTOTAL(9,INDEX(Main[بدهی سررسید شده (کیلوگرم)],1):Main[[#This Row],[بدهی سررسید شده (کیلوگرم)]])</f>
        <v>10796</v>
      </c>
      <c r="AE2423" s="6">
        <f ca="1">IF(Main[[#This Row],[مانده در خط سررسید شده (کیلوگرم)]]&lt;&gt;0,Main[[#This Row],[تعداد کل روزهای بدهکار (روز)]],0)</f>
        <v>1</v>
      </c>
      <c r="AF2423" s="6">
        <f ca="1">Main[[#This Row],[تعداد روزهای بدهکار سررسید شده (روز)]]*Main[[#This Row],[مانده در خط سررسید شده (کیلوگرم)]]</f>
        <v>10796</v>
      </c>
    </row>
    <row r="2424" spans="1:32" hidden="1" x14ac:dyDescent="0.35">
      <c r="A2424" s="5">
        <f>ROW()-ROW(INDEX(Main[ردیف],1))+1</f>
        <v>2422</v>
      </c>
      <c r="B2424" s="31">
        <f>SUBTOTAL(2,INDEX(Main[ردیف],1):Main[[#This Row],[ردیف]])</f>
        <v>218</v>
      </c>
      <c r="C2424" s="32" t="s">
        <v>803</v>
      </c>
      <c r="D2424" s="32" t="str">
        <f>_xlfn.CONCAT("14",Main[[#This Row],[تاريخ]])</f>
        <v>1400/09/15</v>
      </c>
      <c r="E2424" s="33">
        <v>44536</v>
      </c>
      <c r="F2424" s="32">
        <v>30127</v>
      </c>
      <c r="G2424" s="5" t="str">
        <f>INDEX(customer[عنوان],MATCH(Main[[#This Row],[کد ردیابی]],customer[کد],0))</f>
        <v>شیر گاز آذران</v>
      </c>
      <c r="H2424">
        <v>14520</v>
      </c>
      <c r="I2424" s="6">
        <f ca="1">-Main[[#This Row],[بدهی تسویه شده (کیلوگرم)]]+Main[[#This Row],[بستانکار (کیلوگرم)]]</f>
        <v>14520</v>
      </c>
      <c r="J2424" s="6">
        <f>IF(Main[[#This Row],[مقدار (کیلوگرم)]]&gt;0,Main[[#This Row],[مقدار (کیلوگرم)]],0)</f>
        <v>14520</v>
      </c>
      <c r="K2424" s="6">
        <f>-IF(Main[[#This Row],[مقدار (کیلوگرم)]]&lt;0,Main[[#This Row],[مقدار (کیلوگرم)]],0)</f>
        <v>0</v>
      </c>
      <c r="L24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4" s="7">
        <f>-IF(AND(Main[[#This Row],[مقدار (کیلوگرم)]]&lt;0,Main[[#This Row],[تاريخ میلادی]]&gt;44276),Main[[#This Row],[مقدار (کیلوگرم)]],0)</f>
        <v>0</v>
      </c>
      <c r="N2424" s="6">
        <f ca="1">Main[[#This Row],[بدهکار (کیلوگرم)]]-Main[[#This Row],[بدهی تسویه نشده (کیلوگرم)]]</f>
        <v>0</v>
      </c>
      <c r="O2424" s="6">
        <f ca="1">Main[[#This Row],[تفکیک]]</f>
        <v>0</v>
      </c>
      <c r="P2424" s="6">
        <f ca="1">IF(Main[[#This Row],[تاخیر از سررسید]]&gt;0,Main[[#This Row],[بدهی تسویه نشده (کیلوگرم)]],0)</f>
        <v>0</v>
      </c>
      <c r="Q2424" s="6">
        <f ca="1">IF(Main[[#This Row],[بدهی تسویه نشده (کیلوگرم)]]&gt;0,'گزارش فردی'!$B$7-Main[[#This Row],[تاريخ میلادی]],0)</f>
        <v>0</v>
      </c>
      <c r="R2424" s="6">
        <f ca="1">IF(Main[[#This Row],[بدهی تسویه نشده (کیلوگرم)]]&gt;0,'گزارش فردی'!$B$7-Main[[#This Row],[تاريخ میلادی]]-'گزارش فردی'!$B$8,0)</f>
        <v>0</v>
      </c>
      <c r="S2424" s="6">
        <f ca="1">Main[[#This Row],[روز از ارسال سفارش]]*Main[[#This Row],[بدهی تسویه نشده (کیلوگرم)]]</f>
        <v>0</v>
      </c>
      <c r="T2424" s="6">
        <f ca="1">Main[[#This Row],[بدهی سررسید شده (کیلوگرم)]]*Main[[#This Row],[روز از ارسال سفارش]]</f>
        <v>0</v>
      </c>
      <c r="U2424" s="6">
        <f>-SUBTOTAL(9,INDEX(Main[مقدار (کیلوگرم)],1):Main[[#This Row],[مقدار (کیلوگرم)]])</f>
        <v>34615</v>
      </c>
      <c r="V24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4" s="6">
        <f>Main[[#This Row],[تعداد کل روزهای بدهکار (روز)]]*Main[[#This Row],[مانده در خط کل (کیلوگرم)]]</f>
        <v>34615</v>
      </c>
      <c r="X2424" s="6">
        <f ca="1">-SUBTOTAL(9,INDEX(Main[مقدار تسویه شده (کیلوگرم)],1):Main[[#This Row],[مقدار تسویه شده (کیلوگرم)]])</f>
        <v>23819</v>
      </c>
      <c r="Y2424" s="6">
        <f ca="1">IF(Main[[#This Row],[مانده در خط تسویه شده (کیلوگرم)]]&lt;&gt;0,Main[[#This Row],[تعداد کل روزهای بدهکار (روز)]],0)</f>
        <v>1</v>
      </c>
      <c r="Z2424" s="6">
        <f ca="1">Main[[#This Row],[تعداد روزهای بدهکار تسویه شده (روز)]]*Main[[#This Row],[مانده در خط تسویه شده (کیلوگرم)]]</f>
        <v>23819</v>
      </c>
      <c r="AA2424" s="6">
        <f ca="1">SUBTOTAL(9,INDEX(Main[بدهی تسویه نشده (کیلوگرم)],1):Main[[#This Row],[بدهی تسویه نشده (کیلوگرم)]])</f>
        <v>10796</v>
      </c>
      <c r="AB2424" s="6">
        <f ca="1">IF(Main[[#This Row],[مانده در خط تسویه نشده (کیلوگرم)]]&lt;&gt;0,Main[[#This Row],[تعداد کل روزهای بدهکار (روز)]],0)</f>
        <v>1</v>
      </c>
      <c r="AC2424" s="6">
        <f ca="1">Main[[#This Row],[تعداد روزهای بدهکار  تسویه نشده (روز)]]*Main[[#This Row],[مانده در خط تسویه نشده (کیلوگرم)]]</f>
        <v>10796</v>
      </c>
      <c r="AD2424" s="6">
        <f ca="1">SUBTOTAL(9,INDEX(Main[بدهی سررسید شده (کیلوگرم)],1):Main[[#This Row],[بدهی سررسید شده (کیلوگرم)]])</f>
        <v>10796</v>
      </c>
      <c r="AE2424" s="6">
        <f ca="1">IF(Main[[#This Row],[مانده در خط سررسید شده (کیلوگرم)]]&lt;&gt;0,Main[[#This Row],[تعداد کل روزهای بدهکار (روز)]],0)</f>
        <v>1</v>
      </c>
      <c r="AF2424" s="6">
        <f ca="1">Main[[#This Row],[تعداد روزهای بدهکار سررسید شده (روز)]]*Main[[#This Row],[مانده در خط سررسید شده (کیلوگرم)]]</f>
        <v>10796</v>
      </c>
    </row>
    <row r="2425" spans="1:32" hidden="1" x14ac:dyDescent="0.35">
      <c r="A2425" s="5">
        <f>ROW()-ROW(INDEX(Main[ردیف],1))+1</f>
        <v>2423</v>
      </c>
      <c r="B2425" s="31">
        <f>SUBTOTAL(2,INDEX(Main[ردیف],1):Main[[#This Row],[ردیف]])</f>
        <v>218</v>
      </c>
      <c r="C2425" s="32" t="s">
        <v>803</v>
      </c>
      <c r="D2425" s="32" t="str">
        <f>_xlfn.CONCAT("14",Main[[#This Row],[تاريخ]])</f>
        <v>1400/09/15</v>
      </c>
      <c r="E2425" s="33">
        <v>44536</v>
      </c>
      <c r="F2425" s="32">
        <v>30034</v>
      </c>
      <c r="G2425" s="5" t="str">
        <f>INDEX(customer[عنوان],MATCH(Main[[#This Row],[کد ردیابی]],customer[کد],0))</f>
        <v xml:space="preserve">پیک افروز </v>
      </c>
      <c r="H2425">
        <v>532</v>
      </c>
      <c r="I2425" s="6">
        <f ca="1">-Main[[#This Row],[بدهی تسویه شده (کیلوگرم)]]+Main[[#This Row],[بستانکار (کیلوگرم)]]</f>
        <v>532</v>
      </c>
      <c r="J2425" s="6">
        <f>IF(Main[[#This Row],[مقدار (کیلوگرم)]]&gt;0,Main[[#This Row],[مقدار (کیلوگرم)]],0)</f>
        <v>532</v>
      </c>
      <c r="K2425" s="6">
        <f>-IF(Main[[#This Row],[مقدار (کیلوگرم)]]&lt;0,Main[[#This Row],[مقدار (کیلوگرم)]],0)</f>
        <v>0</v>
      </c>
      <c r="L24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5" s="7">
        <f>-IF(AND(Main[[#This Row],[مقدار (کیلوگرم)]]&lt;0,Main[[#This Row],[تاريخ میلادی]]&gt;44276),Main[[#This Row],[مقدار (کیلوگرم)]],0)</f>
        <v>0</v>
      </c>
      <c r="N2425" s="6">
        <f ca="1">Main[[#This Row],[بدهکار (کیلوگرم)]]-Main[[#This Row],[بدهی تسویه نشده (کیلوگرم)]]</f>
        <v>0</v>
      </c>
      <c r="O2425" s="6">
        <f ca="1">Main[[#This Row],[تفکیک]]</f>
        <v>0</v>
      </c>
      <c r="P2425" s="6">
        <f ca="1">IF(Main[[#This Row],[تاخیر از سررسید]]&gt;0,Main[[#This Row],[بدهی تسویه نشده (کیلوگرم)]],0)</f>
        <v>0</v>
      </c>
      <c r="Q2425" s="6">
        <f ca="1">IF(Main[[#This Row],[بدهی تسویه نشده (کیلوگرم)]]&gt;0,'گزارش فردی'!$B$7-Main[[#This Row],[تاريخ میلادی]],0)</f>
        <v>0</v>
      </c>
      <c r="R2425" s="6">
        <f ca="1">IF(Main[[#This Row],[بدهی تسویه نشده (کیلوگرم)]]&gt;0,'گزارش فردی'!$B$7-Main[[#This Row],[تاريخ میلادی]]-'گزارش فردی'!$B$8,0)</f>
        <v>0</v>
      </c>
      <c r="S2425" s="6">
        <f ca="1">Main[[#This Row],[روز از ارسال سفارش]]*Main[[#This Row],[بدهی تسویه نشده (کیلوگرم)]]</f>
        <v>0</v>
      </c>
      <c r="T2425" s="6">
        <f ca="1">Main[[#This Row],[بدهی سررسید شده (کیلوگرم)]]*Main[[#This Row],[روز از ارسال سفارش]]</f>
        <v>0</v>
      </c>
      <c r="U2425" s="6">
        <f>-SUBTOTAL(9,INDEX(Main[مقدار (کیلوگرم)],1):Main[[#This Row],[مقدار (کیلوگرم)]])</f>
        <v>34615</v>
      </c>
      <c r="V24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5" s="6">
        <f>Main[[#This Row],[تعداد کل روزهای بدهکار (روز)]]*Main[[#This Row],[مانده در خط کل (کیلوگرم)]]</f>
        <v>34615</v>
      </c>
      <c r="X2425" s="6">
        <f ca="1">-SUBTOTAL(9,INDEX(Main[مقدار تسویه شده (کیلوگرم)],1):Main[[#This Row],[مقدار تسویه شده (کیلوگرم)]])</f>
        <v>23819</v>
      </c>
      <c r="Y2425" s="6">
        <f ca="1">IF(Main[[#This Row],[مانده در خط تسویه شده (کیلوگرم)]]&lt;&gt;0,Main[[#This Row],[تعداد کل روزهای بدهکار (روز)]],0)</f>
        <v>1</v>
      </c>
      <c r="Z2425" s="6">
        <f ca="1">Main[[#This Row],[تعداد روزهای بدهکار تسویه شده (روز)]]*Main[[#This Row],[مانده در خط تسویه شده (کیلوگرم)]]</f>
        <v>23819</v>
      </c>
      <c r="AA2425" s="6">
        <f ca="1">SUBTOTAL(9,INDEX(Main[بدهی تسویه نشده (کیلوگرم)],1):Main[[#This Row],[بدهی تسویه نشده (کیلوگرم)]])</f>
        <v>10796</v>
      </c>
      <c r="AB2425" s="6">
        <f ca="1">IF(Main[[#This Row],[مانده در خط تسویه نشده (کیلوگرم)]]&lt;&gt;0,Main[[#This Row],[تعداد کل روزهای بدهکار (روز)]],0)</f>
        <v>1</v>
      </c>
      <c r="AC2425" s="6">
        <f ca="1">Main[[#This Row],[تعداد روزهای بدهکار  تسویه نشده (روز)]]*Main[[#This Row],[مانده در خط تسویه نشده (کیلوگرم)]]</f>
        <v>10796</v>
      </c>
      <c r="AD2425" s="6">
        <f ca="1">SUBTOTAL(9,INDEX(Main[بدهی سررسید شده (کیلوگرم)],1):Main[[#This Row],[بدهی سررسید شده (کیلوگرم)]])</f>
        <v>10796</v>
      </c>
      <c r="AE2425" s="6">
        <f ca="1">IF(Main[[#This Row],[مانده در خط سررسید شده (کیلوگرم)]]&lt;&gt;0,Main[[#This Row],[تعداد کل روزهای بدهکار (روز)]],0)</f>
        <v>1</v>
      </c>
      <c r="AF2425" s="6">
        <f ca="1">Main[[#This Row],[تعداد روزهای بدهکار سررسید شده (روز)]]*Main[[#This Row],[مانده در خط سررسید شده (کیلوگرم)]]</f>
        <v>10796</v>
      </c>
    </row>
    <row r="2426" spans="1:32" hidden="1" x14ac:dyDescent="0.35">
      <c r="A2426" s="5">
        <f>ROW()-ROW(INDEX(Main[ردیف],1))+1</f>
        <v>2424</v>
      </c>
      <c r="B2426" s="31">
        <f>SUBTOTAL(2,INDEX(Main[ردیف],1):Main[[#This Row],[ردیف]])</f>
        <v>218</v>
      </c>
      <c r="C2426" s="32" t="s">
        <v>803</v>
      </c>
      <c r="D2426" s="32" t="str">
        <f>_xlfn.CONCAT("14",Main[[#This Row],[تاريخ]])</f>
        <v>1400/09/15</v>
      </c>
      <c r="E2426" s="33">
        <v>44536</v>
      </c>
      <c r="F2426" s="32">
        <v>30200</v>
      </c>
      <c r="G2426" s="5" t="str">
        <f>INDEX(customer[عنوان],MATCH(Main[[#This Row],[کد ردیابی]],customer[کد],0))</f>
        <v>تولیدی پیام</v>
      </c>
      <c r="H2426">
        <v>181</v>
      </c>
      <c r="I2426" s="6">
        <f ca="1">-Main[[#This Row],[بدهی تسویه شده (کیلوگرم)]]+Main[[#This Row],[بستانکار (کیلوگرم)]]</f>
        <v>181</v>
      </c>
      <c r="J2426" s="6">
        <f>IF(Main[[#This Row],[مقدار (کیلوگرم)]]&gt;0,Main[[#This Row],[مقدار (کیلوگرم)]],0)</f>
        <v>181</v>
      </c>
      <c r="K2426" s="6">
        <f>-IF(Main[[#This Row],[مقدار (کیلوگرم)]]&lt;0,Main[[#This Row],[مقدار (کیلوگرم)]],0)</f>
        <v>0</v>
      </c>
      <c r="L24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6" s="7">
        <f>-IF(AND(Main[[#This Row],[مقدار (کیلوگرم)]]&lt;0,Main[[#This Row],[تاريخ میلادی]]&gt;44276),Main[[#This Row],[مقدار (کیلوگرم)]],0)</f>
        <v>0</v>
      </c>
      <c r="N2426" s="6">
        <f ca="1">Main[[#This Row],[بدهکار (کیلوگرم)]]-Main[[#This Row],[بدهی تسویه نشده (کیلوگرم)]]</f>
        <v>0</v>
      </c>
      <c r="O2426" s="6">
        <f ca="1">Main[[#This Row],[تفکیک]]</f>
        <v>0</v>
      </c>
      <c r="P2426" s="6">
        <f ca="1">IF(Main[[#This Row],[تاخیر از سررسید]]&gt;0,Main[[#This Row],[بدهی تسویه نشده (کیلوگرم)]],0)</f>
        <v>0</v>
      </c>
      <c r="Q2426" s="6">
        <f ca="1">IF(Main[[#This Row],[بدهی تسویه نشده (کیلوگرم)]]&gt;0,'گزارش فردی'!$B$7-Main[[#This Row],[تاريخ میلادی]],0)</f>
        <v>0</v>
      </c>
      <c r="R2426" s="6">
        <f ca="1">IF(Main[[#This Row],[بدهی تسویه نشده (کیلوگرم)]]&gt;0,'گزارش فردی'!$B$7-Main[[#This Row],[تاريخ میلادی]]-'گزارش فردی'!$B$8,0)</f>
        <v>0</v>
      </c>
      <c r="S2426" s="6">
        <f ca="1">Main[[#This Row],[روز از ارسال سفارش]]*Main[[#This Row],[بدهی تسویه نشده (کیلوگرم)]]</f>
        <v>0</v>
      </c>
      <c r="T2426" s="6">
        <f ca="1">Main[[#This Row],[بدهی سررسید شده (کیلوگرم)]]*Main[[#This Row],[روز از ارسال سفارش]]</f>
        <v>0</v>
      </c>
      <c r="U2426" s="6">
        <f>-SUBTOTAL(9,INDEX(Main[مقدار (کیلوگرم)],1):Main[[#This Row],[مقدار (کیلوگرم)]])</f>
        <v>34615</v>
      </c>
      <c r="V24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6" s="6">
        <f>Main[[#This Row],[تعداد کل روزهای بدهکار (روز)]]*Main[[#This Row],[مانده در خط کل (کیلوگرم)]]</f>
        <v>34615</v>
      </c>
      <c r="X2426" s="6">
        <f ca="1">-SUBTOTAL(9,INDEX(Main[مقدار تسویه شده (کیلوگرم)],1):Main[[#This Row],[مقدار تسویه شده (کیلوگرم)]])</f>
        <v>23819</v>
      </c>
      <c r="Y2426" s="6">
        <f ca="1">IF(Main[[#This Row],[مانده در خط تسویه شده (کیلوگرم)]]&lt;&gt;0,Main[[#This Row],[تعداد کل روزهای بدهکار (روز)]],0)</f>
        <v>1</v>
      </c>
      <c r="Z2426" s="6">
        <f ca="1">Main[[#This Row],[تعداد روزهای بدهکار تسویه شده (روز)]]*Main[[#This Row],[مانده در خط تسویه شده (کیلوگرم)]]</f>
        <v>23819</v>
      </c>
      <c r="AA2426" s="6">
        <f ca="1">SUBTOTAL(9,INDEX(Main[بدهی تسویه نشده (کیلوگرم)],1):Main[[#This Row],[بدهی تسویه نشده (کیلوگرم)]])</f>
        <v>10796</v>
      </c>
      <c r="AB2426" s="6">
        <f ca="1">IF(Main[[#This Row],[مانده در خط تسویه نشده (کیلوگرم)]]&lt;&gt;0,Main[[#This Row],[تعداد کل روزهای بدهکار (روز)]],0)</f>
        <v>1</v>
      </c>
      <c r="AC2426" s="6">
        <f ca="1">Main[[#This Row],[تعداد روزهای بدهکار  تسویه نشده (روز)]]*Main[[#This Row],[مانده در خط تسویه نشده (کیلوگرم)]]</f>
        <v>10796</v>
      </c>
      <c r="AD2426" s="6">
        <f ca="1">SUBTOTAL(9,INDEX(Main[بدهی سررسید شده (کیلوگرم)],1):Main[[#This Row],[بدهی سررسید شده (کیلوگرم)]])</f>
        <v>10796</v>
      </c>
      <c r="AE2426" s="6">
        <f ca="1">IF(Main[[#This Row],[مانده در خط سررسید شده (کیلوگرم)]]&lt;&gt;0,Main[[#This Row],[تعداد کل روزهای بدهکار (روز)]],0)</f>
        <v>1</v>
      </c>
      <c r="AF2426" s="6">
        <f ca="1">Main[[#This Row],[تعداد روزهای بدهکار سررسید شده (روز)]]*Main[[#This Row],[مانده در خط سررسید شده (کیلوگرم)]]</f>
        <v>10796</v>
      </c>
    </row>
    <row r="2427" spans="1:32" hidden="1" x14ac:dyDescent="0.35">
      <c r="A2427" s="5">
        <f>ROW()-ROW(INDEX(Main[ردیف],1))+1</f>
        <v>2425</v>
      </c>
      <c r="B2427" s="31">
        <f>SUBTOTAL(2,INDEX(Main[ردیف],1):Main[[#This Row],[ردیف]])</f>
        <v>218</v>
      </c>
      <c r="C2427" s="32" t="s">
        <v>803</v>
      </c>
      <c r="D2427" s="32" t="str">
        <f>_xlfn.CONCAT("14",Main[[#This Row],[تاريخ]])</f>
        <v>1400/09/15</v>
      </c>
      <c r="E2427" s="33">
        <v>44536</v>
      </c>
      <c r="F2427" s="32">
        <v>30200</v>
      </c>
      <c r="G2427" s="5" t="str">
        <f>INDEX(customer[عنوان],MATCH(Main[[#This Row],[کد ردیابی]],customer[کد],0))</f>
        <v>تولیدی پیام</v>
      </c>
      <c r="H2427">
        <v>119</v>
      </c>
      <c r="I2427" s="6">
        <f ca="1">-Main[[#This Row],[بدهی تسویه شده (کیلوگرم)]]+Main[[#This Row],[بستانکار (کیلوگرم)]]</f>
        <v>119</v>
      </c>
      <c r="J2427" s="6">
        <f>IF(Main[[#This Row],[مقدار (کیلوگرم)]]&gt;0,Main[[#This Row],[مقدار (کیلوگرم)]],0)</f>
        <v>119</v>
      </c>
      <c r="K2427" s="6">
        <f>-IF(Main[[#This Row],[مقدار (کیلوگرم)]]&lt;0,Main[[#This Row],[مقدار (کیلوگرم)]],0)</f>
        <v>0</v>
      </c>
      <c r="L24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7" s="7">
        <f>-IF(AND(Main[[#This Row],[مقدار (کیلوگرم)]]&lt;0,Main[[#This Row],[تاريخ میلادی]]&gt;44276),Main[[#This Row],[مقدار (کیلوگرم)]],0)</f>
        <v>0</v>
      </c>
      <c r="N2427" s="6">
        <f ca="1">Main[[#This Row],[بدهکار (کیلوگرم)]]-Main[[#This Row],[بدهی تسویه نشده (کیلوگرم)]]</f>
        <v>0</v>
      </c>
      <c r="O2427" s="6">
        <f ca="1">Main[[#This Row],[تفکیک]]</f>
        <v>0</v>
      </c>
      <c r="P2427" s="6">
        <f ca="1">IF(Main[[#This Row],[تاخیر از سررسید]]&gt;0,Main[[#This Row],[بدهی تسویه نشده (کیلوگرم)]],0)</f>
        <v>0</v>
      </c>
      <c r="Q2427" s="6">
        <f ca="1">IF(Main[[#This Row],[بدهی تسویه نشده (کیلوگرم)]]&gt;0,'گزارش فردی'!$B$7-Main[[#This Row],[تاريخ میلادی]],0)</f>
        <v>0</v>
      </c>
      <c r="R2427" s="6">
        <f ca="1">IF(Main[[#This Row],[بدهی تسویه نشده (کیلوگرم)]]&gt;0,'گزارش فردی'!$B$7-Main[[#This Row],[تاريخ میلادی]]-'گزارش فردی'!$B$8,0)</f>
        <v>0</v>
      </c>
      <c r="S2427" s="6">
        <f ca="1">Main[[#This Row],[روز از ارسال سفارش]]*Main[[#This Row],[بدهی تسویه نشده (کیلوگرم)]]</f>
        <v>0</v>
      </c>
      <c r="T2427" s="6">
        <f ca="1">Main[[#This Row],[بدهی سررسید شده (کیلوگرم)]]*Main[[#This Row],[روز از ارسال سفارش]]</f>
        <v>0</v>
      </c>
      <c r="U2427" s="6">
        <f>-SUBTOTAL(9,INDEX(Main[مقدار (کیلوگرم)],1):Main[[#This Row],[مقدار (کیلوگرم)]])</f>
        <v>34615</v>
      </c>
      <c r="V24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7" s="6">
        <f>Main[[#This Row],[تعداد کل روزهای بدهکار (روز)]]*Main[[#This Row],[مانده در خط کل (کیلوگرم)]]</f>
        <v>34615</v>
      </c>
      <c r="X2427" s="6">
        <f ca="1">-SUBTOTAL(9,INDEX(Main[مقدار تسویه شده (کیلوگرم)],1):Main[[#This Row],[مقدار تسویه شده (کیلوگرم)]])</f>
        <v>23819</v>
      </c>
      <c r="Y2427" s="6">
        <f ca="1">IF(Main[[#This Row],[مانده در خط تسویه شده (کیلوگرم)]]&lt;&gt;0,Main[[#This Row],[تعداد کل روزهای بدهکار (روز)]],0)</f>
        <v>1</v>
      </c>
      <c r="Z2427" s="6">
        <f ca="1">Main[[#This Row],[تعداد روزهای بدهکار تسویه شده (روز)]]*Main[[#This Row],[مانده در خط تسویه شده (کیلوگرم)]]</f>
        <v>23819</v>
      </c>
      <c r="AA2427" s="6">
        <f ca="1">SUBTOTAL(9,INDEX(Main[بدهی تسویه نشده (کیلوگرم)],1):Main[[#This Row],[بدهی تسویه نشده (کیلوگرم)]])</f>
        <v>10796</v>
      </c>
      <c r="AB2427" s="6">
        <f ca="1">IF(Main[[#This Row],[مانده در خط تسویه نشده (کیلوگرم)]]&lt;&gt;0,Main[[#This Row],[تعداد کل روزهای بدهکار (روز)]],0)</f>
        <v>1</v>
      </c>
      <c r="AC2427" s="6">
        <f ca="1">Main[[#This Row],[تعداد روزهای بدهکار  تسویه نشده (روز)]]*Main[[#This Row],[مانده در خط تسویه نشده (کیلوگرم)]]</f>
        <v>10796</v>
      </c>
      <c r="AD2427" s="6">
        <f ca="1">SUBTOTAL(9,INDEX(Main[بدهی سررسید شده (کیلوگرم)],1):Main[[#This Row],[بدهی سررسید شده (کیلوگرم)]])</f>
        <v>10796</v>
      </c>
      <c r="AE2427" s="6">
        <f ca="1">IF(Main[[#This Row],[مانده در خط سررسید شده (کیلوگرم)]]&lt;&gt;0,Main[[#This Row],[تعداد کل روزهای بدهکار (روز)]],0)</f>
        <v>1</v>
      </c>
      <c r="AF2427" s="6">
        <f ca="1">Main[[#This Row],[تعداد روزهای بدهکار سررسید شده (روز)]]*Main[[#This Row],[مانده در خط سررسید شده (کیلوگرم)]]</f>
        <v>10796</v>
      </c>
    </row>
    <row r="2428" spans="1:32" hidden="1" x14ac:dyDescent="0.35">
      <c r="A2428" s="5">
        <f>ROW()-ROW(INDEX(Main[ردیف],1))+1</f>
        <v>2426</v>
      </c>
      <c r="B2428" s="31">
        <f>SUBTOTAL(2,INDEX(Main[ردیف],1):Main[[#This Row],[ردیف]])</f>
        <v>218</v>
      </c>
      <c r="C2428" s="32" t="s">
        <v>805</v>
      </c>
      <c r="D2428" s="32" t="str">
        <f>_xlfn.CONCAT("14",Main[[#This Row],[تاريخ]])</f>
        <v>1400/09/16</v>
      </c>
      <c r="E2428" s="33">
        <v>44537</v>
      </c>
      <c r="F2428" s="32">
        <v>30070</v>
      </c>
      <c r="G2428" s="5" t="str">
        <f>INDEX(customer[عنوان],MATCH(Main[[#This Row],[کد ردیابی]],customer[کد],0))</f>
        <v xml:space="preserve">تکنو تراش یادگار </v>
      </c>
      <c r="H2428">
        <v>-931</v>
      </c>
      <c r="I2428" s="6">
        <f ca="1">-Main[[#This Row],[بدهی تسویه شده (کیلوگرم)]]+Main[[#This Row],[بستانکار (کیلوگرم)]]</f>
        <v>0</v>
      </c>
      <c r="J2428" s="6">
        <f>IF(Main[[#This Row],[مقدار (کیلوگرم)]]&gt;0,Main[[#This Row],[مقدار (کیلوگرم)]],0)</f>
        <v>0</v>
      </c>
      <c r="K2428" s="6">
        <f>-IF(Main[[#This Row],[مقدار (کیلوگرم)]]&lt;0,Main[[#This Row],[مقدار (کیلوگرم)]],0)</f>
        <v>931</v>
      </c>
      <c r="L24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931</v>
      </c>
      <c r="M2428" s="7">
        <f>-IF(AND(Main[[#This Row],[مقدار (کیلوگرم)]]&lt;0,Main[[#This Row],[تاريخ میلادی]]&gt;44276),Main[[#This Row],[مقدار (کیلوگرم)]],0)</f>
        <v>931</v>
      </c>
      <c r="N2428" s="6">
        <f ca="1">Main[[#This Row],[بدهکار (کیلوگرم)]]-Main[[#This Row],[بدهی تسویه نشده (کیلوگرم)]]</f>
        <v>0</v>
      </c>
      <c r="O2428" s="6">
        <f ca="1">Main[[#This Row],[تفکیک]]</f>
        <v>931</v>
      </c>
      <c r="P2428" s="6">
        <f ca="1">IF(Main[[#This Row],[تاخیر از سررسید]]&gt;0,Main[[#This Row],[بدهی تسویه نشده (کیلوگرم)]],0)</f>
        <v>931</v>
      </c>
      <c r="Q2428" s="6">
        <f ca="1">IF(Main[[#This Row],[بدهی تسویه نشده (کیلوگرم)]]&gt;0,'گزارش فردی'!$B$7-Main[[#This Row],[تاريخ میلادی]],0)</f>
        <v>925.75374085648218</v>
      </c>
      <c r="R2428" s="6">
        <f ca="1">IF(Main[[#This Row],[بدهی تسویه نشده (کیلوگرم)]]&gt;0,'گزارش فردی'!$B$7-Main[[#This Row],[تاريخ میلادی]]-'گزارش فردی'!$B$8,0)</f>
        <v>910.75374085648218</v>
      </c>
      <c r="S2428" s="6">
        <f ca="1">Main[[#This Row],[روز از ارسال سفارش]]*Main[[#This Row],[بدهی تسویه نشده (کیلوگرم)]]</f>
        <v>861876.73273738497</v>
      </c>
      <c r="T2428" s="6">
        <f ca="1">Main[[#This Row],[بدهی سررسید شده (کیلوگرم)]]*Main[[#This Row],[روز از ارسال سفارش]]</f>
        <v>861876.73273738497</v>
      </c>
      <c r="U2428" s="6">
        <f>-SUBTOTAL(9,INDEX(Main[مقدار (کیلوگرم)],1):Main[[#This Row],[مقدار (کیلوگرم)]])</f>
        <v>34615</v>
      </c>
      <c r="V24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28" s="6">
        <f>Main[[#This Row],[تعداد کل روزهای بدهکار (روز)]]*Main[[#This Row],[مانده در خط کل (کیلوگرم)]]</f>
        <v>0</v>
      </c>
      <c r="X2428" s="6">
        <f ca="1">-SUBTOTAL(9,INDEX(Main[مقدار تسویه شده (کیلوگرم)],1):Main[[#This Row],[مقدار تسویه شده (کیلوگرم)]])</f>
        <v>23819</v>
      </c>
      <c r="Y2428" s="6">
        <f ca="1">IF(Main[[#This Row],[مانده در خط تسویه شده (کیلوگرم)]]&lt;&gt;0,Main[[#This Row],[تعداد کل روزهای بدهکار (روز)]],0)</f>
        <v>0</v>
      </c>
      <c r="Z2428" s="6">
        <f ca="1">Main[[#This Row],[تعداد روزهای بدهکار تسویه شده (روز)]]*Main[[#This Row],[مانده در خط تسویه شده (کیلوگرم)]]</f>
        <v>0</v>
      </c>
      <c r="AA2428" s="6">
        <f ca="1">SUBTOTAL(9,INDEX(Main[بدهی تسویه نشده (کیلوگرم)],1):Main[[#This Row],[بدهی تسویه نشده (کیلوگرم)]])</f>
        <v>10796</v>
      </c>
      <c r="AB2428" s="6">
        <f ca="1">IF(Main[[#This Row],[مانده در خط تسویه نشده (کیلوگرم)]]&lt;&gt;0,Main[[#This Row],[تعداد کل روزهای بدهکار (روز)]],0)</f>
        <v>0</v>
      </c>
      <c r="AC2428" s="6">
        <f ca="1">Main[[#This Row],[تعداد روزهای بدهکار  تسویه نشده (روز)]]*Main[[#This Row],[مانده در خط تسویه نشده (کیلوگرم)]]</f>
        <v>0</v>
      </c>
      <c r="AD2428" s="6">
        <f ca="1">SUBTOTAL(9,INDEX(Main[بدهی سررسید شده (کیلوگرم)],1):Main[[#This Row],[بدهی سررسید شده (کیلوگرم)]])</f>
        <v>10796</v>
      </c>
      <c r="AE2428" s="6">
        <f ca="1">IF(Main[[#This Row],[مانده در خط سررسید شده (کیلوگرم)]]&lt;&gt;0,Main[[#This Row],[تعداد کل روزهای بدهکار (روز)]],0)</f>
        <v>0</v>
      </c>
      <c r="AF2428" s="6">
        <f ca="1">Main[[#This Row],[تعداد روزهای بدهکار سررسید شده (روز)]]*Main[[#This Row],[مانده در خط سررسید شده (کیلوگرم)]]</f>
        <v>0</v>
      </c>
    </row>
    <row r="2429" spans="1:32" hidden="1" x14ac:dyDescent="0.35">
      <c r="A2429" s="5">
        <f>ROW()-ROW(INDEX(Main[ردیف],1))+1</f>
        <v>2427</v>
      </c>
      <c r="B2429" s="31">
        <f>SUBTOTAL(2,INDEX(Main[ردیف],1):Main[[#This Row],[ردیف]])</f>
        <v>218</v>
      </c>
      <c r="C2429" s="32" t="s">
        <v>805</v>
      </c>
      <c r="D2429" s="32" t="str">
        <f>_xlfn.CONCAT("14",Main[[#This Row],[تاريخ]])</f>
        <v>1400/09/16</v>
      </c>
      <c r="E2429" s="33">
        <v>44537</v>
      </c>
      <c r="F2429" s="32">
        <v>10069</v>
      </c>
      <c r="G2429" s="5" t="str">
        <f>INDEX(customer[عنوان],MATCH(Main[[#This Row],[کد ردیابی]],customer[کد],0))</f>
        <v xml:space="preserve">جواد عرب </v>
      </c>
      <c r="H2429">
        <v>1480</v>
      </c>
      <c r="I2429" s="6">
        <f ca="1">-Main[[#This Row],[بدهی تسویه شده (کیلوگرم)]]+Main[[#This Row],[بستانکار (کیلوگرم)]]</f>
        <v>1480</v>
      </c>
      <c r="J2429" s="6">
        <f>IF(Main[[#This Row],[مقدار (کیلوگرم)]]&gt;0,Main[[#This Row],[مقدار (کیلوگرم)]],0)</f>
        <v>1480</v>
      </c>
      <c r="K2429" s="6">
        <f>-IF(Main[[#This Row],[مقدار (کیلوگرم)]]&lt;0,Main[[#This Row],[مقدار (کیلوگرم)]],0)</f>
        <v>0</v>
      </c>
      <c r="L24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9" s="7">
        <f>-IF(AND(Main[[#This Row],[مقدار (کیلوگرم)]]&lt;0,Main[[#This Row],[تاريخ میلادی]]&gt;44276),Main[[#This Row],[مقدار (کیلوگرم)]],0)</f>
        <v>0</v>
      </c>
      <c r="N2429" s="6">
        <f ca="1">Main[[#This Row],[بدهکار (کیلوگرم)]]-Main[[#This Row],[بدهی تسویه نشده (کیلوگرم)]]</f>
        <v>0</v>
      </c>
      <c r="O2429" s="6">
        <f ca="1">Main[[#This Row],[تفکیک]]</f>
        <v>0</v>
      </c>
      <c r="P2429" s="6">
        <f ca="1">IF(Main[[#This Row],[تاخیر از سررسید]]&gt;0,Main[[#This Row],[بدهی تسویه نشده (کیلوگرم)]],0)</f>
        <v>0</v>
      </c>
      <c r="Q2429" s="6">
        <f ca="1">IF(Main[[#This Row],[بدهی تسویه نشده (کیلوگرم)]]&gt;0,'گزارش فردی'!$B$7-Main[[#This Row],[تاريخ میلادی]],0)</f>
        <v>0</v>
      </c>
      <c r="R2429" s="6">
        <f ca="1">IF(Main[[#This Row],[بدهی تسویه نشده (کیلوگرم)]]&gt;0,'گزارش فردی'!$B$7-Main[[#This Row],[تاريخ میلادی]]-'گزارش فردی'!$B$8,0)</f>
        <v>0</v>
      </c>
      <c r="S2429" s="6">
        <f ca="1">Main[[#This Row],[روز از ارسال سفارش]]*Main[[#This Row],[بدهی تسویه نشده (کیلوگرم)]]</f>
        <v>0</v>
      </c>
      <c r="T2429" s="6">
        <f ca="1">Main[[#This Row],[بدهی سررسید شده (کیلوگرم)]]*Main[[#This Row],[روز از ارسال سفارش]]</f>
        <v>0</v>
      </c>
      <c r="U2429" s="6">
        <f>-SUBTOTAL(9,INDEX(Main[مقدار (کیلوگرم)],1):Main[[#This Row],[مقدار (کیلوگرم)]])</f>
        <v>34615</v>
      </c>
      <c r="V24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29" s="6">
        <f>Main[[#This Row],[تعداد کل روزهای بدهکار (روز)]]*Main[[#This Row],[مانده در خط کل (کیلوگرم)]]</f>
        <v>0</v>
      </c>
      <c r="X2429" s="6">
        <f ca="1">-SUBTOTAL(9,INDEX(Main[مقدار تسویه شده (کیلوگرم)],1):Main[[#This Row],[مقدار تسویه شده (کیلوگرم)]])</f>
        <v>23819</v>
      </c>
      <c r="Y2429" s="6">
        <f ca="1">IF(Main[[#This Row],[مانده در خط تسویه شده (کیلوگرم)]]&lt;&gt;0,Main[[#This Row],[تعداد کل روزهای بدهکار (روز)]],0)</f>
        <v>0</v>
      </c>
      <c r="Z2429" s="6">
        <f ca="1">Main[[#This Row],[تعداد روزهای بدهکار تسویه شده (روز)]]*Main[[#This Row],[مانده در خط تسویه شده (کیلوگرم)]]</f>
        <v>0</v>
      </c>
      <c r="AA2429" s="6">
        <f ca="1">SUBTOTAL(9,INDEX(Main[بدهی تسویه نشده (کیلوگرم)],1):Main[[#This Row],[بدهی تسویه نشده (کیلوگرم)]])</f>
        <v>10796</v>
      </c>
      <c r="AB2429" s="6">
        <f ca="1">IF(Main[[#This Row],[مانده در خط تسویه نشده (کیلوگرم)]]&lt;&gt;0,Main[[#This Row],[تعداد کل روزهای بدهکار (روز)]],0)</f>
        <v>0</v>
      </c>
      <c r="AC2429" s="6">
        <f ca="1">Main[[#This Row],[تعداد روزهای بدهکار  تسویه نشده (روز)]]*Main[[#This Row],[مانده در خط تسویه نشده (کیلوگرم)]]</f>
        <v>0</v>
      </c>
      <c r="AD2429" s="6">
        <f ca="1">SUBTOTAL(9,INDEX(Main[بدهی سررسید شده (کیلوگرم)],1):Main[[#This Row],[بدهی سررسید شده (کیلوگرم)]])</f>
        <v>10796</v>
      </c>
      <c r="AE2429" s="6">
        <f ca="1">IF(Main[[#This Row],[مانده در خط سررسید شده (کیلوگرم)]]&lt;&gt;0,Main[[#This Row],[تعداد کل روزهای بدهکار (روز)]],0)</f>
        <v>0</v>
      </c>
      <c r="AF2429" s="6">
        <f ca="1">Main[[#This Row],[تعداد روزهای بدهکار سررسید شده (روز)]]*Main[[#This Row],[مانده در خط سررسید شده (کیلوگرم)]]</f>
        <v>0</v>
      </c>
    </row>
    <row r="2430" spans="1:32" hidden="1" x14ac:dyDescent="0.35">
      <c r="A2430" s="5">
        <f>ROW()-ROW(INDEX(Main[ردیف],1))+1</f>
        <v>2428</v>
      </c>
      <c r="B2430" s="31">
        <f>SUBTOTAL(2,INDEX(Main[ردیف],1):Main[[#This Row],[ردیف]])</f>
        <v>218</v>
      </c>
      <c r="C2430" s="32" t="s">
        <v>805</v>
      </c>
      <c r="D2430" s="32" t="str">
        <f>_xlfn.CONCAT("14",Main[[#This Row],[تاريخ]])</f>
        <v>1400/09/16</v>
      </c>
      <c r="E2430" s="33">
        <v>44537</v>
      </c>
      <c r="F2430" s="32">
        <v>30140</v>
      </c>
      <c r="G2430" s="5" t="str">
        <f>INDEX(customer[عنوان],MATCH(Main[[#This Row],[کد ردیابی]],customer[کد],0))</f>
        <v>شرکت سیتکو</v>
      </c>
      <c r="H2430">
        <v>-1871</v>
      </c>
      <c r="I2430" s="6">
        <f ca="1">-Main[[#This Row],[بدهی تسویه شده (کیلوگرم)]]+Main[[#This Row],[بستانکار (کیلوگرم)]]</f>
        <v>0</v>
      </c>
      <c r="J2430" s="6">
        <f>IF(Main[[#This Row],[مقدار (کیلوگرم)]]&gt;0,Main[[#This Row],[مقدار (کیلوگرم)]],0)</f>
        <v>0</v>
      </c>
      <c r="K2430" s="6">
        <f>-IF(Main[[#This Row],[مقدار (کیلوگرم)]]&lt;0,Main[[#This Row],[مقدار (کیلوگرم)]],0)</f>
        <v>1871</v>
      </c>
      <c r="L24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1871</v>
      </c>
      <c r="M2430" s="7">
        <f>-IF(AND(Main[[#This Row],[مقدار (کیلوگرم)]]&lt;0,Main[[#This Row],[تاريخ میلادی]]&gt;44276),Main[[#This Row],[مقدار (کیلوگرم)]],0)</f>
        <v>1871</v>
      </c>
      <c r="N2430" s="6">
        <f ca="1">Main[[#This Row],[بدهکار (کیلوگرم)]]-Main[[#This Row],[بدهی تسویه نشده (کیلوگرم)]]</f>
        <v>0</v>
      </c>
      <c r="O2430" s="6">
        <f ca="1">Main[[#This Row],[تفکیک]]</f>
        <v>1871</v>
      </c>
      <c r="P2430" s="6">
        <f ca="1">IF(Main[[#This Row],[تاخیر از سررسید]]&gt;0,Main[[#This Row],[بدهی تسویه نشده (کیلوگرم)]],0)</f>
        <v>1871</v>
      </c>
      <c r="Q2430" s="6">
        <f ca="1">IF(Main[[#This Row],[بدهی تسویه نشده (کیلوگرم)]]&gt;0,'گزارش فردی'!$B$7-Main[[#This Row],[تاريخ میلادی]],0)</f>
        <v>925.75374085648218</v>
      </c>
      <c r="R2430" s="6">
        <f ca="1">IF(Main[[#This Row],[بدهی تسویه نشده (کیلوگرم)]]&gt;0,'گزارش فردی'!$B$7-Main[[#This Row],[تاريخ میلادی]]-'گزارش فردی'!$B$8,0)</f>
        <v>910.75374085648218</v>
      </c>
      <c r="S2430" s="6">
        <f ca="1">Main[[#This Row],[روز از ارسال سفارش]]*Main[[#This Row],[بدهی تسویه نشده (کیلوگرم)]]</f>
        <v>1732085.2491424782</v>
      </c>
      <c r="T2430" s="6">
        <f ca="1">Main[[#This Row],[بدهی سررسید شده (کیلوگرم)]]*Main[[#This Row],[روز از ارسال سفارش]]</f>
        <v>1732085.2491424782</v>
      </c>
      <c r="U2430" s="6">
        <f>-SUBTOTAL(9,INDEX(Main[مقدار (کیلوگرم)],1):Main[[#This Row],[مقدار (کیلوگرم)]])</f>
        <v>34615</v>
      </c>
      <c r="V24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0" s="6">
        <f>Main[[#This Row],[تعداد کل روزهای بدهکار (روز)]]*Main[[#This Row],[مانده در خط کل (کیلوگرم)]]</f>
        <v>0</v>
      </c>
      <c r="X2430" s="6">
        <f ca="1">-SUBTOTAL(9,INDEX(Main[مقدار تسویه شده (کیلوگرم)],1):Main[[#This Row],[مقدار تسویه شده (کیلوگرم)]])</f>
        <v>23819</v>
      </c>
      <c r="Y2430" s="6">
        <f ca="1">IF(Main[[#This Row],[مانده در خط تسویه شده (کیلوگرم)]]&lt;&gt;0,Main[[#This Row],[تعداد کل روزهای بدهکار (روز)]],0)</f>
        <v>0</v>
      </c>
      <c r="Z2430" s="6">
        <f ca="1">Main[[#This Row],[تعداد روزهای بدهکار تسویه شده (روز)]]*Main[[#This Row],[مانده در خط تسویه شده (کیلوگرم)]]</f>
        <v>0</v>
      </c>
      <c r="AA2430" s="6">
        <f ca="1">SUBTOTAL(9,INDEX(Main[بدهی تسویه نشده (کیلوگرم)],1):Main[[#This Row],[بدهی تسویه نشده (کیلوگرم)]])</f>
        <v>10796</v>
      </c>
      <c r="AB2430" s="6">
        <f ca="1">IF(Main[[#This Row],[مانده در خط تسویه نشده (کیلوگرم)]]&lt;&gt;0,Main[[#This Row],[تعداد کل روزهای بدهکار (روز)]],0)</f>
        <v>0</v>
      </c>
      <c r="AC2430" s="6">
        <f ca="1">Main[[#This Row],[تعداد روزهای بدهکار  تسویه نشده (روز)]]*Main[[#This Row],[مانده در خط تسویه نشده (کیلوگرم)]]</f>
        <v>0</v>
      </c>
      <c r="AD2430" s="6">
        <f ca="1">SUBTOTAL(9,INDEX(Main[بدهی سررسید شده (کیلوگرم)],1):Main[[#This Row],[بدهی سررسید شده (کیلوگرم)]])</f>
        <v>10796</v>
      </c>
      <c r="AE2430" s="6">
        <f ca="1">IF(Main[[#This Row],[مانده در خط سررسید شده (کیلوگرم)]]&lt;&gt;0,Main[[#This Row],[تعداد کل روزهای بدهکار (روز)]],0)</f>
        <v>0</v>
      </c>
      <c r="AF2430" s="6">
        <f ca="1">Main[[#This Row],[تعداد روزهای بدهکار سررسید شده (روز)]]*Main[[#This Row],[مانده در خط سررسید شده (کیلوگرم)]]</f>
        <v>0</v>
      </c>
    </row>
    <row r="2431" spans="1:32" hidden="1" x14ac:dyDescent="0.35">
      <c r="A2431" s="5">
        <f>ROW()-ROW(INDEX(Main[ردیف],1))+1</f>
        <v>2429</v>
      </c>
      <c r="B2431" s="31">
        <f>SUBTOTAL(2,INDEX(Main[ردیف],1):Main[[#This Row],[ردیف]])</f>
        <v>218</v>
      </c>
      <c r="C2431" s="32" t="s">
        <v>805</v>
      </c>
      <c r="D2431" s="32" t="str">
        <f>_xlfn.CONCAT("14",Main[[#This Row],[تاريخ]])</f>
        <v>1400/09/16</v>
      </c>
      <c r="E2431" s="33">
        <v>44537</v>
      </c>
      <c r="F2431" s="32">
        <v>30200</v>
      </c>
      <c r="G2431" s="5" t="str">
        <f>INDEX(customer[عنوان],MATCH(Main[[#This Row],[کد ردیابی]],customer[کد],0))</f>
        <v>تولیدی پیام</v>
      </c>
      <c r="H2431">
        <v>594</v>
      </c>
      <c r="I2431" s="6">
        <f ca="1">-Main[[#This Row],[بدهی تسویه شده (کیلوگرم)]]+Main[[#This Row],[بستانکار (کیلوگرم)]]</f>
        <v>594</v>
      </c>
      <c r="J2431" s="6">
        <f>IF(Main[[#This Row],[مقدار (کیلوگرم)]]&gt;0,Main[[#This Row],[مقدار (کیلوگرم)]],0)</f>
        <v>594</v>
      </c>
      <c r="K2431" s="6">
        <f>-IF(Main[[#This Row],[مقدار (کیلوگرم)]]&lt;0,Main[[#This Row],[مقدار (کیلوگرم)]],0)</f>
        <v>0</v>
      </c>
      <c r="L24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1" s="7">
        <f>-IF(AND(Main[[#This Row],[مقدار (کیلوگرم)]]&lt;0,Main[[#This Row],[تاريخ میلادی]]&gt;44276),Main[[#This Row],[مقدار (کیلوگرم)]],0)</f>
        <v>0</v>
      </c>
      <c r="N2431" s="6">
        <f ca="1">Main[[#This Row],[بدهکار (کیلوگرم)]]-Main[[#This Row],[بدهی تسویه نشده (کیلوگرم)]]</f>
        <v>0</v>
      </c>
      <c r="O2431" s="6">
        <f ca="1">Main[[#This Row],[تفکیک]]</f>
        <v>0</v>
      </c>
      <c r="P2431" s="6">
        <f ca="1">IF(Main[[#This Row],[تاخیر از سررسید]]&gt;0,Main[[#This Row],[بدهی تسویه نشده (کیلوگرم)]],0)</f>
        <v>0</v>
      </c>
      <c r="Q2431" s="6">
        <f ca="1">IF(Main[[#This Row],[بدهی تسویه نشده (کیلوگرم)]]&gt;0,'گزارش فردی'!$B$7-Main[[#This Row],[تاريخ میلادی]],0)</f>
        <v>0</v>
      </c>
      <c r="R2431" s="6">
        <f ca="1">IF(Main[[#This Row],[بدهی تسویه نشده (کیلوگرم)]]&gt;0,'گزارش فردی'!$B$7-Main[[#This Row],[تاريخ میلادی]]-'گزارش فردی'!$B$8,0)</f>
        <v>0</v>
      </c>
      <c r="S2431" s="6">
        <f ca="1">Main[[#This Row],[روز از ارسال سفارش]]*Main[[#This Row],[بدهی تسویه نشده (کیلوگرم)]]</f>
        <v>0</v>
      </c>
      <c r="T2431" s="6">
        <f ca="1">Main[[#This Row],[بدهی سررسید شده (کیلوگرم)]]*Main[[#This Row],[روز از ارسال سفارش]]</f>
        <v>0</v>
      </c>
      <c r="U2431" s="6">
        <f>-SUBTOTAL(9,INDEX(Main[مقدار (کیلوگرم)],1):Main[[#This Row],[مقدار (کیلوگرم)]])</f>
        <v>34615</v>
      </c>
      <c r="V24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1" s="6">
        <f>Main[[#This Row],[تعداد کل روزهای بدهکار (روز)]]*Main[[#This Row],[مانده در خط کل (کیلوگرم)]]</f>
        <v>0</v>
      </c>
      <c r="X2431" s="6">
        <f ca="1">-SUBTOTAL(9,INDEX(Main[مقدار تسویه شده (کیلوگرم)],1):Main[[#This Row],[مقدار تسویه شده (کیلوگرم)]])</f>
        <v>23819</v>
      </c>
      <c r="Y2431" s="6">
        <f ca="1">IF(Main[[#This Row],[مانده در خط تسویه شده (کیلوگرم)]]&lt;&gt;0,Main[[#This Row],[تعداد کل روزهای بدهکار (روز)]],0)</f>
        <v>0</v>
      </c>
      <c r="Z2431" s="6">
        <f ca="1">Main[[#This Row],[تعداد روزهای بدهکار تسویه شده (روز)]]*Main[[#This Row],[مانده در خط تسویه شده (کیلوگرم)]]</f>
        <v>0</v>
      </c>
      <c r="AA2431" s="6">
        <f ca="1">SUBTOTAL(9,INDEX(Main[بدهی تسویه نشده (کیلوگرم)],1):Main[[#This Row],[بدهی تسویه نشده (کیلوگرم)]])</f>
        <v>10796</v>
      </c>
      <c r="AB2431" s="6">
        <f ca="1">IF(Main[[#This Row],[مانده در خط تسویه نشده (کیلوگرم)]]&lt;&gt;0,Main[[#This Row],[تعداد کل روزهای بدهکار (روز)]],0)</f>
        <v>0</v>
      </c>
      <c r="AC2431" s="6">
        <f ca="1">Main[[#This Row],[تعداد روزهای بدهکار  تسویه نشده (روز)]]*Main[[#This Row],[مانده در خط تسویه نشده (کیلوگرم)]]</f>
        <v>0</v>
      </c>
      <c r="AD2431" s="6">
        <f ca="1">SUBTOTAL(9,INDEX(Main[بدهی سررسید شده (کیلوگرم)],1):Main[[#This Row],[بدهی سررسید شده (کیلوگرم)]])</f>
        <v>10796</v>
      </c>
      <c r="AE2431" s="6">
        <f ca="1">IF(Main[[#This Row],[مانده در خط سررسید شده (کیلوگرم)]]&lt;&gt;0,Main[[#This Row],[تعداد کل روزهای بدهکار (روز)]],0)</f>
        <v>0</v>
      </c>
      <c r="AF2431" s="6">
        <f ca="1">Main[[#This Row],[تعداد روزهای بدهکار سررسید شده (روز)]]*Main[[#This Row],[مانده در خط سررسید شده (کیلوگرم)]]</f>
        <v>0</v>
      </c>
    </row>
    <row r="2432" spans="1:32" hidden="1" x14ac:dyDescent="0.35">
      <c r="A2432" s="5">
        <f>ROW()-ROW(INDEX(Main[ردیف],1))+1</f>
        <v>2430</v>
      </c>
      <c r="B2432" s="31">
        <f>SUBTOTAL(2,INDEX(Main[ردیف],1):Main[[#This Row],[ردیف]])</f>
        <v>218</v>
      </c>
      <c r="C2432" s="32" t="s">
        <v>805</v>
      </c>
      <c r="D2432" s="32" t="str">
        <f>_xlfn.CONCAT("14",Main[[#This Row],[تاريخ]])</f>
        <v>1400/09/16</v>
      </c>
      <c r="E2432" s="33">
        <v>44537</v>
      </c>
      <c r="F2432" s="32">
        <v>10069</v>
      </c>
      <c r="G2432" s="5" t="str">
        <f>INDEX(customer[عنوان],MATCH(Main[[#This Row],[کد ردیابی]],customer[کد],0))</f>
        <v xml:space="preserve">جواد عرب </v>
      </c>
      <c r="H2432">
        <v>-1927</v>
      </c>
      <c r="I2432" s="6">
        <f ca="1">-Main[[#This Row],[بدهی تسویه شده (کیلوگرم)]]+Main[[#This Row],[بستانکار (کیلوگرم)]]</f>
        <v>0</v>
      </c>
      <c r="J2432" s="6">
        <f>IF(Main[[#This Row],[مقدار (کیلوگرم)]]&gt;0,Main[[#This Row],[مقدار (کیلوگرم)]],0)</f>
        <v>0</v>
      </c>
      <c r="K2432" s="6">
        <f>-IF(Main[[#This Row],[مقدار (کیلوگرم)]]&lt;0,Main[[#This Row],[مقدار (کیلوگرم)]],0)</f>
        <v>1927</v>
      </c>
      <c r="L24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1927</v>
      </c>
      <c r="M2432" s="7">
        <f>-IF(AND(Main[[#This Row],[مقدار (کیلوگرم)]]&lt;0,Main[[#This Row],[تاريخ میلادی]]&gt;44276),Main[[#This Row],[مقدار (کیلوگرم)]],0)</f>
        <v>1927</v>
      </c>
      <c r="N2432" s="6">
        <f ca="1">Main[[#This Row],[بدهکار (کیلوگرم)]]-Main[[#This Row],[بدهی تسویه نشده (کیلوگرم)]]</f>
        <v>0</v>
      </c>
      <c r="O2432" s="6">
        <f ca="1">Main[[#This Row],[تفکیک]]</f>
        <v>1927</v>
      </c>
      <c r="P2432" s="6">
        <f ca="1">IF(Main[[#This Row],[تاخیر از سررسید]]&gt;0,Main[[#This Row],[بدهی تسویه نشده (کیلوگرم)]],0)</f>
        <v>1927</v>
      </c>
      <c r="Q2432" s="6">
        <f ca="1">IF(Main[[#This Row],[بدهی تسویه نشده (کیلوگرم)]]&gt;0,'گزارش فردی'!$B$7-Main[[#This Row],[تاريخ میلادی]],0)</f>
        <v>925.75374085648218</v>
      </c>
      <c r="R2432" s="6">
        <f ca="1">IF(Main[[#This Row],[بدهی تسویه نشده (کیلوگرم)]]&gt;0,'گزارش فردی'!$B$7-Main[[#This Row],[تاريخ میلادی]]-'گزارش فردی'!$B$8,0)</f>
        <v>910.75374085648218</v>
      </c>
      <c r="S2432" s="6">
        <f ca="1">Main[[#This Row],[روز از ارسال سفارش]]*Main[[#This Row],[بدهی تسویه نشده (کیلوگرم)]]</f>
        <v>1783927.4586304412</v>
      </c>
      <c r="T2432" s="6">
        <f ca="1">Main[[#This Row],[بدهی سررسید شده (کیلوگرم)]]*Main[[#This Row],[روز از ارسال سفارش]]</f>
        <v>1783927.4586304412</v>
      </c>
      <c r="U2432" s="6">
        <f>-SUBTOTAL(9,INDEX(Main[مقدار (کیلوگرم)],1):Main[[#This Row],[مقدار (کیلوگرم)]])</f>
        <v>34615</v>
      </c>
      <c r="V24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2" s="6">
        <f>Main[[#This Row],[تعداد کل روزهای بدهکار (روز)]]*Main[[#This Row],[مانده در خط کل (کیلوگرم)]]</f>
        <v>0</v>
      </c>
      <c r="X2432" s="6">
        <f ca="1">-SUBTOTAL(9,INDEX(Main[مقدار تسویه شده (کیلوگرم)],1):Main[[#This Row],[مقدار تسویه شده (کیلوگرم)]])</f>
        <v>23819</v>
      </c>
      <c r="Y2432" s="6">
        <f ca="1">IF(Main[[#This Row],[مانده در خط تسویه شده (کیلوگرم)]]&lt;&gt;0,Main[[#This Row],[تعداد کل روزهای بدهکار (روز)]],0)</f>
        <v>0</v>
      </c>
      <c r="Z2432" s="6">
        <f ca="1">Main[[#This Row],[تعداد روزهای بدهکار تسویه شده (روز)]]*Main[[#This Row],[مانده در خط تسویه شده (کیلوگرم)]]</f>
        <v>0</v>
      </c>
      <c r="AA2432" s="6">
        <f ca="1">SUBTOTAL(9,INDEX(Main[بدهی تسویه نشده (کیلوگرم)],1):Main[[#This Row],[بدهی تسویه نشده (کیلوگرم)]])</f>
        <v>10796</v>
      </c>
      <c r="AB2432" s="6">
        <f ca="1">IF(Main[[#This Row],[مانده در خط تسویه نشده (کیلوگرم)]]&lt;&gt;0,Main[[#This Row],[تعداد کل روزهای بدهکار (روز)]],0)</f>
        <v>0</v>
      </c>
      <c r="AC2432" s="6">
        <f ca="1">Main[[#This Row],[تعداد روزهای بدهکار  تسویه نشده (روز)]]*Main[[#This Row],[مانده در خط تسویه نشده (کیلوگرم)]]</f>
        <v>0</v>
      </c>
      <c r="AD2432" s="6">
        <f ca="1">SUBTOTAL(9,INDEX(Main[بدهی سررسید شده (کیلوگرم)],1):Main[[#This Row],[بدهی سررسید شده (کیلوگرم)]])</f>
        <v>10796</v>
      </c>
      <c r="AE2432" s="6">
        <f ca="1">IF(Main[[#This Row],[مانده در خط سررسید شده (کیلوگرم)]]&lt;&gt;0,Main[[#This Row],[تعداد کل روزهای بدهکار (روز)]],0)</f>
        <v>0</v>
      </c>
      <c r="AF2432" s="6">
        <f ca="1">Main[[#This Row],[تعداد روزهای بدهکار سررسید شده (روز)]]*Main[[#This Row],[مانده در خط سررسید شده (کیلوگرم)]]</f>
        <v>0</v>
      </c>
    </row>
    <row r="2433" spans="1:32" hidden="1" x14ac:dyDescent="0.35">
      <c r="A2433" s="5">
        <f>ROW()-ROW(INDEX(Main[ردیف],1))+1</f>
        <v>2431</v>
      </c>
      <c r="B2433" s="31">
        <f>SUBTOTAL(2,INDEX(Main[ردیف],1):Main[[#This Row],[ردیف]])</f>
        <v>218</v>
      </c>
      <c r="C2433" s="32" t="s">
        <v>805</v>
      </c>
      <c r="D2433" s="32" t="str">
        <f>_xlfn.CONCAT("14",Main[[#This Row],[تاريخ]])</f>
        <v>1400/09/16</v>
      </c>
      <c r="E2433" s="33">
        <v>44537</v>
      </c>
      <c r="F2433" s="32">
        <v>30070</v>
      </c>
      <c r="G2433" s="5" t="str">
        <f>INDEX(customer[عنوان],MATCH(Main[[#This Row],[کد ردیابی]],customer[کد],0))</f>
        <v xml:space="preserve">تکنو تراش یادگار </v>
      </c>
      <c r="H2433">
        <v>2033</v>
      </c>
      <c r="I2433" s="6">
        <f ca="1">-Main[[#This Row],[بدهی تسویه شده (کیلوگرم)]]+Main[[#This Row],[بستانکار (کیلوگرم)]]</f>
        <v>2033</v>
      </c>
      <c r="J2433" s="6">
        <f>IF(Main[[#This Row],[مقدار (کیلوگرم)]]&gt;0,Main[[#This Row],[مقدار (کیلوگرم)]],0)</f>
        <v>2033</v>
      </c>
      <c r="K2433" s="6">
        <f>-IF(Main[[#This Row],[مقدار (کیلوگرم)]]&lt;0,Main[[#This Row],[مقدار (کیلوگرم)]],0)</f>
        <v>0</v>
      </c>
      <c r="L24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3" s="7">
        <f>-IF(AND(Main[[#This Row],[مقدار (کیلوگرم)]]&lt;0,Main[[#This Row],[تاريخ میلادی]]&gt;44276),Main[[#This Row],[مقدار (کیلوگرم)]],0)</f>
        <v>0</v>
      </c>
      <c r="N2433" s="6">
        <f ca="1">Main[[#This Row],[بدهکار (کیلوگرم)]]-Main[[#This Row],[بدهی تسویه نشده (کیلوگرم)]]</f>
        <v>0</v>
      </c>
      <c r="O2433" s="6">
        <f ca="1">Main[[#This Row],[تفکیک]]</f>
        <v>0</v>
      </c>
      <c r="P2433" s="6">
        <f ca="1">IF(Main[[#This Row],[تاخیر از سررسید]]&gt;0,Main[[#This Row],[بدهی تسویه نشده (کیلوگرم)]],0)</f>
        <v>0</v>
      </c>
      <c r="Q2433" s="6">
        <f ca="1">IF(Main[[#This Row],[بدهی تسویه نشده (کیلوگرم)]]&gt;0,'گزارش فردی'!$B$7-Main[[#This Row],[تاريخ میلادی]],0)</f>
        <v>0</v>
      </c>
      <c r="R2433" s="6">
        <f ca="1">IF(Main[[#This Row],[بدهی تسویه نشده (کیلوگرم)]]&gt;0,'گزارش فردی'!$B$7-Main[[#This Row],[تاريخ میلادی]]-'گزارش فردی'!$B$8,0)</f>
        <v>0</v>
      </c>
      <c r="S2433" s="6">
        <f ca="1">Main[[#This Row],[روز از ارسال سفارش]]*Main[[#This Row],[بدهی تسویه نشده (کیلوگرم)]]</f>
        <v>0</v>
      </c>
      <c r="T2433" s="6">
        <f ca="1">Main[[#This Row],[بدهی سررسید شده (کیلوگرم)]]*Main[[#This Row],[روز از ارسال سفارش]]</f>
        <v>0</v>
      </c>
      <c r="U2433" s="6">
        <f>-SUBTOTAL(9,INDEX(Main[مقدار (کیلوگرم)],1):Main[[#This Row],[مقدار (کیلوگرم)]])</f>
        <v>34615</v>
      </c>
      <c r="V24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3" s="6">
        <f>Main[[#This Row],[تعداد کل روزهای بدهکار (روز)]]*Main[[#This Row],[مانده در خط کل (کیلوگرم)]]</f>
        <v>0</v>
      </c>
      <c r="X2433" s="6">
        <f ca="1">-SUBTOTAL(9,INDEX(Main[مقدار تسویه شده (کیلوگرم)],1):Main[[#This Row],[مقدار تسویه شده (کیلوگرم)]])</f>
        <v>23819</v>
      </c>
      <c r="Y2433" s="6">
        <f ca="1">IF(Main[[#This Row],[مانده در خط تسویه شده (کیلوگرم)]]&lt;&gt;0,Main[[#This Row],[تعداد کل روزهای بدهکار (روز)]],0)</f>
        <v>0</v>
      </c>
      <c r="Z2433" s="6">
        <f ca="1">Main[[#This Row],[تعداد روزهای بدهکار تسویه شده (روز)]]*Main[[#This Row],[مانده در خط تسویه شده (کیلوگرم)]]</f>
        <v>0</v>
      </c>
      <c r="AA2433" s="6">
        <f ca="1">SUBTOTAL(9,INDEX(Main[بدهی تسویه نشده (کیلوگرم)],1):Main[[#This Row],[بدهی تسویه نشده (کیلوگرم)]])</f>
        <v>10796</v>
      </c>
      <c r="AB2433" s="6">
        <f ca="1">IF(Main[[#This Row],[مانده در خط تسویه نشده (کیلوگرم)]]&lt;&gt;0,Main[[#This Row],[تعداد کل روزهای بدهکار (روز)]],0)</f>
        <v>0</v>
      </c>
      <c r="AC2433" s="6">
        <f ca="1">Main[[#This Row],[تعداد روزهای بدهکار  تسویه نشده (روز)]]*Main[[#This Row],[مانده در خط تسویه نشده (کیلوگرم)]]</f>
        <v>0</v>
      </c>
      <c r="AD2433" s="6">
        <f ca="1">SUBTOTAL(9,INDEX(Main[بدهی سررسید شده (کیلوگرم)],1):Main[[#This Row],[بدهی سررسید شده (کیلوگرم)]])</f>
        <v>10796</v>
      </c>
      <c r="AE2433" s="6">
        <f ca="1">IF(Main[[#This Row],[مانده در خط سررسید شده (کیلوگرم)]]&lt;&gt;0,Main[[#This Row],[تعداد کل روزهای بدهکار (روز)]],0)</f>
        <v>0</v>
      </c>
      <c r="AF2433" s="6">
        <f ca="1">Main[[#This Row],[تعداد روزهای بدهکار سررسید شده (روز)]]*Main[[#This Row],[مانده در خط سررسید شده (کیلوگرم)]]</f>
        <v>0</v>
      </c>
    </row>
    <row r="2434" spans="1:32" x14ac:dyDescent="0.35">
      <c r="A2434" s="5">
        <f>ROW()-ROW(INDEX(Main[ردیف],1))+1</f>
        <v>2432</v>
      </c>
      <c r="B2434" s="31">
        <f>SUBTOTAL(2,INDEX(Main[ردیف],1):Main[[#This Row],[ردیف]])</f>
        <v>219</v>
      </c>
      <c r="C2434" s="32" t="s">
        <v>805</v>
      </c>
      <c r="D2434" s="32" t="str">
        <f>_xlfn.CONCAT("14",Main[[#This Row],[تاريخ]])</f>
        <v>1400/09/16</v>
      </c>
      <c r="E2434" s="33">
        <v>44537</v>
      </c>
      <c r="F2434" s="32">
        <v>10003</v>
      </c>
      <c r="G2434" s="5" t="str">
        <f>INDEX(customer[عنوان],MATCH(Main[[#This Row],[کد ردیابی]],customer[کد],0))</f>
        <v>اصغر نورعلی</v>
      </c>
      <c r="H2434">
        <v>-1997</v>
      </c>
      <c r="I2434" s="6">
        <f ca="1">-Main[[#This Row],[بدهی تسویه شده (کیلوگرم)]]+Main[[#This Row],[بستانکار (کیلوگرم)]]</f>
        <v>0</v>
      </c>
      <c r="J2434" s="6">
        <f>IF(Main[[#This Row],[مقدار (کیلوگرم)]]&gt;0,Main[[#This Row],[مقدار (کیلوگرم)]],0)</f>
        <v>0</v>
      </c>
      <c r="K2434" s="6">
        <f>-IF(Main[[#This Row],[مقدار (کیلوگرم)]]&lt;0,Main[[#This Row],[مقدار (کیلوگرم)]],0)</f>
        <v>1997</v>
      </c>
      <c r="L24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1997</v>
      </c>
      <c r="M2434" s="7">
        <f>-IF(AND(Main[[#This Row],[مقدار (کیلوگرم)]]&lt;0,Main[[#This Row],[تاريخ میلادی]]&gt;44276),Main[[#This Row],[مقدار (کیلوگرم)]],0)</f>
        <v>1997</v>
      </c>
      <c r="N2434" s="6">
        <f ca="1">Main[[#This Row],[بدهکار (کیلوگرم)]]-Main[[#This Row],[بدهی تسویه نشده (کیلوگرم)]]</f>
        <v>0</v>
      </c>
      <c r="O2434" s="6">
        <f ca="1">Main[[#This Row],[تفکیک]]</f>
        <v>1997</v>
      </c>
      <c r="P2434" s="6">
        <f ca="1">IF(Main[[#This Row],[تاخیر از سررسید]]&gt;0,Main[[#This Row],[بدهی تسویه نشده (کیلوگرم)]],0)</f>
        <v>1997</v>
      </c>
      <c r="Q2434" s="6">
        <f ca="1">IF(Main[[#This Row],[بدهی تسویه نشده (کیلوگرم)]]&gt;0,'گزارش فردی'!$B$7-Main[[#This Row],[تاريخ میلادی]],0)</f>
        <v>925.75374085648218</v>
      </c>
      <c r="R2434" s="6">
        <f ca="1">IF(Main[[#This Row],[بدهی تسویه نشده (کیلوگرم)]]&gt;0,'گزارش فردی'!$B$7-Main[[#This Row],[تاريخ میلادی]]-'گزارش فردی'!$B$8,0)</f>
        <v>910.75374085648218</v>
      </c>
      <c r="S2434" s="6">
        <f ca="1">Main[[#This Row],[روز از ارسال سفارش]]*Main[[#This Row],[بدهی تسویه نشده (کیلوگرم)]]</f>
        <v>1848730.2204903949</v>
      </c>
      <c r="T2434" s="6">
        <f ca="1">Main[[#This Row],[بدهی سررسید شده (کیلوگرم)]]*Main[[#This Row],[روز از ارسال سفارش]]</f>
        <v>1848730.2204903949</v>
      </c>
      <c r="U2434" s="6">
        <f>-SUBTOTAL(9,INDEX(Main[مقدار (کیلوگرم)],1):Main[[#This Row],[مقدار (کیلوگرم)]])</f>
        <v>36612</v>
      </c>
      <c r="V24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4" s="6">
        <f>Main[[#This Row],[تعداد کل روزهای بدهکار (روز)]]*Main[[#This Row],[مانده در خط کل (کیلوگرم)]]</f>
        <v>36612</v>
      </c>
      <c r="X2434" s="6">
        <f ca="1">-SUBTOTAL(9,INDEX(Main[مقدار تسویه شده (کیلوگرم)],1):Main[[#This Row],[مقدار تسویه شده (کیلوگرم)]])</f>
        <v>23819</v>
      </c>
      <c r="Y2434" s="6">
        <f ca="1">IF(Main[[#This Row],[مانده در خط تسویه شده (کیلوگرم)]]&lt;&gt;0,Main[[#This Row],[تعداد کل روزهای بدهکار (روز)]],0)</f>
        <v>1</v>
      </c>
      <c r="Z2434" s="6">
        <f ca="1">Main[[#This Row],[تعداد روزهای بدهکار تسویه شده (روز)]]*Main[[#This Row],[مانده در خط تسویه شده (کیلوگرم)]]</f>
        <v>23819</v>
      </c>
      <c r="AA2434" s="6">
        <f ca="1">SUBTOTAL(9,INDEX(Main[بدهی تسویه نشده (کیلوگرم)],1):Main[[#This Row],[بدهی تسویه نشده (کیلوگرم)]])</f>
        <v>12793</v>
      </c>
      <c r="AB2434" s="6">
        <f ca="1">IF(Main[[#This Row],[مانده در خط تسویه نشده (کیلوگرم)]]&lt;&gt;0,Main[[#This Row],[تعداد کل روزهای بدهکار (روز)]],0)</f>
        <v>1</v>
      </c>
      <c r="AC2434" s="6">
        <f ca="1">Main[[#This Row],[تعداد روزهای بدهکار  تسویه نشده (روز)]]*Main[[#This Row],[مانده در خط تسویه نشده (کیلوگرم)]]</f>
        <v>12793</v>
      </c>
      <c r="AD2434" s="6">
        <f ca="1">SUBTOTAL(9,INDEX(Main[بدهی سررسید شده (کیلوگرم)],1):Main[[#This Row],[بدهی سررسید شده (کیلوگرم)]])</f>
        <v>12793</v>
      </c>
      <c r="AE2434" s="6">
        <f ca="1">IF(Main[[#This Row],[مانده در خط سررسید شده (کیلوگرم)]]&lt;&gt;0,Main[[#This Row],[تعداد کل روزهای بدهکار (روز)]],0)</f>
        <v>1</v>
      </c>
      <c r="AF2434" s="6">
        <f ca="1">Main[[#This Row],[تعداد روزهای بدهکار سررسید شده (روز)]]*Main[[#This Row],[مانده در خط سررسید شده (کیلوگرم)]]</f>
        <v>12793</v>
      </c>
    </row>
    <row r="2435" spans="1:32" hidden="1" x14ac:dyDescent="0.35">
      <c r="A2435" s="5">
        <f>ROW()-ROW(INDEX(Main[ردیف],1))+1</f>
        <v>2433</v>
      </c>
      <c r="B2435" s="31">
        <f>SUBTOTAL(2,INDEX(Main[ردیف],1):Main[[#This Row],[ردیف]])</f>
        <v>219</v>
      </c>
      <c r="C2435" s="32" t="s">
        <v>805</v>
      </c>
      <c r="D2435" s="32" t="str">
        <f>_xlfn.CONCAT("14",Main[[#This Row],[تاريخ]])</f>
        <v>1400/09/16</v>
      </c>
      <c r="E2435" s="33">
        <v>44537</v>
      </c>
      <c r="F2435" s="32">
        <v>10029</v>
      </c>
      <c r="G2435" s="5" t="str">
        <f>INDEX(customer[عنوان],MATCH(Main[[#This Row],[کد ردیابی]],customer[کد],0))</f>
        <v>رضا شریعتی</v>
      </c>
      <c r="H2435">
        <v>621</v>
      </c>
      <c r="I2435" s="6">
        <f ca="1">-Main[[#This Row],[بدهی تسویه شده (کیلوگرم)]]+Main[[#This Row],[بستانکار (کیلوگرم)]]</f>
        <v>621</v>
      </c>
      <c r="J2435" s="6">
        <f>IF(Main[[#This Row],[مقدار (کیلوگرم)]]&gt;0,Main[[#This Row],[مقدار (کیلوگرم)]],0)</f>
        <v>621</v>
      </c>
      <c r="K2435" s="6">
        <f>-IF(Main[[#This Row],[مقدار (کیلوگرم)]]&lt;0,Main[[#This Row],[مقدار (کیلوگرم)]],0)</f>
        <v>0</v>
      </c>
      <c r="L24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5" s="7">
        <f>-IF(AND(Main[[#This Row],[مقدار (کیلوگرم)]]&lt;0,Main[[#This Row],[تاريخ میلادی]]&gt;44276),Main[[#This Row],[مقدار (کیلوگرم)]],0)</f>
        <v>0</v>
      </c>
      <c r="N2435" s="6">
        <f ca="1">Main[[#This Row],[بدهکار (کیلوگرم)]]-Main[[#This Row],[بدهی تسویه نشده (کیلوگرم)]]</f>
        <v>0</v>
      </c>
      <c r="O2435" s="6">
        <f ca="1">Main[[#This Row],[تفکیک]]</f>
        <v>0</v>
      </c>
      <c r="P2435" s="6">
        <f ca="1">IF(Main[[#This Row],[تاخیر از سررسید]]&gt;0,Main[[#This Row],[بدهی تسویه نشده (کیلوگرم)]],0)</f>
        <v>0</v>
      </c>
      <c r="Q2435" s="6">
        <f ca="1">IF(Main[[#This Row],[بدهی تسویه نشده (کیلوگرم)]]&gt;0,'گزارش فردی'!$B$7-Main[[#This Row],[تاريخ میلادی]],0)</f>
        <v>0</v>
      </c>
      <c r="R2435" s="6">
        <f ca="1">IF(Main[[#This Row],[بدهی تسویه نشده (کیلوگرم)]]&gt;0,'گزارش فردی'!$B$7-Main[[#This Row],[تاريخ میلادی]]-'گزارش فردی'!$B$8,0)</f>
        <v>0</v>
      </c>
      <c r="S2435" s="6">
        <f ca="1">Main[[#This Row],[روز از ارسال سفارش]]*Main[[#This Row],[بدهی تسویه نشده (کیلوگرم)]]</f>
        <v>0</v>
      </c>
      <c r="T2435" s="6">
        <f ca="1">Main[[#This Row],[بدهی سررسید شده (کیلوگرم)]]*Main[[#This Row],[روز از ارسال سفارش]]</f>
        <v>0</v>
      </c>
      <c r="U2435" s="6">
        <f>-SUBTOTAL(9,INDEX(Main[مقدار (کیلوگرم)],1):Main[[#This Row],[مقدار (کیلوگرم)]])</f>
        <v>36612</v>
      </c>
      <c r="V24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5" s="6">
        <f>Main[[#This Row],[تعداد کل روزهای بدهکار (روز)]]*Main[[#This Row],[مانده در خط کل (کیلوگرم)]]</f>
        <v>36612</v>
      </c>
      <c r="X2435" s="6">
        <f ca="1">-SUBTOTAL(9,INDEX(Main[مقدار تسویه شده (کیلوگرم)],1):Main[[#This Row],[مقدار تسویه شده (کیلوگرم)]])</f>
        <v>23819</v>
      </c>
      <c r="Y2435" s="6">
        <f ca="1">IF(Main[[#This Row],[مانده در خط تسویه شده (کیلوگرم)]]&lt;&gt;0,Main[[#This Row],[تعداد کل روزهای بدهکار (روز)]],0)</f>
        <v>1</v>
      </c>
      <c r="Z2435" s="6">
        <f ca="1">Main[[#This Row],[تعداد روزهای بدهکار تسویه شده (روز)]]*Main[[#This Row],[مانده در خط تسویه شده (کیلوگرم)]]</f>
        <v>23819</v>
      </c>
      <c r="AA2435" s="6">
        <f ca="1">SUBTOTAL(9,INDEX(Main[بدهی تسویه نشده (کیلوگرم)],1):Main[[#This Row],[بدهی تسویه نشده (کیلوگرم)]])</f>
        <v>12793</v>
      </c>
      <c r="AB2435" s="6">
        <f ca="1">IF(Main[[#This Row],[مانده در خط تسویه نشده (کیلوگرم)]]&lt;&gt;0,Main[[#This Row],[تعداد کل روزهای بدهکار (روز)]],0)</f>
        <v>1</v>
      </c>
      <c r="AC2435" s="6">
        <f ca="1">Main[[#This Row],[تعداد روزهای بدهکار  تسویه نشده (روز)]]*Main[[#This Row],[مانده در خط تسویه نشده (کیلوگرم)]]</f>
        <v>12793</v>
      </c>
      <c r="AD2435" s="6">
        <f ca="1">SUBTOTAL(9,INDEX(Main[بدهی سررسید شده (کیلوگرم)],1):Main[[#This Row],[بدهی سررسید شده (کیلوگرم)]])</f>
        <v>12793</v>
      </c>
      <c r="AE2435" s="6">
        <f ca="1">IF(Main[[#This Row],[مانده در خط سررسید شده (کیلوگرم)]]&lt;&gt;0,Main[[#This Row],[تعداد کل روزهای بدهکار (روز)]],0)</f>
        <v>1</v>
      </c>
      <c r="AF2435" s="6">
        <f ca="1">Main[[#This Row],[تعداد روزهای بدهکار سررسید شده (روز)]]*Main[[#This Row],[مانده در خط سررسید شده (کیلوگرم)]]</f>
        <v>12793</v>
      </c>
    </row>
    <row r="2436" spans="1:32" hidden="1" x14ac:dyDescent="0.35">
      <c r="A2436" s="5">
        <f>ROW()-ROW(INDEX(Main[ردیف],1))+1</f>
        <v>2434</v>
      </c>
      <c r="B2436" s="31">
        <f>SUBTOTAL(2,INDEX(Main[ردیف],1):Main[[#This Row],[ردیف]])</f>
        <v>219</v>
      </c>
      <c r="C2436" s="32" t="s">
        <v>805</v>
      </c>
      <c r="D2436" s="32" t="str">
        <f>_xlfn.CONCAT("14",Main[[#This Row],[تاريخ]])</f>
        <v>1400/09/16</v>
      </c>
      <c r="E2436" s="33">
        <v>44537</v>
      </c>
      <c r="F2436" s="32">
        <v>10057</v>
      </c>
      <c r="G2436" s="5" t="str">
        <f>INDEX(customer[عنوان],MATCH(Main[[#This Row],[کد ردیابی]],customer[کد],0))</f>
        <v xml:space="preserve">عبدالله یادگار </v>
      </c>
      <c r="H2436">
        <v>-1749</v>
      </c>
      <c r="I2436" s="6">
        <f ca="1">-Main[[#This Row],[بدهی تسویه شده (کیلوگرم)]]+Main[[#This Row],[بستانکار (کیلوگرم)]]</f>
        <v>0</v>
      </c>
      <c r="J2436" s="6">
        <f>IF(Main[[#This Row],[مقدار (کیلوگرم)]]&gt;0,Main[[#This Row],[مقدار (کیلوگرم)]],0)</f>
        <v>0</v>
      </c>
      <c r="K2436" s="6">
        <f>-IF(Main[[#This Row],[مقدار (کیلوگرم)]]&lt;0,Main[[#This Row],[مقدار (کیلوگرم)]],0)</f>
        <v>1749</v>
      </c>
      <c r="L24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1749</v>
      </c>
      <c r="M2436" s="7">
        <f>-IF(AND(Main[[#This Row],[مقدار (کیلوگرم)]]&lt;0,Main[[#This Row],[تاريخ میلادی]]&gt;44276),Main[[#This Row],[مقدار (کیلوگرم)]],0)</f>
        <v>1749</v>
      </c>
      <c r="N2436" s="6">
        <f ca="1">Main[[#This Row],[بدهکار (کیلوگرم)]]-Main[[#This Row],[بدهی تسویه نشده (کیلوگرم)]]</f>
        <v>0</v>
      </c>
      <c r="O2436" s="6">
        <f ca="1">Main[[#This Row],[تفکیک]]</f>
        <v>1749</v>
      </c>
      <c r="P2436" s="6">
        <f ca="1">IF(Main[[#This Row],[تاخیر از سررسید]]&gt;0,Main[[#This Row],[بدهی تسویه نشده (کیلوگرم)]],0)</f>
        <v>1749</v>
      </c>
      <c r="Q2436" s="6">
        <f ca="1">IF(Main[[#This Row],[بدهی تسویه نشده (کیلوگرم)]]&gt;0,'گزارش فردی'!$B$7-Main[[#This Row],[تاريخ میلادی]],0)</f>
        <v>925.75374085648218</v>
      </c>
      <c r="R2436" s="6">
        <f ca="1">IF(Main[[#This Row],[بدهی تسویه نشده (کیلوگرم)]]&gt;0,'گزارش فردی'!$B$7-Main[[#This Row],[تاريخ میلادی]]-'گزارش فردی'!$B$8,0)</f>
        <v>910.75374085648218</v>
      </c>
      <c r="S2436" s="6">
        <f ca="1">Main[[#This Row],[روز از ارسال سفارش]]*Main[[#This Row],[بدهی تسویه نشده (کیلوگرم)]]</f>
        <v>1619143.2927579873</v>
      </c>
      <c r="T2436" s="6">
        <f ca="1">Main[[#This Row],[بدهی سررسید شده (کیلوگرم)]]*Main[[#This Row],[روز از ارسال سفارش]]</f>
        <v>1619143.2927579873</v>
      </c>
      <c r="U2436" s="6">
        <f>-SUBTOTAL(9,INDEX(Main[مقدار (کیلوگرم)],1):Main[[#This Row],[مقدار (کیلوگرم)]])</f>
        <v>36612</v>
      </c>
      <c r="V24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6" s="6">
        <f>Main[[#This Row],[تعداد کل روزهای بدهکار (روز)]]*Main[[#This Row],[مانده در خط کل (کیلوگرم)]]</f>
        <v>36612</v>
      </c>
      <c r="X2436" s="6">
        <f ca="1">-SUBTOTAL(9,INDEX(Main[مقدار تسویه شده (کیلوگرم)],1):Main[[#This Row],[مقدار تسویه شده (کیلوگرم)]])</f>
        <v>23819</v>
      </c>
      <c r="Y2436" s="6">
        <f ca="1">IF(Main[[#This Row],[مانده در خط تسویه شده (کیلوگرم)]]&lt;&gt;0,Main[[#This Row],[تعداد کل روزهای بدهکار (روز)]],0)</f>
        <v>1</v>
      </c>
      <c r="Z2436" s="6">
        <f ca="1">Main[[#This Row],[تعداد روزهای بدهکار تسویه شده (روز)]]*Main[[#This Row],[مانده در خط تسویه شده (کیلوگرم)]]</f>
        <v>23819</v>
      </c>
      <c r="AA2436" s="6">
        <f ca="1">SUBTOTAL(9,INDEX(Main[بدهی تسویه نشده (کیلوگرم)],1):Main[[#This Row],[بدهی تسویه نشده (کیلوگرم)]])</f>
        <v>12793</v>
      </c>
      <c r="AB2436" s="6">
        <f ca="1">IF(Main[[#This Row],[مانده در خط تسویه نشده (کیلوگرم)]]&lt;&gt;0,Main[[#This Row],[تعداد کل روزهای بدهکار (روز)]],0)</f>
        <v>1</v>
      </c>
      <c r="AC2436" s="6">
        <f ca="1">Main[[#This Row],[تعداد روزهای بدهکار  تسویه نشده (روز)]]*Main[[#This Row],[مانده در خط تسویه نشده (کیلوگرم)]]</f>
        <v>12793</v>
      </c>
      <c r="AD2436" s="6">
        <f ca="1">SUBTOTAL(9,INDEX(Main[بدهی سررسید شده (کیلوگرم)],1):Main[[#This Row],[بدهی سررسید شده (کیلوگرم)]])</f>
        <v>12793</v>
      </c>
      <c r="AE2436" s="6">
        <f ca="1">IF(Main[[#This Row],[مانده در خط سررسید شده (کیلوگرم)]]&lt;&gt;0,Main[[#This Row],[تعداد کل روزهای بدهکار (روز)]],0)</f>
        <v>1</v>
      </c>
      <c r="AF2436" s="6">
        <f ca="1">Main[[#This Row],[تعداد روزهای بدهکار سررسید شده (روز)]]*Main[[#This Row],[مانده در خط سررسید شده (کیلوگرم)]]</f>
        <v>12793</v>
      </c>
    </row>
    <row r="2437" spans="1:32" hidden="1" x14ac:dyDescent="0.35">
      <c r="A2437" s="5">
        <f>ROW()-ROW(INDEX(Main[ردیف],1))+1</f>
        <v>2435</v>
      </c>
      <c r="B2437" s="31">
        <f>SUBTOTAL(2,INDEX(Main[ردیف],1):Main[[#This Row],[ردیف]])</f>
        <v>219</v>
      </c>
      <c r="C2437" s="32" t="s">
        <v>805</v>
      </c>
      <c r="D2437" s="32" t="str">
        <f>_xlfn.CONCAT("14",Main[[#This Row],[تاريخ]])</f>
        <v>1400/09/16</v>
      </c>
      <c r="E2437" s="33">
        <v>44537</v>
      </c>
      <c r="F2437" s="32">
        <v>30070</v>
      </c>
      <c r="G2437" s="5" t="str">
        <f>INDEX(customer[عنوان],MATCH(Main[[#This Row],[کد ردیابی]],customer[کد],0))</f>
        <v xml:space="preserve">تکنو تراش یادگار </v>
      </c>
      <c r="H2437">
        <v>2148</v>
      </c>
      <c r="I2437" s="6">
        <f ca="1">-Main[[#This Row],[بدهی تسویه شده (کیلوگرم)]]+Main[[#This Row],[بستانکار (کیلوگرم)]]</f>
        <v>2148</v>
      </c>
      <c r="J2437" s="6">
        <f>IF(Main[[#This Row],[مقدار (کیلوگرم)]]&gt;0,Main[[#This Row],[مقدار (کیلوگرم)]],0)</f>
        <v>2148</v>
      </c>
      <c r="K2437" s="6">
        <f>-IF(Main[[#This Row],[مقدار (کیلوگرم)]]&lt;0,Main[[#This Row],[مقدار (کیلوگرم)]],0)</f>
        <v>0</v>
      </c>
      <c r="L24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7" s="7">
        <f>-IF(AND(Main[[#This Row],[مقدار (کیلوگرم)]]&lt;0,Main[[#This Row],[تاريخ میلادی]]&gt;44276),Main[[#This Row],[مقدار (کیلوگرم)]],0)</f>
        <v>0</v>
      </c>
      <c r="N2437" s="6">
        <f ca="1">Main[[#This Row],[بدهکار (کیلوگرم)]]-Main[[#This Row],[بدهی تسویه نشده (کیلوگرم)]]</f>
        <v>0</v>
      </c>
      <c r="O2437" s="6">
        <f ca="1">Main[[#This Row],[تفکیک]]</f>
        <v>0</v>
      </c>
      <c r="P2437" s="6">
        <f ca="1">IF(Main[[#This Row],[تاخیر از سررسید]]&gt;0,Main[[#This Row],[بدهی تسویه نشده (کیلوگرم)]],0)</f>
        <v>0</v>
      </c>
      <c r="Q2437" s="6">
        <f ca="1">IF(Main[[#This Row],[بدهی تسویه نشده (کیلوگرم)]]&gt;0,'گزارش فردی'!$B$7-Main[[#This Row],[تاريخ میلادی]],0)</f>
        <v>0</v>
      </c>
      <c r="R2437" s="6">
        <f ca="1">IF(Main[[#This Row],[بدهی تسویه نشده (کیلوگرم)]]&gt;0,'گزارش فردی'!$B$7-Main[[#This Row],[تاريخ میلادی]]-'گزارش فردی'!$B$8,0)</f>
        <v>0</v>
      </c>
      <c r="S2437" s="6">
        <f ca="1">Main[[#This Row],[روز از ارسال سفارش]]*Main[[#This Row],[بدهی تسویه نشده (کیلوگرم)]]</f>
        <v>0</v>
      </c>
      <c r="T2437" s="6">
        <f ca="1">Main[[#This Row],[بدهی سررسید شده (کیلوگرم)]]*Main[[#This Row],[روز از ارسال سفارش]]</f>
        <v>0</v>
      </c>
      <c r="U2437" s="6">
        <f>-SUBTOTAL(9,INDEX(Main[مقدار (کیلوگرم)],1):Main[[#This Row],[مقدار (کیلوگرم)]])</f>
        <v>36612</v>
      </c>
      <c r="V24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7" s="6">
        <f>Main[[#This Row],[تعداد کل روزهای بدهکار (روز)]]*Main[[#This Row],[مانده در خط کل (کیلوگرم)]]</f>
        <v>36612</v>
      </c>
      <c r="X2437" s="6">
        <f ca="1">-SUBTOTAL(9,INDEX(Main[مقدار تسویه شده (کیلوگرم)],1):Main[[#This Row],[مقدار تسویه شده (کیلوگرم)]])</f>
        <v>23819</v>
      </c>
      <c r="Y2437" s="6">
        <f ca="1">IF(Main[[#This Row],[مانده در خط تسویه شده (کیلوگرم)]]&lt;&gt;0,Main[[#This Row],[تعداد کل روزهای بدهکار (روز)]],0)</f>
        <v>1</v>
      </c>
      <c r="Z2437" s="6">
        <f ca="1">Main[[#This Row],[تعداد روزهای بدهکار تسویه شده (روز)]]*Main[[#This Row],[مانده در خط تسویه شده (کیلوگرم)]]</f>
        <v>23819</v>
      </c>
      <c r="AA2437" s="6">
        <f ca="1">SUBTOTAL(9,INDEX(Main[بدهی تسویه نشده (کیلوگرم)],1):Main[[#This Row],[بدهی تسویه نشده (کیلوگرم)]])</f>
        <v>12793</v>
      </c>
      <c r="AB2437" s="6">
        <f ca="1">IF(Main[[#This Row],[مانده در خط تسویه نشده (کیلوگرم)]]&lt;&gt;0,Main[[#This Row],[تعداد کل روزهای بدهکار (روز)]],0)</f>
        <v>1</v>
      </c>
      <c r="AC2437" s="6">
        <f ca="1">Main[[#This Row],[تعداد روزهای بدهکار  تسویه نشده (روز)]]*Main[[#This Row],[مانده در خط تسویه نشده (کیلوگرم)]]</f>
        <v>12793</v>
      </c>
      <c r="AD2437" s="6">
        <f ca="1">SUBTOTAL(9,INDEX(Main[بدهی سررسید شده (کیلوگرم)],1):Main[[#This Row],[بدهی سررسید شده (کیلوگرم)]])</f>
        <v>12793</v>
      </c>
      <c r="AE2437" s="6">
        <f ca="1">IF(Main[[#This Row],[مانده در خط سررسید شده (کیلوگرم)]]&lt;&gt;0,Main[[#This Row],[تعداد کل روزهای بدهکار (روز)]],0)</f>
        <v>1</v>
      </c>
      <c r="AF2437" s="6">
        <f ca="1">Main[[#This Row],[تعداد روزهای بدهکار سررسید شده (روز)]]*Main[[#This Row],[مانده در خط سررسید شده (کیلوگرم)]]</f>
        <v>12793</v>
      </c>
    </row>
    <row r="2438" spans="1:32" hidden="1" x14ac:dyDescent="0.35">
      <c r="A2438" s="5">
        <f>ROW()-ROW(INDEX(Main[ردیف],1))+1</f>
        <v>2436</v>
      </c>
      <c r="B2438" s="31">
        <f>SUBTOTAL(2,INDEX(Main[ردیف],1):Main[[#This Row],[ردیف]])</f>
        <v>219</v>
      </c>
      <c r="C2438" s="32" t="s">
        <v>805</v>
      </c>
      <c r="D2438" s="32" t="str">
        <f>_xlfn.CONCAT("14",Main[[#This Row],[تاريخ]])</f>
        <v>1400/09/16</v>
      </c>
      <c r="E2438" s="33">
        <v>44537</v>
      </c>
      <c r="F2438" s="32">
        <v>10126</v>
      </c>
      <c r="G2438" s="5" t="str">
        <f>INDEX(customer[عنوان],MATCH(Main[[#This Row],[کد ردیابی]],customer[کد],0))</f>
        <v xml:space="preserve">کریم اسمعیلی </v>
      </c>
      <c r="H2438">
        <v>130</v>
      </c>
      <c r="I2438" s="6">
        <f ca="1">-Main[[#This Row],[بدهی تسویه شده (کیلوگرم)]]+Main[[#This Row],[بستانکار (کیلوگرم)]]</f>
        <v>130</v>
      </c>
      <c r="J2438" s="6">
        <f>IF(Main[[#This Row],[مقدار (کیلوگرم)]]&gt;0,Main[[#This Row],[مقدار (کیلوگرم)]],0)</f>
        <v>130</v>
      </c>
      <c r="K2438" s="6">
        <f>-IF(Main[[#This Row],[مقدار (کیلوگرم)]]&lt;0,Main[[#This Row],[مقدار (کیلوگرم)]],0)</f>
        <v>0</v>
      </c>
      <c r="L24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8" s="7">
        <f>-IF(AND(Main[[#This Row],[مقدار (کیلوگرم)]]&lt;0,Main[[#This Row],[تاريخ میلادی]]&gt;44276),Main[[#This Row],[مقدار (کیلوگرم)]],0)</f>
        <v>0</v>
      </c>
      <c r="N2438" s="6">
        <f ca="1">Main[[#This Row],[بدهکار (کیلوگرم)]]-Main[[#This Row],[بدهی تسویه نشده (کیلوگرم)]]</f>
        <v>0</v>
      </c>
      <c r="O2438" s="6">
        <f ca="1">Main[[#This Row],[تفکیک]]</f>
        <v>0</v>
      </c>
      <c r="P2438" s="6">
        <f ca="1">IF(Main[[#This Row],[تاخیر از سررسید]]&gt;0,Main[[#This Row],[بدهی تسویه نشده (کیلوگرم)]],0)</f>
        <v>0</v>
      </c>
      <c r="Q2438" s="6">
        <f ca="1">IF(Main[[#This Row],[بدهی تسویه نشده (کیلوگرم)]]&gt;0,'گزارش فردی'!$B$7-Main[[#This Row],[تاريخ میلادی]],0)</f>
        <v>0</v>
      </c>
      <c r="R2438" s="6">
        <f ca="1">IF(Main[[#This Row],[بدهی تسویه نشده (کیلوگرم)]]&gt;0,'گزارش فردی'!$B$7-Main[[#This Row],[تاريخ میلادی]]-'گزارش فردی'!$B$8,0)</f>
        <v>0</v>
      </c>
      <c r="S2438" s="6">
        <f ca="1">Main[[#This Row],[روز از ارسال سفارش]]*Main[[#This Row],[بدهی تسویه نشده (کیلوگرم)]]</f>
        <v>0</v>
      </c>
      <c r="T2438" s="6">
        <f ca="1">Main[[#This Row],[بدهی سررسید شده (کیلوگرم)]]*Main[[#This Row],[روز از ارسال سفارش]]</f>
        <v>0</v>
      </c>
      <c r="U2438" s="6">
        <f>-SUBTOTAL(9,INDEX(Main[مقدار (کیلوگرم)],1):Main[[#This Row],[مقدار (کیلوگرم)]])</f>
        <v>36612</v>
      </c>
      <c r="V24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8" s="6">
        <f>Main[[#This Row],[تعداد کل روزهای بدهکار (روز)]]*Main[[#This Row],[مانده در خط کل (کیلوگرم)]]</f>
        <v>36612</v>
      </c>
      <c r="X2438" s="6">
        <f ca="1">-SUBTOTAL(9,INDEX(Main[مقدار تسویه شده (کیلوگرم)],1):Main[[#This Row],[مقدار تسویه شده (کیلوگرم)]])</f>
        <v>23819</v>
      </c>
      <c r="Y2438" s="6">
        <f ca="1">IF(Main[[#This Row],[مانده در خط تسویه شده (کیلوگرم)]]&lt;&gt;0,Main[[#This Row],[تعداد کل روزهای بدهکار (روز)]],0)</f>
        <v>1</v>
      </c>
      <c r="Z2438" s="6">
        <f ca="1">Main[[#This Row],[تعداد روزهای بدهکار تسویه شده (روز)]]*Main[[#This Row],[مانده در خط تسویه شده (کیلوگرم)]]</f>
        <v>23819</v>
      </c>
      <c r="AA2438" s="6">
        <f ca="1">SUBTOTAL(9,INDEX(Main[بدهی تسویه نشده (کیلوگرم)],1):Main[[#This Row],[بدهی تسویه نشده (کیلوگرم)]])</f>
        <v>12793</v>
      </c>
      <c r="AB2438" s="6">
        <f ca="1">IF(Main[[#This Row],[مانده در خط تسویه نشده (کیلوگرم)]]&lt;&gt;0,Main[[#This Row],[تعداد کل روزهای بدهکار (روز)]],0)</f>
        <v>1</v>
      </c>
      <c r="AC2438" s="6">
        <f ca="1">Main[[#This Row],[تعداد روزهای بدهکار  تسویه نشده (روز)]]*Main[[#This Row],[مانده در خط تسویه نشده (کیلوگرم)]]</f>
        <v>12793</v>
      </c>
      <c r="AD2438" s="6">
        <f ca="1">SUBTOTAL(9,INDEX(Main[بدهی سررسید شده (کیلوگرم)],1):Main[[#This Row],[بدهی سررسید شده (کیلوگرم)]])</f>
        <v>12793</v>
      </c>
      <c r="AE2438" s="6">
        <f ca="1">IF(Main[[#This Row],[مانده در خط سررسید شده (کیلوگرم)]]&lt;&gt;0,Main[[#This Row],[تعداد کل روزهای بدهکار (روز)]],0)</f>
        <v>1</v>
      </c>
      <c r="AF2438" s="6">
        <f ca="1">Main[[#This Row],[تعداد روزهای بدهکار سررسید شده (روز)]]*Main[[#This Row],[مانده در خط سررسید شده (کیلوگرم)]]</f>
        <v>12793</v>
      </c>
    </row>
    <row r="2439" spans="1:32" hidden="1" x14ac:dyDescent="0.35">
      <c r="A2439" s="5">
        <f>ROW()-ROW(INDEX(Main[ردیف],1))+1</f>
        <v>2437</v>
      </c>
      <c r="B2439" s="31">
        <f>SUBTOTAL(2,INDEX(Main[ردیف],1):Main[[#This Row],[ردیف]])</f>
        <v>219</v>
      </c>
      <c r="C2439" s="32" t="s">
        <v>805</v>
      </c>
      <c r="D2439" s="32" t="str">
        <f>_xlfn.CONCAT("14",Main[[#This Row],[تاريخ]])</f>
        <v>1400/09/16</v>
      </c>
      <c r="E2439" s="33">
        <v>44537</v>
      </c>
      <c r="F2439" s="32">
        <v>10057</v>
      </c>
      <c r="G2439" s="5" t="str">
        <f>INDEX(customer[عنوان],MATCH(Main[[#This Row],[کد ردیابی]],customer[کد],0))</f>
        <v xml:space="preserve">عبدالله یادگار </v>
      </c>
      <c r="H2439">
        <v>1402</v>
      </c>
      <c r="I2439" s="6">
        <f ca="1">-Main[[#This Row],[بدهی تسویه شده (کیلوگرم)]]+Main[[#This Row],[بستانکار (کیلوگرم)]]</f>
        <v>1402</v>
      </c>
      <c r="J2439" s="6">
        <f>IF(Main[[#This Row],[مقدار (کیلوگرم)]]&gt;0,Main[[#This Row],[مقدار (کیلوگرم)]],0)</f>
        <v>1402</v>
      </c>
      <c r="K2439" s="6">
        <f>-IF(Main[[#This Row],[مقدار (کیلوگرم)]]&lt;0,Main[[#This Row],[مقدار (کیلوگرم)]],0)</f>
        <v>0</v>
      </c>
      <c r="L24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9" s="7">
        <f>-IF(AND(Main[[#This Row],[مقدار (کیلوگرم)]]&lt;0,Main[[#This Row],[تاريخ میلادی]]&gt;44276),Main[[#This Row],[مقدار (کیلوگرم)]],0)</f>
        <v>0</v>
      </c>
      <c r="N2439" s="6">
        <f ca="1">Main[[#This Row],[بدهکار (کیلوگرم)]]-Main[[#This Row],[بدهی تسویه نشده (کیلوگرم)]]</f>
        <v>0</v>
      </c>
      <c r="O2439" s="6">
        <f ca="1">Main[[#This Row],[تفکیک]]</f>
        <v>0</v>
      </c>
      <c r="P2439" s="6">
        <f ca="1">IF(Main[[#This Row],[تاخیر از سررسید]]&gt;0,Main[[#This Row],[بدهی تسویه نشده (کیلوگرم)]],0)</f>
        <v>0</v>
      </c>
      <c r="Q2439" s="6">
        <f ca="1">IF(Main[[#This Row],[بدهی تسویه نشده (کیلوگرم)]]&gt;0,'گزارش فردی'!$B$7-Main[[#This Row],[تاريخ میلادی]],0)</f>
        <v>0</v>
      </c>
      <c r="R2439" s="6">
        <f ca="1">IF(Main[[#This Row],[بدهی تسویه نشده (کیلوگرم)]]&gt;0,'گزارش فردی'!$B$7-Main[[#This Row],[تاريخ میلادی]]-'گزارش فردی'!$B$8,0)</f>
        <v>0</v>
      </c>
      <c r="S2439" s="6">
        <f ca="1">Main[[#This Row],[روز از ارسال سفارش]]*Main[[#This Row],[بدهی تسویه نشده (کیلوگرم)]]</f>
        <v>0</v>
      </c>
      <c r="T2439" s="6">
        <f ca="1">Main[[#This Row],[بدهی سررسید شده (کیلوگرم)]]*Main[[#This Row],[روز از ارسال سفارش]]</f>
        <v>0</v>
      </c>
      <c r="U2439" s="6">
        <f>-SUBTOTAL(9,INDEX(Main[مقدار (کیلوگرم)],1):Main[[#This Row],[مقدار (کیلوگرم)]])</f>
        <v>36612</v>
      </c>
      <c r="V24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9" s="6">
        <f>Main[[#This Row],[تعداد کل روزهای بدهکار (روز)]]*Main[[#This Row],[مانده در خط کل (کیلوگرم)]]</f>
        <v>36612</v>
      </c>
      <c r="X2439" s="6">
        <f ca="1">-SUBTOTAL(9,INDEX(Main[مقدار تسویه شده (کیلوگرم)],1):Main[[#This Row],[مقدار تسویه شده (کیلوگرم)]])</f>
        <v>23819</v>
      </c>
      <c r="Y2439" s="6">
        <f ca="1">IF(Main[[#This Row],[مانده در خط تسویه شده (کیلوگرم)]]&lt;&gt;0,Main[[#This Row],[تعداد کل روزهای بدهکار (روز)]],0)</f>
        <v>1</v>
      </c>
      <c r="Z2439" s="6">
        <f ca="1">Main[[#This Row],[تعداد روزهای بدهکار تسویه شده (روز)]]*Main[[#This Row],[مانده در خط تسویه شده (کیلوگرم)]]</f>
        <v>23819</v>
      </c>
      <c r="AA2439" s="6">
        <f ca="1">SUBTOTAL(9,INDEX(Main[بدهی تسویه نشده (کیلوگرم)],1):Main[[#This Row],[بدهی تسویه نشده (کیلوگرم)]])</f>
        <v>12793</v>
      </c>
      <c r="AB2439" s="6">
        <f ca="1">IF(Main[[#This Row],[مانده در خط تسویه نشده (کیلوگرم)]]&lt;&gt;0,Main[[#This Row],[تعداد کل روزهای بدهکار (روز)]],0)</f>
        <v>1</v>
      </c>
      <c r="AC2439" s="6">
        <f ca="1">Main[[#This Row],[تعداد روزهای بدهکار  تسویه نشده (روز)]]*Main[[#This Row],[مانده در خط تسویه نشده (کیلوگرم)]]</f>
        <v>12793</v>
      </c>
      <c r="AD2439" s="6">
        <f ca="1">SUBTOTAL(9,INDEX(Main[بدهی سررسید شده (کیلوگرم)],1):Main[[#This Row],[بدهی سررسید شده (کیلوگرم)]])</f>
        <v>12793</v>
      </c>
      <c r="AE2439" s="6">
        <f ca="1">IF(Main[[#This Row],[مانده در خط سررسید شده (کیلوگرم)]]&lt;&gt;0,Main[[#This Row],[تعداد کل روزهای بدهکار (روز)]],0)</f>
        <v>1</v>
      </c>
      <c r="AF2439" s="6">
        <f ca="1">Main[[#This Row],[تعداد روزهای بدهکار سررسید شده (روز)]]*Main[[#This Row],[مانده در خط سررسید شده (کیلوگرم)]]</f>
        <v>12793</v>
      </c>
    </row>
    <row r="2440" spans="1:32" hidden="1" x14ac:dyDescent="0.35">
      <c r="A2440" s="5">
        <f>ROW()-ROW(INDEX(Main[ردیف],1))+1</f>
        <v>2438</v>
      </c>
      <c r="B2440" s="31">
        <f>SUBTOTAL(2,INDEX(Main[ردیف],1):Main[[#This Row],[ردیف]])</f>
        <v>219</v>
      </c>
      <c r="C2440" s="32" t="s">
        <v>805</v>
      </c>
      <c r="D2440" s="32" t="str">
        <f>_xlfn.CONCAT("14",Main[[#This Row],[تاريخ]])</f>
        <v>1400/09/16</v>
      </c>
      <c r="E2440" s="33">
        <v>44537</v>
      </c>
      <c r="F2440" s="32">
        <v>10027</v>
      </c>
      <c r="G2440" s="5" t="str">
        <f>INDEX(customer[عنوان],MATCH(Main[[#This Row],[کد ردیابی]],customer[کد],0))</f>
        <v xml:space="preserve">مصطفی نورعلی </v>
      </c>
      <c r="H2440">
        <v>2548</v>
      </c>
      <c r="I2440" s="6">
        <f ca="1">-Main[[#This Row],[بدهی تسویه شده (کیلوگرم)]]+Main[[#This Row],[بستانکار (کیلوگرم)]]</f>
        <v>2548</v>
      </c>
      <c r="J2440" s="6">
        <f>IF(Main[[#This Row],[مقدار (کیلوگرم)]]&gt;0,Main[[#This Row],[مقدار (کیلوگرم)]],0)</f>
        <v>2548</v>
      </c>
      <c r="K2440" s="6">
        <f>-IF(Main[[#This Row],[مقدار (کیلوگرم)]]&lt;0,Main[[#This Row],[مقدار (کیلوگرم)]],0)</f>
        <v>0</v>
      </c>
      <c r="L24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0" s="7">
        <f>-IF(AND(Main[[#This Row],[مقدار (کیلوگرم)]]&lt;0,Main[[#This Row],[تاريخ میلادی]]&gt;44276),Main[[#This Row],[مقدار (کیلوگرم)]],0)</f>
        <v>0</v>
      </c>
      <c r="N2440" s="6">
        <f ca="1">Main[[#This Row],[بدهکار (کیلوگرم)]]-Main[[#This Row],[بدهی تسویه نشده (کیلوگرم)]]</f>
        <v>0</v>
      </c>
      <c r="O2440" s="6">
        <f ca="1">Main[[#This Row],[تفکیک]]</f>
        <v>0</v>
      </c>
      <c r="P2440" s="6">
        <f ca="1">IF(Main[[#This Row],[تاخیر از سررسید]]&gt;0,Main[[#This Row],[بدهی تسویه نشده (کیلوگرم)]],0)</f>
        <v>0</v>
      </c>
      <c r="Q2440" s="6">
        <f ca="1">IF(Main[[#This Row],[بدهی تسویه نشده (کیلوگرم)]]&gt;0,'گزارش فردی'!$B$7-Main[[#This Row],[تاريخ میلادی]],0)</f>
        <v>0</v>
      </c>
      <c r="R2440" s="6">
        <f ca="1">IF(Main[[#This Row],[بدهی تسویه نشده (کیلوگرم)]]&gt;0,'گزارش فردی'!$B$7-Main[[#This Row],[تاريخ میلادی]]-'گزارش فردی'!$B$8,0)</f>
        <v>0</v>
      </c>
      <c r="S2440" s="6">
        <f ca="1">Main[[#This Row],[روز از ارسال سفارش]]*Main[[#This Row],[بدهی تسویه نشده (کیلوگرم)]]</f>
        <v>0</v>
      </c>
      <c r="T2440" s="6">
        <f ca="1">Main[[#This Row],[بدهی سررسید شده (کیلوگرم)]]*Main[[#This Row],[روز از ارسال سفارش]]</f>
        <v>0</v>
      </c>
      <c r="U2440" s="6">
        <f>-SUBTOTAL(9,INDEX(Main[مقدار (کیلوگرم)],1):Main[[#This Row],[مقدار (کیلوگرم)]])</f>
        <v>36612</v>
      </c>
      <c r="V24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0" s="6">
        <f>Main[[#This Row],[تعداد کل روزهای بدهکار (روز)]]*Main[[#This Row],[مانده در خط کل (کیلوگرم)]]</f>
        <v>36612</v>
      </c>
      <c r="X2440" s="6">
        <f ca="1">-SUBTOTAL(9,INDEX(Main[مقدار تسویه شده (کیلوگرم)],1):Main[[#This Row],[مقدار تسویه شده (کیلوگرم)]])</f>
        <v>23819</v>
      </c>
      <c r="Y2440" s="6">
        <f ca="1">IF(Main[[#This Row],[مانده در خط تسویه شده (کیلوگرم)]]&lt;&gt;0,Main[[#This Row],[تعداد کل روزهای بدهکار (روز)]],0)</f>
        <v>1</v>
      </c>
      <c r="Z2440" s="6">
        <f ca="1">Main[[#This Row],[تعداد روزهای بدهکار تسویه شده (روز)]]*Main[[#This Row],[مانده در خط تسویه شده (کیلوگرم)]]</f>
        <v>23819</v>
      </c>
      <c r="AA2440" s="6">
        <f ca="1">SUBTOTAL(9,INDEX(Main[بدهی تسویه نشده (کیلوگرم)],1):Main[[#This Row],[بدهی تسویه نشده (کیلوگرم)]])</f>
        <v>12793</v>
      </c>
      <c r="AB2440" s="6">
        <f ca="1">IF(Main[[#This Row],[مانده در خط تسویه نشده (کیلوگرم)]]&lt;&gt;0,Main[[#This Row],[تعداد کل روزهای بدهکار (روز)]],0)</f>
        <v>1</v>
      </c>
      <c r="AC2440" s="6">
        <f ca="1">Main[[#This Row],[تعداد روزهای بدهکار  تسویه نشده (روز)]]*Main[[#This Row],[مانده در خط تسویه نشده (کیلوگرم)]]</f>
        <v>12793</v>
      </c>
      <c r="AD2440" s="6">
        <f ca="1">SUBTOTAL(9,INDEX(Main[بدهی سررسید شده (کیلوگرم)],1):Main[[#This Row],[بدهی سررسید شده (کیلوگرم)]])</f>
        <v>12793</v>
      </c>
      <c r="AE2440" s="6">
        <f ca="1">IF(Main[[#This Row],[مانده در خط سررسید شده (کیلوگرم)]]&lt;&gt;0,Main[[#This Row],[تعداد کل روزهای بدهکار (روز)]],0)</f>
        <v>1</v>
      </c>
      <c r="AF2440" s="6">
        <f ca="1">Main[[#This Row],[تعداد روزهای بدهکار سررسید شده (روز)]]*Main[[#This Row],[مانده در خط سررسید شده (کیلوگرم)]]</f>
        <v>12793</v>
      </c>
    </row>
    <row r="2441" spans="1:32" hidden="1" x14ac:dyDescent="0.35">
      <c r="A2441" s="5">
        <f>ROW()-ROW(INDEX(Main[ردیف],1))+1</f>
        <v>2439</v>
      </c>
      <c r="B2441" s="31">
        <f>SUBTOTAL(2,INDEX(Main[ردیف],1):Main[[#This Row],[ردیف]])</f>
        <v>219</v>
      </c>
      <c r="C2441" s="32" t="s">
        <v>805</v>
      </c>
      <c r="D2441" s="32" t="str">
        <f>_xlfn.CONCAT("14",Main[[#This Row],[تاريخ]])</f>
        <v>1400/09/16</v>
      </c>
      <c r="E2441" s="33">
        <v>44537</v>
      </c>
      <c r="F2441" s="32">
        <v>10057</v>
      </c>
      <c r="G2441" s="5" t="str">
        <f>INDEX(customer[عنوان],MATCH(Main[[#This Row],[کد ردیابی]],customer[کد],0))</f>
        <v xml:space="preserve">عبدالله یادگار </v>
      </c>
      <c r="H2441">
        <v>155</v>
      </c>
      <c r="I2441" s="6">
        <f ca="1">-Main[[#This Row],[بدهی تسویه شده (کیلوگرم)]]+Main[[#This Row],[بستانکار (کیلوگرم)]]</f>
        <v>155</v>
      </c>
      <c r="J2441" s="6">
        <f>IF(Main[[#This Row],[مقدار (کیلوگرم)]]&gt;0,Main[[#This Row],[مقدار (کیلوگرم)]],0)</f>
        <v>155</v>
      </c>
      <c r="K2441" s="6">
        <f>-IF(Main[[#This Row],[مقدار (کیلوگرم)]]&lt;0,Main[[#This Row],[مقدار (کیلوگرم)]],0)</f>
        <v>0</v>
      </c>
      <c r="L24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1" s="7">
        <f>-IF(AND(Main[[#This Row],[مقدار (کیلوگرم)]]&lt;0,Main[[#This Row],[تاريخ میلادی]]&gt;44276),Main[[#This Row],[مقدار (کیلوگرم)]],0)</f>
        <v>0</v>
      </c>
      <c r="N2441" s="6">
        <f ca="1">Main[[#This Row],[بدهکار (کیلوگرم)]]-Main[[#This Row],[بدهی تسویه نشده (کیلوگرم)]]</f>
        <v>0</v>
      </c>
      <c r="O2441" s="6">
        <f ca="1">Main[[#This Row],[تفکیک]]</f>
        <v>0</v>
      </c>
      <c r="P2441" s="6">
        <f ca="1">IF(Main[[#This Row],[تاخیر از سررسید]]&gt;0,Main[[#This Row],[بدهی تسویه نشده (کیلوگرم)]],0)</f>
        <v>0</v>
      </c>
      <c r="Q2441" s="6">
        <f ca="1">IF(Main[[#This Row],[بدهی تسویه نشده (کیلوگرم)]]&gt;0,'گزارش فردی'!$B$7-Main[[#This Row],[تاريخ میلادی]],0)</f>
        <v>0</v>
      </c>
      <c r="R2441" s="6">
        <f ca="1">IF(Main[[#This Row],[بدهی تسویه نشده (کیلوگرم)]]&gt;0,'گزارش فردی'!$B$7-Main[[#This Row],[تاريخ میلادی]]-'گزارش فردی'!$B$8,0)</f>
        <v>0</v>
      </c>
      <c r="S2441" s="6">
        <f ca="1">Main[[#This Row],[روز از ارسال سفارش]]*Main[[#This Row],[بدهی تسویه نشده (کیلوگرم)]]</f>
        <v>0</v>
      </c>
      <c r="T2441" s="6">
        <f ca="1">Main[[#This Row],[بدهی سررسید شده (کیلوگرم)]]*Main[[#This Row],[روز از ارسال سفارش]]</f>
        <v>0</v>
      </c>
      <c r="U2441" s="6">
        <f>-SUBTOTAL(9,INDEX(Main[مقدار (کیلوگرم)],1):Main[[#This Row],[مقدار (کیلوگرم)]])</f>
        <v>36612</v>
      </c>
      <c r="V24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1" s="6">
        <f>Main[[#This Row],[تعداد کل روزهای بدهکار (روز)]]*Main[[#This Row],[مانده در خط کل (کیلوگرم)]]</f>
        <v>36612</v>
      </c>
      <c r="X2441" s="6">
        <f ca="1">-SUBTOTAL(9,INDEX(Main[مقدار تسویه شده (کیلوگرم)],1):Main[[#This Row],[مقدار تسویه شده (کیلوگرم)]])</f>
        <v>23819</v>
      </c>
      <c r="Y2441" s="6">
        <f ca="1">IF(Main[[#This Row],[مانده در خط تسویه شده (کیلوگرم)]]&lt;&gt;0,Main[[#This Row],[تعداد کل روزهای بدهکار (روز)]],0)</f>
        <v>1</v>
      </c>
      <c r="Z2441" s="6">
        <f ca="1">Main[[#This Row],[تعداد روزهای بدهکار تسویه شده (روز)]]*Main[[#This Row],[مانده در خط تسویه شده (کیلوگرم)]]</f>
        <v>23819</v>
      </c>
      <c r="AA2441" s="6">
        <f ca="1">SUBTOTAL(9,INDEX(Main[بدهی تسویه نشده (کیلوگرم)],1):Main[[#This Row],[بدهی تسویه نشده (کیلوگرم)]])</f>
        <v>12793</v>
      </c>
      <c r="AB2441" s="6">
        <f ca="1">IF(Main[[#This Row],[مانده در خط تسویه نشده (کیلوگرم)]]&lt;&gt;0,Main[[#This Row],[تعداد کل روزهای بدهکار (روز)]],0)</f>
        <v>1</v>
      </c>
      <c r="AC2441" s="6">
        <f ca="1">Main[[#This Row],[تعداد روزهای بدهکار  تسویه نشده (روز)]]*Main[[#This Row],[مانده در خط تسویه نشده (کیلوگرم)]]</f>
        <v>12793</v>
      </c>
      <c r="AD2441" s="6">
        <f ca="1">SUBTOTAL(9,INDEX(Main[بدهی سررسید شده (کیلوگرم)],1):Main[[#This Row],[بدهی سررسید شده (کیلوگرم)]])</f>
        <v>12793</v>
      </c>
      <c r="AE2441" s="6">
        <f ca="1">IF(Main[[#This Row],[مانده در خط سررسید شده (کیلوگرم)]]&lt;&gt;0,Main[[#This Row],[تعداد کل روزهای بدهکار (روز)]],0)</f>
        <v>1</v>
      </c>
      <c r="AF2441" s="6">
        <f ca="1">Main[[#This Row],[تعداد روزهای بدهکار سررسید شده (روز)]]*Main[[#This Row],[مانده در خط سررسید شده (کیلوگرم)]]</f>
        <v>12793</v>
      </c>
    </row>
    <row r="2442" spans="1:32" hidden="1" x14ac:dyDescent="0.35">
      <c r="A2442" s="5">
        <f>ROW()-ROW(INDEX(Main[ردیف],1))+1</f>
        <v>2440</v>
      </c>
      <c r="B2442" s="31">
        <f>SUBTOTAL(2,INDEX(Main[ردیف],1):Main[[#This Row],[ردیف]])</f>
        <v>219</v>
      </c>
      <c r="C2442" s="32" t="s">
        <v>805</v>
      </c>
      <c r="D2442" s="32" t="str">
        <f>_xlfn.CONCAT("14",Main[[#This Row],[تاريخ]])</f>
        <v>1400/09/16</v>
      </c>
      <c r="E2442" s="33">
        <v>44537</v>
      </c>
      <c r="F2442" s="32">
        <v>10119</v>
      </c>
      <c r="G2442" s="5" t="str">
        <f>INDEX(customer[عنوان],MATCH(Main[[#This Row],[کد ردیابی]],customer[کد],0))</f>
        <v>سیف الله اکبری</v>
      </c>
      <c r="H2442">
        <v>236</v>
      </c>
      <c r="I2442" s="6">
        <f ca="1">-Main[[#This Row],[بدهی تسویه شده (کیلوگرم)]]+Main[[#This Row],[بستانکار (کیلوگرم)]]</f>
        <v>236</v>
      </c>
      <c r="J2442" s="6">
        <f>IF(Main[[#This Row],[مقدار (کیلوگرم)]]&gt;0,Main[[#This Row],[مقدار (کیلوگرم)]],0)</f>
        <v>236</v>
      </c>
      <c r="K2442" s="6">
        <f>-IF(Main[[#This Row],[مقدار (کیلوگرم)]]&lt;0,Main[[#This Row],[مقدار (کیلوگرم)]],0)</f>
        <v>0</v>
      </c>
      <c r="L24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2" s="7">
        <f>-IF(AND(Main[[#This Row],[مقدار (کیلوگرم)]]&lt;0,Main[[#This Row],[تاريخ میلادی]]&gt;44276),Main[[#This Row],[مقدار (کیلوگرم)]],0)</f>
        <v>0</v>
      </c>
      <c r="N2442" s="6">
        <f ca="1">Main[[#This Row],[بدهکار (کیلوگرم)]]-Main[[#This Row],[بدهی تسویه نشده (کیلوگرم)]]</f>
        <v>0</v>
      </c>
      <c r="O2442" s="6">
        <f ca="1">Main[[#This Row],[تفکیک]]</f>
        <v>0</v>
      </c>
      <c r="P2442" s="6">
        <f ca="1">IF(Main[[#This Row],[تاخیر از سررسید]]&gt;0,Main[[#This Row],[بدهی تسویه نشده (کیلوگرم)]],0)</f>
        <v>0</v>
      </c>
      <c r="Q2442" s="6">
        <f ca="1">IF(Main[[#This Row],[بدهی تسویه نشده (کیلوگرم)]]&gt;0,'گزارش فردی'!$B$7-Main[[#This Row],[تاريخ میلادی]],0)</f>
        <v>0</v>
      </c>
      <c r="R2442" s="6">
        <f ca="1">IF(Main[[#This Row],[بدهی تسویه نشده (کیلوگرم)]]&gt;0,'گزارش فردی'!$B$7-Main[[#This Row],[تاريخ میلادی]]-'گزارش فردی'!$B$8,0)</f>
        <v>0</v>
      </c>
      <c r="S2442" s="6">
        <f ca="1">Main[[#This Row],[روز از ارسال سفارش]]*Main[[#This Row],[بدهی تسویه نشده (کیلوگرم)]]</f>
        <v>0</v>
      </c>
      <c r="T2442" s="6">
        <f ca="1">Main[[#This Row],[بدهی سررسید شده (کیلوگرم)]]*Main[[#This Row],[روز از ارسال سفارش]]</f>
        <v>0</v>
      </c>
      <c r="U2442" s="6">
        <f>-SUBTOTAL(9,INDEX(Main[مقدار (کیلوگرم)],1):Main[[#This Row],[مقدار (کیلوگرم)]])</f>
        <v>36612</v>
      </c>
      <c r="V24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2" s="6">
        <f>Main[[#This Row],[تعداد کل روزهای بدهکار (روز)]]*Main[[#This Row],[مانده در خط کل (کیلوگرم)]]</f>
        <v>36612</v>
      </c>
      <c r="X2442" s="6">
        <f ca="1">-SUBTOTAL(9,INDEX(Main[مقدار تسویه شده (کیلوگرم)],1):Main[[#This Row],[مقدار تسویه شده (کیلوگرم)]])</f>
        <v>23819</v>
      </c>
      <c r="Y2442" s="6">
        <f ca="1">IF(Main[[#This Row],[مانده در خط تسویه شده (کیلوگرم)]]&lt;&gt;0,Main[[#This Row],[تعداد کل روزهای بدهکار (روز)]],0)</f>
        <v>1</v>
      </c>
      <c r="Z2442" s="6">
        <f ca="1">Main[[#This Row],[تعداد روزهای بدهکار تسویه شده (روز)]]*Main[[#This Row],[مانده در خط تسویه شده (کیلوگرم)]]</f>
        <v>23819</v>
      </c>
      <c r="AA2442" s="6">
        <f ca="1">SUBTOTAL(9,INDEX(Main[بدهی تسویه نشده (کیلوگرم)],1):Main[[#This Row],[بدهی تسویه نشده (کیلوگرم)]])</f>
        <v>12793</v>
      </c>
      <c r="AB2442" s="6">
        <f ca="1">IF(Main[[#This Row],[مانده در خط تسویه نشده (کیلوگرم)]]&lt;&gt;0,Main[[#This Row],[تعداد کل روزهای بدهکار (روز)]],0)</f>
        <v>1</v>
      </c>
      <c r="AC2442" s="6">
        <f ca="1">Main[[#This Row],[تعداد روزهای بدهکار  تسویه نشده (روز)]]*Main[[#This Row],[مانده در خط تسویه نشده (کیلوگرم)]]</f>
        <v>12793</v>
      </c>
      <c r="AD2442" s="6">
        <f ca="1">SUBTOTAL(9,INDEX(Main[بدهی سررسید شده (کیلوگرم)],1):Main[[#This Row],[بدهی سررسید شده (کیلوگرم)]])</f>
        <v>12793</v>
      </c>
      <c r="AE2442" s="6">
        <f ca="1">IF(Main[[#This Row],[مانده در خط سررسید شده (کیلوگرم)]]&lt;&gt;0,Main[[#This Row],[تعداد کل روزهای بدهکار (روز)]],0)</f>
        <v>1</v>
      </c>
      <c r="AF2442" s="6">
        <f ca="1">Main[[#This Row],[تعداد روزهای بدهکار سررسید شده (روز)]]*Main[[#This Row],[مانده در خط سررسید شده (کیلوگرم)]]</f>
        <v>12793</v>
      </c>
    </row>
    <row r="2443" spans="1:32" hidden="1" x14ac:dyDescent="0.35">
      <c r="A2443" s="5">
        <f>ROW()-ROW(INDEX(Main[ردیف],1))+1</f>
        <v>2441</v>
      </c>
      <c r="B2443" s="31">
        <f>SUBTOTAL(2,INDEX(Main[ردیف],1):Main[[#This Row],[ردیف]])</f>
        <v>219</v>
      </c>
      <c r="C2443" s="32" t="s">
        <v>805</v>
      </c>
      <c r="D2443" s="32" t="str">
        <f>_xlfn.CONCAT("14",Main[[#This Row],[تاريخ]])</f>
        <v>1400/09/16</v>
      </c>
      <c r="E2443" s="33">
        <v>44537</v>
      </c>
      <c r="F2443" s="32">
        <v>10057</v>
      </c>
      <c r="G2443" s="5" t="str">
        <f>INDEX(customer[عنوان],MATCH(Main[[#This Row],[کد ردیابی]],customer[کد],0))</f>
        <v xml:space="preserve">عبدالله یادگار </v>
      </c>
      <c r="H2443">
        <v>286</v>
      </c>
      <c r="I2443" s="6">
        <f ca="1">-Main[[#This Row],[بدهی تسویه شده (کیلوگرم)]]+Main[[#This Row],[بستانکار (کیلوگرم)]]</f>
        <v>286</v>
      </c>
      <c r="J2443" s="6">
        <f>IF(Main[[#This Row],[مقدار (کیلوگرم)]]&gt;0,Main[[#This Row],[مقدار (کیلوگرم)]],0)</f>
        <v>286</v>
      </c>
      <c r="K2443" s="6">
        <f>-IF(Main[[#This Row],[مقدار (کیلوگرم)]]&lt;0,Main[[#This Row],[مقدار (کیلوگرم)]],0)</f>
        <v>0</v>
      </c>
      <c r="L24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3" s="7">
        <f>-IF(AND(Main[[#This Row],[مقدار (کیلوگرم)]]&lt;0,Main[[#This Row],[تاريخ میلادی]]&gt;44276),Main[[#This Row],[مقدار (کیلوگرم)]],0)</f>
        <v>0</v>
      </c>
      <c r="N2443" s="6">
        <f ca="1">Main[[#This Row],[بدهکار (کیلوگرم)]]-Main[[#This Row],[بدهی تسویه نشده (کیلوگرم)]]</f>
        <v>0</v>
      </c>
      <c r="O2443" s="6">
        <f ca="1">Main[[#This Row],[تفکیک]]</f>
        <v>0</v>
      </c>
      <c r="P2443" s="6">
        <f ca="1">IF(Main[[#This Row],[تاخیر از سررسید]]&gt;0,Main[[#This Row],[بدهی تسویه نشده (کیلوگرم)]],0)</f>
        <v>0</v>
      </c>
      <c r="Q2443" s="6">
        <f ca="1">IF(Main[[#This Row],[بدهی تسویه نشده (کیلوگرم)]]&gt;0,'گزارش فردی'!$B$7-Main[[#This Row],[تاريخ میلادی]],0)</f>
        <v>0</v>
      </c>
      <c r="R2443" s="6">
        <f ca="1">IF(Main[[#This Row],[بدهی تسویه نشده (کیلوگرم)]]&gt;0,'گزارش فردی'!$B$7-Main[[#This Row],[تاريخ میلادی]]-'گزارش فردی'!$B$8,0)</f>
        <v>0</v>
      </c>
      <c r="S2443" s="6">
        <f ca="1">Main[[#This Row],[روز از ارسال سفارش]]*Main[[#This Row],[بدهی تسویه نشده (کیلوگرم)]]</f>
        <v>0</v>
      </c>
      <c r="T2443" s="6">
        <f ca="1">Main[[#This Row],[بدهی سررسید شده (کیلوگرم)]]*Main[[#This Row],[روز از ارسال سفارش]]</f>
        <v>0</v>
      </c>
      <c r="U2443" s="6">
        <f>-SUBTOTAL(9,INDEX(Main[مقدار (کیلوگرم)],1):Main[[#This Row],[مقدار (کیلوگرم)]])</f>
        <v>36612</v>
      </c>
      <c r="V24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3" s="6">
        <f>Main[[#This Row],[تعداد کل روزهای بدهکار (روز)]]*Main[[#This Row],[مانده در خط کل (کیلوگرم)]]</f>
        <v>36612</v>
      </c>
      <c r="X2443" s="6">
        <f ca="1">-SUBTOTAL(9,INDEX(Main[مقدار تسویه شده (کیلوگرم)],1):Main[[#This Row],[مقدار تسویه شده (کیلوگرم)]])</f>
        <v>23819</v>
      </c>
      <c r="Y2443" s="6">
        <f ca="1">IF(Main[[#This Row],[مانده در خط تسویه شده (کیلوگرم)]]&lt;&gt;0,Main[[#This Row],[تعداد کل روزهای بدهکار (روز)]],0)</f>
        <v>1</v>
      </c>
      <c r="Z2443" s="6">
        <f ca="1">Main[[#This Row],[تعداد روزهای بدهکار تسویه شده (روز)]]*Main[[#This Row],[مانده در خط تسویه شده (کیلوگرم)]]</f>
        <v>23819</v>
      </c>
      <c r="AA2443" s="6">
        <f ca="1">SUBTOTAL(9,INDEX(Main[بدهی تسویه نشده (کیلوگرم)],1):Main[[#This Row],[بدهی تسویه نشده (کیلوگرم)]])</f>
        <v>12793</v>
      </c>
      <c r="AB2443" s="6">
        <f ca="1">IF(Main[[#This Row],[مانده در خط تسویه نشده (کیلوگرم)]]&lt;&gt;0,Main[[#This Row],[تعداد کل روزهای بدهکار (روز)]],0)</f>
        <v>1</v>
      </c>
      <c r="AC2443" s="6">
        <f ca="1">Main[[#This Row],[تعداد روزهای بدهکار  تسویه نشده (روز)]]*Main[[#This Row],[مانده در خط تسویه نشده (کیلوگرم)]]</f>
        <v>12793</v>
      </c>
      <c r="AD2443" s="6">
        <f ca="1">SUBTOTAL(9,INDEX(Main[بدهی سررسید شده (کیلوگرم)],1):Main[[#This Row],[بدهی سررسید شده (کیلوگرم)]])</f>
        <v>12793</v>
      </c>
      <c r="AE2443" s="6">
        <f ca="1">IF(Main[[#This Row],[مانده در خط سررسید شده (کیلوگرم)]]&lt;&gt;0,Main[[#This Row],[تعداد کل روزهای بدهکار (روز)]],0)</f>
        <v>1</v>
      </c>
      <c r="AF2443" s="6">
        <f ca="1">Main[[#This Row],[تعداد روزهای بدهکار سررسید شده (روز)]]*Main[[#This Row],[مانده در خط سررسید شده (کیلوگرم)]]</f>
        <v>12793</v>
      </c>
    </row>
    <row r="2444" spans="1:32" hidden="1" x14ac:dyDescent="0.35">
      <c r="A2444" s="5">
        <f>ROW()-ROW(INDEX(Main[ردیف],1))+1</f>
        <v>2442</v>
      </c>
      <c r="B2444" s="31">
        <f>SUBTOTAL(2,INDEX(Main[ردیف],1):Main[[#This Row],[ردیف]])</f>
        <v>219</v>
      </c>
      <c r="C2444" s="32" t="s">
        <v>806</v>
      </c>
      <c r="D2444" s="32" t="str">
        <f>_xlfn.CONCAT("14",Main[[#This Row],[تاريخ]])</f>
        <v>1400/09/17</v>
      </c>
      <c r="E2444" s="33">
        <v>44538</v>
      </c>
      <c r="F2444" s="32">
        <v>30004</v>
      </c>
      <c r="G2444" s="5" t="str">
        <f>INDEX(customer[عنوان],MATCH(Main[[#This Row],[کد ردیابی]],customer[کد],0))</f>
        <v>تولیدی صنعتی صفاشیر پارس</v>
      </c>
      <c r="H2444">
        <v>-5306</v>
      </c>
      <c r="I2444" s="6">
        <f ca="1">-Main[[#This Row],[بدهی تسویه شده (کیلوگرم)]]+Main[[#This Row],[بستانکار (کیلوگرم)]]</f>
        <v>0</v>
      </c>
      <c r="J2444" s="6">
        <f>IF(Main[[#This Row],[مقدار (کیلوگرم)]]&gt;0,Main[[#This Row],[مقدار (کیلوگرم)]],0)</f>
        <v>0</v>
      </c>
      <c r="K2444" s="6">
        <f>-IF(Main[[#This Row],[مقدار (کیلوگرم)]]&lt;0,Main[[#This Row],[مقدار (کیلوگرم)]],0)</f>
        <v>5306</v>
      </c>
      <c r="L24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5306</v>
      </c>
      <c r="M2444" s="7">
        <f>-IF(AND(Main[[#This Row],[مقدار (کیلوگرم)]]&lt;0,Main[[#This Row],[تاريخ میلادی]]&gt;44276),Main[[#This Row],[مقدار (کیلوگرم)]],0)</f>
        <v>5306</v>
      </c>
      <c r="N2444" s="6">
        <f ca="1">Main[[#This Row],[بدهکار (کیلوگرم)]]-Main[[#This Row],[بدهی تسویه نشده (کیلوگرم)]]</f>
        <v>0</v>
      </c>
      <c r="O2444" s="6">
        <f ca="1">Main[[#This Row],[تفکیک]]</f>
        <v>5306</v>
      </c>
      <c r="P2444" s="6">
        <f ca="1">IF(Main[[#This Row],[تاخیر از سررسید]]&gt;0,Main[[#This Row],[بدهی تسویه نشده (کیلوگرم)]],0)</f>
        <v>5306</v>
      </c>
      <c r="Q2444" s="6">
        <f ca="1">IF(Main[[#This Row],[بدهی تسویه نشده (کیلوگرم)]]&gt;0,'گزارش فردی'!$B$7-Main[[#This Row],[تاريخ میلادی]],0)</f>
        <v>924.75374085648218</v>
      </c>
      <c r="R2444" s="6">
        <f ca="1">IF(Main[[#This Row],[بدهی تسویه نشده (کیلوگرم)]]&gt;0,'گزارش فردی'!$B$7-Main[[#This Row],[تاريخ میلادی]]-'گزارش فردی'!$B$8,0)</f>
        <v>909.75374085648218</v>
      </c>
      <c r="S2444" s="6">
        <f ca="1">Main[[#This Row],[روز از ارسال سفارش]]*Main[[#This Row],[بدهی تسویه نشده (کیلوگرم)]]</f>
        <v>4906743.3489844948</v>
      </c>
      <c r="T2444" s="6">
        <f ca="1">Main[[#This Row],[بدهی سررسید شده (کیلوگرم)]]*Main[[#This Row],[روز از ارسال سفارش]]</f>
        <v>4906743.3489844948</v>
      </c>
      <c r="U2444" s="6">
        <f>-SUBTOTAL(9,INDEX(Main[مقدار (کیلوگرم)],1):Main[[#This Row],[مقدار (کیلوگرم)]])</f>
        <v>36612</v>
      </c>
      <c r="V24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4" s="6">
        <f>Main[[#This Row],[تعداد کل روزهای بدهکار (روز)]]*Main[[#This Row],[مانده در خط کل (کیلوگرم)]]</f>
        <v>0</v>
      </c>
      <c r="X2444" s="6">
        <f ca="1">-SUBTOTAL(9,INDEX(Main[مقدار تسویه شده (کیلوگرم)],1):Main[[#This Row],[مقدار تسویه شده (کیلوگرم)]])</f>
        <v>23819</v>
      </c>
      <c r="Y2444" s="6">
        <f ca="1">IF(Main[[#This Row],[مانده در خط تسویه شده (کیلوگرم)]]&lt;&gt;0,Main[[#This Row],[تعداد کل روزهای بدهکار (روز)]],0)</f>
        <v>0</v>
      </c>
      <c r="Z2444" s="6">
        <f ca="1">Main[[#This Row],[تعداد روزهای بدهکار تسویه شده (روز)]]*Main[[#This Row],[مانده در خط تسویه شده (کیلوگرم)]]</f>
        <v>0</v>
      </c>
      <c r="AA2444" s="6">
        <f ca="1">SUBTOTAL(9,INDEX(Main[بدهی تسویه نشده (کیلوگرم)],1):Main[[#This Row],[بدهی تسویه نشده (کیلوگرم)]])</f>
        <v>12793</v>
      </c>
      <c r="AB2444" s="6">
        <f ca="1">IF(Main[[#This Row],[مانده در خط تسویه نشده (کیلوگرم)]]&lt;&gt;0,Main[[#This Row],[تعداد کل روزهای بدهکار (روز)]],0)</f>
        <v>0</v>
      </c>
      <c r="AC2444" s="6">
        <f ca="1">Main[[#This Row],[تعداد روزهای بدهکار  تسویه نشده (روز)]]*Main[[#This Row],[مانده در خط تسویه نشده (کیلوگرم)]]</f>
        <v>0</v>
      </c>
      <c r="AD2444" s="6">
        <f ca="1">SUBTOTAL(9,INDEX(Main[بدهی سررسید شده (کیلوگرم)],1):Main[[#This Row],[بدهی سررسید شده (کیلوگرم)]])</f>
        <v>12793</v>
      </c>
      <c r="AE2444" s="6">
        <f ca="1">IF(Main[[#This Row],[مانده در خط سررسید شده (کیلوگرم)]]&lt;&gt;0,Main[[#This Row],[تعداد کل روزهای بدهکار (روز)]],0)</f>
        <v>0</v>
      </c>
      <c r="AF2444" s="6">
        <f ca="1">Main[[#This Row],[تعداد روزهای بدهکار سررسید شده (روز)]]*Main[[#This Row],[مانده در خط سررسید شده (کیلوگرم)]]</f>
        <v>0</v>
      </c>
    </row>
    <row r="2445" spans="1:32" x14ac:dyDescent="0.35">
      <c r="A2445" s="5">
        <f>ROW()-ROW(INDEX(Main[ردیف],1))+1</f>
        <v>2443</v>
      </c>
      <c r="B2445" s="31">
        <f>SUBTOTAL(2,INDEX(Main[ردیف],1):Main[[#This Row],[ردیف]])</f>
        <v>220</v>
      </c>
      <c r="C2445" s="32" t="s">
        <v>806</v>
      </c>
      <c r="D2445" s="32" t="str">
        <f>_xlfn.CONCAT("14",Main[[#This Row],[تاريخ]])</f>
        <v>1400/09/17</v>
      </c>
      <c r="E2445" s="33">
        <v>44538</v>
      </c>
      <c r="F2445" s="32">
        <v>10003</v>
      </c>
      <c r="G2445" s="5" t="str">
        <f>INDEX(customer[عنوان],MATCH(Main[[#This Row],[کد ردیابی]],customer[کد],0))</f>
        <v>اصغر نورعلی</v>
      </c>
      <c r="H2445">
        <v>2512</v>
      </c>
      <c r="I2445" s="6">
        <f ca="1">-Main[[#This Row],[بدهی تسویه شده (کیلوگرم)]]+Main[[#This Row],[بستانکار (کیلوگرم)]]</f>
        <v>2512</v>
      </c>
      <c r="J2445" s="6">
        <f>IF(Main[[#This Row],[مقدار (کیلوگرم)]]&gt;0,Main[[#This Row],[مقدار (کیلوگرم)]],0)</f>
        <v>2512</v>
      </c>
      <c r="K2445" s="6">
        <f>-IF(Main[[#This Row],[مقدار (کیلوگرم)]]&lt;0,Main[[#This Row],[مقدار (کیلوگرم)]],0)</f>
        <v>0</v>
      </c>
      <c r="L24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5" s="7">
        <f>-IF(AND(Main[[#This Row],[مقدار (کیلوگرم)]]&lt;0,Main[[#This Row],[تاريخ میلادی]]&gt;44276),Main[[#This Row],[مقدار (کیلوگرم)]],0)</f>
        <v>0</v>
      </c>
      <c r="N2445" s="6">
        <f ca="1">Main[[#This Row],[بدهکار (کیلوگرم)]]-Main[[#This Row],[بدهی تسویه نشده (کیلوگرم)]]</f>
        <v>0</v>
      </c>
      <c r="O2445" s="6">
        <f ca="1">Main[[#This Row],[تفکیک]]</f>
        <v>0</v>
      </c>
      <c r="P2445" s="6">
        <f ca="1">IF(Main[[#This Row],[تاخیر از سررسید]]&gt;0,Main[[#This Row],[بدهی تسویه نشده (کیلوگرم)]],0)</f>
        <v>0</v>
      </c>
      <c r="Q2445" s="6">
        <f ca="1">IF(Main[[#This Row],[بدهی تسویه نشده (کیلوگرم)]]&gt;0,'گزارش فردی'!$B$7-Main[[#This Row],[تاريخ میلادی]],0)</f>
        <v>0</v>
      </c>
      <c r="R2445" s="6">
        <f ca="1">IF(Main[[#This Row],[بدهی تسویه نشده (کیلوگرم)]]&gt;0,'گزارش فردی'!$B$7-Main[[#This Row],[تاريخ میلادی]]-'گزارش فردی'!$B$8,0)</f>
        <v>0</v>
      </c>
      <c r="S2445" s="6">
        <f ca="1">Main[[#This Row],[روز از ارسال سفارش]]*Main[[#This Row],[بدهی تسویه نشده (کیلوگرم)]]</f>
        <v>0</v>
      </c>
      <c r="T2445" s="6">
        <f ca="1">Main[[#This Row],[بدهی سررسید شده (کیلوگرم)]]*Main[[#This Row],[روز از ارسال سفارش]]</f>
        <v>0</v>
      </c>
      <c r="U2445" s="6">
        <f>-SUBTOTAL(9,INDEX(Main[مقدار (کیلوگرم)],1):Main[[#This Row],[مقدار (کیلوگرم)]])</f>
        <v>34100</v>
      </c>
      <c r="V24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5" s="6">
        <f>Main[[#This Row],[تعداد کل روزهای بدهکار (روز)]]*Main[[#This Row],[مانده در خط کل (کیلوگرم)]]</f>
        <v>0</v>
      </c>
      <c r="X2445" s="6">
        <f ca="1">-SUBTOTAL(9,INDEX(Main[مقدار تسویه شده (کیلوگرم)],1):Main[[#This Row],[مقدار تسویه شده (کیلوگرم)]])</f>
        <v>21307</v>
      </c>
      <c r="Y2445" s="6">
        <f ca="1">IF(Main[[#This Row],[مانده در خط تسویه شده (کیلوگرم)]]&lt;&gt;0,Main[[#This Row],[تعداد کل روزهای بدهکار (روز)]],0)</f>
        <v>0</v>
      </c>
      <c r="Z2445" s="6">
        <f ca="1">Main[[#This Row],[تعداد روزهای بدهکار تسویه شده (روز)]]*Main[[#This Row],[مانده در خط تسویه شده (کیلوگرم)]]</f>
        <v>0</v>
      </c>
      <c r="AA2445" s="6">
        <f ca="1">SUBTOTAL(9,INDEX(Main[بدهی تسویه نشده (کیلوگرم)],1):Main[[#This Row],[بدهی تسویه نشده (کیلوگرم)]])</f>
        <v>12793</v>
      </c>
      <c r="AB2445" s="6">
        <f ca="1">IF(Main[[#This Row],[مانده در خط تسویه نشده (کیلوگرم)]]&lt;&gt;0,Main[[#This Row],[تعداد کل روزهای بدهکار (روز)]],0)</f>
        <v>0</v>
      </c>
      <c r="AC2445" s="6">
        <f ca="1">Main[[#This Row],[تعداد روزهای بدهکار  تسویه نشده (روز)]]*Main[[#This Row],[مانده در خط تسویه نشده (کیلوگرم)]]</f>
        <v>0</v>
      </c>
      <c r="AD2445" s="6">
        <f ca="1">SUBTOTAL(9,INDEX(Main[بدهی سررسید شده (کیلوگرم)],1):Main[[#This Row],[بدهی سررسید شده (کیلوگرم)]])</f>
        <v>12793</v>
      </c>
      <c r="AE2445" s="6">
        <f ca="1">IF(Main[[#This Row],[مانده در خط سررسید شده (کیلوگرم)]]&lt;&gt;0,Main[[#This Row],[تعداد کل روزهای بدهکار (روز)]],0)</f>
        <v>0</v>
      </c>
      <c r="AF2445" s="6">
        <f ca="1">Main[[#This Row],[تعداد روزهای بدهکار سررسید شده (روز)]]*Main[[#This Row],[مانده در خط سررسید شده (کیلوگرم)]]</f>
        <v>0</v>
      </c>
    </row>
    <row r="2446" spans="1:32" hidden="1" x14ac:dyDescent="0.35">
      <c r="A2446" s="5">
        <f>ROW()-ROW(INDEX(Main[ردیف],1))+1</f>
        <v>2444</v>
      </c>
      <c r="B2446" s="31">
        <f>SUBTOTAL(2,INDEX(Main[ردیف],1):Main[[#This Row],[ردیف]])</f>
        <v>220</v>
      </c>
      <c r="C2446" s="32" t="s">
        <v>806</v>
      </c>
      <c r="D2446" s="32" t="str">
        <f>_xlfn.CONCAT("14",Main[[#This Row],[تاريخ]])</f>
        <v>1400/09/17</v>
      </c>
      <c r="E2446" s="33">
        <v>44538</v>
      </c>
      <c r="F2446" s="32">
        <v>10127</v>
      </c>
      <c r="G2446" s="5" t="str">
        <f>INDEX(customer[عنوان],MATCH(Main[[#This Row],[کد ردیابی]],customer[کد],0))</f>
        <v xml:space="preserve">عماد هاشمی </v>
      </c>
      <c r="H2446">
        <v>-1008</v>
      </c>
      <c r="I2446" s="6">
        <f ca="1">-Main[[#This Row],[بدهی تسویه شده (کیلوگرم)]]+Main[[#This Row],[بستانکار (کیلوگرم)]]</f>
        <v>0</v>
      </c>
      <c r="J2446" s="6">
        <f>IF(Main[[#This Row],[مقدار (کیلوگرم)]]&gt;0,Main[[#This Row],[مقدار (کیلوگرم)]],0)</f>
        <v>0</v>
      </c>
      <c r="K2446" s="6">
        <f>-IF(Main[[#This Row],[مقدار (کیلوگرم)]]&lt;0,Main[[#This Row],[مقدار (کیلوگرم)]],0)</f>
        <v>1008</v>
      </c>
      <c r="L24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1008</v>
      </c>
      <c r="M2446" s="7">
        <f>-IF(AND(Main[[#This Row],[مقدار (کیلوگرم)]]&lt;0,Main[[#This Row],[تاريخ میلادی]]&gt;44276),Main[[#This Row],[مقدار (کیلوگرم)]],0)</f>
        <v>1008</v>
      </c>
      <c r="N2446" s="6">
        <f ca="1">Main[[#This Row],[بدهکار (کیلوگرم)]]-Main[[#This Row],[بدهی تسویه نشده (کیلوگرم)]]</f>
        <v>0</v>
      </c>
      <c r="O2446" s="6">
        <f ca="1">Main[[#This Row],[تفکیک]]</f>
        <v>1008</v>
      </c>
      <c r="P2446" s="6">
        <f ca="1">IF(Main[[#This Row],[تاخیر از سررسید]]&gt;0,Main[[#This Row],[بدهی تسویه نشده (کیلوگرم)]],0)</f>
        <v>1008</v>
      </c>
      <c r="Q2446" s="6">
        <f ca="1">IF(Main[[#This Row],[بدهی تسویه نشده (کیلوگرم)]]&gt;0,'گزارش فردی'!$B$7-Main[[#This Row],[تاريخ میلادی]],0)</f>
        <v>924.75374085648218</v>
      </c>
      <c r="R2446" s="6">
        <f ca="1">IF(Main[[#This Row],[بدهی تسویه نشده (کیلوگرم)]]&gt;0,'گزارش فردی'!$B$7-Main[[#This Row],[تاريخ میلادی]]-'گزارش فردی'!$B$8,0)</f>
        <v>909.75374085648218</v>
      </c>
      <c r="S2446" s="6">
        <f ca="1">Main[[#This Row],[روز از ارسال سفارش]]*Main[[#This Row],[بدهی تسویه نشده (کیلوگرم)]]</f>
        <v>932151.77078333404</v>
      </c>
      <c r="T2446" s="6">
        <f ca="1">Main[[#This Row],[بدهی سررسید شده (کیلوگرم)]]*Main[[#This Row],[روز از ارسال سفارش]]</f>
        <v>932151.77078333404</v>
      </c>
      <c r="U2446" s="6">
        <f>-SUBTOTAL(9,INDEX(Main[مقدار (کیلوگرم)],1):Main[[#This Row],[مقدار (کیلوگرم)]])</f>
        <v>34100</v>
      </c>
      <c r="V24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6" s="6">
        <f>Main[[#This Row],[تعداد کل روزهای بدهکار (روز)]]*Main[[#This Row],[مانده در خط کل (کیلوگرم)]]</f>
        <v>0</v>
      </c>
      <c r="X2446" s="6">
        <f ca="1">-SUBTOTAL(9,INDEX(Main[مقدار تسویه شده (کیلوگرم)],1):Main[[#This Row],[مقدار تسویه شده (کیلوگرم)]])</f>
        <v>21307</v>
      </c>
      <c r="Y2446" s="6">
        <f ca="1">IF(Main[[#This Row],[مانده در خط تسویه شده (کیلوگرم)]]&lt;&gt;0,Main[[#This Row],[تعداد کل روزهای بدهکار (روز)]],0)</f>
        <v>0</v>
      </c>
      <c r="Z2446" s="6">
        <f ca="1">Main[[#This Row],[تعداد روزهای بدهکار تسویه شده (روز)]]*Main[[#This Row],[مانده در خط تسویه شده (کیلوگرم)]]</f>
        <v>0</v>
      </c>
      <c r="AA2446" s="6">
        <f ca="1">SUBTOTAL(9,INDEX(Main[بدهی تسویه نشده (کیلوگرم)],1):Main[[#This Row],[بدهی تسویه نشده (کیلوگرم)]])</f>
        <v>12793</v>
      </c>
      <c r="AB2446" s="6">
        <f ca="1">IF(Main[[#This Row],[مانده در خط تسویه نشده (کیلوگرم)]]&lt;&gt;0,Main[[#This Row],[تعداد کل روزهای بدهکار (روز)]],0)</f>
        <v>0</v>
      </c>
      <c r="AC2446" s="6">
        <f ca="1">Main[[#This Row],[تعداد روزهای بدهکار  تسویه نشده (روز)]]*Main[[#This Row],[مانده در خط تسویه نشده (کیلوگرم)]]</f>
        <v>0</v>
      </c>
      <c r="AD2446" s="6">
        <f ca="1">SUBTOTAL(9,INDEX(Main[بدهی سررسید شده (کیلوگرم)],1):Main[[#This Row],[بدهی سررسید شده (کیلوگرم)]])</f>
        <v>12793</v>
      </c>
      <c r="AE2446" s="6">
        <f ca="1">IF(Main[[#This Row],[مانده در خط سررسید شده (کیلوگرم)]]&lt;&gt;0,Main[[#This Row],[تعداد کل روزهای بدهکار (روز)]],0)</f>
        <v>0</v>
      </c>
      <c r="AF2446" s="6">
        <f ca="1">Main[[#This Row],[تعداد روزهای بدهکار سررسید شده (روز)]]*Main[[#This Row],[مانده در خط سررسید شده (کیلوگرم)]]</f>
        <v>0</v>
      </c>
    </row>
    <row r="2447" spans="1:32" hidden="1" x14ac:dyDescent="0.35">
      <c r="A2447" s="5">
        <f>ROW()-ROW(INDEX(Main[ردیف],1))+1</f>
        <v>2445</v>
      </c>
      <c r="B2447" s="31">
        <f>SUBTOTAL(2,INDEX(Main[ردیف],1):Main[[#This Row],[ردیف]])</f>
        <v>220</v>
      </c>
      <c r="C2447" s="32" t="s">
        <v>806</v>
      </c>
      <c r="D2447" s="32" t="str">
        <f>_xlfn.CONCAT("14",Main[[#This Row],[تاريخ]])</f>
        <v>1400/09/17</v>
      </c>
      <c r="E2447" s="33">
        <v>44538</v>
      </c>
      <c r="F2447" s="32">
        <v>30191</v>
      </c>
      <c r="G2447" s="5" t="str">
        <f>INDEX(customer[عنوان],MATCH(Main[[#This Row],[کد ردیابی]],customer[کد],0))</f>
        <v>ایران گرما</v>
      </c>
      <c r="H2447">
        <v>982</v>
      </c>
      <c r="I2447" s="6">
        <f ca="1">-Main[[#This Row],[بدهی تسویه شده (کیلوگرم)]]+Main[[#This Row],[بستانکار (کیلوگرم)]]</f>
        <v>982</v>
      </c>
      <c r="J2447" s="6">
        <f>IF(Main[[#This Row],[مقدار (کیلوگرم)]]&gt;0,Main[[#This Row],[مقدار (کیلوگرم)]],0)</f>
        <v>982</v>
      </c>
      <c r="K2447" s="6">
        <f>-IF(Main[[#This Row],[مقدار (کیلوگرم)]]&lt;0,Main[[#This Row],[مقدار (کیلوگرم)]],0)</f>
        <v>0</v>
      </c>
      <c r="L24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7" s="7">
        <f>-IF(AND(Main[[#This Row],[مقدار (کیلوگرم)]]&lt;0,Main[[#This Row],[تاريخ میلادی]]&gt;44276),Main[[#This Row],[مقدار (کیلوگرم)]],0)</f>
        <v>0</v>
      </c>
      <c r="N2447" s="6">
        <f ca="1">Main[[#This Row],[بدهکار (کیلوگرم)]]-Main[[#This Row],[بدهی تسویه نشده (کیلوگرم)]]</f>
        <v>0</v>
      </c>
      <c r="O2447" s="6">
        <f ca="1">Main[[#This Row],[تفکیک]]</f>
        <v>0</v>
      </c>
      <c r="P2447" s="6">
        <f ca="1">IF(Main[[#This Row],[تاخیر از سررسید]]&gt;0,Main[[#This Row],[بدهی تسویه نشده (کیلوگرم)]],0)</f>
        <v>0</v>
      </c>
      <c r="Q2447" s="6">
        <f ca="1">IF(Main[[#This Row],[بدهی تسویه نشده (کیلوگرم)]]&gt;0,'گزارش فردی'!$B$7-Main[[#This Row],[تاريخ میلادی]],0)</f>
        <v>0</v>
      </c>
      <c r="R2447" s="6">
        <f ca="1">IF(Main[[#This Row],[بدهی تسویه نشده (کیلوگرم)]]&gt;0,'گزارش فردی'!$B$7-Main[[#This Row],[تاريخ میلادی]]-'گزارش فردی'!$B$8,0)</f>
        <v>0</v>
      </c>
      <c r="S2447" s="6">
        <f ca="1">Main[[#This Row],[روز از ارسال سفارش]]*Main[[#This Row],[بدهی تسویه نشده (کیلوگرم)]]</f>
        <v>0</v>
      </c>
      <c r="T2447" s="6">
        <f ca="1">Main[[#This Row],[بدهی سررسید شده (کیلوگرم)]]*Main[[#This Row],[روز از ارسال سفارش]]</f>
        <v>0</v>
      </c>
      <c r="U2447" s="6">
        <f>-SUBTOTAL(9,INDEX(Main[مقدار (کیلوگرم)],1):Main[[#This Row],[مقدار (کیلوگرم)]])</f>
        <v>34100</v>
      </c>
      <c r="V24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7" s="6">
        <f>Main[[#This Row],[تعداد کل روزهای بدهکار (روز)]]*Main[[#This Row],[مانده در خط کل (کیلوگرم)]]</f>
        <v>0</v>
      </c>
      <c r="X2447" s="6">
        <f ca="1">-SUBTOTAL(9,INDEX(Main[مقدار تسویه شده (کیلوگرم)],1):Main[[#This Row],[مقدار تسویه شده (کیلوگرم)]])</f>
        <v>21307</v>
      </c>
      <c r="Y2447" s="6">
        <f ca="1">IF(Main[[#This Row],[مانده در خط تسویه شده (کیلوگرم)]]&lt;&gt;0,Main[[#This Row],[تعداد کل روزهای بدهکار (روز)]],0)</f>
        <v>0</v>
      </c>
      <c r="Z2447" s="6">
        <f ca="1">Main[[#This Row],[تعداد روزهای بدهکار تسویه شده (روز)]]*Main[[#This Row],[مانده در خط تسویه شده (کیلوگرم)]]</f>
        <v>0</v>
      </c>
      <c r="AA2447" s="6">
        <f ca="1">SUBTOTAL(9,INDEX(Main[بدهی تسویه نشده (کیلوگرم)],1):Main[[#This Row],[بدهی تسویه نشده (کیلوگرم)]])</f>
        <v>12793</v>
      </c>
      <c r="AB2447" s="6">
        <f ca="1">IF(Main[[#This Row],[مانده در خط تسویه نشده (کیلوگرم)]]&lt;&gt;0,Main[[#This Row],[تعداد کل روزهای بدهکار (روز)]],0)</f>
        <v>0</v>
      </c>
      <c r="AC2447" s="6">
        <f ca="1">Main[[#This Row],[تعداد روزهای بدهکار  تسویه نشده (روز)]]*Main[[#This Row],[مانده در خط تسویه نشده (کیلوگرم)]]</f>
        <v>0</v>
      </c>
      <c r="AD2447" s="6">
        <f ca="1">SUBTOTAL(9,INDEX(Main[بدهی سررسید شده (کیلوگرم)],1):Main[[#This Row],[بدهی سررسید شده (کیلوگرم)]])</f>
        <v>12793</v>
      </c>
      <c r="AE2447" s="6">
        <f ca="1">IF(Main[[#This Row],[مانده در خط سررسید شده (کیلوگرم)]]&lt;&gt;0,Main[[#This Row],[تعداد کل روزهای بدهکار (روز)]],0)</f>
        <v>0</v>
      </c>
      <c r="AF2447" s="6">
        <f ca="1">Main[[#This Row],[تعداد روزهای بدهکار سررسید شده (روز)]]*Main[[#This Row],[مانده در خط سررسید شده (کیلوگرم)]]</f>
        <v>0</v>
      </c>
    </row>
    <row r="2448" spans="1:32" hidden="1" x14ac:dyDescent="0.35">
      <c r="A2448" s="5">
        <f>ROW()-ROW(INDEX(Main[ردیف],1))+1</f>
        <v>2446</v>
      </c>
      <c r="B2448" s="31">
        <f>SUBTOTAL(2,INDEX(Main[ردیف],1):Main[[#This Row],[ردیف]])</f>
        <v>220</v>
      </c>
      <c r="C2448" s="32" t="s">
        <v>806</v>
      </c>
      <c r="D2448" s="32" t="str">
        <f>_xlfn.CONCAT("14",Main[[#This Row],[تاريخ]])</f>
        <v>1400/09/17</v>
      </c>
      <c r="E2448" s="33">
        <v>44538</v>
      </c>
      <c r="F2448" s="32">
        <v>30200</v>
      </c>
      <c r="G2448" s="5" t="str">
        <f>INDEX(customer[عنوان],MATCH(Main[[#This Row],[کد ردیابی]],customer[کد],0))</f>
        <v>تولیدی پیام</v>
      </c>
      <c r="H2448">
        <v>-1510</v>
      </c>
      <c r="I2448" s="6">
        <f ca="1">-Main[[#This Row],[بدهی تسویه شده (کیلوگرم)]]+Main[[#This Row],[بستانکار (کیلوگرم)]]</f>
        <v>0</v>
      </c>
      <c r="J2448" s="6">
        <f>IF(Main[[#This Row],[مقدار (کیلوگرم)]]&gt;0,Main[[#This Row],[مقدار (کیلوگرم)]],0)</f>
        <v>0</v>
      </c>
      <c r="K2448" s="6">
        <f>-IF(Main[[#This Row],[مقدار (کیلوگرم)]]&lt;0,Main[[#This Row],[مقدار (کیلوگرم)]],0)</f>
        <v>1510</v>
      </c>
      <c r="L24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1510</v>
      </c>
      <c r="M2448" s="7">
        <f>-IF(AND(Main[[#This Row],[مقدار (کیلوگرم)]]&lt;0,Main[[#This Row],[تاريخ میلادی]]&gt;44276),Main[[#This Row],[مقدار (کیلوگرم)]],0)</f>
        <v>1510</v>
      </c>
      <c r="N2448" s="6">
        <f ca="1">Main[[#This Row],[بدهکار (کیلوگرم)]]-Main[[#This Row],[بدهی تسویه نشده (کیلوگرم)]]</f>
        <v>0</v>
      </c>
      <c r="O2448" s="6">
        <f ca="1">Main[[#This Row],[تفکیک]]</f>
        <v>1510</v>
      </c>
      <c r="P2448" s="6">
        <f ca="1">IF(Main[[#This Row],[تاخیر از سررسید]]&gt;0,Main[[#This Row],[بدهی تسویه نشده (کیلوگرم)]],0)</f>
        <v>1510</v>
      </c>
      <c r="Q2448" s="6">
        <f ca="1">IF(Main[[#This Row],[بدهی تسویه نشده (کیلوگرم)]]&gt;0,'گزارش فردی'!$B$7-Main[[#This Row],[تاريخ میلادی]],0)</f>
        <v>924.75374085648218</v>
      </c>
      <c r="R2448" s="6">
        <f ca="1">IF(Main[[#This Row],[بدهی تسویه نشده (کیلوگرم)]]&gt;0,'گزارش فردی'!$B$7-Main[[#This Row],[تاريخ میلادی]]-'گزارش فردی'!$B$8,0)</f>
        <v>909.75374085648218</v>
      </c>
      <c r="S2448" s="6">
        <f ca="1">Main[[#This Row],[روز از ارسال سفارش]]*Main[[#This Row],[بدهی تسویه نشده (کیلوگرم)]]</f>
        <v>1396378.1486932882</v>
      </c>
      <c r="T2448" s="6">
        <f ca="1">Main[[#This Row],[بدهی سررسید شده (کیلوگرم)]]*Main[[#This Row],[روز از ارسال سفارش]]</f>
        <v>1396378.1486932882</v>
      </c>
      <c r="U2448" s="6">
        <f>-SUBTOTAL(9,INDEX(Main[مقدار (کیلوگرم)],1):Main[[#This Row],[مقدار (کیلوگرم)]])</f>
        <v>34100</v>
      </c>
      <c r="V24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8" s="6">
        <f>Main[[#This Row],[تعداد کل روزهای بدهکار (روز)]]*Main[[#This Row],[مانده در خط کل (کیلوگرم)]]</f>
        <v>0</v>
      </c>
      <c r="X2448" s="6">
        <f ca="1">-SUBTOTAL(9,INDEX(Main[مقدار تسویه شده (کیلوگرم)],1):Main[[#This Row],[مقدار تسویه شده (کیلوگرم)]])</f>
        <v>21307</v>
      </c>
      <c r="Y2448" s="6">
        <f ca="1">IF(Main[[#This Row],[مانده در خط تسویه شده (کیلوگرم)]]&lt;&gt;0,Main[[#This Row],[تعداد کل روزهای بدهکار (روز)]],0)</f>
        <v>0</v>
      </c>
      <c r="Z2448" s="6">
        <f ca="1">Main[[#This Row],[تعداد روزهای بدهکار تسویه شده (روز)]]*Main[[#This Row],[مانده در خط تسویه شده (کیلوگرم)]]</f>
        <v>0</v>
      </c>
      <c r="AA2448" s="6">
        <f ca="1">SUBTOTAL(9,INDEX(Main[بدهی تسویه نشده (کیلوگرم)],1):Main[[#This Row],[بدهی تسویه نشده (کیلوگرم)]])</f>
        <v>12793</v>
      </c>
      <c r="AB2448" s="6">
        <f ca="1">IF(Main[[#This Row],[مانده در خط تسویه نشده (کیلوگرم)]]&lt;&gt;0,Main[[#This Row],[تعداد کل روزهای بدهکار (روز)]],0)</f>
        <v>0</v>
      </c>
      <c r="AC2448" s="6">
        <f ca="1">Main[[#This Row],[تعداد روزهای بدهکار  تسویه نشده (روز)]]*Main[[#This Row],[مانده در خط تسویه نشده (کیلوگرم)]]</f>
        <v>0</v>
      </c>
      <c r="AD2448" s="6">
        <f ca="1">SUBTOTAL(9,INDEX(Main[بدهی سررسید شده (کیلوگرم)],1):Main[[#This Row],[بدهی سررسید شده (کیلوگرم)]])</f>
        <v>12793</v>
      </c>
      <c r="AE2448" s="6">
        <f ca="1">IF(Main[[#This Row],[مانده در خط سررسید شده (کیلوگرم)]]&lt;&gt;0,Main[[#This Row],[تعداد کل روزهای بدهکار (روز)]],0)</f>
        <v>0</v>
      </c>
      <c r="AF2448" s="6">
        <f ca="1">Main[[#This Row],[تعداد روزهای بدهکار سررسید شده (روز)]]*Main[[#This Row],[مانده در خط سررسید شده (کیلوگرم)]]</f>
        <v>0</v>
      </c>
    </row>
    <row r="2449" spans="1:32" hidden="1" x14ac:dyDescent="0.35">
      <c r="A2449" s="5">
        <f>ROW()-ROW(INDEX(Main[ردیف],1))+1</f>
        <v>2447</v>
      </c>
      <c r="B2449" s="31">
        <f>SUBTOTAL(2,INDEX(Main[ردیف],1):Main[[#This Row],[ردیف]])</f>
        <v>220</v>
      </c>
      <c r="C2449" s="32" t="s">
        <v>806</v>
      </c>
      <c r="D2449" s="32" t="str">
        <f>_xlfn.CONCAT("14",Main[[#This Row],[تاريخ]])</f>
        <v>1400/09/17</v>
      </c>
      <c r="E2449" s="33">
        <v>44538</v>
      </c>
      <c r="F2449" s="32">
        <v>30004</v>
      </c>
      <c r="G2449" s="5" t="str">
        <f>INDEX(customer[عنوان],MATCH(Main[[#This Row],[کد ردیابی]],customer[کد],0))</f>
        <v>تولیدی صنعتی صفاشیر پارس</v>
      </c>
      <c r="H2449">
        <v>3144</v>
      </c>
      <c r="I2449" s="6">
        <f ca="1">-Main[[#This Row],[بدهی تسویه شده (کیلوگرم)]]+Main[[#This Row],[بستانکار (کیلوگرم)]]</f>
        <v>3144</v>
      </c>
      <c r="J2449" s="6">
        <f>IF(Main[[#This Row],[مقدار (کیلوگرم)]]&gt;0,Main[[#This Row],[مقدار (کیلوگرم)]],0)</f>
        <v>3144</v>
      </c>
      <c r="K2449" s="6">
        <f>-IF(Main[[#This Row],[مقدار (کیلوگرم)]]&lt;0,Main[[#This Row],[مقدار (کیلوگرم)]],0)</f>
        <v>0</v>
      </c>
      <c r="L24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9" s="7">
        <f>-IF(AND(Main[[#This Row],[مقدار (کیلوگرم)]]&lt;0,Main[[#This Row],[تاريخ میلادی]]&gt;44276),Main[[#This Row],[مقدار (کیلوگرم)]],0)</f>
        <v>0</v>
      </c>
      <c r="N2449" s="6">
        <f ca="1">Main[[#This Row],[بدهکار (کیلوگرم)]]-Main[[#This Row],[بدهی تسویه نشده (کیلوگرم)]]</f>
        <v>0</v>
      </c>
      <c r="O2449" s="6">
        <f ca="1">Main[[#This Row],[تفکیک]]</f>
        <v>0</v>
      </c>
      <c r="P2449" s="6">
        <f ca="1">IF(Main[[#This Row],[تاخیر از سررسید]]&gt;0,Main[[#This Row],[بدهی تسویه نشده (کیلوگرم)]],0)</f>
        <v>0</v>
      </c>
      <c r="Q2449" s="6">
        <f ca="1">IF(Main[[#This Row],[بدهی تسویه نشده (کیلوگرم)]]&gt;0,'گزارش فردی'!$B$7-Main[[#This Row],[تاريخ میلادی]],0)</f>
        <v>0</v>
      </c>
      <c r="R2449" s="6">
        <f ca="1">IF(Main[[#This Row],[بدهی تسویه نشده (کیلوگرم)]]&gt;0,'گزارش فردی'!$B$7-Main[[#This Row],[تاريخ میلادی]]-'گزارش فردی'!$B$8,0)</f>
        <v>0</v>
      </c>
      <c r="S2449" s="6">
        <f ca="1">Main[[#This Row],[روز از ارسال سفارش]]*Main[[#This Row],[بدهی تسویه نشده (کیلوگرم)]]</f>
        <v>0</v>
      </c>
      <c r="T2449" s="6">
        <f ca="1">Main[[#This Row],[بدهی سررسید شده (کیلوگرم)]]*Main[[#This Row],[روز از ارسال سفارش]]</f>
        <v>0</v>
      </c>
      <c r="U2449" s="6">
        <f>-SUBTOTAL(9,INDEX(Main[مقدار (کیلوگرم)],1):Main[[#This Row],[مقدار (کیلوگرم)]])</f>
        <v>34100</v>
      </c>
      <c r="V24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9" s="6">
        <f>Main[[#This Row],[تعداد کل روزهای بدهکار (روز)]]*Main[[#This Row],[مانده در خط کل (کیلوگرم)]]</f>
        <v>0</v>
      </c>
      <c r="X2449" s="6">
        <f ca="1">-SUBTOTAL(9,INDEX(Main[مقدار تسویه شده (کیلوگرم)],1):Main[[#This Row],[مقدار تسویه شده (کیلوگرم)]])</f>
        <v>21307</v>
      </c>
      <c r="Y2449" s="6">
        <f ca="1">IF(Main[[#This Row],[مانده در خط تسویه شده (کیلوگرم)]]&lt;&gt;0,Main[[#This Row],[تعداد کل روزهای بدهکار (روز)]],0)</f>
        <v>0</v>
      </c>
      <c r="Z2449" s="6">
        <f ca="1">Main[[#This Row],[تعداد روزهای بدهکار تسویه شده (روز)]]*Main[[#This Row],[مانده در خط تسویه شده (کیلوگرم)]]</f>
        <v>0</v>
      </c>
      <c r="AA2449" s="6">
        <f ca="1">SUBTOTAL(9,INDEX(Main[بدهی تسویه نشده (کیلوگرم)],1):Main[[#This Row],[بدهی تسویه نشده (کیلوگرم)]])</f>
        <v>12793</v>
      </c>
      <c r="AB2449" s="6">
        <f ca="1">IF(Main[[#This Row],[مانده در خط تسویه نشده (کیلوگرم)]]&lt;&gt;0,Main[[#This Row],[تعداد کل روزهای بدهکار (روز)]],0)</f>
        <v>0</v>
      </c>
      <c r="AC2449" s="6">
        <f ca="1">Main[[#This Row],[تعداد روزهای بدهکار  تسویه نشده (روز)]]*Main[[#This Row],[مانده در خط تسویه نشده (کیلوگرم)]]</f>
        <v>0</v>
      </c>
      <c r="AD2449" s="6">
        <f ca="1">SUBTOTAL(9,INDEX(Main[بدهی سررسید شده (کیلوگرم)],1):Main[[#This Row],[بدهی سررسید شده (کیلوگرم)]])</f>
        <v>12793</v>
      </c>
      <c r="AE2449" s="6">
        <f ca="1">IF(Main[[#This Row],[مانده در خط سررسید شده (کیلوگرم)]]&lt;&gt;0,Main[[#This Row],[تعداد کل روزهای بدهکار (روز)]],0)</f>
        <v>0</v>
      </c>
      <c r="AF2449" s="6">
        <f ca="1">Main[[#This Row],[تعداد روزهای بدهکار سررسید شده (روز)]]*Main[[#This Row],[مانده در خط سررسید شده (کیلوگرم)]]</f>
        <v>0</v>
      </c>
    </row>
    <row r="2450" spans="1:32" hidden="1" x14ac:dyDescent="0.35">
      <c r="A2450" s="5">
        <f>ROW()-ROW(INDEX(Main[ردیف],1))+1</f>
        <v>2448</v>
      </c>
      <c r="B2450" s="31">
        <f>SUBTOTAL(2,INDEX(Main[ردیف],1):Main[[#This Row],[ردیف]])</f>
        <v>220</v>
      </c>
      <c r="C2450" s="32" t="s">
        <v>806</v>
      </c>
      <c r="D2450" s="32" t="str">
        <f>_xlfn.CONCAT("14",Main[[#This Row],[تاريخ]])</f>
        <v>1400/09/17</v>
      </c>
      <c r="E2450" s="33">
        <v>44538</v>
      </c>
      <c r="F2450" s="32">
        <v>30196</v>
      </c>
      <c r="G2450" s="5" t="str">
        <f>INDEX(customer[عنوان],MATCH(Main[[#This Row],[کد ردیابی]],customer[کد],0))</f>
        <v>شرکت فردوس</v>
      </c>
      <c r="H2450">
        <v>-2051</v>
      </c>
      <c r="I2450" s="6">
        <f ca="1">-Main[[#This Row],[بدهی تسویه شده (کیلوگرم)]]+Main[[#This Row],[بستانکار (کیلوگرم)]]</f>
        <v>0</v>
      </c>
      <c r="J2450" s="6">
        <f>IF(Main[[#This Row],[مقدار (کیلوگرم)]]&gt;0,Main[[#This Row],[مقدار (کیلوگرم)]],0)</f>
        <v>0</v>
      </c>
      <c r="K2450" s="6">
        <f>-IF(Main[[#This Row],[مقدار (کیلوگرم)]]&lt;0,Main[[#This Row],[مقدار (کیلوگرم)]],0)</f>
        <v>2051</v>
      </c>
      <c r="L24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2051</v>
      </c>
      <c r="M2450" s="7">
        <f>-IF(AND(Main[[#This Row],[مقدار (کیلوگرم)]]&lt;0,Main[[#This Row],[تاريخ میلادی]]&gt;44276),Main[[#This Row],[مقدار (کیلوگرم)]],0)</f>
        <v>2051</v>
      </c>
      <c r="N2450" s="6">
        <f ca="1">Main[[#This Row],[بدهکار (کیلوگرم)]]-Main[[#This Row],[بدهی تسویه نشده (کیلوگرم)]]</f>
        <v>0</v>
      </c>
      <c r="O2450" s="6">
        <f ca="1">Main[[#This Row],[تفکیک]]</f>
        <v>2051</v>
      </c>
      <c r="P2450" s="6">
        <f ca="1">IF(Main[[#This Row],[تاخیر از سررسید]]&gt;0,Main[[#This Row],[بدهی تسویه نشده (کیلوگرم)]],0)</f>
        <v>2051</v>
      </c>
      <c r="Q2450" s="6">
        <f ca="1">IF(Main[[#This Row],[بدهی تسویه نشده (کیلوگرم)]]&gt;0,'گزارش فردی'!$B$7-Main[[#This Row],[تاريخ میلادی]],0)</f>
        <v>924.75374085648218</v>
      </c>
      <c r="R2450" s="6">
        <f ca="1">IF(Main[[#This Row],[بدهی تسویه نشده (کیلوگرم)]]&gt;0,'گزارش فردی'!$B$7-Main[[#This Row],[تاريخ میلادی]]-'گزارش فردی'!$B$8,0)</f>
        <v>909.75374085648218</v>
      </c>
      <c r="S2450" s="6">
        <f ca="1">Main[[#This Row],[روز از ارسال سفارش]]*Main[[#This Row],[بدهی تسویه نشده (کیلوگرم)]]</f>
        <v>1896669.922496645</v>
      </c>
      <c r="T2450" s="6">
        <f ca="1">Main[[#This Row],[بدهی سررسید شده (کیلوگرم)]]*Main[[#This Row],[روز از ارسال سفارش]]</f>
        <v>1896669.922496645</v>
      </c>
      <c r="U2450" s="6">
        <f>-SUBTOTAL(9,INDEX(Main[مقدار (کیلوگرم)],1):Main[[#This Row],[مقدار (کیلوگرم)]])</f>
        <v>34100</v>
      </c>
      <c r="V24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0" s="6">
        <f>Main[[#This Row],[تعداد کل روزهای بدهکار (روز)]]*Main[[#This Row],[مانده در خط کل (کیلوگرم)]]</f>
        <v>0</v>
      </c>
      <c r="X2450" s="6">
        <f ca="1">-SUBTOTAL(9,INDEX(Main[مقدار تسویه شده (کیلوگرم)],1):Main[[#This Row],[مقدار تسویه شده (کیلوگرم)]])</f>
        <v>21307</v>
      </c>
      <c r="Y2450" s="6">
        <f ca="1">IF(Main[[#This Row],[مانده در خط تسویه شده (کیلوگرم)]]&lt;&gt;0,Main[[#This Row],[تعداد کل روزهای بدهکار (روز)]],0)</f>
        <v>0</v>
      </c>
      <c r="Z2450" s="6">
        <f ca="1">Main[[#This Row],[تعداد روزهای بدهکار تسویه شده (روز)]]*Main[[#This Row],[مانده در خط تسویه شده (کیلوگرم)]]</f>
        <v>0</v>
      </c>
      <c r="AA2450" s="6">
        <f ca="1">SUBTOTAL(9,INDEX(Main[بدهی تسویه نشده (کیلوگرم)],1):Main[[#This Row],[بدهی تسویه نشده (کیلوگرم)]])</f>
        <v>12793</v>
      </c>
      <c r="AB2450" s="6">
        <f ca="1">IF(Main[[#This Row],[مانده در خط تسویه نشده (کیلوگرم)]]&lt;&gt;0,Main[[#This Row],[تعداد کل روزهای بدهکار (روز)]],0)</f>
        <v>0</v>
      </c>
      <c r="AC2450" s="6">
        <f ca="1">Main[[#This Row],[تعداد روزهای بدهکار  تسویه نشده (روز)]]*Main[[#This Row],[مانده در خط تسویه نشده (کیلوگرم)]]</f>
        <v>0</v>
      </c>
      <c r="AD2450" s="6">
        <f ca="1">SUBTOTAL(9,INDEX(Main[بدهی سررسید شده (کیلوگرم)],1):Main[[#This Row],[بدهی سررسید شده (کیلوگرم)]])</f>
        <v>12793</v>
      </c>
      <c r="AE2450" s="6">
        <f ca="1">IF(Main[[#This Row],[مانده در خط سررسید شده (کیلوگرم)]]&lt;&gt;0,Main[[#This Row],[تعداد کل روزهای بدهکار (روز)]],0)</f>
        <v>0</v>
      </c>
      <c r="AF2450" s="6">
        <f ca="1">Main[[#This Row],[تعداد روزهای بدهکار سررسید شده (روز)]]*Main[[#This Row],[مانده در خط سررسید شده (کیلوگرم)]]</f>
        <v>0</v>
      </c>
    </row>
    <row r="2451" spans="1:32" hidden="1" x14ac:dyDescent="0.35">
      <c r="A2451" s="5">
        <f>ROW()-ROW(INDEX(Main[ردیف],1))+1</f>
        <v>2449</v>
      </c>
      <c r="B2451" s="31">
        <f>SUBTOTAL(2,INDEX(Main[ردیف],1):Main[[#This Row],[ردیف]])</f>
        <v>220</v>
      </c>
      <c r="C2451" s="32" t="s">
        <v>806</v>
      </c>
      <c r="D2451" s="32" t="str">
        <f>_xlfn.CONCAT("14",Main[[#This Row],[تاريخ]])</f>
        <v>1400/09/17</v>
      </c>
      <c r="E2451" s="33">
        <v>44538</v>
      </c>
      <c r="F2451" s="32">
        <v>10069</v>
      </c>
      <c r="G2451" s="5" t="str">
        <f>INDEX(customer[عنوان],MATCH(Main[[#This Row],[کد ردیابی]],customer[کد],0))</f>
        <v xml:space="preserve">جواد عرب </v>
      </c>
      <c r="H2451">
        <v>1014</v>
      </c>
      <c r="I2451" s="6">
        <f ca="1">-Main[[#This Row],[بدهی تسویه شده (کیلوگرم)]]+Main[[#This Row],[بستانکار (کیلوگرم)]]</f>
        <v>1014</v>
      </c>
      <c r="J2451" s="6">
        <f>IF(Main[[#This Row],[مقدار (کیلوگرم)]]&gt;0,Main[[#This Row],[مقدار (کیلوگرم)]],0)</f>
        <v>1014</v>
      </c>
      <c r="K2451" s="6">
        <f>-IF(Main[[#This Row],[مقدار (کیلوگرم)]]&lt;0,Main[[#This Row],[مقدار (کیلوگرم)]],0)</f>
        <v>0</v>
      </c>
      <c r="L24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1" s="7">
        <f>-IF(AND(Main[[#This Row],[مقدار (کیلوگرم)]]&lt;0,Main[[#This Row],[تاريخ میلادی]]&gt;44276),Main[[#This Row],[مقدار (کیلوگرم)]],0)</f>
        <v>0</v>
      </c>
      <c r="N2451" s="6">
        <f ca="1">Main[[#This Row],[بدهکار (کیلوگرم)]]-Main[[#This Row],[بدهی تسویه نشده (کیلوگرم)]]</f>
        <v>0</v>
      </c>
      <c r="O2451" s="6">
        <f ca="1">Main[[#This Row],[تفکیک]]</f>
        <v>0</v>
      </c>
      <c r="P2451" s="6">
        <f ca="1">IF(Main[[#This Row],[تاخیر از سررسید]]&gt;0,Main[[#This Row],[بدهی تسویه نشده (کیلوگرم)]],0)</f>
        <v>0</v>
      </c>
      <c r="Q2451" s="6">
        <f ca="1">IF(Main[[#This Row],[بدهی تسویه نشده (کیلوگرم)]]&gt;0,'گزارش فردی'!$B$7-Main[[#This Row],[تاريخ میلادی]],0)</f>
        <v>0</v>
      </c>
      <c r="R2451" s="6">
        <f ca="1">IF(Main[[#This Row],[بدهی تسویه نشده (کیلوگرم)]]&gt;0,'گزارش فردی'!$B$7-Main[[#This Row],[تاريخ میلادی]]-'گزارش فردی'!$B$8,0)</f>
        <v>0</v>
      </c>
      <c r="S2451" s="6">
        <f ca="1">Main[[#This Row],[روز از ارسال سفارش]]*Main[[#This Row],[بدهی تسویه نشده (کیلوگرم)]]</f>
        <v>0</v>
      </c>
      <c r="T2451" s="6">
        <f ca="1">Main[[#This Row],[بدهی سررسید شده (کیلوگرم)]]*Main[[#This Row],[روز از ارسال سفارش]]</f>
        <v>0</v>
      </c>
      <c r="U2451" s="6">
        <f>-SUBTOTAL(9,INDEX(Main[مقدار (کیلوگرم)],1):Main[[#This Row],[مقدار (کیلوگرم)]])</f>
        <v>34100</v>
      </c>
      <c r="V24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1" s="6">
        <f>Main[[#This Row],[تعداد کل روزهای بدهکار (روز)]]*Main[[#This Row],[مانده در خط کل (کیلوگرم)]]</f>
        <v>0</v>
      </c>
      <c r="X2451" s="6">
        <f ca="1">-SUBTOTAL(9,INDEX(Main[مقدار تسویه شده (کیلوگرم)],1):Main[[#This Row],[مقدار تسویه شده (کیلوگرم)]])</f>
        <v>21307</v>
      </c>
      <c r="Y2451" s="6">
        <f ca="1">IF(Main[[#This Row],[مانده در خط تسویه شده (کیلوگرم)]]&lt;&gt;0,Main[[#This Row],[تعداد کل روزهای بدهکار (روز)]],0)</f>
        <v>0</v>
      </c>
      <c r="Z2451" s="6">
        <f ca="1">Main[[#This Row],[تعداد روزهای بدهکار تسویه شده (روز)]]*Main[[#This Row],[مانده در خط تسویه شده (کیلوگرم)]]</f>
        <v>0</v>
      </c>
      <c r="AA2451" s="6">
        <f ca="1">SUBTOTAL(9,INDEX(Main[بدهی تسویه نشده (کیلوگرم)],1):Main[[#This Row],[بدهی تسویه نشده (کیلوگرم)]])</f>
        <v>12793</v>
      </c>
      <c r="AB2451" s="6">
        <f ca="1">IF(Main[[#This Row],[مانده در خط تسویه نشده (کیلوگرم)]]&lt;&gt;0,Main[[#This Row],[تعداد کل روزهای بدهکار (روز)]],0)</f>
        <v>0</v>
      </c>
      <c r="AC2451" s="6">
        <f ca="1">Main[[#This Row],[تعداد روزهای بدهکار  تسویه نشده (روز)]]*Main[[#This Row],[مانده در خط تسویه نشده (کیلوگرم)]]</f>
        <v>0</v>
      </c>
      <c r="AD2451" s="6">
        <f ca="1">SUBTOTAL(9,INDEX(Main[بدهی سررسید شده (کیلوگرم)],1):Main[[#This Row],[بدهی سررسید شده (کیلوگرم)]])</f>
        <v>12793</v>
      </c>
      <c r="AE2451" s="6">
        <f ca="1">IF(Main[[#This Row],[مانده در خط سررسید شده (کیلوگرم)]]&lt;&gt;0,Main[[#This Row],[تعداد کل روزهای بدهکار (روز)]],0)</f>
        <v>0</v>
      </c>
      <c r="AF2451" s="6">
        <f ca="1">Main[[#This Row],[تعداد روزهای بدهکار سررسید شده (روز)]]*Main[[#This Row],[مانده در خط سررسید شده (کیلوگرم)]]</f>
        <v>0</v>
      </c>
    </row>
    <row r="2452" spans="1:32" hidden="1" x14ac:dyDescent="0.35">
      <c r="A2452" s="5">
        <f>ROW()-ROW(INDEX(Main[ردیف],1))+1</f>
        <v>2450</v>
      </c>
      <c r="B2452" s="31">
        <f>SUBTOTAL(2,INDEX(Main[ردیف],1):Main[[#This Row],[ردیف]])</f>
        <v>220</v>
      </c>
      <c r="C2452" s="32" t="s">
        <v>806</v>
      </c>
      <c r="D2452" s="32" t="str">
        <f>_xlfn.CONCAT("14",Main[[#This Row],[تاريخ]])</f>
        <v>1400/09/17</v>
      </c>
      <c r="E2452" s="33">
        <v>44538</v>
      </c>
      <c r="F2452" s="32">
        <v>10070</v>
      </c>
      <c r="G2452" s="5" t="str">
        <f>INDEX(customer[عنوان],MATCH(Main[[#This Row],[کد ردیابی]],customer[کد],0))</f>
        <v xml:space="preserve">حمیدرضا شفیعی </v>
      </c>
      <c r="H2452">
        <v>-6</v>
      </c>
      <c r="I2452" s="6">
        <f ca="1">-Main[[#This Row],[بدهی تسویه شده (کیلوگرم)]]+Main[[#This Row],[بستانکار (کیلوگرم)]]</f>
        <v>0</v>
      </c>
      <c r="J2452" s="6">
        <f>IF(Main[[#This Row],[مقدار (کیلوگرم)]]&gt;0,Main[[#This Row],[مقدار (کیلوگرم)]],0)</f>
        <v>0</v>
      </c>
      <c r="K2452" s="6">
        <f>-IF(Main[[#This Row],[مقدار (کیلوگرم)]]&lt;0,Main[[#This Row],[مقدار (کیلوگرم)]],0)</f>
        <v>6</v>
      </c>
      <c r="L24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</v>
      </c>
      <c r="M2452" s="7">
        <f>-IF(AND(Main[[#This Row],[مقدار (کیلوگرم)]]&lt;0,Main[[#This Row],[تاريخ میلادی]]&gt;44276),Main[[#This Row],[مقدار (کیلوگرم)]],0)</f>
        <v>6</v>
      </c>
      <c r="N2452" s="6">
        <f ca="1">Main[[#This Row],[بدهکار (کیلوگرم)]]-Main[[#This Row],[بدهی تسویه نشده (کیلوگرم)]]</f>
        <v>0</v>
      </c>
      <c r="O2452" s="6">
        <f ca="1">Main[[#This Row],[تفکیک]]</f>
        <v>6</v>
      </c>
      <c r="P2452" s="6">
        <f ca="1">IF(Main[[#This Row],[تاخیر از سررسید]]&gt;0,Main[[#This Row],[بدهی تسویه نشده (کیلوگرم)]],0)</f>
        <v>6</v>
      </c>
      <c r="Q2452" s="6">
        <f ca="1">IF(Main[[#This Row],[بدهی تسویه نشده (کیلوگرم)]]&gt;0,'گزارش فردی'!$B$7-Main[[#This Row],[تاريخ میلادی]],0)</f>
        <v>924.75374085648218</v>
      </c>
      <c r="R2452" s="6">
        <f ca="1">IF(Main[[#This Row],[بدهی تسویه نشده (کیلوگرم)]]&gt;0,'گزارش فردی'!$B$7-Main[[#This Row],[تاريخ میلادی]]-'گزارش فردی'!$B$8,0)</f>
        <v>909.75374085648218</v>
      </c>
      <c r="S2452" s="6">
        <f ca="1">Main[[#This Row],[روز از ارسال سفارش]]*Main[[#This Row],[بدهی تسویه نشده (کیلوگرم)]]</f>
        <v>5548.5224451388931</v>
      </c>
      <c r="T2452" s="6">
        <f ca="1">Main[[#This Row],[بدهی سررسید شده (کیلوگرم)]]*Main[[#This Row],[روز از ارسال سفارش]]</f>
        <v>5548.5224451388931</v>
      </c>
      <c r="U2452" s="6">
        <f>-SUBTOTAL(9,INDEX(Main[مقدار (کیلوگرم)],1):Main[[#This Row],[مقدار (کیلوگرم)]])</f>
        <v>34100</v>
      </c>
      <c r="V24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2" s="6">
        <f>Main[[#This Row],[تعداد کل روزهای بدهکار (روز)]]*Main[[#This Row],[مانده در خط کل (کیلوگرم)]]</f>
        <v>0</v>
      </c>
      <c r="X2452" s="6">
        <f ca="1">-SUBTOTAL(9,INDEX(Main[مقدار تسویه شده (کیلوگرم)],1):Main[[#This Row],[مقدار تسویه شده (کیلوگرم)]])</f>
        <v>21307</v>
      </c>
      <c r="Y2452" s="6">
        <f ca="1">IF(Main[[#This Row],[مانده در خط تسویه شده (کیلوگرم)]]&lt;&gt;0,Main[[#This Row],[تعداد کل روزهای بدهکار (روز)]],0)</f>
        <v>0</v>
      </c>
      <c r="Z2452" s="6">
        <f ca="1">Main[[#This Row],[تعداد روزهای بدهکار تسویه شده (روز)]]*Main[[#This Row],[مانده در خط تسویه شده (کیلوگرم)]]</f>
        <v>0</v>
      </c>
      <c r="AA2452" s="6">
        <f ca="1">SUBTOTAL(9,INDEX(Main[بدهی تسویه نشده (کیلوگرم)],1):Main[[#This Row],[بدهی تسویه نشده (کیلوگرم)]])</f>
        <v>12793</v>
      </c>
      <c r="AB2452" s="6">
        <f ca="1">IF(Main[[#This Row],[مانده در خط تسویه نشده (کیلوگرم)]]&lt;&gt;0,Main[[#This Row],[تعداد کل روزهای بدهکار (روز)]],0)</f>
        <v>0</v>
      </c>
      <c r="AC2452" s="6">
        <f ca="1">Main[[#This Row],[تعداد روزهای بدهکار  تسویه نشده (روز)]]*Main[[#This Row],[مانده در خط تسویه نشده (کیلوگرم)]]</f>
        <v>0</v>
      </c>
      <c r="AD2452" s="6">
        <f ca="1">SUBTOTAL(9,INDEX(Main[بدهی سررسید شده (کیلوگرم)],1):Main[[#This Row],[بدهی سررسید شده (کیلوگرم)]])</f>
        <v>12793</v>
      </c>
      <c r="AE2452" s="6">
        <f ca="1">IF(Main[[#This Row],[مانده در خط سررسید شده (کیلوگرم)]]&lt;&gt;0,Main[[#This Row],[تعداد کل روزهای بدهکار (روز)]],0)</f>
        <v>0</v>
      </c>
      <c r="AF2452" s="6">
        <f ca="1">Main[[#This Row],[تعداد روزهای بدهکار سررسید شده (روز)]]*Main[[#This Row],[مانده در خط سررسید شده (کیلوگرم)]]</f>
        <v>0</v>
      </c>
    </row>
    <row r="2453" spans="1:32" hidden="1" x14ac:dyDescent="0.35">
      <c r="A2453" s="5">
        <f>ROW()-ROW(INDEX(Main[ردیف],1))+1</f>
        <v>2451</v>
      </c>
      <c r="B2453" s="31">
        <f>SUBTOTAL(2,INDEX(Main[ردیف],1):Main[[#This Row],[ردیف]])</f>
        <v>220</v>
      </c>
      <c r="C2453" s="32" t="s">
        <v>806</v>
      </c>
      <c r="D2453" s="32" t="str">
        <f>_xlfn.CONCAT("14",Main[[#This Row],[تاريخ]])</f>
        <v>1400/09/17</v>
      </c>
      <c r="E2453" s="33">
        <v>44538</v>
      </c>
      <c r="F2453" s="32">
        <v>30004</v>
      </c>
      <c r="G2453" s="5" t="str">
        <f>INDEX(customer[عنوان],MATCH(Main[[#This Row],[کد ردیابی]],customer[کد],0))</f>
        <v>تولیدی صنعتی صفاشیر پارس</v>
      </c>
      <c r="H2453">
        <v>1134</v>
      </c>
      <c r="I2453" s="6">
        <f ca="1">-Main[[#This Row],[بدهی تسویه شده (کیلوگرم)]]+Main[[#This Row],[بستانکار (کیلوگرم)]]</f>
        <v>1134</v>
      </c>
      <c r="J2453" s="6">
        <f>IF(Main[[#This Row],[مقدار (کیلوگرم)]]&gt;0,Main[[#This Row],[مقدار (کیلوگرم)]],0)</f>
        <v>1134</v>
      </c>
      <c r="K2453" s="6">
        <f>-IF(Main[[#This Row],[مقدار (کیلوگرم)]]&lt;0,Main[[#This Row],[مقدار (کیلوگرم)]],0)</f>
        <v>0</v>
      </c>
      <c r="L24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3" s="7">
        <f>-IF(AND(Main[[#This Row],[مقدار (کیلوگرم)]]&lt;0,Main[[#This Row],[تاريخ میلادی]]&gt;44276),Main[[#This Row],[مقدار (کیلوگرم)]],0)</f>
        <v>0</v>
      </c>
      <c r="N2453" s="6">
        <f ca="1">Main[[#This Row],[بدهکار (کیلوگرم)]]-Main[[#This Row],[بدهی تسویه نشده (کیلوگرم)]]</f>
        <v>0</v>
      </c>
      <c r="O2453" s="6">
        <f ca="1">Main[[#This Row],[تفکیک]]</f>
        <v>0</v>
      </c>
      <c r="P2453" s="6">
        <f ca="1">IF(Main[[#This Row],[تاخیر از سررسید]]&gt;0,Main[[#This Row],[بدهی تسویه نشده (کیلوگرم)]],0)</f>
        <v>0</v>
      </c>
      <c r="Q2453" s="6">
        <f ca="1">IF(Main[[#This Row],[بدهی تسویه نشده (کیلوگرم)]]&gt;0,'گزارش فردی'!$B$7-Main[[#This Row],[تاريخ میلادی]],0)</f>
        <v>0</v>
      </c>
      <c r="R2453" s="6">
        <f ca="1">IF(Main[[#This Row],[بدهی تسویه نشده (کیلوگرم)]]&gt;0,'گزارش فردی'!$B$7-Main[[#This Row],[تاريخ میلادی]]-'گزارش فردی'!$B$8,0)</f>
        <v>0</v>
      </c>
      <c r="S2453" s="6">
        <f ca="1">Main[[#This Row],[روز از ارسال سفارش]]*Main[[#This Row],[بدهی تسویه نشده (کیلوگرم)]]</f>
        <v>0</v>
      </c>
      <c r="T2453" s="6">
        <f ca="1">Main[[#This Row],[بدهی سررسید شده (کیلوگرم)]]*Main[[#This Row],[روز از ارسال سفارش]]</f>
        <v>0</v>
      </c>
      <c r="U2453" s="6">
        <f>-SUBTOTAL(9,INDEX(Main[مقدار (کیلوگرم)],1):Main[[#This Row],[مقدار (کیلوگرم)]])</f>
        <v>34100</v>
      </c>
      <c r="V24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3" s="6">
        <f>Main[[#This Row],[تعداد کل روزهای بدهکار (روز)]]*Main[[#This Row],[مانده در خط کل (کیلوگرم)]]</f>
        <v>0</v>
      </c>
      <c r="X2453" s="6">
        <f ca="1">-SUBTOTAL(9,INDEX(Main[مقدار تسویه شده (کیلوگرم)],1):Main[[#This Row],[مقدار تسویه شده (کیلوگرم)]])</f>
        <v>21307</v>
      </c>
      <c r="Y2453" s="6">
        <f ca="1">IF(Main[[#This Row],[مانده در خط تسویه شده (کیلوگرم)]]&lt;&gt;0,Main[[#This Row],[تعداد کل روزهای بدهکار (روز)]],0)</f>
        <v>0</v>
      </c>
      <c r="Z2453" s="6">
        <f ca="1">Main[[#This Row],[تعداد روزهای بدهکار تسویه شده (روز)]]*Main[[#This Row],[مانده در خط تسویه شده (کیلوگرم)]]</f>
        <v>0</v>
      </c>
      <c r="AA2453" s="6">
        <f ca="1">SUBTOTAL(9,INDEX(Main[بدهی تسویه نشده (کیلوگرم)],1):Main[[#This Row],[بدهی تسویه نشده (کیلوگرم)]])</f>
        <v>12793</v>
      </c>
      <c r="AB2453" s="6">
        <f ca="1">IF(Main[[#This Row],[مانده در خط تسویه نشده (کیلوگرم)]]&lt;&gt;0,Main[[#This Row],[تعداد کل روزهای بدهکار (روز)]],0)</f>
        <v>0</v>
      </c>
      <c r="AC2453" s="6">
        <f ca="1">Main[[#This Row],[تعداد روزهای بدهکار  تسویه نشده (روز)]]*Main[[#This Row],[مانده در خط تسویه نشده (کیلوگرم)]]</f>
        <v>0</v>
      </c>
      <c r="AD2453" s="6">
        <f ca="1">SUBTOTAL(9,INDEX(Main[بدهی سررسید شده (کیلوگرم)],1):Main[[#This Row],[بدهی سررسید شده (کیلوگرم)]])</f>
        <v>12793</v>
      </c>
      <c r="AE2453" s="6">
        <f ca="1">IF(Main[[#This Row],[مانده در خط سررسید شده (کیلوگرم)]]&lt;&gt;0,Main[[#This Row],[تعداد کل روزهای بدهکار (روز)]],0)</f>
        <v>0</v>
      </c>
      <c r="AF2453" s="6">
        <f ca="1">Main[[#This Row],[تعداد روزهای بدهکار سررسید شده (روز)]]*Main[[#This Row],[مانده در خط سررسید شده (کیلوگرم)]]</f>
        <v>0</v>
      </c>
    </row>
    <row r="2454" spans="1:32" hidden="1" x14ac:dyDescent="0.35">
      <c r="A2454" s="5">
        <f>ROW()-ROW(INDEX(Main[ردیف],1))+1</f>
        <v>2452</v>
      </c>
      <c r="B2454" s="31">
        <f>SUBTOTAL(2,INDEX(Main[ردیف],1):Main[[#This Row],[ردیف]])</f>
        <v>220</v>
      </c>
      <c r="C2454" s="32" t="s">
        <v>806</v>
      </c>
      <c r="D2454" s="32" t="str">
        <f>_xlfn.CONCAT("14",Main[[#This Row],[تاريخ]])</f>
        <v>1400/09/17</v>
      </c>
      <c r="E2454" s="33">
        <v>44538</v>
      </c>
      <c r="F2454" s="32">
        <v>10026</v>
      </c>
      <c r="G2454" s="5" t="str">
        <f>INDEX(customer[عنوان],MATCH(Main[[#This Row],[کد ردیابی]],customer[کد],0))</f>
        <v xml:space="preserve">محسن فیاض بخش </v>
      </c>
      <c r="H2454">
        <v>-5418</v>
      </c>
      <c r="I2454" s="6">
        <f ca="1">-Main[[#This Row],[بدهی تسویه شده (کیلوگرم)]]+Main[[#This Row],[بستانکار (کیلوگرم)]]</f>
        <v>0</v>
      </c>
      <c r="J2454" s="6">
        <f>IF(Main[[#This Row],[مقدار (کیلوگرم)]]&gt;0,Main[[#This Row],[مقدار (کیلوگرم)]],0)</f>
        <v>0</v>
      </c>
      <c r="K2454" s="6">
        <f>-IF(Main[[#This Row],[مقدار (کیلوگرم)]]&lt;0,Main[[#This Row],[مقدار (کیلوگرم)]],0)</f>
        <v>5418</v>
      </c>
      <c r="L24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5418</v>
      </c>
      <c r="M2454" s="7">
        <f>-IF(AND(Main[[#This Row],[مقدار (کیلوگرم)]]&lt;0,Main[[#This Row],[تاريخ میلادی]]&gt;44276),Main[[#This Row],[مقدار (کیلوگرم)]],0)</f>
        <v>5418</v>
      </c>
      <c r="N2454" s="6">
        <f ca="1">Main[[#This Row],[بدهکار (کیلوگرم)]]-Main[[#This Row],[بدهی تسویه نشده (کیلوگرم)]]</f>
        <v>0</v>
      </c>
      <c r="O2454" s="6">
        <f ca="1">Main[[#This Row],[تفکیک]]</f>
        <v>5418</v>
      </c>
      <c r="P2454" s="6">
        <f ca="1">IF(Main[[#This Row],[تاخیر از سررسید]]&gt;0,Main[[#This Row],[بدهی تسویه نشده (کیلوگرم)]],0)</f>
        <v>5418</v>
      </c>
      <c r="Q2454" s="6">
        <f ca="1">IF(Main[[#This Row],[بدهی تسویه نشده (کیلوگرم)]]&gt;0,'گزارش فردی'!$B$7-Main[[#This Row],[تاريخ میلادی]],0)</f>
        <v>924.75374085648218</v>
      </c>
      <c r="R2454" s="6">
        <f ca="1">IF(Main[[#This Row],[بدهی تسویه نشده (کیلوگرم)]]&gt;0,'گزارش فردی'!$B$7-Main[[#This Row],[تاريخ میلادی]]-'گزارش فردی'!$B$8,0)</f>
        <v>909.75374085648218</v>
      </c>
      <c r="S2454" s="6">
        <f ca="1">Main[[#This Row],[روز از ارسال سفارش]]*Main[[#This Row],[بدهی تسویه نشده (کیلوگرم)]]</f>
        <v>5010315.7679604208</v>
      </c>
      <c r="T2454" s="6">
        <f ca="1">Main[[#This Row],[بدهی سررسید شده (کیلوگرم)]]*Main[[#This Row],[روز از ارسال سفارش]]</f>
        <v>5010315.7679604208</v>
      </c>
      <c r="U2454" s="6">
        <f>-SUBTOTAL(9,INDEX(Main[مقدار (کیلوگرم)],1):Main[[#This Row],[مقدار (کیلوگرم)]])</f>
        <v>34100</v>
      </c>
      <c r="V24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4" s="6">
        <f>Main[[#This Row],[تعداد کل روزهای بدهکار (روز)]]*Main[[#This Row],[مانده در خط کل (کیلوگرم)]]</f>
        <v>0</v>
      </c>
      <c r="X2454" s="6">
        <f ca="1">-SUBTOTAL(9,INDEX(Main[مقدار تسویه شده (کیلوگرم)],1):Main[[#This Row],[مقدار تسویه شده (کیلوگرم)]])</f>
        <v>21307</v>
      </c>
      <c r="Y2454" s="6">
        <f ca="1">IF(Main[[#This Row],[مانده در خط تسویه شده (کیلوگرم)]]&lt;&gt;0,Main[[#This Row],[تعداد کل روزهای بدهکار (روز)]],0)</f>
        <v>0</v>
      </c>
      <c r="Z2454" s="6">
        <f ca="1">Main[[#This Row],[تعداد روزهای بدهکار تسویه شده (روز)]]*Main[[#This Row],[مانده در خط تسویه شده (کیلوگرم)]]</f>
        <v>0</v>
      </c>
      <c r="AA2454" s="6">
        <f ca="1">SUBTOTAL(9,INDEX(Main[بدهی تسویه نشده (کیلوگرم)],1):Main[[#This Row],[بدهی تسویه نشده (کیلوگرم)]])</f>
        <v>12793</v>
      </c>
      <c r="AB2454" s="6">
        <f ca="1">IF(Main[[#This Row],[مانده در خط تسویه نشده (کیلوگرم)]]&lt;&gt;0,Main[[#This Row],[تعداد کل روزهای بدهکار (روز)]],0)</f>
        <v>0</v>
      </c>
      <c r="AC2454" s="6">
        <f ca="1">Main[[#This Row],[تعداد روزهای بدهکار  تسویه نشده (روز)]]*Main[[#This Row],[مانده در خط تسویه نشده (کیلوگرم)]]</f>
        <v>0</v>
      </c>
      <c r="AD2454" s="6">
        <f ca="1">SUBTOTAL(9,INDEX(Main[بدهی سررسید شده (کیلوگرم)],1):Main[[#This Row],[بدهی سررسید شده (کیلوگرم)]])</f>
        <v>12793</v>
      </c>
      <c r="AE2454" s="6">
        <f ca="1">IF(Main[[#This Row],[مانده در خط سررسید شده (کیلوگرم)]]&lt;&gt;0,Main[[#This Row],[تعداد کل روزهای بدهکار (روز)]],0)</f>
        <v>0</v>
      </c>
      <c r="AF2454" s="6">
        <f ca="1">Main[[#This Row],[تعداد روزهای بدهکار سررسید شده (روز)]]*Main[[#This Row],[مانده در خط سررسید شده (کیلوگرم)]]</f>
        <v>0</v>
      </c>
    </row>
    <row r="2455" spans="1:32" hidden="1" x14ac:dyDescent="0.35">
      <c r="A2455" s="5">
        <f>ROW()-ROW(INDEX(Main[ردیف],1))+1</f>
        <v>2453</v>
      </c>
      <c r="B2455" s="31">
        <f>SUBTOTAL(2,INDEX(Main[ردیف],1):Main[[#This Row],[ردیف]])</f>
        <v>220</v>
      </c>
      <c r="C2455" s="32" t="s">
        <v>806</v>
      </c>
      <c r="D2455" s="32" t="str">
        <f>_xlfn.CONCAT("14",Main[[#This Row],[تاريخ]])</f>
        <v>1400/09/17</v>
      </c>
      <c r="E2455" s="33">
        <v>44538</v>
      </c>
      <c r="F2455" s="32">
        <v>10127</v>
      </c>
      <c r="G2455" s="5" t="str">
        <f>INDEX(customer[عنوان],MATCH(Main[[#This Row],[کد ردیابی]],customer[کد],0))</f>
        <v xml:space="preserve">عماد هاشمی </v>
      </c>
      <c r="H2455">
        <v>404</v>
      </c>
      <c r="I2455" s="6">
        <f ca="1">-Main[[#This Row],[بدهی تسویه شده (کیلوگرم)]]+Main[[#This Row],[بستانکار (کیلوگرم)]]</f>
        <v>404</v>
      </c>
      <c r="J2455" s="6">
        <f>IF(Main[[#This Row],[مقدار (کیلوگرم)]]&gt;0,Main[[#This Row],[مقدار (کیلوگرم)]],0)</f>
        <v>404</v>
      </c>
      <c r="K2455" s="6">
        <f>-IF(Main[[#This Row],[مقدار (کیلوگرم)]]&lt;0,Main[[#This Row],[مقدار (کیلوگرم)]],0)</f>
        <v>0</v>
      </c>
      <c r="L24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5" s="7">
        <f>-IF(AND(Main[[#This Row],[مقدار (کیلوگرم)]]&lt;0,Main[[#This Row],[تاريخ میلادی]]&gt;44276),Main[[#This Row],[مقدار (کیلوگرم)]],0)</f>
        <v>0</v>
      </c>
      <c r="N2455" s="6">
        <f ca="1">Main[[#This Row],[بدهکار (کیلوگرم)]]-Main[[#This Row],[بدهی تسویه نشده (کیلوگرم)]]</f>
        <v>0</v>
      </c>
      <c r="O2455" s="6">
        <f ca="1">Main[[#This Row],[تفکیک]]</f>
        <v>0</v>
      </c>
      <c r="P2455" s="6">
        <f ca="1">IF(Main[[#This Row],[تاخیر از سررسید]]&gt;0,Main[[#This Row],[بدهی تسویه نشده (کیلوگرم)]],0)</f>
        <v>0</v>
      </c>
      <c r="Q2455" s="6">
        <f ca="1">IF(Main[[#This Row],[بدهی تسویه نشده (کیلوگرم)]]&gt;0,'گزارش فردی'!$B$7-Main[[#This Row],[تاريخ میلادی]],0)</f>
        <v>0</v>
      </c>
      <c r="R2455" s="6">
        <f ca="1">IF(Main[[#This Row],[بدهی تسویه نشده (کیلوگرم)]]&gt;0,'گزارش فردی'!$B$7-Main[[#This Row],[تاريخ میلادی]]-'گزارش فردی'!$B$8,0)</f>
        <v>0</v>
      </c>
      <c r="S2455" s="6">
        <f ca="1">Main[[#This Row],[روز از ارسال سفارش]]*Main[[#This Row],[بدهی تسویه نشده (کیلوگرم)]]</f>
        <v>0</v>
      </c>
      <c r="T2455" s="6">
        <f ca="1">Main[[#This Row],[بدهی سررسید شده (کیلوگرم)]]*Main[[#This Row],[روز از ارسال سفارش]]</f>
        <v>0</v>
      </c>
      <c r="U2455" s="6">
        <f>-SUBTOTAL(9,INDEX(Main[مقدار (کیلوگرم)],1):Main[[#This Row],[مقدار (کیلوگرم)]])</f>
        <v>34100</v>
      </c>
      <c r="V24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5" s="6">
        <f>Main[[#This Row],[تعداد کل روزهای بدهکار (روز)]]*Main[[#This Row],[مانده در خط کل (کیلوگرم)]]</f>
        <v>0</v>
      </c>
      <c r="X2455" s="6">
        <f ca="1">-SUBTOTAL(9,INDEX(Main[مقدار تسویه شده (کیلوگرم)],1):Main[[#This Row],[مقدار تسویه شده (کیلوگرم)]])</f>
        <v>21307</v>
      </c>
      <c r="Y2455" s="6">
        <f ca="1">IF(Main[[#This Row],[مانده در خط تسویه شده (کیلوگرم)]]&lt;&gt;0,Main[[#This Row],[تعداد کل روزهای بدهکار (روز)]],0)</f>
        <v>0</v>
      </c>
      <c r="Z2455" s="6">
        <f ca="1">Main[[#This Row],[تعداد روزهای بدهکار تسویه شده (روز)]]*Main[[#This Row],[مانده در خط تسویه شده (کیلوگرم)]]</f>
        <v>0</v>
      </c>
      <c r="AA2455" s="6">
        <f ca="1">SUBTOTAL(9,INDEX(Main[بدهی تسویه نشده (کیلوگرم)],1):Main[[#This Row],[بدهی تسویه نشده (کیلوگرم)]])</f>
        <v>12793</v>
      </c>
      <c r="AB2455" s="6">
        <f ca="1">IF(Main[[#This Row],[مانده در خط تسویه نشده (کیلوگرم)]]&lt;&gt;0,Main[[#This Row],[تعداد کل روزهای بدهکار (روز)]],0)</f>
        <v>0</v>
      </c>
      <c r="AC2455" s="6">
        <f ca="1">Main[[#This Row],[تعداد روزهای بدهکار  تسویه نشده (روز)]]*Main[[#This Row],[مانده در خط تسویه نشده (کیلوگرم)]]</f>
        <v>0</v>
      </c>
      <c r="AD2455" s="6">
        <f ca="1">SUBTOTAL(9,INDEX(Main[بدهی سررسید شده (کیلوگرم)],1):Main[[#This Row],[بدهی سررسید شده (کیلوگرم)]])</f>
        <v>12793</v>
      </c>
      <c r="AE2455" s="6">
        <f ca="1">IF(Main[[#This Row],[مانده در خط سررسید شده (کیلوگرم)]]&lt;&gt;0,Main[[#This Row],[تعداد کل روزهای بدهکار (روز)]],0)</f>
        <v>0</v>
      </c>
      <c r="AF2455" s="6">
        <f ca="1">Main[[#This Row],[تعداد روزهای بدهکار سررسید شده (روز)]]*Main[[#This Row],[مانده در خط سررسید شده (کیلوگرم)]]</f>
        <v>0</v>
      </c>
    </row>
    <row r="2456" spans="1:32" x14ac:dyDescent="0.35">
      <c r="A2456" s="5">
        <f>ROW()-ROW(INDEX(Main[ردیف],1))+1</f>
        <v>2454</v>
      </c>
      <c r="B2456" s="31">
        <f>SUBTOTAL(2,INDEX(Main[ردیف],1):Main[[#This Row],[ردیف]])</f>
        <v>221</v>
      </c>
      <c r="C2456" s="32" t="s">
        <v>806</v>
      </c>
      <c r="D2456" s="32" t="str">
        <f>_xlfn.CONCAT("14",Main[[#This Row],[تاريخ]])</f>
        <v>1400/09/17</v>
      </c>
      <c r="E2456" s="33">
        <v>44538</v>
      </c>
      <c r="F2456" s="32">
        <v>10003</v>
      </c>
      <c r="G2456" s="5" t="str">
        <f>INDEX(customer[عنوان],MATCH(Main[[#This Row],[کد ردیابی]],customer[کد],0))</f>
        <v>اصغر نورعلی</v>
      </c>
      <c r="H2456">
        <v>-2234</v>
      </c>
      <c r="I2456" s="6">
        <f ca="1">-Main[[#This Row],[بدهی تسویه شده (کیلوگرم)]]+Main[[#This Row],[بستانکار (کیلوگرم)]]</f>
        <v>0</v>
      </c>
      <c r="J2456" s="6">
        <f>IF(Main[[#This Row],[مقدار (کیلوگرم)]]&gt;0,Main[[#This Row],[مقدار (کیلوگرم)]],0)</f>
        <v>0</v>
      </c>
      <c r="K2456" s="6">
        <f>-IF(Main[[#This Row],[مقدار (کیلوگرم)]]&lt;0,Main[[#This Row],[مقدار (کیلوگرم)]],0)</f>
        <v>2234</v>
      </c>
      <c r="L24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2234</v>
      </c>
      <c r="M2456" s="7">
        <f>-IF(AND(Main[[#This Row],[مقدار (کیلوگرم)]]&lt;0,Main[[#This Row],[تاريخ میلادی]]&gt;44276),Main[[#This Row],[مقدار (کیلوگرم)]],0)</f>
        <v>2234</v>
      </c>
      <c r="N2456" s="6">
        <f ca="1">Main[[#This Row],[بدهکار (کیلوگرم)]]-Main[[#This Row],[بدهی تسویه نشده (کیلوگرم)]]</f>
        <v>0</v>
      </c>
      <c r="O2456" s="6">
        <f ca="1">Main[[#This Row],[تفکیک]]</f>
        <v>2234</v>
      </c>
      <c r="P2456" s="6">
        <f ca="1">IF(Main[[#This Row],[تاخیر از سررسید]]&gt;0,Main[[#This Row],[بدهی تسویه نشده (کیلوگرم)]],0)</f>
        <v>2234</v>
      </c>
      <c r="Q2456" s="6">
        <f ca="1">IF(Main[[#This Row],[بدهی تسویه نشده (کیلوگرم)]]&gt;0,'گزارش فردی'!$B$7-Main[[#This Row],[تاريخ میلادی]],0)</f>
        <v>924.75374085648218</v>
      </c>
      <c r="R2456" s="6">
        <f ca="1">IF(Main[[#This Row],[بدهی تسویه نشده (کیلوگرم)]]&gt;0,'گزارش فردی'!$B$7-Main[[#This Row],[تاريخ میلادی]]-'گزارش فردی'!$B$8,0)</f>
        <v>909.75374085648218</v>
      </c>
      <c r="S2456" s="6">
        <f ca="1">Main[[#This Row],[روز از ارسال سفارش]]*Main[[#This Row],[بدهی تسویه نشده (کیلوگرم)]]</f>
        <v>2065899.8570733811</v>
      </c>
      <c r="T2456" s="6">
        <f ca="1">Main[[#This Row],[بدهی سررسید شده (کیلوگرم)]]*Main[[#This Row],[روز از ارسال سفارش]]</f>
        <v>2065899.8570733811</v>
      </c>
      <c r="U2456" s="6">
        <f>-SUBTOTAL(9,INDEX(Main[مقدار (کیلوگرم)],1):Main[[#This Row],[مقدار (کیلوگرم)]])</f>
        <v>36334</v>
      </c>
      <c r="V245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6" s="6">
        <f>Main[[#This Row],[تعداد کل روزهای بدهکار (روز)]]*Main[[#This Row],[مانده در خط کل (کیلوگرم)]]</f>
        <v>109002</v>
      </c>
      <c r="X2456" s="6">
        <f ca="1">-SUBTOTAL(9,INDEX(Main[مقدار تسویه شده (کیلوگرم)],1):Main[[#This Row],[مقدار تسویه شده (کیلوگرم)]])</f>
        <v>21307</v>
      </c>
      <c r="Y2456" s="6">
        <f ca="1">IF(Main[[#This Row],[مانده در خط تسویه شده (کیلوگرم)]]&lt;&gt;0,Main[[#This Row],[تعداد کل روزهای بدهکار (روز)]],0)</f>
        <v>3</v>
      </c>
      <c r="Z2456" s="6">
        <f ca="1">Main[[#This Row],[تعداد روزهای بدهکار تسویه شده (روز)]]*Main[[#This Row],[مانده در خط تسویه شده (کیلوگرم)]]</f>
        <v>63921</v>
      </c>
      <c r="AA2456" s="6">
        <f ca="1">SUBTOTAL(9,INDEX(Main[بدهی تسویه نشده (کیلوگرم)],1):Main[[#This Row],[بدهی تسویه نشده (کیلوگرم)]])</f>
        <v>15027</v>
      </c>
      <c r="AB2456" s="6">
        <f ca="1">IF(Main[[#This Row],[مانده در خط تسویه نشده (کیلوگرم)]]&lt;&gt;0,Main[[#This Row],[تعداد کل روزهای بدهکار (روز)]],0)</f>
        <v>3</v>
      </c>
      <c r="AC2456" s="6">
        <f ca="1">Main[[#This Row],[تعداد روزهای بدهکار  تسویه نشده (روز)]]*Main[[#This Row],[مانده در خط تسویه نشده (کیلوگرم)]]</f>
        <v>45081</v>
      </c>
      <c r="AD2456" s="6">
        <f ca="1">SUBTOTAL(9,INDEX(Main[بدهی سررسید شده (کیلوگرم)],1):Main[[#This Row],[بدهی سررسید شده (کیلوگرم)]])</f>
        <v>15027</v>
      </c>
      <c r="AE2456" s="6">
        <f ca="1">IF(Main[[#This Row],[مانده در خط سررسید شده (کیلوگرم)]]&lt;&gt;0,Main[[#This Row],[تعداد کل روزهای بدهکار (روز)]],0)</f>
        <v>3</v>
      </c>
      <c r="AF2456" s="6">
        <f ca="1">Main[[#This Row],[تعداد روزهای بدهکار سررسید شده (روز)]]*Main[[#This Row],[مانده در خط سررسید شده (کیلوگرم)]]</f>
        <v>45081</v>
      </c>
    </row>
    <row r="2457" spans="1:32" hidden="1" x14ac:dyDescent="0.35">
      <c r="A2457" s="5">
        <f>ROW()-ROW(INDEX(Main[ردیف],1))+1</f>
        <v>2455</v>
      </c>
      <c r="B2457" s="31">
        <f>SUBTOTAL(2,INDEX(Main[ردیف],1):Main[[#This Row],[ردیف]])</f>
        <v>221</v>
      </c>
      <c r="C2457" s="32" t="s">
        <v>806</v>
      </c>
      <c r="D2457" s="32" t="str">
        <f>_xlfn.CONCAT("14",Main[[#This Row],[تاريخ]])</f>
        <v>1400/09/17</v>
      </c>
      <c r="E2457" s="33">
        <v>44538</v>
      </c>
      <c r="F2457" s="32">
        <v>10055</v>
      </c>
      <c r="G2457" s="5" t="str">
        <f>INDEX(customer[عنوان],MATCH(Main[[#This Row],[کد ردیابی]],customer[کد],0))</f>
        <v xml:space="preserve">مریم فیض آبادی  </v>
      </c>
      <c r="H2457">
        <v>7709</v>
      </c>
      <c r="I2457" s="6">
        <f ca="1">-Main[[#This Row],[بدهی تسویه شده (کیلوگرم)]]+Main[[#This Row],[بستانکار (کیلوگرم)]]</f>
        <v>7709</v>
      </c>
      <c r="J2457" s="6">
        <f>IF(Main[[#This Row],[مقدار (کیلوگرم)]]&gt;0,Main[[#This Row],[مقدار (کیلوگرم)]],0)</f>
        <v>7709</v>
      </c>
      <c r="K2457" s="6">
        <f>-IF(Main[[#This Row],[مقدار (کیلوگرم)]]&lt;0,Main[[#This Row],[مقدار (کیلوگرم)]],0)</f>
        <v>0</v>
      </c>
      <c r="L24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7" s="7">
        <f>-IF(AND(Main[[#This Row],[مقدار (کیلوگرم)]]&lt;0,Main[[#This Row],[تاريخ میلادی]]&gt;44276),Main[[#This Row],[مقدار (کیلوگرم)]],0)</f>
        <v>0</v>
      </c>
      <c r="N2457" s="6">
        <f ca="1">Main[[#This Row],[بدهکار (کیلوگرم)]]-Main[[#This Row],[بدهی تسویه نشده (کیلوگرم)]]</f>
        <v>0</v>
      </c>
      <c r="O2457" s="6">
        <f ca="1">Main[[#This Row],[تفکیک]]</f>
        <v>0</v>
      </c>
      <c r="P2457" s="6">
        <f ca="1">IF(Main[[#This Row],[تاخیر از سررسید]]&gt;0,Main[[#This Row],[بدهی تسویه نشده (کیلوگرم)]],0)</f>
        <v>0</v>
      </c>
      <c r="Q2457" s="6">
        <f ca="1">IF(Main[[#This Row],[بدهی تسویه نشده (کیلوگرم)]]&gt;0,'گزارش فردی'!$B$7-Main[[#This Row],[تاريخ میلادی]],0)</f>
        <v>0</v>
      </c>
      <c r="R2457" s="6">
        <f ca="1">IF(Main[[#This Row],[بدهی تسویه نشده (کیلوگرم)]]&gt;0,'گزارش فردی'!$B$7-Main[[#This Row],[تاريخ میلادی]]-'گزارش فردی'!$B$8,0)</f>
        <v>0</v>
      </c>
      <c r="S2457" s="6">
        <f ca="1">Main[[#This Row],[روز از ارسال سفارش]]*Main[[#This Row],[بدهی تسویه نشده (کیلوگرم)]]</f>
        <v>0</v>
      </c>
      <c r="T2457" s="6">
        <f ca="1">Main[[#This Row],[بدهی سررسید شده (کیلوگرم)]]*Main[[#This Row],[روز از ارسال سفارش]]</f>
        <v>0</v>
      </c>
      <c r="U2457" s="6">
        <f>-SUBTOTAL(9,INDEX(Main[مقدار (کیلوگرم)],1):Main[[#This Row],[مقدار (کیلوگرم)]])</f>
        <v>36334</v>
      </c>
      <c r="V245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7" s="6">
        <f>Main[[#This Row],[تعداد کل روزهای بدهکار (روز)]]*Main[[#This Row],[مانده در خط کل (کیلوگرم)]]</f>
        <v>109002</v>
      </c>
      <c r="X2457" s="6">
        <f ca="1">-SUBTOTAL(9,INDEX(Main[مقدار تسویه شده (کیلوگرم)],1):Main[[#This Row],[مقدار تسویه شده (کیلوگرم)]])</f>
        <v>21307</v>
      </c>
      <c r="Y2457" s="6">
        <f ca="1">IF(Main[[#This Row],[مانده در خط تسویه شده (کیلوگرم)]]&lt;&gt;0,Main[[#This Row],[تعداد کل روزهای بدهکار (روز)]],0)</f>
        <v>3</v>
      </c>
      <c r="Z2457" s="6">
        <f ca="1">Main[[#This Row],[تعداد روزهای بدهکار تسویه شده (روز)]]*Main[[#This Row],[مانده در خط تسویه شده (کیلوگرم)]]</f>
        <v>63921</v>
      </c>
      <c r="AA2457" s="6">
        <f ca="1">SUBTOTAL(9,INDEX(Main[بدهی تسویه نشده (کیلوگرم)],1):Main[[#This Row],[بدهی تسویه نشده (کیلوگرم)]])</f>
        <v>15027</v>
      </c>
      <c r="AB2457" s="6">
        <f ca="1">IF(Main[[#This Row],[مانده در خط تسویه نشده (کیلوگرم)]]&lt;&gt;0,Main[[#This Row],[تعداد کل روزهای بدهکار (روز)]],0)</f>
        <v>3</v>
      </c>
      <c r="AC2457" s="6">
        <f ca="1">Main[[#This Row],[تعداد روزهای بدهکار  تسویه نشده (روز)]]*Main[[#This Row],[مانده در خط تسویه نشده (کیلوگرم)]]</f>
        <v>45081</v>
      </c>
      <c r="AD2457" s="6">
        <f ca="1">SUBTOTAL(9,INDEX(Main[بدهی سررسید شده (کیلوگرم)],1):Main[[#This Row],[بدهی سررسید شده (کیلوگرم)]])</f>
        <v>15027</v>
      </c>
      <c r="AE2457" s="6">
        <f ca="1">IF(Main[[#This Row],[مانده در خط سررسید شده (کیلوگرم)]]&lt;&gt;0,Main[[#This Row],[تعداد کل روزهای بدهکار (روز)]],0)</f>
        <v>3</v>
      </c>
      <c r="AF2457" s="6">
        <f ca="1">Main[[#This Row],[تعداد روزهای بدهکار سررسید شده (روز)]]*Main[[#This Row],[مانده در خط سررسید شده (کیلوگرم)]]</f>
        <v>45081</v>
      </c>
    </row>
    <row r="2458" spans="1:32" hidden="1" x14ac:dyDescent="0.35">
      <c r="A2458" s="5">
        <f>ROW()-ROW(INDEX(Main[ردیف],1))+1</f>
        <v>2456</v>
      </c>
      <c r="B2458" s="31">
        <f>SUBTOTAL(2,INDEX(Main[ردیف],1):Main[[#This Row],[ردیف]])</f>
        <v>221</v>
      </c>
      <c r="C2458" s="32" t="s">
        <v>806</v>
      </c>
      <c r="D2458" s="32" t="str">
        <f>_xlfn.CONCAT("14",Main[[#This Row],[تاريخ]])</f>
        <v>1400/09/17</v>
      </c>
      <c r="E2458" s="33">
        <v>44538</v>
      </c>
      <c r="F2458" s="32">
        <v>10055</v>
      </c>
      <c r="G2458" s="5" t="str">
        <f>INDEX(customer[عنوان],MATCH(Main[[#This Row],[کد ردیابی]],customer[کد],0))</f>
        <v xml:space="preserve">مریم فیض آبادی  </v>
      </c>
      <c r="H2458">
        <v>-4623</v>
      </c>
      <c r="I2458" s="6">
        <f ca="1">-Main[[#This Row],[بدهی تسویه شده (کیلوگرم)]]+Main[[#This Row],[بستانکار (کیلوگرم)]]</f>
        <v>0</v>
      </c>
      <c r="J2458" s="6">
        <f>IF(Main[[#This Row],[مقدار (کیلوگرم)]]&gt;0,Main[[#This Row],[مقدار (کیلوگرم)]],0)</f>
        <v>0</v>
      </c>
      <c r="K2458" s="6">
        <f>-IF(Main[[#This Row],[مقدار (کیلوگرم)]]&lt;0,Main[[#This Row],[مقدار (کیلوگرم)]],0)</f>
        <v>4623</v>
      </c>
      <c r="L24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4623</v>
      </c>
      <c r="M2458" s="7">
        <f>-IF(AND(Main[[#This Row],[مقدار (کیلوگرم)]]&lt;0,Main[[#This Row],[تاريخ میلادی]]&gt;44276),Main[[#This Row],[مقدار (کیلوگرم)]],0)</f>
        <v>4623</v>
      </c>
      <c r="N2458" s="6">
        <f ca="1">Main[[#This Row],[بدهکار (کیلوگرم)]]-Main[[#This Row],[بدهی تسویه نشده (کیلوگرم)]]</f>
        <v>0</v>
      </c>
      <c r="O2458" s="6">
        <f ca="1">Main[[#This Row],[تفکیک]]</f>
        <v>4623</v>
      </c>
      <c r="P2458" s="6">
        <f ca="1">IF(Main[[#This Row],[تاخیر از سررسید]]&gt;0,Main[[#This Row],[بدهی تسویه نشده (کیلوگرم)]],0)</f>
        <v>4623</v>
      </c>
      <c r="Q2458" s="6">
        <f ca="1">IF(Main[[#This Row],[بدهی تسویه نشده (کیلوگرم)]]&gt;0,'گزارش فردی'!$B$7-Main[[#This Row],[تاريخ میلادی]],0)</f>
        <v>924.75374085648218</v>
      </c>
      <c r="R2458" s="6">
        <f ca="1">IF(Main[[#This Row],[بدهی تسویه نشده (کیلوگرم)]]&gt;0,'گزارش فردی'!$B$7-Main[[#This Row],[تاريخ میلادی]]-'گزارش فردی'!$B$8,0)</f>
        <v>909.75374085648218</v>
      </c>
      <c r="S2458" s="6">
        <f ca="1">Main[[#This Row],[روز از ارسال سفارش]]*Main[[#This Row],[بدهی تسویه نشده (کیلوگرم)]]</f>
        <v>4275136.5439795172</v>
      </c>
      <c r="T2458" s="6">
        <f ca="1">Main[[#This Row],[بدهی سررسید شده (کیلوگرم)]]*Main[[#This Row],[روز از ارسال سفارش]]</f>
        <v>4275136.5439795172</v>
      </c>
      <c r="U2458" s="6">
        <f>-SUBTOTAL(9,INDEX(Main[مقدار (کیلوگرم)],1):Main[[#This Row],[مقدار (کیلوگرم)]])</f>
        <v>36334</v>
      </c>
      <c r="V245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8" s="6">
        <f>Main[[#This Row],[تعداد کل روزهای بدهکار (روز)]]*Main[[#This Row],[مانده در خط کل (کیلوگرم)]]</f>
        <v>109002</v>
      </c>
      <c r="X2458" s="6">
        <f ca="1">-SUBTOTAL(9,INDEX(Main[مقدار تسویه شده (کیلوگرم)],1):Main[[#This Row],[مقدار تسویه شده (کیلوگرم)]])</f>
        <v>21307</v>
      </c>
      <c r="Y2458" s="6">
        <f ca="1">IF(Main[[#This Row],[مانده در خط تسویه شده (کیلوگرم)]]&lt;&gt;0,Main[[#This Row],[تعداد کل روزهای بدهکار (روز)]],0)</f>
        <v>3</v>
      </c>
      <c r="Z2458" s="6">
        <f ca="1">Main[[#This Row],[تعداد روزهای بدهکار تسویه شده (روز)]]*Main[[#This Row],[مانده در خط تسویه شده (کیلوگرم)]]</f>
        <v>63921</v>
      </c>
      <c r="AA2458" s="6">
        <f ca="1">SUBTOTAL(9,INDEX(Main[بدهی تسویه نشده (کیلوگرم)],1):Main[[#This Row],[بدهی تسویه نشده (کیلوگرم)]])</f>
        <v>15027</v>
      </c>
      <c r="AB2458" s="6">
        <f ca="1">IF(Main[[#This Row],[مانده در خط تسویه نشده (کیلوگرم)]]&lt;&gt;0,Main[[#This Row],[تعداد کل روزهای بدهکار (روز)]],0)</f>
        <v>3</v>
      </c>
      <c r="AC2458" s="6">
        <f ca="1">Main[[#This Row],[تعداد روزهای بدهکار  تسویه نشده (روز)]]*Main[[#This Row],[مانده در خط تسویه نشده (کیلوگرم)]]</f>
        <v>45081</v>
      </c>
      <c r="AD2458" s="6">
        <f ca="1">SUBTOTAL(9,INDEX(Main[بدهی سررسید شده (کیلوگرم)],1):Main[[#This Row],[بدهی سررسید شده (کیلوگرم)]])</f>
        <v>15027</v>
      </c>
      <c r="AE2458" s="6">
        <f ca="1">IF(Main[[#This Row],[مانده در خط سررسید شده (کیلوگرم)]]&lt;&gt;0,Main[[#This Row],[تعداد کل روزهای بدهکار (روز)]],0)</f>
        <v>3</v>
      </c>
      <c r="AF2458" s="6">
        <f ca="1">Main[[#This Row],[تعداد روزهای بدهکار سررسید شده (روز)]]*Main[[#This Row],[مانده در خط سررسید شده (کیلوگرم)]]</f>
        <v>45081</v>
      </c>
    </row>
    <row r="2459" spans="1:32" hidden="1" x14ac:dyDescent="0.35">
      <c r="A2459" s="5">
        <f>ROW()-ROW(INDEX(Main[ردیف],1))+1</f>
        <v>2457</v>
      </c>
      <c r="B2459" s="31">
        <f>SUBTOTAL(2,INDEX(Main[ردیف],1):Main[[#This Row],[ردیف]])</f>
        <v>221</v>
      </c>
      <c r="C2459" s="32" t="s">
        <v>806</v>
      </c>
      <c r="D2459" s="32" t="str">
        <f>_xlfn.CONCAT("14",Main[[#This Row],[تاريخ]])</f>
        <v>1400/09/17</v>
      </c>
      <c r="E2459" s="33">
        <v>44538</v>
      </c>
      <c r="F2459" s="32">
        <v>10127</v>
      </c>
      <c r="G2459" s="5" t="str">
        <f>INDEX(customer[عنوان],MATCH(Main[[#This Row],[کد ردیابی]],customer[کد],0))</f>
        <v xml:space="preserve">عماد هاشمی </v>
      </c>
      <c r="H2459">
        <v>161</v>
      </c>
      <c r="I2459" s="6">
        <f ca="1">-Main[[#This Row],[بدهی تسویه شده (کیلوگرم)]]+Main[[#This Row],[بستانکار (کیلوگرم)]]</f>
        <v>161</v>
      </c>
      <c r="J2459" s="6">
        <f>IF(Main[[#This Row],[مقدار (کیلوگرم)]]&gt;0,Main[[#This Row],[مقدار (کیلوگرم)]],0)</f>
        <v>161</v>
      </c>
      <c r="K2459" s="6">
        <f>-IF(Main[[#This Row],[مقدار (کیلوگرم)]]&lt;0,Main[[#This Row],[مقدار (کیلوگرم)]],0)</f>
        <v>0</v>
      </c>
      <c r="L24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9" s="7">
        <f>-IF(AND(Main[[#This Row],[مقدار (کیلوگرم)]]&lt;0,Main[[#This Row],[تاريخ میلادی]]&gt;44276),Main[[#This Row],[مقدار (کیلوگرم)]],0)</f>
        <v>0</v>
      </c>
      <c r="N2459" s="6">
        <f ca="1">Main[[#This Row],[بدهکار (کیلوگرم)]]-Main[[#This Row],[بدهی تسویه نشده (کیلوگرم)]]</f>
        <v>0</v>
      </c>
      <c r="O2459" s="6">
        <f ca="1">Main[[#This Row],[تفکیک]]</f>
        <v>0</v>
      </c>
      <c r="P2459" s="6">
        <f ca="1">IF(Main[[#This Row],[تاخیر از سررسید]]&gt;0,Main[[#This Row],[بدهی تسویه نشده (کیلوگرم)]],0)</f>
        <v>0</v>
      </c>
      <c r="Q2459" s="6">
        <f ca="1">IF(Main[[#This Row],[بدهی تسویه نشده (کیلوگرم)]]&gt;0,'گزارش فردی'!$B$7-Main[[#This Row],[تاريخ میلادی]],0)</f>
        <v>0</v>
      </c>
      <c r="R2459" s="6">
        <f ca="1">IF(Main[[#This Row],[بدهی تسویه نشده (کیلوگرم)]]&gt;0,'گزارش فردی'!$B$7-Main[[#This Row],[تاريخ میلادی]]-'گزارش فردی'!$B$8,0)</f>
        <v>0</v>
      </c>
      <c r="S2459" s="6">
        <f ca="1">Main[[#This Row],[روز از ارسال سفارش]]*Main[[#This Row],[بدهی تسویه نشده (کیلوگرم)]]</f>
        <v>0</v>
      </c>
      <c r="T2459" s="6">
        <f ca="1">Main[[#This Row],[بدهی سررسید شده (کیلوگرم)]]*Main[[#This Row],[روز از ارسال سفارش]]</f>
        <v>0</v>
      </c>
      <c r="U2459" s="6">
        <f>-SUBTOTAL(9,INDEX(Main[مقدار (کیلوگرم)],1):Main[[#This Row],[مقدار (کیلوگرم)]])</f>
        <v>36334</v>
      </c>
      <c r="V245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9" s="6">
        <f>Main[[#This Row],[تعداد کل روزهای بدهکار (روز)]]*Main[[#This Row],[مانده در خط کل (کیلوگرم)]]</f>
        <v>109002</v>
      </c>
      <c r="X2459" s="6">
        <f ca="1">-SUBTOTAL(9,INDEX(Main[مقدار تسویه شده (کیلوگرم)],1):Main[[#This Row],[مقدار تسویه شده (کیلوگرم)]])</f>
        <v>21307</v>
      </c>
      <c r="Y2459" s="6">
        <f ca="1">IF(Main[[#This Row],[مانده در خط تسویه شده (کیلوگرم)]]&lt;&gt;0,Main[[#This Row],[تعداد کل روزهای بدهکار (روز)]],0)</f>
        <v>3</v>
      </c>
      <c r="Z2459" s="6">
        <f ca="1">Main[[#This Row],[تعداد روزهای بدهکار تسویه شده (روز)]]*Main[[#This Row],[مانده در خط تسویه شده (کیلوگرم)]]</f>
        <v>63921</v>
      </c>
      <c r="AA2459" s="6">
        <f ca="1">SUBTOTAL(9,INDEX(Main[بدهی تسویه نشده (کیلوگرم)],1):Main[[#This Row],[بدهی تسویه نشده (کیلوگرم)]])</f>
        <v>15027</v>
      </c>
      <c r="AB2459" s="6">
        <f ca="1">IF(Main[[#This Row],[مانده در خط تسویه نشده (کیلوگرم)]]&lt;&gt;0,Main[[#This Row],[تعداد کل روزهای بدهکار (روز)]],0)</f>
        <v>3</v>
      </c>
      <c r="AC2459" s="6">
        <f ca="1">Main[[#This Row],[تعداد روزهای بدهکار  تسویه نشده (روز)]]*Main[[#This Row],[مانده در خط تسویه نشده (کیلوگرم)]]</f>
        <v>45081</v>
      </c>
      <c r="AD2459" s="6">
        <f ca="1">SUBTOTAL(9,INDEX(Main[بدهی سررسید شده (کیلوگرم)],1):Main[[#This Row],[بدهی سررسید شده (کیلوگرم)]])</f>
        <v>15027</v>
      </c>
      <c r="AE2459" s="6">
        <f ca="1">IF(Main[[#This Row],[مانده در خط سررسید شده (کیلوگرم)]]&lt;&gt;0,Main[[#This Row],[تعداد کل روزهای بدهکار (روز)]],0)</f>
        <v>3</v>
      </c>
      <c r="AF2459" s="6">
        <f ca="1">Main[[#This Row],[تعداد روزهای بدهکار سررسید شده (روز)]]*Main[[#This Row],[مانده در خط سررسید شده (کیلوگرم)]]</f>
        <v>45081</v>
      </c>
    </row>
    <row r="2460" spans="1:32" hidden="1" x14ac:dyDescent="0.35">
      <c r="A2460" s="5">
        <f>ROW()-ROW(INDEX(Main[ردیف],1))+1</f>
        <v>2458</v>
      </c>
      <c r="B2460" s="31">
        <f>SUBTOTAL(2,INDEX(Main[ردیف],1):Main[[#This Row],[ردیف]])</f>
        <v>221</v>
      </c>
      <c r="C2460" s="32" t="s">
        <v>806</v>
      </c>
      <c r="D2460" s="32" t="str">
        <f>_xlfn.CONCAT("14",Main[[#This Row],[تاريخ]])</f>
        <v>1400/09/17</v>
      </c>
      <c r="E2460" s="33">
        <v>44538</v>
      </c>
      <c r="F2460" s="32">
        <v>10029</v>
      </c>
      <c r="G2460" s="5" t="str">
        <f>INDEX(customer[عنوان],MATCH(Main[[#This Row],[کد ردیابی]],customer[کد],0))</f>
        <v>رضا شریعتی</v>
      </c>
      <c r="H2460">
        <v>-3481</v>
      </c>
      <c r="I2460" s="6">
        <f ca="1">-Main[[#This Row],[بدهی تسویه شده (کیلوگرم)]]+Main[[#This Row],[بستانکار (کیلوگرم)]]</f>
        <v>0</v>
      </c>
      <c r="J2460" s="6">
        <f>IF(Main[[#This Row],[مقدار (کیلوگرم)]]&gt;0,Main[[#This Row],[مقدار (کیلوگرم)]],0)</f>
        <v>0</v>
      </c>
      <c r="K2460" s="6">
        <f>-IF(Main[[#This Row],[مقدار (کیلوگرم)]]&lt;0,Main[[#This Row],[مقدار (کیلوگرم)]],0)</f>
        <v>3481</v>
      </c>
      <c r="L24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3481</v>
      </c>
      <c r="M2460" s="7">
        <f>-IF(AND(Main[[#This Row],[مقدار (کیلوگرم)]]&lt;0,Main[[#This Row],[تاريخ میلادی]]&gt;44276),Main[[#This Row],[مقدار (کیلوگرم)]],0)</f>
        <v>3481</v>
      </c>
      <c r="N2460" s="6">
        <f ca="1">Main[[#This Row],[بدهکار (کیلوگرم)]]-Main[[#This Row],[بدهی تسویه نشده (کیلوگرم)]]</f>
        <v>0</v>
      </c>
      <c r="O2460" s="6">
        <f ca="1">Main[[#This Row],[تفکیک]]</f>
        <v>3481</v>
      </c>
      <c r="P2460" s="6">
        <f ca="1">IF(Main[[#This Row],[تاخیر از سررسید]]&gt;0,Main[[#This Row],[بدهی تسویه نشده (کیلوگرم)]],0)</f>
        <v>3481</v>
      </c>
      <c r="Q2460" s="6">
        <f ca="1">IF(Main[[#This Row],[بدهی تسویه نشده (کیلوگرم)]]&gt;0,'گزارش فردی'!$B$7-Main[[#This Row],[تاريخ میلادی]],0)</f>
        <v>924.75374085648218</v>
      </c>
      <c r="R2460" s="6">
        <f ca="1">IF(Main[[#This Row],[بدهی تسویه نشده (کیلوگرم)]]&gt;0,'گزارش فردی'!$B$7-Main[[#This Row],[تاريخ میلادی]]-'گزارش فردی'!$B$8,0)</f>
        <v>909.75374085648218</v>
      </c>
      <c r="S2460" s="6">
        <f ca="1">Main[[#This Row],[روز از ارسال سفارش]]*Main[[#This Row],[بدهی تسویه نشده (کیلوگرم)]]</f>
        <v>3219067.7719214144</v>
      </c>
      <c r="T2460" s="6">
        <f ca="1">Main[[#This Row],[بدهی سررسید شده (کیلوگرم)]]*Main[[#This Row],[روز از ارسال سفارش]]</f>
        <v>3219067.7719214144</v>
      </c>
      <c r="U2460" s="6">
        <f>-SUBTOTAL(9,INDEX(Main[مقدار (کیلوگرم)],1):Main[[#This Row],[مقدار (کیلوگرم)]])</f>
        <v>36334</v>
      </c>
      <c r="V246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60" s="6">
        <f>Main[[#This Row],[تعداد کل روزهای بدهکار (روز)]]*Main[[#This Row],[مانده در خط کل (کیلوگرم)]]</f>
        <v>109002</v>
      </c>
      <c r="X2460" s="6">
        <f ca="1">-SUBTOTAL(9,INDEX(Main[مقدار تسویه شده (کیلوگرم)],1):Main[[#This Row],[مقدار تسویه شده (کیلوگرم)]])</f>
        <v>21307</v>
      </c>
      <c r="Y2460" s="6">
        <f ca="1">IF(Main[[#This Row],[مانده در خط تسویه شده (کیلوگرم)]]&lt;&gt;0,Main[[#This Row],[تعداد کل روزهای بدهکار (روز)]],0)</f>
        <v>3</v>
      </c>
      <c r="Z2460" s="6">
        <f ca="1">Main[[#This Row],[تعداد روزهای بدهکار تسویه شده (روز)]]*Main[[#This Row],[مانده در خط تسویه شده (کیلوگرم)]]</f>
        <v>63921</v>
      </c>
      <c r="AA2460" s="6">
        <f ca="1">SUBTOTAL(9,INDEX(Main[بدهی تسویه نشده (کیلوگرم)],1):Main[[#This Row],[بدهی تسویه نشده (کیلوگرم)]])</f>
        <v>15027</v>
      </c>
      <c r="AB2460" s="6">
        <f ca="1">IF(Main[[#This Row],[مانده در خط تسویه نشده (کیلوگرم)]]&lt;&gt;0,Main[[#This Row],[تعداد کل روزهای بدهکار (روز)]],0)</f>
        <v>3</v>
      </c>
      <c r="AC2460" s="6">
        <f ca="1">Main[[#This Row],[تعداد روزهای بدهکار  تسویه نشده (روز)]]*Main[[#This Row],[مانده در خط تسویه نشده (کیلوگرم)]]</f>
        <v>45081</v>
      </c>
      <c r="AD2460" s="6">
        <f ca="1">SUBTOTAL(9,INDEX(Main[بدهی سررسید شده (کیلوگرم)],1):Main[[#This Row],[بدهی سررسید شده (کیلوگرم)]])</f>
        <v>15027</v>
      </c>
      <c r="AE2460" s="6">
        <f ca="1">IF(Main[[#This Row],[مانده در خط سررسید شده (کیلوگرم)]]&lt;&gt;0,Main[[#This Row],[تعداد کل روزهای بدهکار (روز)]],0)</f>
        <v>3</v>
      </c>
      <c r="AF2460" s="6">
        <f ca="1">Main[[#This Row],[تعداد روزهای بدهکار سررسید شده (روز)]]*Main[[#This Row],[مانده در خط سررسید شده (کیلوگرم)]]</f>
        <v>45081</v>
      </c>
    </row>
    <row r="2461" spans="1:32" hidden="1" x14ac:dyDescent="0.35">
      <c r="A2461" s="5">
        <f>ROW()-ROW(INDEX(Main[ردیف],1))+1</f>
        <v>2459</v>
      </c>
      <c r="B2461" s="31">
        <f>SUBTOTAL(2,INDEX(Main[ردیف],1):Main[[#This Row],[ردیف]])</f>
        <v>221</v>
      </c>
      <c r="C2461" s="32" t="s">
        <v>806</v>
      </c>
      <c r="D2461" s="32" t="str">
        <f>_xlfn.CONCAT("14",Main[[#This Row],[تاريخ]])</f>
        <v>1400/09/17</v>
      </c>
      <c r="E2461" s="33">
        <v>44538</v>
      </c>
      <c r="F2461" s="32">
        <v>30009</v>
      </c>
      <c r="G2461" s="5" t="str">
        <f>INDEX(customer[عنوان],MATCH(Main[[#This Row],[کد ردیابی]],customer[کد],0))</f>
        <v>شرکت ایمن تک پیشرو</v>
      </c>
      <c r="H2461">
        <v>1146</v>
      </c>
      <c r="I2461" s="6">
        <f ca="1">-Main[[#This Row],[بدهی تسویه شده (کیلوگرم)]]+Main[[#This Row],[بستانکار (کیلوگرم)]]</f>
        <v>1146</v>
      </c>
      <c r="J2461" s="6">
        <f>IF(Main[[#This Row],[مقدار (کیلوگرم)]]&gt;0,Main[[#This Row],[مقدار (کیلوگرم)]],0)</f>
        <v>1146</v>
      </c>
      <c r="K2461" s="6">
        <f>-IF(Main[[#This Row],[مقدار (کیلوگرم)]]&lt;0,Main[[#This Row],[مقدار (کیلوگرم)]],0)</f>
        <v>0</v>
      </c>
      <c r="L24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1" s="7">
        <f>-IF(AND(Main[[#This Row],[مقدار (کیلوگرم)]]&lt;0,Main[[#This Row],[تاريخ میلادی]]&gt;44276),Main[[#This Row],[مقدار (کیلوگرم)]],0)</f>
        <v>0</v>
      </c>
      <c r="N2461" s="6">
        <f ca="1">Main[[#This Row],[بدهکار (کیلوگرم)]]-Main[[#This Row],[بدهی تسویه نشده (کیلوگرم)]]</f>
        <v>0</v>
      </c>
      <c r="O2461" s="6">
        <f ca="1">Main[[#This Row],[تفکیک]]</f>
        <v>0</v>
      </c>
      <c r="P2461" s="6">
        <f ca="1">IF(Main[[#This Row],[تاخیر از سررسید]]&gt;0,Main[[#This Row],[بدهی تسویه نشده (کیلوگرم)]],0)</f>
        <v>0</v>
      </c>
      <c r="Q2461" s="6">
        <f ca="1">IF(Main[[#This Row],[بدهی تسویه نشده (کیلوگرم)]]&gt;0,'گزارش فردی'!$B$7-Main[[#This Row],[تاريخ میلادی]],0)</f>
        <v>0</v>
      </c>
      <c r="R2461" s="6">
        <f ca="1">IF(Main[[#This Row],[بدهی تسویه نشده (کیلوگرم)]]&gt;0,'گزارش فردی'!$B$7-Main[[#This Row],[تاريخ میلادی]]-'گزارش فردی'!$B$8,0)</f>
        <v>0</v>
      </c>
      <c r="S2461" s="6">
        <f ca="1">Main[[#This Row],[روز از ارسال سفارش]]*Main[[#This Row],[بدهی تسویه نشده (کیلوگرم)]]</f>
        <v>0</v>
      </c>
      <c r="T2461" s="6">
        <f ca="1">Main[[#This Row],[بدهی سررسید شده (کیلوگرم)]]*Main[[#This Row],[روز از ارسال سفارش]]</f>
        <v>0</v>
      </c>
      <c r="U2461" s="6">
        <f>-SUBTOTAL(9,INDEX(Main[مقدار (کیلوگرم)],1):Main[[#This Row],[مقدار (کیلوگرم)]])</f>
        <v>36334</v>
      </c>
      <c r="V246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61" s="6">
        <f>Main[[#This Row],[تعداد کل روزهای بدهکار (روز)]]*Main[[#This Row],[مانده در خط کل (کیلوگرم)]]</f>
        <v>109002</v>
      </c>
      <c r="X2461" s="6">
        <f ca="1">-SUBTOTAL(9,INDEX(Main[مقدار تسویه شده (کیلوگرم)],1):Main[[#This Row],[مقدار تسویه شده (کیلوگرم)]])</f>
        <v>21307</v>
      </c>
      <c r="Y2461" s="6">
        <f ca="1">IF(Main[[#This Row],[مانده در خط تسویه شده (کیلوگرم)]]&lt;&gt;0,Main[[#This Row],[تعداد کل روزهای بدهکار (روز)]],0)</f>
        <v>3</v>
      </c>
      <c r="Z2461" s="6">
        <f ca="1">Main[[#This Row],[تعداد روزهای بدهکار تسویه شده (روز)]]*Main[[#This Row],[مانده در خط تسویه شده (کیلوگرم)]]</f>
        <v>63921</v>
      </c>
      <c r="AA2461" s="6">
        <f ca="1">SUBTOTAL(9,INDEX(Main[بدهی تسویه نشده (کیلوگرم)],1):Main[[#This Row],[بدهی تسویه نشده (کیلوگرم)]])</f>
        <v>15027</v>
      </c>
      <c r="AB2461" s="6">
        <f ca="1">IF(Main[[#This Row],[مانده در خط تسویه نشده (کیلوگرم)]]&lt;&gt;0,Main[[#This Row],[تعداد کل روزهای بدهکار (روز)]],0)</f>
        <v>3</v>
      </c>
      <c r="AC2461" s="6">
        <f ca="1">Main[[#This Row],[تعداد روزهای بدهکار  تسویه نشده (روز)]]*Main[[#This Row],[مانده در خط تسویه نشده (کیلوگرم)]]</f>
        <v>45081</v>
      </c>
      <c r="AD2461" s="6">
        <f ca="1">SUBTOTAL(9,INDEX(Main[بدهی سررسید شده (کیلوگرم)],1):Main[[#This Row],[بدهی سررسید شده (کیلوگرم)]])</f>
        <v>15027</v>
      </c>
      <c r="AE2461" s="6">
        <f ca="1">IF(Main[[#This Row],[مانده در خط سررسید شده (کیلوگرم)]]&lt;&gt;0,Main[[#This Row],[تعداد کل روزهای بدهکار (روز)]],0)</f>
        <v>3</v>
      </c>
      <c r="AF2461" s="6">
        <f ca="1">Main[[#This Row],[تعداد روزهای بدهکار سررسید شده (روز)]]*Main[[#This Row],[مانده در خط سررسید شده (کیلوگرم)]]</f>
        <v>45081</v>
      </c>
    </row>
    <row r="2462" spans="1:32" hidden="1" x14ac:dyDescent="0.35">
      <c r="A2462" s="5">
        <f>ROW()-ROW(INDEX(Main[ردیف],1))+1</f>
        <v>2460</v>
      </c>
      <c r="B2462" s="31">
        <f>SUBTOTAL(2,INDEX(Main[ردیف],1):Main[[#This Row],[ردیف]])</f>
        <v>221</v>
      </c>
      <c r="C2462" s="32" t="s">
        <v>806</v>
      </c>
      <c r="D2462" s="32" t="str">
        <f>_xlfn.CONCAT("14",Main[[#This Row],[تاريخ]])</f>
        <v>1400/09/17</v>
      </c>
      <c r="E2462" s="33">
        <v>44538</v>
      </c>
      <c r="F2462" s="32">
        <v>10127</v>
      </c>
      <c r="G2462" s="5" t="str">
        <f>INDEX(customer[عنوان],MATCH(Main[[#This Row],[کد ردیابی]],customer[کد],0))</f>
        <v xml:space="preserve">عماد هاشمی </v>
      </c>
      <c r="H2462">
        <v>457</v>
      </c>
      <c r="I2462" s="6">
        <f ca="1">-Main[[#This Row],[بدهی تسویه شده (کیلوگرم)]]+Main[[#This Row],[بستانکار (کیلوگرم)]]</f>
        <v>457</v>
      </c>
      <c r="J2462" s="6">
        <f>IF(Main[[#This Row],[مقدار (کیلوگرم)]]&gt;0,Main[[#This Row],[مقدار (کیلوگرم)]],0)</f>
        <v>457</v>
      </c>
      <c r="K2462" s="6">
        <f>-IF(Main[[#This Row],[مقدار (کیلوگرم)]]&lt;0,Main[[#This Row],[مقدار (کیلوگرم)]],0)</f>
        <v>0</v>
      </c>
      <c r="L24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2" s="7">
        <f>-IF(AND(Main[[#This Row],[مقدار (کیلوگرم)]]&lt;0,Main[[#This Row],[تاريخ میلادی]]&gt;44276),Main[[#This Row],[مقدار (کیلوگرم)]],0)</f>
        <v>0</v>
      </c>
      <c r="N2462" s="6">
        <f ca="1">Main[[#This Row],[بدهکار (کیلوگرم)]]-Main[[#This Row],[بدهی تسویه نشده (کیلوگرم)]]</f>
        <v>0</v>
      </c>
      <c r="O2462" s="6">
        <f ca="1">Main[[#This Row],[تفکیک]]</f>
        <v>0</v>
      </c>
      <c r="P2462" s="6">
        <f ca="1">IF(Main[[#This Row],[تاخیر از سررسید]]&gt;0,Main[[#This Row],[بدهی تسویه نشده (کیلوگرم)]],0)</f>
        <v>0</v>
      </c>
      <c r="Q2462" s="6">
        <f ca="1">IF(Main[[#This Row],[بدهی تسویه نشده (کیلوگرم)]]&gt;0,'گزارش فردی'!$B$7-Main[[#This Row],[تاريخ میلادی]],0)</f>
        <v>0</v>
      </c>
      <c r="R2462" s="6">
        <f ca="1">IF(Main[[#This Row],[بدهی تسویه نشده (کیلوگرم)]]&gt;0,'گزارش فردی'!$B$7-Main[[#This Row],[تاريخ میلادی]]-'گزارش فردی'!$B$8,0)</f>
        <v>0</v>
      </c>
      <c r="S2462" s="6">
        <f ca="1">Main[[#This Row],[روز از ارسال سفارش]]*Main[[#This Row],[بدهی تسویه نشده (کیلوگرم)]]</f>
        <v>0</v>
      </c>
      <c r="T2462" s="6">
        <f ca="1">Main[[#This Row],[بدهی سررسید شده (کیلوگرم)]]*Main[[#This Row],[روز از ارسال سفارش]]</f>
        <v>0</v>
      </c>
      <c r="U2462" s="6">
        <f>-SUBTOTAL(9,INDEX(Main[مقدار (کیلوگرم)],1):Main[[#This Row],[مقدار (کیلوگرم)]])</f>
        <v>36334</v>
      </c>
      <c r="V246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62" s="6">
        <f>Main[[#This Row],[تعداد کل روزهای بدهکار (روز)]]*Main[[#This Row],[مانده در خط کل (کیلوگرم)]]</f>
        <v>109002</v>
      </c>
      <c r="X2462" s="6">
        <f ca="1">-SUBTOTAL(9,INDEX(Main[مقدار تسویه شده (کیلوگرم)],1):Main[[#This Row],[مقدار تسویه شده (کیلوگرم)]])</f>
        <v>21307</v>
      </c>
      <c r="Y2462" s="6">
        <f ca="1">IF(Main[[#This Row],[مانده در خط تسویه شده (کیلوگرم)]]&lt;&gt;0,Main[[#This Row],[تعداد کل روزهای بدهکار (روز)]],0)</f>
        <v>3</v>
      </c>
      <c r="Z2462" s="6">
        <f ca="1">Main[[#This Row],[تعداد روزهای بدهکار تسویه شده (روز)]]*Main[[#This Row],[مانده در خط تسویه شده (کیلوگرم)]]</f>
        <v>63921</v>
      </c>
      <c r="AA2462" s="6">
        <f ca="1">SUBTOTAL(9,INDEX(Main[بدهی تسویه نشده (کیلوگرم)],1):Main[[#This Row],[بدهی تسویه نشده (کیلوگرم)]])</f>
        <v>15027</v>
      </c>
      <c r="AB2462" s="6">
        <f ca="1">IF(Main[[#This Row],[مانده در خط تسویه نشده (کیلوگرم)]]&lt;&gt;0,Main[[#This Row],[تعداد کل روزهای بدهکار (روز)]],0)</f>
        <v>3</v>
      </c>
      <c r="AC2462" s="6">
        <f ca="1">Main[[#This Row],[تعداد روزهای بدهکار  تسویه نشده (روز)]]*Main[[#This Row],[مانده در خط تسویه نشده (کیلوگرم)]]</f>
        <v>45081</v>
      </c>
      <c r="AD2462" s="6">
        <f ca="1">SUBTOTAL(9,INDEX(Main[بدهی سررسید شده (کیلوگرم)],1):Main[[#This Row],[بدهی سررسید شده (کیلوگرم)]])</f>
        <v>15027</v>
      </c>
      <c r="AE2462" s="6">
        <f ca="1">IF(Main[[#This Row],[مانده در خط سررسید شده (کیلوگرم)]]&lt;&gt;0,Main[[#This Row],[تعداد کل روزهای بدهکار (روز)]],0)</f>
        <v>3</v>
      </c>
      <c r="AF2462" s="6">
        <f ca="1">Main[[#This Row],[تعداد روزهای بدهکار سررسید شده (روز)]]*Main[[#This Row],[مانده در خط سررسید شده (کیلوگرم)]]</f>
        <v>45081</v>
      </c>
    </row>
    <row r="2463" spans="1:32" hidden="1" x14ac:dyDescent="0.35">
      <c r="A2463" s="5">
        <f>ROW()-ROW(INDEX(Main[ردیف],1))+1</f>
        <v>2461</v>
      </c>
      <c r="B2463" s="31">
        <f>SUBTOTAL(2,INDEX(Main[ردیف],1):Main[[#This Row],[ردیف]])</f>
        <v>221</v>
      </c>
      <c r="C2463" s="32" t="s">
        <v>807</v>
      </c>
      <c r="D2463" s="32" t="str">
        <f>_xlfn.CONCAT("14",Main[[#This Row],[تاريخ]])</f>
        <v>1400/09/18</v>
      </c>
      <c r="E2463" s="33">
        <v>44539</v>
      </c>
      <c r="F2463" s="32">
        <v>30099</v>
      </c>
      <c r="G2463" s="5" t="str">
        <f>INDEX(customer[عنوان],MATCH(Main[[#This Row],[کد ردیابی]],customer[کد],0))</f>
        <v>ایران شرق نیشابور</v>
      </c>
      <c r="H2463">
        <v>-4996</v>
      </c>
      <c r="I2463" s="6">
        <f ca="1">-Main[[#This Row],[بدهی تسویه شده (کیلوگرم)]]+Main[[#This Row],[بستانکار (کیلوگرم)]]</f>
        <v>0</v>
      </c>
      <c r="J2463" s="6">
        <f>IF(Main[[#This Row],[مقدار (کیلوگرم)]]&gt;0,Main[[#This Row],[مقدار (کیلوگرم)]],0)</f>
        <v>0</v>
      </c>
      <c r="K2463" s="6">
        <f>-IF(Main[[#This Row],[مقدار (کیلوگرم)]]&lt;0,Main[[#This Row],[مقدار (کیلوگرم)]],0)</f>
        <v>4996</v>
      </c>
      <c r="L24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4996</v>
      </c>
      <c r="M2463" s="7">
        <f>-IF(AND(Main[[#This Row],[مقدار (کیلوگرم)]]&lt;0,Main[[#This Row],[تاريخ میلادی]]&gt;44276),Main[[#This Row],[مقدار (کیلوگرم)]],0)</f>
        <v>4996</v>
      </c>
      <c r="N2463" s="6">
        <f ca="1">Main[[#This Row],[بدهکار (کیلوگرم)]]-Main[[#This Row],[بدهی تسویه نشده (کیلوگرم)]]</f>
        <v>0</v>
      </c>
      <c r="O2463" s="6">
        <f ca="1">Main[[#This Row],[تفکیک]]</f>
        <v>4996</v>
      </c>
      <c r="P2463" s="6">
        <f ca="1">IF(Main[[#This Row],[تاخیر از سررسید]]&gt;0,Main[[#This Row],[بدهی تسویه نشده (کیلوگرم)]],0)</f>
        <v>4996</v>
      </c>
      <c r="Q2463" s="6">
        <f ca="1">IF(Main[[#This Row],[بدهی تسویه نشده (کیلوگرم)]]&gt;0,'گزارش فردی'!$B$7-Main[[#This Row],[تاريخ میلادی]],0)</f>
        <v>923.75374085648218</v>
      </c>
      <c r="R2463" s="6">
        <f ca="1">IF(Main[[#This Row],[بدهی تسویه نشده (کیلوگرم)]]&gt;0,'گزارش فردی'!$B$7-Main[[#This Row],[تاريخ میلادی]]-'گزارش فردی'!$B$8,0)</f>
        <v>908.75374085648218</v>
      </c>
      <c r="S2463" s="6">
        <f ca="1">Main[[#This Row],[روز از ارسال سفارش]]*Main[[#This Row],[بدهی تسویه نشده (کیلوگرم)]]</f>
        <v>4615073.6893189847</v>
      </c>
      <c r="T2463" s="6">
        <f ca="1">Main[[#This Row],[بدهی سررسید شده (کیلوگرم)]]*Main[[#This Row],[روز از ارسال سفارش]]</f>
        <v>4615073.6893189847</v>
      </c>
      <c r="U2463" s="6">
        <f>-SUBTOTAL(9,INDEX(Main[مقدار (کیلوگرم)],1):Main[[#This Row],[مقدار (کیلوگرم)]])</f>
        <v>36334</v>
      </c>
      <c r="V24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3" s="6">
        <f>Main[[#This Row],[تعداد کل روزهای بدهکار (روز)]]*Main[[#This Row],[مانده در خط کل (کیلوگرم)]]</f>
        <v>72668</v>
      </c>
      <c r="X2463" s="6">
        <f ca="1">-SUBTOTAL(9,INDEX(Main[مقدار تسویه شده (کیلوگرم)],1):Main[[#This Row],[مقدار تسویه شده (کیلوگرم)]])</f>
        <v>21307</v>
      </c>
      <c r="Y2463" s="6">
        <f ca="1">IF(Main[[#This Row],[مانده در خط تسویه شده (کیلوگرم)]]&lt;&gt;0,Main[[#This Row],[تعداد کل روزهای بدهکار (روز)]],0)</f>
        <v>2</v>
      </c>
      <c r="Z2463" s="6">
        <f ca="1">Main[[#This Row],[تعداد روزهای بدهکار تسویه شده (روز)]]*Main[[#This Row],[مانده در خط تسویه شده (کیلوگرم)]]</f>
        <v>42614</v>
      </c>
      <c r="AA2463" s="6">
        <f ca="1">SUBTOTAL(9,INDEX(Main[بدهی تسویه نشده (کیلوگرم)],1):Main[[#This Row],[بدهی تسویه نشده (کیلوگرم)]])</f>
        <v>15027</v>
      </c>
      <c r="AB2463" s="6">
        <f ca="1">IF(Main[[#This Row],[مانده در خط تسویه نشده (کیلوگرم)]]&lt;&gt;0,Main[[#This Row],[تعداد کل روزهای بدهکار (روز)]],0)</f>
        <v>2</v>
      </c>
      <c r="AC2463" s="6">
        <f ca="1">Main[[#This Row],[تعداد روزهای بدهکار  تسویه نشده (روز)]]*Main[[#This Row],[مانده در خط تسویه نشده (کیلوگرم)]]</f>
        <v>30054</v>
      </c>
      <c r="AD2463" s="6">
        <f ca="1">SUBTOTAL(9,INDEX(Main[بدهی سررسید شده (کیلوگرم)],1):Main[[#This Row],[بدهی سررسید شده (کیلوگرم)]])</f>
        <v>15027</v>
      </c>
      <c r="AE2463" s="6">
        <f ca="1">IF(Main[[#This Row],[مانده در خط سررسید شده (کیلوگرم)]]&lt;&gt;0,Main[[#This Row],[تعداد کل روزهای بدهکار (روز)]],0)</f>
        <v>2</v>
      </c>
      <c r="AF2463" s="6">
        <f ca="1">Main[[#This Row],[تعداد روزهای بدهکار سررسید شده (روز)]]*Main[[#This Row],[مانده در خط سررسید شده (کیلوگرم)]]</f>
        <v>30054</v>
      </c>
    </row>
    <row r="2464" spans="1:32" hidden="1" x14ac:dyDescent="0.35">
      <c r="A2464" s="5">
        <f>ROW()-ROW(INDEX(Main[ردیف],1))+1</f>
        <v>2462</v>
      </c>
      <c r="B2464" s="31">
        <f>SUBTOTAL(2,INDEX(Main[ردیف],1):Main[[#This Row],[ردیف]])</f>
        <v>221</v>
      </c>
      <c r="C2464" s="32" t="s">
        <v>807</v>
      </c>
      <c r="D2464" s="32" t="str">
        <f>_xlfn.CONCAT("14",Main[[#This Row],[تاريخ]])</f>
        <v>1400/09/18</v>
      </c>
      <c r="E2464" s="33">
        <v>44539</v>
      </c>
      <c r="F2464" s="32">
        <v>30186</v>
      </c>
      <c r="G2464" s="5" t="str">
        <f>INDEX(customer[عنوان],MATCH(Main[[#This Row],[کد ردیابی]],customer[کد],0))</f>
        <v>سارا گاز</v>
      </c>
      <c r="H2464">
        <v>1052</v>
      </c>
      <c r="I2464" s="6">
        <f ca="1">-Main[[#This Row],[بدهی تسویه شده (کیلوگرم)]]+Main[[#This Row],[بستانکار (کیلوگرم)]]</f>
        <v>1052</v>
      </c>
      <c r="J2464" s="6">
        <f>IF(Main[[#This Row],[مقدار (کیلوگرم)]]&gt;0,Main[[#This Row],[مقدار (کیلوگرم)]],0)</f>
        <v>1052</v>
      </c>
      <c r="K2464" s="6">
        <f>-IF(Main[[#This Row],[مقدار (کیلوگرم)]]&lt;0,Main[[#This Row],[مقدار (کیلوگرم)]],0)</f>
        <v>0</v>
      </c>
      <c r="L24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4" s="7">
        <f>-IF(AND(Main[[#This Row],[مقدار (کیلوگرم)]]&lt;0,Main[[#This Row],[تاريخ میلادی]]&gt;44276),Main[[#This Row],[مقدار (کیلوگرم)]],0)</f>
        <v>0</v>
      </c>
      <c r="N2464" s="6">
        <f ca="1">Main[[#This Row],[بدهکار (کیلوگرم)]]-Main[[#This Row],[بدهی تسویه نشده (کیلوگرم)]]</f>
        <v>0</v>
      </c>
      <c r="O2464" s="6">
        <f ca="1">Main[[#This Row],[تفکیک]]</f>
        <v>0</v>
      </c>
      <c r="P2464" s="6">
        <f ca="1">IF(Main[[#This Row],[تاخیر از سررسید]]&gt;0,Main[[#This Row],[بدهی تسویه نشده (کیلوگرم)]],0)</f>
        <v>0</v>
      </c>
      <c r="Q2464" s="6">
        <f ca="1">IF(Main[[#This Row],[بدهی تسویه نشده (کیلوگرم)]]&gt;0,'گزارش فردی'!$B$7-Main[[#This Row],[تاريخ میلادی]],0)</f>
        <v>0</v>
      </c>
      <c r="R2464" s="6">
        <f ca="1">IF(Main[[#This Row],[بدهی تسویه نشده (کیلوگرم)]]&gt;0,'گزارش فردی'!$B$7-Main[[#This Row],[تاريخ میلادی]]-'گزارش فردی'!$B$8,0)</f>
        <v>0</v>
      </c>
      <c r="S2464" s="6">
        <f ca="1">Main[[#This Row],[روز از ارسال سفارش]]*Main[[#This Row],[بدهی تسویه نشده (کیلوگرم)]]</f>
        <v>0</v>
      </c>
      <c r="T2464" s="6">
        <f ca="1">Main[[#This Row],[بدهی سررسید شده (کیلوگرم)]]*Main[[#This Row],[روز از ارسال سفارش]]</f>
        <v>0</v>
      </c>
      <c r="U2464" s="6">
        <f>-SUBTOTAL(9,INDEX(Main[مقدار (کیلوگرم)],1):Main[[#This Row],[مقدار (کیلوگرم)]])</f>
        <v>36334</v>
      </c>
      <c r="V24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4" s="6">
        <f>Main[[#This Row],[تعداد کل روزهای بدهکار (روز)]]*Main[[#This Row],[مانده در خط کل (کیلوگرم)]]</f>
        <v>72668</v>
      </c>
      <c r="X2464" s="6">
        <f ca="1">-SUBTOTAL(9,INDEX(Main[مقدار تسویه شده (کیلوگرم)],1):Main[[#This Row],[مقدار تسویه شده (کیلوگرم)]])</f>
        <v>21307</v>
      </c>
      <c r="Y2464" s="6">
        <f ca="1">IF(Main[[#This Row],[مانده در خط تسویه شده (کیلوگرم)]]&lt;&gt;0,Main[[#This Row],[تعداد کل روزهای بدهکار (روز)]],0)</f>
        <v>2</v>
      </c>
      <c r="Z2464" s="6">
        <f ca="1">Main[[#This Row],[تعداد روزهای بدهکار تسویه شده (روز)]]*Main[[#This Row],[مانده در خط تسویه شده (کیلوگرم)]]</f>
        <v>42614</v>
      </c>
      <c r="AA2464" s="6">
        <f ca="1">SUBTOTAL(9,INDEX(Main[بدهی تسویه نشده (کیلوگرم)],1):Main[[#This Row],[بدهی تسویه نشده (کیلوگرم)]])</f>
        <v>15027</v>
      </c>
      <c r="AB2464" s="6">
        <f ca="1">IF(Main[[#This Row],[مانده در خط تسویه نشده (کیلوگرم)]]&lt;&gt;0,Main[[#This Row],[تعداد کل روزهای بدهکار (روز)]],0)</f>
        <v>2</v>
      </c>
      <c r="AC2464" s="6">
        <f ca="1">Main[[#This Row],[تعداد روزهای بدهکار  تسویه نشده (روز)]]*Main[[#This Row],[مانده در خط تسویه نشده (کیلوگرم)]]</f>
        <v>30054</v>
      </c>
      <c r="AD2464" s="6">
        <f ca="1">SUBTOTAL(9,INDEX(Main[بدهی سررسید شده (کیلوگرم)],1):Main[[#This Row],[بدهی سررسید شده (کیلوگرم)]])</f>
        <v>15027</v>
      </c>
      <c r="AE2464" s="6">
        <f ca="1">IF(Main[[#This Row],[مانده در خط سررسید شده (کیلوگرم)]]&lt;&gt;0,Main[[#This Row],[تعداد کل روزهای بدهکار (روز)]],0)</f>
        <v>2</v>
      </c>
      <c r="AF2464" s="6">
        <f ca="1">Main[[#This Row],[تعداد روزهای بدهکار سررسید شده (روز)]]*Main[[#This Row],[مانده در خط سررسید شده (کیلوگرم)]]</f>
        <v>30054</v>
      </c>
    </row>
    <row r="2465" spans="1:32" hidden="1" x14ac:dyDescent="0.35">
      <c r="A2465" s="5">
        <f>ROW()-ROW(INDEX(Main[ردیف],1))+1</f>
        <v>2463</v>
      </c>
      <c r="B2465" s="31">
        <f>SUBTOTAL(2,INDEX(Main[ردیف],1):Main[[#This Row],[ردیف]])</f>
        <v>221</v>
      </c>
      <c r="C2465" s="32" t="s">
        <v>807</v>
      </c>
      <c r="D2465" s="32" t="str">
        <f>_xlfn.CONCAT("14",Main[[#This Row],[تاريخ]])</f>
        <v>1400/09/18</v>
      </c>
      <c r="E2465" s="33">
        <v>44539</v>
      </c>
      <c r="F2465" s="32">
        <v>30186</v>
      </c>
      <c r="G2465" s="5" t="str">
        <f>INDEX(customer[عنوان],MATCH(Main[[#This Row],[کد ردیابی]],customer[کد],0))</f>
        <v>سارا گاز</v>
      </c>
      <c r="H2465">
        <v>-1948</v>
      </c>
      <c r="I2465" s="6">
        <f ca="1">-Main[[#This Row],[بدهی تسویه شده (کیلوگرم)]]+Main[[#This Row],[بستانکار (کیلوگرم)]]</f>
        <v>0</v>
      </c>
      <c r="J2465" s="6">
        <f>IF(Main[[#This Row],[مقدار (کیلوگرم)]]&gt;0,Main[[#This Row],[مقدار (کیلوگرم)]],0)</f>
        <v>0</v>
      </c>
      <c r="K2465" s="6">
        <f>-IF(Main[[#This Row],[مقدار (کیلوگرم)]]&lt;0,Main[[#This Row],[مقدار (کیلوگرم)]],0)</f>
        <v>1948</v>
      </c>
      <c r="L24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1948</v>
      </c>
      <c r="M2465" s="7">
        <f>-IF(AND(Main[[#This Row],[مقدار (کیلوگرم)]]&lt;0,Main[[#This Row],[تاريخ میلادی]]&gt;44276),Main[[#This Row],[مقدار (کیلوگرم)]],0)</f>
        <v>1948</v>
      </c>
      <c r="N2465" s="6">
        <f ca="1">Main[[#This Row],[بدهکار (کیلوگرم)]]-Main[[#This Row],[بدهی تسویه نشده (کیلوگرم)]]</f>
        <v>0</v>
      </c>
      <c r="O2465" s="6">
        <f ca="1">Main[[#This Row],[تفکیک]]</f>
        <v>1948</v>
      </c>
      <c r="P2465" s="6">
        <f ca="1">IF(Main[[#This Row],[تاخیر از سررسید]]&gt;0,Main[[#This Row],[بدهی تسویه نشده (کیلوگرم)]],0)</f>
        <v>1948</v>
      </c>
      <c r="Q2465" s="6">
        <f ca="1">IF(Main[[#This Row],[بدهی تسویه نشده (کیلوگرم)]]&gt;0,'گزارش فردی'!$B$7-Main[[#This Row],[تاريخ میلادی]],0)</f>
        <v>923.75374085648218</v>
      </c>
      <c r="R2465" s="6">
        <f ca="1">IF(Main[[#This Row],[بدهی تسویه نشده (کیلوگرم)]]&gt;0,'گزارش فردی'!$B$7-Main[[#This Row],[تاريخ میلادی]]-'گزارش فردی'!$B$8,0)</f>
        <v>908.75374085648218</v>
      </c>
      <c r="S2465" s="6">
        <f ca="1">Main[[#This Row],[روز از ارسال سفارش]]*Main[[#This Row],[بدهی تسویه نشده (کیلوگرم)]]</f>
        <v>1799472.2871884273</v>
      </c>
      <c r="T2465" s="6">
        <f ca="1">Main[[#This Row],[بدهی سررسید شده (کیلوگرم)]]*Main[[#This Row],[روز از ارسال سفارش]]</f>
        <v>1799472.2871884273</v>
      </c>
      <c r="U2465" s="6">
        <f>-SUBTOTAL(9,INDEX(Main[مقدار (کیلوگرم)],1):Main[[#This Row],[مقدار (کیلوگرم)]])</f>
        <v>36334</v>
      </c>
      <c r="V24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5" s="6">
        <f>Main[[#This Row],[تعداد کل روزهای بدهکار (روز)]]*Main[[#This Row],[مانده در خط کل (کیلوگرم)]]</f>
        <v>72668</v>
      </c>
      <c r="X2465" s="6">
        <f ca="1">-SUBTOTAL(9,INDEX(Main[مقدار تسویه شده (کیلوگرم)],1):Main[[#This Row],[مقدار تسویه شده (کیلوگرم)]])</f>
        <v>21307</v>
      </c>
      <c r="Y2465" s="6">
        <f ca="1">IF(Main[[#This Row],[مانده در خط تسویه شده (کیلوگرم)]]&lt;&gt;0,Main[[#This Row],[تعداد کل روزهای بدهکار (روز)]],0)</f>
        <v>2</v>
      </c>
      <c r="Z2465" s="6">
        <f ca="1">Main[[#This Row],[تعداد روزهای بدهکار تسویه شده (روز)]]*Main[[#This Row],[مانده در خط تسویه شده (کیلوگرم)]]</f>
        <v>42614</v>
      </c>
      <c r="AA2465" s="6">
        <f ca="1">SUBTOTAL(9,INDEX(Main[بدهی تسویه نشده (کیلوگرم)],1):Main[[#This Row],[بدهی تسویه نشده (کیلوگرم)]])</f>
        <v>15027</v>
      </c>
      <c r="AB2465" s="6">
        <f ca="1">IF(Main[[#This Row],[مانده در خط تسویه نشده (کیلوگرم)]]&lt;&gt;0,Main[[#This Row],[تعداد کل روزهای بدهکار (روز)]],0)</f>
        <v>2</v>
      </c>
      <c r="AC2465" s="6">
        <f ca="1">Main[[#This Row],[تعداد روزهای بدهکار  تسویه نشده (روز)]]*Main[[#This Row],[مانده در خط تسویه نشده (کیلوگرم)]]</f>
        <v>30054</v>
      </c>
      <c r="AD2465" s="6">
        <f ca="1">SUBTOTAL(9,INDEX(Main[بدهی سررسید شده (کیلوگرم)],1):Main[[#This Row],[بدهی سررسید شده (کیلوگرم)]])</f>
        <v>15027</v>
      </c>
      <c r="AE2465" s="6">
        <f ca="1">IF(Main[[#This Row],[مانده در خط سررسید شده (کیلوگرم)]]&lt;&gt;0,Main[[#This Row],[تعداد کل روزهای بدهکار (روز)]],0)</f>
        <v>2</v>
      </c>
      <c r="AF2465" s="6">
        <f ca="1">Main[[#This Row],[تعداد روزهای بدهکار سررسید شده (روز)]]*Main[[#This Row],[مانده در خط سررسید شده (کیلوگرم)]]</f>
        <v>30054</v>
      </c>
    </row>
    <row r="2466" spans="1:32" hidden="1" x14ac:dyDescent="0.35">
      <c r="A2466" s="5">
        <f>ROW()-ROW(INDEX(Main[ردیف],1))+1</f>
        <v>2464</v>
      </c>
      <c r="B2466" s="31">
        <f>SUBTOTAL(2,INDEX(Main[ردیف],1):Main[[#This Row],[ردیف]])</f>
        <v>221</v>
      </c>
      <c r="C2466" s="32" t="s">
        <v>807</v>
      </c>
      <c r="D2466" s="32" t="str">
        <f>_xlfn.CONCAT("14",Main[[#This Row],[تاريخ]])</f>
        <v>1400/09/18</v>
      </c>
      <c r="E2466" s="33">
        <v>44539</v>
      </c>
      <c r="F2466" s="32">
        <v>10018</v>
      </c>
      <c r="G2466" s="5" t="str">
        <f>INDEX(customer[عنوان],MATCH(Main[[#This Row],[کد ردیابی]],customer[کد],0))</f>
        <v xml:space="preserve">کوهی </v>
      </c>
      <c r="H2466">
        <v>134</v>
      </c>
      <c r="I2466" s="6">
        <f ca="1">-Main[[#This Row],[بدهی تسویه شده (کیلوگرم)]]+Main[[#This Row],[بستانکار (کیلوگرم)]]</f>
        <v>134</v>
      </c>
      <c r="J2466" s="6">
        <f>IF(Main[[#This Row],[مقدار (کیلوگرم)]]&gt;0,Main[[#This Row],[مقدار (کیلوگرم)]],0)</f>
        <v>134</v>
      </c>
      <c r="K2466" s="6">
        <f>-IF(Main[[#This Row],[مقدار (کیلوگرم)]]&lt;0,Main[[#This Row],[مقدار (کیلوگرم)]],0)</f>
        <v>0</v>
      </c>
      <c r="L24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6" s="7">
        <f>-IF(AND(Main[[#This Row],[مقدار (کیلوگرم)]]&lt;0,Main[[#This Row],[تاريخ میلادی]]&gt;44276),Main[[#This Row],[مقدار (کیلوگرم)]],0)</f>
        <v>0</v>
      </c>
      <c r="N2466" s="6">
        <f ca="1">Main[[#This Row],[بدهکار (کیلوگرم)]]-Main[[#This Row],[بدهی تسویه نشده (کیلوگرم)]]</f>
        <v>0</v>
      </c>
      <c r="O2466" s="6">
        <f ca="1">Main[[#This Row],[تفکیک]]</f>
        <v>0</v>
      </c>
      <c r="P2466" s="6">
        <f ca="1">IF(Main[[#This Row],[تاخیر از سررسید]]&gt;0,Main[[#This Row],[بدهی تسویه نشده (کیلوگرم)]],0)</f>
        <v>0</v>
      </c>
      <c r="Q2466" s="6">
        <f ca="1">IF(Main[[#This Row],[بدهی تسویه نشده (کیلوگرم)]]&gt;0,'گزارش فردی'!$B$7-Main[[#This Row],[تاريخ میلادی]],0)</f>
        <v>0</v>
      </c>
      <c r="R2466" s="6">
        <f ca="1">IF(Main[[#This Row],[بدهی تسویه نشده (کیلوگرم)]]&gt;0,'گزارش فردی'!$B$7-Main[[#This Row],[تاريخ میلادی]]-'گزارش فردی'!$B$8,0)</f>
        <v>0</v>
      </c>
      <c r="S2466" s="6">
        <f ca="1">Main[[#This Row],[روز از ارسال سفارش]]*Main[[#This Row],[بدهی تسویه نشده (کیلوگرم)]]</f>
        <v>0</v>
      </c>
      <c r="T2466" s="6">
        <f ca="1">Main[[#This Row],[بدهی سررسید شده (کیلوگرم)]]*Main[[#This Row],[روز از ارسال سفارش]]</f>
        <v>0</v>
      </c>
      <c r="U2466" s="6">
        <f>-SUBTOTAL(9,INDEX(Main[مقدار (کیلوگرم)],1):Main[[#This Row],[مقدار (کیلوگرم)]])</f>
        <v>36334</v>
      </c>
      <c r="V246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6" s="6">
        <f>Main[[#This Row],[تعداد کل روزهای بدهکار (روز)]]*Main[[#This Row],[مانده در خط کل (کیلوگرم)]]</f>
        <v>72668</v>
      </c>
      <c r="X2466" s="6">
        <f ca="1">-SUBTOTAL(9,INDEX(Main[مقدار تسویه شده (کیلوگرم)],1):Main[[#This Row],[مقدار تسویه شده (کیلوگرم)]])</f>
        <v>21307</v>
      </c>
      <c r="Y2466" s="6">
        <f ca="1">IF(Main[[#This Row],[مانده در خط تسویه شده (کیلوگرم)]]&lt;&gt;0,Main[[#This Row],[تعداد کل روزهای بدهکار (روز)]],0)</f>
        <v>2</v>
      </c>
      <c r="Z2466" s="6">
        <f ca="1">Main[[#This Row],[تعداد روزهای بدهکار تسویه شده (روز)]]*Main[[#This Row],[مانده در خط تسویه شده (کیلوگرم)]]</f>
        <v>42614</v>
      </c>
      <c r="AA2466" s="6">
        <f ca="1">SUBTOTAL(9,INDEX(Main[بدهی تسویه نشده (کیلوگرم)],1):Main[[#This Row],[بدهی تسویه نشده (کیلوگرم)]])</f>
        <v>15027</v>
      </c>
      <c r="AB2466" s="6">
        <f ca="1">IF(Main[[#This Row],[مانده در خط تسویه نشده (کیلوگرم)]]&lt;&gt;0,Main[[#This Row],[تعداد کل روزهای بدهکار (روز)]],0)</f>
        <v>2</v>
      </c>
      <c r="AC2466" s="6">
        <f ca="1">Main[[#This Row],[تعداد روزهای بدهکار  تسویه نشده (روز)]]*Main[[#This Row],[مانده در خط تسویه نشده (کیلوگرم)]]</f>
        <v>30054</v>
      </c>
      <c r="AD2466" s="6">
        <f ca="1">SUBTOTAL(9,INDEX(Main[بدهی سررسید شده (کیلوگرم)],1):Main[[#This Row],[بدهی سررسید شده (کیلوگرم)]])</f>
        <v>15027</v>
      </c>
      <c r="AE2466" s="6">
        <f ca="1">IF(Main[[#This Row],[مانده در خط سررسید شده (کیلوگرم)]]&lt;&gt;0,Main[[#This Row],[تعداد کل روزهای بدهکار (روز)]],0)</f>
        <v>2</v>
      </c>
      <c r="AF2466" s="6">
        <f ca="1">Main[[#This Row],[تعداد روزهای بدهکار سررسید شده (روز)]]*Main[[#This Row],[مانده در خط سررسید شده (کیلوگرم)]]</f>
        <v>30054</v>
      </c>
    </row>
    <row r="2467" spans="1:32" hidden="1" x14ac:dyDescent="0.35">
      <c r="A2467" s="5">
        <f>ROW()-ROW(INDEX(Main[ردیف],1))+1</f>
        <v>2465</v>
      </c>
      <c r="B2467" s="31">
        <f>SUBTOTAL(2,INDEX(Main[ردیف],1):Main[[#This Row],[ردیف]])</f>
        <v>221</v>
      </c>
      <c r="C2467" s="32" t="s">
        <v>807</v>
      </c>
      <c r="D2467" s="32" t="str">
        <f>_xlfn.CONCAT("14",Main[[#This Row],[تاريخ]])</f>
        <v>1400/09/18</v>
      </c>
      <c r="E2467" s="33">
        <v>44539</v>
      </c>
      <c r="F2467" s="32">
        <v>10018</v>
      </c>
      <c r="G2467" s="5" t="str">
        <f>INDEX(customer[عنوان],MATCH(Main[[#This Row],[کد ردیابی]],customer[کد],0))</f>
        <v xml:space="preserve">کوهی </v>
      </c>
      <c r="H2467">
        <v>-646</v>
      </c>
      <c r="I2467" s="6">
        <f ca="1">-Main[[#This Row],[بدهی تسویه شده (کیلوگرم)]]+Main[[#This Row],[بستانکار (کیلوگرم)]]</f>
        <v>0</v>
      </c>
      <c r="J2467" s="6">
        <f>IF(Main[[#This Row],[مقدار (کیلوگرم)]]&gt;0,Main[[#This Row],[مقدار (کیلوگرم)]],0)</f>
        <v>0</v>
      </c>
      <c r="K2467" s="6">
        <f>-IF(Main[[#This Row],[مقدار (کیلوگرم)]]&lt;0,Main[[#This Row],[مقدار (کیلوگرم)]],0)</f>
        <v>646</v>
      </c>
      <c r="L24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646</v>
      </c>
      <c r="M2467" s="7">
        <f>-IF(AND(Main[[#This Row],[مقدار (کیلوگرم)]]&lt;0,Main[[#This Row],[تاريخ میلادی]]&gt;44276),Main[[#This Row],[مقدار (کیلوگرم)]],0)</f>
        <v>646</v>
      </c>
      <c r="N2467" s="6">
        <f ca="1">Main[[#This Row],[بدهکار (کیلوگرم)]]-Main[[#This Row],[بدهی تسویه نشده (کیلوگرم)]]</f>
        <v>0</v>
      </c>
      <c r="O2467" s="6">
        <f ca="1">Main[[#This Row],[تفکیک]]</f>
        <v>646</v>
      </c>
      <c r="P2467" s="6">
        <f ca="1">IF(Main[[#This Row],[تاخیر از سررسید]]&gt;0,Main[[#This Row],[بدهی تسویه نشده (کیلوگرم)]],0)</f>
        <v>646</v>
      </c>
      <c r="Q2467" s="6">
        <f ca="1">IF(Main[[#This Row],[بدهی تسویه نشده (کیلوگرم)]]&gt;0,'گزارش فردی'!$B$7-Main[[#This Row],[تاريخ میلادی]],0)</f>
        <v>923.75374085648218</v>
      </c>
      <c r="R2467" s="6">
        <f ca="1">IF(Main[[#This Row],[بدهی تسویه نشده (کیلوگرم)]]&gt;0,'گزارش فردی'!$B$7-Main[[#This Row],[تاريخ میلادی]]-'گزارش فردی'!$B$8,0)</f>
        <v>908.75374085648218</v>
      </c>
      <c r="S2467" s="6">
        <f ca="1">Main[[#This Row],[روز از ارسال سفارش]]*Main[[#This Row],[بدهی تسویه نشده (کیلوگرم)]]</f>
        <v>596744.91659328749</v>
      </c>
      <c r="T2467" s="6">
        <f ca="1">Main[[#This Row],[بدهی سررسید شده (کیلوگرم)]]*Main[[#This Row],[روز از ارسال سفارش]]</f>
        <v>596744.91659328749</v>
      </c>
      <c r="U2467" s="6">
        <f>-SUBTOTAL(9,INDEX(Main[مقدار (کیلوگرم)],1):Main[[#This Row],[مقدار (کیلوگرم)]])</f>
        <v>36334</v>
      </c>
      <c r="V24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7" s="6">
        <f>Main[[#This Row],[تعداد کل روزهای بدهکار (روز)]]*Main[[#This Row],[مانده در خط کل (کیلوگرم)]]</f>
        <v>72668</v>
      </c>
      <c r="X2467" s="6">
        <f ca="1">-SUBTOTAL(9,INDEX(Main[مقدار تسویه شده (کیلوگرم)],1):Main[[#This Row],[مقدار تسویه شده (کیلوگرم)]])</f>
        <v>21307</v>
      </c>
      <c r="Y2467" s="6">
        <f ca="1">IF(Main[[#This Row],[مانده در خط تسویه شده (کیلوگرم)]]&lt;&gt;0,Main[[#This Row],[تعداد کل روزهای بدهکار (روز)]],0)</f>
        <v>2</v>
      </c>
      <c r="Z2467" s="6">
        <f ca="1">Main[[#This Row],[تعداد روزهای بدهکار تسویه شده (روز)]]*Main[[#This Row],[مانده در خط تسویه شده (کیلوگرم)]]</f>
        <v>42614</v>
      </c>
      <c r="AA2467" s="6">
        <f ca="1">SUBTOTAL(9,INDEX(Main[بدهی تسویه نشده (کیلوگرم)],1):Main[[#This Row],[بدهی تسویه نشده (کیلوگرم)]])</f>
        <v>15027</v>
      </c>
      <c r="AB2467" s="6">
        <f ca="1">IF(Main[[#This Row],[مانده در خط تسویه نشده (کیلوگرم)]]&lt;&gt;0,Main[[#This Row],[تعداد کل روزهای بدهکار (روز)]],0)</f>
        <v>2</v>
      </c>
      <c r="AC2467" s="6">
        <f ca="1">Main[[#This Row],[تعداد روزهای بدهکار  تسویه نشده (روز)]]*Main[[#This Row],[مانده در خط تسویه نشده (کیلوگرم)]]</f>
        <v>30054</v>
      </c>
      <c r="AD2467" s="6">
        <f ca="1">SUBTOTAL(9,INDEX(Main[بدهی سررسید شده (کیلوگرم)],1):Main[[#This Row],[بدهی سررسید شده (کیلوگرم)]])</f>
        <v>15027</v>
      </c>
      <c r="AE2467" s="6">
        <f ca="1">IF(Main[[#This Row],[مانده در خط سررسید شده (کیلوگرم)]]&lt;&gt;0,Main[[#This Row],[تعداد کل روزهای بدهکار (روز)]],0)</f>
        <v>2</v>
      </c>
      <c r="AF2467" s="6">
        <f ca="1">Main[[#This Row],[تعداد روزهای بدهکار سررسید شده (روز)]]*Main[[#This Row],[مانده در خط سررسید شده (کیلوگرم)]]</f>
        <v>30054</v>
      </c>
    </row>
    <row r="2468" spans="1:32" hidden="1" x14ac:dyDescent="0.35">
      <c r="A2468" s="5">
        <f>ROW()-ROW(INDEX(Main[ردیف],1))+1</f>
        <v>2466</v>
      </c>
      <c r="B2468" s="31">
        <f>SUBTOTAL(2,INDEX(Main[ردیف],1):Main[[#This Row],[ردیف]])</f>
        <v>221</v>
      </c>
      <c r="C2468" s="32" t="s">
        <v>807</v>
      </c>
      <c r="D2468" s="32" t="str">
        <f>_xlfn.CONCAT("14",Main[[#This Row],[تاريخ]])</f>
        <v>1400/09/18</v>
      </c>
      <c r="E2468" s="33">
        <v>44539</v>
      </c>
      <c r="F2468" s="32">
        <v>10018</v>
      </c>
      <c r="G2468" s="5" t="str">
        <f>INDEX(customer[عنوان],MATCH(Main[[#This Row],[کد ردیابی]],customer[کد],0))</f>
        <v xml:space="preserve">کوهی </v>
      </c>
      <c r="H2468">
        <v>246</v>
      </c>
      <c r="I2468" s="6">
        <f ca="1">-Main[[#This Row],[بدهی تسویه شده (کیلوگرم)]]+Main[[#This Row],[بستانکار (کیلوگرم)]]</f>
        <v>246</v>
      </c>
      <c r="J2468" s="6">
        <f>IF(Main[[#This Row],[مقدار (کیلوگرم)]]&gt;0,Main[[#This Row],[مقدار (کیلوگرم)]],0)</f>
        <v>246</v>
      </c>
      <c r="K2468" s="6">
        <f>-IF(Main[[#This Row],[مقدار (کیلوگرم)]]&lt;0,Main[[#This Row],[مقدار (کیلوگرم)]],0)</f>
        <v>0</v>
      </c>
      <c r="L24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8" s="7">
        <f>-IF(AND(Main[[#This Row],[مقدار (کیلوگرم)]]&lt;0,Main[[#This Row],[تاريخ میلادی]]&gt;44276),Main[[#This Row],[مقدار (کیلوگرم)]],0)</f>
        <v>0</v>
      </c>
      <c r="N2468" s="6">
        <f ca="1">Main[[#This Row],[بدهکار (کیلوگرم)]]-Main[[#This Row],[بدهی تسویه نشده (کیلوگرم)]]</f>
        <v>0</v>
      </c>
      <c r="O2468" s="6">
        <f ca="1">Main[[#This Row],[تفکیک]]</f>
        <v>0</v>
      </c>
      <c r="P2468" s="6">
        <f ca="1">IF(Main[[#This Row],[تاخیر از سررسید]]&gt;0,Main[[#This Row],[بدهی تسویه نشده (کیلوگرم)]],0)</f>
        <v>0</v>
      </c>
      <c r="Q2468" s="6">
        <f ca="1">IF(Main[[#This Row],[بدهی تسویه نشده (کیلوگرم)]]&gt;0,'گزارش فردی'!$B$7-Main[[#This Row],[تاريخ میلادی]],0)</f>
        <v>0</v>
      </c>
      <c r="R2468" s="6">
        <f ca="1">IF(Main[[#This Row],[بدهی تسویه نشده (کیلوگرم)]]&gt;0,'گزارش فردی'!$B$7-Main[[#This Row],[تاريخ میلادی]]-'گزارش فردی'!$B$8,0)</f>
        <v>0</v>
      </c>
      <c r="S2468" s="6">
        <f ca="1">Main[[#This Row],[روز از ارسال سفارش]]*Main[[#This Row],[بدهی تسویه نشده (کیلوگرم)]]</f>
        <v>0</v>
      </c>
      <c r="T2468" s="6">
        <f ca="1">Main[[#This Row],[بدهی سررسید شده (کیلوگرم)]]*Main[[#This Row],[روز از ارسال سفارش]]</f>
        <v>0</v>
      </c>
      <c r="U2468" s="6">
        <f>-SUBTOTAL(9,INDEX(Main[مقدار (کیلوگرم)],1):Main[[#This Row],[مقدار (کیلوگرم)]])</f>
        <v>36334</v>
      </c>
      <c r="V246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8" s="6">
        <f>Main[[#This Row],[تعداد کل روزهای بدهکار (روز)]]*Main[[#This Row],[مانده در خط کل (کیلوگرم)]]</f>
        <v>72668</v>
      </c>
      <c r="X2468" s="6">
        <f ca="1">-SUBTOTAL(9,INDEX(Main[مقدار تسویه شده (کیلوگرم)],1):Main[[#This Row],[مقدار تسویه شده (کیلوگرم)]])</f>
        <v>21307</v>
      </c>
      <c r="Y2468" s="6">
        <f ca="1">IF(Main[[#This Row],[مانده در خط تسویه شده (کیلوگرم)]]&lt;&gt;0,Main[[#This Row],[تعداد کل روزهای بدهکار (روز)]],0)</f>
        <v>2</v>
      </c>
      <c r="Z2468" s="6">
        <f ca="1">Main[[#This Row],[تعداد روزهای بدهکار تسویه شده (روز)]]*Main[[#This Row],[مانده در خط تسویه شده (کیلوگرم)]]</f>
        <v>42614</v>
      </c>
      <c r="AA2468" s="6">
        <f ca="1">SUBTOTAL(9,INDEX(Main[بدهی تسویه نشده (کیلوگرم)],1):Main[[#This Row],[بدهی تسویه نشده (کیلوگرم)]])</f>
        <v>15027</v>
      </c>
      <c r="AB2468" s="6">
        <f ca="1">IF(Main[[#This Row],[مانده در خط تسویه نشده (کیلوگرم)]]&lt;&gt;0,Main[[#This Row],[تعداد کل روزهای بدهکار (روز)]],0)</f>
        <v>2</v>
      </c>
      <c r="AC2468" s="6">
        <f ca="1">Main[[#This Row],[تعداد روزهای بدهکار  تسویه نشده (روز)]]*Main[[#This Row],[مانده در خط تسویه نشده (کیلوگرم)]]</f>
        <v>30054</v>
      </c>
      <c r="AD2468" s="6">
        <f ca="1">SUBTOTAL(9,INDEX(Main[بدهی سررسید شده (کیلوگرم)],1):Main[[#This Row],[بدهی سررسید شده (کیلوگرم)]])</f>
        <v>15027</v>
      </c>
      <c r="AE2468" s="6">
        <f ca="1">IF(Main[[#This Row],[مانده در خط سررسید شده (کیلوگرم)]]&lt;&gt;0,Main[[#This Row],[تعداد کل روزهای بدهکار (روز)]],0)</f>
        <v>2</v>
      </c>
      <c r="AF2468" s="6">
        <f ca="1">Main[[#This Row],[تعداد روزهای بدهکار سررسید شده (روز)]]*Main[[#This Row],[مانده در خط سررسید شده (کیلوگرم)]]</f>
        <v>30054</v>
      </c>
    </row>
    <row r="2469" spans="1:32" hidden="1" x14ac:dyDescent="0.35">
      <c r="A2469" s="5">
        <f>ROW()-ROW(INDEX(Main[ردیف],1))+1</f>
        <v>2467</v>
      </c>
      <c r="B2469" s="31">
        <f>SUBTOTAL(2,INDEX(Main[ردیف],1):Main[[#This Row],[ردیف]])</f>
        <v>221</v>
      </c>
      <c r="C2469" s="32" t="s">
        <v>807</v>
      </c>
      <c r="D2469" s="32" t="str">
        <f>_xlfn.CONCAT("14",Main[[#This Row],[تاريخ]])</f>
        <v>1400/09/18</v>
      </c>
      <c r="E2469" s="33">
        <v>44539</v>
      </c>
      <c r="F2469" s="32">
        <v>30058</v>
      </c>
      <c r="G2469" s="5" t="str">
        <f>INDEX(customer[عنوان],MATCH(Main[[#This Row],[کد ردیابی]],customer[کد],0))</f>
        <v xml:space="preserve">پارس شیر </v>
      </c>
      <c r="H2469">
        <v>4731</v>
      </c>
      <c r="I2469" s="6">
        <f ca="1">-Main[[#This Row],[بدهی تسویه شده (کیلوگرم)]]+Main[[#This Row],[بستانکار (کیلوگرم)]]</f>
        <v>4731</v>
      </c>
      <c r="J2469" s="6">
        <f>IF(Main[[#This Row],[مقدار (کیلوگرم)]]&gt;0,Main[[#This Row],[مقدار (کیلوگرم)]],0)</f>
        <v>4731</v>
      </c>
      <c r="K2469" s="6">
        <f>-IF(Main[[#This Row],[مقدار (کیلوگرم)]]&lt;0,Main[[#This Row],[مقدار (کیلوگرم)]],0)</f>
        <v>0</v>
      </c>
      <c r="L24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9" s="7">
        <f>-IF(AND(Main[[#This Row],[مقدار (کیلوگرم)]]&lt;0,Main[[#This Row],[تاريخ میلادی]]&gt;44276),Main[[#This Row],[مقدار (کیلوگرم)]],0)</f>
        <v>0</v>
      </c>
      <c r="N2469" s="6">
        <f ca="1">Main[[#This Row],[بدهکار (کیلوگرم)]]-Main[[#This Row],[بدهی تسویه نشده (کیلوگرم)]]</f>
        <v>0</v>
      </c>
      <c r="O2469" s="6">
        <f ca="1">Main[[#This Row],[تفکیک]]</f>
        <v>0</v>
      </c>
      <c r="P2469" s="6">
        <f ca="1">IF(Main[[#This Row],[تاخیر از سررسید]]&gt;0,Main[[#This Row],[بدهی تسویه نشده (کیلوگرم)]],0)</f>
        <v>0</v>
      </c>
      <c r="Q2469" s="6">
        <f ca="1">IF(Main[[#This Row],[بدهی تسویه نشده (کیلوگرم)]]&gt;0,'گزارش فردی'!$B$7-Main[[#This Row],[تاريخ میلادی]],0)</f>
        <v>0</v>
      </c>
      <c r="R2469" s="6">
        <f ca="1">IF(Main[[#This Row],[بدهی تسویه نشده (کیلوگرم)]]&gt;0,'گزارش فردی'!$B$7-Main[[#This Row],[تاريخ میلادی]]-'گزارش فردی'!$B$8,0)</f>
        <v>0</v>
      </c>
      <c r="S2469" s="6">
        <f ca="1">Main[[#This Row],[روز از ارسال سفارش]]*Main[[#This Row],[بدهی تسویه نشده (کیلوگرم)]]</f>
        <v>0</v>
      </c>
      <c r="T2469" s="6">
        <f ca="1">Main[[#This Row],[بدهی سررسید شده (کیلوگرم)]]*Main[[#This Row],[روز از ارسال سفارش]]</f>
        <v>0</v>
      </c>
      <c r="U2469" s="6">
        <f>-SUBTOTAL(9,INDEX(Main[مقدار (کیلوگرم)],1):Main[[#This Row],[مقدار (کیلوگرم)]])</f>
        <v>36334</v>
      </c>
      <c r="V246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9" s="6">
        <f>Main[[#This Row],[تعداد کل روزهای بدهکار (روز)]]*Main[[#This Row],[مانده در خط کل (کیلوگرم)]]</f>
        <v>72668</v>
      </c>
      <c r="X2469" s="6">
        <f ca="1">-SUBTOTAL(9,INDEX(Main[مقدار تسویه شده (کیلوگرم)],1):Main[[#This Row],[مقدار تسویه شده (کیلوگرم)]])</f>
        <v>21307</v>
      </c>
      <c r="Y2469" s="6">
        <f ca="1">IF(Main[[#This Row],[مانده در خط تسویه شده (کیلوگرم)]]&lt;&gt;0,Main[[#This Row],[تعداد کل روزهای بدهکار (روز)]],0)</f>
        <v>2</v>
      </c>
      <c r="Z2469" s="6">
        <f ca="1">Main[[#This Row],[تعداد روزهای بدهکار تسویه شده (روز)]]*Main[[#This Row],[مانده در خط تسویه شده (کیلوگرم)]]</f>
        <v>42614</v>
      </c>
      <c r="AA2469" s="6">
        <f ca="1">SUBTOTAL(9,INDEX(Main[بدهی تسویه نشده (کیلوگرم)],1):Main[[#This Row],[بدهی تسویه نشده (کیلوگرم)]])</f>
        <v>15027</v>
      </c>
      <c r="AB2469" s="6">
        <f ca="1">IF(Main[[#This Row],[مانده در خط تسویه نشده (کیلوگرم)]]&lt;&gt;0,Main[[#This Row],[تعداد کل روزهای بدهکار (روز)]],0)</f>
        <v>2</v>
      </c>
      <c r="AC2469" s="6">
        <f ca="1">Main[[#This Row],[تعداد روزهای بدهکار  تسویه نشده (روز)]]*Main[[#This Row],[مانده در خط تسویه نشده (کیلوگرم)]]</f>
        <v>30054</v>
      </c>
      <c r="AD2469" s="6">
        <f ca="1">SUBTOTAL(9,INDEX(Main[بدهی سررسید شده (کیلوگرم)],1):Main[[#This Row],[بدهی سررسید شده (کیلوگرم)]])</f>
        <v>15027</v>
      </c>
      <c r="AE2469" s="6">
        <f ca="1">IF(Main[[#This Row],[مانده در خط سررسید شده (کیلوگرم)]]&lt;&gt;0,Main[[#This Row],[تعداد کل روزهای بدهکار (روز)]],0)</f>
        <v>2</v>
      </c>
      <c r="AF2469" s="6">
        <f ca="1">Main[[#This Row],[تعداد روزهای بدهکار سررسید شده (روز)]]*Main[[#This Row],[مانده در خط سررسید شده (کیلوگرم)]]</f>
        <v>30054</v>
      </c>
    </row>
    <row r="2470" spans="1:32" hidden="1" x14ac:dyDescent="0.35">
      <c r="A2470" s="5">
        <f>ROW()-ROW(INDEX(Main[ردیف],1))+1</f>
        <v>2468</v>
      </c>
      <c r="B2470" s="31">
        <f>SUBTOTAL(2,INDEX(Main[ردیف],1):Main[[#This Row],[ردیف]])</f>
        <v>221</v>
      </c>
      <c r="C2470" s="32" t="s">
        <v>807</v>
      </c>
      <c r="D2470" s="32" t="str">
        <f>_xlfn.CONCAT("14",Main[[#This Row],[تاريخ]])</f>
        <v>1400/09/18</v>
      </c>
      <c r="E2470" s="33">
        <v>44539</v>
      </c>
      <c r="F2470" s="32">
        <v>10070</v>
      </c>
      <c r="G2470" s="5" t="str">
        <f>INDEX(customer[عنوان],MATCH(Main[[#This Row],[کد ردیابی]],customer[کد],0))</f>
        <v xml:space="preserve">حمیدرضا شفیعی </v>
      </c>
      <c r="H2470">
        <v>1479</v>
      </c>
      <c r="I2470" s="6">
        <f ca="1">-Main[[#This Row],[بدهی تسویه شده (کیلوگرم)]]+Main[[#This Row],[بستانکار (کیلوگرم)]]</f>
        <v>1479</v>
      </c>
      <c r="J2470" s="6">
        <f>IF(Main[[#This Row],[مقدار (کیلوگرم)]]&gt;0,Main[[#This Row],[مقدار (کیلوگرم)]],0)</f>
        <v>1479</v>
      </c>
      <c r="K2470" s="6">
        <f>-IF(Main[[#This Row],[مقدار (کیلوگرم)]]&lt;0,Main[[#This Row],[مقدار (کیلوگرم)]],0)</f>
        <v>0</v>
      </c>
      <c r="L24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0" s="7">
        <f>-IF(AND(Main[[#This Row],[مقدار (کیلوگرم)]]&lt;0,Main[[#This Row],[تاريخ میلادی]]&gt;44276),Main[[#This Row],[مقدار (کیلوگرم)]],0)</f>
        <v>0</v>
      </c>
      <c r="N2470" s="6">
        <f ca="1">Main[[#This Row],[بدهکار (کیلوگرم)]]-Main[[#This Row],[بدهی تسویه نشده (کیلوگرم)]]</f>
        <v>0</v>
      </c>
      <c r="O2470" s="6">
        <f ca="1">Main[[#This Row],[تفکیک]]</f>
        <v>0</v>
      </c>
      <c r="P2470" s="6">
        <f ca="1">IF(Main[[#This Row],[تاخیر از سررسید]]&gt;0,Main[[#This Row],[بدهی تسویه نشده (کیلوگرم)]],0)</f>
        <v>0</v>
      </c>
      <c r="Q2470" s="6">
        <f ca="1">IF(Main[[#This Row],[بدهی تسویه نشده (کیلوگرم)]]&gt;0,'گزارش فردی'!$B$7-Main[[#This Row],[تاريخ میلادی]],0)</f>
        <v>0</v>
      </c>
      <c r="R2470" s="6">
        <f ca="1">IF(Main[[#This Row],[بدهی تسویه نشده (کیلوگرم)]]&gt;0,'گزارش فردی'!$B$7-Main[[#This Row],[تاريخ میلادی]]-'گزارش فردی'!$B$8,0)</f>
        <v>0</v>
      </c>
      <c r="S2470" s="6">
        <f ca="1">Main[[#This Row],[روز از ارسال سفارش]]*Main[[#This Row],[بدهی تسویه نشده (کیلوگرم)]]</f>
        <v>0</v>
      </c>
      <c r="T2470" s="6">
        <f ca="1">Main[[#This Row],[بدهی سررسید شده (کیلوگرم)]]*Main[[#This Row],[روز از ارسال سفارش]]</f>
        <v>0</v>
      </c>
      <c r="U2470" s="6">
        <f>-SUBTOTAL(9,INDEX(Main[مقدار (کیلوگرم)],1):Main[[#This Row],[مقدار (کیلوگرم)]])</f>
        <v>36334</v>
      </c>
      <c r="V247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70" s="6">
        <f>Main[[#This Row],[تعداد کل روزهای بدهکار (روز)]]*Main[[#This Row],[مانده در خط کل (کیلوگرم)]]</f>
        <v>72668</v>
      </c>
      <c r="X2470" s="6">
        <f ca="1">-SUBTOTAL(9,INDEX(Main[مقدار تسویه شده (کیلوگرم)],1):Main[[#This Row],[مقدار تسویه شده (کیلوگرم)]])</f>
        <v>21307</v>
      </c>
      <c r="Y2470" s="6">
        <f ca="1">IF(Main[[#This Row],[مانده در خط تسویه شده (کیلوگرم)]]&lt;&gt;0,Main[[#This Row],[تعداد کل روزهای بدهکار (روز)]],0)</f>
        <v>2</v>
      </c>
      <c r="Z2470" s="6">
        <f ca="1">Main[[#This Row],[تعداد روزهای بدهکار تسویه شده (روز)]]*Main[[#This Row],[مانده در خط تسویه شده (کیلوگرم)]]</f>
        <v>42614</v>
      </c>
      <c r="AA2470" s="6">
        <f ca="1">SUBTOTAL(9,INDEX(Main[بدهی تسویه نشده (کیلوگرم)],1):Main[[#This Row],[بدهی تسویه نشده (کیلوگرم)]])</f>
        <v>15027</v>
      </c>
      <c r="AB2470" s="6">
        <f ca="1">IF(Main[[#This Row],[مانده در خط تسویه نشده (کیلوگرم)]]&lt;&gt;0,Main[[#This Row],[تعداد کل روزهای بدهکار (روز)]],0)</f>
        <v>2</v>
      </c>
      <c r="AC2470" s="6">
        <f ca="1">Main[[#This Row],[تعداد روزهای بدهکار  تسویه نشده (روز)]]*Main[[#This Row],[مانده در خط تسویه نشده (کیلوگرم)]]</f>
        <v>30054</v>
      </c>
      <c r="AD2470" s="6">
        <f ca="1">SUBTOTAL(9,INDEX(Main[بدهی سررسید شده (کیلوگرم)],1):Main[[#This Row],[بدهی سررسید شده (کیلوگرم)]])</f>
        <v>15027</v>
      </c>
      <c r="AE2470" s="6">
        <f ca="1">IF(Main[[#This Row],[مانده در خط سررسید شده (کیلوگرم)]]&lt;&gt;0,Main[[#This Row],[تعداد کل روزهای بدهکار (روز)]],0)</f>
        <v>2</v>
      </c>
      <c r="AF2470" s="6">
        <f ca="1">Main[[#This Row],[تعداد روزهای بدهکار سررسید شده (روز)]]*Main[[#This Row],[مانده در خط سررسید شده (کیلوگرم)]]</f>
        <v>30054</v>
      </c>
    </row>
    <row r="2471" spans="1:32" hidden="1" x14ac:dyDescent="0.35">
      <c r="A2471" s="5">
        <f>ROW()-ROW(INDEX(Main[ردیف],1))+1</f>
        <v>2469</v>
      </c>
      <c r="B2471" s="31">
        <f>SUBTOTAL(2,INDEX(Main[ردیف],1):Main[[#This Row],[ردیف]])</f>
        <v>221</v>
      </c>
      <c r="C2471" s="32" t="s">
        <v>808</v>
      </c>
      <c r="D2471" s="32" t="str">
        <f>_xlfn.CONCAT("14",Main[[#This Row],[تاريخ]])</f>
        <v>1400/09/20</v>
      </c>
      <c r="E2471" s="33">
        <v>44541</v>
      </c>
      <c r="F2471" s="32">
        <v>10048</v>
      </c>
      <c r="G2471" s="5" t="str">
        <f>INDEX(customer[عنوان],MATCH(Main[[#This Row],[کد ردیابی]],customer[کد],0))</f>
        <v xml:space="preserve">حسام کریمان  </v>
      </c>
      <c r="H2471">
        <v>-346</v>
      </c>
      <c r="I2471" s="6">
        <f ca="1">-Main[[#This Row],[بدهی تسویه شده (کیلوگرم)]]+Main[[#This Row],[بستانکار (کیلوگرم)]]</f>
        <v>0</v>
      </c>
      <c r="J2471" s="6">
        <f>IF(Main[[#This Row],[مقدار (کیلوگرم)]]&gt;0,Main[[#This Row],[مقدار (کیلوگرم)]],0)</f>
        <v>0</v>
      </c>
      <c r="K2471" s="6">
        <f>-IF(Main[[#This Row],[مقدار (کیلوگرم)]]&lt;0,Main[[#This Row],[مقدار (کیلوگرم)]],0)</f>
        <v>346</v>
      </c>
      <c r="L24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346</v>
      </c>
      <c r="M2471" s="7">
        <f>-IF(AND(Main[[#This Row],[مقدار (کیلوگرم)]]&lt;0,Main[[#This Row],[تاريخ میلادی]]&gt;44276),Main[[#This Row],[مقدار (کیلوگرم)]],0)</f>
        <v>346</v>
      </c>
      <c r="N2471" s="6">
        <f ca="1">Main[[#This Row],[بدهکار (کیلوگرم)]]-Main[[#This Row],[بدهی تسویه نشده (کیلوگرم)]]</f>
        <v>0</v>
      </c>
      <c r="O2471" s="6">
        <f ca="1">Main[[#This Row],[تفکیک]]</f>
        <v>346</v>
      </c>
      <c r="P2471" s="6">
        <f ca="1">IF(Main[[#This Row],[تاخیر از سررسید]]&gt;0,Main[[#This Row],[بدهی تسویه نشده (کیلوگرم)]],0)</f>
        <v>346</v>
      </c>
      <c r="Q2471" s="6">
        <f ca="1">IF(Main[[#This Row],[بدهی تسویه نشده (کیلوگرم)]]&gt;0,'گزارش فردی'!$B$7-Main[[#This Row],[تاريخ میلادی]],0)</f>
        <v>921.75374085648218</v>
      </c>
      <c r="R2471" s="6">
        <f ca="1">IF(Main[[#This Row],[بدهی تسویه نشده (کیلوگرم)]]&gt;0,'گزارش فردی'!$B$7-Main[[#This Row],[تاريخ میلادی]]-'گزارش فردی'!$B$8,0)</f>
        <v>906.75374085648218</v>
      </c>
      <c r="S2471" s="6">
        <f ca="1">Main[[#This Row],[روز از ارسال سفارش]]*Main[[#This Row],[بدهی تسویه نشده (کیلوگرم)]]</f>
        <v>318926.79433634283</v>
      </c>
      <c r="T2471" s="6">
        <f ca="1">Main[[#This Row],[بدهی سررسید شده (کیلوگرم)]]*Main[[#This Row],[روز از ارسال سفارش]]</f>
        <v>318926.79433634283</v>
      </c>
      <c r="U2471" s="6">
        <f>-SUBTOTAL(9,INDEX(Main[مقدار (کیلوگرم)],1):Main[[#This Row],[مقدار (کیلوگرم)]])</f>
        <v>36334</v>
      </c>
      <c r="V24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1" s="6">
        <f>Main[[#This Row],[تعداد کل روزهای بدهکار (روز)]]*Main[[#This Row],[مانده در خط کل (کیلوگرم)]]</f>
        <v>0</v>
      </c>
      <c r="X2471" s="6">
        <f ca="1">-SUBTOTAL(9,INDEX(Main[مقدار تسویه شده (کیلوگرم)],1):Main[[#This Row],[مقدار تسویه شده (کیلوگرم)]])</f>
        <v>21307</v>
      </c>
      <c r="Y2471" s="6">
        <f ca="1">IF(Main[[#This Row],[مانده در خط تسویه شده (کیلوگرم)]]&lt;&gt;0,Main[[#This Row],[تعداد کل روزهای بدهکار (روز)]],0)</f>
        <v>0</v>
      </c>
      <c r="Z2471" s="6">
        <f ca="1">Main[[#This Row],[تعداد روزهای بدهکار تسویه شده (روز)]]*Main[[#This Row],[مانده در خط تسویه شده (کیلوگرم)]]</f>
        <v>0</v>
      </c>
      <c r="AA2471" s="6">
        <f ca="1">SUBTOTAL(9,INDEX(Main[بدهی تسویه نشده (کیلوگرم)],1):Main[[#This Row],[بدهی تسویه نشده (کیلوگرم)]])</f>
        <v>15027</v>
      </c>
      <c r="AB2471" s="6">
        <f ca="1">IF(Main[[#This Row],[مانده در خط تسویه نشده (کیلوگرم)]]&lt;&gt;0,Main[[#This Row],[تعداد کل روزهای بدهکار (روز)]],0)</f>
        <v>0</v>
      </c>
      <c r="AC2471" s="6">
        <f ca="1">Main[[#This Row],[تعداد روزهای بدهکار  تسویه نشده (روز)]]*Main[[#This Row],[مانده در خط تسویه نشده (کیلوگرم)]]</f>
        <v>0</v>
      </c>
      <c r="AD2471" s="6">
        <f ca="1">SUBTOTAL(9,INDEX(Main[بدهی سررسید شده (کیلوگرم)],1):Main[[#This Row],[بدهی سررسید شده (کیلوگرم)]])</f>
        <v>15027</v>
      </c>
      <c r="AE2471" s="6">
        <f ca="1">IF(Main[[#This Row],[مانده در خط سررسید شده (کیلوگرم)]]&lt;&gt;0,Main[[#This Row],[تعداد کل روزهای بدهکار (روز)]],0)</f>
        <v>0</v>
      </c>
      <c r="AF2471" s="6">
        <f ca="1">Main[[#This Row],[تعداد روزهای بدهکار سررسید شده (روز)]]*Main[[#This Row],[مانده در خط سررسید شده (کیلوگرم)]]</f>
        <v>0</v>
      </c>
    </row>
    <row r="2472" spans="1:32" hidden="1" x14ac:dyDescent="0.35">
      <c r="A2472" s="5">
        <f>ROW()-ROW(INDEX(Main[ردیف],1))+1</f>
        <v>2470</v>
      </c>
      <c r="B2472" s="31">
        <f>SUBTOTAL(2,INDEX(Main[ردیف],1):Main[[#This Row],[ردیف]])</f>
        <v>221</v>
      </c>
      <c r="C2472" s="32" t="s">
        <v>808</v>
      </c>
      <c r="D2472" s="32" t="str">
        <f>_xlfn.CONCAT("14",Main[[#This Row],[تاريخ]])</f>
        <v>1400/09/20</v>
      </c>
      <c r="E2472" s="33">
        <v>44541</v>
      </c>
      <c r="F2472" s="32">
        <v>30160</v>
      </c>
      <c r="G2472" s="5" t="str">
        <f>INDEX(customer[عنوان],MATCH(Main[[#This Row],[کد ردیابی]],customer[کد],0))</f>
        <v>کیان صنعت</v>
      </c>
      <c r="H2472">
        <v>120</v>
      </c>
      <c r="I2472" s="6">
        <f ca="1">-Main[[#This Row],[بدهی تسویه شده (کیلوگرم)]]+Main[[#This Row],[بستانکار (کیلوگرم)]]</f>
        <v>120</v>
      </c>
      <c r="J2472" s="6">
        <f>IF(Main[[#This Row],[مقدار (کیلوگرم)]]&gt;0,Main[[#This Row],[مقدار (کیلوگرم)]],0)</f>
        <v>120</v>
      </c>
      <c r="K2472" s="6">
        <f>-IF(Main[[#This Row],[مقدار (کیلوگرم)]]&lt;0,Main[[#This Row],[مقدار (کیلوگرم)]],0)</f>
        <v>0</v>
      </c>
      <c r="L24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2" s="7">
        <f>-IF(AND(Main[[#This Row],[مقدار (کیلوگرم)]]&lt;0,Main[[#This Row],[تاريخ میلادی]]&gt;44276),Main[[#This Row],[مقدار (کیلوگرم)]],0)</f>
        <v>0</v>
      </c>
      <c r="N2472" s="6">
        <f ca="1">Main[[#This Row],[بدهکار (کیلوگرم)]]-Main[[#This Row],[بدهی تسویه نشده (کیلوگرم)]]</f>
        <v>0</v>
      </c>
      <c r="O2472" s="6">
        <f ca="1">Main[[#This Row],[تفکیک]]</f>
        <v>0</v>
      </c>
      <c r="P2472" s="6">
        <f ca="1">IF(Main[[#This Row],[تاخیر از سررسید]]&gt;0,Main[[#This Row],[بدهی تسویه نشده (کیلوگرم)]],0)</f>
        <v>0</v>
      </c>
      <c r="Q2472" s="6">
        <f ca="1">IF(Main[[#This Row],[بدهی تسویه نشده (کیلوگرم)]]&gt;0,'گزارش فردی'!$B$7-Main[[#This Row],[تاريخ میلادی]],0)</f>
        <v>0</v>
      </c>
      <c r="R2472" s="6">
        <f ca="1">IF(Main[[#This Row],[بدهی تسویه نشده (کیلوگرم)]]&gt;0,'گزارش فردی'!$B$7-Main[[#This Row],[تاريخ میلادی]]-'گزارش فردی'!$B$8,0)</f>
        <v>0</v>
      </c>
      <c r="S2472" s="6">
        <f ca="1">Main[[#This Row],[روز از ارسال سفارش]]*Main[[#This Row],[بدهی تسویه نشده (کیلوگرم)]]</f>
        <v>0</v>
      </c>
      <c r="T2472" s="6">
        <f ca="1">Main[[#This Row],[بدهی سررسید شده (کیلوگرم)]]*Main[[#This Row],[روز از ارسال سفارش]]</f>
        <v>0</v>
      </c>
      <c r="U2472" s="6">
        <f>-SUBTOTAL(9,INDEX(Main[مقدار (کیلوگرم)],1):Main[[#This Row],[مقدار (کیلوگرم)]])</f>
        <v>36334</v>
      </c>
      <c r="V24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2" s="6">
        <f>Main[[#This Row],[تعداد کل روزهای بدهکار (روز)]]*Main[[#This Row],[مانده در خط کل (کیلوگرم)]]</f>
        <v>0</v>
      </c>
      <c r="X2472" s="6">
        <f ca="1">-SUBTOTAL(9,INDEX(Main[مقدار تسویه شده (کیلوگرم)],1):Main[[#This Row],[مقدار تسویه شده (کیلوگرم)]])</f>
        <v>21307</v>
      </c>
      <c r="Y2472" s="6">
        <f ca="1">IF(Main[[#This Row],[مانده در خط تسویه شده (کیلوگرم)]]&lt;&gt;0,Main[[#This Row],[تعداد کل روزهای بدهکار (روز)]],0)</f>
        <v>0</v>
      </c>
      <c r="Z2472" s="6">
        <f ca="1">Main[[#This Row],[تعداد روزهای بدهکار تسویه شده (روز)]]*Main[[#This Row],[مانده در خط تسویه شده (کیلوگرم)]]</f>
        <v>0</v>
      </c>
      <c r="AA2472" s="6">
        <f ca="1">SUBTOTAL(9,INDEX(Main[بدهی تسویه نشده (کیلوگرم)],1):Main[[#This Row],[بدهی تسویه نشده (کیلوگرم)]])</f>
        <v>15027</v>
      </c>
      <c r="AB2472" s="6">
        <f ca="1">IF(Main[[#This Row],[مانده در خط تسویه نشده (کیلوگرم)]]&lt;&gt;0,Main[[#This Row],[تعداد کل روزهای بدهکار (روز)]],0)</f>
        <v>0</v>
      </c>
      <c r="AC2472" s="6">
        <f ca="1">Main[[#This Row],[تعداد روزهای بدهکار  تسویه نشده (روز)]]*Main[[#This Row],[مانده در خط تسویه نشده (کیلوگرم)]]</f>
        <v>0</v>
      </c>
      <c r="AD2472" s="6">
        <f ca="1">SUBTOTAL(9,INDEX(Main[بدهی سررسید شده (کیلوگرم)],1):Main[[#This Row],[بدهی سررسید شده (کیلوگرم)]])</f>
        <v>15027</v>
      </c>
      <c r="AE2472" s="6">
        <f ca="1">IF(Main[[#This Row],[مانده در خط سررسید شده (کیلوگرم)]]&lt;&gt;0,Main[[#This Row],[تعداد کل روزهای بدهکار (روز)]],0)</f>
        <v>0</v>
      </c>
      <c r="AF2472" s="6">
        <f ca="1">Main[[#This Row],[تعداد روزهای بدهکار سررسید شده (روز)]]*Main[[#This Row],[مانده در خط سررسید شده (کیلوگرم)]]</f>
        <v>0</v>
      </c>
    </row>
    <row r="2473" spans="1:32" hidden="1" x14ac:dyDescent="0.35">
      <c r="A2473" s="5">
        <f>ROW()-ROW(INDEX(Main[ردیف],1))+1</f>
        <v>2471</v>
      </c>
      <c r="B2473" s="31">
        <f>SUBTOTAL(2,INDEX(Main[ردیف],1):Main[[#This Row],[ردیف]])</f>
        <v>221</v>
      </c>
      <c r="C2473" s="32" t="s">
        <v>808</v>
      </c>
      <c r="D2473" s="32" t="str">
        <f>_xlfn.CONCAT("14",Main[[#This Row],[تاريخ]])</f>
        <v>1400/09/20</v>
      </c>
      <c r="E2473" s="33">
        <v>44541</v>
      </c>
      <c r="F2473" s="32">
        <v>30022</v>
      </c>
      <c r="G2473" s="5" t="str">
        <f>INDEX(customer[عنوان],MATCH(Main[[#This Row],[کد ردیابی]],customer[کد],0))</f>
        <v xml:space="preserve">کلار پویا </v>
      </c>
      <c r="H2473">
        <v>-4907</v>
      </c>
      <c r="I2473" s="6">
        <f ca="1">-Main[[#This Row],[بدهی تسویه شده (کیلوگرم)]]+Main[[#This Row],[بستانکار (کیلوگرم)]]</f>
        <v>0</v>
      </c>
      <c r="J2473" s="6">
        <f>IF(Main[[#This Row],[مقدار (کیلوگرم)]]&gt;0,Main[[#This Row],[مقدار (کیلوگرم)]],0)</f>
        <v>0</v>
      </c>
      <c r="K2473" s="6">
        <f>-IF(Main[[#This Row],[مقدار (کیلوگرم)]]&lt;0,Main[[#This Row],[مقدار (کیلوگرم)]],0)</f>
        <v>4907</v>
      </c>
      <c r="L24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4907</v>
      </c>
      <c r="M2473" s="7">
        <f>-IF(AND(Main[[#This Row],[مقدار (کیلوگرم)]]&lt;0,Main[[#This Row],[تاريخ میلادی]]&gt;44276),Main[[#This Row],[مقدار (کیلوگرم)]],0)</f>
        <v>4907</v>
      </c>
      <c r="N2473" s="6">
        <f ca="1">Main[[#This Row],[بدهکار (کیلوگرم)]]-Main[[#This Row],[بدهی تسویه نشده (کیلوگرم)]]</f>
        <v>0</v>
      </c>
      <c r="O2473" s="6">
        <f ca="1">Main[[#This Row],[تفکیک]]</f>
        <v>4907</v>
      </c>
      <c r="P2473" s="6">
        <f ca="1">IF(Main[[#This Row],[تاخیر از سررسید]]&gt;0,Main[[#This Row],[بدهی تسویه نشده (کیلوگرم)]],0)</f>
        <v>4907</v>
      </c>
      <c r="Q2473" s="6">
        <f ca="1">IF(Main[[#This Row],[بدهی تسویه نشده (کیلوگرم)]]&gt;0,'گزارش فردی'!$B$7-Main[[#This Row],[تاريخ میلادی]],0)</f>
        <v>921.75374085648218</v>
      </c>
      <c r="R2473" s="6">
        <f ca="1">IF(Main[[#This Row],[بدهی تسویه نشده (کیلوگرم)]]&gt;0,'گزارش فردی'!$B$7-Main[[#This Row],[تاريخ میلادی]]-'گزارش فردی'!$B$8,0)</f>
        <v>906.75374085648218</v>
      </c>
      <c r="S2473" s="6">
        <f ca="1">Main[[#This Row],[روز از ارسال سفارش]]*Main[[#This Row],[بدهی تسویه نشده (کیلوگرم)]]</f>
        <v>4523045.6063827584</v>
      </c>
      <c r="T2473" s="6">
        <f ca="1">Main[[#This Row],[بدهی سررسید شده (کیلوگرم)]]*Main[[#This Row],[روز از ارسال سفارش]]</f>
        <v>4523045.6063827584</v>
      </c>
      <c r="U2473" s="6">
        <f>-SUBTOTAL(9,INDEX(Main[مقدار (کیلوگرم)],1):Main[[#This Row],[مقدار (کیلوگرم)]])</f>
        <v>36334</v>
      </c>
      <c r="V24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3" s="6">
        <f>Main[[#This Row],[تعداد کل روزهای بدهکار (روز)]]*Main[[#This Row],[مانده در خط کل (کیلوگرم)]]</f>
        <v>0</v>
      </c>
      <c r="X2473" s="6">
        <f ca="1">-SUBTOTAL(9,INDEX(Main[مقدار تسویه شده (کیلوگرم)],1):Main[[#This Row],[مقدار تسویه شده (کیلوگرم)]])</f>
        <v>21307</v>
      </c>
      <c r="Y2473" s="6">
        <f ca="1">IF(Main[[#This Row],[مانده در خط تسویه شده (کیلوگرم)]]&lt;&gt;0,Main[[#This Row],[تعداد کل روزهای بدهکار (روز)]],0)</f>
        <v>0</v>
      </c>
      <c r="Z2473" s="6">
        <f ca="1">Main[[#This Row],[تعداد روزهای بدهکار تسویه شده (روز)]]*Main[[#This Row],[مانده در خط تسویه شده (کیلوگرم)]]</f>
        <v>0</v>
      </c>
      <c r="AA2473" s="6">
        <f ca="1">SUBTOTAL(9,INDEX(Main[بدهی تسویه نشده (کیلوگرم)],1):Main[[#This Row],[بدهی تسویه نشده (کیلوگرم)]])</f>
        <v>15027</v>
      </c>
      <c r="AB2473" s="6">
        <f ca="1">IF(Main[[#This Row],[مانده در خط تسویه نشده (کیلوگرم)]]&lt;&gt;0,Main[[#This Row],[تعداد کل روزهای بدهکار (روز)]],0)</f>
        <v>0</v>
      </c>
      <c r="AC2473" s="6">
        <f ca="1">Main[[#This Row],[تعداد روزهای بدهکار  تسویه نشده (روز)]]*Main[[#This Row],[مانده در خط تسویه نشده (کیلوگرم)]]</f>
        <v>0</v>
      </c>
      <c r="AD2473" s="6">
        <f ca="1">SUBTOTAL(9,INDEX(Main[بدهی سررسید شده (کیلوگرم)],1):Main[[#This Row],[بدهی سررسید شده (کیلوگرم)]])</f>
        <v>15027</v>
      </c>
      <c r="AE2473" s="6">
        <f ca="1">IF(Main[[#This Row],[مانده در خط سررسید شده (کیلوگرم)]]&lt;&gt;0,Main[[#This Row],[تعداد کل روزهای بدهکار (روز)]],0)</f>
        <v>0</v>
      </c>
      <c r="AF2473" s="6">
        <f ca="1">Main[[#This Row],[تعداد روزهای بدهکار سررسید شده (روز)]]*Main[[#This Row],[مانده در خط سررسید شده (کیلوگرم)]]</f>
        <v>0</v>
      </c>
    </row>
    <row r="2474" spans="1:32" hidden="1" x14ac:dyDescent="0.35">
      <c r="A2474" s="5">
        <f>ROW()-ROW(INDEX(Main[ردیف],1))+1</f>
        <v>2472</v>
      </c>
      <c r="B2474" s="31">
        <f>SUBTOTAL(2,INDEX(Main[ردیف],1):Main[[#This Row],[ردیف]])</f>
        <v>221</v>
      </c>
      <c r="C2474" s="32" t="s">
        <v>808</v>
      </c>
      <c r="D2474" s="32" t="str">
        <f>_xlfn.CONCAT("14",Main[[#This Row],[تاريخ]])</f>
        <v>1400/09/20</v>
      </c>
      <c r="E2474" s="33">
        <v>44541</v>
      </c>
      <c r="F2474" s="32">
        <v>30014</v>
      </c>
      <c r="G2474" s="5" t="str">
        <f>INDEX(customer[عنوان],MATCH(Main[[#This Row],[کد ردیابی]],customer[کد],0))</f>
        <v>کلون</v>
      </c>
      <c r="H2474">
        <v>2994</v>
      </c>
      <c r="I2474" s="6">
        <f ca="1">-Main[[#This Row],[بدهی تسویه شده (کیلوگرم)]]+Main[[#This Row],[بستانکار (کیلوگرم)]]</f>
        <v>2994</v>
      </c>
      <c r="J2474" s="6">
        <f>IF(Main[[#This Row],[مقدار (کیلوگرم)]]&gt;0,Main[[#This Row],[مقدار (کیلوگرم)]],0)</f>
        <v>2994</v>
      </c>
      <c r="K2474" s="6">
        <f>-IF(Main[[#This Row],[مقدار (کیلوگرم)]]&lt;0,Main[[#This Row],[مقدار (کیلوگرم)]],0)</f>
        <v>0</v>
      </c>
      <c r="L24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4" s="7">
        <f>-IF(AND(Main[[#This Row],[مقدار (کیلوگرم)]]&lt;0,Main[[#This Row],[تاريخ میلادی]]&gt;44276),Main[[#This Row],[مقدار (کیلوگرم)]],0)</f>
        <v>0</v>
      </c>
      <c r="N2474" s="6">
        <f ca="1">Main[[#This Row],[بدهکار (کیلوگرم)]]-Main[[#This Row],[بدهی تسویه نشده (کیلوگرم)]]</f>
        <v>0</v>
      </c>
      <c r="O2474" s="6">
        <f ca="1">Main[[#This Row],[تفکیک]]</f>
        <v>0</v>
      </c>
      <c r="P2474" s="6">
        <f ca="1">IF(Main[[#This Row],[تاخیر از سررسید]]&gt;0,Main[[#This Row],[بدهی تسویه نشده (کیلوگرم)]],0)</f>
        <v>0</v>
      </c>
      <c r="Q2474" s="6">
        <f ca="1">IF(Main[[#This Row],[بدهی تسویه نشده (کیلوگرم)]]&gt;0,'گزارش فردی'!$B$7-Main[[#This Row],[تاريخ میلادی]],0)</f>
        <v>0</v>
      </c>
      <c r="R2474" s="6">
        <f ca="1">IF(Main[[#This Row],[بدهی تسویه نشده (کیلوگرم)]]&gt;0,'گزارش فردی'!$B$7-Main[[#This Row],[تاريخ میلادی]]-'گزارش فردی'!$B$8,0)</f>
        <v>0</v>
      </c>
      <c r="S2474" s="6">
        <f ca="1">Main[[#This Row],[روز از ارسال سفارش]]*Main[[#This Row],[بدهی تسویه نشده (کیلوگرم)]]</f>
        <v>0</v>
      </c>
      <c r="T2474" s="6">
        <f ca="1">Main[[#This Row],[بدهی سررسید شده (کیلوگرم)]]*Main[[#This Row],[روز از ارسال سفارش]]</f>
        <v>0</v>
      </c>
      <c r="U2474" s="6">
        <f>-SUBTOTAL(9,INDEX(Main[مقدار (کیلوگرم)],1):Main[[#This Row],[مقدار (کیلوگرم)]])</f>
        <v>36334</v>
      </c>
      <c r="V24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4" s="6">
        <f>Main[[#This Row],[تعداد کل روزهای بدهکار (روز)]]*Main[[#This Row],[مانده در خط کل (کیلوگرم)]]</f>
        <v>0</v>
      </c>
      <c r="X2474" s="6">
        <f ca="1">-SUBTOTAL(9,INDEX(Main[مقدار تسویه شده (کیلوگرم)],1):Main[[#This Row],[مقدار تسویه شده (کیلوگرم)]])</f>
        <v>21307</v>
      </c>
      <c r="Y2474" s="6">
        <f ca="1">IF(Main[[#This Row],[مانده در خط تسویه شده (کیلوگرم)]]&lt;&gt;0,Main[[#This Row],[تعداد کل روزهای بدهکار (روز)]],0)</f>
        <v>0</v>
      </c>
      <c r="Z2474" s="6">
        <f ca="1">Main[[#This Row],[تعداد روزهای بدهکار تسویه شده (روز)]]*Main[[#This Row],[مانده در خط تسویه شده (کیلوگرم)]]</f>
        <v>0</v>
      </c>
      <c r="AA2474" s="6">
        <f ca="1">SUBTOTAL(9,INDEX(Main[بدهی تسویه نشده (کیلوگرم)],1):Main[[#This Row],[بدهی تسویه نشده (کیلوگرم)]])</f>
        <v>15027</v>
      </c>
      <c r="AB2474" s="6">
        <f ca="1">IF(Main[[#This Row],[مانده در خط تسویه نشده (کیلوگرم)]]&lt;&gt;0,Main[[#This Row],[تعداد کل روزهای بدهکار (روز)]],0)</f>
        <v>0</v>
      </c>
      <c r="AC2474" s="6">
        <f ca="1">Main[[#This Row],[تعداد روزهای بدهکار  تسویه نشده (روز)]]*Main[[#This Row],[مانده در خط تسویه نشده (کیلوگرم)]]</f>
        <v>0</v>
      </c>
      <c r="AD2474" s="6">
        <f ca="1">SUBTOTAL(9,INDEX(Main[بدهی سررسید شده (کیلوگرم)],1):Main[[#This Row],[بدهی سررسید شده (کیلوگرم)]])</f>
        <v>15027</v>
      </c>
      <c r="AE2474" s="6">
        <f ca="1">IF(Main[[#This Row],[مانده در خط سررسید شده (کیلوگرم)]]&lt;&gt;0,Main[[#This Row],[تعداد کل روزهای بدهکار (روز)]],0)</f>
        <v>0</v>
      </c>
      <c r="AF2474" s="6">
        <f ca="1">Main[[#This Row],[تعداد روزهای بدهکار سررسید شده (روز)]]*Main[[#This Row],[مانده در خط سررسید شده (کیلوگرم)]]</f>
        <v>0</v>
      </c>
    </row>
    <row r="2475" spans="1:32" x14ac:dyDescent="0.35">
      <c r="A2475" s="5">
        <f>ROW()-ROW(INDEX(Main[ردیف],1))+1</f>
        <v>2473</v>
      </c>
      <c r="B2475" s="31">
        <f>SUBTOTAL(2,INDEX(Main[ردیف],1):Main[[#This Row],[ردیف]])</f>
        <v>222</v>
      </c>
      <c r="C2475" s="32" t="s">
        <v>808</v>
      </c>
      <c r="D2475" s="32" t="str">
        <f>_xlfn.CONCAT("14",Main[[#This Row],[تاريخ]])</f>
        <v>1400/09/20</v>
      </c>
      <c r="E2475" s="33">
        <v>44541</v>
      </c>
      <c r="F2475" s="32">
        <v>10003</v>
      </c>
      <c r="G2475" s="5" t="str">
        <f>INDEX(customer[عنوان],MATCH(Main[[#This Row],[کد ردیابی]],customer[کد],0))</f>
        <v>اصغر نورعلی</v>
      </c>
      <c r="H2475">
        <v>-1850</v>
      </c>
      <c r="I2475" s="6">
        <f ca="1">-Main[[#This Row],[بدهی تسویه شده (کیلوگرم)]]+Main[[#This Row],[بستانکار (کیلوگرم)]]</f>
        <v>0</v>
      </c>
      <c r="J2475" s="6">
        <f>IF(Main[[#This Row],[مقدار (کیلوگرم)]]&gt;0,Main[[#This Row],[مقدار (کیلوگرم)]],0)</f>
        <v>0</v>
      </c>
      <c r="K2475" s="6">
        <f>-IF(Main[[#This Row],[مقدار (کیلوگرم)]]&lt;0,Main[[#This Row],[مقدار (کیلوگرم)]],0)</f>
        <v>1850</v>
      </c>
      <c r="L24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1850</v>
      </c>
      <c r="M2475" s="7">
        <f>-IF(AND(Main[[#This Row],[مقدار (کیلوگرم)]]&lt;0,Main[[#This Row],[تاريخ میلادی]]&gt;44276),Main[[#This Row],[مقدار (کیلوگرم)]],0)</f>
        <v>1850</v>
      </c>
      <c r="N2475" s="6">
        <f ca="1">Main[[#This Row],[بدهکار (کیلوگرم)]]-Main[[#This Row],[بدهی تسویه نشده (کیلوگرم)]]</f>
        <v>0</v>
      </c>
      <c r="O2475" s="6">
        <f ca="1">Main[[#This Row],[تفکیک]]</f>
        <v>1850</v>
      </c>
      <c r="P2475" s="6">
        <f ca="1">IF(Main[[#This Row],[تاخیر از سررسید]]&gt;0,Main[[#This Row],[بدهی تسویه نشده (کیلوگرم)]],0)</f>
        <v>1850</v>
      </c>
      <c r="Q2475" s="6">
        <f ca="1">IF(Main[[#This Row],[بدهی تسویه نشده (کیلوگرم)]]&gt;0,'گزارش فردی'!$B$7-Main[[#This Row],[تاريخ میلادی]],0)</f>
        <v>921.75374085648218</v>
      </c>
      <c r="R2475" s="6">
        <f ca="1">IF(Main[[#This Row],[بدهی تسویه نشده (کیلوگرم)]]&gt;0,'گزارش فردی'!$B$7-Main[[#This Row],[تاريخ میلادی]]-'گزارش فردی'!$B$8,0)</f>
        <v>906.75374085648218</v>
      </c>
      <c r="S2475" s="6">
        <f ca="1">Main[[#This Row],[روز از ارسال سفارش]]*Main[[#This Row],[بدهی تسویه نشده (کیلوگرم)]]</f>
        <v>1705244.4205844919</v>
      </c>
      <c r="T2475" s="6">
        <f ca="1">Main[[#This Row],[بدهی سررسید شده (کیلوگرم)]]*Main[[#This Row],[روز از ارسال سفارش]]</f>
        <v>1705244.4205844919</v>
      </c>
      <c r="U2475" s="6">
        <f>-SUBTOTAL(9,INDEX(Main[مقدار (کیلوگرم)],1):Main[[#This Row],[مقدار (کیلوگرم)]])</f>
        <v>38184</v>
      </c>
      <c r="V24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75" s="6">
        <f>Main[[#This Row],[تعداد کل روزهای بدهکار (روز)]]*Main[[#This Row],[مانده در خط کل (کیلوگرم)]]</f>
        <v>38184</v>
      </c>
      <c r="X2475" s="6">
        <f ca="1">-SUBTOTAL(9,INDEX(Main[مقدار تسویه شده (کیلوگرم)],1):Main[[#This Row],[مقدار تسویه شده (کیلوگرم)]])</f>
        <v>21307</v>
      </c>
      <c r="Y2475" s="6">
        <f ca="1">IF(Main[[#This Row],[مانده در خط تسویه شده (کیلوگرم)]]&lt;&gt;0,Main[[#This Row],[تعداد کل روزهای بدهکار (روز)]],0)</f>
        <v>1</v>
      </c>
      <c r="Z2475" s="6">
        <f ca="1">Main[[#This Row],[تعداد روزهای بدهکار تسویه شده (روز)]]*Main[[#This Row],[مانده در خط تسویه شده (کیلوگرم)]]</f>
        <v>21307</v>
      </c>
      <c r="AA2475" s="6">
        <f ca="1">SUBTOTAL(9,INDEX(Main[بدهی تسویه نشده (کیلوگرم)],1):Main[[#This Row],[بدهی تسویه نشده (کیلوگرم)]])</f>
        <v>16877</v>
      </c>
      <c r="AB2475" s="6">
        <f ca="1">IF(Main[[#This Row],[مانده در خط تسویه نشده (کیلوگرم)]]&lt;&gt;0,Main[[#This Row],[تعداد کل روزهای بدهکار (روز)]],0)</f>
        <v>1</v>
      </c>
      <c r="AC2475" s="6">
        <f ca="1">Main[[#This Row],[تعداد روزهای بدهکار  تسویه نشده (روز)]]*Main[[#This Row],[مانده در خط تسویه نشده (کیلوگرم)]]</f>
        <v>16877</v>
      </c>
      <c r="AD2475" s="6">
        <f ca="1">SUBTOTAL(9,INDEX(Main[بدهی سررسید شده (کیلوگرم)],1):Main[[#This Row],[بدهی سررسید شده (کیلوگرم)]])</f>
        <v>16877</v>
      </c>
      <c r="AE2475" s="6">
        <f ca="1">IF(Main[[#This Row],[مانده در خط سررسید شده (کیلوگرم)]]&lt;&gt;0,Main[[#This Row],[تعداد کل روزهای بدهکار (روز)]],0)</f>
        <v>1</v>
      </c>
      <c r="AF2475" s="6">
        <f ca="1">Main[[#This Row],[تعداد روزهای بدهکار سررسید شده (روز)]]*Main[[#This Row],[مانده در خط سررسید شده (کیلوگرم)]]</f>
        <v>16877</v>
      </c>
    </row>
    <row r="2476" spans="1:32" hidden="1" x14ac:dyDescent="0.35">
      <c r="A2476" s="5">
        <f>ROW()-ROW(INDEX(Main[ردیف],1))+1</f>
        <v>2474</v>
      </c>
      <c r="B2476" s="31">
        <f>SUBTOTAL(2,INDEX(Main[ردیف],1):Main[[#This Row],[ردیف]])</f>
        <v>222</v>
      </c>
      <c r="C2476" s="32" t="s">
        <v>808</v>
      </c>
      <c r="D2476" s="32" t="str">
        <f>_xlfn.CONCAT("14",Main[[#This Row],[تاريخ]])</f>
        <v>1400/09/20</v>
      </c>
      <c r="E2476" s="33">
        <v>44541</v>
      </c>
      <c r="F2476" s="32">
        <v>10026</v>
      </c>
      <c r="G2476" s="5" t="str">
        <f>INDEX(customer[عنوان],MATCH(Main[[#This Row],[کد ردیابی]],customer[کد],0))</f>
        <v xml:space="preserve">محسن فیاض بخش </v>
      </c>
      <c r="H2476">
        <v>-1216</v>
      </c>
      <c r="I2476" s="6">
        <f ca="1">-Main[[#This Row],[بدهی تسویه شده (کیلوگرم)]]+Main[[#This Row],[بستانکار (کیلوگرم)]]</f>
        <v>0</v>
      </c>
      <c r="J2476" s="6">
        <f>IF(Main[[#This Row],[مقدار (کیلوگرم)]]&gt;0,Main[[#This Row],[مقدار (کیلوگرم)]],0)</f>
        <v>0</v>
      </c>
      <c r="K2476" s="6">
        <f>-IF(Main[[#This Row],[مقدار (کیلوگرم)]]&lt;0,Main[[#This Row],[مقدار (کیلوگرم)]],0)</f>
        <v>1216</v>
      </c>
      <c r="L24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1216</v>
      </c>
      <c r="M2476" s="7">
        <f>-IF(AND(Main[[#This Row],[مقدار (کیلوگرم)]]&lt;0,Main[[#This Row],[تاريخ میلادی]]&gt;44276),Main[[#This Row],[مقدار (کیلوگرم)]],0)</f>
        <v>1216</v>
      </c>
      <c r="N2476" s="6">
        <f ca="1">Main[[#This Row],[بدهکار (کیلوگرم)]]-Main[[#This Row],[بدهی تسویه نشده (کیلوگرم)]]</f>
        <v>0</v>
      </c>
      <c r="O2476" s="6">
        <f ca="1">Main[[#This Row],[تفکیک]]</f>
        <v>1216</v>
      </c>
      <c r="P2476" s="6">
        <f ca="1">IF(Main[[#This Row],[تاخیر از سررسید]]&gt;0,Main[[#This Row],[بدهی تسویه نشده (کیلوگرم)]],0)</f>
        <v>1216</v>
      </c>
      <c r="Q2476" s="6">
        <f ca="1">IF(Main[[#This Row],[بدهی تسویه نشده (کیلوگرم)]]&gt;0,'گزارش فردی'!$B$7-Main[[#This Row],[تاريخ میلادی]],0)</f>
        <v>921.75374085648218</v>
      </c>
      <c r="R2476" s="6">
        <f ca="1">IF(Main[[#This Row],[بدهی تسویه نشده (کیلوگرم)]]&gt;0,'گزارش فردی'!$B$7-Main[[#This Row],[تاريخ میلادی]]-'گزارش فردی'!$B$8,0)</f>
        <v>906.75374085648218</v>
      </c>
      <c r="S2476" s="6">
        <f ca="1">Main[[#This Row],[روز از ارسال سفارش]]*Main[[#This Row],[بدهی تسویه نشده (کیلوگرم)]]</f>
        <v>1120852.5488814823</v>
      </c>
      <c r="T2476" s="6">
        <f ca="1">Main[[#This Row],[بدهی سررسید شده (کیلوگرم)]]*Main[[#This Row],[روز از ارسال سفارش]]</f>
        <v>1120852.5488814823</v>
      </c>
      <c r="U2476" s="6">
        <f>-SUBTOTAL(9,INDEX(Main[مقدار (کیلوگرم)],1):Main[[#This Row],[مقدار (کیلوگرم)]])</f>
        <v>38184</v>
      </c>
      <c r="V24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76" s="6">
        <f>Main[[#This Row],[تعداد کل روزهای بدهکار (روز)]]*Main[[#This Row],[مانده در خط کل (کیلوگرم)]]</f>
        <v>38184</v>
      </c>
      <c r="X2476" s="6">
        <f ca="1">-SUBTOTAL(9,INDEX(Main[مقدار تسویه شده (کیلوگرم)],1):Main[[#This Row],[مقدار تسویه شده (کیلوگرم)]])</f>
        <v>21307</v>
      </c>
      <c r="Y2476" s="6">
        <f ca="1">IF(Main[[#This Row],[مانده در خط تسویه شده (کیلوگرم)]]&lt;&gt;0,Main[[#This Row],[تعداد کل روزهای بدهکار (روز)]],0)</f>
        <v>1</v>
      </c>
      <c r="Z2476" s="6">
        <f ca="1">Main[[#This Row],[تعداد روزهای بدهکار تسویه شده (روز)]]*Main[[#This Row],[مانده در خط تسویه شده (کیلوگرم)]]</f>
        <v>21307</v>
      </c>
      <c r="AA2476" s="6">
        <f ca="1">SUBTOTAL(9,INDEX(Main[بدهی تسویه نشده (کیلوگرم)],1):Main[[#This Row],[بدهی تسویه نشده (کیلوگرم)]])</f>
        <v>16877</v>
      </c>
      <c r="AB2476" s="6">
        <f ca="1">IF(Main[[#This Row],[مانده در خط تسویه نشده (کیلوگرم)]]&lt;&gt;0,Main[[#This Row],[تعداد کل روزهای بدهکار (روز)]],0)</f>
        <v>1</v>
      </c>
      <c r="AC2476" s="6">
        <f ca="1">Main[[#This Row],[تعداد روزهای بدهکار  تسویه نشده (روز)]]*Main[[#This Row],[مانده در خط تسویه نشده (کیلوگرم)]]</f>
        <v>16877</v>
      </c>
      <c r="AD2476" s="6">
        <f ca="1">SUBTOTAL(9,INDEX(Main[بدهی سررسید شده (کیلوگرم)],1):Main[[#This Row],[بدهی سررسید شده (کیلوگرم)]])</f>
        <v>16877</v>
      </c>
      <c r="AE2476" s="6">
        <f ca="1">IF(Main[[#This Row],[مانده در خط سررسید شده (کیلوگرم)]]&lt;&gt;0,Main[[#This Row],[تعداد کل روزهای بدهکار (روز)]],0)</f>
        <v>1</v>
      </c>
      <c r="AF2476" s="6">
        <f ca="1">Main[[#This Row],[تعداد روزهای بدهکار سررسید شده (روز)]]*Main[[#This Row],[مانده در خط سررسید شده (کیلوگرم)]]</f>
        <v>16877</v>
      </c>
    </row>
    <row r="2477" spans="1:32" hidden="1" x14ac:dyDescent="0.35">
      <c r="A2477" s="5">
        <f>ROW()-ROW(INDEX(Main[ردیف],1))+1</f>
        <v>2475</v>
      </c>
      <c r="B2477" s="31">
        <f>SUBTOTAL(2,INDEX(Main[ردیف],1):Main[[#This Row],[ردیف]])</f>
        <v>222</v>
      </c>
      <c r="C2477" s="32" t="s">
        <v>809</v>
      </c>
      <c r="D2477" s="32" t="str">
        <f>_xlfn.CONCAT("14",Main[[#This Row],[تاريخ]])</f>
        <v>1400/09/21</v>
      </c>
      <c r="E2477" s="33">
        <v>44542</v>
      </c>
      <c r="F2477" s="32">
        <v>30003</v>
      </c>
      <c r="G2477" s="5" t="str">
        <f>INDEX(customer[عنوان],MATCH(Main[[#This Row],[کد ردیابی]],customer[کد],0))</f>
        <v xml:space="preserve">شهاب گاز سوز </v>
      </c>
      <c r="H2477">
        <v>160</v>
      </c>
      <c r="I2477" s="6">
        <f ca="1">-Main[[#This Row],[بدهی تسویه شده (کیلوگرم)]]+Main[[#This Row],[بستانکار (کیلوگرم)]]</f>
        <v>160</v>
      </c>
      <c r="J2477" s="6">
        <f>IF(Main[[#This Row],[مقدار (کیلوگرم)]]&gt;0,Main[[#This Row],[مقدار (کیلوگرم)]],0)</f>
        <v>160</v>
      </c>
      <c r="K2477" s="6">
        <f>-IF(Main[[#This Row],[مقدار (کیلوگرم)]]&lt;0,Main[[#This Row],[مقدار (کیلوگرم)]],0)</f>
        <v>0</v>
      </c>
      <c r="L24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7" s="7">
        <f>-IF(AND(Main[[#This Row],[مقدار (کیلوگرم)]]&lt;0,Main[[#This Row],[تاريخ میلادی]]&gt;44276),Main[[#This Row],[مقدار (کیلوگرم)]],0)</f>
        <v>0</v>
      </c>
      <c r="N2477" s="6">
        <f ca="1">Main[[#This Row],[بدهکار (کیلوگرم)]]-Main[[#This Row],[بدهی تسویه نشده (کیلوگرم)]]</f>
        <v>0</v>
      </c>
      <c r="O2477" s="6">
        <f ca="1">Main[[#This Row],[تفکیک]]</f>
        <v>0</v>
      </c>
      <c r="P2477" s="6">
        <f ca="1">IF(Main[[#This Row],[تاخیر از سررسید]]&gt;0,Main[[#This Row],[بدهی تسویه نشده (کیلوگرم)]],0)</f>
        <v>0</v>
      </c>
      <c r="Q2477" s="6">
        <f ca="1">IF(Main[[#This Row],[بدهی تسویه نشده (کیلوگرم)]]&gt;0,'گزارش فردی'!$B$7-Main[[#This Row],[تاريخ میلادی]],0)</f>
        <v>0</v>
      </c>
      <c r="R2477" s="6">
        <f ca="1">IF(Main[[#This Row],[بدهی تسویه نشده (کیلوگرم)]]&gt;0,'گزارش فردی'!$B$7-Main[[#This Row],[تاريخ میلادی]]-'گزارش فردی'!$B$8,0)</f>
        <v>0</v>
      </c>
      <c r="S2477" s="6">
        <f ca="1">Main[[#This Row],[روز از ارسال سفارش]]*Main[[#This Row],[بدهی تسویه نشده (کیلوگرم)]]</f>
        <v>0</v>
      </c>
      <c r="T2477" s="6">
        <f ca="1">Main[[#This Row],[بدهی سررسید شده (کیلوگرم)]]*Main[[#This Row],[روز از ارسال سفارش]]</f>
        <v>0</v>
      </c>
      <c r="U2477" s="6">
        <f>-SUBTOTAL(9,INDEX(Main[مقدار (کیلوگرم)],1):Main[[#This Row],[مقدار (کیلوگرم)]])</f>
        <v>38184</v>
      </c>
      <c r="V24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7" s="6">
        <f>Main[[#This Row],[تعداد کل روزهای بدهکار (روز)]]*Main[[#This Row],[مانده در خط کل (کیلوگرم)]]</f>
        <v>0</v>
      </c>
      <c r="X2477" s="6">
        <f ca="1">-SUBTOTAL(9,INDEX(Main[مقدار تسویه شده (کیلوگرم)],1):Main[[#This Row],[مقدار تسویه شده (کیلوگرم)]])</f>
        <v>21307</v>
      </c>
      <c r="Y2477" s="6">
        <f ca="1">IF(Main[[#This Row],[مانده در خط تسویه شده (کیلوگرم)]]&lt;&gt;0,Main[[#This Row],[تعداد کل روزهای بدهکار (روز)]],0)</f>
        <v>0</v>
      </c>
      <c r="Z2477" s="6">
        <f ca="1">Main[[#This Row],[تعداد روزهای بدهکار تسویه شده (روز)]]*Main[[#This Row],[مانده در خط تسویه شده (کیلوگرم)]]</f>
        <v>0</v>
      </c>
      <c r="AA2477" s="6">
        <f ca="1">SUBTOTAL(9,INDEX(Main[بدهی تسویه نشده (کیلوگرم)],1):Main[[#This Row],[بدهی تسویه نشده (کیلوگرم)]])</f>
        <v>16877</v>
      </c>
      <c r="AB2477" s="6">
        <f ca="1">IF(Main[[#This Row],[مانده در خط تسویه نشده (کیلوگرم)]]&lt;&gt;0,Main[[#This Row],[تعداد کل روزهای بدهکار (روز)]],0)</f>
        <v>0</v>
      </c>
      <c r="AC2477" s="6">
        <f ca="1">Main[[#This Row],[تعداد روزهای بدهکار  تسویه نشده (روز)]]*Main[[#This Row],[مانده در خط تسویه نشده (کیلوگرم)]]</f>
        <v>0</v>
      </c>
      <c r="AD2477" s="6">
        <f ca="1">SUBTOTAL(9,INDEX(Main[بدهی سررسید شده (کیلوگرم)],1):Main[[#This Row],[بدهی سررسید شده (کیلوگرم)]])</f>
        <v>16877</v>
      </c>
      <c r="AE2477" s="6">
        <f ca="1">IF(Main[[#This Row],[مانده در خط سررسید شده (کیلوگرم)]]&lt;&gt;0,Main[[#This Row],[تعداد کل روزهای بدهکار (روز)]],0)</f>
        <v>0</v>
      </c>
      <c r="AF2477" s="6">
        <f ca="1">Main[[#This Row],[تعداد روزهای بدهکار سررسید شده (روز)]]*Main[[#This Row],[مانده در خط سررسید شده (کیلوگرم)]]</f>
        <v>0</v>
      </c>
    </row>
    <row r="2478" spans="1:32" hidden="1" x14ac:dyDescent="0.35">
      <c r="A2478" s="5">
        <f>ROW()-ROW(INDEX(Main[ردیف],1))+1</f>
        <v>2476</v>
      </c>
      <c r="B2478" s="31">
        <f>SUBTOTAL(2,INDEX(Main[ردیف],1):Main[[#This Row],[ردیف]])</f>
        <v>222</v>
      </c>
      <c r="C2478" s="32" t="s">
        <v>809</v>
      </c>
      <c r="D2478" s="32" t="str">
        <f>_xlfn.CONCAT("14",Main[[#This Row],[تاريخ]])</f>
        <v>1400/09/21</v>
      </c>
      <c r="E2478" s="33">
        <v>44542</v>
      </c>
      <c r="F2478" s="32">
        <v>30003</v>
      </c>
      <c r="G2478" s="5" t="str">
        <f>INDEX(customer[عنوان],MATCH(Main[[#This Row],[کد ردیابی]],customer[کد],0))</f>
        <v xml:space="preserve">شهاب گاز سوز </v>
      </c>
      <c r="H2478">
        <v>-976</v>
      </c>
      <c r="I2478" s="6">
        <f ca="1">-Main[[#This Row],[بدهی تسویه شده (کیلوگرم)]]+Main[[#This Row],[بستانکار (کیلوگرم)]]</f>
        <v>0</v>
      </c>
      <c r="J2478" s="6">
        <f>IF(Main[[#This Row],[مقدار (کیلوگرم)]]&gt;0,Main[[#This Row],[مقدار (کیلوگرم)]],0)</f>
        <v>0</v>
      </c>
      <c r="K2478" s="6">
        <f>-IF(Main[[#This Row],[مقدار (کیلوگرم)]]&lt;0,Main[[#This Row],[مقدار (کیلوگرم)]],0)</f>
        <v>976</v>
      </c>
      <c r="L24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976</v>
      </c>
      <c r="M2478" s="7">
        <f>-IF(AND(Main[[#This Row],[مقدار (کیلوگرم)]]&lt;0,Main[[#This Row],[تاريخ میلادی]]&gt;44276),Main[[#This Row],[مقدار (کیلوگرم)]],0)</f>
        <v>976</v>
      </c>
      <c r="N2478" s="6">
        <f ca="1">Main[[#This Row],[بدهکار (کیلوگرم)]]-Main[[#This Row],[بدهی تسویه نشده (کیلوگرم)]]</f>
        <v>0</v>
      </c>
      <c r="O2478" s="6">
        <f ca="1">Main[[#This Row],[تفکیک]]</f>
        <v>976</v>
      </c>
      <c r="P2478" s="6">
        <f ca="1">IF(Main[[#This Row],[تاخیر از سررسید]]&gt;0,Main[[#This Row],[بدهی تسویه نشده (کیلوگرم)]],0)</f>
        <v>976</v>
      </c>
      <c r="Q2478" s="6">
        <f ca="1">IF(Main[[#This Row],[بدهی تسویه نشده (کیلوگرم)]]&gt;0,'گزارش فردی'!$B$7-Main[[#This Row],[تاريخ میلادی]],0)</f>
        <v>920.75374085648218</v>
      </c>
      <c r="R2478" s="6">
        <f ca="1">IF(Main[[#This Row],[بدهی تسویه نشده (کیلوگرم)]]&gt;0,'گزارش فردی'!$B$7-Main[[#This Row],[تاريخ میلادی]]-'گزارش فردی'!$B$8,0)</f>
        <v>905.75374085648218</v>
      </c>
      <c r="S2478" s="6">
        <f ca="1">Main[[#This Row],[روز از ارسال سفارش]]*Main[[#This Row],[بدهی تسویه نشده (کیلوگرم)]]</f>
        <v>898655.65107592661</v>
      </c>
      <c r="T2478" s="6">
        <f ca="1">Main[[#This Row],[بدهی سررسید شده (کیلوگرم)]]*Main[[#This Row],[روز از ارسال سفارش]]</f>
        <v>898655.65107592661</v>
      </c>
      <c r="U2478" s="6">
        <f>-SUBTOTAL(9,INDEX(Main[مقدار (کیلوگرم)],1):Main[[#This Row],[مقدار (کیلوگرم)]])</f>
        <v>38184</v>
      </c>
      <c r="V24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8" s="6">
        <f>Main[[#This Row],[تعداد کل روزهای بدهکار (روز)]]*Main[[#This Row],[مانده در خط کل (کیلوگرم)]]</f>
        <v>0</v>
      </c>
      <c r="X2478" s="6">
        <f ca="1">-SUBTOTAL(9,INDEX(Main[مقدار تسویه شده (کیلوگرم)],1):Main[[#This Row],[مقدار تسویه شده (کیلوگرم)]])</f>
        <v>21307</v>
      </c>
      <c r="Y2478" s="6">
        <f ca="1">IF(Main[[#This Row],[مانده در خط تسویه شده (کیلوگرم)]]&lt;&gt;0,Main[[#This Row],[تعداد کل روزهای بدهکار (روز)]],0)</f>
        <v>0</v>
      </c>
      <c r="Z2478" s="6">
        <f ca="1">Main[[#This Row],[تعداد روزهای بدهکار تسویه شده (روز)]]*Main[[#This Row],[مانده در خط تسویه شده (کیلوگرم)]]</f>
        <v>0</v>
      </c>
      <c r="AA2478" s="6">
        <f ca="1">SUBTOTAL(9,INDEX(Main[بدهی تسویه نشده (کیلوگرم)],1):Main[[#This Row],[بدهی تسویه نشده (کیلوگرم)]])</f>
        <v>16877</v>
      </c>
      <c r="AB2478" s="6">
        <f ca="1">IF(Main[[#This Row],[مانده در خط تسویه نشده (کیلوگرم)]]&lt;&gt;0,Main[[#This Row],[تعداد کل روزهای بدهکار (روز)]],0)</f>
        <v>0</v>
      </c>
      <c r="AC2478" s="6">
        <f ca="1">Main[[#This Row],[تعداد روزهای بدهکار  تسویه نشده (روز)]]*Main[[#This Row],[مانده در خط تسویه نشده (کیلوگرم)]]</f>
        <v>0</v>
      </c>
      <c r="AD2478" s="6">
        <f ca="1">SUBTOTAL(9,INDEX(Main[بدهی سررسید شده (کیلوگرم)],1):Main[[#This Row],[بدهی سررسید شده (کیلوگرم)]])</f>
        <v>16877</v>
      </c>
      <c r="AE2478" s="6">
        <f ca="1">IF(Main[[#This Row],[مانده در خط سررسید شده (کیلوگرم)]]&lt;&gt;0,Main[[#This Row],[تعداد کل روزهای بدهکار (روز)]],0)</f>
        <v>0</v>
      </c>
      <c r="AF2478" s="6">
        <f ca="1">Main[[#This Row],[تعداد روزهای بدهکار سررسید شده (روز)]]*Main[[#This Row],[مانده در خط سررسید شده (کیلوگرم)]]</f>
        <v>0</v>
      </c>
    </row>
    <row r="2479" spans="1:32" hidden="1" x14ac:dyDescent="0.35">
      <c r="A2479" s="5">
        <f>ROW()-ROW(INDEX(Main[ردیف],1))+1</f>
        <v>2477</v>
      </c>
      <c r="B2479" s="31">
        <f>SUBTOTAL(2,INDEX(Main[ردیف],1):Main[[#This Row],[ردیف]])</f>
        <v>222</v>
      </c>
      <c r="C2479" s="32" t="s">
        <v>809</v>
      </c>
      <c r="D2479" s="32" t="str">
        <f>_xlfn.CONCAT("14",Main[[#This Row],[تاريخ]])</f>
        <v>1400/09/21</v>
      </c>
      <c r="E2479" s="33">
        <v>44542</v>
      </c>
      <c r="F2479" s="32">
        <v>30196</v>
      </c>
      <c r="G2479" s="5" t="str">
        <f>INDEX(customer[عنوان],MATCH(Main[[#This Row],[کد ردیابی]],customer[کد],0))</f>
        <v>شرکت فردوس</v>
      </c>
      <c r="H2479">
        <v>1352</v>
      </c>
      <c r="I2479" s="6">
        <f ca="1">-Main[[#This Row],[بدهی تسویه شده (کیلوگرم)]]+Main[[#This Row],[بستانکار (کیلوگرم)]]</f>
        <v>1352</v>
      </c>
      <c r="J2479" s="6">
        <f>IF(Main[[#This Row],[مقدار (کیلوگرم)]]&gt;0,Main[[#This Row],[مقدار (کیلوگرم)]],0)</f>
        <v>1352</v>
      </c>
      <c r="K2479" s="6">
        <f>-IF(Main[[#This Row],[مقدار (کیلوگرم)]]&lt;0,Main[[#This Row],[مقدار (کیلوگرم)]],0)</f>
        <v>0</v>
      </c>
      <c r="L24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9" s="7">
        <f>-IF(AND(Main[[#This Row],[مقدار (کیلوگرم)]]&lt;0,Main[[#This Row],[تاريخ میلادی]]&gt;44276),Main[[#This Row],[مقدار (کیلوگرم)]],0)</f>
        <v>0</v>
      </c>
      <c r="N2479" s="6">
        <f ca="1">Main[[#This Row],[بدهکار (کیلوگرم)]]-Main[[#This Row],[بدهی تسویه نشده (کیلوگرم)]]</f>
        <v>0</v>
      </c>
      <c r="O2479" s="6">
        <f ca="1">Main[[#This Row],[تفکیک]]</f>
        <v>0</v>
      </c>
      <c r="P2479" s="6">
        <f ca="1">IF(Main[[#This Row],[تاخیر از سررسید]]&gt;0,Main[[#This Row],[بدهی تسویه نشده (کیلوگرم)]],0)</f>
        <v>0</v>
      </c>
      <c r="Q2479" s="6">
        <f ca="1">IF(Main[[#This Row],[بدهی تسویه نشده (کیلوگرم)]]&gt;0,'گزارش فردی'!$B$7-Main[[#This Row],[تاريخ میلادی]],0)</f>
        <v>0</v>
      </c>
      <c r="R2479" s="6">
        <f ca="1">IF(Main[[#This Row],[بدهی تسویه نشده (کیلوگرم)]]&gt;0,'گزارش فردی'!$B$7-Main[[#This Row],[تاريخ میلادی]]-'گزارش فردی'!$B$8,0)</f>
        <v>0</v>
      </c>
      <c r="S2479" s="6">
        <f ca="1">Main[[#This Row],[روز از ارسال سفارش]]*Main[[#This Row],[بدهی تسویه نشده (کیلوگرم)]]</f>
        <v>0</v>
      </c>
      <c r="T2479" s="6">
        <f ca="1">Main[[#This Row],[بدهی سررسید شده (کیلوگرم)]]*Main[[#This Row],[روز از ارسال سفارش]]</f>
        <v>0</v>
      </c>
      <c r="U2479" s="6">
        <f>-SUBTOTAL(9,INDEX(Main[مقدار (کیلوگرم)],1):Main[[#This Row],[مقدار (کیلوگرم)]])</f>
        <v>38184</v>
      </c>
      <c r="V24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9" s="6">
        <f>Main[[#This Row],[تعداد کل روزهای بدهکار (روز)]]*Main[[#This Row],[مانده در خط کل (کیلوگرم)]]</f>
        <v>0</v>
      </c>
      <c r="X2479" s="6">
        <f ca="1">-SUBTOTAL(9,INDEX(Main[مقدار تسویه شده (کیلوگرم)],1):Main[[#This Row],[مقدار تسویه شده (کیلوگرم)]])</f>
        <v>21307</v>
      </c>
      <c r="Y2479" s="6">
        <f ca="1">IF(Main[[#This Row],[مانده در خط تسویه شده (کیلوگرم)]]&lt;&gt;0,Main[[#This Row],[تعداد کل روزهای بدهکار (روز)]],0)</f>
        <v>0</v>
      </c>
      <c r="Z2479" s="6">
        <f ca="1">Main[[#This Row],[تعداد روزهای بدهکار تسویه شده (روز)]]*Main[[#This Row],[مانده در خط تسویه شده (کیلوگرم)]]</f>
        <v>0</v>
      </c>
      <c r="AA2479" s="6">
        <f ca="1">SUBTOTAL(9,INDEX(Main[بدهی تسویه نشده (کیلوگرم)],1):Main[[#This Row],[بدهی تسویه نشده (کیلوگرم)]])</f>
        <v>16877</v>
      </c>
      <c r="AB2479" s="6">
        <f ca="1">IF(Main[[#This Row],[مانده در خط تسویه نشده (کیلوگرم)]]&lt;&gt;0,Main[[#This Row],[تعداد کل روزهای بدهکار (روز)]],0)</f>
        <v>0</v>
      </c>
      <c r="AC2479" s="6">
        <f ca="1">Main[[#This Row],[تعداد روزهای بدهکار  تسویه نشده (روز)]]*Main[[#This Row],[مانده در خط تسویه نشده (کیلوگرم)]]</f>
        <v>0</v>
      </c>
      <c r="AD2479" s="6">
        <f ca="1">SUBTOTAL(9,INDEX(Main[بدهی سررسید شده (کیلوگرم)],1):Main[[#This Row],[بدهی سررسید شده (کیلوگرم)]])</f>
        <v>16877</v>
      </c>
      <c r="AE2479" s="6">
        <f ca="1">IF(Main[[#This Row],[مانده در خط سررسید شده (کیلوگرم)]]&lt;&gt;0,Main[[#This Row],[تعداد کل روزهای بدهکار (روز)]],0)</f>
        <v>0</v>
      </c>
      <c r="AF2479" s="6">
        <f ca="1">Main[[#This Row],[تعداد روزهای بدهکار سررسید شده (روز)]]*Main[[#This Row],[مانده در خط سررسید شده (کیلوگرم)]]</f>
        <v>0</v>
      </c>
    </row>
    <row r="2480" spans="1:32" hidden="1" x14ac:dyDescent="0.35">
      <c r="A2480" s="5">
        <f>ROW()-ROW(INDEX(Main[ردیف],1))+1</f>
        <v>2478</v>
      </c>
      <c r="B2480" s="31">
        <f>SUBTOTAL(2,INDEX(Main[ردیف],1):Main[[#This Row],[ردیف]])</f>
        <v>222</v>
      </c>
      <c r="C2480" s="32" t="s">
        <v>809</v>
      </c>
      <c r="D2480" s="32" t="str">
        <f>_xlfn.CONCAT("14",Main[[#This Row],[تاريخ]])</f>
        <v>1400/09/21</v>
      </c>
      <c r="E2480" s="33">
        <v>44542</v>
      </c>
      <c r="F2480" s="32">
        <v>30070</v>
      </c>
      <c r="G2480" s="5" t="str">
        <f>INDEX(customer[عنوان],MATCH(Main[[#This Row],[کد ردیابی]],customer[کد],0))</f>
        <v xml:space="preserve">تکنو تراش یادگار </v>
      </c>
      <c r="H2480">
        <v>-1998</v>
      </c>
      <c r="I2480" s="6">
        <f ca="1">-Main[[#This Row],[بدهی تسویه شده (کیلوگرم)]]+Main[[#This Row],[بستانکار (کیلوگرم)]]</f>
        <v>0</v>
      </c>
      <c r="J2480" s="6">
        <f>IF(Main[[#This Row],[مقدار (کیلوگرم)]]&gt;0,Main[[#This Row],[مقدار (کیلوگرم)]],0)</f>
        <v>0</v>
      </c>
      <c r="K2480" s="6">
        <f>-IF(Main[[#This Row],[مقدار (کیلوگرم)]]&lt;0,Main[[#This Row],[مقدار (کیلوگرم)]],0)</f>
        <v>1998</v>
      </c>
      <c r="L24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1998</v>
      </c>
      <c r="M2480" s="7">
        <f>-IF(AND(Main[[#This Row],[مقدار (کیلوگرم)]]&lt;0,Main[[#This Row],[تاريخ میلادی]]&gt;44276),Main[[#This Row],[مقدار (کیلوگرم)]],0)</f>
        <v>1998</v>
      </c>
      <c r="N2480" s="6">
        <f ca="1">Main[[#This Row],[بدهکار (کیلوگرم)]]-Main[[#This Row],[بدهی تسویه نشده (کیلوگرم)]]</f>
        <v>0</v>
      </c>
      <c r="O2480" s="6">
        <f ca="1">Main[[#This Row],[تفکیک]]</f>
        <v>1998</v>
      </c>
      <c r="P2480" s="6">
        <f ca="1">IF(Main[[#This Row],[تاخیر از سررسید]]&gt;0,Main[[#This Row],[بدهی تسویه نشده (کیلوگرم)]],0)</f>
        <v>1998</v>
      </c>
      <c r="Q2480" s="6">
        <f ca="1">IF(Main[[#This Row],[بدهی تسویه نشده (کیلوگرم)]]&gt;0,'گزارش فردی'!$B$7-Main[[#This Row],[تاريخ میلادی]],0)</f>
        <v>920.75374085648218</v>
      </c>
      <c r="R2480" s="6">
        <f ca="1">IF(Main[[#This Row],[بدهی تسویه نشده (کیلوگرم)]]&gt;0,'گزارش فردی'!$B$7-Main[[#This Row],[تاريخ میلادی]]-'گزارش فردی'!$B$8,0)</f>
        <v>905.75374085648218</v>
      </c>
      <c r="S2480" s="6">
        <f ca="1">Main[[#This Row],[روز از ارسال سفارش]]*Main[[#This Row],[بدهی تسویه نشده (کیلوگرم)]]</f>
        <v>1839665.9742312515</v>
      </c>
      <c r="T2480" s="6">
        <f ca="1">Main[[#This Row],[بدهی سررسید شده (کیلوگرم)]]*Main[[#This Row],[روز از ارسال سفارش]]</f>
        <v>1839665.9742312515</v>
      </c>
      <c r="U2480" s="6">
        <f>-SUBTOTAL(9,INDEX(Main[مقدار (کیلوگرم)],1):Main[[#This Row],[مقدار (کیلوگرم)]])</f>
        <v>38184</v>
      </c>
      <c r="V24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0" s="6">
        <f>Main[[#This Row],[تعداد کل روزهای بدهکار (روز)]]*Main[[#This Row],[مانده در خط کل (کیلوگرم)]]</f>
        <v>0</v>
      </c>
      <c r="X2480" s="6">
        <f ca="1">-SUBTOTAL(9,INDEX(Main[مقدار تسویه شده (کیلوگرم)],1):Main[[#This Row],[مقدار تسویه شده (کیلوگرم)]])</f>
        <v>21307</v>
      </c>
      <c r="Y2480" s="6">
        <f ca="1">IF(Main[[#This Row],[مانده در خط تسویه شده (کیلوگرم)]]&lt;&gt;0,Main[[#This Row],[تعداد کل روزهای بدهکار (روز)]],0)</f>
        <v>0</v>
      </c>
      <c r="Z2480" s="6">
        <f ca="1">Main[[#This Row],[تعداد روزهای بدهکار تسویه شده (روز)]]*Main[[#This Row],[مانده در خط تسویه شده (کیلوگرم)]]</f>
        <v>0</v>
      </c>
      <c r="AA2480" s="6">
        <f ca="1">SUBTOTAL(9,INDEX(Main[بدهی تسویه نشده (کیلوگرم)],1):Main[[#This Row],[بدهی تسویه نشده (کیلوگرم)]])</f>
        <v>16877</v>
      </c>
      <c r="AB2480" s="6">
        <f ca="1">IF(Main[[#This Row],[مانده در خط تسویه نشده (کیلوگرم)]]&lt;&gt;0,Main[[#This Row],[تعداد کل روزهای بدهکار (روز)]],0)</f>
        <v>0</v>
      </c>
      <c r="AC2480" s="6">
        <f ca="1">Main[[#This Row],[تعداد روزهای بدهکار  تسویه نشده (روز)]]*Main[[#This Row],[مانده در خط تسویه نشده (کیلوگرم)]]</f>
        <v>0</v>
      </c>
      <c r="AD2480" s="6">
        <f ca="1">SUBTOTAL(9,INDEX(Main[بدهی سررسید شده (کیلوگرم)],1):Main[[#This Row],[بدهی سررسید شده (کیلوگرم)]])</f>
        <v>16877</v>
      </c>
      <c r="AE2480" s="6">
        <f ca="1">IF(Main[[#This Row],[مانده در خط سررسید شده (کیلوگرم)]]&lt;&gt;0,Main[[#This Row],[تعداد کل روزهای بدهکار (روز)]],0)</f>
        <v>0</v>
      </c>
      <c r="AF2480" s="6">
        <f ca="1">Main[[#This Row],[تعداد روزهای بدهکار سررسید شده (روز)]]*Main[[#This Row],[مانده در خط سررسید شده (کیلوگرم)]]</f>
        <v>0</v>
      </c>
    </row>
    <row r="2481" spans="1:32" hidden="1" x14ac:dyDescent="0.35">
      <c r="A2481" s="5">
        <f>ROW()-ROW(INDEX(Main[ردیف],1))+1</f>
        <v>2479</v>
      </c>
      <c r="B2481" s="31">
        <f>SUBTOTAL(2,INDEX(Main[ردیف],1):Main[[#This Row],[ردیف]])</f>
        <v>222</v>
      </c>
      <c r="C2481" s="32" t="s">
        <v>809</v>
      </c>
      <c r="D2481" s="32" t="str">
        <f>_xlfn.CONCAT("14",Main[[#This Row],[تاريخ]])</f>
        <v>1400/09/21</v>
      </c>
      <c r="E2481" s="33">
        <v>44542</v>
      </c>
      <c r="F2481" s="32">
        <v>30196</v>
      </c>
      <c r="G2481" s="5" t="str">
        <f>INDEX(customer[عنوان],MATCH(Main[[#This Row],[کد ردیابی]],customer[کد],0))</f>
        <v>شرکت فردوس</v>
      </c>
      <c r="H2481">
        <v>978</v>
      </c>
      <c r="I2481" s="6">
        <f ca="1">-Main[[#This Row],[بدهی تسویه شده (کیلوگرم)]]+Main[[#This Row],[بستانکار (کیلوگرم)]]</f>
        <v>978</v>
      </c>
      <c r="J2481" s="6">
        <f>IF(Main[[#This Row],[مقدار (کیلوگرم)]]&gt;0,Main[[#This Row],[مقدار (کیلوگرم)]],0)</f>
        <v>978</v>
      </c>
      <c r="K2481" s="6">
        <f>-IF(Main[[#This Row],[مقدار (کیلوگرم)]]&lt;0,Main[[#This Row],[مقدار (کیلوگرم)]],0)</f>
        <v>0</v>
      </c>
      <c r="L24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1" s="7">
        <f>-IF(AND(Main[[#This Row],[مقدار (کیلوگرم)]]&lt;0,Main[[#This Row],[تاريخ میلادی]]&gt;44276),Main[[#This Row],[مقدار (کیلوگرم)]],0)</f>
        <v>0</v>
      </c>
      <c r="N2481" s="6">
        <f ca="1">Main[[#This Row],[بدهکار (کیلوگرم)]]-Main[[#This Row],[بدهی تسویه نشده (کیلوگرم)]]</f>
        <v>0</v>
      </c>
      <c r="O2481" s="6">
        <f ca="1">Main[[#This Row],[تفکیک]]</f>
        <v>0</v>
      </c>
      <c r="P2481" s="6">
        <f ca="1">IF(Main[[#This Row],[تاخیر از سررسید]]&gt;0,Main[[#This Row],[بدهی تسویه نشده (کیلوگرم)]],0)</f>
        <v>0</v>
      </c>
      <c r="Q2481" s="6">
        <f ca="1">IF(Main[[#This Row],[بدهی تسویه نشده (کیلوگرم)]]&gt;0,'گزارش فردی'!$B$7-Main[[#This Row],[تاريخ میلادی]],0)</f>
        <v>0</v>
      </c>
      <c r="R2481" s="6">
        <f ca="1">IF(Main[[#This Row],[بدهی تسویه نشده (کیلوگرم)]]&gt;0,'گزارش فردی'!$B$7-Main[[#This Row],[تاريخ میلادی]]-'گزارش فردی'!$B$8,0)</f>
        <v>0</v>
      </c>
      <c r="S2481" s="6">
        <f ca="1">Main[[#This Row],[روز از ارسال سفارش]]*Main[[#This Row],[بدهی تسویه نشده (کیلوگرم)]]</f>
        <v>0</v>
      </c>
      <c r="T2481" s="6">
        <f ca="1">Main[[#This Row],[بدهی سررسید شده (کیلوگرم)]]*Main[[#This Row],[روز از ارسال سفارش]]</f>
        <v>0</v>
      </c>
      <c r="U2481" s="6">
        <f>-SUBTOTAL(9,INDEX(Main[مقدار (کیلوگرم)],1):Main[[#This Row],[مقدار (کیلوگرم)]])</f>
        <v>38184</v>
      </c>
      <c r="V24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1" s="6">
        <f>Main[[#This Row],[تعداد کل روزهای بدهکار (روز)]]*Main[[#This Row],[مانده در خط کل (کیلوگرم)]]</f>
        <v>0</v>
      </c>
      <c r="X2481" s="6">
        <f ca="1">-SUBTOTAL(9,INDEX(Main[مقدار تسویه شده (کیلوگرم)],1):Main[[#This Row],[مقدار تسویه شده (کیلوگرم)]])</f>
        <v>21307</v>
      </c>
      <c r="Y2481" s="6">
        <f ca="1">IF(Main[[#This Row],[مانده در خط تسویه شده (کیلوگرم)]]&lt;&gt;0,Main[[#This Row],[تعداد کل روزهای بدهکار (روز)]],0)</f>
        <v>0</v>
      </c>
      <c r="Z2481" s="6">
        <f ca="1">Main[[#This Row],[تعداد روزهای بدهکار تسویه شده (روز)]]*Main[[#This Row],[مانده در خط تسویه شده (کیلوگرم)]]</f>
        <v>0</v>
      </c>
      <c r="AA2481" s="6">
        <f ca="1">SUBTOTAL(9,INDEX(Main[بدهی تسویه نشده (کیلوگرم)],1):Main[[#This Row],[بدهی تسویه نشده (کیلوگرم)]])</f>
        <v>16877</v>
      </c>
      <c r="AB2481" s="6">
        <f ca="1">IF(Main[[#This Row],[مانده در خط تسویه نشده (کیلوگرم)]]&lt;&gt;0,Main[[#This Row],[تعداد کل روزهای بدهکار (روز)]],0)</f>
        <v>0</v>
      </c>
      <c r="AC2481" s="6">
        <f ca="1">Main[[#This Row],[تعداد روزهای بدهکار  تسویه نشده (روز)]]*Main[[#This Row],[مانده در خط تسویه نشده (کیلوگرم)]]</f>
        <v>0</v>
      </c>
      <c r="AD2481" s="6">
        <f ca="1">SUBTOTAL(9,INDEX(Main[بدهی سررسید شده (کیلوگرم)],1):Main[[#This Row],[بدهی سررسید شده (کیلوگرم)]])</f>
        <v>16877</v>
      </c>
      <c r="AE2481" s="6">
        <f ca="1">IF(Main[[#This Row],[مانده در خط سررسید شده (کیلوگرم)]]&lt;&gt;0,Main[[#This Row],[تعداد کل روزهای بدهکار (روز)]],0)</f>
        <v>0</v>
      </c>
      <c r="AF2481" s="6">
        <f ca="1">Main[[#This Row],[تعداد روزهای بدهکار سررسید شده (روز)]]*Main[[#This Row],[مانده در خط سررسید شده (کیلوگرم)]]</f>
        <v>0</v>
      </c>
    </row>
    <row r="2482" spans="1:32" hidden="1" x14ac:dyDescent="0.35">
      <c r="A2482" s="5">
        <f>ROW()-ROW(INDEX(Main[ردیف],1))+1</f>
        <v>2480</v>
      </c>
      <c r="B2482" s="31">
        <f>SUBTOTAL(2,INDEX(Main[ردیف],1):Main[[#This Row],[ردیف]])</f>
        <v>222</v>
      </c>
      <c r="C2482" s="32" t="s">
        <v>809</v>
      </c>
      <c r="D2482" s="32" t="str">
        <f>_xlfn.CONCAT("14",Main[[#This Row],[تاريخ]])</f>
        <v>1400/09/21</v>
      </c>
      <c r="E2482" s="33">
        <v>44542</v>
      </c>
      <c r="F2482" s="32">
        <v>30191</v>
      </c>
      <c r="G2482" s="5" t="str">
        <f>INDEX(customer[عنوان],MATCH(Main[[#This Row],[کد ردیابی]],customer[کد],0))</f>
        <v>ایران گرما</v>
      </c>
      <c r="H2482">
        <v>-1000</v>
      </c>
      <c r="I2482" s="6">
        <f ca="1">-Main[[#This Row],[بدهی تسویه شده (کیلوگرم)]]+Main[[#This Row],[بستانکار (کیلوگرم)]]</f>
        <v>0</v>
      </c>
      <c r="J2482" s="6">
        <f>IF(Main[[#This Row],[مقدار (کیلوگرم)]]&gt;0,Main[[#This Row],[مقدار (کیلوگرم)]],0)</f>
        <v>0</v>
      </c>
      <c r="K2482" s="6">
        <f>-IF(Main[[#This Row],[مقدار (کیلوگرم)]]&lt;0,Main[[#This Row],[مقدار (کیلوگرم)]],0)</f>
        <v>1000</v>
      </c>
      <c r="L24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1000</v>
      </c>
      <c r="M2482" s="7">
        <f>-IF(AND(Main[[#This Row],[مقدار (کیلوگرم)]]&lt;0,Main[[#This Row],[تاريخ میلادی]]&gt;44276),Main[[#This Row],[مقدار (کیلوگرم)]],0)</f>
        <v>1000</v>
      </c>
      <c r="N2482" s="6">
        <f ca="1">Main[[#This Row],[بدهکار (کیلوگرم)]]-Main[[#This Row],[بدهی تسویه نشده (کیلوگرم)]]</f>
        <v>0</v>
      </c>
      <c r="O2482" s="6">
        <f ca="1">Main[[#This Row],[تفکیک]]</f>
        <v>1000</v>
      </c>
      <c r="P2482" s="6">
        <f ca="1">IF(Main[[#This Row],[تاخیر از سررسید]]&gt;0,Main[[#This Row],[بدهی تسویه نشده (کیلوگرم)]],0)</f>
        <v>1000</v>
      </c>
      <c r="Q2482" s="6">
        <f ca="1">IF(Main[[#This Row],[بدهی تسویه نشده (کیلوگرم)]]&gt;0,'گزارش فردی'!$B$7-Main[[#This Row],[تاريخ میلادی]],0)</f>
        <v>920.75374085648218</v>
      </c>
      <c r="R2482" s="6">
        <f ca="1">IF(Main[[#This Row],[بدهی تسویه نشده (کیلوگرم)]]&gt;0,'گزارش فردی'!$B$7-Main[[#This Row],[تاريخ میلادی]]-'گزارش فردی'!$B$8,0)</f>
        <v>905.75374085648218</v>
      </c>
      <c r="S2482" s="6">
        <f ca="1">Main[[#This Row],[روز از ارسال سفارش]]*Main[[#This Row],[بدهی تسویه نشده (کیلوگرم)]]</f>
        <v>920753.74085648218</v>
      </c>
      <c r="T2482" s="6">
        <f ca="1">Main[[#This Row],[بدهی سررسید شده (کیلوگرم)]]*Main[[#This Row],[روز از ارسال سفارش]]</f>
        <v>920753.74085648218</v>
      </c>
      <c r="U2482" s="6">
        <f>-SUBTOTAL(9,INDEX(Main[مقدار (کیلوگرم)],1):Main[[#This Row],[مقدار (کیلوگرم)]])</f>
        <v>38184</v>
      </c>
      <c r="V24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2" s="6">
        <f>Main[[#This Row],[تعداد کل روزهای بدهکار (روز)]]*Main[[#This Row],[مانده در خط کل (کیلوگرم)]]</f>
        <v>0</v>
      </c>
      <c r="X2482" s="6">
        <f ca="1">-SUBTOTAL(9,INDEX(Main[مقدار تسویه شده (کیلوگرم)],1):Main[[#This Row],[مقدار تسویه شده (کیلوگرم)]])</f>
        <v>21307</v>
      </c>
      <c r="Y2482" s="6">
        <f ca="1">IF(Main[[#This Row],[مانده در خط تسویه شده (کیلوگرم)]]&lt;&gt;0,Main[[#This Row],[تعداد کل روزهای بدهکار (روز)]],0)</f>
        <v>0</v>
      </c>
      <c r="Z2482" s="6">
        <f ca="1">Main[[#This Row],[تعداد روزهای بدهکار تسویه شده (روز)]]*Main[[#This Row],[مانده در خط تسویه شده (کیلوگرم)]]</f>
        <v>0</v>
      </c>
      <c r="AA2482" s="6">
        <f ca="1">SUBTOTAL(9,INDEX(Main[بدهی تسویه نشده (کیلوگرم)],1):Main[[#This Row],[بدهی تسویه نشده (کیلوگرم)]])</f>
        <v>16877</v>
      </c>
      <c r="AB2482" s="6">
        <f ca="1">IF(Main[[#This Row],[مانده در خط تسویه نشده (کیلوگرم)]]&lt;&gt;0,Main[[#This Row],[تعداد کل روزهای بدهکار (روز)]],0)</f>
        <v>0</v>
      </c>
      <c r="AC2482" s="6">
        <f ca="1">Main[[#This Row],[تعداد روزهای بدهکار  تسویه نشده (روز)]]*Main[[#This Row],[مانده در خط تسویه نشده (کیلوگرم)]]</f>
        <v>0</v>
      </c>
      <c r="AD2482" s="6">
        <f ca="1">SUBTOTAL(9,INDEX(Main[بدهی سررسید شده (کیلوگرم)],1):Main[[#This Row],[بدهی سررسید شده (کیلوگرم)]])</f>
        <v>16877</v>
      </c>
      <c r="AE2482" s="6">
        <f ca="1">IF(Main[[#This Row],[مانده در خط سررسید شده (کیلوگرم)]]&lt;&gt;0,Main[[#This Row],[تعداد کل روزهای بدهکار (روز)]],0)</f>
        <v>0</v>
      </c>
      <c r="AF2482" s="6">
        <f ca="1">Main[[#This Row],[تعداد روزهای بدهکار سررسید شده (روز)]]*Main[[#This Row],[مانده در خط سررسید شده (کیلوگرم)]]</f>
        <v>0</v>
      </c>
    </row>
    <row r="2483" spans="1:32" hidden="1" x14ac:dyDescent="0.35">
      <c r="A2483" s="5">
        <f>ROW()-ROW(INDEX(Main[ردیف],1))+1</f>
        <v>2481</v>
      </c>
      <c r="B2483" s="31">
        <f>SUBTOTAL(2,INDEX(Main[ردیف],1):Main[[#This Row],[ردیف]])</f>
        <v>222</v>
      </c>
      <c r="C2483" s="32" t="s">
        <v>809</v>
      </c>
      <c r="D2483" s="32" t="str">
        <f>_xlfn.CONCAT("14",Main[[#This Row],[تاريخ]])</f>
        <v>1400/09/21</v>
      </c>
      <c r="E2483" s="33">
        <v>44542</v>
      </c>
      <c r="F2483" s="32">
        <v>30191</v>
      </c>
      <c r="G2483" s="5" t="str">
        <f>INDEX(customer[عنوان],MATCH(Main[[#This Row],[کد ردیابی]],customer[کد],0))</f>
        <v>ایران گرما</v>
      </c>
      <c r="H2483">
        <v>310</v>
      </c>
      <c r="I2483" s="6">
        <f ca="1">-Main[[#This Row],[بدهی تسویه شده (کیلوگرم)]]+Main[[#This Row],[بستانکار (کیلوگرم)]]</f>
        <v>310</v>
      </c>
      <c r="J2483" s="6">
        <f>IF(Main[[#This Row],[مقدار (کیلوگرم)]]&gt;0,Main[[#This Row],[مقدار (کیلوگرم)]],0)</f>
        <v>310</v>
      </c>
      <c r="K2483" s="6">
        <f>-IF(Main[[#This Row],[مقدار (کیلوگرم)]]&lt;0,Main[[#This Row],[مقدار (کیلوگرم)]],0)</f>
        <v>0</v>
      </c>
      <c r="L24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3" s="7">
        <f>-IF(AND(Main[[#This Row],[مقدار (کیلوگرم)]]&lt;0,Main[[#This Row],[تاريخ میلادی]]&gt;44276),Main[[#This Row],[مقدار (کیلوگرم)]],0)</f>
        <v>0</v>
      </c>
      <c r="N2483" s="6">
        <f ca="1">Main[[#This Row],[بدهکار (کیلوگرم)]]-Main[[#This Row],[بدهی تسویه نشده (کیلوگرم)]]</f>
        <v>0</v>
      </c>
      <c r="O2483" s="6">
        <f ca="1">Main[[#This Row],[تفکیک]]</f>
        <v>0</v>
      </c>
      <c r="P2483" s="6">
        <f ca="1">IF(Main[[#This Row],[تاخیر از سررسید]]&gt;0,Main[[#This Row],[بدهی تسویه نشده (کیلوگرم)]],0)</f>
        <v>0</v>
      </c>
      <c r="Q2483" s="6">
        <f ca="1">IF(Main[[#This Row],[بدهی تسویه نشده (کیلوگرم)]]&gt;0,'گزارش فردی'!$B$7-Main[[#This Row],[تاريخ میلادی]],0)</f>
        <v>0</v>
      </c>
      <c r="R2483" s="6">
        <f ca="1">IF(Main[[#This Row],[بدهی تسویه نشده (کیلوگرم)]]&gt;0,'گزارش فردی'!$B$7-Main[[#This Row],[تاريخ میلادی]]-'گزارش فردی'!$B$8,0)</f>
        <v>0</v>
      </c>
      <c r="S2483" s="6">
        <f ca="1">Main[[#This Row],[روز از ارسال سفارش]]*Main[[#This Row],[بدهی تسویه نشده (کیلوگرم)]]</f>
        <v>0</v>
      </c>
      <c r="T2483" s="6">
        <f ca="1">Main[[#This Row],[بدهی سررسید شده (کیلوگرم)]]*Main[[#This Row],[روز از ارسال سفارش]]</f>
        <v>0</v>
      </c>
      <c r="U2483" s="6">
        <f>-SUBTOTAL(9,INDEX(Main[مقدار (کیلوگرم)],1):Main[[#This Row],[مقدار (کیلوگرم)]])</f>
        <v>38184</v>
      </c>
      <c r="V24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3" s="6">
        <f>Main[[#This Row],[تعداد کل روزهای بدهکار (روز)]]*Main[[#This Row],[مانده در خط کل (کیلوگرم)]]</f>
        <v>0</v>
      </c>
      <c r="X2483" s="6">
        <f ca="1">-SUBTOTAL(9,INDEX(Main[مقدار تسویه شده (کیلوگرم)],1):Main[[#This Row],[مقدار تسویه شده (کیلوگرم)]])</f>
        <v>21307</v>
      </c>
      <c r="Y2483" s="6">
        <f ca="1">IF(Main[[#This Row],[مانده در خط تسویه شده (کیلوگرم)]]&lt;&gt;0,Main[[#This Row],[تعداد کل روزهای بدهکار (روز)]],0)</f>
        <v>0</v>
      </c>
      <c r="Z2483" s="6">
        <f ca="1">Main[[#This Row],[تعداد روزهای بدهکار تسویه شده (روز)]]*Main[[#This Row],[مانده در خط تسویه شده (کیلوگرم)]]</f>
        <v>0</v>
      </c>
      <c r="AA2483" s="6">
        <f ca="1">SUBTOTAL(9,INDEX(Main[بدهی تسویه نشده (کیلوگرم)],1):Main[[#This Row],[بدهی تسویه نشده (کیلوگرم)]])</f>
        <v>16877</v>
      </c>
      <c r="AB2483" s="6">
        <f ca="1">IF(Main[[#This Row],[مانده در خط تسویه نشده (کیلوگرم)]]&lt;&gt;0,Main[[#This Row],[تعداد کل روزهای بدهکار (روز)]],0)</f>
        <v>0</v>
      </c>
      <c r="AC2483" s="6">
        <f ca="1">Main[[#This Row],[تعداد روزهای بدهکار  تسویه نشده (روز)]]*Main[[#This Row],[مانده در خط تسویه نشده (کیلوگرم)]]</f>
        <v>0</v>
      </c>
      <c r="AD2483" s="6">
        <f ca="1">SUBTOTAL(9,INDEX(Main[بدهی سررسید شده (کیلوگرم)],1):Main[[#This Row],[بدهی سررسید شده (کیلوگرم)]])</f>
        <v>16877</v>
      </c>
      <c r="AE2483" s="6">
        <f ca="1">IF(Main[[#This Row],[مانده در خط سررسید شده (کیلوگرم)]]&lt;&gt;0,Main[[#This Row],[تعداد کل روزهای بدهکار (روز)]],0)</f>
        <v>0</v>
      </c>
      <c r="AF2483" s="6">
        <f ca="1">Main[[#This Row],[تعداد روزهای بدهکار سررسید شده (روز)]]*Main[[#This Row],[مانده در خط سررسید شده (کیلوگرم)]]</f>
        <v>0</v>
      </c>
    </row>
    <row r="2484" spans="1:32" x14ac:dyDescent="0.35">
      <c r="A2484" s="5">
        <f>ROW()-ROW(INDEX(Main[ردیف],1))+1</f>
        <v>2482</v>
      </c>
      <c r="B2484" s="31">
        <f>SUBTOTAL(2,INDEX(Main[ردیف],1):Main[[#This Row],[ردیف]])</f>
        <v>223</v>
      </c>
      <c r="C2484" s="32" t="s">
        <v>809</v>
      </c>
      <c r="D2484" s="32" t="str">
        <f>_xlfn.CONCAT("14",Main[[#This Row],[تاريخ]])</f>
        <v>1400/09/21</v>
      </c>
      <c r="E2484" s="33">
        <v>44542</v>
      </c>
      <c r="F2484" s="32">
        <v>10003</v>
      </c>
      <c r="G2484" s="5" t="str">
        <f>INDEX(customer[عنوان],MATCH(Main[[#This Row],[کد ردیابی]],customer[کد],0))</f>
        <v>اصغر نورعلی</v>
      </c>
      <c r="H2484">
        <v>-2303</v>
      </c>
      <c r="I2484" s="6">
        <f ca="1">-Main[[#This Row],[بدهی تسویه شده (کیلوگرم)]]+Main[[#This Row],[بستانکار (کیلوگرم)]]</f>
        <v>0</v>
      </c>
      <c r="J2484" s="6">
        <f>IF(Main[[#This Row],[مقدار (کیلوگرم)]]&gt;0,Main[[#This Row],[مقدار (کیلوگرم)]],0)</f>
        <v>0</v>
      </c>
      <c r="K2484" s="6">
        <f>-IF(Main[[#This Row],[مقدار (کیلوگرم)]]&lt;0,Main[[#This Row],[مقدار (کیلوگرم)]],0)</f>
        <v>2303</v>
      </c>
      <c r="L24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2303</v>
      </c>
      <c r="M2484" s="7">
        <f>-IF(AND(Main[[#This Row],[مقدار (کیلوگرم)]]&lt;0,Main[[#This Row],[تاريخ میلادی]]&gt;44276),Main[[#This Row],[مقدار (کیلوگرم)]],0)</f>
        <v>2303</v>
      </c>
      <c r="N2484" s="6">
        <f ca="1">Main[[#This Row],[بدهکار (کیلوگرم)]]-Main[[#This Row],[بدهی تسویه نشده (کیلوگرم)]]</f>
        <v>0</v>
      </c>
      <c r="O2484" s="6">
        <f ca="1">Main[[#This Row],[تفکیک]]</f>
        <v>2303</v>
      </c>
      <c r="P2484" s="6">
        <f ca="1">IF(Main[[#This Row],[تاخیر از سررسید]]&gt;0,Main[[#This Row],[بدهی تسویه نشده (کیلوگرم)]],0)</f>
        <v>2303</v>
      </c>
      <c r="Q2484" s="6">
        <f ca="1">IF(Main[[#This Row],[بدهی تسویه نشده (کیلوگرم)]]&gt;0,'گزارش فردی'!$B$7-Main[[#This Row],[تاريخ میلادی]],0)</f>
        <v>920.75374085648218</v>
      </c>
      <c r="R2484" s="6">
        <f ca="1">IF(Main[[#This Row],[بدهی تسویه نشده (کیلوگرم)]]&gt;0,'گزارش فردی'!$B$7-Main[[#This Row],[تاريخ میلادی]]-'گزارش فردی'!$B$8,0)</f>
        <v>905.75374085648218</v>
      </c>
      <c r="S2484" s="6">
        <f ca="1">Main[[#This Row],[روز از ارسال سفارش]]*Main[[#This Row],[بدهی تسویه نشده (کیلوگرم)]]</f>
        <v>2120495.8651924785</v>
      </c>
      <c r="T2484" s="6">
        <f ca="1">Main[[#This Row],[بدهی سررسید شده (کیلوگرم)]]*Main[[#This Row],[روز از ارسال سفارش]]</f>
        <v>2120495.8651924785</v>
      </c>
      <c r="U2484" s="6">
        <f>-SUBTOTAL(9,INDEX(Main[مقدار (کیلوگرم)],1):Main[[#This Row],[مقدار (کیلوگرم)]])</f>
        <v>40487</v>
      </c>
      <c r="V24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4" s="6">
        <f>Main[[#This Row],[تعداد کل روزهای بدهکار (روز)]]*Main[[#This Row],[مانده در خط کل (کیلوگرم)]]</f>
        <v>40487</v>
      </c>
      <c r="X2484" s="6">
        <f ca="1">-SUBTOTAL(9,INDEX(Main[مقدار تسویه شده (کیلوگرم)],1):Main[[#This Row],[مقدار تسویه شده (کیلوگرم)]])</f>
        <v>21307</v>
      </c>
      <c r="Y2484" s="6">
        <f ca="1">IF(Main[[#This Row],[مانده در خط تسویه شده (کیلوگرم)]]&lt;&gt;0,Main[[#This Row],[تعداد کل روزهای بدهکار (روز)]],0)</f>
        <v>1</v>
      </c>
      <c r="Z2484" s="6">
        <f ca="1">Main[[#This Row],[تعداد روزهای بدهکار تسویه شده (روز)]]*Main[[#This Row],[مانده در خط تسویه شده (کیلوگرم)]]</f>
        <v>21307</v>
      </c>
      <c r="AA2484" s="6">
        <f ca="1">SUBTOTAL(9,INDEX(Main[بدهی تسویه نشده (کیلوگرم)],1):Main[[#This Row],[بدهی تسویه نشده (کیلوگرم)]])</f>
        <v>19180</v>
      </c>
      <c r="AB2484" s="6">
        <f ca="1">IF(Main[[#This Row],[مانده در خط تسویه نشده (کیلوگرم)]]&lt;&gt;0,Main[[#This Row],[تعداد کل روزهای بدهکار (روز)]],0)</f>
        <v>1</v>
      </c>
      <c r="AC2484" s="6">
        <f ca="1">Main[[#This Row],[تعداد روزهای بدهکار  تسویه نشده (روز)]]*Main[[#This Row],[مانده در خط تسویه نشده (کیلوگرم)]]</f>
        <v>19180</v>
      </c>
      <c r="AD2484" s="6">
        <f ca="1">SUBTOTAL(9,INDEX(Main[بدهی سررسید شده (کیلوگرم)],1):Main[[#This Row],[بدهی سررسید شده (کیلوگرم)]])</f>
        <v>19180</v>
      </c>
      <c r="AE2484" s="6">
        <f ca="1">IF(Main[[#This Row],[مانده در خط سررسید شده (کیلوگرم)]]&lt;&gt;0,Main[[#This Row],[تعداد کل روزهای بدهکار (روز)]],0)</f>
        <v>1</v>
      </c>
      <c r="AF2484" s="6">
        <f ca="1">Main[[#This Row],[تعداد روزهای بدهکار سررسید شده (روز)]]*Main[[#This Row],[مانده در خط سررسید شده (کیلوگرم)]]</f>
        <v>19180</v>
      </c>
    </row>
    <row r="2485" spans="1:32" hidden="1" x14ac:dyDescent="0.35">
      <c r="A2485" s="5">
        <f>ROW()-ROW(INDEX(Main[ردیف],1))+1</f>
        <v>2483</v>
      </c>
      <c r="B2485" s="31">
        <f>SUBTOTAL(2,INDEX(Main[ردیف],1):Main[[#This Row],[ردیف]])</f>
        <v>223</v>
      </c>
      <c r="C2485" s="32" t="s">
        <v>809</v>
      </c>
      <c r="D2485" s="32" t="str">
        <f>_xlfn.CONCAT("14",Main[[#This Row],[تاريخ]])</f>
        <v>1400/09/21</v>
      </c>
      <c r="E2485" s="33">
        <v>44542</v>
      </c>
      <c r="F2485" s="32">
        <v>30191</v>
      </c>
      <c r="G2485" s="5" t="str">
        <f>INDEX(customer[عنوان],MATCH(Main[[#This Row],[کد ردیابی]],customer[کد],0))</f>
        <v>ایران گرما</v>
      </c>
      <c r="H2485">
        <v>293</v>
      </c>
      <c r="I2485" s="6">
        <f ca="1">-Main[[#This Row],[بدهی تسویه شده (کیلوگرم)]]+Main[[#This Row],[بستانکار (کیلوگرم)]]</f>
        <v>293</v>
      </c>
      <c r="J2485" s="6">
        <f>IF(Main[[#This Row],[مقدار (کیلوگرم)]]&gt;0,Main[[#This Row],[مقدار (کیلوگرم)]],0)</f>
        <v>293</v>
      </c>
      <c r="K2485" s="6">
        <f>-IF(Main[[#This Row],[مقدار (کیلوگرم)]]&lt;0,Main[[#This Row],[مقدار (کیلوگرم)]],0)</f>
        <v>0</v>
      </c>
      <c r="L24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5" s="7">
        <f>-IF(AND(Main[[#This Row],[مقدار (کیلوگرم)]]&lt;0,Main[[#This Row],[تاريخ میلادی]]&gt;44276),Main[[#This Row],[مقدار (کیلوگرم)]],0)</f>
        <v>0</v>
      </c>
      <c r="N2485" s="6">
        <f ca="1">Main[[#This Row],[بدهکار (کیلوگرم)]]-Main[[#This Row],[بدهی تسویه نشده (کیلوگرم)]]</f>
        <v>0</v>
      </c>
      <c r="O2485" s="6">
        <f ca="1">Main[[#This Row],[تفکیک]]</f>
        <v>0</v>
      </c>
      <c r="P2485" s="6">
        <f ca="1">IF(Main[[#This Row],[تاخیر از سررسید]]&gt;0,Main[[#This Row],[بدهی تسویه نشده (کیلوگرم)]],0)</f>
        <v>0</v>
      </c>
      <c r="Q2485" s="6">
        <f ca="1">IF(Main[[#This Row],[بدهی تسویه نشده (کیلوگرم)]]&gt;0,'گزارش فردی'!$B$7-Main[[#This Row],[تاريخ میلادی]],0)</f>
        <v>0</v>
      </c>
      <c r="R2485" s="6">
        <f ca="1">IF(Main[[#This Row],[بدهی تسویه نشده (کیلوگرم)]]&gt;0,'گزارش فردی'!$B$7-Main[[#This Row],[تاريخ میلادی]]-'گزارش فردی'!$B$8,0)</f>
        <v>0</v>
      </c>
      <c r="S2485" s="6">
        <f ca="1">Main[[#This Row],[روز از ارسال سفارش]]*Main[[#This Row],[بدهی تسویه نشده (کیلوگرم)]]</f>
        <v>0</v>
      </c>
      <c r="T2485" s="6">
        <f ca="1">Main[[#This Row],[بدهی سررسید شده (کیلوگرم)]]*Main[[#This Row],[روز از ارسال سفارش]]</f>
        <v>0</v>
      </c>
      <c r="U2485" s="6">
        <f>-SUBTOTAL(9,INDEX(Main[مقدار (کیلوگرم)],1):Main[[#This Row],[مقدار (کیلوگرم)]])</f>
        <v>40487</v>
      </c>
      <c r="V24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5" s="6">
        <f>Main[[#This Row],[تعداد کل روزهای بدهکار (روز)]]*Main[[#This Row],[مانده در خط کل (کیلوگرم)]]</f>
        <v>40487</v>
      </c>
      <c r="X2485" s="6">
        <f ca="1">-SUBTOTAL(9,INDEX(Main[مقدار تسویه شده (کیلوگرم)],1):Main[[#This Row],[مقدار تسویه شده (کیلوگرم)]])</f>
        <v>21307</v>
      </c>
      <c r="Y2485" s="6">
        <f ca="1">IF(Main[[#This Row],[مانده در خط تسویه شده (کیلوگرم)]]&lt;&gt;0,Main[[#This Row],[تعداد کل روزهای بدهکار (روز)]],0)</f>
        <v>1</v>
      </c>
      <c r="Z2485" s="6">
        <f ca="1">Main[[#This Row],[تعداد روزهای بدهکار تسویه شده (روز)]]*Main[[#This Row],[مانده در خط تسویه شده (کیلوگرم)]]</f>
        <v>21307</v>
      </c>
      <c r="AA2485" s="6">
        <f ca="1">SUBTOTAL(9,INDEX(Main[بدهی تسویه نشده (کیلوگرم)],1):Main[[#This Row],[بدهی تسویه نشده (کیلوگرم)]])</f>
        <v>19180</v>
      </c>
      <c r="AB2485" s="6">
        <f ca="1">IF(Main[[#This Row],[مانده در خط تسویه نشده (کیلوگرم)]]&lt;&gt;0,Main[[#This Row],[تعداد کل روزهای بدهکار (روز)]],0)</f>
        <v>1</v>
      </c>
      <c r="AC2485" s="6">
        <f ca="1">Main[[#This Row],[تعداد روزهای بدهکار  تسویه نشده (روز)]]*Main[[#This Row],[مانده در خط تسویه نشده (کیلوگرم)]]</f>
        <v>19180</v>
      </c>
      <c r="AD2485" s="6">
        <f ca="1">SUBTOTAL(9,INDEX(Main[بدهی سررسید شده (کیلوگرم)],1):Main[[#This Row],[بدهی سررسید شده (کیلوگرم)]])</f>
        <v>19180</v>
      </c>
      <c r="AE2485" s="6">
        <f ca="1">IF(Main[[#This Row],[مانده در خط سررسید شده (کیلوگرم)]]&lt;&gt;0,Main[[#This Row],[تعداد کل روزهای بدهکار (روز)]],0)</f>
        <v>1</v>
      </c>
      <c r="AF2485" s="6">
        <f ca="1">Main[[#This Row],[تعداد روزهای بدهکار سررسید شده (روز)]]*Main[[#This Row],[مانده در خط سررسید شده (کیلوگرم)]]</f>
        <v>19180</v>
      </c>
    </row>
    <row r="2486" spans="1:32" hidden="1" x14ac:dyDescent="0.35">
      <c r="A2486" s="5">
        <f>ROW()-ROW(INDEX(Main[ردیف],1))+1</f>
        <v>2484</v>
      </c>
      <c r="B2486" s="31">
        <f>SUBTOTAL(2,INDEX(Main[ردیف],1):Main[[#This Row],[ردیف]])</f>
        <v>223</v>
      </c>
      <c r="C2486" s="32" t="s">
        <v>809</v>
      </c>
      <c r="D2486" s="32" t="str">
        <f>_xlfn.CONCAT("14",Main[[#This Row],[تاريخ]])</f>
        <v>1400/09/21</v>
      </c>
      <c r="E2486" s="33">
        <v>44542</v>
      </c>
      <c r="F2486" s="32">
        <v>10055</v>
      </c>
      <c r="G2486" s="5" t="str">
        <f>INDEX(customer[عنوان],MATCH(Main[[#This Row],[کد ردیابی]],customer[کد],0))</f>
        <v xml:space="preserve">مریم فیض آبادی  </v>
      </c>
      <c r="H2486">
        <v>-4662</v>
      </c>
      <c r="I2486" s="6">
        <f ca="1">-Main[[#This Row],[بدهی تسویه شده (کیلوگرم)]]+Main[[#This Row],[بستانکار (کیلوگرم)]]</f>
        <v>0</v>
      </c>
      <c r="J2486" s="6">
        <f>IF(Main[[#This Row],[مقدار (کیلوگرم)]]&gt;0,Main[[#This Row],[مقدار (کیلوگرم)]],0)</f>
        <v>0</v>
      </c>
      <c r="K2486" s="6">
        <f>-IF(Main[[#This Row],[مقدار (کیلوگرم)]]&lt;0,Main[[#This Row],[مقدار (کیلوگرم)]],0)</f>
        <v>4662</v>
      </c>
      <c r="L24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4662</v>
      </c>
      <c r="M2486" s="7">
        <f>-IF(AND(Main[[#This Row],[مقدار (کیلوگرم)]]&lt;0,Main[[#This Row],[تاريخ میلادی]]&gt;44276),Main[[#This Row],[مقدار (کیلوگرم)]],0)</f>
        <v>4662</v>
      </c>
      <c r="N2486" s="6">
        <f ca="1">Main[[#This Row],[بدهکار (کیلوگرم)]]-Main[[#This Row],[بدهی تسویه نشده (کیلوگرم)]]</f>
        <v>0</v>
      </c>
      <c r="O2486" s="6">
        <f ca="1">Main[[#This Row],[تفکیک]]</f>
        <v>4662</v>
      </c>
      <c r="P2486" s="6">
        <f ca="1">IF(Main[[#This Row],[تاخیر از سررسید]]&gt;0,Main[[#This Row],[بدهی تسویه نشده (کیلوگرم)]],0)</f>
        <v>4662</v>
      </c>
      <c r="Q2486" s="6">
        <f ca="1">IF(Main[[#This Row],[بدهی تسویه نشده (کیلوگرم)]]&gt;0,'گزارش فردی'!$B$7-Main[[#This Row],[تاريخ میلادی]],0)</f>
        <v>920.75374085648218</v>
      </c>
      <c r="R2486" s="6">
        <f ca="1">IF(Main[[#This Row],[بدهی تسویه نشده (کیلوگرم)]]&gt;0,'گزارش فردی'!$B$7-Main[[#This Row],[تاريخ میلادی]]-'گزارش فردی'!$B$8,0)</f>
        <v>905.75374085648218</v>
      </c>
      <c r="S2486" s="6">
        <f ca="1">Main[[#This Row],[روز از ارسال سفارش]]*Main[[#This Row],[بدهی تسویه نشده (کیلوگرم)]]</f>
        <v>4292553.9398729196</v>
      </c>
      <c r="T2486" s="6">
        <f ca="1">Main[[#This Row],[بدهی سررسید شده (کیلوگرم)]]*Main[[#This Row],[روز از ارسال سفارش]]</f>
        <v>4292553.9398729196</v>
      </c>
      <c r="U2486" s="6">
        <f>-SUBTOTAL(9,INDEX(Main[مقدار (کیلوگرم)],1):Main[[#This Row],[مقدار (کیلوگرم)]])</f>
        <v>40487</v>
      </c>
      <c r="V24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6" s="6">
        <f>Main[[#This Row],[تعداد کل روزهای بدهکار (روز)]]*Main[[#This Row],[مانده در خط کل (کیلوگرم)]]</f>
        <v>40487</v>
      </c>
      <c r="X2486" s="6">
        <f ca="1">-SUBTOTAL(9,INDEX(Main[مقدار تسویه شده (کیلوگرم)],1):Main[[#This Row],[مقدار تسویه شده (کیلوگرم)]])</f>
        <v>21307</v>
      </c>
      <c r="Y2486" s="6">
        <f ca="1">IF(Main[[#This Row],[مانده در خط تسویه شده (کیلوگرم)]]&lt;&gt;0,Main[[#This Row],[تعداد کل روزهای بدهکار (روز)]],0)</f>
        <v>1</v>
      </c>
      <c r="Z2486" s="6">
        <f ca="1">Main[[#This Row],[تعداد روزهای بدهکار تسویه شده (روز)]]*Main[[#This Row],[مانده در خط تسویه شده (کیلوگرم)]]</f>
        <v>21307</v>
      </c>
      <c r="AA2486" s="6">
        <f ca="1">SUBTOTAL(9,INDEX(Main[بدهی تسویه نشده (کیلوگرم)],1):Main[[#This Row],[بدهی تسویه نشده (کیلوگرم)]])</f>
        <v>19180</v>
      </c>
      <c r="AB2486" s="6">
        <f ca="1">IF(Main[[#This Row],[مانده در خط تسویه نشده (کیلوگرم)]]&lt;&gt;0,Main[[#This Row],[تعداد کل روزهای بدهکار (روز)]],0)</f>
        <v>1</v>
      </c>
      <c r="AC2486" s="6">
        <f ca="1">Main[[#This Row],[تعداد روزهای بدهکار  تسویه نشده (روز)]]*Main[[#This Row],[مانده در خط تسویه نشده (کیلوگرم)]]</f>
        <v>19180</v>
      </c>
      <c r="AD2486" s="6">
        <f ca="1">SUBTOTAL(9,INDEX(Main[بدهی سررسید شده (کیلوگرم)],1):Main[[#This Row],[بدهی سررسید شده (کیلوگرم)]])</f>
        <v>19180</v>
      </c>
      <c r="AE2486" s="6">
        <f ca="1">IF(Main[[#This Row],[مانده در خط سررسید شده (کیلوگرم)]]&lt;&gt;0,Main[[#This Row],[تعداد کل روزهای بدهکار (روز)]],0)</f>
        <v>1</v>
      </c>
      <c r="AF2486" s="6">
        <f ca="1">Main[[#This Row],[تعداد روزهای بدهکار سررسید شده (روز)]]*Main[[#This Row],[مانده در خط سررسید شده (کیلوگرم)]]</f>
        <v>19180</v>
      </c>
    </row>
    <row r="2487" spans="1:32" hidden="1" x14ac:dyDescent="0.35">
      <c r="A2487" s="5">
        <f>ROW()-ROW(INDEX(Main[ردیف],1))+1</f>
        <v>2485</v>
      </c>
      <c r="B2487" s="31">
        <f>SUBTOTAL(2,INDEX(Main[ردیف],1):Main[[#This Row],[ردیف]])</f>
        <v>223</v>
      </c>
      <c r="C2487" s="32" t="s">
        <v>809</v>
      </c>
      <c r="D2487" s="32" t="str">
        <f>_xlfn.CONCAT("14",Main[[#This Row],[تاريخ]])</f>
        <v>1400/09/21</v>
      </c>
      <c r="E2487" s="33">
        <v>44542</v>
      </c>
      <c r="F2487" s="32">
        <v>30191</v>
      </c>
      <c r="G2487" s="5" t="str">
        <f>INDEX(customer[عنوان],MATCH(Main[[#This Row],[کد ردیابی]],customer[کد],0))</f>
        <v>ایران گرما</v>
      </c>
      <c r="H2487">
        <v>509</v>
      </c>
      <c r="I2487" s="6">
        <f ca="1">-Main[[#This Row],[بدهی تسویه شده (کیلوگرم)]]+Main[[#This Row],[بستانکار (کیلوگرم)]]</f>
        <v>509</v>
      </c>
      <c r="J2487" s="6">
        <f>IF(Main[[#This Row],[مقدار (کیلوگرم)]]&gt;0,Main[[#This Row],[مقدار (کیلوگرم)]],0)</f>
        <v>509</v>
      </c>
      <c r="K2487" s="6">
        <f>-IF(Main[[#This Row],[مقدار (کیلوگرم)]]&lt;0,Main[[#This Row],[مقدار (کیلوگرم)]],0)</f>
        <v>0</v>
      </c>
      <c r="L24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7" s="7">
        <f>-IF(AND(Main[[#This Row],[مقدار (کیلوگرم)]]&lt;0,Main[[#This Row],[تاريخ میلادی]]&gt;44276),Main[[#This Row],[مقدار (کیلوگرم)]],0)</f>
        <v>0</v>
      </c>
      <c r="N2487" s="6">
        <f ca="1">Main[[#This Row],[بدهکار (کیلوگرم)]]-Main[[#This Row],[بدهی تسویه نشده (کیلوگرم)]]</f>
        <v>0</v>
      </c>
      <c r="O2487" s="6">
        <f ca="1">Main[[#This Row],[تفکیک]]</f>
        <v>0</v>
      </c>
      <c r="P2487" s="6">
        <f ca="1">IF(Main[[#This Row],[تاخیر از سررسید]]&gt;0,Main[[#This Row],[بدهی تسویه نشده (کیلوگرم)]],0)</f>
        <v>0</v>
      </c>
      <c r="Q2487" s="6">
        <f ca="1">IF(Main[[#This Row],[بدهی تسویه نشده (کیلوگرم)]]&gt;0,'گزارش فردی'!$B$7-Main[[#This Row],[تاريخ میلادی]],0)</f>
        <v>0</v>
      </c>
      <c r="R2487" s="6">
        <f ca="1">IF(Main[[#This Row],[بدهی تسویه نشده (کیلوگرم)]]&gt;0,'گزارش فردی'!$B$7-Main[[#This Row],[تاريخ میلادی]]-'گزارش فردی'!$B$8,0)</f>
        <v>0</v>
      </c>
      <c r="S2487" s="6">
        <f ca="1">Main[[#This Row],[روز از ارسال سفارش]]*Main[[#This Row],[بدهی تسویه نشده (کیلوگرم)]]</f>
        <v>0</v>
      </c>
      <c r="T2487" s="6">
        <f ca="1">Main[[#This Row],[بدهی سررسید شده (کیلوگرم)]]*Main[[#This Row],[روز از ارسال سفارش]]</f>
        <v>0</v>
      </c>
      <c r="U2487" s="6">
        <f>-SUBTOTAL(9,INDEX(Main[مقدار (کیلوگرم)],1):Main[[#This Row],[مقدار (کیلوگرم)]])</f>
        <v>40487</v>
      </c>
      <c r="V24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7" s="6">
        <f>Main[[#This Row],[تعداد کل روزهای بدهکار (روز)]]*Main[[#This Row],[مانده در خط کل (کیلوگرم)]]</f>
        <v>40487</v>
      </c>
      <c r="X2487" s="6">
        <f ca="1">-SUBTOTAL(9,INDEX(Main[مقدار تسویه شده (کیلوگرم)],1):Main[[#This Row],[مقدار تسویه شده (کیلوگرم)]])</f>
        <v>21307</v>
      </c>
      <c r="Y2487" s="6">
        <f ca="1">IF(Main[[#This Row],[مانده در خط تسویه شده (کیلوگرم)]]&lt;&gt;0,Main[[#This Row],[تعداد کل روزهای بدهکار (روز)]],0)</f>
        <v>1</v>
      </c>
      <c r="Z2487" s="6">
        <f ca="1">Main[[#This Row],[تعداد روزهای بدهکار تسویه شده (روز)]]*Main[[#This Row],[مانده در خط تسویه شده (کیلوگرم)]]</f>
        <v>21307</v>
      </c>
      <c r="AA2487" s="6">
        <f ca="1">SUBTOTAL(9,INDEX(Main[بدهی تسویه نشده (کیلوگرم)],1):Main[[#This Row],[بدهی تسویه نشده (کیلوگرم)]])</f>
        <v>19180</v>
      </c>
      <c r="AB2487" s="6">
        <f ca="1">IF(Main[[#This Row],[مانده در خط تسویه نشده (کیلوگرم)]]&lt;&gt;0,Main[[#This Row],[تعداد کل روزهای بدهکار (روز)]],0)</f>
        <v>1</v>
      </c>
      <c r="AC2487" s="6">
        <f ca="1">Main[[#This Row],[تعداد روزهای بدهکار  تسویه نشده (روز)]]*Main[[#This Row],[مانده در خط تسویه نشده (کیلوگرم)]]</f>
        <v>19180</v>
      </c>
      <c r="AD2487" s="6">
        <f ca="1">SUBTOTAL(9,INDEX(Main[بدهی سررسید شده (کیلوگرم)],1):Main[[#This Row],[بدهی سررسید شده (کیلوگرم)]])</f>
        <v>19180</v>
      </c>
      <c r="AE2487" s="6">
        <f ca="1">IF(Main[[#This Row],[مانده در خط سررسید شده (کیلوگرم)]]&lt;&gt;0,Main[[#This Row],[تعداد کل روزهای بدهکار (روز)]],0)</f>
        <v>1</v>
      </c>
      <c r="AF2487" s="6">
        <f ca="1">Main[[#This Row],[تعداد روزهای بدهکار سررسید شده (روز)]]*Main[[#This Row],[مانده در خط سررسید شده (کیلوگرم)]]</f>
        <v>19180</v>
      </c>
    </row>
    <row r="2488" spans="1:32" hidden="1" x14ac:dyDescent="0.35">
      <c r="A2488" s="5">
        <f>ROW()-ROW(INDEX(Main[ردیف],1))+1</f>
        <v>2486</v>
      </c>
      <c r="B2488" s="31">
        <f>SUBTOTAL(2,INDEX(Main[ردیف],1):Main[[#This Row],[ردیف]])</f>
        <v>223</v>
      </c>
      <c r="C2488" s="32" t="s">
        <v>809</v>
      </c>
      <c r="D2488" s="32" t="str">
        <f>_xlfn.CONCAT("14",Main[[#This Row],[تاريخ]])</f>
        <v>1400/09/21</v>
      </c>
      <c r="E2488" s="33">
        <v>44542</v>
      </c>
      <c r="F2488" s="32">
        <v>10127</v>
      </c>
      <c r="G2488" s="5" t="str">
        <f>INDEX(customer[عنوان],MATCH(Main[[#This Row],[کد ردیابی]],customer[کد],0))</f>
        <v xml:space="preserve">عماد هاشمی </v>
      </c>
      <c r="H2488">
        <v>-1136</v>
      </c>
      <c r="I2488" s="6">
        <f ca="1">-Main[[#This Row],[بدهی تسویه شده (کیلوگرم)]]+Main[[#This Row],[بستانکار (کیلوگرم)]]</f>
        <v>0</v>
      </c>
      <c r="J2488" s="6">
        <f>IF(Main[[#This Row],[مقدار (کیلوگرم)]]&gt;0,Main[[#This Row],[مقدار (کیلوگرم)]],0)</f>
        <v>0</v>
      </c>
      <c r="K2488" s="6">
        <f>-IF(Main[[#This Row],[مقدار (کیلوگرم)]]&lt;0,Main[[#This Row],[مقدار (کیلوگرم)]],0)</f>
        <v>1136</v>
      </c>
      <c r="L24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1136</v>
      </c>
      <c r="M2488" s="7">
        <f>-IF(AND(Main[[#This Row],[مقدار (کیلوگرم)]]&lt;0,Main[[#This Row],[تاريخ میلادی]]&gt;44276),Main[[#This Row],[مقدار (کیلوگرم)]],0)</f>
        <v>1136</v>
      </c>
      <c r="N2488" s="6">
        <f ca="1">Main[[#This Row],[بدهکار (کیلوگرم)]]-Main[[#This Row],[بدهی تسویه نشده (کیلوگرم)]]</f>
        <v>0</v>
      </c>
      <c r="O2488" s="6">
        <f ca="1">Main[[#This Row],[تفکیک]]</f>
        <v>1136</v>
      </c>
      <c r="P2488" s="6">
        <f ca="1">IF(Main[[#This Row],[تاخیر از سررسید]]&gt;0,Main[[#This Row],[بدهی تسویه نشده (کیلوگرم)]],0)</f>
        <v>1136</v>
      </c>
      <c r="Q2488" s="6">
        <f ca="1">IF(Main[[#This Row],[بدهی تسویه نشده (کیلوگرم)]]&gt;0,'گزارش فردی'!$B$7-Main[[#This Row],[تاريخ میلادی]],0)</f>
        <v>920.75374085648218</v>
      </c>
      <c r="R2488" s="6">
        <f ca="1">IF(Main[[#This Row],[بدهی تسویه نشده (کیلوگرم)]]&gt;0,'گزارش فردی'!$B$7-Main[[#This Row],[تاريخ میلادی]]-'گزارش فردی'!$B$8,0)</f>
        <v>905.75374085648218</v>
      </c>
      <c r="S2488" s="6">
        <f ca="1">Main[[#This Row],[روز از ارسال سفارش]]*Main[[#This Row],[بدهی تسویه نشده (کیلوگرم)]]</f>
        <v>1045976.2496129638</v>
      </c>
      <c r="T2488" s="6">
        <f ca="1">Main[[#This Row],[بدهی سررسید شده (کیلوگرم)]]*Main[[#This Row],[روز از ارسال سفارش]]</f>
        <v>1045976.2496129638</v>
      </c>
      <c r="U2488" s="6">
        <f>-SUBTOTAL(9,INDEX(Main[مقدار (کیلوگرم)],1):Main[[#This Row],[مقدار (کیلوگرم)]])</f>
        <v>40487</v>
      </c>
      <c r="V24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8" s="6">
        <f>Main[[#This Row],[تعداد کل روزهای بدهکار (روز)]]*Main[[#This Row],[مانده در خط کل (کیلوگرم)]]</f>
        <v>40487</v>
      </c>
      <c r="X2488" s="6">
        <f ca="1">-SUBTOTAL(9,INDEX(Main[مقدار تسویه شده (کیلوگرم)],1):Main[[#This Row],[مقدار تسویه شده (کیلوگرم)]])</f>
        <v>21307</v>
      </c>
      <c r="Y2488" s="6">
        <f ca="1">IF(Main[[#This Row],[مانده در خط تسویه شده (کیلوگرم)]]&lt;&gt;0,Main[[#This Row],[تعداد کل روزهای بدهکار (روز)]],0)</f>
        <v>1</v>
      </c>
      <c r="Z2488" s="6">
        <f ca="1">Main[[#This Row],[تعداد روزهای بدهکار تسویه شده (روز)]]*Main[[#This Row],[مانده در خط تسویه شده (کیلوگرم)]]</f>
        <v>21307</v>
      </c>
      <c r="AA2488" s="6">
        <f ca="1">SUBTOTAL(9,INDEX(Main[بدهی تسویه نشده (کیلوگرم)],1):Main[[#This Row],[بدهی تسویه نشده (کیلوگرم)]])</f>
        <v>19180</v>
      </c>
      <c r="AB2488" s="6">
        <f ca="1">IF(Main[[#This Row],[مانده در خط تسویه نشده (کیلوگرم)]]&lt;&gt;0,Main[[#This Row],[تعداد کل روزهای بدهکار (روز)]],0)</f>
        <v>1</v>
      </c>
      <c r="AC2488" s="6">
        <f ca="1">Main[[#This Row],[تعداد روزهای بدهکار  تسویه نشده (روز)]]*Main[[#This Row],[مانده در خط تسویه نشده (کیلوگرم)]]</f>
        <v>19180</v>
      </c>
      <c r="AD2488" s="6">
        <f ca="1">SUBTOTAL(9,INDEX(Main[بدهی سررسید شده (کیلوگرم)],1):Main[[#This Row],[بدهی سررسید شده (کیلوگرم)]])</f>
        <v>19180</v>
      </c>
      <c r="AE2488" s="6">
        <f ca="1">IF(Main[[#This Row],[مانده در خط سررسید شده (کیلوگرم)]]&lt;&gt;0,Main[[#This Row],[تعداد کل روزهای بدهکار (روز)]],0)</f>
        <v>1</v>
      </c>
      <c r="AF2488" s="6">
        <f ca="1">Main[[#This Row],[تعداد روزهای بدهکار سررسید شده (روز)]]*Main[[#This Row],[مانده در خط سررسید شده (کیلوگرم)]]</f>
        <v>19180</v>
      </c>
    </row>
    <row r="2489" spans="1:32" hidden="1" x14ac:dyDescent="0.35">
      <c r="A2489" s="5">
        <f>ROW()-ROW(INDEX(Main[ردیف],1))+1</f>
        <v>2487</v>
      </c>
      <c r="B2489" s="31">
        <f>SUBTOTAL(2,INDEX(Main[ردیف],1):Main[[#This Row],[ردیف]])</f>
        <v>223</v>
      </c>
      <c r="C2489" s="32" t="s">
        <v>809</v>
      </c>
      <c r="D2489" s="32" t="str">
        <f>_xlfn.CONCAT("14",Main[[#This Row],[تاريخ]])</f>
        <v>1400/09/21</v>
      </c>
      <c r="E2489" s="33">
        <v>44542</v>
      </c>
      <c r="F2489" s="32">
        <v>30003</v>
      </c>
      <c r="G2489" s="5" t="str">
        <f>INDEX(customer[عنوان],MATCH(Main[[#This Row],[کد ردیابی]],customer[کد],0))</f>
        <v xml:space="preserve">شهاب گاز سوز </v>
      </c>
      <c r="H2489">
        <v>356</v>
      </c>
      <c r="I2489" s="6">
        <f ca="1">-Main[[#This Row],[بدهی تسویه شده (کیلوگرم)]]+Main[[#This Row],[بستانکار (کیلوگرم)]]</f>
        <v>356</v>
      </c>
      <c r="J2489" s="6">
        <f>IF(Main[[#This Row],[مقدار (کیلوگرم)]]&gt;0,Main[[#This Row],[مقدار (کیلوگرم)]],0)</f>
        <v>356</v>
      </c>
      <c r="K2489" s="6">
        <f>-IF(Main[[#This Row],[مقدار (کیلوگرم)]]&lt;0,Main[[#This Row],[مقدار (کیلوگرم)]],0)</f>
        <v>0</v>
      </c>
      <c r="L24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9" s="7">
        <f>-IF(AND(Main[[#This Row],[مقدار (کیلوگرم)]]&lt;0,Main[[#This Row],[تاريخ میلادی]]&gt;44276),Main[[#This Row],[مقدار (کیلوگرم)]],0)</f>
        <v>0</v>
      </c>
      <c r="N2489" s="6">
        <f ca="1">Main[[#This Row],[بدهکار (کیلوگرم)]]-Main[[#This Row],[بدهی تسویه نشده (کیلوگرم)]]</f>
        <v>0</v>
      </c>
      <c r="O2489" s="6">
        <f ca="1">Main[[#This Row],[تفکیک]]</f>
        <v>0</v>
      </c>
      <c r="P2489" s="6">
        <f ca="1">IF(Main[[#This Row],[تاخیر از سررسید]]&gt;0,Main[[#This Row],[بدهی تسویه نشده (کیلوگرم)]],0)</f>
        <v>0</v>
      </c>
      <c r="Q2489" s="6">
        <f ca="1">IF(Main[[#This Row],[بدهی تسویه نشده (کیلوگرم)]]&gt;0,'گزارش فردی'!$B$7-Main[[#This Row],[تاريخ میلادی]],0)</f>
        <v>0</v>
      </c>
      <c r="R2489" s="6">
        <f ca="1">IF(Main[[#This Row],[بدهی تسویه نشده (کیلوگرم)]]&gt;0,'گزارش فردی'!$B$7-Main[[#This Row],[تاريخ میلادی]]-'گزارش فردی'!$B$8,0)</f>
        <v>0</v>
      </c>
      <c r="S2489" s="6">
        <f ca="1">Main[[#This Row],[روز از ارسال سفارش]]*Main[[#This Row],[بدهی تسویه نشده (کیلوگرم)]]</f>
        <v>0</v>
      </c>
      <c r="T2489" s="6">
        <f ca="1">Main[[#This Row],[بدهی سررسید شده (کیلوگرم)]]*Main[[#This Row],[روز از ارسال سفارش]]</f>
        <v>0</v>
      </c>
      <c r="U2489" s="6">
        <f>-SUBTOTAL(9,INDEX(Main[مقدار (کیلوگرم)],1):Main[[#This Row],[مقدار (کیلوگرم)]])</f>
        <v>40487</v>
      </c>
      <c r="V24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9" s="6">
        <f>Main[[#This Row],[تعداد کل روزهای بدهکار (روز)]]*Main[[#This Row],[مانده در خط کل (کیلوگرم)]]</f>
        <v>40487</v>
      </c>
      <c r="X2489" s="6">
        <f ca="1">-SUBTOTAL(9,INDEX(Main[مقدار تسویه شده (کیلوگرم)],1):Main[[#This Row],[مقدار تسویه شده (کیلوگرم)]])</f>
        <v>21307</v>
      </c>
      <c r="Y2489" s="6">
        <f ca="1">IF(Main[[#This Row],[مانده در خط تسویه شده (کیلوگرم)]]&lt;&gt;0,Main[[#This Row],[تعداد کل روزهای بدهکار (روز)]],0)</f>
        <v>1</v>
      </c>
      <c r="Z2489" s="6">
        <f ca="1">Main[[#This Row],[تعداد روزهای بدهکار تسویه شده (روز)]]*Main[[#This Row],[مانده در خط تسویه شده (کیلوگرم)]]</f>
        <v>21307</v>
      </c>
      <c r="AA2489" s="6">
        <f ca="1">SUBTOTAL(9,INDEX(Main[بدهی تسویه نشده (کیلوگرم)],1):Main[[#This Row],[بدهی تسویه نشده (کیلوگرم)]])</f>
        <v>19180</v>
      </c>
      <c r="AB2489" s="6">
        <f ca="1">IF(Main[[#This Row],[مانده در خط تسویه نشده (کیلوگرم)]]&lt;&gt;0,Main[[#This Row],[تعداد کل روزهای بدهکار (روز)]],0)</f>
        <v>1</v>
      </c>
      <c r="AC2489" s="6">
        <f ca="1">Main[[#This Row],[تعداد روزهای بدهکار  تسویه نشده (روز)]]*Main[[#This Row],[مانده در خط تسویه نشده (کیلوگرم)]]</f>
        <v>19180</v>
      </c>
      <c r="AD2489" s="6">
        <f ca="1">SUBTOTAL(9,INDEX(Main[بدهی سررسید شده (کیلوگرم)],1):Main[[#This Row],[بدهی سررسید شده (کیلوگرم)]])</f>
        <v>19180</v>
      </c>
      <c r="AE2489" s="6">
        <f ca="1">IF(Main[[#This Row],[مانده در خط سررسید شده (کیلوگرم)]]&lt;&gt;0,Main[[#This Row],[تعداد کل روزهای بدهکار (روز)]],0)</f>
        <v>1</v>
      </c>
      <c r="AF2489" s="6">
        <f ca="1">Main[[#This Row],[تعداد روزهای بدهکار سررسید شده (روز)]]*Main[[#This Row],[مانده در خط سررسید شده (کیلوگرم)]]</f>
        <v>19180</v>
      </c>
    </row>
    <row r="2490" spans="1:32" hidden="1" x14ac:dyDescent="0.35">
      <c r="A2490" s="5">
        <f>ROW()-ROW(INDEX(Main[ردیف],1))+1</f>
        <v>2488</v>
      </c>
      <c r="B2490" s="31">
        <f>SUBTOTAL(2,INDEX(Main[ردیف],1):Main[[#This Row],[ردیف]])</f>
        <v>223</v>
      </c>
      <c r="C2490" s="32" t="s">
        <v>809</v>
      </c>
      <c r="D2490" s="32" t="str">
        <f>_xlfn.CONCAT("14",Main[[#This Row],[تاريخ]])</f>
        <v>1400/09/21</v>
      </c>
      <c r="E2490" s="33">
        <v>44542</v>
      </c>
      <c r="F2490" s="32">
        <v>30009</v>
      </c>
      <c r="G2490" s="5" t="str">
        <f>INDEX(customer[عنوان],MATCH(Main[[#This Row],[کد ردیابی]],customer[کد],0))</f>
        <v>شرکت ایمن تک پیشرو</v>
      </c>
      <c r="H2490">
        <v>1977</v>
      </c>
      <c r="I2490" s="6">
        <f ca="1">-Main[[#This Row],[بدهی تسویه شده (کیلوگرم)]]+Main[[#This Row],[بستانکار (کیلوگرم)]]</f>
        <v>1977</v>
      </c>
      <c r="J2490" s="6">
        <f>IF(Main[[#This Row],[مقدار (کیلوگرم)]]&gt;0,Main[[#This Row],[مقدار (کیلوگرم)]],0)</f>
        <v>1977</v>
      </c>
      <c r="K2490" s="6">
        <f>-IF(Main[[#This Row],[مقدار (کیلوگرم)]]&lt;0,Main[[#This Row],[مقدار (کیلوگرم)]],0)</f>
        <v>0</v>
      </c>
      <c r="L24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0" s="7">
        <f>-IF(AND(Main[[#This Row],[مقدار (کیلوگرم)]]&lt;0,Main[[#This Row],[تاريخ میلادی]]&gt;44276),Main[[#This Row],[مقدار (کیلوگرم)]],0)</f>
        <v>0</v>
      </c>
      <c r="N2490" s="6">
        <f ca="1">Main[[#This Row],[بدهکار (کیلوگرم)]]-Main[[#This Row],[بدهی تسویه نشده (کیلوگرم)]]</f>
        <v>0</v>
      </c>
      <c r="O2490" s="6">
        <f ca="1">Main[[#This Row],[تفکیک]]</f>
        <v>0</v>
      </c>
      <c r="P2490" s="6">
        <f ca="1">IF(Main[[#This Row],[تاخیر از سررسید]]&gt;0,Main[[#This Row],[بدهی تسویه نشده (کیلوگرم)]],0)</f>
        <v>0</v>
      </c>
      <c r="Q2490" s="6">
        <f ca="1">IF(Main[[#This Row],[بدهی تسویه نشده (کیلوگرم)]]&gt;0,'گزارش فردی'!$B$7-Main[[#This Row],[تاريخ میلادی]],0)</f>
        <v>0</v>
      </c>
      <c r="R2490" s="6">
        <f ca="1">IF(Main[[#This Row],[بدهی تسویه نشده (کیلوگرم)]]&gt;0,'گزارش فردی'!$B$7-Main[[#This Row],[تاريخ میلادی]]-'گزارش فردی'!$B$8,0)</f>
        <v>0</v>
      </c>
      <c r="S2490" s="6">
        <f ca="1">Main[[#This Row],[روز از ارسال سفارش]]*Main[[#This Row],[بدهی تسویه نشده (کیلوگرم)]]</f>
        <v>0</v>
      </c>
      <c r="T2490" s="6">
        <f ca="1">Main[[#This Row],[بدهی سررسید شده (کیلوگرم)]]*Main[[#This Row],[روز از ارسال سفارش]]</f>
        <v>0</v>
      </c>
      <c r="U2490" s="6">
        <f>-SUBTOTAL(9,INDEX(Main[مقدار (کیلوگرم)],1):Main[[#This Row],[مقدار (کیلوگرم)]])</f>
        <v>40487</v>
      </c>
      <c r="V24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0" s="6">
        <f>Main[[#This Row],[تعداد کل روزهای بدهکار (روز)]]*Main[[#This Row],[مانده در خط کل (کیلوگرم)]]</f>
        <v>40487</v>
      </c>
      <c r="X2490" s="6">
        <f ca="1">-SUBTOTAL(9,INDEX(Main[مقدار تسویه شده (کیلوگرم)],1):Main[[#This Row],[مقدار تسویه شده (کیلوگرم)]])</f>
        <v>21307</v>
      </c>
      <c r="Y2490" s="6">
        <f ca="1">IF(Main[[#This Row],[مانده در خط تسویه شده (کیلوگرم)]]&lt;&gt;0,Main[[#This Row],[تعداد کل روزهای بدهکار (روز)]],0)</f>
        <v>1</v>
      </c>
      <c r="Z2490" s="6">
        <f ca="1">Main[[#This Row],[تعداد روزهای بدهکار تسویه شده (روز)]]*Main[[#This Row],[مانده در خط تسویه شده (کیلوگرم)]]</f>
        <v>21307</v>
      </c>
      <c r="AA2490" s="6">
        <f ca="1">SUBTOTAL(9,INDEX(Main[بدهی تسویه نشده (کیلوگرم)],1):Main[[#This Row],[بدهی تسویه نشده (کیلوگرم)]])</f>
        <v>19180</v>
      </c>
      <c r="AB2490" s="6">
        <f ca="1">IF(Main[[#This Row],[مانده در خط تسویه نشده (کیلوگرم)]]&lt;&gt;0,Main[[#This Row],[تعداد کل روزهای بدهکار (روز)]],0)</f>
        <v>1</v>
      </c>
      <c r="AC2490" s="6">
        <f ca="1">Main[[#This Row],[تعداد روزهای بدهکار  تسویه نشده (روز)]]*Main[[#This Row],[مانده در خط تسویه نشده (کیلوگرم)]]</f>
        <v>19180</v>
      </c>
      <c r="AD2490" s="6">
        <f ca="1">SUBTOTAL(9,INDEX(Main[بدهی سررسید شده (کیلوگرم)],1):Main[[#This Row],[بدهی سررسید شده (کیلوگرم)]])</f>
        <v>19180</v>
      </c>
      <c r="AE2490" s="6">
        <f ca="1">IF(Main[[#This Row],[مانده در خط سررسید شده (کیلوگرم)]]&lt;&gt;0,Main[[#This Row],[تعداد کل روزهای بدهکار (روز)]],0)</f>
        <v>1</v>
      </c>
      <c r="AF2490" s="6">
        <f ca="1">Main[[#This Row],[تعداد روزهای بدهکار سررسید شده (روز)]]*Main[[#This Row],[مانده در خط سررسید شده (کیلوگرم)]]</f>
        <v>19180</v>
      </c>
    </row>
    <row r="2491" spans="1:32" hidden="1" x14ac:dyDescent="0.35">
      <c r="A2491" s="5">
        <f>ROW()-ROW(INDEX(Main[ردیف],1))+1</f>
        <v>2489</v>
      </c>
      <c r="B2491" s="31">
        <f>SUBTOTAL(2,INDEX(Main[ردیف],1):Main[[#This Row],[ردیف]])</f>
        <v>223</v>
      </c>
      <c r="C2491" s="32" t="s">
        <v>809</v>
      </c>
      <c r="D2491" s="32" t="str">
        <f>_xlfn.CONCAT("14",Main[[#This Row],[تاريخ]])</f>
        <v>1400/09/21</v>
      </c>
      <c r="E2491" s="33">
        <v>44542</v>
      </c>
      <c r="F2491" s="32">
        <v>30009</v>
      </c>
      <c r="G2491" s="5" t="str">
        <f>INDEX(customer[عنوان],MATCH(Main[[#This Row],[کد ردیابی]],customer[کد],0))</f>
        <v>شرکت ایمن تک پیشرو</v>
      </c>
      <c r="H2491">
        <v>1294</v>
      </c>
      <c r="I2491" s="6">
        <f ca="1">-Main[[#This Row],[بدهی تسویه شده (کیلوگرم)]]+Main[[#This Row],[بستانکار (کیلوگرم)]]</f>
        <v>1294</v>
      </c>
      <c r="J2491" s="6">
        <f>IF(Main[[#This Row],[مقدار (کیلوگرم)]]&gt;0,Main[[#This Row],[مقدار (کیلوگرم)]],0)</f>
        <v>1294</v>
      </c>
      <c r="K2491" s="6">
        <f>-IF(Main[[#This Row],[مقدار (کیلوگرم)]]&lt;0,Main[[#This Row],[مقدار (کیلوگرم)]],0)</f>
        <v>0</v>
      </c>
      <c r="L24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1" s="7">
        <f>-IF(AND(Main[[#This Row],[مقدار (کیلوگرم)]]&lt;0,Main[[#This Row],[تاريخ میلادی]]&gt;44276),Main[[#This Row],[مقدار (کیلوگرم)]],0)</f>
        <v>0</v>
      </c>
      <c r="N2491" s="6">
        <f ca="1">Main[[#This Row],[بدهکار (کیلوگرم)]]-Main[[#This Row],[بدهی تسویه نشده (کیلوگرم)]]</f>
        <v>0</v>
      </c>
      <c r="O2491" s="6">
        <f ca="1">Main[[#This Row],[تفکیک]]</f>
        <v>0</v>
      </c>
      <c r="P2491" s="6">
        <f ca="1">IF(Main[[#This Row],[تاخیر از سررسید]]&gt;0,Main[[#This Row],[بدهی تسویه نشده (کیلوگرم)]],0)</f>
        <v>0</v>
      </c>
      <c r="Q2491" s="6">
        <f ca="1">IF(Main[[#This Row],[بدهی تسویه نشده (کیلوگرم)]]&gt;0,'گزارش فردی'!$B$7-Main[[#This Row],[تاريخ میلادی]],0)</f>
        <v>0</v>
      </c>
      <c r="R2491" s="6">
        <f ca="1">IF(Main[[#This Row],[بدهی تسویه نشده (کیلوگرم)]]&gt;0,'گزارش فردی'!$B$7-Main[[#This Row],[تاريخ میلادی]]-'گزارش فردی'!$B$8,0)</f>
        <v>0</v>
      </c>
      <c r="S2491" s="6">
        <f ca="1">Main[[#This Row],[روز از ارسال سفارش]]*Main[[#This Row],[بدهی تسویه نشده (کیلوگرم)]]</f>
        <v>0</v>
      </c>
      <c r="T2491" s="6">
        <f ca="1">Main[[#This Row],[بدهی سررسید شده (کیلوگرم)]]*Main[[#This Row],[روز از ارسال سفارش]]</f>
        <v>0</v>
      </c>
      <c r="U2491" s="6">
        <f>-SUBTOTAL(9,INDEX(Main[مقدار (کیلوگرم)],1):Main[[#This Row],[مقدار (کیلوگرم)]])</f>
        <v>40487</v>
      </c>
      <c r="V24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1" s="6">
        <f>Main[[#This Row],[تعداد کل روزهای بدهکار (روز)]]*Main[[#This Row],[مانده در خط کل (کیلوگرم)]]</f>
        <v>40487</v>
      </c>
      <c r="X2491" s="6">
        <f ca="1">-SUBTOTAL(9,INDEX(Main[مقدار تسویه شده (کیلوگرم)],1):Main[[#This Row],[مقدار تسویه شده (کیلوگرم)]])</f>
        <v>21307</v>
      </c>
      <c r="Y2491" s="6">
        <f ca="1">IF(Main[[#This Row],[مانده در خط تسویه شده (کیلوگرم)]]&lt;&gt;0,Main[[#This Row],[تعداد کل روزهای بدهکار (روز)]],0)</f>
        <v>1</v>
      </c>
      <c r="Z2491" s="6">
        <f ca="1">Main[[#This Row],[تعداد روزهای بدهکار تسویه شده (روز)]]*Main[[#This Row],[مانده در خط تسویه شده (کیلوگرم)]]</f>
        <v>21307</v>
      </c>
      <c r="AA2491" s="6">
        <f ca="1">SUBTOTAL(9,INDEX(Main[بدهی تسویه نشده (کیلوگرم)],1):Main[[#This Row],[بدهی تسویه نشده (کیلوگرم)]])</f>
        <v>19180</v>
      </c>
      <c r="AB2491" s="6">
        <f ca="1">IF(Main[[#This Row],[مانده در خط تسویه نشده (کیلوگرم)]]&lt;&gt;0,Main[[#This Row],[تعداد کل روزهای بدهکار (روز)]],0)</f>
        <v>1</v>
      </c>
      <c r="AC2491" s="6">
        <f ca="1">Main[[#This Row],[تعداد روزهای بدهکار  تسویه نشده (روز)]]*Main[[#This Row],[مانده در خط تسویه نشده (کیلوگرم)]]</f>
        <v>19180</v>
      </c>
      <c r="AD2491" s="6">
        <f ca="1">SUBTOTAL(9,INDEX(Main[بدهی سررسید شده (کیلوگرم)],1):Main[[#This Row],[بدهی سررسید شده (کیلوگرم)]])</f>
        <v>19180</v>
      </c>
      <c r="AE2491" s="6">
        <f ca="1">IF(Main[[#This Row],[مانده در خط سررسید شده (کیلوگرم)]]&lt;&gt;0,Main[[#This Row],[تعداد کل روزهای بدهکار (روز)]],0)</f>
        <v>1</v>
      </c>
      <c r="AF2491" s="6">
        <f ca="1">Main[[#This Row],[تعداد روزهای بدهکار سررسید شده (روز)]]*Main[[#This Row],[مانده در خط سررسید شده (کیلوگرم)]]</f>
        <v>19180</v>
      </c>
    </row>
    <row r="2492" spans="1:32" hidden="1" x14ac:dyDescent="0.35">
      <c r="A2492" s="5">
        <f>ROW()-ROW(INDEX(Main[ردیف],1))+1</f>
        <v>2490</v>
      </c>
      <c r="B2492" s="31">
        <f>SUBTOTAL(2,INDEX(Main[ردیف],1):Main[[#This Row],[ردیف]])</f>
        <v>223</v>
      </c>
      <c r="C2492" s="32" t="s">
        <v>809</v>
      </c>
      <c r="D2492" s="32" t="str">
        <f>_xlfn.CONCAT("14",Main[[#This Row],[تاريخ]])</f>
        <v>1400/09/21</v>
      </c>
      <c r="E2492" s="33">
        <v>44542</v>
      </c>
      <c r="F2492" s="32">
        <v>30022</v>
      </c>
      <c r="G2492" s="5" t="str">
        <f>INDEX(customer[عنوان],MATCH(Main[[#This Row],[کد ردیابی]],customer[کد],0))</f>
        <v xml:space="preserve">کلار پویا </v>
      </c>
      <c r="H2492">
        <v>4902</v>
      </c>
      <c r="I2492" s="6">
        <f ca="1">-Main[[#This Row],[بدهی تسویه شده (کیلوگرم)]]+Main[[#This Row],[بستانکار (کیلوگرم)]]</f>
        <v>4902</v>
      </c>
      <c r="J2492" s="6">
        <f>IF(Main[[#This Row],[مقدار (کیلوگرم)]]&gt;0,Main[[#This Row],[مقدار (کیلوگرم)]],0)</f>
        <v>4902</v>
      </c>
      <c r="K2492" s="6">
        <f>-IF(Main[[#This Row],[مقدار (کیلوگرم)]]&lt;0,Main[[#This Row],[مقدار (کیلوگرم)]],0)</f>
        <v>0</v>
      </c>
      <c r="L24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2" s="7">
        <f>-IF(AND(Main[[#This Row],[مقدار (کیلوگرم)]]&lt;0,Main[[#This Row],[تاريخ میلادی]]&gt;44276),Main[[#This Row],[مقدار (کیلوگرم)]],0)</f>
        <v>0</v>
      </c>
      <c r="N2492" s="6">
        <f ca="1">Main[[#This Row],[بدهکار (کیلوگرم)]]-Main[[#This Row],[بدهی تسویه نشده (کیلوگرم)]]</f>
        <v>0</v>
      </c>
      <c r="O2492" s="6">
        <f ca="1">Main[[#This Row],[تفکیک]]</f>
        <v>0</v>
      </c>
      <c r="P2492" s="6">
        <f ca="1">IF(Main[[#This Row],[تاخیر از سررسید]]&gt;0,Main[[#This Row],[بدهی تسویه نشده (کیلوگرم)]],0)</f>
        <v>0</v>
      </c>
      <c r="Q2492" s="6">
        <f ca="1">IF(Main[[#This Row],[بدهی تسویه نشده (کیلوگرم)]]&gt;0,'گزارش فردی'!$B$7-Main[[#This Row],[تاريخ میلادی]],0)</f>
        <v>0</v>
      </c>
      <c r="R2492" s="6">
        <f ca="1">IF(Main[[#This Row],[بدهی تسویه نشده (کیلوگرم)]]&gt;0,'گزارش فردی'!$B$7-Main[[#This Row],[تاريخ میلادی]]-'گزارش فردی'!$B$8,0)</f>
        <v>0</v>
      </c>
      <c r="S2492" s="6">
        <f ca="1">Main[[#This Row],[روز از ارسال سفارش]]*Main[[#This Row],[بدهی تسویه نشده (کیلوگرم)]]</f>
        <v>0</v>
      </c>
      <c r="T2492" s="6">
        <f ca="1">Main[[#This Row],[بدهی سررسید شده (کیلوگرم)]]*Main[[#This Row],[روز از ارسال سفارش]]</f>
        <v>0</v>
      </c>
      <c r="U2492" s="6">
        <f>-SUBTOTAL(9,INDEX(Main[مقدار (کیلوگرم)],1):Main[[#This Row],[مقدار (کیلوگرم)]])</f>
        <v>40487</v>
      </c>
      <c r="V24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2" s="6">
        <f>Main[[#This Row],[تعداد کل روزهای بدهکار (روز)]]*Main[[#This Row],[مانده در خط کل (کیلوگرم)]]</f>
        <v>40487</v>
      </c>
      <c r="X2492" s="6">
        <f ca="1">-SUBTOTAL(9,INDEX(Main[مقدار تسویه شده (کیلوگرم)],1):Main[[#This Row],[مقدار تسویه شده (کیلوگرم)]])</f>
        <v>21307</v>
      </c>
      <c r="Y2492" s="6">
        <f ca="1">IF(Main[[#This Row],[مانده در خط تسویه شده (کیلوگرم)]]&lt;&gt;0,Main[[#This Row],[تعداد کل روزهای بدهکار (روز)]],0)</f>
        <v>1</v>
      </c>
      <c r="Z2492" s="6">
        <f ca="1">Main[[#This Row],[تعداد روزهای بدهکار تسویه شده (روز)]]*Main[[#This Row],[مانده در خط تسویه شده (کیلوگرم)]]</f>
        <v>21307</v>
      </c>
      <c r="AA2492" s="6">
        <f ca="1">SUBTOTAL(9,INDEX(Main[بدهی تسویه نشده (کیلوگرم)],1):Main[[#This Row],[بدهی تسویه نشده (کیلوگرم)]])</f>
        <v>19180</v>
      </c>
      <c r="AB2492" s="6">
        <f ca="1">IF(Main[[#This Row],[مانده در خط تسویه نشده (کیلوگرم)]]&lt;&gt;0,Main[[#This Row],[تعداد کل روزهای بدهکار (روز)]],0)</f>
        <v>1</v>
      </c>
      <c r="AC2492" s="6">
        <f ca="1">Main[[#This Row],[تعداد روزهای بدهکار  تسویه نشده (روز)]]*Main[[#This Row],[مانده در خط تسویه نشده (کیلوگرم)]]</f>
        <v>19180</v>
      </c>
      <c r="AD2492" s="6">
        <f ca="1">SUBTOTAL(9,INDEX(Main[بدهی سررسید شده (کیلوگرم)],1):Main[[#This Row],[بدهی سررسید شده (کیلوگرم)]])</f>
        <v>19180</v>
      </c>
      <c r="AE2492" s="6">
        <f ca="1">IF(Main[[#This Row],[مانده در خط سررسید شده (کیلوگرم)]]&lt;&gt;0,Main[[#This Row],[تعداد کل روزهای بدهکار (روز)]],0)</f>
        <v>1</v>
      </c>
      <c r="AF2492" s="6">
        <f ca="1">Main[[#This Row],[تعداد روزهای بدهکار سررسید شده (روز)]]*Main[[#This Row],[مانده در خط سررسید شده (کیلوگرم)]]</f>
        <v>19180</v>
      </c>
    </row>
    <row r="2493" spans="1:32" hidden="1" x14ac:dyDescent="0.35">
      <c r="A2493" s="5">
        <f>ROW()-ROW(INDEX(Main[ردیف],1))+1</f>
        <v>2491</v>
      </c>
      <c r="B2493" s="31">
        <f>SUBTOTAL(2,INDEX(Main[ردیف],1):Main[[#This Row],[ردیف]])</f>
        <v>223</v>
      </c>
      <c r="C2493" s="32" t="s">
        <v>809</v>
      </c>
      <c r="D2493" s="32" t="str">
        <f>_xlfn.CONCAT("14",Main[[#This Row],[تاريخ]])</f>
        <v>1400/09/21</v>
      </c>
      <c r="E2493" s="33">
        <v>44542</v>
      </c>
      <c r="F2493" s="32">
        <v>30003</v>
      </c>
      <c r="G2493" s="5" t="str">
        <f>INDEX(customer[عنوان],MATCH(Main[[#This Row],[کد ردیابی]],customer[کد],0))</f>
        <v xml:space="preserve">شهاب گاز سوز </v>
      </c>
      <c r="H2493">
        <v>111</v>
      </c>
      <c r="I2493" s="6">
        <f ca="1">-Main[[#This Row],[بدهی تسویه شده (کیلوگرم)]]+Main[[#This Row],[بستانکار (کیلوگرم)]]</f>
        <v>111</v>
      </c>
      <c r="J2493" s="6">
        <f>IF(Main[[#This Row],[مقدار (کیلوگرم)]]&gt;0,Main[[#This Row],[مقدار (کیلوگرم)]],0)</f>
        <v>111</v>
      </c>
      <c r="K2493" s="6">
        <f>-IF(Main[[#This Row],[مقدار (کیلوگرم)]]&lt;0,Main[[#This Row],[مقدار (کیلوگرم)]],0)</f>
        <v>0</v>
      </c>
      <c r="L24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3" s="7">
        <f>-IF(AND(Main[[#This Row],[مقدار (کیلوگرم)]]&lt;0,Main[[#This Row],[تاريخ میلادی]]&gt;44276),Main[[#This Row],[مقدار (کیلوگرم)]],0)</f>
        <v>0</v>
      </c>
      <c r="N2493" s="6">
        <f ca="1">Main[[#This Row],[بدهکار (کیلوگرم)]]-Main[[#This Row],[بدهی تسویه نشده (کیلوگرم)]]</f>
        <v>0</v>
      </c>
      <c r="O2493" s="6">
        <f ca="1">Main[[#This Row],[تفکیک]]</f>
        <v>0</v>
      </c>
      <c r="P2493" s="6">
        <f ca="1">IF(Main[[#This Row],[تاخیر از سررسید]]&gt;0,Main[[#This Row],[بدهی تسویه نشده (کیلوگرم)]],0)</f>
        <v>0</v>
      </c>
      <c r="Q2493" s="6">
        <f ca="1">IF(Main[[#This Row],[بدهی تسویه نشده (کیلوگرم)]]&gt;0,'گزارش فردی'!$B$7-Main[[#This Row],[تاريخ میلادی]],0)</f>
        <v>0</v>
      </c>
      <c r="R2493" s="6">
        <f ca="1">IF(Main[[#This Row],[بدهی تسویه نشده (کیلوگرم)]]&gt;0,'گزارش فردی'!$B$7-Main[[#This Row],[تاريخ میلادی]]-'گزارش فردی'!$B$8,0)</f>
        <v>0</v>
      </c>
      <c r="S2493" s="6">
        <f ca="1">Main[[#This Row],[روز از ارسال سفارش]]*Main[[#This Row],[بدهی تسویه نشده (کیلوگرم)]]</f>
        <v>0</v>
      </c>
      <c r="T2493" s="6">
        <f ca="1">Main[[#This Row],[بدهی سررسید شده (کیلوگرم)]]*Main[[#This Row],[روز از ارسال سفارش]]</f>
        <v>0</v>
      </c>
      <c r="U2493" s="6">
        <f>-SUBTOTAL(9,INDEX(Main[مقدار (کیلوگرم)],1):Main[[#This Row],[مقدار (کیلوگرم)]])</f>
        <v>40487</v>
      </c>
      <c r="V24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3" s="6">
        <f>Main[[#This Row],[تعداد کل روزهای بدهکار (روز)]]*Main[[#This Row],[مانده در خط کل (کیلوگرم)]]</f>
        <v>40487</v>
      </c>
      <c r="X2493" s="6">
        <f ca="1">-SUBTOTAL(9,INDEX(Main[مقدار تسویه شده (کیلوگرم)],1):Main[[#This Row],[مقدار تسویه شده (کیلوگرم)]])</f>
        <v>21307</v>
      </c>
      <c r="Y2493" s="6">
        <f ca="1">IF(Main[[#This Row],[مانده در خط تسویه شده (کیلوگرم)]]&lt;&gt;0,Main[[#This Row],[تعداد کل روزهای بدهکار (روز)]],0)</f>
        <v>1</v>
      </c>
      <c r="Z2493" s="6">
        <f ca="1">Main[[#This Row],[تعداد روزهای بدهکار تسویه شده (روز)]]*Main[[#This Row],[مانده در خط تسویه شده (کیلوگرم)]]</f>
        <v>21307</v>
      </c>
      <c r="AA2493" s="6">
        <f ca="1">SUBTOTAL(9,INDEX(Main[بدهی تسویه نشده (کیلوگرم)],1):Main[[#This Row],[بدهی تسویه نشده (کیلوگرم)]])</f>
        <v>19180</v>
      </c>
      <c r="AB2493" s="6">
        <f ca="1">IF(Main[[#This Row],[مانده در خط تسویه نشده (کیلوگرم)]]&lt;&gt;0,Main[[#This Row],[تعداد کل روزهای بدهکار (روز)]],0)</f>
        <v>1</v>
      </c>
      <c r="AC2493" s="6">
        <f ca="1">Main[[#This Row],[تعداد روزهای بدهکار  تسویه نشده (روز)]]*Main[[#This Row],[مانده در خط تسویه نشده (کیلوگرم)]]</f>
        <v>19180</v>
      </c>
      <c r="AD2493" s="6">
        <f ca="1">SUBTOTAL(9,INDEX(Main[بدهی سررسید شده (کیلوگرم)],1):Main[[#This Row],[بدهی سررسید شده (کیلوگرم)]])</f>
        <v>19180</v>
      </c>
      <c r="AE2493" s="6">
        <f ca="1">IF(Main[[#This Row],[مانده در خط سررسید شده (کیلوگرم)]]&lt;&gt;0,Main[[#This Row],[تعداد کل روزهای بدهکار (روز)]],0)</f>
        <v>1</v>
      </c>
      <c r="AF2493" s="6">
        <f ca="1">Main[[#This Row],[تعداد روزهای بدهکار سررسید شده (روز)]]*Main[[#This Row],[مانده در خط سررسید شده (کیلوگرم)]]</f>
        <v>19180</v>
      </c>
    </row>
    <row r="2494" spans="1:32" hidden="1" x14ac:dyDescent="0.35">
      <c r="A2494" s="5">
        <f>ROW()-ROW(INDEX(Main[ردیف],1))+1</f>
        <v>2492</v>
      </c>
      <c r="B2494" s="31">
        <f>SUBTOTAL(2,INDEX(Main[ردیف],1):Main[[#This Row],[ردیف]])</f>
        <v>223</v>
      </c>
      <c r="C2494" s="32" t="s">
        <v>809</v>
      </c>
      <c r="D2494" s="32" t="str">
        <f>_xlfn.CONCAT("14",Main[[#This Row],[تاريخ]])</f>
        <v>1400/09/21</v>
      </c>
      <c r="E2494" s="33">
        <v>44542</v>
      </c>
      <c r="F2494" s="32">
        <v>10048</v>
      </c>
      <c r="G2494" s="5" t="str">
        <f>INDEX(customer[عنوان],MATCH(Main[[#This Row],[کد ردیابی]],customer[کد],0))</f>
        <v xml:space="preserve">حسام کریمان  </v>
      </c>
      <c r="H2494">
        <v>117</v>
      </c>
      <c r="I2494" s="6">
        <f ca="1">-Main[[#This Row],[بدهی تسویه شده (کیلوگرم)]]+Main[[#This Row],[بستانکار (کیلوگرم)]]</f>
        <v>117</v>
      </c>
      <c r="J2494" s="6">
        <f>IF(Main[[#This Row],[مقدار (کیلوگرم)]]&gt;0,Main[[#This Row],[مقدار (کیلوگرم)]],0)</f>
        <v>117</v>
      </c>
      <c r="K2494" s="6">
        <f>-IF(Main[[#This Row],[مقدار (کیلوگرم)]]&lt;0,Main[[#This Row],[مقدار (کیلوگرم)]],0)</f>
        <v>0</v>
      </c>
      <c r="L24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4" s="7">
        <f>-IF(AND(Main[[#This Row],[مقدار (کیلوگرم)]]&lt;0,Main[[#This Row],[تاريخ میلادی]]&gt;44276),Main[[#This Row],[مقدار (کیلوگرم)]],0)</f>
        <v>0</v>
      </c>
      <c r="N2494" s="6">
        <f ca="1">Main[[#This Row],[بدهکار (کیلوگرم)]]-Main[[#This Row],[بدهی تسویه نشده (کیلوگرم)]]</f>
        <v>0</v>
      </c>
      <c r="O2494" s="6">
        <f ca="1">Main[[#This Row],[تفکیک]]</f>
        <v>0</v>
      </c>
      <c r="P2494" s="6">
        <f ca="1">IF(Main[[#This Row],[تاخیر از سررسید]]&gt;0,Main[[#This Row],[بدهی تسویه نشده (کیلوگرم)]],0)</f>
        <v>0</v>
      </c>
      <c r="Q2494" s="6">
        <f ca="1">IF(Main[[#This Row],[بدهی تسویه نشده (کیلوگرم)]]&gt;0,'گزارش فردی'!$B$7-Main[[#This Row],[تاريخ میلادی]],0)</f>
        <v>0</v>
      </c>
      <c r="R2494" s="6">
        <f ca="1">IF(Main[[#This Row],[بدهی تسویه نشده (کیلوگرم)]]&gt;0,'گزارش فردی'!$B$7-Main[[#This Row],[تاريخ میلادی]]-'گزارش فردی'!$B$8,0)</f>
        <v>0</v>
      </c>
      <c r="S2494" s="6">
        <f ca="1">Main[[#This Row],[روز از ارسال سفارش]]*Main[[#This Row],[بدهی تسویه نشده (کیلوگرم)]]</f>
        <v>0</v>
      </c>
      <c r="T2494" s="6">
        <f ca="1">Main[[#This Row],[بدهی سررسید شده (کیلوگرم)]]*Main[[#This Row],[روز از ارسال سفارش]]</f>
        <v>0</v>
      </c>
      <c r="U2494" s="6">
        <f>-SUBTOTAL(9,INDEX(Main[مقدار (کیلوگرم)],1):Main[[#This Row],[مقدار (کیلوگرم)]])</f>
        <v>40487</v>
      </c>
      <c r="V24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4" s="6">
        <f>Main[[#This Row],[تعداد کل روزهای بدهکار (روز)]]*Main[[#This Row],[مانده در خط کل (کیلوگرم)]]</f>
        <v>40487</v>
      </c>
      <c r="X2494" s="6">
        <f ca="1">-SUBTOTAL(9,INDEX(Main[مقدار تسویه شده (کیلوگرم)],1):Main[[#This Row],[مقدار تسویه شده (کیلوگرم)]])</f>
        <v>21307</v>
      </c>
      <c r="Y2494" s="6">
        <f ca="1">IF(Main[[#This Row],[مانده در خط تسویه شده (کیلوگرم)]]&lt;&gt;0,Main[[#This Row],[تعداد کل روزهای بدهکار (روز)]],0)</f>
        <v>1</v>
      </c>
      <c r="Z2494" s="6">
        <f ca="1">Main[[#This Row],[تعداد روزهای بدهکار تسویه شده (روز)]]*Main[[#This Row],[مانده در خط تسویه شده (کیلوگرم)]]</f>
        <v>21307</v>
      </c>
      <c r="AA2494" s="6">
        <f ca="1">SUBTOTAL(9,INDEX(Main[بدهی تسویه نشده (کیلوگرم)],1):Main[[#This Row],[بدهی تسویه نشده (کیلوگرم)]])</f>
        <v>19180</v>
      </c>
      <c r="AB2494" s="6">
        <f ca="1">IF(Main[[#This Row],[مانده در خط تسویه نشده (کیلوگرم)]]&lt;&gt;0,Main[[#This Row],[تعداد کل روزهای بدهکار (روز)]],0)</f>
        <v>1</v>
      </c>
      <c r="AC2494" s="6">
        <f ca="1">Main[[#This Row],[تعداد روزهای بدهکار  تسویه نشده (روز)]]*Main[[#This Row],[مانده در خط تسویه نشده (کیلوگرم)]]</f>
        <v>19180</v>
      </c>
      <c r="AD2494" s="6">
        <f ca="1">SUBTOTAL(9,INDEX(Main[بدهی سررسید شده (کیلوگرم)],1):Main[[#This Row],[بدهی سررسید شده (کیلوگرم)]])</f>
        <v>19180</v>
      </c>
      <c r="AE2494" s="6">
        <f ca="1">IF(Main[[#This Row],[مانده در خط سررسید شده (کیلوگرم)]]&lt;&gt;0,Main[[#This Row],[تعداد کل روزهای بدهکار (روز)]],0)</f>
        <v>1</v>
      </c>
      <c r="AF2494" s="6">
        <f ca="1">Main[[#This Row],[تعداد روزهای بدهکار سررسید شده (روز)]]*Main[[#This Row],[مانده در خط سررسید شده (کیلوگرم)]]</f>
        <v>19180</v>
      </c>
    </row>
    <row r="2495" spans="1:32" hidden="1" x14ac:dyDescent="0.35">
      <c r="A2495" s="5">
        <f>ROW()-ROW(INDEX(Main[ردیف],1))+1</f>
        <v>2493</v>
      </c>
      <c r="B2495" s="31">
        <f>SUBTOTAL(2,INDEX(Main[ردیف],1):Main[[#This Row],[ردیف]])</f>
        <v>223</v>
      </c>
      <c r="C2495" s="32" t="s">
        <v>809</v>
      </c>
      <c r="D2495" s="32" t="str">
        <f>_xlfn.CONCAT("14",Main[[#This Row],[تاريخ]])</f>
        <v>1400/09/21</v>
      </c>
      <c r="E2495" s="33">
        <v>44542</v>
      </c>
      <c r="F2495" s="32">
        <v>30070</v>
      </c>
      <c r="G2495" s="5" t="str">
        <f>INDEX(customer[عنوان],MATCH(Main[[#This Row],[کد ردیابی]],customer[کد],0))</f>
        <v xml:space="preserve">تکنو تراش یادگار </v>
      </c>
      <c r="H2495">
        <v>2081</v>
      </c>
      <c r="I2495" s="6">
        <f ca="1">-Main[[#This Row],[بدهی تسویه شده (کیلوگرم)]]+Main[[#This Row],[بستانکار (کیلوگرم)]]</f>
        <v>2081</v>
      </c>
      <c r="J2495" s="6">
        <f>IF(Main[[#This Row],[مقدار (کیلوگرم)]]&gt;0,Main[[#This Row],[مقدار (کیلوگرم)]],0)</f>
        <v>2081</v>
      </c>
      <c r="K2495" s="6">
        <f>-IF(Main[[#This Row],[مقدار (کیلوگرم)]]&lt;0,Main[[#This Row],[مقدار (کیلوگرم)]],0)</f>
        <v>0</v>
      </c>
      <c r="L24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5" s="7">
        <f>-IF(AND(Main[[#This Row],[مقدار (کیلوگرم)]]&lt;0,Main[[#This Row],[تاريخ میلادی]]&gt;44276),Main[[#This Row],[مقدار (کیلوگرم)]],0)</f>
        <v>0</v>
      </c>
      <c r="N2495" s="6">
        <f ca="1">Main[[#This Row],[بدهکار (کیلوگرم)]]-Main[[#This Row],[بدهی تسویه نشده (کیلوگرم)]]</f>
        <v>0</v>
      </c>
      <c r="O2495" s="6">
        <f ca="1">Main[[#This Row],[تفکیک]]</f>
        <v>0</v>
      </c>
      <c r="P2495" s="6">
        <f ca="1">IF(Main[[#This Row],[تاخیر از سررسید]]&gt;0,Main[[#This Row],[بدهی تسویه نشده (کیلوگرم)]],0)</f>
        <v>0</v>
      </c>
      <c r="Q2495" s="6">
        <f ca="1">IF(Main[[#This Row],[بدهی تسویه نشده (کیلوگرم)]]&gt;0,'گزارش فردی'!$B$7-Main[[#This Row],[تاريخ میلادی]],0)</f>
        <v>0</v>
      </c>
      <c r="R2495" s="6">
        <f ca="1">IF(Main[[#This Row],[بدهی تسویه نشده (کیلوگرم)]]&gt;0,'گزارش فردی'!$B$7-Main[[#This Row],[تاريخ میلادی]]-'گزارش فردی'!$B$8,0)</f>
        <v>0</v>
      </c>
      <c r="S2495" s="6">
        <f ca="1">Main[[#This Row],[روز از ارسال سفارش]]*Main[[#This Row],[بدهی تسویه نشده (کیلوگرم)]]</f>
        <v>0</v>
      </c>
      <c r="T2495" s="6">
        <f ca="1">Main[[#This Row],[بدهی سررسید شده (کیلوگرم)]]*Main[[#This Row],[روز از ارسال سفارش]]</f>
        <v>0</v>
      </c>
      <c r="U2495" s="6">
        <f>-SUBTOTAL(9,INDEX(Main[مقدار (کیلوگرم)],1):Main[[#This Row],[مقدار (کیلوگرم)]])</f>
        <v>40487</v>
      </c>
      <c r="V24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5" s="6">
        <f>Main[[#This Row],[تعداد کل روزهای بدهکار (روز)]]*Main[[#This Row],[مانده در خط کل (کیلوگرم)]]</f>
        <v>40487</v>
      </c>
      <c r="X2495" s="6">
        <f ca="1">-SUBTOTAL(9,INDEX(Main[مقدار تسویه شده (کیلوگرم)],1):Main[[#This Row],[مقدار تسویه شده (کیلوگرم)]])</f>
        <v>21307</v>
      </c>
      <c r="Y2495" s="6">
        <f ca="1">IF(Main[[#This Row],[مانده در خط تسویه شده (کیلوگرم)]]&lt;&gt;0,Main[[#This Row],[تعداد کل روزهای بدهکار (روز)]],0)</f>
        <v>1</v>
      </c>
      <c r="Z2495" s="6">
        <f ca="1">Main[[#This Row],[تعداد روزهای بدهکار تسویه شده (روز)]]*Main[[#This Row],[مانده در خط تسویه شده (کیلوگرم)]]</f>
        <v>21307</v>
      </c>
      <c r="AA2495" s="6">
        <f ca="1">SUBTOTAL(9,INDEX(Main[بدهی تسویه نشده (کیلوگرم)],1):Main[[#This Row],[بدهی تسویه نشده (کیلوگرم)]])</f>
        <v>19180</v>
      </c>
      <c r="AB2495" s="6">
        <f ca="1">IF(Main[[#This Row],[مانده در خط تسویه نشده (کیلوگرم)]]&lt;&gt;0,Main[[#This Row],[تعداد کل روزهای بدهکار (روز)]],0)</f>
        <v>1</v>
      </c>
      <c r="AC2495" s="6">
        <f ca="1">Main[[#This Row],[تعداد روزهای بدهکار  تسویه نشده (روز)]]*Main[[#This Row],[مانده در خط تسویه نشده (کیلوگرم)]]</f>
        <v>19180</v>
      </c>
      <c r="AD2495" s="6">
        <f ca="1">SUBTOTAL(9,INDEX(Main[بدهی سررسید شده (کیلوگرم)],1):Main[[#This Row],[بدهی سررسید شده (کیلوگرم)]])</f>
        <v>19180</v>
      </c>
      <c r="AE2495" s="6">
        <f ca="1">IF(Main[[#This Row],[مانده در خط سررسید شده (کیلوگرم)]]&lt;&gt;0,Main[[#This Row],[تعداد کل روزهای بدهکار (روز)]],0)</f>
        <v>1</v>
      </c>
      <c r="AF2495" s="6">
        <f ca="1">Main[[#This Row],[تعداد روزهای بدهکار سررسید شده (روز)]]*Main[[#This Row],[مانده در خط سررسید شده (کیلوگرم)]]</f>
        <v>19180</v>
      </c>
    </row>
    <row r="2496" spans="1:32" hidden="1" x14ac:dyDescent="0.35">
      <c r="A2496" s="5">
        <f>ROW()-ROW(INDEX(Main[ردیف],1))+1</f>
        <v>2494</v>
      </c>
      <c r="B2496" s="31">
        <f>SUBTOTAL(2,INDEX(Main[ردیف],1):Main[[#This Row],[ردیف]])</f>
        <v>223</v>
      </c>
      <c r="C2496" s="32" t="s">
        <v>810</v>
      </c>
      <c r="D2496" s="32" t="str">
        <f>_xlfn.CONCAT("14",Main[[#This Row],[تاريخ]])</f>
        <v>1400/09/22</v>
      </c>
      <c r="E2496" s="33">
        <v>44543</v>
      </c>
      <c r="F2496" s="32">
        <v>30004</v>
      </c>
      <c r="G2496" s="5" t="str">
        <f>INDEX(customer[عنوان],MATCH(Main[[#This Row],[کد ردیابی]],customer[کد],0))</f>
        <v>تولیدی صنعتی صفاشیر پارس</v>
      </c>
      <c r="H2496">
        <v>-4992</v>
      </c>
      <c r="I2496" s="6">
        <f ca="1">-Main[[#This Row],[بدهی تسویه شده (کیلوگرم)]]+Main[[#This Row],[بستانکار (کیلوگرم)]]</f>
        <v>0</v>
      </c>
      <c r="J2496" s="6">
        <f>IF(Main[[#This Row],[مقدار (کیلوگرم)]]&gt;0,Main[[#This Row],[مقدار (کیلوگرم)]],0)</f>
        <v>0</v>
      </c>
      <c r="K2496" s="6">
        <f>-IF(Main[[#This Row],[مقدار (کیلوگرم)]]&lt;0,Main[[#This Row],[مقدار (کیلوگرم)]],0)</f>
        <v>4992</v>
      </c>
      <c r="L24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4992</v>
      </c>
      <c r="M2496" s="7">
        <f>-IF(AND(Main[[#This Row],[مقدار (کیلوگرم)]]&lt;0,Main[[#This Row],[تاريخ میلادی]]&gt;44276),Main[[#This Row],[مقدار (کیلوگرم)]],0)</f>
        <v>4992</v>
      </c>
      <c r="N2496" s="6">
        <f ca="1">Main[[#This Row],[بدهکار (کیلوگرم)]]-Main[[#This Row],[بدهی تسویه نشده (کیلوگرم)]]</f>
        <v>0</v>
      </c>
      <c r="O2496" s="6">
        <f ca="1">Main[[#This Row],[تفکیک]]</f>
        <v>4992</v>
      </c>
      <c r="P2496" s="6">
        <f ca="1">IF(Main[[#This Row],[تاخیر از سررسید]]&gt;0,Main[[#This Row],[بدهی تسویه نشده (کیلوگرم)]],0)</f>
        <v>4992</v>
      </c>
      <c r="Q2496" s="6">
        <f ca="1">IF(Main[[#This Row],[بدهی تسویه نشده (کیلوگرم)]]&gt;0,'گزارش فردی'!$B$7-Main[[#This Row],[تاريخ میلادی]],0)</f>
        <v>919.75374085648218</v>
      </c>
      <c r="R2496" s="6">
        <f ca="1">IF(Main[[#This Row],[بدهی تسویه نشده (کیلوگرم)]]&gt;0,'گزارش فردی'!$B$7-Main[[#This Row],[تاريخ میلادی]]-'گزارش فردی'!$B$8,0)</f>
        <v>904.75374085648218</v>
      </c>
      <c r="S2496" s="6">
        <f ca="1">Main[[#This Row],[روز از ارسال سفارش]]*Main[[#This Row],[بدهی تسویه نشده (کیلوگرم)]]</f>
        <v>4591410.6743555591</v>
      </c>
      <c r="T2496" s="6">
        <f ca="1">Main[[#This Row],[بدهی سررسید شده (کیلوگرم)]]*Main[[#This Row],[روز از ارسال سفارش]]</f>
        <v>4591410.6743555591</v>
      </c>
      <c r="U2496" s="6">
        <f>-SUBTOTAL(9,INDEX(Main[مقدار (کیلوگرم)],1):Main[[#This Row],[مقدار (کیلوگرم)]])</f>
        <v>40487</v>
      </c>
      <c r="V24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6" s="6">
        <f>Main[[#This Row],[تعداد کل روزهای بدهکار (روز)]]*Main[[#This Row],[مانده در خط کل (کیلوگرم)]]</f>
        <v>0</v>
      </c>
      <c r="X2496" s="6">
        <f ca="1">-SUBTOTAL(9,INDEX(Main[مقدار تسویه شده (کیلوگرم)],1):Main[[#This Row],[مقدار تسویه شده (کیلوگرم)]])</f>
        <v>21307</v>
      </c>
      <c r="Y2496" s="6">
        <f ca="1">IF(Main[[#This Row],[مانده در خط تسویه شده (کیلوگرم)]]&lt;&gt;0,Main[[#This Row],[تعداد کل روزهای بدهکار (روز)]],0)</f>
        <v>0</v>
      </c>
      <c r="Z2496" s="6">
        <f ca="1">Main[[#This Row],[تعداد روزهای بدهکار تسویه شده (روز)]]*Main[[#This Row],[مانده در خط تسویه شده (کیلوگرم)]]</f>
        <v>0</v>
      </c>
      <c r="AA2496" s="6">
        <f ca="1">SUBTOTAL(9,INDEX(Main[بدهی تسویه نشده (کیلوگرم)],1):Main[[#This Row],[بدهی تسویه نشده (کیلوگرم)]])</f>
        <v>19180</v>
      </c>
      <c r="AB2496" s="6">
        <f ca="1">IF(Main[[#This Row],[مانده در خط تسویه نشده (کیلوگرم)]]&lt;&gt;0,Main[[#This Row],[تعداد کل روزهای بدهکار (روز)]],0)</f>
        <v>0</v>
      </c>
      <c r="AC2496" s="6">
        <f ca="1">Main[[#This Row],[تعداد روزهای بدهکار  تسویه نشده (روز)]]*Main[[#This Row],[مانده در خط تسویه نشده (کیلوگرم)]]</f>
        <v>0</v>
      </c>
      <c r="AD2496" s="6">
        <f ca="1">SUBTOTAL(9,INDEX(Main[بدهی سررسید شده (کیلوگرم)],1):Main[[#This Row],[بدهی سررسید شده (کیلوگرم)]])</f>
        <v>19180</v>
      </c>
      <c r="AE2496" s="6">
        <f ca="1">IF(Main[[#This Row],[مانده در خط سررسید شده (کیلوگرم)]]&lt;&gt;0,Main[[#This Row],[تعداد کل روزهای بدهکار (روز)]],0)</f>
        <v>0</v>
      </c>
      <c r="AF2496" s="6">
        <f ca="1">Main[[#This Row],[تعداد روزهای بدهکار سررسید شده (روز)]]*Main[[#This Row],[مانده در خط سررسید شده (کیلوگرم)]]</f>
        <v>0</v>
      </c>
    </row>
    <row r="2497" spans="1:32" hidden="1" x14ac:dyDescent="0.35">
      <c r="A2497" s="5">
        <f>ROW()-ROW(INDEX(Main[ردیف],1))+1</f>
        <v>2495</v>
      </c>
      <c r="B2497" s="31">
        <f>SUBTOTAL(2,INDEX(Main[ردیف],1):Main[[#This Row],[ردیف]])</f>
        <v>223</v>
      </c>
      <c r="C2497" s="32" t="s">
        <v>810</v>
      </c>
      <c r="D2497" s="32" t="str">
        <f>_xlfn.CONCAT("14",Main[[#This Row],[تاريخ]])</f>
        <v>1400/09/22</v>
      </c>
      <c r="E2497" s="33">
        <v>44543</v>
      </c>
      <c r="F2497" s="32">
        <v>30004</v>
      </c>
      <c r="G2497" s="5" t="str">
        <f>INDEX(customer[عنوان],MATCH(Main[[#This Row],[کد ردیابی]],customer[کد],0))</f>
        <v>تولیدی صنعتی صفاشیر پارس</v>
      </c>
      <c r="H2497">
        <v>2430</v>
      </c>
      <c r="I2497" s="6">
        <f ca="1">-Main[[#This Row],[بدهی تسویه شده (کیلوگرم)]]+Main[[#This Row],[بستانکار (کیلوگرم)]]</f>
        <v>2430</v>
      </c>
      <c r="J2497" s="6">
        <f>IF(Main[[#This Row],[مقدار (کیلوگرم)]]&gt;0,Main[[#This Row],[مقدار (کیلوگرم)]],0)</f>
        <v>2430</v>
      </c>
      <c r="K2497" s="6">
        <f>-IF(Main[[#This Row],[مقدار (کیلوگرم)]]&lt;0,Main[[#This Row],[مقدار (کیلوگرم)]],0)</f>
        <v>0</v>
      </c>
      <c r="L24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7" s="7">
        <f>-IF(AND(Main[[#This Row],[مقدار (کیلوگرم)]]&lt;0,Main[[#This Row],[تاريخ میلادی]]&gt;44276),Main[[#This Row],[مقدار (کیلوگرم)]],0)</f>
        <v>0</v>
      </c>
      <c r="N2497" s="6">
        <f ca="1">Main[[#This Row],[بدهکار (کیلوگرم)]]-Main[[#This Row],[بدهی تسویه نشده (کیلوگرم)]]</f>
        <v>0</v>
      </c>
      <c r="O2497" s="6">
        <f ca="1">Main[[#This Row],[تفکیک]]</f>
        <v>0</v>
      </c>
      <c r="P2497" s="6">
        <f ca="1">IF(Main[[#This Row],[تاخیر از سررسید]]&gt;0,Main[[#This Row],[بدهی تسویه نشده (کیلوگرم)]],0)</f>
        <v>0</v>
      </c>
      <c r="Q2497" s="6">
        <f ca="1">IF(Main[[#This Row],[بدهی تسویه نشده (کیلوگرم)]]&gt;0,'گزارش فردی'!$B$7-Main[[#This Row],[تاريخ میلادی]],0)</f>
        <v>0</v>
      </c>
      <c r="R2497" s="6">
        <f ca="1">IF(Main[[#This Row],[بدهی تسویه نشده (کیلوگرم)]]&gt;0,'گزارش فردی'!$B$7-Main[[#This Row],[تاريخ میلادی]]-'گزارش فردی'!$B$8,0)</f>
        <v>0</v>
      </c>
      <c r="S2497" s="6">
        <f ca="1">Main[[#This Row],[روز از ارسال سفارش]]*Main[[#This Row],[بدهی تسویه نشده (کیلوگرم)]]</f>
        <v>0</v>
      </c>
      <c r="T2497" s="6">
        <f ca="1">Main[[#This Row],[بدهی سررسید شده (کیلوگرم)]]*Main[[#This Row],[روز از ارسال سفارش]]</f>
        <v>0</v>
      </c>
      <c r="U2497" s="6">
        <f>-SUBTOTAL(9,INDEX(Main[مقدار (کیلوگرم)],1):Main[[#This Row],[مقدار (کیلوگرم)]])</f>
        <v>40487</v>
      </c>
      <c r="V24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7" s="6">
        <f>Main[[#This Row],[تعداد کل روزهای بدهکار (روز)]]*Main[[#This Row],[مانده در خط کل (کیلوگرم)]]</f>
        <v>0</v>
      </c>
      <c r="X2497" s="6">
        <f ca="1">-SUBTOTAL(9,INDEX(Main[مقدار تسویه شده (کیلوگرم)],1):Main[[#This Row],[مقدار تسویه شده (کیلوگرم)]])</f>
        <v>21307</v>
      </c>
      <c r="Y2497" s="6">
        <f ca="1">IF(Main[[#This Row],[مانده در خط تسویه شده (کیلوگرم)]]&lt;&gt;0,Main[[#This Row],[تعداد کل روزهای بدهکار (روز)]],0)</f>
        <v>0</v>
      </c>
      <c r="Z2497" s="6">
        <f ca="1">Main[[#This Row],[تعداد روزهای بدهکار تسویه شده (روز)]]*Main[[#This Row],[مانده در خط تسویه شده (کیلوگرم)]]</f>
        <v>0</v>
      </c>
      <c r="AA2497" s="6">
        <f ca="1">SUBTOTAL(9,INDEX(Main[بدهی تسویه نشده (کیلوگرم)],1):Main[[#This Row],[بدهی تسویه نشده (کیلوگرم)]])</f>
        <v>19180</v>
      </c>
      <c r="AB2497" s="6">
        <f ca="1">IF(Main[[#This Row],[مانده در خط تسویه نشده (کیلوگرم)]]&lt;&gt;0,Main[[#This Row],[تعداد کل روزهای بدهکار (روز)]],0)</f>
        <v>0</v>
      </c>
      <c r="AC2497" s="6">
        <f ca="1">Main[[#This Row],[تعداد روزهای بدهکار  تسویه نشده (روز)]]*Main[[#This Row],[مانده در خط تسویه نشده (کیلوگرم)]]</f>
        <v>0</v>
      </c>
      <c r="AD2497" s="6">
        <f ca="1">SUBTOTAL(9,INDEX(Main[بدهی سررسید شده (کیلوگرم)],1):Main[[#This Row],[بدهی سررسید شده (کیلوگرم)]])</f>
        <v>19180</v>
      </c>
      <c r="AE2497" s="6">
        <f ca="1">IF(Main[[#This Row],[مانده در خط سررسید شده (کیلوگرم)]]&lt;&gt;0,Main[[#This Row],[تعداد کل روزهای بدهکار (روز)]],0)</f>
        <v>0</v>
      </c>
      <c r="AF2497" s="6">
        <f ca="1">Main[[#This Row],[تعداد روزهای بدهکار سررسید شده (روز)]]*Main[[#This Row],[مانده در خط سررسید شده (کیلوگرم)]]</f>
        <v>0</v>
      </c>
    </row>
    <row r="2498" spans="1:32" hidden="1" x14ac:dyDescent="0.35">
      <c r="A2498" s="5">
        <f>ROW()-ROW(INDEX(Main[ردیف],1))+1</f>
        <v>2496</v>
      </c>
      <c r="B2498" s="31">
        <f>SUBTOTAL(2,INDEX(Main[ردیف],1):Main[[#This Row],[ردیف]])</f>
        <v>223</v>
      </c>
      <c r="C2498" s="32" t="s">
        <v>810</v>
      </c>
      <c r="D2498" s="32" t="str">
        <f>_xlfn.CONCAT("14",Main[[#This Row],[تاريخ]])</f>
        <v>1400/09/22</v>
      </c>
      <c r="E2498" s="33">
        <v>44543</v>
      </c>
      <c r="F2498" s="32">
        <v>30009</v>
      </c>
      <c r="G2498" s="5" t="str">
        <f>INDEX(customer[عنوان],MATCH(Main[[#This Row],[کد ردیابی]],customer[کد],0))</f>
        <v>شرکت ایمن تک پیشرو</v>
      </c>
      <c r="H2498">
        <v>-200</v>
      </c>
      <c r="I2498" s="6">
        <f ca="1">-Main[[#This Row],[بدهی تسویه شده (کیلوگرم)]]+Main[[#This Row],[بستانکار (کیلوگرم)]]</f>
        <v>0</v>
      </c>
      <c r="J2498" s="6">
        <f>IF(Main[[#This Row],[مقدار (کیلوگرم)]]&gt;0,Main[[#This Row],[مقدار (کیلوگرم)]],0)</f>
        <v>0</v>
      </c>
      <c r="K2498" s="6">
        <f>-IF(Main[[#This Row],[مقدار (کیلوگرم)]]&lt;0,Main[[#This Row],[مقدار (کیلوگرم)]],0)</f>
        <v>200</v>
      </c>
      <c r="L24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200</v>
      </c>
      <c r="M2498" s="7">
        <f>-IF(AND(Main[[#This Row],[مقدار (کیلوگرم)]]&lt;0,Main[[#This Row],[تاريخ میلادی]]&gt;44276),Main[[#This Row],[مقدار (کیلوگرم)]],0)</f>
        <v>200</v>
      </c>
      <c r="N2498" s="6">
        <f ca="1">Main[[#This Row],[بدهکار (کیلوگرم)]]-Main[[#This Row],[بدهی تسویه نشده (کیلوگرم)]]</f>
        <v>0</v>
      </c>
      <c r="O2498" s="6">
        <f ca="1">Main[[#This Row],[تفکیک]]</f>
        <v>200</v>
      </c>
      <c r="P2498" s="6">
        <f ca="1">IF(Main[[#This Row],[تاخیر از سررسید]]&gt;0,Main[[#This Row],[بدهی تسویه نشده (کیلوگرم)]],0)</f>
        <v>200</v>
      </c>
      <c r="Q2498" s="6">
        <f ca="1">IF(Main[[#This Row],[بدهی تسویه نشده (کیلوگرم)]]&gt;0,'گزارش فردی'!$B$7-Main[[#This Row],[تاريخ میلادی]],0)</f>
        <v>919.75374085648218</v>
      </c>
      <c r="R2498" s="6">
        <f ca="1">IF(Main[[#This Row],[بدهی تسویه نشده (کیلوگرم)]]&gt;0,'گزارش فردی'!$B$7-Main[[#This Row],[تاريخ میلادی]]-'گزارش فردی'!$B$8,0)</f>
        <v>904.75374085648218</v>
      </c>
      <c r="S2498" s="6">
        <f ca="1">Main[[#This Row],[روز از ارسال سفارش]]*Main[[#This Row],[بدهی تسویه نشده (کیلوگرم)]]</f>
        <v>183950.74817129644</v>
      </c>
      <c r="T2498" s="6">
        <f ca="1">Main[[#This Row],[بدهی سررسید شده (کیلوگرم)]]*Main[[#This Row],[روز از ارسال سفارش]]</f>
        <v>183950.74817129644</v>
      </c>
      <c r="U2498" s="6">
        <f>-SUBTOTAL(9,INDEX(Main[مقدار (کیلوگرم)],1):Main[[#This Row],[مقدار (کیلوگرم)]])</f>
        <v>40487</v>
      </c>
      <c r="V24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8" s="6">
        <f>Main[[#This Row],[تعداد کل روزهای بدهکار (روز)]]*Main[[#This Row],[مانده در خط کل (کیلوگرم)]]</f>
        <v>0</v>
      </c>
      <c r="X2498" s="6">
        <f ca="1">-SUBTOTAL(9,INDEX(Main[مقدار تسویه شده (کیلوگرم)],1):Main[[#This Row],[مقدار تسویه شده (کیلوگرم)]])</f>
        <v>21307</v>
      </c>
      <c r="Y2498" s="6">
        <f ca="1">IF(Main[[#This Row],[مانده در خط تسویه شده (کیلوگرم)]]&lt;&gt;0,Main[[#This Row],[تعداد کل روزهای بدهکار (روز)]],0)</f>
        <v>0</v>
      </c>
      <c r="Z2498" s="6">
        <f ca="1">Main[[#This Row],[تعداد روزهای بدهکار تسویه شده (روز)]]*Main[[#This Row],[مانده در خط تسویه شده (کیلوگرم)]]</f>
        <v>0</v>
      </c>
      <c r="AA2498" s="6">
        <f ca="1">SUBTOTAL(9,INDEX(Main[بدهی تسویه نشده (کیلوگرم)],1):Main[[#This Row],[بدهی تسویه نشده (کیلوگرم)]])</f>
        <v>19180</v>
      </c>
      <c r="AB2498" s="6">
        <f ca="1">IF(Main[[#This Row],[مانده در خط تسویه نشده (کیلوگرم)]]&lt;&gt;0,Main[[#This Row],[تعداد کل روزهای بدهکار (روز)]],0)</f>
        <v>0</v>
      </c>
      <c r="AC2498" s="6">
        <f ca="1">Main[[#This Row],[تعداد روزهای بدهکار  تسویه نشده (روز)]]*Main[[#This Row],[مانده در خط تسویه نشده (کیلوگرم)]]</f>
        <v>0</v>
      </c>
      <c r="AD2498" s="6">
        <f ca="1">SUBTOTAL(9,INDEX(Main[بدهی سررسید شده (کیلوگرم)],1):Main[[#This Row],[بدهی سررسید شده (کیلوگرم)]])</f>
        <v>19180</v>
      </c>
      <c r="AE2498" s="6">
        <f ca="1">IF(Main[[#This Row],[مانده در خط سررسید شده (کیلوگرم)]]&lt;&gt;0,Main[[#This Row],[تعداد کل روزهای بدهکار (روز)]],0)</f>
        <v>0</v>
      </c>
      <c r="AF2498" s="6">
        <f ca="1">Main[[#This Row],[تعداد روزهای بدهکار سررسید شده (روز)]]*Main[[#This Row],[مانده در خط سررسید شده (کیلوگرم)]]</f>
        <v>0</v>
      </c>
    </row>
    <row r="2499" spans="1:32" hidden="1" x14ac:dyDescent="0.35">
      <c r="A2499" s="5">
        <f>ROW()-ROW(INDEX(Main[ردیف],1))+1</f>
        <v>2497</v>
      </c>
      <c r="B2499" s="31">
        <f>SUBTOTAL(2,INDEX(Main[ردیف],1):Main[[#This Row],[ردیف]])</f>
        <v>223</v>
      </c>
      <c r="C2499" s="32" t="s">
        <v>810</v>
      </c>
      <c r="D2499" s="32" t="str">
        <f>_xlfn.CONCAT("14",Main[[#This Row],[تاريخ]])</f>
        <v>1400/09/22</v>
      </c>
      <c r="E2499" s="33">
        <v>44543</v>
      </c>
      <c r="F2499" s="32">
        <v>10020</v>
      </c>
      <c r="G2499" s="5" t="str">
        <f>INDEX(customer[عنوان],MATCH(Main[[#This Row],[کد ردیابی]],customer[کد],0))</f>
        <v>فرزاد اسماعیل زاده</v>
      </c>
      <c r="H2499">
        <v>1622</v>
      </c>
      <c r="I2499" s="6">
        <f ca="1">-Main[[#This Row],[بدهی تسویه شده (کیلوگرم)]]+Main[[#This Row],[بستانکار (کیلوگرم)]]</f>
        <v>1622</v>
      </c>
      <c r="J2499" s="6">
        <f>IF(Main[[#This Row],[مقدار (کیلوگرم)]]&gt;0,Main[[#This Row],[مقدار (کیلوگرم)]],0)</f>
        <v>1622</v>
      </c>
      <c r="K2499" s="6">
        <f>-IF(Main[[#This Row],[مقدار (کیلوگرم)]]&lt;0,Main[[#This Row],[مقدار (کیلوگرم)]],0)</f>
        <v>0</v>
      </c>
      <c r="L24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9" s="7">
        <f>-IF(AND(Main[[#This Row],[مقدار (کیلوگرم)]]&lt;0,Main[[#This Row],[تاريخ میلادی]]&gt;44276),Main[[#This Row],[مقدار (کیلوگرم)]],0)</f>
        <v>0</v>
      </c>
      <c r="N2499" s="6">
        <f ca="1">Main[[#This Row],[بدهکار (کیلوگرم)]]-Main[[#This Row],[بدهی تسویه نشده (کیلوگرم)]]</f>
        <v>0</v>
      </c>
      <c r="O2499" s="6">
        <f ca="1">Main[[#This Row],[تفکیک]]</f>
        <v>0</v>
      </c>
      <c r="P2499" s="6">
        <f ca="1">IF(Main[[#This Row],[تاخیر از سررسید]]&gt;0,Main[[#This Row],[بدهی تسویه نشده (کیلوگرم)]],0)</f>
        <v>0</v>
      </c>
      <c r="Q2499" s="6">
        <f ca="1">IF(Main[[#This Row],[بدهی تسویه نشده (کیلوگرم)]]&gt;0,'گزارش فردی'!$B$7-Main[[#This Row],[تاريخ میلادی]],0)</f>
        <v>0</v>
      </c>
      <c r="R2499" s="6">
        <f ca="1">IF(Main[[#This Row],[بدهی تسویه نشده (کیلوگرم)]]&gt;0,'گزارش فردی'!$B$7-Main[[#This Row],[تاريخ میلادی]]-'گزارش فردی'!$B$8,0)</f>
        <v>0</v>
      </c>
      <c r="S2499" s="6">
        <f ca="1">Main[[#This Row],[روز از ارسال سفارش]]*Main[[#This Row],[بدهی تسویه نشده (کیلوگرم)]]</f>
        <v>0</v>
      </c>
      <c r="T2499" s="6">
        <f ca="1">Main[[#This Row],[بدهی سررسید شده (کیلوگرم)]]*Main[[#This Row],[روز از ارسال سفارش]]</f>
        <v>0</v>
      </c>
      <c r="U2499" s="6">
        <f>-SUBTOTAL(9,INDEX(Main[مقدار (کیلوگرم)],1):Main[[#This Row],[مقدار (کیلوگرم)]])</f>
        <v>40487</v>
      </c>
      <c r="V24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9" s="6">
        <f>Main[[#This Row],[تعداد کل روزهای بدهکار (روز)]]*Main[[#This Row],[مانده در خط کل (کیلوگرم)]]</f>
        <v>0</v>
      </c>
      <c r="X2499" s="6">
        <f ca="1">-SUBTOTAL(9,INDEX(Main[مقدار تسویه شده (کیلوگرم)],1):Main[[#This Row],[مقدار تسویه شده (کیلوگرم)]])</f>
        <v>21307</v>
      </c>
      <c r="Y2499" s="6">
        <f ca="1">IF(Main[[#This Row],[مانده در خط تسویه شده (کیلوگرم)]]&lt;&gt;0,Main[[#This Row],[تعداد کل روزهای بدهکار (روز)]],0)</f>
        <v>0</v>
      </c>
      <c r="Z2499" s="6">
        <f ca="1">Main[[#This Row],[تعداد روزهای بدهکار تسویه شده (روز)]]*Main[[#This Row],[مانده در خط تسویه شده (کیلوگرم)]]</f>
        <v>0</v>
      </c>
      <c r="AA2499" s="6">
        <f ca="1">SUBTOTAL(9,INDEX(Main[بدهی تسویه نشده (کیلوگرم)],1):Main[[#This Row],[بدهی تسویه نشده (کیلوگرم)]])</f>
        <v>19180</v>
      </c>
      <c r="AB2499" s="6">
        <f ca="1">IF(Main[[#This Row],[مانده در خط تسویه نشده (کیلوگرم)]]&lt;&gt;0,Main[[#This Row],[تعداد کل روزهای بدهکار (روز)]],0)</f>
        <v>0</v>
      </c>
      <c r="AC2499" s="6">
        <f ca="1">Main[[#This Row],[تعداد روزهای بدهکار  تسویه نشده (روز)]]*Main[[#This Row],[مانده در خط تسویه نشده (کیلوگرم)]]</f>
        <v>0</v>
      </c>
      <c r="AD2499" s="6">
        <f ca="1">SUBTOTAL(9,INDEX(Main[بدهی سررسید شده (کیلوگرم)],1):Main[[#This Row],[بدهی سررسید شده (کیلوگرم)]])</f>
        <v>19180</v>
      </c>
      <c r="AE2499" s="6">
        <f ca="1">IF(Main[[#This Row],[مانده در خط سررسید شده (کیلوگرم)]]&lt;&gt;0,Main[[#This Row],[تعداد کل روزهای بدهکار (روز)]],0)</f>
        <v>0</v>
      </c>
      <c r="AF2499" s="6">
        <f ca="1">Main[[#This Row],[تعداد روزهای بدهکار سررسید شده (روز)]]*Main[[#This Row],[مانده در خط سررسید شده (کیلوگرم)]]</f>
        <v>0</v>
      </c>
    </row>
    <row r="2500" spans="1:32" hidden="1" x14ac:dyDescent="0.35">
      <c r="A2500" s="5">
        <f>ROW()-ROW(INDEX(Main[ردیف],1))+1</f>
        <v>2498</v>
      </c>
      <c r="B2500" s="31">
        <f>SUBTOTAL(2,INDEX(Main[ردیف],1):Main[[#This Row],[ردیف]])</f>
        <v>223</v>
      </c>
      <c r="C2500" s="32" t="s">
        <v>810</v>
      </c>
      <c r="D2500" s="32" t="str">
        <f>_xlfn.CONCAT("14",Main[[#This Row],[تاريخ]])</f>
        <v>1400/09/22</v>
      </c>
      <c r="E2500" s="33">
        <v>44543</v>
      </c>
      <c r="F2500" s="32">
        <v>30022</v>
      </c>
      <c r="G2500" s="5" t="str">
        <f>INDEX(customer[عنوان],MATCH(Main[[#This Row],[کد ردیابی]],customer[کد],0))</f>
        <v xml:space="preserve">کلار پویا </v>
      </c>
      <c r="H2500">
        <v>-4931</v>
      </c>
      <c r="I2500" s="6">
        <f ca="1">-Main[[#This Row],[بدهی تسویه شده (کیلوگرم)]]+Main[[#This Row],[بستانکار (کیلوگرم)]]</f>
        <v>0</v>
      </c>
      <c r="J2500" s="6">
        <f>IF(Main[[#This Row],[مقدار (کیلوگرم)]]&gt;0,Main[[#This Row],[مقدار (کیلوگرم)]],0)</f>
        <v>0</v>
      </c>
      <c r="K2500" s="6">
        <f>-IF(Main[[#This Row],[مقدار (کیلوگرم)]]&lt;0,Main[[#This Row],[مقدار (کیلوگرم)]],0)</f>
        <v>4931</v>
      </c>
      <c r="L25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4931</v>
      </c>
      <c r="M2500" s="7">
        <f>-IF(AND(Main[[#This Row],[مقدار (کیلوگرم)]]&lt;0,Main[[#This Row],[تاريخ میلادی]]&gt;44276),Main[[#This Row],[مقدار (کیلوگرم)]],0)</f>
        <v>4931</v>
      </c>
      <c r="N2500" s="6">
        <f ca="1">Main[[#This Row],[بدهکار (کیلوگرم)]]-Main[[#This Row],[بدهی تسویه نشده (کیلوگرم)]]</f>
        <v>0</v>
      </c>
      <c r="O2500" s="6">
        <f ca="1">Main[[#This Row],[تفکیک]]</f>
        <v>4931</v>
      </c>
      <c r="P2500" s="6">
        <f ca="1">IF(Main[[#This Row],[تاخیر از سررسید]]&gt;0,Main[[#This Row],[بدهی تسویه نشده (کیلوگرم)]],0)</f>
        <v>4931</v>
      </c>
      <c r="Q2500" s="6">
        <f ca="1">IF(Main[[#This Row],[بدهی تسویه نشده (کیلوگرم)]]&gt;0,'گزارش فردی'!$B$7-Main[[#This Row],[تاريخ میلادی]],0)</f>
        <v>919.75374085648218</v>
      </c>
      <c r="R2500" s="6">
        <f ca="1">IF(Main[[#This Row],[بدهی تسویه نشده (کیلوگرم)]]&gt;0,'گزارش فردی'!$B$7-Main[[#This Row],[تاريخ میلادی]]-'گزارش فردی'!$B$8,0)</f>
        <v>904.75374085648218</v>
      </c>
      <c r="S2500" s="6">
        <f ca="1">Main[[#This Row],[روز از ارسال سفارش]]*Main[[#This Row],[بدهی تسویه نشده (کیلوگرم)]]</f>
        <v>4535305.6961633135</v>
      </c>
      <c r="T2500" s="6">
        <f ca="1">Main[[#This Row],[بدهی سررسید شده (کیلوگرم)]]*Main[[#This Row],[روز از ارسال سفارش]]</f>
        <v>4535305.6961633135</v>
      </c>
      <c r="U2500" s="6">
        <f>-SUBTOTAL(9,INDEX(Main[مقدار (کیلوگرم)],1):Main[[#This Row],[مقدار (کیلوگرم)]])</f>
        <v>40487</v>
      </c>
      <c r="V25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0" s="6">
        <f>Main[[#This Row],[تعداد کل روزهای بدهکار (روز)]]*Main[[#This Row],[مانده در خط کل (کیلوگرم)]]</f>
        <v>0</v>
      </c>
      <c r="X2500" s="6">
        <f ca="1">-SUBTOTAL(9,INDEX(Main[مقدار تسویه شده (کیلوگرم)],1):Main[[#This Row],[مقدار تسویه شده (کیلوگرم)]])</f>
        <v>21307</v>
      </c>
      <c r="Y2500" s="6">
        <f ca="1">IF(Main[[#This Row],[مانده در خط تسویه شده (کیلوگرم)]]&lt;&gt;0,Main[[#This Row],[تعداد کل روزهای بدهکار (روز)]],0)</f>
        <v>0</v>
      </c>
      <c r="Z2500" s="6">
        <f ca="1">Main[[#This Row],[تعداد روزهای بدهکار تسویه شده (روز)]]*Main[[#This Row],[مانده در خط تسویه شده (کیلوگرم)]]</f>
        <v>0</v>
      </c>
      <c r="AA2500" s="6">
        <f ca="1">SUBTOTAL(9,INDEX(Main[بدهی تسویه نشده (کیلوگرم)],1):Main[[#This Row],[بدهی تسویه نشده (کیلوگرم)]])</f>
        <v>19180</v>
      </c>
      <c r="AB2500" s="6">
        <f ca="1">IF(Main[[#This Row],[مانده در خط تسویه نشده (کیلوگرم)]]&lt;&gt;0,Main[[#This Row],[تعداد کل روزهای بدهکار (روز)]],0)</f>
        <v>0</v>
      </c>
      <c r="AC2500" s="6">
        <f ca="1">Main[[#This Row],[تعداد روزهای بدهکار  تسویه نشده (روز)]]*Main[[#This Row],[مانده در خط تسویه نشده (کیلوگرم)]]</f>
        <v>0</v>
      </c>
      <c r="AD2500" s="6">
        <f ca="1">SUBTOTAL(9,INDEX(Main[بدهی سررسید شده (کیلوگرم)],1):Main[[#This Row],[بدهی سررسید شده (کیلوگرم)]])</f>
        <v>19180</v>
      </c>
      <c r="AE2500" s="6">
        <f ca="1">IF(Main[[#This Row],[مانده در خط سررسید شده (کیلوگرم)]]&lt;&gt;0,Main[[#This Row],[تعداد کل روزهای بدهکار (روز)]],0)</f>
        <v>0</v>
      </c>
      <c r="AF2500" s="6">
        <f ca="1">Main[[#This Row],[تعداد روزهای بدهکار سررسید شده (روز)]]*Main[[#This Row],[مانده در خط سررسید شده (کیلوگرم)]]</f>
        <v>0</v>
      </c>
    </row>
    <row r="2501" spans="1:32" hidden="1" x14ac:dyDescent="0.35">
      <c r="A2501" s="5">
        <f>ROW()-ROW(INDEX(Main[ردیف],1))+1</f>
        <v>2499</v>
      </c>
      <c r="B2501" s="31">
        <f>SUBTOTAL(2,INDEX(Main[ردیف],1):Main[[#This Row],[ردیف]])</f>
        <v>223</v>
      </c>
      <c r="C2501" s="32" t="s">
        <v>810</v>
      </c>
      <c r="D2501" s="32" t="str">
        <f>_xlfn.CONCAT("14",Main[[#This Row],[تاريخ]])</f>
        <v>1400/09/22</v>
      </c>
      <c r="E2501" s="33">
        <v>44543</v>
      </c>
      <c r="F2501" s="32">
        <v>10020</v>
      </c>
      <c r="G2501" s="5" t="str">
        <f>INDEX(customer[عنوان],MATCH(Main[[#This Row],[کد ردیابی]],customer[کد],0))</f>
        <v>فرزاد اسماعیل زاده</v>
      </c>
      <c r="H2501">
        <v>1183</v>
      </c>
      <c r="I2501" s="6">
        <f ca="1">-Main[[#This Row],[بدهی تسویه شده (کیلوگرم)]]+Main[[#This Row],[بستانکار (کیلوگرم)]]</f>
        <v>1183</v>
      </c>
      <c r="J2501" s="6">
        <f>IF(Main[[#This Row],[مقدار (کیلوگرم)]]&gt;0,Main[[#This Row],[مقدار (کیلوگرم)]],0)</f>
        <v>1183</v>
      </c>
      <c r="K2501" s="6">
        <f>-IF(Main[[#This Row],[مقدار (کیلوگرم)]]&lt;0,Main[[#This Row],[مقدار (کیلوگرم)]],0)</f>
        <v>0</v>
      </c>
      <c r="L25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1" s="7">
        <f>-IF(AND(Main[[#This Row],[مقدار (کیلوگرم)]]&lt;0,Main[[#This Row],[تاريخ میلادی]]&gt;44276),Main[[#This Row],[مقدار (کیلوگرم)]],0)</f>
        <v>0</v>
      </c>
      <c r="N2501" s="6">
        <f ca="1">Main[[#This Row],[بدهکار (کیلوگرم)]]-Main[[#This Row],[بدهی تسویه نشده (کیلوگرم)]]</f>
        <v>0</v>
      </c>
      <c r="O2501" s="6">
        <f ca="1">Main[[#This Row],[تفکیک]]</f>
        <v>0</v>
      </c>
      <c r="P2501" s="6">
        <f ca="1">IF(Main[[#This Row],[تاخیر از سررسید]]&gt;0,Main[[#This Row],[بدهی تسویه نشده (کیلوگرم)]],0)</f>
        <v>0</v>
      </c>
      <c r="Q2501" s="6">
        <f ca="1">IF(Main[[#This Row],[بدهی تسویه نشده (کیلوگرم)]]&gt;0,'گزارش فردی'!$B$7-Main[[#This Row],[تاريخ میلادی]],0)</f>
        <v>0</v>
      </c>
      <c r="R2501" s="6">
        <f ca="1">IF(Main[[#This Row],[بدهی تسویه نشده (کیلوگرم)]]&gt;0,'گزارش فردی'!$B$7-Main[[#This Row],[تاريخ میلادی]]-'گزارش فردی'!$B$8,0)</f>
        <v>0</v>
      </c>
      <c r="S2501" s="6">
        <f ca="1">Main[[#This Row],[روز از ارسال سفارش]]*Main[[#This Row],[بدهی تسویه نشده (کیلوگرم)]]</f>
        <v>0</v>
      </c>
      <c r="T2501" s="6">
        <f ca="1">Main[[#This Row],[بدهی سررسید شده (کیلوگرم)]]*Main[[#This Row],[روز از ارسال سفارش]]</f>
        <v>0</v>
      </c>
      <c r="U2501" s="6">
        <f>-SUBTOTAL(9,INDEX(Main[مقدار (کیلوگرم)],1):Main[[#This Row],[مقدار (کیلوگرم)]])</f>
        <v>40487</v>
      </c>
      <c r="V25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1" s="6">
        <f>Main[[#This Row],[تعداد کل روزهای بدهکار (روز)]]*Main[[#This Row],[مانده در خط کل (کیلوگرم)]]</f>
        <v>0</v>
      </c>
      <c r="X2501" s="6">
        <f ca="1">-SUBTOTAL(9,INDEX(Main[مقدار تسویه شده (کیلوگرم)],1):Main[[#This Row],[مقدار تسویه شده (کیلوگرم)]])</f>
        <v>21307</v>
      </c>
      <c r="Y2501" s="6">
        <f ca="1">IF(Main[[#This Row],[مانده در خط تسویه شده (کیلوگرم)]]&lt;&gt;0,Main[[#This Row],[تعداد کل روزهای بدهکار (روز)]],0)</f>
        <v>0</v>
      </c>
      <c r="Z2501" s="6">
        <f ca="1">Main[[#This Row],[تعداد روزهای بدهکار تسویه شده (روز)]]*Main[[#This Row],[مانده در خط تسویه شده (کیلوگرم)]]</f>
        <v>0</v>
      </c>
      <c r="AA2501" s="6">
        <f ca="1">SUBTOTAL(9,INDEX(Main[بدهی تسویه نشده (کیلوگرم)],1):Main[[#This Row],[بدهی تسویه نشده (کیلوگرم)]])</f>
        <v>19180</v>
      </c>
      <c r="AB2501" s="6">
        <f ca="1">IF(Main[[#This Row],[مانده در خط تسویه نشده (کیلوگرم)]]&lt;&gt;0,Main[[#This Row],[تعداد کل روزهای بدهکار (روز)]],0)</f>
        <v>0</v>
      </c>
      <c r="AC2501" s="6">
        <f ca="1">Main[[#This Row],[تعداد روزهای بدهکار  تسویه نشده (روز)]]*Main[[#This Row],[مانده در خط تسویه نشده (کیلوگرم)]]</f>
        <v>0</v>
      </c>
      <c r="AD2501" s="6">
        <f ca="1">SUBTOTAL(9,INDEX(Main[بدهی سررسید شده (کیلوگرم)],1):Main[[#This Row],[بدهی سررسید شده (کیلوگرم)]])</f>
        <v>19180</v>
      </c>
      <c r="AE2501" s="6">
        <f ca="1">IF(Main[[#This Row],[مانده در خط سررسید شده (کیلوگرم)]]&lt;&gt;0,Main[[#This Row],[تعداد کل روزهای بدهکار (روز)]],0)</f>
        <v>0</v>
      </c>
      <c r="AF2501" s="6">
        <f ca="1">Main[[#This Row],[تعداد روزهای بدهکار سررسید شده (روز)]]*Main[[#This Row],[مانده در خط سررسید شده (کیلوگرم)]]</f>
        <v>0</v>
      </c>
    </row>
    <row r="2502" spans="1:32" x14ac:dyDescent="0.35">
      <c r="A2502" s="5">
        <f>ROW()-ROW(INDEX(Main[ردیف],1))+1</f>
        <v>2500</v>
      </c>
      <c r="B2502" s="31">
        <f>SUBTOTAL(2,INDEX(Main[ردیف],1):Main[[#This Row],[ردیف]])</f>
        <v>224</v>
      </c>
      <c r="C2502" s="32" t="s">
        <v>810</v>
      </c>
      <c r="D2502" s="32" t="str">
        <f>_xlfn.CONCAT("14",Main[[#This Row],[تاريخ]])</f>
        <v>1400/09/22</v>
      </c>
      <c r="E2502" s="33">
        <v>44543</v>
      </c>
      <c r="F2502" s="32">
        <v>10003</v>
      </c>
      <c r="G2502" s="5" t="str">
        <f>INDEX(customer[عنوان],MATCH(Main[[#This Row],[کد ردیابی]],customer[کد],0))</f>
        <v>اصغر نورعلی</v>
      </c>
      <c r="H2502">
        <v>-3107</v>
      </c>
      <c r="I2502" s="6">
        <f ca="1">-Main[[#This Row],[بدهی تسویه شده (کیلوگرم)]]+Main[[#This Row],[بستانکار (کیلوگرم)]]</f>
        <v>0</v>
      </c>
      <c r="J2502" s="6">
        <f>IF(Main[[#This Row],[مقدار (کیلوگرم)]]&gt;0,Main[[#This Row],[مقدار (کیلوگرم)]],0)</f>
        <v>0</v>
      </c>
      <c r="K2502" s="6">
        <f>-IF(Main[[#This Row],[مقدار (کیلوگرم)]]&lt;0,Main[[#This Row],[مقدار (کیلوگرم)]],0)</f>
        <v>3107</v>
      </c>
      <c r="L25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3107</v>
      </c>
      <c r="M2502" s="7">
        <f>-IF(AND(Main[[#This Row],[مقدار (کیلوگرم)]]&lt;0,Main[[#This Row],[تاريخ میلادی]]&gt;44276),Main[[#This Row],[مقدار (کیلوگرم)]],0)</f>
        <v>3107</v>
      </c>
      <c r="N2502" s="6">
        <f ca="1">Main[[#This Row],[بدهکار (کیلوگرم)]]-Main[[#This Row],[بدهی تسویه نشده (کیلوگرم)]]</f>
        <v>0</v>
      </c>
      <c r="O2502" s="6">
        <f ca="1">Main[[#This Row],[تفکیک]]</f>
        <v>3107</v>
      </c>
      <c r="P2502" s="6">
        <f ca="1">IF(Main[[#This Row],[تاخیر از سررسید]]&gt;0,Main[[#This Row],[بدهی تسویه نشده (کیلوگرم)]],0)</f>
        <v>3107</v>
      </c>
      <c r="Q2502" s="6">
        <f ca="1">IF(Main[[#This Row],[بدهی تسویه نشده (کیلوگرم)]]&gt;0,'گزارش فردی'!$B$7-Main[[#This Row],[تاريخ میلادی]],0)</f>
        <v>919.75374085648218</v>
      </c>
      <c r="R2502" s="6">
        <f ca="1">IF(Main[[#This Row],[بدهی تسویه نشده (کیلوگرم)]]&gt;0,'گزارش فردی'!$B$7-Main[[#This Row],[تاريخ میلادی]]-'گزارش فردی'!$B$8,0)</f>
        <v>904.75374085648218</v>
      </c>
      <c r="S2502" s="6">
        <f ca="1">Main[[#This Row],[روز از ارسال سفارش]]*Main[[#This Row],[بدهی تسویه نشده (کیلوگرم)]]</f>
        <v>2857674.87284109</v>
      </c>
      <c r="T2502" s="6">
        <f ca="1">Main[[#This Row],[بدهی سررسید شده (کیلوگرم)]]*Main[[#This Row],[روز از ارسال سفارش]]</f>
        <v>2857674.87284109</v>
      </c>
      <c r="U2502" s="6">
        <f>-SUBTOTAL(9,INDEX(Main[مقدار (کیلوگرم)],1):Main[[#This Row],[مقدار (کیلوگرم)]])</f>
        <v>43594</v>
      </c>
      <c r="V25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2" s="6">
        <f>Main[[#This Row],[تعداد کل روزهای بدهکار (روز)]]*Main[[#This Row],[مانده در خط کل (کیلوگرم)]]</f>
        <v>0</v>
      </c>
      <c r="X2502" s="6">
        <f ca="1">-SUBTOTAL(9,INDEX(Main[مقدار تسویه شده (کیلوگرم)],1):Main[[#This Row],[مقدار تسویه شده (کیلوگرم)]])</f>
        <v>21307</v>
      </c>
      <c r="Y2502" s="6">
        <f ca="1">IF(Main[[#This Row],[مانده در خط تسویه شده (کیلوگرم)]]&lt;&gt;0,Main[[#This Row],[تعداد کل روزهای بدهکار (روز)]],0)</f>
        <v>0</v>
      </c>
      <c r="Z2502" s="6">
        <f ca="1">Main[[#This Row],[تعداد روزهای بدهکار تسویه شده (روز)]]*Main[[#This Row],[مانده در خط تسویه شده (کیلوگرم)]]</f>
        <v>0</v>
      </c>
      <c r="AA2502" s="6">
        <f ca="1">SUBTOTAL(9,INDEX(Main[بدهی تسویه نشده (کیلوگرم)],1):Main[[#This Row],[بدهی تسویه نشده (کیلوگرم)]])</f>
        <v>22287</v>
      </c>
      <c r="AB2502" s="6">
        <f ca="1">IF(Main[[#This Row],[مانده در خط تسویه نشده (کیلوگرم)]]&lt;&gt;0,Main[[#This Row],[تعداد کل روزهای بدهکار (روز)]],0)</f>
        <v>0</v>
      </c>
      <c r="AC2502" s="6">
        <f ca="1">Main[[#This Row],[تعداد روزهای بدهکار  تسویه نشده (روز)]]*Main[[#This Row],[مانده در خط تسویه نشده (کیلوگرم)]]</f>
        <v>0</v>
      </c>
      <c r="AD2502" s="6">
        <f ca="1">SUBTOTAL(9,INDEX(Main[بدهی سررسید شده (کیلوگرم)],1):Main[[#This Row],[بدهی سررسید شده (کیلوگرم)]])</f>
        <v>22287</v>
      </c>
      <c r="AE2502" s="6">
        <f ca="1">IF(Main[[#This Row],[مانده در خط سررسید شده (کیلوگرم)]]&lt;&gt;0,Main[[#This Row],[تعداد کل روزهای بدهکار (روز)]],0)</f>
        <v>0</v>
      </c>
      <c r="AF2502" s="6">
        <f ca="1">Main[[#This Row],[تعداد روزهای بدهکار سررسید شده (روز)]]*Main[[#This Row],[مانده در خط سررسید شده (کیلوگرم)]]</f>
        <v>0</v>
      </c>
    </row>
    <row r="2503" spans="1:32" hidden="1" x14ac:dyDescent="0.35">
      <c r="A2503" s="5">
        <f>ROW()-ROW(INDEX(Main[ردیف],1))+1</f>
        <v>2501</v>
      </c>
      <c r="B2503" s="31">
        <f>SUBTOTAL(2,INDEX(Main[ردیف],1):Main[[#This Row],[ردیف]])</f>
        <v>224</v>
      </c>
      <c r="C2503" s="32" t="s">
        <v>810</v>
      </c>
      <c r="D2503" s="32" t="str">
        <f>_xlfn.CONCAT("14",Main[[#This Row],[تاريخ]])</f>
        <v>1400/09/22</v>
      </c>
      <c r="E2503" s="33">
        <v>44543</v>
      </c>
      <c r="F2503" s="32">
        <v>30004</v>
      </c>
      <c r="G2503" s="5" t="str">
        <f>INDEX(customer[عنوان],MATCH(Main[[#This Row],[کد ردیابی]],customer[کد],0))</f>
        <v>تولیدی صنعتی صفاشیر پارس</v>
      </c>
      <c r="H2503">
        <v>2524</v>
      </c>
      <c r="I2503" s="6">
        <f ca="1">-Main[[#This Row],[بدهی تسویه شده (کیلوگرم)]]+Main[[#This Row],[بستانکار (کیلوگرم)]]</f>
        <v>2524</v>
      </c>
      <c r="J2503" s="6">
        <f>IF(Main[[#This Row],[مقدار (کیلوگرم)]]&gt;0,Main[[#This Row],[مقدار (کیلوگرم)]],0)</f>
        <v>2524</v>
      </c>
      <c r="K2503" s="6">
        <f>-IF(Main[[#This Row],[مقدار (کیلوگرم)]]&lt;0,Main[[#This Row],[مقدار (کیلوگرم)]],0)</f>
        <v>0</v>
      </c>
      <c r="L25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3" s="7">
        <f>-IF(AND(Main[[#This Row],[مقدار (کیلوگرم)]]&lt;0,Main[[#This Row],[تاريخ میلادی]]&gt;44276),Main[[#This Row],[مقدار (کیلوگرم)]],0)</f>
        <v>0</v>
      </c>
      <c r="N2503" s="6">
        <f ca="1">Main[[#This Row],[بدهکار (کیلوگرم)]]-Main[[#This Row],[بدهی تسویه نشده (کیلوگرم)]]</f>
        <v>0</v>
      </c>
      <c r="O2503" s="6">
        <f ca="1">Main[[#This Row],[تفکیک]]</f>
        <v>0</v>
      </c>
      <c r="P2503" s="6">
        <f ca="1">IF(Main[[#This Row],[تاخیر از سررسید]]&gt;0,Main[[#This Row],[بدهی تسویه نشده (کیلوگرم)]],0)</f>
        <v>0</v>
      </c>
      <c r="Q2503" s="6">
        <f ca="1">IF(Main[[#This Row],[بدهی تسویه نشده (کیلوگرم)]]&gt;0,'گزارش فردی'!$B$7-Main[[#This Row],[تاريخ میلادی]],0)</f>
        <v>0</v>
      </c>
      <c r="R2503" s="6">
        <f ca="1">IF(Main[[#This Row],[بدهی تسویه نشده (کیلوگرم)]]&gt;0,'گزارش فردی'!$B$7-Main[[#This Row],[تاريخ میلادی]]-'گزارش فردی'!$B$8,0)</f>
        <v>0</v>
      </c>
      <c r="S2503" s="6">
        <f ca="1">Main[[#This Row],[روز از ارسال سفارش]]*Main[[#This Row],[بدهی تسویه نشده (کیلوگرم)]]</f>
        <v>0</v>
      </c>
      <c r="T2503" s="6">
        <f ca="1">Main[[#This Row],[بدهی سررسید شده (کیلوگرم)]]*Main[[#This Row],[روز از ارسال سفارش]]</f>
        <v>0</v>
      </c>
      <c r="U2503" s="6">
        <f>-SUBTOTAL(9,INDEX(Main[مقدار (کیلوگرم)],1):Main[[#This Row],[مقدار (کیلوگرم)]])</f>
        <v>43594</v>
      </c>
      <c r="V25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3" s="6">
        <f>Main[[#This Row],[تعداد کل روزهای بدهکار (روز)]]*Main[[#This Row],[مانده در خط کل (کیلوگرم)]]</f>
        <v>0</v>
      </c>
      <c r="X2503" s="6">
        <f ca="1">-SUBTOTAL(9,INDEX(Main[مقدار تسویه شده (کیلوگرم)],1):Main[[#This Row],[مقدار تسویه شده (کیلوگرم)]])</f>
        <v>21307</v>
      </c>
      <c r="Y2503" s="6">
        <f ca="1">IF(Main[[#This Row],[مانده در خط تسویه شده (کیلوگرم)]]&lt;&gt;0,Main[[#This Row],[تعداد کل روزهای بدهکار (روز)]],0)</f>
        <v>0</v>
      </c>
      <c r="Z2503" s="6">
        <f ca="1">Main[[#This Row],[تعداد روزهای بدهکار تسویه شده (روز)]]*Main[[#This Row],[مانده در خط تسویه شده (کیلوگرم)]]</f>
        <v>0</v>
      </c>
      <c r="AA2503" s="6">
        <f ca="1">SUBTOTAL(9,INDEX(Main[بدهی تسویه نشده (کیلوگرم)],1):Main[[#This Row],[بدهی تسویه نشده (کیلوگرم)]])</f>
        <v>22287</v>
      </c>
      <c r="AB2503" s="6">
        <f ca="1">IF(Main[[#This Row],[مانده در خط تسویه نشده (کیلوگرم)]]&lt;&gt;0,Main[[#This Row],[تعداد کل روزهای بدهکار (روز)]],0)</f>
        <v>0</v>
      </c>
      <c r="AC2503" s="6">
        <f ca="1">Main[[#This Row],[تعداد روزهای بدهکار  تسویه نشده (روز)]]*Main[[#This Row],[مانده در خط تسویه نشده (کیلوگرم)]]</f>
        <v>0</v>
      </c>
      <c r="AD2503" s="6">
        <f ca="1">SUBTOTAL(9,INDEX(Main[بدهی سررسید شده (کیلوگرم)],1):Main[[#This Row],[بدهی سررسید شده (کیلوگرم)]])</f>
        <v>22287</v>
      </c>
      <c r="AE2503" s="6">
        <f ca="1">IF(Main[[#This Row],[مانده در خط سررسید شده (کیلوگرم)]]&lt;&gt;0,Main[[#This Row],[تعداد کل روزهای بدهکار (روز)]],0)</f>
        <v>0</v>
      </c>
      <c r="AF2503" s="6">
        <f ca="1">Main[[#This Row],[تعداد روزهای بدهکار سررسید شده (روز)]]*Main[[#This Row],[مانده در خط سررسید شده (کیلوگرم)]]</f>
        <v>0</v>
      </c>
    </row>
    <row r="2504" spans="1:32" hidden="1" x14ac:dyDescent="0.35">
      <c r="A2504" s="5">
        <f>ROW()-ROW(INDEX(Main[ردیف],1))+1</f>
        <v>2502</v>
      </c>
      <c r="B2504" s="31">
        <f>SUBTOTAL(2,INDEX(Main[ردیف],1):Main[[#This Row],[ردیف]])</f>
        <v>224</v>
      </c>
      <c r="C2504" s="32" t="s">
        <v>810</v>
      </c>
      <c r="D2504" s="32" t="str">
        <f>_xlfn.CONCAT("14",Main[[#This Row],[تاريخ]])</f>
        <v>1400/09/22</v>
      </c>
      <c r="E2504" s="33">
        <v>44543</v>
      </c>
      <c r="F2504" s="32">
        <v>10020</v>
      </c>
      <c r="G2504" s="5" t="str">
        <f>INDEX(customer[عنوان],MATCH(Main[[#This Row],[کد ردیابی]],customer[کد],0))</f>
        <v>فرزاد اسماعیل زاده</v>
      </c>
      <c r="H2504">
        <v>-1496</v>
      </c>
      <c r="I2504" s="6">
        <f ca="1">-Main[[#This Row],[بدهی تسویه شده (کیلوگرم)]]+Main[[#This Row],[بستانکار (کیلوگرم)]]</f>
        <v>0</v>
      </c>
      <c r="J2504" s="6">
        <f>IF(Main[[#This Row],[مقدار (کیلوگرم)]]&gt;0,Main[[#This Row],[مقدار (کیلوگرم)]],0)</f>
        <v>0</v>
      </c>
      <c r="K2504" s="6">
        <f>-IF(Main[[#This Row],[مقدار (کیلوگرم)]]&lt;0,Main[[#This Row],[مقدار (کیلوگرم)]],0)</f>
        <v>1496</v>
      </c>
      <c r="L25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1496</v>
      </c>
      <c r="M2504" s="7">
        <f>-IF(AND(Main[[#This Row],[مقدار (کیلوگرم)]]&lt;0,Main[[#This Row],[تاريخ میلادی]]&gt;44276),Main[[#This Row],[مقدار (کیلوگرم)]],0)</f>
        <v>1496</v>
      </c>
      <c r="N2504" s="6">
        <f ca="1">Main[[#This Row],[بدهکار (کیلوگرم)]]-Main[[#This Row],[بدهی تسویه نشده (کیلوگرم)]]</f>
        <v>0</v>
      </c>
      <c r="O2504" s="6">
        <f ca="1">Main[[#This Row],[تفکیک]]</f>
        <v>1496</v>
      </c>
      <c r="P2504" s="6">
        <f ca="1">IF(Main[[#This Row],[تاخیر از سررسید]]&gt;0,Main[[#This Row],[بدهی تسویه نشده (کیلوگرم)]],0)</f>
        <v>1496</v>
      </c>
      <c r="Q2504" s="6">
        <f ca="1">IF(Main[[#This Row],[بدهی تسویه نشده (کیلوگرم)]]&gt;0,'گزارش فردی'!$B$7-Main[[#This Row],[تاريخ میلادی]],0)</f>
        <v>919.75374085648218</v>
      </c>
      <c r="R2504" s="6">
        <f ca="1">IF(Main[[#This Row],[بدهی تسویه نشده (کیلوگرم)]]&gt;0,'گزارش فردی'!$B$7-Main[[#This Row],[تاريخ میلادی]]-'گزارش فردی'!$B$8,0)</f>
        <v>904.75374085648218</v>
      </c>
      <c r="S2504" s="6">
        <f ca="1">Main[[#This Row],[روز از ارسال سفارش]]*Main[[#This Row],[بدهی تسویه نشده (کیلوگرم)]]</f>
        <v>1375951.5963212973</v>
      </c>
      <c r="T2504" s="6">
        <f ca="1">Main[[#This Row],[بدهی سررسید شده (کیلوگرم)]]*Main[[#This Row],[روز از ارسال سفارش]]</f>
        <v>1375951.5963212973</v>
      </c>
      <c r="U2504" s="6">
        <f>-SUBTOTAL(9,INDEX(Main[مقدار (کیلوگرم)],1):Main[[#This Row],[مقدار (کیلوگرم)]])</f>
        <v>43594</v>
      </c>
      <c r="V25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4" s="6">
        <f>Main[[#This Row],[تعداد کل روزهای بدهکار (روز)]]*Main[[#This Row],[مانده در خط کل (کیلوگرم)]]</f>
        <v>0</v>
      </c>
      <c r="X2504" s="6">
        <f ca="1">-SUBTOTAL(9,INDEX(Main[مقدار تسویه شده (کیلوگرم)],1):Main[[#This Row],[مقدار تسویه شده (کیلوگرم)]])</f>
        <v>21307</v>
      </c>
      <c r="Y2504" s="6">
        <f ca="1">IF(Main[[#This Row],[مانده در خط تسویه شده (کیلوگرم)]]&lt;&gt;0,Main[[#This Row],[تعداد کل روزهای بدهکار (روز)]],0)</f>
        <v>0</v>
      </c>
      <c r="Z2504" s="6">
        <f ca="1">Main[[#This Row],[تعداد روزهای بدهکار تسویه شده (روز)]]*Main[[#This Row],[مانده در خط تسویه شده (کیلوگرم)]]</f>
        <v>0</v>
      </c>
      <c r="AA2504" s="6">
        <f ca="1">SUBTOTAL(9,INDEX(Main[بدهی تسویه نشده (کیلوگرم)],1):Main[[#This Row],[بدهی تسویه نشده (کیلوگرم)]])</f>
        <v>22287</v>
      </c>
      <c r="AB2504" s="6">
        <f ca="1">IF(Main[[#This Row],[مانده در خط تسویه نشده (کیلوگرم)]]&lt;&gt;0,Main[[#This Row],[تعداد کل روزهای بدهکار (روز)]],0)</f>
        <v>0</v>
      </c>
      <c r="AC2504" s="6">
        <f ca="1">Main[[#This Row],[تعداد روزهای بدهکار  تسویه نشده (روز)]]*Main[[#This Row],[مانده در خط تسویه نشده (کیلوگرم)]]</f>
        <v>0</v>
      </c>
      <c r="AD2504" s="6">
        <f ca="1">SUBTOTAL(9,INDEX(Main[بدهی سررسید شده (کیلوگرم)],1):Main[[#This Row],[بدهی سررسید شده (کیلوگرم)]])</f>
        <v>22287</v>
      </c>
      <c r="AE2504" s="6">
        <f ca="1">IF(Main[[#This Row],[مانده در خط سررسید شده (کیلوگرم)]]&lt;&gt;0,Main[[#This Row],[تعداد کل روزهای بدهکار (روز)]],0)</f>
        <v>0</v>
      </c>
      <c r="AF2504" s="6">
        <f ca="1">Main[[#This Row],[تعداد روزهای بدهکار سررسید شده (روز)]]*Main[[#This Row],[مانده در خط سررسید شده (کیلوگرم)]]</f>
        <v>0</v>
      </c>
    </row>
    <row r="2505" spans="1:32" x14ac:dyDescent="0.35">
      <c r="A2505" s="5">
        <f>ROW()-ROW(INDEX(Main[ردیف],1))+1</f>
        <v>2503</v>
      </c>
      <c r="B2505" s="31">
        <f>SUBTOTAL(2,INDEX(Main[ردیف],1):Main[[#This Row],[ردیف]])</f>
        <v>225</v>
      </c>
      <c r="C2505" s="32" t="s">
        <v>810</v>
      </c>
      <c r="D2505" s="32" t="str">
        <f>_xlfn.CONCAT("14",Main[[#This Row],[تاريخ]])</f>
        <v>1400/09/22</v>
      </c>
      <c r="E2505" s="33">
        <v>44543</v>
      </c>
      <c r="F2505" s="32">
        <v>10003</v>
      </c>
      <c r="G2505" s="5" t="str">
        <f>INDEX(customer[عنوان],MATCH(Main[[#This Row],[کد ردیابی]],customer[کد],0))</f>
        <v>اصغر نورعلی</v>
      </c>
      <c r="H2505">
        <v>1968</v>
      </c>
      <c r="I2505" s="6">
        <f ca="1">-Main[[#This Row],[بدهی تسویه شده (کیلوگرم)]]+Main[[#This Row],[بستانکار (کیلوگرم)]]</f>
        <v>1968</v>
      </c>
      <c r="J2505" s="6">
        <f>IF(Main[[#This Row],[مقدار (کیلوگرم)]]&gt;0,Main[[#This Row],[مقدار (کیلوگرم)]],0)</f>
        <v>1968</v>
      </c>
      <c r="K2505" s="6">
        <f>-IF(Main[[#This Row],[مقدار (کیلوگرم)]]&lt;0,Main[[#This Row],[مقدار (کیلوگرم)]],0)</f>
        <v>0</v>
      </c>
      <c r="L25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5" s="7">
        <f>-IF(AND(Main[[#This Row],[مقدار (کیلوگرم)]]&lt;0,Main[[#This Row],[تاريخ میلادی]]&gt;44276),Main[[#This Row],[مقدار (کیلوگرم)]],0)</f>
        <v>0</v>
      </c>
      <c r="N2505" s="6">
        <f ca="1">Main[[#This Row],[بدهکار (کیلوگرم)]]-Main[[#This Row],[بدهی تسویه نشده (کیلوگرم)]]</f>
        <v>0</v>
      </c>
      <c r="O2505" s="6">
        <f ca="1">Main[[#This Row],[تفکیک]]</f>
        <v>0</v>
      </c>
      <c r="P2505" s="6">
        <f ca="1">IF(Main[[#This Row],[تاخیر از سررسید]]&gt;0,Main[[#This Row],[بدهی تسویه نشده (کیلوگرم)]],0)</f>
        <v>0</v>
      </c>
      <c r="Q2505" s="6">
        <f ca="1">IF(Main[[#This Row],[بدهی تسویه نشده (کیلوگرم)]]&gt;0,'گزارش فردی'!$B$7-Main[[#This Row],[تاريخ میلادی]],0)</f>
        <v>0</v>
      </c>
      <c r="R2505" s="6">
        <f ca="1">IF(Main[[#This Row],[بدهی تسویه نشده (کیلوگرم)]]&gt;0,'گزارش فردی'!$B$7-Main[[#This Row],[تاريخ میلادی]]-'گزارش فردی'!$B$8,0)</f>
        <v>0</v>
      </c>
      <c r="S2505" s="6">
        <f ca="1">Main[[#This Row],[روز از ارسال سفارش]]*Main[[#This Row],[بدهی تسویه نشده (کیلوگرم)]]</f>
        <v>0</v>
      </c>
      <c r="T2505" s="6">
        <f ca="1">Main[[#This Row],[بدهی سررسید شده (کیلوگرم)]]*Main[[#This Row],[روز از ارسال سفارش]]</f>
        <v>0</v>
      </c>
      <c r="U2505" s="6">
        <f>-SUBTOTAL(9,INDEX(Main[مقدار (کیلوگرم)],1):Main[[#This Row],[مقدار (کیلوگرم)]])</f>
        <v>41626</v>
      </c>
      <c r="V25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5" s="6">
        <f>Main[[#This Row],[تعداد کل روزهای بدهکار (روز)]]*Main[[#This Row],[مانده در خط کل (کیلوگرم)]]</f>
        <v>41626</v>
      </c>
      <c r="X2505" s="6">
        <f ca="1">-SUBTOTAL(9,INDEX(Main[مقدار تسویه شده (کیلوگرم)],1):Main[[#This Row],[مقدار تسویه شده (کیلوگرم)]])</f>
        <v>19339</v>
      </c>
      <c r="Y2505" s="6">
        <f ca="1">IF(Main[[#This Row],[مانده در خط تسویه شده (کیلوگرم)]]&lt;&gt;0,Main[[#This Row],[تعداد کل روزهای بدهکار (روز)]],0)</f>
        <v>1</v>
      </c>
      <c r="Z2505" s="6">
        <f ca="1">Main[[#This Row],[تعداد روزهای بدهکار تسویه شده (روز)]]*Main[[#This Row],[مانده در خط تسویه شده (کیلوگرم)]]</f>
        <v>19339</v>
      </c>
      <c r="AA2505" s="6">
        <f ca="1">SUBTOTAL(9,INDEX(Main[بدهی تسویه نشده (کیلوگرم)],1):Main[[#This Row],[بدهی تسویه نشده (کیلوگرم)]])</f>
        <v>22287</v>
      </c>
      <c r="AB2505" s="6">
        <f ca="1">IF(Main[[#This Row],[مانده در خط تسویه نشده (کیلوگرم)]]&lt;&gt;0,Main[[#This Row],[تعداد کل روزهای بدهکار (روز)]],0)</f>
        <v>1</v>
      </c>
      <c r="AC2505" s="6">
        <f ca="1">Main[[#This Row],[تعداد روزهای بدهکار  تسویه نشده (روز)]]*Main[[#This Row],[مانده در خط تسویه نشده (کیلوگرم)]]</f>
        <v>22287</v>
      </c>
      <c r="AD2505" s="6">
        <f ca="1">SUBTOTAL(9,INDEX(Main[بدهی سررسید شده (کیلوگرم)],1):Main[[#This Row],[بدهی سررسید شده (کیلوگرم)]])</f>
        <v>22287</v>
      </c>
      <c r="AE2505" s="6">
        <f ca="1">IF(Main[[#This Row],[مانده در خط سررسید شده (کیلوگرم)]]&lt;&gt;0,Main[[#This Row],[تعداد کل روزهای بدهکار (روز)]],0)</f>
        <v>1</v>
      </c>
      <c r="AF2505" s="6">
        <f ca="1">Main[[#This Row],[تعداد روزهای بدهکار سررسید شده (روز)]]*Main[[#This Row],[مانده در خط سررسید شده (کیلوگرم)]]</f>
        <v>22287</v>
      </c>
    </row>
    <row r="2506" spans="1:32" hidden="1" x14ac:dyDescent="0.35">
      <c r="A2506" s="5">
        <f>ROW()-ROW(INDEX(Main[ردیف],1))+1</f>
        <v>2504</v>
      </c>
      <c r="B2506" s="31">
        <f>SUBTOTAL(2,INDEX(Main[ردیف],1):Main[[#This Row],[ردیف]])</f>
        <v>225</v>
      </c>
      <c r="C2506" s="32" t="s">
        <v>810</v>
      </c>
      <c r="D2506" s="32" t="str">
        <f>_xlfn.CONCAT("14",Main[[#This Row],[تاريخ]])</f>
        <v>1400/09/22</v>
      </c>
      <c r="E2506" s="33">
        <v>44543</v>
      </c>
      <c r="F2506" s="32">
        <v>10070</v>
      </c>
      <c r="G2506" s="5" t="str">
        <f>INDEX(customer[عنوان],MATCH(Main[[#This Row],[کد ردیابی]],customer[کد],0))</f>
        <v xml:space="preserve">حمیدرضا شفیعی </v>
      </c>
      <c r="H2506">
        <v>-270</v>
      </c>
      <c r="I2506" s="6">
        <f ca="1">-Main[[#This Row],[بدهی تسویه شده (کیلوگرم)]]+Main[[#This Row],[بستانکار (کیلوگرم)]]</f>
        <v>0</v>
      </c>
      <c r="J2506" s="6">
        <f>IF(Main[[#This Row],[مقدار (کیلوگرم)]]&gt;0,Main[[#This Row],[مقدار (کیلوگرم)]],0)</f>
        <v>0</v>
      </c>
      <c r="K2506" s="6">
        <f>-IF(Main[[#This Row],[مقدار (کیلوگرم)]]&lt;0,Main[[#This Row],[مقدار (کیلوگرم)]],0)</f>
        <v>270</v>
      </c>
      <c r="L25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270</v>
      </c>
      <c r="M2506" s="7">
        <f>-IF(AND(Main[[#This Row],[مقدار (کیلوگرم)]]&lt;0,Main[[#This Row],[تاريخ میلادی]]&gt;44276),Main[[#This Row],[مقدار (کیلوگرم)]],0)</f>
        <v>270</v>
      </c>
      <c r="N2506" s="6">
        <f ca="1">Main[[#This Row],[بدهکار (کیلوگرم)]]-Main[[#This Row],[بدهی تسویه نشده (کیلوگرم)]]</f>
        <v>0</v>
      </c>
      <c r="O2506" s="6">
        <f ca="1">Main[[#This Row],[تفکیک]]</f>
        <v>270</v>
      </c>
      <c r="P2506" s="6">
        <f ca="1">IF(Main[[#This Row],[تاخیر از سررسید]]&gt;0,Main[[#This Row],[بدهی تسویه نشده (کیلوگرم)]],0)</f>
        <v>270</v>
      </c>
      <c r="Q2506" s="6">
        <f ca="1">IF(Main[[#This Row],[بدهی تسویه نشده (کیلوگرم)]]&gt;0,'گزارش فردی'!$B$7-Main[[#This Row],[تاريخ میلادی]],0)</f>
        <v>919.75374085648218</v>
      </c>
      <c r="R2506" s="6">
        <f ca="1">IF(Main[[#This Row],[بدهی تسویه نشده (کیلوگرم)]]&gt;0,'گزارش فردی'!$B$7-Main[[#This Row],[تاريخ میلادی]]-'گزارش فردی'!$B$8,0)</f>
        <v>904.75374085648218</v>
      </c>
      <c r="S2506" s="6">
        <f ca="1">Main[[#This Row],[روز از ارسال سفارش]]*Main[[#This Row],[بدهی تسویه نشده (کیلوگرم)]]</f>
        <v>248333.51003125019</v>
      </c>
      <c r="T2506" s="6">
        <f ca="1">Main[[#This Row],[بدهی سررسید شده (کیلوگرم)]]*Main[[#This Row],[روز از ارسال سفارش]]</f>
        <v>248333.51003125019</v>
      </c>
      <c r="U2506" s="6">
        <f>-SUBTOTAL(9,INDEX(Main[مقدار (کیلوگرم)],1):Main[[#This Row],[مقدار (کیلوگرم)]])</f>
        <v>41626</v>
      </c>
      <c r="V25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6" s="6">
        <f>Main[[#This Row],[تعداد کل روزهای بدهکار (روز)]]*Main[[#This Row],[مانده در خط کل (کیلوگرم)]]</f>
        <v>41626</v>
      </c>
      <c r="X2506" s="6">
        <f ca="1">-SUBTOTAL(9,INDEX(Main[مقدار تسویه شده (کیلوگرم)],1):Main[[#This Row],[مقدار تسویه شده (کیلوگرم)]])</f>
        <v>19339</v>
      </c>
      <c r="Y2506" s="6">
        <f ca="1">IF(Main[[#This Row],[مانده در خط تسویه شده (کیلوگرم)]]&lt;&gt;0,Main[[#This Row],[تعداد کل روزهای بدهکار (روز)]],0)</f>
        <v>1</v>
      </c>
      <c r="Z2506" s="6">
        <f ca="1">Main[[#This Row],[تعداد روزهای بدهکار تسویه شده (روز)]]*Main[[#This Row],[مانده در خط تسویه شده (کیلوگرم)]]</f>
        <v>19339</v>
      </c>
      <c r="AA2506" s="6">
        <f ca="1">SUBTOTAL(9,INDEX(Main[بدهی تسویه نشده (کیلوگرم)],1):Main[[#This Row],[بدهی تسویه نشده (کیلوگرم)]])</f>
        <v>22287</v>
      </c>
      <c r="AB2506" s="6">
        <f ca="1">IF(Main[[#This Row],[مانده در خط تسویه نشده (کیلوگرم)]]&lt;&gt;0,Main[[#This Row],[تعداد کل روزهای بدهکار (روز)]],0)</f>
        <v>1</v>
      </c>
      <c r="AC2506" s="6">
        <f ca="1">Main[[#This Row],[تعداد روزهای بدهکار  تسویه نشده (روز)]]*Main[[#This Row],[مانده در خط تسویه نشده (کیلوگرم)]]</f>
        <v>22287</v>
      </c>
      <c r="AD2506" s="6">
        <f ca="1">SUBTOTAL(9,INDEX(Main[بدهی سررسید شده (کیلوگرم)],1):Main[[#This Row],[بدهی سررسید شده (کیلوگرم)]])</f>
        <v>22287</v>
      </c>
      <c r="AE2506" s="6">
        <f ca="1">IF(Main[[#This Row],[مانده در خط سررسید شده (کیلوگرم)]]&lt;&gt;0,Main[[#This Row],[تعداد کل روزهای بدهکار (روز)]],0)</f>
        <v>1</v>
      </c>
      <c r="AF2506" s="6">
        <f ca="1">Main[[#This Row],[تعداد روزهای بدهکار سررسید شده (روز)]]*Main[[#This Row],[مانده در خط سررسید شده (کیلوگرم)]]</f>
        <v>22287</v>
      </c>
    </row>
    <row r="2507" spans="1:32" hidden="1" x14ac:dyDescent="0.35">
      <c r="A2507" s="5">
        <f>ROW()-ROW(INDEX(Main[ردیف],1))+1</f>
        <v>2505</v>
      </c>
      <c r="B2507" s="31">
        <f>SUBTOTAL(2,INDEX(Main[ردیف],1):Main[[#This Row],[ردیف]])</f>
        <v>225</v>
      </c>
      <c r="C2507" s="32" t="s">
        <v>810</v>
      </c>
      <c r="D2507" s="32" t="str">
        <f>_xlfn.CONCAT("14",Main[[#This Row],[تاريخ]])</f>
        <v>1400/09/22</v>
      </c>
      <c r="E2507" s="33">
        <v>44543</v>
      </c>
      <c r="F2507" s="32">
        <v>10126</v>
      </c>
      <c r="G2507" s="5" t="str">
        <f>INDEX(customer[عنوان],MATCH(Main[[#This Row],[کد ردیابی]],customer[کد],0))</f>
        <v xml:space="preserve">کریم اسمعیلی </v>
      </c>
      <c r="H2507">
        <v>274</v>
      </c>
      <c r="I2507" s="6">
        <f ca="1">-Main[[#This Row],[بدهی تسویه شده (کیلوگرم)]]+Main[[#This Row],[بستانکار (کیلوگرم)]]</f>
        <v>274</v>
      </c>
      <c r="J2507" s="6">
        <f>IF(Main[[#This Row],[مقدار (کیلوگرم)]]&gt;0,Main[[#This Row],[مقدار (کیلوگرم)]],0)</f>
        <v>274</v>
      </c>
      <c r="K2507" s="6">
        <f>-IF(Main[[#This Row],[مقدار (کیلوگرم)]]&lt;0,Main[[#This Row],[مقدار (کیلوگرم)]],0)</f>
        <v>0</v>
      </c>
      <c r="L25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7" s="7">
        <f>-IF(AND(Main[[#This Row],[مقدار (کیلوگرم)]]&lt;0,Main[[#This Row],[تاريخ میلادی]]&gt;44276),Main[[#This Row],[مقدار (کیلوگرم)]],0)</f>
        <v>0</v>
      </c>
      <c r="N2507" s="6">
        <f ca="1">Main[[#This Row],[بدهکار (کیلوگرم)]]-Main[[#This Row],[بدهی تسویه نشده (کیلوگرم)]]</f>
        <v>0</v>
      </c>
      <c r="O2507" s="6">
        <f ca="1">Main[[#This Row],[تفکیک]]</f>
        <v>0</v>
      </c>
      <c r="P2507" s="6">
        <f ca="1">IF(Main[[#This Row],[تاخیر از سررسید]]&gt;0,Main[[#This Row],[بدهی تسویه نشده (کیلوگرم)]],0)</f>
        <v>0</v>
      </c>
      <c r="Q2507" s="6">
        <f ca="1">IF(Main[[#This Row],[بدهی تسویه نشده (کیلوگرم)]]&gt;0,'گزارش فردی'!$B$7-Main[[#This Row],[تاريخ میلادی]],0)</f>
        <v>0</v>
      </c>
      <c r="R2507" s="6">
        <f ca="1">IF(Main[[#This Row],[بدهی تسویه نشده (کیلوگرم)]]&gt;0,'گزارش فردی'!$B$7-Main[[#This Row],[تاريخ میلادی]]-'گزارش فردی'!$B$8,0)</f>
        <v>0</v>
      </c>
      <c r="S2507" s="6">
        <f ca="1">Main[[#This Row],[روز از ارسال سفارش]]*Main[[#This Row],[بدهی تسویه نشده (کیلوگرم)]]</f>
        <v>0</v>
      </c>
      <c r="T2507" s="6">
        <f ca="1">Main[[#This Row],[بدهی سررسید شده (کیلوگرم)]]*Main[[#This Row],[روز از ارسال سفارش]]</f>
        <v>0</v>
      </c>
      <c r="U2507" s="6">
        <f>-SUBTOTAL(9,INDEX(Main[مقدار (کیلوگرم)],1):Main[[#This Row],[مقدار (کیلوگرم)]])</f>
        <v>41626</v>
      </c>
      <c r="V25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7" s="6">
        <f>Main[[#This Row],[تعداد کل روزهای بدهکار (روز)]]*Main[[#This Row],[مانده در خط کل (کیلوگرم)]]</f>
        <v>41626</v>
      </c>
      <c r="X2507" s="6">
        <f ca="1">-SUBTOTAL(9,INDEX(Main[مقدار تسویه شده (کیلوگرم)],1):Main[[#This Row],[مقدار تسویه شده (کیلوگرم)]])</f>
        <v>19339</v>
      </c>
      <c r="Y2507" s="6">
        <f ca="1">IF(Main[[#This Row],[مانده در خط تسویه شده (کیلوگرم)]]&lt;&gt;0,Main[[#This Row],[تعداد کل روزهای بدهکار (روز)]],0)</f>
        <v>1</v>
      </c>
      <c r="Z2507" s="6">
        <f ca="1">Main[[#This Row],[تعداد روزهای بدهکار تسویه شده (روز)]]*Main[[#This Row],[مانده در خط تسویه شده (کیلوگرم)]]</f>
        <v>19339</v>
      </c>
      <c r="AA2507" s="6">
        <f ca="1">SUBTOTAL(9,INDEX(Main[بدهی تسویه نشده (کیلوگرم)],1):Main[[#This Row],[بدهی تسویه نشده (کیلوگرم)]])</f>
        <v>22287</v>
      </c>
      <c r="AB2507" s="6">
        <f ca="1">IF(Main[[#This Row],[مانده در خط تسویه نشده (کیلوگرم)]]&lt;&gt;0,Main[[#This Row],[تعداد کل روزهای بدهکار (روز)]],0)</f>
        <v>1</v>
      </c>
      <c r="AC2507" s="6">
        <f ca="1">Main[[#This Row],[تعداد روزهای بدهکار  تسویه نشده (روز)]]*Main[[#This Row],[مانده در خط تسویه نشده (کیلوگرم)]]</f>
        <v>22287</v>
      </c>
      <c r="AD2507" s="6">
        <f ca="1">SUBTOTAL(9,INDEX(Main[بدهی سررسید شده (کیلوگرم)],1):Main[[#This Row],[بدهی سررسید شده (کیلوگرم)]])</f>
        <v>22287</v>
      </c>
      <c r="AE2507" s="6">
        <f ca="1">IF(Main[[#This Row],[مانده در خط سررسید شده (کیلوگرم)]]&lt;&gt;0,Main[[#This Row],[تعداد کل روزهای بدهکار (روز)]],0)</f>
        <v>1</v>
      </c>
      <c r="AF2507" s="6">
        <f ca="1">Main[[#This Row],[تعداد روزهای بدهکار سررسید شده (روز)]]*Main[[#This Row],[مانده در خط سررسید شده (کیلوگرم)]]</f>
        <v>22287</v>
      </c>
    </row>
    <row r="2508" spans="1:32" hidden="1" x14ac:dyDescent="0.35">
      <c r="A2508" s="5">
        <f>ROW()-ROW(INDEX(Main[ردیف],1))+1</f>
        <v>2506</v>
      </c>
      <c r="B2508" s="31">
        <f>SUBTOTAL(2,INDEX(Main[ردیف],1):Main[[#This Row],[ردیف]])</f>
        <v>225</v>
      </c>
      <c r="C2508" s="32" t="s">
        <v>810</v>
      </c>
      <c r="D2508" s="32" t="str">
        <f>_xlfn.CONCAT("14",Main[[#This Row],[تاريخ]])</f>
        <v>1400/09/22</v>
      </c>
      <c r="E2508" s="33">
        <v>44543</v>
      </c>
      <c r="F2508" s="32">
        <v>30009</v>
      </c>
      <c r="G2508" s="5" t="str">
        <f>INDEX(customer[عنوان],MATCH(Main[[#This Row],[کد ردیابی]],customer[کد],0))</f>
        <v>شرکت ایمن تک پیشرو</v>
      </c>
      <c r="H2508">
        <v>1841</v>
      </c>
      <c r="I2508" s="6">
        <f ca="1">-Main[[#This Row],[بدهی تسویه شده (کیلوگرم)]]+Main[[#This Row],[بستانکار (کیلوگرم)]]</f>
        <v>1841</v>
      </c>
      <c r="J2508" s="6">
        <f>IF(Main[[#This Row],[مقدار (کیلوگرم)]]&gt;0,Main[[#This Row],[مقدار (کیلوگرم)]],0)</f>
        <v>1841</v>
      </c>
      <c r="K2508" s="6">
        <f>-IF(Main[[#This Row],[مقدار (کیلوگرم)]]&lt;0,Main[[#This Row],[مقدار (کیلوگرم)]],0)</f>
        <v>0</v>
      </c>
      <c r="L25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8" s="7">
        <f>-IF(AND(Main[[#This Row],[مقدار (کیلوگرم)]]&lt;0,Main[[#This Row],[تاريخ میلادی]]&gt;44276),Main[[#This Row],[مقدار (کیلوگرم)]],0)</f>
        <v>0</v>
      </c>
      <c r="N2508" s="6">
        <f ca="1">Main[[#This Row],[بدهکار (کیلوگرم)]]-Main[[#This Row],[بدهی تسویه نشده (کیلوگرم)]]</f>
        <v>0</v>
      </c>
      <c r="O2508" s="6">
        <f ca="1">Main[[#This Row],[تفکیک]]</f>
        <v>0</v>
      </c>
      <c r="P2508" s="6">
        <f ca="1">IF(Main[[#This Row],[تاخیر از سررسید]]&gt;0,Main[[#This Row],[بدهی تسویه نشده (کیلوگرم)]],0)</f>
        <v>0</v>
      </c>
      <c r="Q2508" s="6">
        <f ca="1">IF(Main[[#This Row],[بدهی تسویه نشده (کیلوگرم)]]&gt;0,'گزارش فردی'!$B$7-Main[[#This Row],[تاريخ میلادی]],0)</f>
        <v>0</v>
      </c>
      <c r="R2508" s="6">
        <f ca="1">IF(Main[[#This Row],[بدهی تسویه نشده (کیلوگرم)]]&gt;0,'گزارش فردی'!$B$7-Main[[#This Row],[تاريخ میلادی]]-'گزارش فردی'!$B$8,0)</f>
        <v>0</v>
      </c>
      <c r="S2508" s="6">
        <f ca="1">Main[[#This Row],[روز از ارسال سفارش]]*Main[[#This Row],[بدهی تسویه نشده (کیلوگرم)]]</f>
        <v>0</v>
      </c>
      <c r="T2508" s="6">
        <f ca="1">Main[[#This Row],[بدهی سررسید شده (کیلوگرم)]]*Main[[#This Row],[روز از ارسال سفارش]]</f>
        <v>0</v>
      </c>
      <c r="U2508" s="6">
        <f>-SUBTOTAL(9,INDEX(Main[مقدار (کیلوگرم)],1):Main[[#This Row],[مقدار (کیلوگرم)]])</f>
        <v>41626</v>
      </c>
      <c r="V25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8" s="6">
        <f>Main[[#This Row],[تعداد کل روزهای بدهکار (روز)]]*Main[[#This Row],[مانده در خط کل (کیلوگرم)]]</f>
        <v>41626</v>
      </c>
      <c r="X2508" s="6">
        <f ca="1">-SUBTOTAL(9,INDEX(Main[مقدار تسویه شده (کیلوگرم)],1):Main[[#This Row],[مقدار تسویه شده (کیلوگرم)]])</f>
        <v>19339</v>
      </c>
      <c r="Y2508" s="6">
        <f ca="1">IF(Main[[#This Row],[مانده در خط تسویه شده (کیلوگرم)]]&lt;&gt;0,Main[[#This Row],[تعداد کل روزهای بدهکار (روز)]],0)</f>
        <v>1</v>
      </c>
      <c r="Z2508" s="6">
        <f ca="1">Main[[#This Row],[تعداد روزهای بدهکار تسویه شده (روز)]]*Main[[#This Row],[مانده در خط تسویه شده (کیلوگرم)]]</f>
        <v>19339</v>
      </c>
      <c r="AA2508" s="6">
        <f ca="1">SUBTOTAL(9,INDEX(Main[بدهی تسویه نشده (کیلوگرم)],1):Main[[#This Row],[بدهی تسویه نشده (کیلوگرم)]])</f>
        <v>22287</v>
      </c>
      <c r="AB2508" s="6">
        <f ca="1">IF(Main[[#This Row],[مانده در خط تسویه نشده (کیلوگرم)]]&lt;&gt;0,Main[[#This Row],[تعداد کل روزهای بدهکار (روز)]],0)</f>
        <v>1</v>
      </c>
      <c r="AC2508" s="6">
        <f ca="1">Main[[#This Row],[تعداد روزهای بدهکار  تسویه نشده (روز)]]*Main[[#This Row],[مانده در خط تسویه نشده (کیلوگرم)]]</f>
        <v>22287</v>
      </c>
      <c r="AD2508" s="6">
        <f ca="1">SUBTOTAL(9,INDEX(Main[بدهی سررسید شده (کیلوگرم)],1):Main[[#This Row],[بدهی سررسید شده (کیلوگرم)]])</f>
        <v>22287</v>
      </c>
      <c r="AE2508" s="6">
        <f ca="1">IF(Main[[#This Row],[مانده در خط سررسید شده (کیلوگرم)]]&lt;&gt;0,Main[[#This Row],[تعداد کل روزهای بدهکار (روز)]],0)</f>
        <v>1</v>
      </c>
      <c r="AF2508" s="6">
        <f ca="1">Main[[#This Row],[تعداد روزهای بدهکار سررسید شده (روز)]]*Main[[#This Row],[مانده در خط سررسید شده (کیلوگرم)]]</f>
        <v>22287</v>
      </c>
    </row>
    <row r="2509" spans="1:32" hidden="1" x14ac:dyDescent="0.35">
      <c r="A2509" s="5">
        <f>ROW()-ROW(INDEX(Main[ردیف],1))+1</f>
        <v>2507</v>
      </c>
      <c r="B2509" s="31">
        <f>SUBTOTAL(2,INDEX(Main[ردیف],1):Main[[#This Row],[ردیف]])</f>
        <v>225</v>
      </c>
      <c r="C2509" s="32" t="s">
        <v>811</v>
      </c>
      <c r="D2509" s="32" t="str">
        <f>_xlfn.CONCAT("14",Main[[#This Row],[تاريخ]])</f>
        <v>1400/09/23</v>
      </c>
      <c r="E2509" s="33">
        <v>44544</v>
      </c>
      <c r="F2509" s="32">
        <v>30018</v>
      </c>
      <c r="G2509" s="5" t="str">
        <f>INDEX(customer[عنوان],MATCH(Main[[#This Row],[کد ردیابی]],customer[کد],0))</f>
        <v xml:space="preserve">تولیدی شیر سازی غریب پویا </v>
      </c>
      <c r="H2509">
        <v>-1504</v>
      </c>
      <c r="I2509" s="6">
        <f ca="1">-Main[[#This Row],[بدهی تسویه شده (کیلوگرم)]]+Main[[#This Row],[بستانکار (کیلوگرم)]]</f>
        <v>0</v>
      </c>
      <c r="J2509" s="6">
        <f>IF(Main[[#This Row],[مقدار (کیلوگرم)]]&gt;0,Main[[#This Row],[مقدار (کیلوگرم)]],0)</f>
        <v>0</v>
      </c>
      <c r="K2509" s="6">
        <f>-IF(Main[[#This Row],[مقدار (کیلوگرم)]]&lt;0,Main[[#This Row],[مقدار (کیلوگرم)]],0)</f>
        <v>1504</v>
      </c>
      <c r="L25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1504</v>
      </c>
      <c r="M2509" s="7">
        <f>-IF(AND(Main[[#This Row],[مقدار (کیلوگرم)]]&lt;0,Main[[#This Row],[تاريخ میلادی]]&gt;44276),Main[[#This Row],[مقدار (کیلوگرم)]],0)</f>
        <v>1504</v>
      </c>
      <c r="N2509" s="6">
        <f ca="1">Main[[#This Row],[بدهکار (کیلوگرم)]]-Main[[#This Row],[بدهی تسویه نشده (کیلوگرم)]]</f>
        <v>0</v>
      </c>
      <c r="O2509" s="6">
        <f ca="1">Main[[#This Row],[تفکیک]]</f>
        <v>1504</v>
      </c>
      <c r="P2509" s="6">
        <f ca="1">IF(Main[[#This Row],[تاخیر از سررسید]]&gt;0,Main[[#This Row],[بدهی تسویه نشده (کیلوگرم)]],0)</f>
        <v>1504</v>
      </c>
      <c r="Q2509" s="6">
        <f ca="1">IF(Main[[#This Row],[بدهی تسویه نشده (کیلوگرم)]]&gt;0,'گزارش فردی'!$B$7-Main[[#This Row],[تاريخ میلادی]],0)</f>
        <v>918.75374085648218</v>
      </c>
      <c r="R2509" s="6">
        <f ca="1">IF(Main[[#This Row],[بدهی تسویه نشده (کیلوگرم)]]&gt;0,'گزارش فردی'!$B$7-Main[[#This Row],[تاريخ میلادی]]-'گزارش فردی'!$B$8,0)</f>
        <v>903.75374085648218</v>
      </c>
      <c r="S2509" s="6">
        <f ca="1">Main[[#This Row],[روز از ارسال سفارش]]*Main[[#This Row],[بدهی تسویه نشده (کیلوگرم)]]</f>
        <v>1381805.6262481492</v>
      </c>
      <c r="T2509" s="6">
        <f ca="1">Main[[#This Row],[بدهی سررسید شده (کیلوگرم)]]*Main[[#This Row],[روز از ارسال سفارش]]</f>
        <v>1381805.6262481492</v>
      </c>
      <c r="U2509" s="6">
        <f>-SUBTOTAL(9,INDEX(Main[مقدار (کیلوگرم)],1):Main[[#This Row],[مقدار (کیلوگرم)]])</f>
        <v>41626</v>
      </c>
      <c r="V25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9" s="6">
        <f>Main[[#This Row],[تعداد کل روزهای بدهکار (روز)]]*Main[[#This Row],[مانده در خط کل (کیلوگرم)]]</f>
        <v>0</v>
      </c>
      <c r="X2509" s="6">
        <f ca="1">-SUBTOTAL(9,INDEX(Main[مقدار تسویه شده (کیلوگرم)],1):Main[[#This Row],[مقدار تسویه شده (کیلوگرم)]])</f>
        <v>19339</v>
      </c>
      <c r="Y2509" s="6">
        <f ca="1">IF(Main[[#This Row],[مانده در خط تسویه شده (کیلوگرم)]]&lt;&gt;0,Main[[#This Row],[تعداد کل روزهای بدهکار (روز)]],0)</f>
        <v>0</v>
      </c>
      <c r="Z2509" s="6">
        <f ca="1">Main[[#This Row],[تعداد روزهای بدهکار تسویه شده (روز)]]*Main[[#This Row],[مانده در خط تسویه شده (کیلوگرم)]]</f>
        <v>0</v>
      </c>
      <c r="AA2509" s="6">
        <f ca="1">SUBTOTAL(9,INDEX(Main[بدهی تسویه نشده (کیلوگرم)],1):Main[[#This Row],[بدهی تسویه نشده (کیلوگرم)]])</f>
        <v>22287</v>
      </c>
      <c r="AB2509" s="6">
        <f ca="1">IF(Main[[#This Row],[مانده در خط تسویه نشده (کیلوگرم)]]&lt;&gt;0,Main[[#This Row],[تعداد کل روزهای بدهکار (روز)]],0)</f>
        <v>0</v>
      </c>
      <c r="AC2509" s="6">
        <f ca="1">Main[[#This Row],[تعداد روزهای بدهکار  تسویه نشده (روز)]]*Main[[#This Row],[مانده در خط تسویه نشده (کیلوگرم)]]</f>
        <v>0</v>
      </c>
      <c r="AD2509" s="6">
        <f ca="1">SUBTOTAL(9,INDEX(Main[بدهی سررسید شده (کیلوگرم)],1):Main[[#This Row],[بدهی سررسید شده (کیلوگرم)]])</f>
        <v>22287</v>
      </c>
      <c r="AE2509" s="6">
        <f ca="1">IF(Main[[#This Row],[مانده در خط سررسید شده (کیلوگرم)]]&lt;&gt;0,Main[[#This Row],[تعداد کل روزهای بدهکار (روز)]],0)</f>
        <v>0</v>
      </c>
      <c r="AF2509" s="6">
        <f ca="1">Main[[#This Row],[تعداد روزهای بدهکار سررسید شده (روز)]]*Main[[#This Row],[مانده در خط سررسید شده (کیلوگرم)]]</f>
        <v>0</v>
      </c>
    </row>
    <row r="2510" spans="1:32" hidden="1" x14ac:dyDescent="0.35">
      <c r="A2510" s="5">
        <f>ROW()-ROW(INDEX(Main[ردیف],1))+1</f>
        <v>2508</v>
      </c>
      <c r="B2510" s="31">
        <f>SUBTOTAL(2,INDEX(Main[ردیف],1):Main[[#This Row],[ردیف]])</f>
        <v>225</v>
      </c>
      <c r="C2510" s="32" t="s">
        <v>811</v>
      </c>
      <c r="D2510" s="32" t="str">
        <f>_xlfn.CONCAT("14",Main[[#This Row],[تاريخ]])</f>
        <v>1400/09/23</v>
      </c>
      <c r="E2510" s="33">
        <v>44544</v>
      </c>
      <c r="F2510" s="32">
        <v>10004</v>
      </c>
      <c r="G2510" s="5" t="str">
        <f>INDEX(customer[عنوان],MATCH(Main[[#This Row],[کد ردیابی]],customer[کد],0))</f>
        <v xml:space="preserve">محمد عباسی </v>
      </c>
      <c r="H2510">
        <v>486</v>
      </c>
      <c r="I2510" s="6">
        <f ca="1">-Main[[#This Row],[بدهی تسویه شده (کیلوگرم)]]+Main[[#This Row],[بستانکار (کیلوگرم)]]</f>
        <v>486</v>
      </c>
      <c r="J2510" s="6">
        <f>IF(Main[[#This Row],[مقدار (کیلوگرم)]]&gt;0,Main[[#This Row],[مقدار (کیلوگرم)]],0)</f>
        <v>486</v>
      </c>
      <c r="K2510" s="6">
        <f>-IF(Main[[#This Row],[مقدار (کیلوگرم)]]&lt;0,Main[[#This Row],[مقدار (کیلوگرم)]],0)</f>
        <v>0</v>
      </c>
      <c r="L25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0" s="7">
        <f>-IF(AND(Main[[#This Row],[مقدار (کیلوگرم)]]&lt;0,Main[[#This Row],[تاريخ میلادی]]&gt;44276),Main[[#This Row],[مقدار (کیلوگرم)]],0)</f>
        <v>0</v>
      </c>
      <c r="N2510" s="6">
        <f ca="1">Main[[#This Row],[بدهکار (کیلوگرم)]]-Main[[#This Row],[بدهی تسویه نشده (کیلوگرم)]]</f>
        <v>0</v>
      </c>
      <c r="O2510" s="6">
        <f ca="1">Main[[#This Row],[تفکیک]]</f>
        <v>0</v>
      </c>
      <c r="P2510" s="6">
        <f ca="1">IF(Main[[#This Row],[تاخیر از سررسید]]&gt;0,Main[[#This Row],[بدهی تسویه نشده (کیلوگرم)]],0)</f>
        <v>0</v>
      </c>
      <c r="Q2510" s="6">
        <f ca="1">IF(Main[[#This Row],[بدهی تسویه نشده (کیلوگرم)]]&gt;0,'گزارش فردی'!$B$7-Main[[#This Row],[تاريخ میلادی]],0)</f>
        <v>0</v>
      </c>
      <c r="R2510" s="6">
        <f ca="1">IF(Main[[#This Row],[بدهی تسویه نشده (کیلوگرم)]]&gt;0,'گزارش فردی'!$B$7-Main[[#This Row],[تاريخ میلادی]]-'گزارش فردی'!$B$8,0)</f>
        <v>0</v>
      </c>
      <c r="S2510" s="6">
        <f ca="1">Main[[#This Row],[روز از ارسال سفارش]]*Main[[#This Row],[بدهی تسویه نشده (کیلوگرم)]]</f>
        <v>0</v>
      </c>
      <c r="T2510" s="6">
        <f ca="1">Main[[#This Row],[بدهی سررسید شده (کیلوگرم)]]*Main[[#This Row],[روز از ارسال سفارش]]</f>
        <v>0</v>
      </c>
      <c r="U2510" s="6">
        <f>-SUBTOTAL(9,INDEX(Main[مقدار (کیلوگرم)],1):Main[[#This Row],[مقدار (کیلوگرم)]])</f>
        <v>41626</v>
      </c>
      <c r="V25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0" s="6">
        <f>Main[[#This Row],[تعداد کل روزهای بدهکار (روز)]]*Main[[#This Row],[مانده در خط کل (کیلوگرم)]]</f>
        <v>0</v>
      </c>
      <c r="X2510" s="6">
        <f ca="1">-SUBTOTAL(9,INDEX(Main[مقدار تسویه شده (کیلوگرم)],1):Main[[#This Row],[مقدار تسویه شده (کیلوگرم)]])</f>
        <v>19339</v>
      </c>
      <c r="Y2510" s="6">
        <f ca="1">IF(Main[[#This Row],[مانده در خط تسویه شده (کیلوگرم)]]&lt;&gt;0,Main[[#This Row],[تعداد کل روزهای بدهکار (روز)]],0)</f>
        <v>0</v>
      </c>
      <c r="Z2510" s="6">
        <f ca="1">Main[[#This Row],[تعداد روزهای بدهکار تسویه شده (روز)]]*Main[[#This Row],[مانده در خط تسویه شده (کیلوگرم)]]</f>
        <v>0</v>
      </c>
      <c r="AA2510" s="6">
        <f ca="1">SUBTOTAL(9,INDEX(Main[بدهی تسویه نشده (کیلوگرم)],1):Main[[#This Row],[بدهی تسویه نشده (کیلوگرم)]])</f>
        <v>22287</v>
      </c>
      <c r="AB2510" s="6">
        <f ca="1">IF(Main[[#This Row],[مانده در خط تسویه نشده (کیلوگرم)]]&lt;&gt;0,Main[[#This Row],[تعداد کل روزهای بدهکار (روز)]],0)</f>
        <v>0</v>
      </c>
      <c r="AC2510" s="6">
        <f ca="1">Main[[#This Row],[تعداد روزهای بدهکار  تسویه نشده (روز)]]*Main[[#This Row],[مانده در خط تسویه نشده (کیلوگرم)]]</f>
        <v>0</v>
      </c>
      <c r="AD2510" s="6">
        <f ca="1">SUBTOTAL(9,INDEX(Main[بدهی سررسید شده (کیلوگرم)],1):Main[[#This Row],[بدهی سررسید شده (کیلوگرم)]])</f>
        <v>22287</v>
      </c>
      <c r="AE2510" s="6">
        <f ca="1">IF(Main[[#This Row],[مانده در خط سررسید شده (کیلوگرم)]]&lt;&gt;0,Main[[#This Row],[تعداد کل روزهای بدهکار (روز)]],0)</f>
        <v>0</v>
      </c>
      <c r="AF2510" s="6">
        <f ca="1">Main[[#This Row],[تعداد روزهای بدهکار سررسید شده (روز)]]*Main[[#This Row],[مانده در خط سررسید شده (کیلوگرم)]]</f>
        <v>0</v>
      </c>
    </row>
    <row r="2511" spans="1:32" hidden="1" x14ac:dyDescent="0.35">
      <c r="A2511" s="5">
        <f>ROW()-ROW(INDEX(Main[ردیف],1))+1</f>
        <v>2509</v>
      </c>
      <c r="B2511" s="31">
        <f>SUBTOTAL(2,INDEX(Main[ردیف],1):Main[[#This Row],[ردیف]])</f>
        <v>225</v>
      </c>
      <c r="C2511" s="32" t="s">
        <v>811</v>
      </c>
      <c r="D2511" s="32" t="str">
        <f>_xlfn.CONCAT("14",Main[[#This Row],[تاريخ]])</f>
        <v>1400/09/23</v>
      </c>
      <c r="E2511" s="33">
        <v>44544</v>
      </c>
      <c r="F2511" s="32">
        <v>30146</v>
      </c>
      <c r="G2511" s="5" t="str">
        <f>INDEX(customer[عنوان],MATCH(Main[[#This Row],[کد ردیابی]],customer[کد],0))</f>
        <v>شرکت آذرپاد</v>
      </c>
      <c r="H2511">
        <v>-526</v>
      </c>
      <c r="I2511" s="6">
        <f ca="1">-Main[[#This Row],[بدهی تسویه شده (کیلوگرم)]]+Main[[#This Row],[بستانکار (کیلوگرم)]]</f>
        <v>0</v>
      </c>
      <c r="J2511" s="6">
        <f>IF(Main[[#This Row],[مقدار (کیلوگرم)]]&gt;0,Main[[#This Row],[مقدار (کیلوگرم)]],0)</f>
        <v>0</v>
      </c>
      <c r="K2511" s="6">
        <f>-IF(Main[[#This Row],[مقدار (کیلوگرم)]]&lt;0,Main[[#This Row],[مقدار (کیلوگرم)]],0)</f>
        <v>526</v>
      </c>
      <c r="L25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526</v>
      </c>
      <c r="M2511" s="7">
        <f>-IF(AND(Main[[#This Row],[مقدار (کیلوگرم)]]&lt;0,Main[[#This Row],[تاريخ میلادی]]&gt;44276),Main[[#This Row],[مقدار (کیلوگرم)]],0)</f>
        <v>526</v>
      </c>
      <c r="N2511" s="6">
        <f ca="1">Main[[#This Row],[بدهکار (کیلوگرم)]]-Main[[#This Row],[بدهی تسویه نشده (کیلوگرم)]]</f>
        <v>0</v>
      </c>
      <c r="O2511" s="6">
        <f ca="1">Main[[#This Row],[تفکیک]]</f>
        <v>526</v>
      </c>
      <c r="P2511" s="6">
        <f ca="1">IF(Main[[#This Row],[تاخیر از سررسید]]&gt;0,Main[[#This Row],[بدهی تسویه نشده (کیلوگرم)]],0)</f>
        <v>526</v>
      </c>
      <c r="Q2511" s="6">
        <f ca="1">IF(Main[[#This Row],[بدهی تسویه نشده (کیلوگرم)]]&gt;0,'گزارش فردی'!$B$7-Main[[#This Row],[تاريخ میلادی]],0)</f>
        <v>918.75374085648218</v>
      </c>
      <c r="R2511" s="6">
        <f ca="1">IF(Main[[#This Row],[بدهی تسویه نشده (کیلوگرم)]]&gt;0,'گزارش فردی'!$B$7-Main[[#This Row],[تاريخ میلادی]]-'گزارش فردی'!$B$8,0)</f>
        <v>903.75374085648218</v>
      </c>
      <c r="S2511" s="6">
        <f ca="1">Main[[#This Row],[روز از ارسال سفارش]]*Main[[#This Row],[بدهی تسویه نشده (کیلوگرم)]]</f>
        <v>483264.46769050963</v>
      </c>
      <c r="T2511" s="6">
        <f ca="1">Main[[#This Row],[بدهی سررسید شده (کیلوگرم)]]*Main[[#This Row],[روز از ارسال سفارش]]</f>
        <v>483264.46769050963</v>
      </c>
      <c r="U2511" s="6">
        <f>-SUBTOTAL(9,INDEX(Main[مقدار (کیلوگرم)],1):Main[[#This Row],[مقدار (کیلوگرم)]])</f>
        <v>41626</v>
      </c>
      <c r="V25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1" s="6">
        <f>Main[[#This Row],[تعداد کل روزهای بدهکار (روز)]]*Main[[#This Row],[مانده در خط کل (کیلوگرم)]]</f>
        <v>0</v>
      </c>
      <c r="X2511" s="6">
        <f ca="1">-SUBTOTAL(9,INDEX(Main[مقدار تسویه شده (کیلوگرم)],1):Main[[#This Row],[مقدار تسویه شده (کیلوگرم)]])</f>
        <v>19339</v>
      </c>
      <c r="Y2511" s="6">
        <f ca="1">IF(Main[[#This Row],[مانده در خط تسویه شده (کیلوگرم)]]&lt;&gt;0,Main[[#This Row],[تعداد کل روزهای بدهکار (روز)]],0)</f>
        <v>0</v>
      </c>
      <c r="Z2511" s="6">
        <f ca="1">Main[[#This Row],[تعداد روزهای بدهکار تسویه شده (روز)]]*Main[[#This Row],[مانده در خط تسویه شده (کیلوگرم)]]</f>
        <v>0</v>
      </c>
      <c r="AA2511" s="6">
        <f ca="1">SUBTOTAL(9,INDEX(Main[بدهی تسویه نشده (کیلوگرم)],1):Main[[#This Row],[بدهی تسویه نشده (کیلوگرم)]])</f>
        <v>22287</v>
      </c>
      <c r="AB2511" s="6">
        <f ca="1">IF(Main[[#This Row],[مانده در خط تسویه نشده (کیلوگرم)]]&lt;&gt;0,Main[[#This Row],[تعداد کل روزهای بدهکار (روز)]],0)</f>
        <v>0</v>
      </c>
      <c r="AC2511" s="6">
        <f ca="1">Main[[#This Row],[تعداد روزهای بدهکار  تسویه نشده (روز)]]*Main[[#This Row],[مانده در خط تسویه نشده (کیلوگرم)]]</f>
        <v>0</v>
      </c>
      <c r="AD2511" s="6">
        <f ca="1">SUBTOTAL(9,INDEX(Main[بدهی سررسید شده (کیلوگرم)],1):Main[[#This Row],[بدهی سررسید شده (کیلوگرم)]])</f>
        <v>22287</v>
      </c>
      <c r="AE2511" s="6">
        <f ca="1">IF(Main[[#This Row],[مانده در خط سررسید شده (کیلوگرم)]]&lt;&gt;0,Main[[#This Row],[تعداد کل روزهای بدهکار (روز)]],0)</f>
        <v>0</v>
      </c>
      <c r="AF2511" s="6">
        <f ca="1">Main[[#This Row],[تعداد روزهای بدهکار سررسید شده (روز)]]*Main[[#This Row],[مانده در خط سررسید شده (کیلوگرم)]]</f>
        <v>0</v>
      </c>
    </row>
    <row r="2512" spans="1:32" hidden="1" x14ac:dyDescent="0.35">
      <c r="A2512" s="5">
        <f>ROW()-ROW(INDEX(Main[ردیف],1))+1</f>
        <v>2510</v>
      </c>
      <c r="B2512" s="31">
        <f>SUBTOTAL(2,INDEX(Main[ردیف],1):Main[[#This Row],[ردیف]])</f>
        <v>225</v>
      </c>
      <c r="C2512" s="32" t="s">
        <v>811</v>
      </c>
      <c r="D2512" s="32" t="str">
        <f>_xlfn.CONCAT("14",Main[[#This Row],[تاريخ]])</f>
        <v>1400/09/23</v>
      </c>
      <c r="E2512" s="33">
        <v>44544</v>
      </c>
      <c r="F2512" s="32">
        <v>30018</v>
      </c>
      <c r="G2512" s="5" t="str">
        <f>INDEX(customer[عنوان],MATCH(Main[[#This Row],[کد ردیابی]],customer[کد],0))</f>
        <v xml:space="preserve">تولیدی شیر سازی غریب پویا </v>
      </c>
      <c r="H2512">
        <v>2217</v>
      </c>
      <c r="I2512" s="6">
        <f ca="1">-Main[[#This Row],[بدهی تسویه شده (کیلوگرم)]]+Main[[#This Row],[بستانکار (کیلوگرم)]]</f>
        <v>2217</v>
      </c>
      <c r="J2512" s="6">
        <f>IF(Main[[#This Row],[مقدار (کیلوگرم)]]&gt;0,Main[[#This Row],[مقدار (کیلوگرم)]],0)</f>
        <v>2217</v>
      </c>
      <c r="K2512" s="6">
        <f>-IF(Main[[#This Row],[مقدار (کیلوگرم)]]&lt;0,Main[[#This Row],[مقدار (کیلوگرم)]],0)</f>
        <v>0</v>
      </c>
      <c r="L25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2" s="7">
        <f>-IF(AND(Main[[#This Row],[مقدار (کیلوگرم)]]&lt;0,Main[[#This Row],[تاريخ میلادی]]&gt;44276),Main[[#This Row],[مقدار (کیلوگرم)]],0)</f>
        <v>0</v>
      </c>
      <c r="N2512" s="6">
        <f ca="1">Main[[#This Row],[بدهکار (کیلوگرم)]]-Main[[#This Row],[بدهی تسویه نشده (کیلوگرم)]]</f>
        <v>0</v>
      </c>
      <c r="O2512" s="6">
        <f ca="1">Main[[#This Row],[تفکیک]]</f>
        <v>0</v>
      </c>
      <c r="P2512" s="6">
        <f ca="1">IF(Main[[#This Row],[تاخیر از سررسید]]&gt;0,Main[[#This Row],[بدهی تسویه نشده (کیلوگرم)]],0)</f>
        <v>0</v>
      </c>
      <c r="Q2512" s="6">
        <f ca="1">IF(Main[[#This Row],[بدهی تسویه نشده (کیلوگرم)]]&gt;0,'گزارش فردی'!$B$7-Main[[#This Row],[تاريخ میلادی]],0)</f>
        <v>0</v>
      </c>
      <c r="R2512" s="6">
        <f ca="1">IF(Main[[#This Row],[بدهی تسویه نشده (کیلوگرم)]]&gt;0,'گزارش فردی'!$B$7-Main[[#This Row],[تاريخ میلادی]]-'گزارش فردی'!$B$8,0)</f>
        <v>0</v>
      </c>
      <c r="S2512" s="6">
        <f ca="1">Main[[#This Row],[روز از ارسال سفارش]]*Main[[#This Row],[بدهی تسویه نشده (کیلوگرم)]]</f>
        <v>0</v>
      </c>
      <c r="T2512" s="6">
        <f ca="1">Main[[#This Row],[بدهی سررسید شده (کیلوگرم)]]*Main[[#This Row],[روز از ارسال سفارش]]</f>
        <v>0</v>
      </c>
      <c r="U2512" s="6">
        <f>-SUBTOTAL(9,INDEX(Main[مقدار (کیلوگرم)],1):Main[[#This Row],[مقدار (کیلوگرم)]])</f>
        <v>41626</v>
      </c>
      <c r="V25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2" s="6">
        <f>Main[[#This Row],[تعداد کل روزهای بدهکار (روز)]]*Main[[#This Row],[مانده در خط کل (کیلوگرم)]]</f>
        <v>0</v>
      </c>
      <c r="X2512" s="6">
        <f ca="1">-SUBTOTAL(9,INDEX(Main[مقدار تسویه شده (کیلوگرم)],1):Main[[#This Row],[مقدار تسویه شده (کیلوگرم)]])</f>
        <v>19339</v>
      </c>
      <c r="Y2512" s="6">
        <f ca="1">IF(Main[[#This Row],[مانده در خط تسویه شده (کیلوگرم)]]&lt;&gt;0,Main[[#This Row],[تعداد کل روزهای بدهکار (روز)]],0)</f>
        <v>0</v>
      </c>
      <c r="Z2512" s="6">
        <f ca="1">Main[[#This Row],[تعداد روزهای بدهکار تسویه شده (روز)]]*Main[[#This Row],[مانده در خط تسویه شده (کیلوگرم)]]</f>
        <v>0</v>
      </c>
      <c r="AA2512" s="6">
        <f ca="1">SUBTOTAL(9,INDEX(Main[بدهی تسویه نشده (کیلوگرم)],1):Main[[#This Row],[بدهی تسویه نشده (کیلوگرم)]])</f>
        <v>22287</v>
      </c>
      <c r="AB2512" s="6">
        <f ca="1">IF(Main[[#This Row],[مانده در خط تسویه نشده (کیلوگرم)]]&lt;&gt;0,Main[[#This Row],[تعداد کل روزهای بدهکار (روز)]],0)</f>
        <v>0</v>
      </c>
      <c r="AC2512" s="6">
        <f ca="1">Main[[#This Row],[تعداد روزهای بدهکار  تسویه نشده (روز)]]*Main[[#This Row],[مانده در خط تسویه نشده (کیلوگرم)]]</f>
        <v>0</v>
      </c>
      <c r="AD2512" s="6">
        <f ca="1">SUBTOTAL(9,INDEX(Main[بدهی سررسید شده (کیلوگرم)],1):Main[[#This Row],[بدهی سررسید شده (کیلوگرم)]])</f>
        <v>22287</v>
      </c>
      <c r="AE2512" s="6">
        <f ca="1">IF(Main[[#This Row],[مانده در خط سررسید شده (کیلوگرم)]]&lt;&gt;0,Main[[#This Row],[تعداد کل روزهای بدهکار (روز)]],0)</f>
        <v>0</v>
      </c>
      <c r="AF2512" s="6">
        <f ca="1">Main[[#This Row],[تعداد روزهای بدهکار سررسید شده (روز)]]*Main[[#This Row],[مانده در خط سررسید شده (کیلوگرم)]]</f>
        <v>0</v>
      </c>
    </row>
    <row r="2513" spans="1:32" hidden="1" x14ac:dyDescent="0.35">
      <c r="A2513" s="5">
        <f>ROW()-ROW(INDEX(Main[ردیف],1))+1</f>
        <v>2511</v>
      </c>
      <c r="B2513" s="31">
        <f>SUBTOTAL(2,INDEX(Main[ردیف],1):Main[[#This Row],[ردیف]])</f>
        <v>225</v>
      </c>
      <c r="C2513" s="32" t="s">
        <v>811</v>
      </c>
      <c r="D2513" s="32" t="str">
        <f>_xlfn.CONCAT("14",Main[[#This Row],[تاريخ]])</f>
        <v>1400/09/23</v>
      </c>
      <c r="E2513" s="33">
        <v>44544</v>
      </c>
      <c r="F2513" s="32">
        <v>30014</v>
      </c>
      <c r="G2513" s="5" t="str">
        <f>INDEX(customer[عنوان],MATCH(Main[[#This Row],[کد ردیابی]],customer[کد],0))</f>
        <v>کلون</v>
      </c>
      <c r="H2513">
        <v>-996</v>
      </c>
      <c r="I2513" s="6">
        <f ca="1">-Main[[#This Row],[بدهی تسویه شده (کیلوگرم)]]+Main[[#This Row],[بستانکار (کیلوگرم)]]</f>
        <v>0</v>
      </c>
      <c r="J2513" s="6">
        <f>IF(Main[[#This Row],[مقدار (کیلوگرم)]]&gt;0,Main[[#This Row],[مقدار (کیلوگرم)]],0)</f>
        <v>0</v>
      </c>
      <c r="K2513" s="6">
        <f>-IF(Main[[#This Row],[مقدار (کیلوگرم)]]&lt;0,Main[[#This Row],[مقدار (کیلوگرم)]],0)</f>
        <v>996</v>
      </c>
      <c r="L25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996</v>
      </c>
      <c r="M2513" s="7">
        <f>-IF(AND(Main[[#This Row],[مقدار (کیلوگرم)]]&lt;0,Main[[#This Row],[تاريخ میلادی]]&gt;44276),Main[[#This Row],[مقدار (کیلوگرم)]],0)</f>
        <v>996</v>
      </c>
      <c r="N2513" s="6">
        <f ca="1">Main[[#This Row],[بدهکار (کیلوگرم)]]-Main[[#This Row],[بدهی تسویه نشده (کیلوگرم)]]</f>
        <v>0</v>
      </c>
      <c r="O2513" s="6">
        <f ca="1">Main[[#This Row],[تفکیک]]</f>
        <v>996</v>
      </c>
      <c r="P2513" s="6">
        <f ca="1">IF(Main[[#This Row],[تاخیر از سررسید]]&gt;0,Main[[#This Row],[بدهی تسویه نشده (کیلوگرم)]],0)</f>
        <v>996</v>
      </c>
      <c r="Q2513" s="6">
        <f ca="1">IF(Main[[#This Row],[بدهی تسویه نشده (کیلوگرم)]]&gt;0,'گزارش فردی'!$B$7-Main[[#This Row],[تاريخ میلادی]],0)</f>
        <v>918.75374085648218</v>
      </c>
      <c r="R2513" s="6">
        <f ca="1">IF(Main[[#This Row],[بدهی تسویه نشده (کیلوگرم)]]&gt;0,'گزارش فردی'!$B$7-Main[[#This Row],[تاريخ میلادی]]-'گزارش فردی'!$B$8,0)</f>
        <v>903.75374085648218</v>
      </c>
      <c r="S2513" s="6">
        <f ca="1">Main[[#This Row],[روز از ارسال سفارش]]*Main[[#This Row],[بدهی تسویه نشده (کیلوگرم)]]</f>
        <v>915078.72589305625</v>
      </c>
      <c r="T2513" s="6">
        <f ca="1">Main[[#This Row],[بدهی سررسید شده (کیلوگرم)]]*Main[[#This Row],[روز از ارسال سفارش]]</f>
        <v>915078.72589305625</v>
      </c>
      <c r="U2513" s="6">
        <f>-SUBTOTAL(9,INDEX(Main[مقدار (کیلوگرم)],1):Main[[#This Row],[مقدار (کیلوگرم)]])</f>
        <v>41626</v>
      </c>
      <c r="V25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3" s="6">
        <f>Main[[#This Row],[تعداد کل روزهای بدهکار (روز)]]*Main[[#This Row],[مانده در خط کل (کیلوگرم)]]</f>
        <v>0</v>
      </c>
      <c r="X2513" s="6">
        <f ca="1">-SUBTOTAL(9,INDEX(Main[مقدار تسویه شده (کیلوگرم)],1):Main[[#This Row],[مقدار تسویه شده (کیلوگرم)]])</f>
        <v>19339</v>
      </c>
      <c r="Y2513" s="6">
        <f ca="1">IF(Main[[#This Row],[مانده در خط تسویه شده (کیلوگرم)]]&lt;&gt;0,Main[[#This Row],[تعداد کل روزهای بدهکار (روز)]],0)</f>
        <v>0</v>
      </c>
      <c r="Z2513" s="6">
        <f ca="1">Main[[#This Row],[تعداد روزهای بدهکار تسویه شده (روز)]]*Main[[#This Row],[مانده در خط تسویه شده (کیلوگرم)]]</f>
        <v>0</v>
      </c>
      <c r="AA2513" s="6">
        <f ca="1">SUBTOTAL(9,INDEX(Main[بدهی تسویه نشده (کیلوگرم)],1):Main[[#This Row],[بدهی تسویه نشده (کیلوگرم)]])</f>
        <v>22287</v>
      </c>
      <c r="AB2513" s="6">
        <f ca="1">IF(Main[[#This Row],[مانده در خط تسویه نشده (کیلوگرم)]]&lt;&gt;0,Main[[#This Row],[تعداد کل روزهای بدهکار (روز)]],0)</f>
        <v>0</v>
      </c>
      <c r="AC2513" s="6">
        <f ca="1">Main[[#This Row],[تعداد روزهای بدهکار  تسویه نشده (روز)]]*Main[[#This Row],[مانده در خط تسویه نشده (کیلوگرم)]]</f>
        <v>0</v>
      </c>
      <c r="AD2513" s="6">
        <f ca="1">SUBTOTAL(9,INDEX(Main[بدهی سررسید شده (کیلوگرم)],1):Main[[#This Row],[بدهی سررسید شده (کیلوگرم)]])</f>
        <v>22287</v>
      </c>
      <c r="AE2513" s="6">
        <f ca="1">IF(Main[[#This Row],[مانده در خط سررسید شده (کیلوگرم)]]&lt;&gt;0,Main[[#This Row],[تعداد کل روزهای بدهکار (روز)]],0)</f>
        <v>0</v>
      </c>
      <c r="AF2513" s="6">
        <f ca="1">Main[[#This Row],[تعداد روزهای بدهکار سررسید شده (روز)]]*Main[[#This Row],[مانده در خط سررسید شده (کیلوگرم)]]</f>
        <v>0</v>
      </c>
    </row>
    <row r="2514" spans="1:32" hidden="1" x14ac:dyDescent="0.35">
      <c r="A2514" s="5">
        <f>ROW()-ROW(INDEX(Main[ردیف],1))+1</f>
        <v>2512</v>
      </c>
      <c r="B2514" s="31">
        <f>SUBTOTAL(2,INDEX(Main[ردیف],1):Main[[#This Row],[ردیف]])</f>
        <v>225</v>
      </c>
      <c r="C2514" s="32" t="s">
        <v>811</v>
      </c>
      <c r="D2514" s="32" t="str">
        <f>_xlfn.CONCAT("14",Main[[#This Row],[تاريخ]])</f>
        <v>1400/09/23</v>
      </c>
      <c r="E2514" s="33">
        <v>44544</v>
      </c>
      <c r="F2514" s="32">
        <v>30186</v>
      </c>
      <c r="G2514" s="5" t="str">
        <f>INDEX(customer[عنوان],MATCH(Main[[#This Row],[کد ردیابی]],customer[کد],0))</f>
        <v>سارا گاز</v>
      </c>
      <c r="H2514">
        <v>1006</v>
      </c>
      <c r="I2514" s="6">
        <f ca="1">-Main[[#This Row],[بدهی تسویه شده (کیلوگرم)]]+Main[[#This Row],[بستانکار (کیلوگرم)]]</f>
        <v>1006</v>
      </c>
      <c r="J2514" s="6">
        <f>IF(Main[[#This Row],[مقدار (کیلوگرم)]]&gt;0,Main[[#This Row],[مقدار (کیلوگرم)]],0)</f>
        <v>1006</v>
      </c>
      <c r="K2514" s="6">
        <f>-IF(Main[[#This Row],[مقدار (کیلوگرم)]]&lt;0,Main[[#This Row],[مقدار (کیلوگرم)]],0)</f>
        <v>0</v>
      </c>
      <c r="L25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4" s="7">
        <f>-IF(AND(Main[[#This Row],[مقدار (کیلوگرم)]]&lt;0,Main[[#This Row],[تاريخ میلادی]]&gt;44276),Main[[#This Row],[مقدار (کیلوگرم)]],0)</f>
        <v>0</v>
      </c>
      <c r="N2514" s="6">
        <f ca="1">Main[[#This Row],[بدهکار (کیلوگرم)]]-Main[[#This Row],[بدهی تسویه نشده (کیلوگرم)]]</f>
        <v>0</v>
      </c>
      <c r="O2514" s="6">
        <f ca="1">Main[[#This Row],[تفکیک]]</f>
        <v>0</v>
      </c>
      <c r="P2514" s="6">
        <f ca="1">IF(Main[[#This Row],[تاخیر از سررسید]]&gt;0,Main[[#This Row],[بدهی تسویه نشده (کیلوگرم)]],0)</f>
        <v>0</v>
      </c>
      <c r="Q2514" s="6">
        <f ca="1">IF(Main[[#This Row],[بدهی تسویه نشده (کیلوگرم)]]&gt;0,'گزارش فردی'!$B$7-Main[[#This Row],[تاريخ میلادی]],0)</f>
        <v>0</v>
      </c>
      <c r="R2514" s="6">
        <f ca="1">IF(Main[[#This Row],[بدهی تسویه نشده (کیلوگرم)]]&gt;0,'گزارش فردی'!$B$7-Main[[#This Row],[تاريخ میلادی]]-'گزارش فردی'!$B$8,0)</f>
        <v>0</v>
      </c>
      <c r="S2514" s="6">
        <f ca="1">Main[[#This Row],[روز از ارسال سفارش]]*Main[[#This Row],[بدهی تسویه نشده (کیلوگرم)]]</f>
        <v>0</v>
      </c>
      <c r="T2514" s="6">
        <f ca="1">Main[[#This Row],[بدهی سررسید شده (کیلوگرم)]]*Main[[#This Row],[روز از ارسال سفارش]]</f>
        <v>0</v>
      </c>
      <c r="U2514" s="6">
        <f>-SUBTOTAL(9,INDEX(Main[مقدار (کیلوگرم)],1):Main[[#This Row],[مقدار (کیلوگرم)]])</f>
        <v>41626</v>
      </c>
      <c r="V25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4" s="6">
        <f>Main[[#This Row],[تعداد کل روزهای بدهکار (روز)]]*Main[[#This Row],[مانده در خط کل (کیلوگرم)]]</f>
        <v>0</v>
      </c>
      <c r="X2514" s="6">
        <f ca="1">-SUBTOTAL(9,INDEX(Main[مقدار تسویه شده (کیلوگرم)],1):Main[[#This Row],[مقدار تسویه شده (کیلوگرم)]])</f>
        <v>19339</v>
      </c>
      <c r="Y2514" s="6">
        <f ca="1">IF(Main[[#This Row],[مانده در خط تسویه شده (کیلوگرم)]]&lt;&gt;0,Main[[#This Row],[تعداد کل روزهای بدهکار (روز)]],0)</f>
        <v>0</v>
      </c>
      <c r="Z2514" s="6">
        <f ca="1">Main[[#This Row],[تعداد روزهای بدهکار تسویه شده (روز)]]*Main[[#This Row],[مانده در خط تسویه شده (کیلوگرم)]]</f>
        <v>0</v>
      </c>
      <c r="AA2514" s="6">
        <f ca="1">SUBTOTAL(9,INDEX(Main[بدهی تسویه نشده (کیلوگرم)],1):Main[[#This Row],[بدهی تسویه نشده (کیلوگرم)]])</f>
        <v>22287</v>
      </c>
      <c r="AB2514" s="6">
        <f ca="1">IF(Main[[#This Row],[مانده در خط تسویه نشده (کیلوگرم)]]&lt;&gt;0,Main[[#This Row],[تعداد کل روزهای بدهکار (روز)]],0)</f>
        <v>0</v>
      </c>
      <c r="AC2514" s="6">
        <f ca="1">Main[[#This Row],[تعداد روزهای بدهکار  تسویه نشده (روز)]]*Main[[#This Row],[مانده در خط تسویه نشده (کیلوگرم)]]</f>
        <v>0</v>
      </c>
      <c r="AD2514" s="6">
        <f ca="1">SUBTOTAL(9,INDEX(Main[بدهی سررسید شده (کیلوگرم)],1):Main[[#This Row],[بدهی سررسید شده (کیلوگرم)]])</f>
        <v>22287</v>
      </c>
      <c r="AE2514" s="6">
        <f ca="1">IF(Main[[#This Row],[مانده در خط سررسید شده (کیلوگرم)]]&lt;&gt;0,Main[[#This Row],[تعداد کل روزهای بدهکار (روز)]],0)</f>
        <v>0</v>
      </c>
      <c r="AF2514" s="6">
        <f ca="1">Main[[#This Row],[تعداد روزهای بدهکار سررسید شده (روز)]]*Main[[#This Row],[مانده در خط سررسید شده (کیلوگرم)]]</f>
        <v>0</v>
      </c>
    </row>
    <row r="2515" spans="1:32" x14ac:dyDescent="0.35">
      <c r="A2515" s="5">
        <f>ROW()-ROW(INDEX(Main[ردیف],1))+1</f>
        <v>2513</v>
      </c>
      <c r="B2515" s="31">
        <f>SUBTOTAL(2,INDEX(Main[ردیف],1):Main[[#This Row],[ردیف]])</f>
        <v>226</v>
      </c>
      <c r="C2515" s="32" t="s">
        <v>811</v>
      </c>
      <c r="D2515" s="32" t="str">
        <f>_xlfn.CONCAT("14",Main[[#This Row],[تاريخ]])</f>
        <v>1400/09/23</v>
      </c>
      <c r="E2515" s="33">
        <v>44544</v>
      </c>
      <c r="F2515" s="32">
        <v>10003</v>
      </c>
      <c r="G2515" s="5" t="str">
        <f>INDEX(customer[عنوان],MATCH(Main[[#This Row],[کد ردیابی]],customer[کد],0))</f>
        <v>اصغر نورعلی</v>
      </c>
      <c r="H2515">
        <v>-2194</v>
      </c>
      <c r="I2515" s="6">
        <f ca="1">-Main[[#This Row],[بدهی تسویه شده (کیلوگرم)]]+Main[[#This Row],[بستانکار (کیلوگرم)]]</f>
        <v>0</v>
      </c>
      <c r="J2515" s="6">
        <f>IF(Main[[#This Row],[مقدار (کیلوگرم)]]&gt;0,Main[[#This Row],[مقدار (کیلوگرم)]],0)</f>
        <v>0</v>
      </c>
      <c r="K2515" s="6">
        <f>-IF(Main[[#This Row],[مقدار (کیلوگرم)]]&lt;0,Main[[#This Row],[مقدار (کیلوگرم)]],0)</f>
        <v>2194</v>
      </c>
      <c r="L25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2194</v>
      </c>
      <c r="M2515" s="7">
        <f>-IF(AND(Main[[#This Row],[مقدار (کیلوگرم)]]&lt;0,Main[[#This Row],[تاريخ میلادی]]&gt;44276),Main[[#This Row],[مقدار (کیلوگرم)]],0)</f>
        <v>2194</v>
      </c>
      <c r="N2515" s="6">
        <f ca="1">Main[[#This Row],[بدهکار (کیلوگرم)]]-Main[[#This Row],[بدهی تسویه نشده (کیلوگرم)]]</f>
        <v>0</v>
      </c>
      <c r="O2515" s="6">
        <f ca="1">Main[[#This Row],[تفکیک]]</f>
        <v>2194</v>
      </c>
      <c r="P2515" s="6">
        <f ca="1">IF(Main[[#This Row],[تاخیر از سررسید]]&gt;0,Main[[#This Row],[بدهی تسویه نشده (کیلوگرم)]],0)</f>
        <v>2194</v>
      </c>
      <c r="Q2515" s="6">
        <f ca="1">IF(Main[[#This Row],[بدهی تسویه نشده (کیلوگرم)]]&gt;0,'گزارش فردی'!$B$7-Main[[#This Row],[تاريخ میلادی]],0)</f>
        <v>918.75374085648218</v>
      </c>
      <c r="R2515" s="6">
        <f ca="1">IF(Main[[#This Row],[بدهی تسویه نشده (کیلوگرم)]]&gt;0,'گزارش فردی'!$B$7-Main[[#This Row],[تاريخ میلادی]]-'گزارش فردی'!$B$8,0)</f>
        <v>903.75374085648218</v>
      </c>
      <c r="S2515" s="6">
        <f ca="1">Main[[#This Row],[روز از ارسال سفارش]]*Main[[#This Row],[بدهی تسویه نشده (کیلوگرم)]]</f>
        <v>2015745.7074391218</v>
      </c>
      <c r="T2515" s="6">
        <f ca="1">Main[[#This Row],[بدهی سررسید شده (کیلوگرم)]]*Main[[#This Row],[روز از ارسال سفارش]]</f>
        <v>2015745.7074391218</v>
      </c>
      <c r="U2515" s="6">
        <f>-SUBTOTAL(9,INDEX(Main[مقدار (کیلوگرم)],1):Main[[#This Row],[مقدار (کیلوگرم)]])</f>
        <v>43820</v>
      </c>
      <c r="V25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5" s="6">
        <f>Main[[#This Row],[تعداد کل روزهای بدهکار (روز)]]*Main[[#This Row],[مانده در خط کل (کیلوگرم)]]</f>
        <v>43820</v>
      </c>
      <c r="X2515" s="6">
        <f ca="1">-SUBTOTAL(9,INDEX(Main[مقدار تسویه شده (کیلوگرم)],1):Main[[#This Row],[مقدار تسویه شده (کیلوگرم)]])</f>
        <v>19339</v>
      </c>
      <c r="Y2515" s="6">
        <f ca="1">IF(Main[[#This Row],[مانده در خط تسویه شده (کیلوگرم)]]&lt;&gt;0,Main[[#This Row],[تعداد کل روزهای بدهکار (روز)]],0)</f>
        <v>1</v>
      </c>
      <c r="Z2515" s="6">
        <f ca="1">Main[[#This Row],[تعداد روزهای بدهکار تسویه شده (روز)]]*Main[[#This Row],[مانده در خط تسویه شده (کیلوگرم)]]</f>
        <v>19339</v>
      </c>
      <c r="AA2515" s="6">
        <f ca="1">SUBTOTAL(9,INDEX(Main[بدهی تسویه نشده (کیلوگرم)],1):Main[[#This Row],[بدهی تسویه نشده (کیلوگرم)]])</f>
        <v>24481</v>
      </c>
      <c r="AB2515" s="6">
        <f ca="1">IF(Main[[#This Row],[مانده در خط تسویه نشده (کیلوگرم)]]&lt;&gt;0,Main[[#This Row],[تعداد کل روزهای بدهکار (روز)]],0)</f>
        <v>1</v>
      </c>
      <c r="AC2515" s="6">
        <f ca="1">Main[[#This Row],[تعداد روزهای بدهکار  تسویه نشده (روز)]]*Main[[#This Row],[مانده در خط تسویه نشده (کیلوگرم)]]</f>
        <v>24481</v>
      </c>
      <c r="AD2515" s="6">
        <f ca="1">SUBTOTAL(9,INDEX(Main[بدهی سررسید شده (کیلوگرم)],1):Main[[#This Row],[بدهی سررسید شده (کیلوگرم)]])</f>
        <v>24481</v>
      </c>
      <c r="AE2515" s="6">
        <f ca="1">IF(Main[[#This Row],[مانده در خط سررسید شده (کیلوگرم)]]&lt;&gt;0,Main[[#This Row],[تعداد کل روزهای بدهکار (روز)]],0)</f>
        <v>1</v>
      </c>
      <c r="AF2515" s="6">
        <f ca="1">Main[[#This Row],[تعداد روزهای بدهکار سررسید شده (روز)]]*Main[[#This Row],[مانده در خط سررسید شده (کیلوگرم)]]</f>
        <v>24481</v>
      </c>
    </row>
    <row r="2516" spans="1:32" hidden="1" x14ac:dyDescent="0.35">
      <c r="A2516" s="5">
        <f>ROW()-ROW(INDEX(Main[ردیف],1))+1</f>
        <v>2514</v>
      </c>
      <c r="B2516" s="31">
        <f>SUBTOTAL(2,INDEX(Main[ردیف],1):Main[[#This Row],[ردیف]])</f>
        <v>226</v>
      </c>
      <c r="C2516" s="32" t="s">
        <v>811</v>
      </c>
      <c r="D2516" s="32" t="str">
        <f>_xlfn.CONCAT("14",Main[[#This Row],[تاريخ]])</f>
        <v>1400/09/23</v>
      </c>
      <c r="E2516" s="33">
        <v>44544</v>
      </c>
      <c r="F2516" s="32">
        <v>10048</v>
      </c>
      <c r="G2516" s="5" t="str">
        <f>INDEX(customer[عنوان],MATCH(Main[[#This Row],[کد ردیابی]],customer[کد],0))</f>
        <v xml:space="preserve">حسام کریمان  </v>
      </c>
      <c r="H2516">
        <v>559</v>
      </c>
      <c r="I2516" s="6">
        <f ca="1">-Main[[#This Row],[بدهی تسویه شده (کیلوگرم)]]+Main[[#This Row],[بستانکار (کیلوگرم)]]</f>
        <v>559</v>
      </c>
      <c r="J2516" s="6">
        <f>IF(Main[[#This Row],[مقدار (کیلوگرم)]]&gt;0,Main[[#This Row],[مقدار (کیلوگرم)]],0)</f>
        <v>559</v>
      </c>
      <c r="K2516" s="6">
        <f>-IF(Main[[#This Row],[مقدار (کیلوگرم)]]&lt;0,Main[[#This Row],[مقدار (کیلوگرم)]],0)</f>
        <v>0</v>
      </c>
      <c r="L25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6" s="7">
        <f>-IF(AND(Main[[#This Row],[مقدار (کیلوگرم)]]&lt;0,Main[[#This Row],[تاريخ میلادی]]&gt;44276),Main[[#This Row],[مقدار (کیلوگرم)]],0)</f>
        <v>0</v>
      </c>
      <c r="N2516" s="6">
        <f ca="1">Main[[#This Row],[بدهکار (کیلوگرم)]]-Main[[#This Row],[بدهی تسویه نشده (کیلوگرم)]]</f>
        <v>0</v>
      </c>
      <c r="O2516" s="6">
        <f ca="1">Main[[#This Row],[تفکیک]]</f>
        <v>0</v>
      </c>
      <c r="P2516" s="6">
        <f ca="1">IF(Main[[#This Row],[تاخیر از سررسید]]&gt;0,Main[[#This Row],[بدهی تسویه نشده (کیلوگرم)]],0)</f>
        <v>0</v>
      </c>
      <c r="Q2516" s="6">
        <f ca="1">IF(Main[[#This Row],[بدهی تسویه نشده (کیلوگرم)]]&gt;0,'گزارش فردی'!$B$7-Main[[#This Row],[تاريخ میلادی]],0)</f>
        <v>0</v>
      </c>
      <c r="R2516" s="6">
        <f ca="1">IF(Main[[#This Row],[بدهی تسویه نشده (کیلوگرم)]]&gt;0,'گزارش فردی'!$B$7-Main[[#This Row],[تاريخ میلادی]]-'گزارش فردی'!$B$8,0)</f>
        <v>0</v>
      </c>
      <c r="S2516" s="6">
        <f ca="1">Main[[#This Row],[روز از ارسال سفارش]]*Main[[#This Row],[بدهی تسویه نشده (کیلوگرم)]]</f>
        <v>0</v>
      </c>
      <c r="T2516" s="6">
        <f ca="1">Main[[#This Row],[بدهی سررسید شده (کیلوگرم)]]*Main[[#This Row],[روز از ارسال سفارش]]</f>
        <v>0</v>
      </c>
      <c r="U2516" s="6">
        <f>-SUBTOTAL(9,INDEX(Main[مقدار (کیلوگرم)],1):Main[[#This Row],[مقدار (کیلوگرم)]])</f>
        <v>43820</v>
      </c>
      <c r="V25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6" s="6">
        <f>Main[[#This Row],[تعداد کل روزهای بدهکار (روز)]]*Main[[#This Row],[مانده در خط کل (کیلوگرم)]]</f>
        <v>43820</v>
      </c>
      <c r="X2516" s="6">
        <f ca="1">-SUBTOTAL(9,INDEX(Main[مقدار تسویه شده (کیلوگرم)],1):Main[[#This Row],[مقدار تسویه شده (کیلوگرم)]])</f>
        <v>19339</v>
      </c>
      <c r="Y2516" s="6">
        <f ca="1">IF(Main[[#This Row],[مانده در خط تسویه شده (کیلوگرم)]]&lt;&gt;0,Main[[#This Row],[تعداد کل روزهای بدهکار (روز)]],0)</f>
        <v>1</v>
      </c>
      <c r="Z2516" s="6">
        <f ca="1">Main[[#This Row],[تعداد روزهای بدهکار تسویه شده (روز)]]*Main[[#This Row],[مانده در خط تسویه شده (کیلوگرم)]]</f>
        <v>19339</v>
      </c>
      <c r="AA2516" s="6">
        <f ca="1">SUBTOTAL(9,INDEX(Main[بدهی تسویه نشده (کیلوگرم)],1):Main[[#This Row],[بدهی تسویه نشده (کیلوگرم)]])</f>
        <v>24481</v>
      </c>
      <c r="AB2516" s="6">
        <f ca="1">IF(Main[[#This Row],[مانده در خط تسویه نشده (کیلوگرم)]]&lt;&gt;0,Main[[#This Row],[تعداد کل روزهای بدهکار (روز)]],0)</f>
        <v>1</v>
      </c>
      <c r="AC2516" s="6">
        <f ca="1">Main[[#This Row],[تعداد روزهای بدهکار  تسویه نشده (روز)]]*Main[[#This Row],[مانده در خط تسویه نشده (کیلوگرم)]]</f>
        <v>24481</v>
      </c>
      <c r="AD2516" s="6">
        <f ca="1">SUBTOTAL(9,INDEX(Main[بدهی سررسید شده (کیلوگرم)],1):Main[[#This Row],[بدهی سررسید شده (کیلوگرم)]])</f>
        <v>24481</v>
      </c>
      <c r="AE2516" s="6">
        <f ca="1">IF(Main[[#This Row],[مانده در خط سررسید شده (کیلوگرم)]]&lt;&gt;0,Main[[#This Row],[تعداد کل روزهای بدهکار (روز)]],0)</f>
        <v>1</v>
      </c>
      <c r="AF2516" s="6">
        <f ca="1">Main[[#This Row],[تعداد روزهای بدهکار سررسید شده (روز)]]*Main[[#This Row],[مانده در خط سررسید شده (کیلوگرم)]]</f>
        <v>24481</v>
      </c>
    </row>
    <row r="2517" spans="1:32" hidden="1" x14ac:dyDescent="0.35">
      <c r="A2517" s="5">
        <f>ROW()-ROW(INDEX(Main[ردیف],1))+1</f>
        <v>2515</v>
      </c>
      <c r="B2517" s="31">
        <f>SUBTOTAL(2,INDEX(Main[ردیف],1):Main[[#This Row],[ردیف]])</f>
        <v>226</v>
      </c>
      <c r="C2517" s="32" t="s">
        <v>811</v>
      </c>
      <c r="D2517" s="32" t="str">
        <f>_xlfn.CONCAT("14",Main[[#This Row],[تاريخ]])</f>
        <v>1400/09/23</v>
      </c>
      <c r="E2517" s="33">
        <v>44544</v>
      </c>
      <c r="F2517" s="32">
        <v>10048</v>
      </c>
      <c r="G2517" s="5" t="str">
        <f>INDEX(customer[عنوان],MATCH(Main[[#This Row],[کد ردیابی]],customer[کد],0))</f>
        <v xml:space="preserve">حسام کریمان  </v>
      </c>
      <c r="H2517">
        <v>-1403</v>
      </c>
      <c r="I2517" s="6">
        <f ca="1">-Main[[#This Row],[بدهی تسویه شده (کیلوگرم)]]+Main[[#This Row],[بستانکار (کیلوگرم)]]</f>
        <v>0</v>
      </c>
      <c r="J2517" s="6">
        <f>IF(Main[[#This Row],[مقدار (کیلوگرم)]]&gt;0,Main[[#This Row],[مقدار (کیلوگرم)]],0)</f>
        <v>0</v>
      </c>
      <c r="K2517" s="6">
        <f>-IF(Main[[#This Row],[مقدار (کیلوگرم)]]&lt;0,Main[[#This Row],[مقدار (کیلوگرم)]],0)</f>
        <v>1403</v>
      </c>
      <c r="L25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1403</v>
      </c>
      <c r="M2517" s="7">
        <f>-IF(AND(Main[[#This Row],[مقدار (کیلوگرم)]]&lt;0,Main[[#This Row],[تاريخ میلادی]]&gt;44276),Main[[#This Row],[مقدار (کیلوگرم)]],0)</f>
        <v>1403</v>
      </c>
      <c r="N2517" s="6">
        <f ca="1">Main[[#This Row],[بدهکار (کیلوگرم)]]-Main[[#This Row],[بدهی تسویه نشده (کیلوگرم)]]</f>
        <v>0</v>
      </c>
      <c r="O2517" s="6">
        <f ca="1">Main[[#This Row],[تفکیک]]</f>
        <v>1403</v>
      </c>
      <c r="P2517" s="6">
        <f ca="1">IF(Main[[#This Row],[تاخیر از سررسید]]&gt;0,Main[[#This Row],[بدهی تسویه نشده (کیلوگرم)]],0)</f>
        <v>1403</v>
      </c>
      <c r="Q2517" s="6">
        <f ca="1">IF(Main[[#This Row],[بدهی تسویه نشده (کیلوگرم)]]&gt;0,'گزارش فردی'!$B$7-Main[[#This Row],[تاريخ میلادی]],0)</f>
        <v>918.75374085648218</v>
      </c>
      <c r="R2517" s="6">
        <f ca="1">IF(Main[[#This Row],[بدهی تسویه نشده (کیلوگرم)]]&gt;0,'گزارش فردی'!$B$7-Main[[#This Row],[تاريخ میلادی]]-'گزارش فردی'!$B$8,0)</f>
        <v>903.75374085648218</v>
      </c>
      <c r="S2517" s="6">
        <f ca="1">Main[[#This Row],[روز از ارسال سفارش]]*Main[[#This Row],[بدهی تسویه نشده (کیلوگرم)]]</f>
        <v>1289011.4984216446</v>
      </c>
      <c r="T2517" s="6">
        <f ca="1">Main[[#This Row],[بدهی سررسید شده (کیلوگرم)]]*Main[[#This Row],[روز از ارسال سفارش]]</f>
        <v>1289011.4984216446</v>
      </c>
      <c r="U2517" s="6">
        <f>-SUBTOTAL(9,INDEX(Main[مقدار (کیلوگرم)],1):Main[[#This Row],[مقدار (کیلوگرم)]])</f>
        <v>43820</v>
      </c>
      <c r="V25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7" s="6">
        <f>Main[[#This Row],[تعداد کل روزهای بدهکار (روز)]]*Main[[#This Row],[مانده در خط کل (کیلوگرم)]]</f>
        <v>43820</v>
      </c>
      <c r="X2517" s="6">
        <f ca="1">-SUBTOTAL(9,INDEX(Main[مقدار تسویه شده (کیلوگرم)],1):Main[[#This Row],[مقدار تسویه شده (کیلوگرم)]])</f>
        <v>19339</v>
      </c>
      <c r="Y2517" s="6">
        <f ca="1">IF(Main[[#This Row],[مانده در خط تسویه شده (کیلوگرم)]]&lt;&gt;0,Main[[#This Row],[تعداد کل روزهای بدهکار (روز)]],0)</f>
        <v>1</v>
      </c>
      <c r="Z2517" s="6">
        <f ca="1">Main[[#This Row],[تعداد روزهای بدهکار تسویه شده (روز)]]*Main[[#This Row],[مانده در خط تسویه شده (کیلوگرم)]]</f>
        <v>19339</v>
      </c>
      <c r="AA2517" s="6">
        <f ca="1">SUBTOTAL(9,INDEX(Main[بدهی تسویه نشده (کیلوگرم)],1):Main[[#This Row],[بدهی تسویه نشده (کیلوگرم)]])</f>
        <v>24481</v>
      </c>
      <c r="AB2517" s="6">
        <f ca="1">IF(Main[[#This Row],[مانده در خط تسویه نشده (کیلوگرم)]]&lt;&gt;0,Main[[#This Row],[تعداد کل روزهای بدهکار (روز)]],0)</f>
        <v>1</v>
      </c>
      <c r="AC2517" s="6">
        <f ca="1">Main[[#This Row],[تعداد روزهای بدهکار  تسویه نشده (روز)]]*Main[[#This Row],[مانده در خط تسویه نشده (کیلوگرم)]]</f>
        <v>24481</v>
      </c>
      <c r="AD2517" s="6">
        <f ca="1">SUBTOTAL(9,INDEX(Main[بدهی سررسید شده (کیلوگرم)],1):Main[[#This Row],[بدهی سررسید شده (کیلوگرم)]])</f>
        <v>24481</v>
      </c>
      <c r="AE2517" s="6">
        <f ca="1">IF(Main[[#This Row],[مانده در خط سررسید شده (کیلوگرم)]]&lt;&gt;0,Main[[#This Row],[تعداد کل روزهای بدهکار (روز)]],0)</f>
        <v>1</v>
      </c>
      <c r="AF2517" s="6">
        <f ca="1">Main[[#This Row],[تعداد روزهای بدهکار سررسید شده (روز)]]*Main[[#This Row],[مانده در خط سررسید شده (کیلوگرم)]]</f>
        <v>24481</v>
      </c>
    </row>
    <row r="2518" spans="1:32" hidden="1" x14ac:dyDescent="0.35">
      <c r="A2518" s="5">
        <f>ROW()-ROW(INDEX(Main[ردیف],1))+1</f>
        <v>2516</v>
      </c>
      <c r="B2518" s="31">
        <f>SUBTOTAL(2,INDEX(Main[ردیف],1):Main[[#This Row],[ردیف]])</f>
        <v>226</v>
      </c>
      <c r="C2518" s="32" t="s">
        <v>811</v>
      </c>
      <c r="D2518" s="32" t="str">
        <f>_xlfn.CONCAT("14",Main[[#This Row],[تاريخ]])</f>
        <v>1400/09/23</v>
      </c>
      <c r="E2518" s="33">
        <v>44544</v>
      </c>
      <c r="F2518" s="32">
        <v>10055</v>
      </c>
      <c r="G2518" s="5" t="str">
        <f>INDEX(customer[عنوان],MATCH(Main[[#This Row],[کد ردیابی]],customer[کد],0))</f>
        <v xml:space="preserve">مریم فیض آبادی  </v>
      </c>
      <c r="H2518">
        <v>-1132</v>
      </c>
      <c r="I2518" s="6">
        <f ca="1">-Main[[#This Row],[بدهی تسویه شده (کیلوگرم)]]+Main[[#This Row],[بستانکار (کیلوگرم)]]</f>
        <v>0</v>
      </c>
      <c r="J2518" s="6">
        <f>IF(Main[[#This Row],[مقدار (کیلوگرم)]]&gt;0,Main[[#This Row],[مقدار (کیلوگرم)]],0)</f>
        <v>0</v>
      </c>
      <c r="K2518" s="6">
        <f>-IF(Main[[#This Row],[مقدار (کیلوگرم)]]&lt;0,Main[[#This Row],[مقدار (کیلوگرم)]],0)</f>
        <v>1132</v>
      </c>
      <c r="L25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1132</v>
      </c>
      <c r="M2518" s="7">
        <f>-IF(AND(Main[[#This Row],[مقدار (کیلوگرم)]]&lt;0,Main[[#This Row],[تاريخ میلادی]]&gt;44276),Main[[#This Row],[مقدار (کیلوگرم)]],0)</f>
        <v>1132</v>
      </c>
      <c r="N2518" s="6">
        <f ca="1">Main[[#This Row],[بدهکار (کیلوگرم)]]-Main[[#This Row],[بدهی تسویه نشده (کیلوگرم)]]</f>
        <v>0</v>
      </c>
      <c r="O2518" s="6">
        <f ca="1">Main[[#This Row],[تفکیک]]</f>
        <v>1132</v>
      </c>
      <c r="P2518" s="6">
        <f ca="1">IF(Main[[#This Row],[تاخیر از سررسید]]&gt;0,Main[[#This Row],[بدهی تسویه نشده (کیلوگرم)]],0)</f>
        <v>1132</v>
      </c>
      <c r="Q2518" s="6">
        <f ca="1">IF(Main[[#This Row],[بدهی تسویه نشده (کیلوگرم)]]&gt;0,'گزارش فردی'!$B$7-Main[[#This Row],[تاريخ میلادی]],0)</f>
        <v>918.75374085648218</v>
      </c>
      <c r="R2518" s="6">
        <f ca="1">IF(Main[[#This Row],[بدهی تسویه نشده (کیلوگرم)]]&gt;0,'گزارش فردی'!$B$7-Main[[#This Row],[تاريخ میلادی]]-'گزارش فردی'!$B$8,0)</f>
        <v>903.75374085648218</v>
      </c>
      <c r="S2518" s="6">
        <f ca="1">Main[[#This Row],[روز از ارسال سفارش]]*Main[[#This Row],[بدهی تسویه نشده (کیلوگرم)]]</f>
        <v>1040029.2346495378</v>
      </c>
      <c r="T2518" s="6">
        <f ca="1">Main[[#This Row],[بدهی سررسید شده (کیلوگرم)]]*Main[[#This Row],[روز از ارسال سفارش]]</f>
        <v>1040029.2346495378</v>
      </c>
      <c r="U2518" s="6">
        <f>-SUBTOTAL(9,INDEX(Main[مقدار (کیلوگرم)],1):Main[[#This Row],[مقدار (کیلوگرم)]])</f>
        <v>43820</v>
      </c>
      <c r="V25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8" s="6">
        <f>Main[[#This Row],[تعداد کل روزهای بدهکار (روز)]]*Main[[#This Row],[مانده در خط کل (کیلوگرم)]]</f>
        <v>43820</v>
      </c>
      <c r="X2518" s="6">
        <f ca="1">-SUBTOTAL(9,INDEX(Main[مقدار تسویه شده (کیلوگرم)],1):Main[[#This Row],[مقدار تسویه شده (کیلوگرم)]])</f>
        <v>19339</v>
      </c>
      <c r="Y2518" s="6">
        <f ca="1">IF(Main[[#This Row],[مانده در خط تسویه شده (کیلوگرم)]]&lt;&gt;0,Main[[#This Row],[تعداد کل روزهای بدهکار (روز)]],0)</f>
        <v>1</v>
      </c>
      <c r="Z2518" s="6">
        <f ca="1">Main[[#This Row],[تعداد روزهای بدهکار تسویه شده (روز)]]*Main[[#This Row],[مانده در خط تسویه شده (کیلوگرم)]]</f>
        <v>19339</v>
      </c>
      <c r="AA2518" s="6">
        <f ca="1">SUBTOTAL(9,INDEX(Main[بدهی تسویه نشده (کیلوگرم)],1):Main[[#This Row],[بدهی تسویه نشده (کیلوگرم)]])</f>
        <v>24481</v>
      </c>
      <c r="AB2518" s="6">
        <f ca="1">IF(Main[[#This Row],[مانده در خط تسویه نشده (کیلوگرم)]]&lt;&gt;0,Main[[#This Row],[تعداد کل روزهای بدهکار (روز)]],0)</f>
        <v>1</v>
      </c>
      <c r="AC2518" s="6">
        <f ca="1">Main[[#This Row],[تعداد روزهای بدهکار  تسویه نشده (روز)]]*Main[[#This Row],[مانده در خط تسویه نشده (کیلوگرم)]]</f>
        <v>24481</v>
      </c>
      <c r="AD2518" s="6">
        <f ca="1">SUBTOTAL(9,INDEX(Main[بدهی سررسید شده (کیلوگرم)],1):Main[[#This Row],[بدهی سررسید شده (کیلوگرم)]])</f>
        <v>24481</v>
      </c>
      <c r="AE2518" s="6">
        <f ca="1">IF(Main[[#This Row],[مانده در خط سررسید شده (کیلوگرم)]]&lt;&gt;0,Main[[#This Row],[تعداد کل روزهای بدهکار (روز)]],0)</f>
        <v>1</v>
      </c>
      <c r="AF2518" s="6">
        <f ca="1">Main[[#This Row],[تعداد روزهای بدهکار سررسید شده (روز)]]*Main[[#This Row],[مانده در خط سررسید شده (کیلوگرم)]]</f>
        <v>24481</v>
      </c>
    </row>
    <row r="2519" spans="1:32" hidden="1" x14ac:dyDescent="0.35">
      <c r="A2519" s="5">
        <f>ROW()-ROW(INDEX(Main[ردیف],1))+1</f>
        <v>2517</v>
      </c>
      <c r="B2519" s="31">
        <f>SUBTOTAL(2,INDEX(Main[ردیف],1):Main[[#This Row],[ردیف]])</f>
        <v>226</v>
      </c>
      <c r="C2519" s="32" t="s">
        <v>812</v>
      </c>
      <c r="D2519" s="32" t="str">
        <f>_xlfn.CONCAT("14",Main[[#This Row],[تاريخ]])</f>
        <v>1400/09/24</v>
      </c>
      <c r="E2519" s="33">
        <v>44545</v>
      </c>
      <c r="F2519" s="32">
        <v>10084</v>
      </c>
      <c r="G2519" s="5" t="str">
        <f>INDEX(customer[عنوان],MATCH(Main[[#This Row],[کد ردیابی]],customer[کد],0))</f>
        <v xml:space="preserve">سیدحمید کاظمی </v>
      </c>
      <c r="H2519">
        <v>180</v>
      </c>
      <c r="I2519" s="6">
        <f ca="1">-Main[[#This Row],[بدهی تسویه شده (کیلوگرم)]]+Main[[#This Row],[بستانکار (کیلوگرم)]]</f>
        <v>180</v>
      </c>
      <c r="J2519" s="6">
        <f>IF(Main[[#This Row],[مقدار (کیلوگرم)]]&gt;0,Main[[#This Row],[مقدار (کیلوگرم)]],0)</f>
        <v>180</v>
      </c>
      <c r="K2519" s="6">
        <f>-IF(Main[[#This Row],[مقدار (کیلوگرم)]]&lt;0,Main[[#This Row],[مقدار (کیلوگرم)]],0)</f>
        <v>0</v>
      </c>
      <c r="L25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9" s="7">
        <f>-IF(AND(Main[[#This Row],[مقدار (کیلوگرم)]]&lt;0,Main[[#This Row],[تاريخ میلادی]]&gt;44276),Main[[#This Row],[مقدار (کیلوگرم)]],0)</f>
        <v>0</v>
      </c>
      <c r="N2519" s="6">
        <f ca="1">Main[[#This Row],[بدهکار (کیلوگرم)]]-Main[[#This Row],[بدهی تسویه نشده (کیلوگرم)]]</f>
        <v>0</v>
      </c>
      <c r="O2519" s="6">
        <f ca="1">Main[[#This Row],[تفکیک]]</f>
        <v>0</v>
      </c>
      <c r="P2519" s="6">
        <f ca="1">IF(Main[[#This Row],[تاخیر از سررسید]]&gt;0,Main[[#This Row],[بدهی تسویه نشده (کیلوگرم)]],0)</f>
        <v>0</v>
      </c>
      <c r="Q2519" s="6">
        <f ca="1">IF(Main[[#This Row],[بدهی تسویه نشده (کیلوگرم)]]&gt;0,'گزارش فردی'!$B$7-Main[[#This Row],[تاريخ میلادی]],0)</f>
        <v>0</v>
      </c>
      <c r="R2519" s="6">
        <f ca="1">IF(Main[[#This Row],[بدهی تسویه نشده (کیلوگرم)]]&gt;0,'گزارش فردی'!$B$7-Main[[#This Row],[تاريخ میلادی]]-'گزارش فردی'!$B$8,0)</f>
        <v>0</v>
      </c>
      <c r="S2519" s="6">
        <f ca="1">Main[[#This Row],[روز از ارسال سفارش]]*Main[[#This Row],[بدهی تسویه نشده (کیلوگرم)]]</f>
        <v>0</v>
      </c>
      <c r="T2519" s="6">
        <f ca="1">Main[[#This Row],[بدهی سررسید شده (کیلوگرم)]]*Main[[#This Row],[روز از ارسال سفارش]]</f>
        <v>0</v>
      </c>
      <c r="U2519" s="6">
        <f>-SUBTOTAL(9,INDEX(Main[مقدار (کیلوگرم)],1):Main[[#This Row],[مقدار (کیلوگرم)]])</f>
        <v>43820</v>
      </c>
      <c r="V25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9" s="6">
        <f>Main[[#This Row],[تعداد کل روزهای بدهکار (روز)]]*Main[[#This Row],[مانده در خط کل (کیلوگرم)]]</f>
        <v>0</v>
      </c>
      <c r="X2519" s="6">
        <f ca="1">-SUBTOTAL(9,INDEX(Main[مقدار تسویه شده (کیلوگرم)],1):Main[[#This Row],[مقدار تسویه شده (کیلوگرم)]])</f>
        <v>19339</v>
      </c>
      <c r="Y2519" s="6">
        <f ca="1">IF(Main[[#This Row],[مانده در خط تسویه شده (کیلوگرم)]]&lt;&gt;0,Main[[#This Row],[تعداد کل روزهای بدهکار (روز)]],0)</f>
        <v>0</v>
      </c>
      <c r="Z2519" s="6">
        <f ca="1">Main[[#This Row],[تعداد روزهای بدهکار تسویه شده (روز)]]*Main[[#This Row],[مانده در خط تسویه شده (کیلوگرم)]]</f>
        <v>0</v>
      </c>
      <c r="AA2519" s="6">
        <f ca="1">SUBTOTAL(9,INDEX(Main[بدهی تسویه نشده (کیلوگرم)],1):Main[[#This Row],[بدهی تسویه نشده (کیلوگرم)]])</f>
        <v>24481</v>
      </c>
      <c r="AB2519" s="6">
        <f ca="1">IF(Main[[#This Row],[مانده در خط تسویه نشده (کیلوگرم)]]&lt;&gt;0,Main[[#This Row],[تعداد کل روزهای بدهکار (روز)]],0)</f>
        <v>0</v>
      </c>
      <c r="AC2519" s="6">
        <f ca="1">Main[[#This Row],[تعداد روزهای بدهکار  تسویه نشده (روز)]]*Main[[#This Row],[مانده در خط تسویه نشده (کیلوگرم)]]</f>
        <v>0</v>
      </c>
      <c r="AD2519" s="6">
        <f ca="1">SUBTOTAL(9,INDEX(Main[بدهی سررسید شده (کیلوگرم)],1):Main[[#This Row],[بدهی سررسید شده (کیلوگرم)]])</f>
        <v>24481</v>
      </c>
      <c r="AE2519" s="6">
        <f ca="1">IF(Main[[#This Row],[مانده در خط سررسید شده (کیلوگرم)]]&lt;&gt;0,Main[[#This Row],[تعداد کل روزهای بدهکار (روز)]],0)</f>
        <v>0</v>
      </c>
      <c r="AF2519" s="6">
        <f ca="1">Main[[#This Row],[تعداد روزهای بدهکار سررسید شده (روز)]]*Main[[#This Row],[مانده در خط سررسید شده (کیلوگرم)]]</f>
        <v>0</v>
      </c>
    </row>
    <row r="2520" spans="1:32" hidden="1" x14ac:dyDescent="0.35">
      <c r="A2520" s="5">
        <f>ROW()-ROW(INDEX(Main[ردیف],1))+1</f>
        <v>2518</v>
      </c>
      <c r="B2520" s="31">
        <f>SUBTOTAL(2,INDEX(Main[ردیف],1):Main[[#This Row],[ردیف]])</f>
        <v>226</v>
      </c>
      <c r="C2520" s="32" t="s">
        <v>812</v>
      </c>
      <c r="D2520" s="32" t="str">
        <f>_xlfn.CONCAT("14",Main[[#This Row],[تاريخ]])</f>
        <v>1400/09/24</v>
      </c>
      <c r="E2520" s="33">
        <v>44545</v>
      </c>
      <c r="F2520" s="32">
        <v>30160</v>
      </c>
      <c r="G2520" s="5" t="str">
        <f>INDEX(customer[عنوان],MATCH(Main[[#This Row],[کد ردیابی]],customer[کد],0))</f>
        <v>کیان صنعت</v>
      </c>
      <c r="H2520">
        <v>-272</v>
      </c>
      <c r="I2520" s="6">
        <f ca="1">-Main[[#This Row],[بدهی تسویه شده (کیلوگرم)]]+Main[[#This Row],[بستانکار (کیلوگرم)]]</f>
        <v>0</v>
      </c>
      <c r="J2520" s="6">
        <f>IF(Main[[#This Row],[مقدار (کیلوگرم)]]&gt;0,Main[[#This Row],[مقدار (کیلوگرم)]],0)</f>
        <v>0</v>
      </c>
      <c r="K2520" s="6">
        <f>-IF(Main[[#This Row],[مقدار (کیلوگرم)]]&lt;0,Main[[#This Row],[مقدار (کیلوگرم)]],0)</f>
        <v>272</v>
      </c>
      <c r="L25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272</v>
      </c>
      <c r="M2520" s="7">
        <f>-IF(AND(Main[[#This Row],[مقدار (کیلوگرم)]]&lt;0,Main[[#This Row],[تاريخ میلادی]]&gt;44276),Main[[#This Row],[مقدار (کیلوگرم)]],0)</f>
        <v>272</v>
      </c>
      <c r="N2520" s="6">
        <f ca="1">Main[[#This Row],[بدهکار (کیلوگرم)]]-Main[[#This Row],[بدهی تسویه نشده (کیلوگرم)]]</f>
        <v>0</v>
      </c>
      <c r="O2520" s="6">
        <f ca="1">Main[[#This Row],[تفکیک]]</f>
        <v>272</v>
      </c>
      <c r="P2520" s="6">
        <f ca="1">IF(Main[[#This Row],[تاخیر از سررسید]]&gt;0,Main[[#This Row],[بدهی تسویه نشده (کیلوگرم)]],0)</f>
        <v>272</v>
      </c>
      <c r="Q2520" s="6">
        <f ca="1">IF(Main[[#This Row],[بدهی تسویه نشده (کیلوگرم)]]&gt;0,'گزارش فردی'!$B$7-Main[[#This Row],[تاريخ میلادی]],0)</f>
        <v>917.75374085648218</v>
      </c>
      <c r="R2520" s="6">
        <f ca="1">IF(Main[[#This Row],[بدهی تسویه نشده (کیلوگرم)]]&gt;0,'گزارش فردی'!$B$7-Main[[#This Row],[تاريخ میلادی]]-'گزارش فردی'!$B$8,0)</f>
        <v>902.75374085648218</v>
      </c>
      <c r="S2520" s="6">
        <f ca="1">Main[[#This Row],[روز از ارسال سفارش]]*Main[[#This Row],[بدهی تسویه نشده (کیلوگرم)]]</f>
        <v>249629.01751296315</v>
      </c>
      <c r="T2520" s="6">
        <f ca="1">Main[[#This Row],[بدهی سررسید شده (کیلوگرم)]]*Main[[#This Row],[روز از ارسال سفارش]]</f>
        <v>249629.01751296315</v>
      </c>
      <c r="U2520" s="6">
        <f>-SUBTOTAL(9,INDEX(Main[مقدار (کیلوگرم)],1):Main[[#This Row],[مقدار (کیلوگرم)]])</f>
        <v>43820</v>
      </c>
      <c r="V25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0" s="6">
        <f>Main[[#This Row],[تعداد کل روزهای بدهکار (روز)]]*Main[[#This Row],[مانده در خط کل (کیلوگرم)]]</f>
        <v>0</v>
      </c>
      <c r="X2520" s="6">
        <f ca="1">-SUBTOTAL(9,INDEX(Main[مقدار تسویه شده (کیلوگرم)],1):Main[[#This Row],[مقدار تسویه شده (کیلوگرم)]])</f>
        <v>19339</v>
      </c>
      <c r="Y2520" s="6">
        <f ca="1">IF(Main[[#This Row],[مانده در خط تسویه شده (کیلوگرم)]]&lt;&gt;0,Main[[#This Row],[تعداد کل روزهای بدهکار (روز)]],0)</f>
        <v>0</v>
      </c>
      <c r="Z2520" s="6">
        <f ca="1">Main[[#This Row],[تعداد روزهای بدهکار تسویه شده (روز)]]*Main[[#This Row],[مانده در خط تسویه شده (کیلوگرم)]]</f>
        <v>0</v>
      </c>
      <c r="AA2520" s="6">
        <f ca="1">SUBTOTAL(9,INDEX(Main[بدهی تسویه نشده (کیلوگرم)],1):Main[[#This Row],[بدهی تسویه نشده (کیلوگرم)]])</f>
        <v>24481</v>
      </c>
      <c r="AB2520" s="6">
        <f ca="1">IF(Main[[#This Row],[مانده در خط تسویه نشده (کیلوگرم)]]&lt;&gt;0,Main[[#This Row],[تعداد کل روزهای بدهکار (روز)]],0)</f>
        <v>0</v>
      </c>
      <c r="AC2520" s="6">
        <f ca="1">Main[[#This Row],[تعداد روزهای بدهکار  تسویه نشده (روز)]]*Main[[#This Row],[مانده در خط تسویه نشده (کیلوگرم)]]</f>
        <v>0</v>
      </c>
      <c r="AD2520" s="6">
        <f ca="1">SUBTOTAL(9,INDEX(Main[بدهی سررسید شده (کیلوگرم)],1):Main[[#This Row],[بدهی سررسید شده (کیلوگرم)]])</f>
        <v>24481</v>
      </c>
      <c r="AE2520" s="6">
        <f ca="1">IF(Main[[#This Row],[مانده در خط سررسید شده (کیلوگرم)]]&lt;&gt;0,Main[[#This Row],[تعداد کل روزهای بدهکار (روز)]],0)</f>
        <v>0</v>
      </c>
      <c r="AF2520" s="6">
        <f ca="1">Main[[#This Row],[تعداد روزهای بدهکار سررسید شده (روز)]]*Main[[#This Row],[مانده در خط سررسید شده (کیلوگرم)]]</f>
        <v>0</v>
      </c>
    </row>
    <row r="2521" spans="1:32" hidden="1" x14ac:dyDescent="0.35">
      <c r="A2521" s="5">
        <f>ROW()-ROW(INDEX(Main[ردیف],1))+1</f>
        <v>2519</v>
      </c>
      <c r="B2521" s="31">
        <f>SUBTOTAL(2,INDEX(Main[ردیف],1):Main[[#This Row],[ردیف]])</f>
        <v>226</v>
      </c>
      <c r="C2521" s="32" t="s">
        <v>812</v>
      </c>
      <c r="D2521" s="32" t="str">
        <f>_xlfn.CONCAT("14",Main[[#This Row],[تاريخ]])</f>
        <v>1400/09/24</v>
      </c>
      <c r="E2521" s="33">
        <v>44545</v>
      </c>
      <c r="F2521" s="32">
        <v>10055</v>
      </c>
      <c r="G2521" s="5" t="str">
        <f>INDEX(customer[عنوان],MATCH(Main[[#This Row],[کد ردیابی]],customer[کد],0))</f>
        <v xml:space="preserve">مریم فیض آبادی  </v>
      </c>
      <c r="H2521">
        <v>7480</v>
      </c>
      <c r="I2521" s="6">
        <f ca="1">-Main[[#This Row],[بدهی تسویه شده (کیلوگرم)]]+Main[[#This Row],[بستانکار (کیلوگرم)]]</f>
        <v>7480</v>
      </c>
      <c r="J2521" s="6">
        <f>IF(Main[[#This Row],[مقدار (کیلوگرم)]]&gt;0,Main[[#This Row],[مقدار (کیلوگرم)]],0)</f>
        <v>7480</v>
      </c>
      <c r="K2521" s="6">
        <f>-IF(Main[[#This Row],[مقدار (کیلوگرم)]]&lt;0,Main[[#This Row],[مقدار (کیلوگرم)]],0)</f>
        <v>0</v>
      </c>
      <c r="L25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1" s="7">
        <f>-IF(AND(Main[[#This Row],[مقدار (کیلوگرم)]]&lt;0,Main[[#This Row],[تاريخ میلادی]]&gt;44276),Main[[#This Row],[مقدار (کیلوگرم)]],0)</f>
        <v>0</v>
      </c>
      <c r="N2521" s="6">
        <f ca="1">Main[[#This Row],[بدهکار (کیلوگرم)]]-Main[[#This Row],[بدهی تسویه نشده (کیلوگرم)]]</f>
        <v>0</v>
      </c>
      <c r="O2521" s="6">
        <f ca="1">Main[[#This Row],[تفکیک]]</f>
        <v>0</v>
      </c>
      <c r="P2521" s="6">
        <f ca="1">IF(Main[[#This Row],[تاخیر از سررسید]]&gt;0,Main[[#This Row],[بدهی تسویه نشده (کیلوگرم)]],0)</f>
        <v>0</v>
      </c>
      <c r="Q2521" s="6">
        <f ca="1">IF(Main[[#This Row],[بدهی تسویه نشده (کیلوگرم)]]&gt;0,'گزارش فردی'!$B$7-Main[[#This Row],[تاريخ میلادی]],0)</f>
        <v>0</v>
      </c>
      <c r="R2521" s="6">
        <f ca="1">IF(Main[[#This Row],[بدهی تسویه نشده (کیلوگرم)]]&gt;0,'گزارش فردی'!$B$7-Main[[#This Row],[تاريخ میلادی]]-'گزارش فردی'!$B$8,0)</f>
        <v>0</v>
      </c>
      <c r="S2521" s="6">
        <f ca="1">Main[[#This Row],[روز از ارسال سفارش]]*Main[[#This Row],[بدهی تسویه نشده (کیلوگرم)]]</f>
        <v>0</v>
      </c>
      <c r="T2521" s="6">
        <f ca="1">Main[[#This Row],[بدهی سررسید شده (کیلوگرم)]]*Main[[#This Row],[روز از ارسال سفارش]]</f>
        <v>0</v>
      </c>
      <c r="U2521" s="6">
        <f>-SUBTOTAL(9,INDEX(Main[مقدار (کیلوگرم)],1):Main[[#This Row],[مقدار (کیلوگرم)]])</f>
        <v>43820</v>
      </c>
      <c r="V25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1" s="6">
        <f>Main[[#This Row],[تعداد کل روزهای بدهکار (روز)]]*Main[[#This Row],[مانده در خط کل (کیلوگرم)]]</f>
        <v>0</v>
      </c>
      <c r="X2521" s="6">
        <f ca="1">-SUBTOTAL(9,INDEX(Main[مقدار تسویه شده (کیلوگرم)],1):Main[[#This Row],[مقدار تسویه شده (کیلوگرم)]])</f>
        <v>19339</v>
      </c>
      <c r="Y2521" s="6">
        <f ca="1">IF(Main[[#This Row],[مانده در خط تسویه شده (کیلوگرم)]]&lt;&gt;0,Main[[#This Row],[تعداد کل روزهای بدهکار (روز)]],0)</f>
        <v>0</v>
      </c>
      <c r="Z2521" s="6">
        <f ca="1">Main[[#This Row],[تعداد روزهای بدهکار تسویه شده (روز)]]*Main[[#This Row],[مانده در خط تسویه شده (کیلوگرم)]]</f>
        <v>0</v>
      </c>
      <c r="AA2521" s="6">
        <f ca="1">SUBTOTAL(9,INDEX(Main[بدهی تسویه نشده (کیلوگرم)],1):Main[[#This Row],[بدهی تسویه نشده (کیلوگرم)]])</f>
        <v>24481</v>
      </c>
      <c r="AB2521" s="6">
        <f ca="1">IF(Main[[#This Row],[مانده در خط تسویه نشده (کیلوگرم)]]&lt;&gt;0,Main[[#This Row],[تعداد کل روزهای بدهکار (روز)]],0)</f>
        <v>0</v>
      </c>
      <c r="AC2521" s="6">
        <f ca="1">Main[[#This Row],[تعداد روزهای بدهکار  تسویه نشده (روز)]]*Main[[#This Row],[مانده در خط تسویه نشده (کیلوگرم)]]</f>
        <v>0</v>
      </c>
      <c r="AD2521" s="6">
        <f ca="1">SUBTOTAL(9,INDEX(Main[بدهی سررسید شده (کیلوگرم)],1):Main[[#This Row],[بدهی سررسید شده (کیلوگرم)]])</f>
        <v>24481</v>
      </c>
      <c r="AE2521" s="6">
        <f ca="1">IF(Main[[#This Row],[مانده در خط سررسید شده (کیلوگرم)]]&lt;&gt;0,Main[[#This Row],[تعداد کل روزهای بدهکار (روز)]],0)</f>
        <v>0</v>
      </c>
      <c r="AF2521" s="6">
        <f ca="1">Main[[#This Row],[تعداد روزهای بدهکار سررسید شده (روز)]]*Main[[#This Row],[مانده در خط سررسید شده (کیلوگرم)]]</f>
        <v>0</v>
      </c>
    </row>
    <row r="2522" spans="1:32" hidden="1" x14ac:dyDescent="0.35">
      <c r="A2522" s="5">
        <f>ROW()-ROW(INDEX(Main[ردیف],1))+1</f>
        <v>2520</v>
      </c>
      <c r="B2522" s="31">
        <f>SUBTOTAL(2,INDEX(Main[ردیف],1):Main[[#This Row],[ردیف]])</f>
        <v>226</v>
      </c>
      <c r="C2522" s="32" t="s">
        <v>812</v>
      </c>
      <c r="D2522" s="32" t="str">
        <f>_xlfn.CONCAT("14",Main[[#This Row],[تاريخ]])</f>
        <v>1400/09/24</v>
      </c>
      <c r="E2522" s="33">
        <v>44545</v>
      </c>
      <c r="F2522" s="32">
        <v>30186</v>
      </c>
      <c r="G2522" s="5" t="str">
        <f>INDEX(customer[عنوان],MATCH(Main[[#This Row],[کد ردیابی]],customer[کد],0))</f>
        <v>سارا گاز</v>
      </c>
      <c r="H2522">
        <v>-1976</v>
      </c>
      <c r="I2522" s="6">
        <f ca="1">-Main[[#This Row],[بدهی تسویه شده (کیلوگرم)]]+Main[[#This Row],[بستانکار (کیلوگرم)]]</f>
        <v>0</v>
      </c>
      <c r="J2522" s="6">
        <f>IF(Main[[#This Row],[مقدار (کیلوگرم)]]&gt;0,Main[[#This Row],[مقدار (کیلوگرم)]],0)</f>
        <v>0</v>
      </c>
      <c r="K2522" s="6">
        <f>-IF(Main[[#This Row],[مقدار (کیلوگرم)]]&lt;0,Main[[#This Row],[مقدار (کیلوگرم)]],0)</f>
        <v>1976</v>
      </c>
      <c r="L25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1976</v>
      </c>
      <c r="M2522" s="7">
        <f>-IF(AND(Main[[#This Row],[مقدار (کیلوگرم)]]&lt;0,Main[[#This Row],[تاريخ میلادی]]&gt;44276),Main[[#This Row],[مقدار (کیلوگرم)]],0)</f>
        <v>1976</v>
      </c>
      <c r="N2522" s="6">
        <f ca="1">Main[[#This Row],[بدهکار (کیلوگرم)]]-Main[[#This Row],[بدهی تسویه نشده (کیلوگرم)]]</f>
        <v>0</v>
      </c>
      <c r="O2522" s="6">
        <f ca="1">Main[[#This Row],[تفکیک]]</f>
        <v>1976</v>
      </c>
      <c r="P2522" s="6">
        <f ca="1">IF(Main[[#This Row],[تاخیر از سررسید]]&gt;0,Main[[#This Row],[بدهی تسویه نشده (کیلوگرم)]],0)</f>
        <v>1976</v>
      </c>
      <c r="Q2522" s="6">
        <f ca="1">IF(Main[[#This Row],[بدهی تسویه نشده (کیلوگرم)]]&gt;0,'گزارش فردی'!$B$7-Main[[#This Row],[تاريخ میلادی]],0)</f>
        <v>917.75374085648218</v>
      </c>
      <c r="R2522" s="6">
        <f ca="1">IF(Main[[#This Row],[بدهی تسویه نشده (کیلوگرم)]]&gt;0,'گزارش فردی'!$B$7-Main[[#This Row],[تاريخ میلادی]]-'گزارش فردی'!$B$8,0)</f>
        <v>902.75374085648218</v>
      </c>
      <c r="S2522" s="6">
        <f ca="1">Main[[#This Row],[روز از ارسال سفارش]]*Main[[#This Row],[بدهی تسویه نشده (کیلوگرم)]]</f>
        <v>1813481.3919324088</v>
      </c>
      <c r="T2522" s="6">
        <f ca="1">Main[[#This Row],[بدهی سررسید شده (کیلوگرم)]]*Main[[#This Row],[روز از ارسال سفارش]]</f>
        <v>1813481.3919324088</v>
      </c>
      <c r="U2522" s="6">
        <f>-SUBTOTAL(9,INDEX(Main[مقدار (کیلوگرم)],1):Main[[#This Row],[مقدار (کیلوگرم)]])</f>
        <v>43820</v>
      </c>
      <c r="V25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2" s="6">
        <f>Main[[#This Row],[تعداد کل روزهای بدهکار (روز)]]*Main[[#This Row],[مانده در خط کل (کیلوگرم)]]</f>
        <v>0</v>
      </c>
      <c r="X2522" s="6">
        <f ca="1">-SUBTOTAL(9,INDEX(Main[مقدار تسویه شده (کیلوگرم)],1):Main[[#This Row],[مقدار تسویه شده (کیلوگرم)]])</f>
        <v>19339</v>
      </c>
      <c r="Y2522" s="6">
        <f ca="1">IF(Main[[#This Row],[مانده در خط تسویه شده (کیلوگرم)]]&lt;&gt;0,Main[[#This Row],[تعداد کل روزهای بدهکار (روز)]],0)</f>
        <v>0</v>
      </c>
      <c r="Z2522" s="6">
        <f ca="1">Main[[#This Row],[تعداد روزهای بدهکار تسویه شده (روز)]]*Main[[#This Row],[مانده در خط تسویه شده (کیلوگرم)]]</f>
        <v>0</v>
      </c>
      <c r="AA2522" s="6">
        <f ca="1">SUBTOTAL(9,INDEX(Main[بدهی تسویه نشده (کیلوگرم)],1):Main[[#This Row],[بدهی تسویه نشده (کیلوگرم)]])</f>
        <v>24481</v>
      </c>
      <c r="AB2522" s="6">
        <f ca="1">IF(Main[[#This Row],[مانده در خط تسویه نشده (کیلوگرم)]]&lt;&gt;0,Main[[#This Row],[تعداد کل روزهای بدهکار (روز)]],0)</f>
        <v>0</v>
      </c>
      <c r="AC2522" s="6">
        <f ca="1">Main[[#This Row],[تعداد روزهای بدهکار  تسویه نشده (روز)]]*Main[[#This Row],[مانده در خط تسویه نشده (کیلوگرم)]]</f>
        <v>0</v>
      </c>
      <c r="AD2522" s="6">
        <f ca="1">SUBTOTAL(9,INDEX(Main[بدهی سررسید شده (کیلوگرم)],1):Main[[#This Row],[بدهی سررسید شده (کیلوگرم)]])</f>
        <v>24481</v>
      </c>
      <c r="AE2522" s="6">
        <f ca="1">IF(Main[[#This Row],[مانده در خط سررسید شده (کیلوگرم)]]&lt;&gt;0,Main[[#This Row],[تعداد کل روزهای بدهکار (روز)]],0)</f>
        <v>0</v>
      </c>
      <c r="AF2522" s="6">
        <f ca="1">Main[[#This Row],[تعداد روزهای بدهکار سررسید شده (روز)]]*Main[[#This Row],[مانده در خط سررسید شده (کیلوگرم)]]</f>
        <v>0</v>
      </c>
    </row>
    <row r="2523" spans="1:32" x14ac:dyDescent="0.35">
      <c r="A2523" s="5">
        <f>ROW()-ROW(INDEX(Main[ردیف],1))+1</f>
        <v>2521</v>
      </c>
      <c r="B2523" s="31">
        <f>SUBTOTAL(2,INDEX(Main[ردیف],1):Main[[#This Row],[ردیف]])</f>
        <v>227</v>
      </c>
      <c r="C2523" s="32" t="s">
        <v>812</v>
      </c>
      <c r="D2523" s="32" t="str">
        <f>_xlfn.CONCAT("14",Main[[#This Row],[تاريخ]])</f>
        <v>1400/09/24</v>
      </c>
      <c r="E2523" s="33">
        <v>44545</v>
      </c>
      <c r="F2523" s="32">
        <v>10003</v>
      </c>
      <c r="G2523" s="5" t="str">
        <f>INDEX(customer[عنوان],MATCH(Main[[#This Row],[کد ردیابی]],customer[کد],0))</f>
        <v>اصغر نورعلی</v>
      </c>
      <c r="H2523">
        <v>2602</v>
      </c>
      <c r="I2523" s="6">
        <f ca="1">-Main[[#This Row],[بدهی تسویه شده (کیلوگرم)]]+Main[[#This Row],[بستانکار (کیلوگرم)]]</f>
        <v>2602</v>
      </c>
      <c r="J2523" s="6">
        <f>IF(Main[[#This Row],[مقدار (کیلوگرم)]]&gt;0,Main[[#This Row],[مقدار (کیلوگرم)]],0)</f>
        <v>2602</v>
      </c>
      <c r="K2523" s="6">
        <f>-IF(Main[[#This Row],[مقدار (کیلوگرم)]]&lt;0,Main[[#This Row],[مقدار (کیلوگرم)]],0)</f>
        <v>0</v>
      </c>
      <c r="L25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3" s="7">
        <f>-IF(AND(Main[[#This Row],[مقدار (کیلوگرم)]]&lt;0,Main[[#This Row],[تاريخ میلادی]]&gt;44276),Main[[#This Row],[مقدار (کیلوگرم)]],0)</f>
        <v>0</v>
      </c>
      <c r="N2523" s="6">
        <f ca="1">Main[[#This Row],[بدهکار (کیلوگرم)]]-Main[[#This Row],[بدهی تسویه نشده (کیلوگرم)]]</f>
        <v>0</v>
      </c>
      <c r="O2523" s="6">
        <f ca="1">Main[[#This Row],[تفکیک]]</f>
        <v>0</v>
      </c>
      <c r="P2523" s="6">
        <f ca="1">IF(Main[[#This Row],[تاخیر از سررسید]]&gt;0,Main[[#This Row],[بدهی تسویه نشده (کیلوگرم)]],0)</f>
        <v>0</v>
      </c>
      <c r="Q2523" s="6">
        <f ca="1">IF(Main[[#This Row],[بدهی تسویه نشده (کیلوگرم)]]&gt;0,'گزارش فردی'!$B$7-Main[[#This Row],[تاريخ میلادی]],0)</f>
        <v>0</v>
      </c>
      <c r="R2523" s="6">
        <f ca="1">IF(Main[[#This Row],[بدهی تسویه نشده (کیلوگرم)]]&gt;0,'گزارش فردی'!$B$7-Main[[#This Row],[تاريخ میلادی]]-'گزارش فردی'!$B$8,0)</f>
        <v>0</v>
      </c>
      <c r="S2523" s="6">
        <f ca="1">Main[[#This Row],[روز از ارسال سفارش]]*Main[[#This Row],[بدهی تسویه نشده (کیلوگرم)]]</f>
        <v>0</v>
      </c>
      <c r="T2523" s="6">
        <f ca="1">Main[[#This Row],[بدهی سررسید شده (کیلوگرم)]]*Main[[#This Row],[روز از ارسال سفارش]]</f>
        <v>0</v>
      </c>
      <c r="U2523" s="6">
        <f>-SUBTOTAL(9,INDEX(Main[مقدار (کیلوگرم)],1):Main[[#This Row],[مقدار (کیلوگرم)]])</f>
        <v>41218</v>
      </c>
      <c r="V25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3" s="6">
        <f>Main[[#This Row],[تعداد کل روزهای بدهکار (روز)]]*Main[[#This Row],[مانده در خط کل (کیلوگرم)]]</f>
        <v>0</v>
      </c>
      <c r="X2523" s="6">
        <f ca="1">-SUBTOTAL(9,INDEX(Main[مقدار تسویه شده (کیلوگرم)],1):Main[[#This Row],[مقدار تسویه شده (کیلوگرم)]])</f>
        <v>16737</v>
      </c>
      <c r="Y2523" s="6">
        <f ca="1">IF(Main[[#This Row],[مانده در خط تسویه شده (کیلوگرم)]]&lt;&gt;0,Main[[#This Row],[تعداد کل روزهای بدهکار (روز)]],0)</f>
        <v>0</v>
      </c>
      <c r="Z2523" s="6">
        <f ca="1">Main[[#This Row],[تعداد روزهای بدهکار تسویه شده (روز)]]*Main[[#This Row],[مانده در خط تسویه شده (کیلوگرم)]]</f>
        <v>0</v>
      </c>
      <c r="AA2523" s="6">
        <f ca="1">SUBTOTAL(9,INDEX(Main[بدهی تسویه نشده (کیلوگرم)],1):Main[[#This Row],[بدهی تسویه نشده (کیلوگرم)]])</f>
        <v>24481</v>
      </c>
      <c r="AB2523" s="6">
        <f ca="1">IF(Main[[#This Row],[مانده در خط تسویه نشده (کیلوگرم)]]&lt;&gt;0,Main[[#This Row],[تعداد کل روزهای بدهکار (روز)]],0)</f>
        <v>0</v>
      </c>
      <c r="AC2523" s="6">
        <f ca="1">Main[[#This Row],[تعداد روزهای بدهکار  تسویه نشده (روز)]]*Main[[#This Row],[مانده در خط تسویه نشده (کیلوگرم)]]</f>
        <v>0</v>
      </c>
      <c r="AD2523" s="6">
        <f ca="1">SUBTOTAL(9,INDEX(Main[بدهی سررسید شده (کیلوگرم)],1):Main[[#This Row],[بدهی سررسید شده (کیلوگرم)]])</f>
        <v>24481</v>
      </c>
      <c r="AE2523" s="6">
        <f ca="1">IF(Main[[#This Row],[مانده در خط سررسید شده (کیلوگرم)]]&lt;&gt;0,Main[[#This Row],[تعداد کل روزهای بدهکار (روز)]],0)</f>
        <v>0</v>
      </c>
      <c r="AF2523" s="6">
        <f ca="1">Main[[#This Row],[تعداد روزهای بدهکار سررسید شده (روز)]]*Main[[#This Row],[مانده در خط سررسید شده (کیلوگرم)]]</f>
        <v>0</v>
      </c>
    </row>
    <row r="2524" spans="1:32" hidden="1" x14ac:dyDescent="0.35">
      <c r="A2524" s="5">
        <f>ROW()-ROW(INDEX(Main[ردیف],1))+1</f>
        <v>2522</v>
      </c>
      <c r="B2524" s="31">
        <f>SUBTOTAL(2,INDEX(Main[ردیف],1):Main[[#This Row],[ردیف]])</f>
        <v>227</v>
      </c>
      <c r="C2524" s="32" t="s">
        <v>812</v>
      </c>
      <c r="D2524" s="32" t="str">
        <f>_xlfn.CONCAT("14",Main[[#This Row],[تاريخ]])</f>
        <v>1400/09/24</v>
      </c>
      <c r="E2524" s="33">
        <v>44545</v>
      </c>
      <c r="F2524" s="32">
        <v>30070</v>
      </c>
      <c r="G2524" s="5" t="str">
        <f>INDEX(customer[عنوان],MATCH(Main[[#This Row],[کد ردیابی]],customer[کد],0))</f>
        <v xml:space="preserve">تکنو تراش یادگار </v>
      </c>
      <c r="H2524">
        <v>-1848</v>
      </c>
      <c r="I2524" s="6">
        <f ca="1">-Main[[#This Row],[بدهی تسویه شده (کیلوگرم)]]+Main[[#This Row],[بستانکار (کیلوگرم)]]</f>
        <v>0</v>
      </c>
      <c r="J2524" s="6">
        <f>IF(Main[[#This Row],[مقدار (کیلوگرم)]]&gt;0,Main[[#This Row],[مقدار (کیلوگرم)]],0)</f>
        <v>0</v>
      </c>
      <c r="K2524" s="6">
        <f>-IF(Main[[#This Row],[مقدار (کیلوگرم)]]&lt;0,Main[[#This Row],[مقدار (کیلوگرم)]],0)</f>
        <v>1848</v>
      </c>
      <c r="L25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1848</v>
      </c>
      <c r="M2524" s="7">
        <f>-IF(AND(Main[[#This Row],[مقدار (کیلوگرم)]]&lt;0,Main[[#This Row],[تاريخ میلادی]]&gt;44276),Main[[#This Row],[مقدار (کیلوگرم)]],0)</f>
        <v>1848</v>
      </c>
      <c r="N2524" s="6">
        <f ca="1">Main[[#This Row],[بدهکار (کیلوگرم)]]-Main[[#This Row],[بدهی تسویه نشده (کیلوگرم)]]</f>
        <v>0</v>
      </c>
      <c r="O2524" s="6">
        <f ca="1">Main[[#This Row],[تفکیک]]</f>
        <v>1848</v>
      </c>
      <c r="P2524" s="6">
        <f ca="1">IF(Main[[#This Row],[تاخیر از سررسید]]&gt;0,Main[[#This Row],[بدهی تسویه نشده (کیلوگرم)]],0)</f>
        <v>1848</v>
      </c>
      <c r="Q2524" s="6">
        <f ca="1">IF(Main[[#This Row],[بدهی تسویه نشده (کیلوگرم)]]&gt;0,'گزارش فردی'!$B$7-Main[[#This Row],[تاريخ میلادی]],0)</f>
        <v>917.75374085648218</v>
      </c>
      <c r="R2524" s="6">
        <f ca="1">IF(Main[[#This Row],[بدهی تسویه نشده (کیلوگرم)]]&gt;0,'گزارش فردی'!$B$7-Main[[#This Row],[تاريخ میلادی]]-'گزارش فردی'!$B$8,0)</f>
        <v>902.75374085648218</v>
      </c>
      <c r="S2524" s="6">
        <f ca="1">Main[[#This Row],[روز از ارسال سفارش]]*Main[[#This Row],[بدهی تسویه نشده (کیلوگرم)]]</f>
        <v>1696008.9131027791</v>
      </c>
      <c r="T2524" s="6">
        <f ca="1">Main[[#This Row],[بدهی سررسید شده (کیلوگرم)]]*Main[[#This Row],[روز از ارسال سفارش]]</f>
        <v>1696008.9131027791</v>
      </c>
      <c r="U2524" s="6">
        <f>-SUBTOTAL(9,INDEX(Main[مقدار (کیلوگرم)],1):Main[[#This Row],[مقدار (کیلوگرم)]])</f>
        <v>41218</v>
      </c>
      <c r="V25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4" s="6">
        <f>Main[[#This Row],[تعداد کل روزهای بدهکار (روز)]]*Main[[#This Row],[مانده در خط کل (کیلوگرم)]]</f>
        <v>0</v>
      </c>
      <c r="X2524" s="6">
        <f ca="1">-SUBTOTAL(9,INDEX(Main[مقدار تسویه شده (کیلوگرم)],1):Main[[#This Row],[مقدار تسویه شده (کیلوگرم)]])</f>
        <v>16737</v>
      </c>
      <c r="Y2524" s="6">
        <f ca="1">IF(Main[[#This Row],[مانده در خط تسویه شده (کیلوگرم)]]&lt;&gt;0,Main[[#This Row],[تعداد کل روزهای بدهکار (روز)]],0)</f>
        <v>0</v>
      </c>
      <c r="Z2524" s="6">
        <f ca="1">Main[[#This Row],[تعداد روزهای بدهکار تسویه شده (روز)]]*Main[[#This Row],[مانده در خط تسویه شده (کیلوگرم)]]</f>
        <v>0</v>
      </c>
      <c r="AA2524" s="6">
        <f ca="1">SUBTOTAL(9,INDEX(Main[بدهی تسویه نشده (کیلوگرم)],1):Main[[#This Row],[بدهی تسویه نشده (کیلوگرم)]])</f>
        <v>24481</v>
      </c>
      <c r="AB2524" s="6">
        <f ca="1">IF(Main[[#This Row],[مانده در خط تسویه نشده (کیلوگرم)]]&lt;&gt;0,Main[[#This Row],[تعداد کل روزهای بدهکار (روز)]],0)</f>
        <v>0</v>
      </c>
      <c r="AC2524" s="6">
        <f ca="1">Main[[#This Row],[تعداد روزهای بدهکار  تسویه نشده (روز)]]*Main[[#This Row],[مانده در خط تسویه نشده (کیلوگرم)]]</f>
        <v>0</v>
      </c>
      <c r="AD2524" s="6">
        <f ca="1">SUBTOTAL(9,INDEX(Main[بدهی سررسید شده (کیلوگرم)],1):Main[[#This Row],[بدهی سررسید شده (کیلوگرم)]])</f>
        <v>24481</v>
      </c>
      <c r="AE2524" s="6">
        <f ca="1">IF(Main[[#This Row],[مانده در خط سررسید شده (کیلوگرم)]]&lt;&gt;0,Main[[#This Row],[تعداد کل روزهای بدهکار (روز)]],0)</f>
        <v>0</v>
      </c>
      <c r="AF2524" s="6">
        <f ca="1">Main[[#This Row],[تعداد روزهای بدهکار سررسید شده (روز)]]*Main[[#This Row],[مانده در خط سررسید شده (کیلوگرم)]]</f>
        <v>0</v>
      </c>
    </row>
    <row r="2525" spans="1:32" x14ac:dyDescent="0.35">
      <c r="A2525" s="5">
        <f>ROW()-ROW(INDEX(Main[ردیف],1))+1</f>
        <v>2523</v>
      </c>
      <c r="B2525" s="31">
        <f>SUBTOTAL(2,INDEX(Main[ردیف],1):Main[[#This Row],[ردیف]])</f>
        <v>228</v>
      </c>
      <c r="C2525" s="32" t="s">
        <v>812</v>
      </c>
      <c r="D2525" s="32" t="str">
        <f>_xlfn.CONCAT("14",Main[[#This Row],[تاريخ]])</f>
        <v>1400/09/24</v>
      </c>
      <c r="E2525" s="33">
        <v>44545</v>
      </c>
      <c r="F2525" s="32">
        <v>10003</v>
      </c>
      <c r="G2525" s="5" t="str">
        <f>INDEX(customer[عنوان],MATCH(Main[[#This Row],[کد ردیابی]],customer[کد],0))</f>
        <v>اصغر نورعلی</v>
      </c>
      <c r="H2525">
        <v>2457</v>
      </c>
      <c r="I2525" s="6">
        <f ca="1">-Main[[#This Row],[بدهی تسویه شده (کیلوگرم)]]+Main[[#This Row],[بستانکار (کیلوگرم)]]</f>
        <v>2457</v>
      </c>
      <c r="J2525" s="6">
        <f>IF(Main[[#This Row],[مقدار (کیلوگرم)]]&gt;0,Main[[#This Row],[مقدار (کیلوگرم)]],0)</f>
        <v>2457</v>
      </c>
      <c r="K2525" s="6">
        <f>-IF(Main[[#This Row],[مقدار (کیلوگرم)]]&lt;0,Main[[#This Row],[مقدار (کیلوگرم)]],0)</f>
        <v>0</v>
      </c>
      <c r="L25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5" s="7">
        <f>-IF(AND(Main[[#This Row],[مقدار (کیلوگرم)]]&lt;0,Main[[#This Row],[تاريخ میلادی]]&gt;44276),Main[[#This Row],[مقدار (کیلوگرم)]],0)</f>
        <v>0</v>
      </c>
      <c r="N2525" s="6">
        <f ca="1">Main[[#This Row],[بدهکار (کیلوگرم)]]-Main[[#This Row],[بدهی تسویه نشده (کیلوگرم)]]</f>
        <v>0</v>
      </c>
      <c r="O2525" s="6">
        <f ca="1">Main[[#This Row],[تفکیک]]</f>
        <v>0</v>
      </c>
      <c r="P2525" s="6">
        <f ca="1">IF(Main[[#This Row],[تاخیر از سررسید]]&gt;0,Main[[#This Row],[بدهی تسویه نشده (کیلوگرم)]],0)</f>
        <v>0</v>
      </c>
      <c r="Q2525" s="6">
        <f ca="1">IF(Main[[#This Row],[بدهی تسویه نشده (کیلوگرم)]]&gt;0,'گزارش فردی'!$B$7-Main[[#This Row],[تاريخ میلادی]],0)</f>
        <v>0</v>
      </c>
      <c r="R2525" s="6">
        <f ca="1">IF(Main[[#This Row],[بدهی تسویه نشده (کیلوگرم)]]&gt;0,'گزارش فردی'!$B$7-Main[[#This Row],[تاريخ میلادی]]-'گزارش فردی'!$B$8,0)</f>
        <v>0</v>
      </c>
      <c r="S2525" s="6">
        <f ca="1">Main[[#This Row],[روز از ارسال سفارش]]*Main[[#This Row],[بدهی تسویه نشده (کیلوگرم)]]</f>
        <v>0</v>
      </c>
      <c r="T2525" s="6">
        <f ca="1">Main[[#This Row],[بدهی سررسید شده (کیلوگرم)]]*Main[[#This Row],[روز از ارسال سفارش]]</f>
        <v>0</v>
      </c>
      <c r="U2525" s="6">
        <f>-SUBTOTAL(9,INDEX(Main[مقدار (کیلوگرم)],1):Main[[#This Row],[مقدار (کیلوگرم)]])</f>
        <v>38761</v>
      </c>
      <c r="V25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5" s="6">
        <f>Main[[#This Row],[تعداد کل روزهای بدهکار (روز)]]*Main[[#This Row],[مانده در خط کل (کیلوگرم)]]</f>
        <v>0</v>
      </c>
      <c r="X2525" s="6">
        <f ca="1">-SUBTOTAL(9,INDEX(Main[مقدار تسویه شده (کیلوگرم)],1):Main[[#This Row],[مقدار تسویه شده (کیلوگرم)]])</f>
        <v>14280</v>
      </c>
      <c r="Y2525" s="6">
        <f ca="1">IF(Main[[#This Row],[مانده در خط تسویه شده (کیلوگرم)]]&lt;&gt;0,Main[[#This Row],[تعداد کل روزهای بدهکار (روز)]],0)</f>
        <v>0</v>
      </c>
      <c r="Z2525" s="6">
        <f ca="1">Main[[#This Row],[تعداد روزهای بدهکار تسویه شده (روز)]]*Main[[#This Row],[مانده در خط تسویه شده (کیلوگرم)]]</f>
        <v>0</v>
      </c>
      <c r="AA2525" s="6">
        <f ca="1">SUBTOTAL(9,INDEX(Main[بدهی تسویه نشده (کیلوگرم)],1):Main[[#This Row],[بدهی تسویه نشده (کیلوگرم)]])</f>
        <v>24481</v>
      </c>
      <c r="AB2525" s="6">
        <f ca="1">IF(Main[[#This Row],[مانده در خط تسویه نشده (کیلوگرم)]]&lt;&gt;0,Main[[#This Row],[تعداد کل روزهای بدهکار (روز)]],0)</f>
        <v>0</v>
      </c>
      <c r="AC2525" s="6">
        <f ca="1">Main[[#This Row],[تعداد روزهای بدهکار  تسویه نشده (روز)]]*Main[[#This Row],[مانده در خط تسویه نشده (کیلوگرم)]]</f>
        <v>0</v>
      </c>
      <c r="AD2525" s="6">
        <f ca="1">SUBTOTAL(9,INDEX(Main[بدهی سررسید شده (کیلوگرم)],1):Main[[#This Row],[بدهی سررسید شده (کیلوگرم)]])</f>
        <v>24481</v>
      </c>
      <c r="AE2525" s="6">
        <f ca="1">IF(Main[[#This Row],[مانده در خط سررسید شده (کیلوگرم)]]&lt;&gt;0,Main[[#This Row],[تعداد کل روزهای بدهکار (روز)]],0)</f>
        <v>0</v>
      </c>
      <c r="AF2525" s="6">
        <f ca="1">Main[[#This Row],[تعداد روزهای بدهکار سررسید شده (روز)]]*Main[[#This Row],[مانده در خط سررسید شده (کیلوگرم)]]</f>
        <v>0</v>
      </c>
    </row>
    <row r="2526" spans="1:32" x14ac:dyDescent="0.35">
      <c r="A2526" s="5">
        <f>ROW()-ROW(INDEX(Main[ردیف],1))+1</f>
        <v>2524</v>
      </c>
      <c r="B2526" s="31">
        <f>SUBTOTAL(2,INDEX(Main[ردیف],1):Main[[#This Row],[ردیف]])</f>
        <v>229</v>
      </c>
      <c r="C2526" s="32" t="s">
        <v>812</v>
      </c>
      <c r="D2526" s="32" t="str">
        <f>_xlfn.CONCAT("14",Main[[#This Row],[تاريخ]])</f>
        <v>1400/09/24</v>
      </c>
      <c r="E2526" s="33">
        <v>44545</v>
      </c>
      <c r="F2526" s="32">
        <v>10003</v>
      </c>
      <c r="G2526" s="5" t="str">
        <f>INDEX(customer[عنوان],MATCH(Main[[#This Row],[کد ردیابی]],customer[کد],0))</f>
        <v>اصغر نورعلی</v>
      </c>
      <c r="H2526">
        <v>-3030</v>
      </c>
      <c r="I2526" s="6">
        <f ca="1">-Main[[#This Row],[بدهی تسویه شده (کیلوگرم)]]+Main[[#This Row],[بستانکار (کیلوگرم)]]</f>
        <v>0</v>
      </c>
      <c r="J2526" s="6">
        <f>IF(Main[[#This Row],[مقدار (کیلوگرم)]]&gt;0,Main[[#This Row],[مقدار (کیلوگرم)]],0)</f>
        <v>0</v>
      </c>
      <c r="K2526" s="6">
        <f>-IF(Main[[#This Row],[مقدار (کیلوگرم)]]&lt;0,Main[[#This Row],[مقدار (کیلوگرم)]],0)</f>
        <v>3030</v>
      </c>
      <c r="L25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3030</v>
      </c>
      <c r="M2526" s="7">
        <f>-IF(AND(Main[[#This Row],[مقدار (کیلوگرم)]]&lt;0,Main[[#This Row],[تاريخ میلادی]]&gt;44276),Main[[#This Row],[مقدار (کیلوگرم)]],0)</f>
        <v>3030</v>
      </c>
      <c r="N2526" s="6">
        <f ca="1">Main[[#This Row],[بدهکار (کیلوگرم)]]-Main[[#This Row],[بدهی تسویه نشده (کیلوگرم)]]</f>
        <v>0</v>
      </c>
      <c r="O2526" s="6">
        <f ca="1">Main[[#This Row],[تفکیک]]</f>
        <v>3030</v>
      </c>
      <c r="P2526" s="6">
        <f ca="1">IF(Main[[#This Row],[تاخیر از سررسید]]&gt;0,Main[[#This Row],[بدهی تسویه نشده (کیلوگرم)]],0)</f>
        <v>3030</v>
      </c>
      <c r="Q2526" s="6">
        <f ca="1">IF(Main[[#This Row],[بدهی تسویه نشده (کیلوگرم)]]&gt;0,'گزارش فردی'!$B$7-Main[[#This Row],[تاريخ میلادی]],0)</f>
        <v>917.75374085648218</v>
      </c>
      <c r="R2526" s="6">
        <f ca="1">IF(Main[[#This Row],[بدهی تسویه نشده (کیلوگرم)]]&gt;0,'گزارش فردی'!$B$7-Main[[#This Row],[تاريخ میلادی]]-'گزارش فردی'!$B$8,0)</f>
        <v>902.75374085648218</v>
      </c>
      <c r="S2526" s="6">
        <f ca="1">Main[[#This Row],[روز از ارسال سفارش]]*Main[[#This Row],[بدهی تسویه نشده (کیلوگرم)]]</f>
        <v>2780793.8347951411</v>
      </c>
      <c r="T2526" s="6">
        <f ca="1">Main[[#This Row],[بدهی سررسید شده (کیلوگرم)]]*Main[[#This Row],[روز از ارسال سفارش]]</f>
        <v>2780793.8347951411</v>
      </c>
      <c r="U2526" s="6">
        <f>-SUBTOTAL(9,INDEX(Main[مقدار (کیلوگرم)],1):Main[[#This Row],[مقدار (کیلوگرم)]])</f>
        <v>41791</v>
      </c>
      <c r="V252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6" s="6">
        <f>Main[[#This Row],[تعداد کل روزهای بدهکار (روز)]]*Main[[#This Row],[مانده در خط کل (کیلوگرم)]]</f>
        <v>125373</v>
      </c>
      <c r="X2526" s="6">
        <f ca="1">-SUBTOTAL(9,INDEX(Main[مقدار تسویه شده (کیلوگرم)],1):Main[[#This Row],[مقدار تسویه شده (کیلوگرم)]])</f>
        <v>14280</v>
      </c>
      <c r="Y2526" s="6">
        <f ca="1">IF(Main[[#This Row],[مانده در خط تسویه شده (کیلوگرم)]]&lt;&gt;0,Main[[#This Row],[تعداد کل روزهای بدهکار (روز)]],0)</f>
        <v>3</v>
      </c>
      <c r="Z2526" s="6">
        <f ca="1">Main[[#This Row],[تعداد روزهای بدهکار تسویه شده (روز)]]*Main[[#This Row],[مانده در خط تسویه شده (کیلوگرم)]]</f>
        <v>42840</v>
      </c>
      <c r="AA2526" s="6">
        <f ca="1">SUBTOTAL(9,INDEX(Main[بدهی تسویه نشده (کیلوگرم)],1):Main[[#This Row],[بدهی تسویه نشده (کیلوگرم)]])</f>
        <v>27511</v>
      </c>
      <c r="AB2526" s="6">
        <f ca="1">IF(Main[[#This Row],[مانده در خط تسویه نشده (کیلوگرم)]]&lt;&gt;0,Main[[#This Row],[تعداد کل روزهای بدهکار (روز)]],0)</f>
        <v>3</v>
      </c>
      <c r="AC2526" s="6">
        <f ca="1">Main[[#This Row],[تعداد روزهای بدهکار  تسویه نشده (روز)]]*Main[[#This Row],[مانده در خط تسویه نشده (کیلوگرم)]]</f>
        <v>82533</v>
      </c>
      <c r="AD2526" s="6">
        <f ca="1">SUBTOTAL(9,INDEX(Main[بدهی سررسید شده (کیلوگرم)],1):Main[[#This Row],[بدهی سررسید شده (کیلوگرم)]])</f>
        <v>27511</v>
      </c>
      <c r="AE2526" s="6">
        <f ca="1">IF(Main[[#This Row],[مانده در خط سررسید شده (کیلوگرم)]]&lt;&gt;0,Main[[#This Row],[تعداد کل روزهای بدهکار (روز)]],0)</f>
        <v>3</v>
      </c>
      <c r="AF2526" s="6">
        <f ca="1">Main[[#This Row],[تعداد روزهای بدهکار سررسید شده (روز)]]*Main[[#This Row],[مانده در خط سررسید شده (کیلوگرم)]]</f>
        <v>82533</v>
      </c>
    </row>
    <row r="2527" spans="1:32" hidden="1" x14ac:dyDescent="0.35">
      <c r="A2527" s="5">
        <f>ROW()-ROW(INDEX(Main[ردیف],1))+1</f>
        <v>2525</v>
      </c>
      <c r="B2527" s="31">
        <f>SUBTOTAL(2,INDEX(Main[ردیف],1):Main[[#This Row],[ردیف]])</f>
        <v>229</v>
      </c>
      <c r="C2527" s="32" t="s">
        <v>812</v>
      </c>
      <c r="D2527" s="32" t="str">
        <f>_xlfn.CONCAT("14",Main[[#This Row],[تاريخ]])</f>
        <v>1400/09/24</v>
      </c>
      <c r="E2527" s="33">
        <v>44545</v>
      </c>
      <c r="F2527" s="32">
        <v>30160</v>
      </c>
      <c r="G2527" s="5" t="str">
        <f>INDEX(customer[عنوان],MATCH(Main[[#This Row],[کد ردیابی]],customer[کد],0))</f>
        <v>کیان صنعت</v>
      </c>
      <c r="H2527">
        <v>106</v>
      </c>
      <c r="I2527" s="6">
        <f ca="1">-Main[[#This Row],[بدهی تسویه شده (کیلوگرم)]]+Main[[#This Row],[بستانکار (کیلوگرم)]]</f>
        <v>106</v>
      </c>
      <c r="J2527" s="6">
        <f>IF(Main[[#This Row],[مقدار (کیلوگرم)]]&gt;0,Main[[#This Row],[مقدار (کیلوگرم)]],0)</f>
        <v>106</v>
      </c>
      <c r="K2527" s="6">
        <f>-IF(Main[[#This Row],[مقدار (کیلوگرم)]]&lt;0,Main[[#This Row],[مقدار (کیلوگرم)]],0)</f>
        <v>0</v>
      </c>
      <c r="L25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7" s="7">
        <f>-IF(AND(Main[[#This Row],[مقدار (کیلوگرم)]]&lt;0,Main[[#This Row],[تاريخ میلادی]]&gt;44276),Main[[#This Row],[مقدار (کیلوگرم)]],0)</f>
        <v>0</v>
      </c>
      <c r="N2527" s="6">
        <f ca="1">Main[[#This Row],[بدهکار (کیلوگرم)]]-Main[[#This Row],[بدهی تسویه نشده (کیلوگرم)]]</f>
        <v>0</v>
      </c>
      <c r="O2527" s="6">
        <f ca="1">Main[[#This Row],[تفکیک]]</f>
        <v>0</v>
      </c>
      <c r="P2527" s="6">
        <f ca="1">IF(Main[[#This Row],[تاخیر از سررسید]]&gt;0,Main[[#This Row],[بدهی تسویه نشده (کیلوگرم)]],0)</f>
        <v>0</v>
      </c>
      <c r="Q2527" s="6">
        <f ca="1">IF(Main[[#This Row],[بدهی تسویه نشده (کیلوگرم)]]&gt;0,'گزارش فردی'!$B$7-Main[[#This Row],[تاريخ میلادی]],0)</f>
        <v>0</v>
      </c>
      <c r="R2527" s="6">
        <f ca="1">IF(Main[[#This Row],[بدهی تسویه نشده (کیلوگرم)]]&gt;0,'گزارش فردی'!$B$7-Main[[#This Row],[تاريخ میلادی]]-'گزارش فردی'!$B$8,0)</f>
        <v>0</v>
      </c>
      <c r="S2527" s="6">
        <f ca="1">Main[[#This Row],[روز از ارسال سفارش]]*Main[[#This Row],[بدهی تسویه نشده (کیلوگرم)]]</f>
        <v>0</v>
      </c>
      <c r="T2527" s="6">
        <f ca="1">Main[[#This Row],[بدهی سررسید شده (کیلوگرم)]]*Main[[#This Row],[روز از ارسال سفارش]]</f>
        <v>0</v>
      </c>
      <c r="U2527" s="6">
        <f>-SUBTOTAL(9,INDEX(Main[مقدار (کیلوگرم)],1):Main[[#This Row],[مقدار (کیلوگرم)]])</f>
        <v>41791</v>
      </c>
      <c r="V252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7" s="6">
        <f>Main[[#This Row],[تعداد کل روزهای بدهکار (روز)]]*Main[[#This Row],[مانده در خط کل (کیلوگرم)]]</f>
        <v>125373</v>
      </c>
      <c r="X2527" s="6">
        <f ca="1">-SUBTOTAL(9,INDEX(Main[مقدار تسویه شده (کیلوگرم)],1):Main[[#This Row],[مقدار تسویه شده (کیلوگرم)]])</f>
        <v>14280</v>
      </c>
      <c r="Y2527" s="6">
        <f ca="1">IF(Main[[#This Row],[مانده در خط تسویه شده (کیلوگرم)]]&lt;&gt;0,Main[[#This Row],[تعداد کل روزهای بدهکار (روز)]],0)</f>
        <v>3</v>
      </c>
      <c r="Z2527" s="6">
        <f ca="1">Main[[#This Row],[تعداد روزهای بدهکار تسویه شده (روز)]]*Main[[#This Row],[مانده در خط تسویه شده (کیلوگرم)]]</f>
        <v>42840</v>
      </c>
      <c r="AA2527" s="6">
        <f ca="1">SUBTOTAL(9,INDEX(Main[بدهی تسویه نشده (کیلوگرم)],1):Main[[#This Row],[بدهی تسویه نشده (کیلوگرم)]])</f>
        <v>27511</v>
      </c>
      <c r="AB2527" s="6">
        <f ca="1">IF(Main[[#This Row],[مانده در خط تسویه نشده (کیلوگرم)]]&lt;&gt;0,Main[[#This Row],[تعداد کل روزهای بدهکار (روز)]],0)</f>
        <v>3</v>
      </c>
      <c r="AC2527" s="6">
        <f ca="1">Main[[#This Row],[تعداد روزهای بدهکار  تسویه نشده (روز)]]*Main[[#This Row],[مانده در خط تسویه نشده (کیلوگرم)]]</f>
        <v>82533</v>
      </c>
      <c r="AD2527" s="6">
        <f ca="1">SUBTOTAL(9,INDEX(Main[بدهی سررسید شده (کیلوگرم)],1):Main[[#This Row],[بدهی سررسید شده (کیلوگرم)]])</f>
        <v>27511</v>
      </c>
      <c r="AE2527" s="6">
        <f ca="1">IF(Main[[#This Row],[مانده در خط سررسید شده (کیلوگرم)]]&lt;&gt;0,Main[[#This Row],[تعداد کل روزهای بدهکار (روز)]],0)</f>
        <v>3</v>
      </c>
      <c r="AF2527" s="6">
        <f ca="1">Main[[#This Row],[تعداد روزهای بدهکار سررسید شده (روز)]]*Main[[#This Row],[مانده در خط سررسید شده (کیلوگرم)]]</f>
        <v>82533</v>
      </c>
    </row>
    <row r="2528" spans="1:32" hidden="1" x14ac:dyDescent="0.35">
      <c r="A2528" s="5">
        <f>ROW()-ROW(INDEX(Main[ردیف],1))+1</f>
        <v>2526</v>
      </c>
      <c r="B2528" s="31">
        <f>SUBTOTAL(2,INDEX(Main[ردیف],1):Main[[#This Row],[ردیف]])</f>
        <v>229</v>
      </c>
      <c r="C2528" s="32" t="s">
        <v>812</v>
      </c>
      <c r="D2528" s="32" t="str">
        <f>_xlfn.CONCAT("14",Main[[#This Row],[تاريخ]])</f>
        <v>1400/09/24</v>
      </c>
      <c r="E2528" s="33">
        <v>44545</v>
      </c>
      <c r="F2528" s="32">
        <v>10026</v>
      </c>
      <c r="G2528" s="5" t="str">
        <f>INDEX(customer[عنوان],MATCH(Main[[#This Row],[کد ردیابی]],customer[کد],0))</f>
        <v xml:space="preserve">محسن فیاض بخش </v>
      </c>
      <c r="H2528">
        <v>-1944</v>
      </c>
      <c r="I2528" s="6">
        <f ca="1">-Main[[#This Row],[بدهی تسویه شده (کیلوگرم)]]+Main[[#This Row],[بستانکار (کیلوگرم)]]</f>
        <v>0</v>
      </c>
      <c r="J2528" s="6">
        <f>IF(Main[[#This Row],[مقدار (کیلوگرم)]]&gt;0,Main[[#This Row],[مقدار (کیلوگرم)]],0)</f>
        <v>0</v>
      </c>
      <c r="K2528" s="6">
        <f>-IF(Main[[#This Row],[مقدار (کیلوگرم)]]&lt;0,Main[[#This Row],[مقدار (کیلوگرم)]],0)</f>
        <v>1944</v>
      </c>
      <c r="L25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1944</v>
      </c>
      <c r="M2528" s="7">
        <f>-IF(AND(Main[[#This Row],[مقدار (کیلوگرم)]]&lt;0,Main[[#This Row],[تاريخ میلادی]]&gt;44276),Main[[#This Row],[مقدار (کیلوگرم)]],0)</f>
        <v>1944</v>
      </c>
      <c r="N2528" s="6">
        <f ca="1">Main[[#This Row],[بدهکار (کیلوگرم)]]-Main[[#This Row],[بدهی تسویه نشده (کیلوگرم)]]</f>
        <v>0</v>
      </c>
      <c r="O2528" s="6">
        <f ca="1">Main[[#This Row],[تفکیک]]</f>
        <v>1944</v>
      </c>
      <c r="P2528" s="6">
        <f ca="1">IF(Main[[#This Row],[تاخیر از سررسید]]&gt;0,Main[[#This Row],[بدهی تسویه نشده (کیلوگرم)]],0)</f>
        <v>1944</v>
      </c>
      <c r="Q2528" s="6">
        <f ca="1">IF(Main[[#This Row],[بدهی تسویه نشده (کیلوگرم)]]&gt;0,'گزارش فردی'!$B$7-Main[[#This Row],[تاريخ میلادی]],0)</f>
        <v>917.75374085648218</v>
      </c>
      <c r="R2528" s="6">
        <f ca="1">IF(Main[[#This Row],[بدهی تسویه نشده (کیلوگرم)]]&gt;0,'گزارش فردی'!$B$7-Main[[#This Row],[تاريخ میلادی]]-'گزارش فردی'!$B$8,0)</f>
        <v>902.75374085648218</v>
      </c>
      <c r="S2528" s="6">
        <f ca="1">Main[[#This Row],[روز از ارسال سفارش]]*Main[[#This Row],[بدهی تسویه نشده (کیلوگرم)]]</f>
        <v>1784113.2722250014</v>
      </c>
      <c r="T2528" s="6">
        <f ca="1">Main[[#This Row],[بدهی سررسید شده (کیلوگرم)]]*Main[[#This Row],[روز از ارسال سفارش]]</f>
        <v>1784113.2722250014</v>
      </c>
      <c r="U2528" s="6">
        <f>-SUBTOTAL(9,INDEX(Main[مقدار (کیلوگرم)],1):Main[[#This Row],[مقدار (کیلوگرم)]])</f>
        <v>41791</v>
      </c>
      <c r="V252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8" s="6">
        <f>Main[[#This Row],[تعداد کل روزهای بدهکار (روز)]]*Main[[#This Row],[مانده در خط کل (کیلوگرم)]]</f>
        <v>125373</v>
      </c>
      <c r="X2528" s="6">
        <f ca="1">-SUBTOTAL(9,INDEX(Main[مقدار تسویه شده (کیلوگرم)],1):Main[[#This Row],[مقدار تسویه شده (کیلوگرم)]])</f>
        <v>14280</v>
      </c>
      <c r="Y2528" s="6">
        <f ca="1">IF(Main[[#This Row],[مانده در خط تسویه شده (کیلوگرم)]]&lt;&gt;0,Main[[#This Row],[تعداد کل روزهای بدهکار (روز)]],0)</f>
        <v>3</v>
      </c>
      <c r="Z2528" s="6">
        <f ca="1">Main[[#This Row],[تعداد روزهای بدهکار تسویه شده (روز)]]*Main[[#This Row],[مانده در خط تسویه شده (کیلوگرم)]]</f>
        <v>42840</v>
      </c>
      <c r="AA2528" s="6">
        <f ca="1">SUBTOTAL(9,INDEX(Main[بدهی تسویه نشده (کیلوگرم)],1):Main[[#This Row],[بدهی تسویه نشده (کیلوگرم)]])</f>
        <v>27511</v>
      </c>
      <c r="AB2528" s="6">
        <f ca="1">IF(Main[[#This Row],[مانده در خط تسویه نشده (کیلوگرم)]]&lt;&gt;0,Main[[#This Row],[تعداد کل روزهای بدهکار (روز)]],0)</f>
        <v>3</v>
      </c>
      <c r="AC2528" s="6">
        <f ca="1">Main[[#This Row],[تعداد روزهای بدهکار  تسویه نشده (روز)]]*Main[[#This Row],[مانده در خط تسویه نشده (کیلوگرم)]]</f>
        <v>82533</v>
      </c>
      <c r="AD2528" s="6">
        <f ca="1">SUBTOTAL(9,INDEX(Main[بدهی سررسید شده (کیلوگرم)],1):Main[[#This Row],[بدهی سررسید شده (کیلوگرم)]])</f>
        <v>27511</v>
      </c>
      <c r="AE2528" s="6">
        <f ca="1">IF(Main[[#This Row],[مانده در خط سررسید شده (کیلوگرم)]]&lt;&gt;0,Main[[#This Row],[تعداد کل روزهای بدهکار (روز)]],0)</f>
        <v>3</v>
      </c>
      <c r="AF2528" s="6">
        <f ca="1">Main[[#This Row],[تعداد روزهای بدهکار سررسید شده (روز)]]*Main[[#This Row],[مانده در خط سررسید شده (کیلوگرم)]]</f>
        <v>82533</v>
      </c>
    </row>
    <row r="2529" spans="1:32" hidden="1" x14ac:dyDescent="0.35">
      <c r="A2529" s="5">
        <f>ROW()-ROW(INDEX(Main[ردیف],1))+1</f>
        <v>2527</v>
      </c>
      <c r="B2529" s="31">
        <f>SUBTOTAL(2,INDEX(Main[ردیف],1):Main[[#This Row],[ردیف]])</f>
        <v>229</v>
      </c>
      <c r="C2529" s="32" t="s">
        <v>812</v>
      </c>
      <c r="D2529" s="32" t="str">
        <f>_xlfn.CONCAT("14",Main[[#This Row],[تاريخ]])</f>
        <v>1400/09/24</v>
      </c>
      <c r="E2529" s="33">
        <v>44545</v>
      </c>
      <c r="F2529" s="32">
        <v>10026</v>
      </c>
      <c r="G2529" s="5" t="str">
        <f>INDEX(customer[عنوان],MATCH(Main[[#This Row],[کد ردیابی]],customer[کد],0))</f>
        <v xml:space="preserve">محسن فیاض بخش </v>
      </c>
      <c r="H2529">
        <v>4122</v>
      </c>
      <c r="I2529" s="6">
        <f ca="1">-Main[[#This Row],[بدهی تسویه شده (کیلوگرم)]]+Main[[#This Row],[بستانکار (کیلوگرم)]]</f>
        <v>4122</v>
      </c>
      <c r="J2529" s="6">
        <f>IF(Main[[#This Row],[مقدار (کیلوگرم)]]&gt;0,Main[[#This Row],[مقدار (کیلوگرم)]],0)</f>
        <v>4122</v>
      </c>
      <c r="K2529" s="6">
        <f>-IF(Main[[#This Row],[مقدار (کیلوگرم)]]&lt;0,Main[[#This Row],[مقدار (کیلوگرم)]],0)</f>
        <v>0</v>
      </c>
      <c r="L25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9" s="7">
        <f>-IF(AND(Main[[#This Row],[مقدار (کیلوگرم)]]&lt;0,Main[[#This Row],[تاريخ میلادی]]&gt;44276),Main[[#This Row],[مقدار (کیلوگرم)]],0)</f>
        <v>0</v>
      </c>
      <c r="N2529" s="6">
        <f ca="1">Main[[#This Row],[بدهکار (کیلوگرم)]]-Main[[#This Row],[بدهی تسویه نشده (کیلوگرم)]]</f>
        <v>0</v>
      </c>
      <c r="O2529" s="6">
        <f ca="1">Main[[#This Row],[تفکیک]]</f>
        <v>0</v>
      </c>
      <c r="P2529" s="6">
        <f ca="1">IF(Main[[#This Row],[تاخیر از سررسید]]&gt;0,Main[[#This Row],[بدهی تسویه نشده (کیلوگرم)]],0)</f>
        <v>0</v>
      </c>
      <c r="Q2529" s="6">
        <f ca="1">IF(Main[[#This Row],[بدهی تسویه نشده (کیلوگرم)]]&gt;0,'گزارش فردی'!$B$7-Main[[#This Row],[تاريخ میلادی]],0)</f>
        <v>0</v>
      </c>
      <c r="R2529" s="6">
        <f ca="1">IF(Main[[#This Row],[بدهی تسویه نشده (کیلوگرم)]]&gt;0,'گزارش فردی'!$B$7-Main[[#This Row],[تاريخ میلادی]]-'گزارش فردی'!$B$8,0)</f>
        <v>0</v>
      </c>
      <c r="S2529" s="6">
        <f ca="1">Main[[#This Row],[روز از ارسال سفارش]]*Main[[#This Row],[بدهی تسویه نشده (کیلوگرم)]]</f>
        <v>0</v>
      </c>
      <c r="T2529" s="6">
        <f ca="1">Main[[#This Row],[بدهی سررسید شده (کیلوگرم)]]*Main[[#This Row],[روز از ارسال سفارش]]</f>
        <v>0</v>
      </c>
      <c r="U2529" s="6">
        <f>-SUBTOTAL(9,INDEX(Main[مقدار (کیلوگرم)],1):Main[[#This Row],[مقدار (کیلوگرم)]])</f>
        <v>41791</v>
      </c>
      <c r="V252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9" s="6">
        <f>Main[[#This Row],[تعداد کل روزهای بدهکار (روز)]]*Main[[#This Row],[مانده در خط کل (کیلوگرم)]]</f>
        <v>125373</v>
      </c>
      <c r="X2529" s="6">
        <f ca="1">-SUBTOTAL(9,INDEX(Main[مقدار تسویه شده (کیلوگرم)],1):Main[[#This Row],[مقدار تسویه شده (کیلوگرم)]])</f>
        <v>14280</v>
      </c>
      <c r="Y2529" s="6">
        <f ca="1">IF(Main[[#This Row],[مانده در خط تسویه شده (کیلوگرم)]]&lt;&gt;0,Main[[#This Row],[تعداد کل روزهای بدهکار (روز)]],0)</f>
        <v>3</v>
      </c>
      <c r="Z2529" s="6">
        <f ca="1">Main[[#This Row],[تعداد روزهای بدهکار تسویه شده (روز)]]*Main[[#This Row],[مانده در خط تسویه شده (کیلوگرم)]]</f>
        <v>42840</v>
      </c>
      <c r="AA2529" s="6">
        <f ca="1">SUBTOTAL(9,INDEX(Main[بدهی تسویه نشده (کیلوگرم)],1):Main[[#This Row],[بدهی تسویه نشده (کیلوگرم)]])</f>
        <v>27511</v>
      </c>
      <c r="AB2529" s="6">
        <f ca="1">IF(Main[[#This Row],[مانده در خط تسویه نشده (کیلوگرم)]]&lt;&gt;0,Main[[#This Row],[تعداد کل روزهای بدهکار (روز)]],0)</f>
        <v>3</v>
      </c>
      <c r="AC2529" s="6">
        <f ca="1">Main[[#This Row],[تعداد روزهای بدهکار  تسویه نشده (روز)]]*Main[[#This Row],[مانده در خط تسویه نشده (کیلوگرم)]]</f>
        <v>82533</v>
      </c>
      <c r="AD2529" s="6">
        <f ca="1">SUBTOTAL(9,INDEX(Main[بدهی سررسید شده (کیلوگرم)],1):Main[[#This Row],[بدهی سررسید شده (کیلوگرم)]])</f>
        <v>27511</v>
      </c>
      <c r="AE2529" s="6">
        <f ca="1">IF(Main[[#This Row],[مانده در خط سررسید شده (کیلوگرم)]]&lt;&gt;0,Main[[#This Row],[تعداد کل روزهای بدهکار (روز)]],0)</f>
        <v>3</v>
      </c>
      <c r="AF2529" s="6">
        <f ca="1">Main[[#This Row],[تعداد روزهای بدهکار سررسید شده (روز)]]*Main[[#This Row],[مانده در خط سررسید شده (کیلوگرم)]]</f>
        <v>82533</v>
      </c>
    </row>
    <row r="2530" spans="1:32" hidden="1" x14ac:dyDescent="0.35">
      <c r="A2530" s="5">
        <f>ROW()-ROW(INDEX(Main[ردیف],1))+1</f>
        <v>2528</v>
      </c>
      <c r="B2530" s="31">
        <f>SUBTOTAL(2,INDEX(Main[ردیف],1):Main[[#This Row],[ردیف]])</f>
        <v>229</v>
      </c>
      <c r="C2530" s="32" t="s">
        <v>812</v>
      </c>
      <c r="D2530" s="32" t="str">
        <f>_xlfn.CONCAT("14",Main[[#This Row],[تاريخ]])</f>
        <v>1400/09/24</v>
      </c>
      <c r="E2530" s="33">
        <v>44545</v>
      </c>
      <c r="F2530" s="32">
        <v>30086</v>
      </c>
      <c r="G2530" s="5" t="str">
        <f>INDEX(customer[عنوان],MATCH(Main[[#This Row],[کد ردیابی]],customer[کد],0))</f>
        <v>سدید سازه پرشیا</v>
      </c>
      <c r="H2530">
        <v>1549</v>
      </c>
      <c r="I2530" s="6">
        <f ca="1">-Main[[#This Row],[بدهی تسویه شده (کیلوگرم)]]+Main[[#This Row],[بستانکار (کیلوگرم)]]</f>
        <v>1549</v>
      </c>
      <c r="J2530" s="6">
        <f>IF(Main[[#This Row],[مقدار (کیلوگرم)]]&gt;0,Main[[#This Row],[مقدار (کیلوگرم)]],0)</f>
        <v>1549</v>
      </c>
      <c r="K2530" s="6">
        <f>-IF(Main[[#This Row],[مقدار (کیلوگرم)]]&lt;0,Main[[#This Row],[مقدار (کیلوگرم)]],0)</f>
        <v>0</v>
      </c>
      <c r="L25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0" s="7">
        <f>-IF(AND(Main[[#This Row],[مقدار (کیلوگرم)]]&lt;0,Main[[#This Row],[تاريخ میلادی]]&gt;44276),Main[[#This Row],[مقدار (کیلوگرم)]],0)</f>
        <v>0</v>
      </c>
      <c r="N2530" s="6">
        <f ca="1">Main[[#This Row],[بدهکار (کیلوگرم)]]-Main[[#This Row],[بدهی تسویه نشده (کیلوگرم)]]</f>
        <v>0</v>
      </c>
      <c r="O2530" s="6">
        <f ca="1">Main[[#This Row],[تفکیک]]</f>
        <v>0</v>
      </c>
      <c r="P2530" s="6">
        <f ca="1">IF(Main[[#This Row],[تاخیر از سررسید]]&gt;0,Main[[#This Row],[بدهی تسویه نشده (کیلوگرم)]],0)</f>
        <v>0</v>
      </c>
      <c r="Q2530" s="6">
        <f ca="1">IF(Main[[#This Row],[بدهی تسویه نشده (کیلوگرم)]]&gt;0,'گزارش فردی'!$B$7-Main[[#This Row],[تاريخ میلادی]],0)</f>
        <v>0</v>
      </c>
      <c r="R2530" s="6">
        <f ca="1">IF(Main[[#This Row],[بدهی تسویه نشده (کیلوگرم)]]&gt;0,'گزارش فردی'!$B$7-Main[[#This Row],[تاريخ میلادی]]-'گزارش فردی'!$B$8,0)</f>
        <v>0</v>
      </c>
      <c r="S2530" s="6">
        <f ca="1">Main[[#This Row],[روز از ارسال سفارش]]*Main[[#This Row],[بدهی تسویه نشده (کیلوگرم)]]</f>
        <v>0</v>
      </c>
      <c r="T2530" s="6">
        <f ca="1">Main[[#This Row],[بدهی سررسید شده (کیلوگرم)]]*Main[[#This Row],[روز از ارسال سفارش]]</f>
        <v>0</v>
      </c>
      <c r="U2530" s="6">
        <f>-SUBTOTAL(9,INDEX(Main[مقدار (کیلوگرم)],1):Main[[#This Row],[مقدار (کیلوگرم)]])</f>
        <v>41791</v>
      </c>
      <c r="V253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0" s="6">
        <f>Main[[#This Row],[تعداد کل روزهای بدهکار (روز)]]*Main[[#This Row],[مانده در خط کل (کیلوگرم)]]</f>
        <v>125373</v>
      </c>
      <c r="X2530" s="6">
        <f ca="1">-SUBTOTAL(9,INDEX(Main[مقدار تسویه شده (کیلوگرم)],1):Main[[#This Row],[مقدار تسویه شده (کیلوگرم)]])</f>
        <v>14280</v>
      </c>
      <c r="Y2530" s="6">
        <f ca="1">IF(Main[[#This Row],[مانده در خط تسویه شده (کیلوگرم)]]&lt;&gt;0,Main[[#This Row],[تعداد کل روزهای بدهکار (روز)]],0)</f>
        <v>3</v>
      </c>
      <c r="Z2530" s="6">
        <f ca="1">Main[[#This Row],[تعداد روزهای بدهکار تسویه شده (روز)]]*Main[[#This Row],[مانده در خط تسویه شده (کیلوگرم)]]</f>
        <v>42840</v>
      </c>
      <c r="AA2530" s="6">
        <f ca="1">SUBTOTAL(9,INDEX(Main[بدهی تسویه نشده (کیلوگرم)],1):Main[[#This Row],[بدهی تسویه نشده (کیلوگرم)]])</f>
        <v>27511</v>
      </c>
      <c r="AB2530" s="6">
        <f ca="1">IF(Main[[#This Row],[مانده در خط تسویه نشده (کیلوگرم)]]&lt;&gt;0,Main[[#This Row],[تعداد کل روزهای بدهکار (روز)]],0)</f>
        <v>3</v>
      </c>
      <c r="AC2530" s="6">
        <f ca="1">Main[[#This Row],[تعداد روزهای بدهکار  تسویه نشده (روز)]]*Main[[#This Row],[مانده در خط تسویه نشده (کیلوگرم)]]</f>
        <v>82533</v>
      </c>
      <c r="AD2530" s="6">
        <f ca="1">SUBTOTAL(9,INDEX(Main[بدهی سررسید شده (کیلوگرم)],1):Main[[#This Row],[بدهی سررسید شده (کیلوگرم)]])</f>
        <v>27511</v>
      </c>
      <c r="AE2530" s="6">
        <f ca="1">IF(Main[[#This Row],[مانده در خط سررسید شده (کیلوگرم)]]&lt;&gt;0,Main[[#This Row],[تعداد کل روزهای بدهکار (روز)]],0)</f>
        <v>3</v>
      </c>
      <c r="AF2530" s="6">
        <f ca="1">Main[[#This Row],[تعداد روزهای بدهکار سررسید شده (روز)]]*Main[[#This Row],[مانده در خط سررسید شده (کیلوگرم)]]</f>
        <v>82533</v>
      </c>
    </row>
    <row r="2531" spans="1:32" hidden="1" x14ac:dyDescent="0.35">
      <c r="A2531" s="5">
        <f>ROW()-ROW(INDEX(Main[ردیف],1))+1</f>
        <v>2529</v>
      </c>
      <c r="B2531" s="31">
        <f>SUBTOTAL(2,INDEX(Main[ردیف],1):Main[[#This Row],[ردیف]])</f>
        <v>229</v>
      </c>
      <c r="C2531" s="32" t="s">
        <v>812</v>
      </c>
      <c r="D2531" s="32" t="str">
        <f>_xlfn.CONCAT("14",Main[[#This Row],[تاريخ]])</f>
        <v>1400/09/24</v>
      </c>
      <c r="E2531" s="33">
        <v>44545</v>
      </c>
      <c r="F2531" s="32">
        <v>30160</v>
      </c>
      <c r="G2531" s="5" t="str">
        <f>INDEX(customer[عنوان],MATCH(Main[[#This Row],[کد ردیابی]],customer[کد],0))</f>
        <v>کیان صنعت</v>
      </c>
      <c r="H2531">
        <v>49</v>
      </c>
      <c r="I2531" s="6">
        <f ca="1">-Main[[#This Row],[بدهی تسویه شده (کیلوگرم)]]+Main[[#This Row],[بستانکار (کیلوگرم)]]</f>
        <v>49</v>
      </c>
      <c r="J2531" s="6">
        <f>IF(Main[[#This Row],[مقدار (کیلوگرم)]]&gt;0,Main[[#This Row],[مقدار (کیلوگرم)]],0)</f>
        <v>49</v>
      </c>
      <c r="K2531" s="6">
        <f>-IF(Main[[#This Row],[مقدار (کیلوگرم)]]&lt;0,Main[[#This Row],[مقدار (کیلوگرم)]],0)</f>
        <v>0</v>
      </c>
      <c r="L25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1" s="7">
        <f>-IF(AND(Main[[#This Row],[مقدار (کیلوگرم)]]&lt;0,Main[[#This Row],[تاريخ میلادی]]&gt;44276),Main[[#This Row],[مقدار (کیلوگرم)]],0)</f>
        <v>0</v>
      </c>
      <c r="N2531" s="6">
        <f ca="1">Main[[#This Row],[بدهکار (کیلوگرم)]]-Main[[#This Row],[بدهی تسویه نشده (کیلوگرم)]]</f>
        <v>0</v>
      </c>
      <c r="O2531" s="6">
        <f ca="1">Main[[#This Row],[تفکیک]]</f>
        <v>0</v>
      </c>
      <c r="P2531" s="6">
        <f ca="1">IF(Main[[#This Row],[تاخیر از سررسید]]&gt;0,Main[[#This Row],[بدهی تسویه نشده (کیلوگرم)]],0)</f>
        <v>0</v>
      </c>
      <c r="Q2531" s="6">
        <f ca="1">IF(Main[[#This Row],[بدهی تسویه نشده (کیلوگرم)]]&gt;0,'گزارش فردی'!$B$7-Main[[#This Row],[تاريخ میلادی]],0)</f>
        <v>0</v>
      </c>
      <c r="R2531" s="6">
        <f ca="1">IF(Main[[#This Row],[بدهی تسویه نشده (کیلوگرم)]]&gt;0,'گزارش فردی'!$B$7-Main[[#This Row],[تاريخ میلادی]]-'گزارش فردی'!$B$8,0)</f>
        <v>0</v>
      </c>
      <c r="S2531" s="6">
        <f ca="1">Main[[#This Row],[روز از ارسال سفارش]]*Main[[#This Row],[بدهی تسویه نشده (کیلوگرم)]]</f>
        <v>0</v>
      </c>
      <c r="T2531" s="6">
        <f ca="1">Main[[#This Row],[بدهی سررسید شده (کیلوگرم)]]*Main[[#This Row],[روز از ارسال سفارش]]</f>
        <v>0</v>
      </c>
      <c r="U2531" s="6">
        <f>-SUBTOTAL(9,INDEX(Main[مقدار (کیلوگرم)],1):Main[[#This Row],[مقدار (کیلوگرم)]])</f>
        <v>41791</v>
      </c>
      <c r="V253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1" s="6">
        <f>Main[[#This Row],[تعداد کل روزهای بدهکار (روز)]]*Main[[#This Row],[مانده در خط کل (کیلوگرم)]]</f>
        <v>125373</v>
      </c>
      <c r="X2531" s="6">
        <f ca="1">-SUBTOTAL(9,INDEX(Main[مقدار تسویه شده (کیلوگرم)],1):Main[[#This Row],[مقدار تسویه شده (کیلوگرم)]])</f>
        <v>14280</v>
      </c>
      <c r="Y2531" s="6">
        <f ca="1">IF(Main[[#This Row],[مانده در خط تسویه شده (کیلوگرم)]]&lt;&gt;0,Main[[#This Row],[تعداد کل روزهای بدهکار (روز)]],0)</f>
        <v>3</v>
      </c>
      <c r="Z2531" s="6">
        <f ca="1">Main[[#This Row],[تعداد روزهای بدهکار تسویه شده (روز)]]*Main[[#This Row],[مانده در خط تسویه شده (کیلوگرم)]]</f>
        <v>42840</v>
      </c>
      <c r="AA2531" s="6">
        <f ca="1">SUBTOTAL(9,INDEX(Main[بدهی تسویه نشده (کیلوگرم)],1):Main[[#This Row],[بدهی تسویه نشده (کیلوگرم)]])</f>
        <v>27511</v>
      </c>
      <c r="AB2531" s="6">
        <f ca="1">IF(Main[[#This Row],[مانده در خط تسویه نشده (کیلوگرم)]]&lt;&gt;0,Main[[#This Row],[تعداد کل روزهای بدهکار (روز)]],0)</f>
        <v>3</v>
      </c>
      <c r="AC2531" s="6">
        <f ca="1">Main[[#This Row],[تعداد روزهای بدهکار  تسویه نشده (روز)]]*Main[[#This Row],[مانده در خط تسویه نشده (کیلوگرم)]]</f>
        <v>82533</v>
      </c>
      <c r="AD2531" s="6">
        <f ca="1">SUBTOTAL(9,INDEX(Main[بدهی سررسید شده (کیلوگرم)],1):Main[[#This Row],[بدهی سررسید شده (کیلوگرم)]])</f>
        <v>27511</v>
      </c>
      <c r="AE2531" s="6">
        <f ca="1">IF(Main[[#This Row],[مانده در خط سررسید شده (کیلوگرم)]]&lt;&gt;0,Main[[#This Row],[تعداد کل روزهای بدهکار (روز)]],0)</f>
        <v>3</v>
      </c>
      <c r="AF2531" s="6">
        <f ca="1">Main[[#This Row],[تعداد روزهای بدهکار سررسید شده (روز)]]*Main[[#This Row],[مانده در خط سررسید شده (کیلوگرم)]]</f>
        <v>82533</v>
      </c>
    </row>
    <row r="2532" spans="1:32" hidden="1" x14ac:dyDescent="0.35">
      <c r="A2532" s="5">
        <f>ROW()-ROW(INDEX(Main[ردیف],1))+1</f>
        <v>2530</v>
      </c>
      <c r="B2532" s="31">
        <f>SUBTOTAL(2,INDEX(Main[ردیف],1):Main[[#This Row],[ردیف]])</f>
        <v>229</v>
      </c>
      <c r="C2532" s="32" t="s">
        <v>812</v>
      </c>
      <c r="D2532" s="32" t="str">
        <f>_xlfn.CONCAT("14",Main[[#This Row],[تاريخ]])</f>
        <v>1400/09/24</v>
      </c>
      <c r="E2532" s="33">
        <v>44545</v>
      </c>
      <c r="F2532" s="32">
        <v>10048</v>
      </c>
      <c r="G2532" s="5" t="str">
        <f>INDEX(customer[عنوان],MATCH(Main[[#This Row],[کد ردیابی]],customer[کد],0))</f>
        <v xml:space="preserve">حسام کریمان  </v>
      </c>
      <c r="H2532">
        <v>343</v>
      </c>
      <c r="I2532" s="6">
        <f ca="1">-Main[[#This Row],[بدهی تسویه شده (کیلوگرم)]]+Main[[#This Row],[بستانکار (کیلوگرم)]]</f>
        <v>343</v>
      </c>
      <c r="J2532" s="6">
        <f>IF(Main[[#This Row],[مقدار (کیلوگرم)]]&gt;0,Main[[#This Row],[مقدار (کیلوگرم)]],0)</f>
        <v>343</v>
      </c>
      <c r="K2532" s="6">
        <f>-IF(Main[[#This Row],[مقدار (کیلوگرم)]]&lt;0,Main[[#This Row],[مقدار (کیلوگرم)]],0)</f>
        <v>0</v>
      </c>
      <c r="L25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2" s="7">
        <f>-IF(AND(Main[[#This Row],[مقدار (کیلوگرم)]]&lt;0,Main[[#This Row],[تاريخ میلادی]]&gt;44276),Main[[#This Row],[مقدار (کیلوگرم)]],0)</f>
        <v>0</v>
      </c>
      <c r="N2532" s="6">
        <f ca="1">Main[[#This Row],[بدهکار (کیلوگرم)]]-Main[[#This Row],[بدهی تسویه نشده (کیلوگرم)]]</f>
        <v>0</v>
      </c>
      <c r="O2532" s="6">
        <f ca="1">Main[[#This Row],[تفکیک]]</f>
        <v>0</v>
      </c>
      <c r="P2532" s="6">
        <f ca="1">IF(Main[[#This Row],[تاخیر از سررسید]]&gt;0,Main[[#This Row],[بدهی تسویه نشده (کیلوگرم)]],0)</f>
        <v>0</v>
      </c>
      <c r="Q2532" s="6">
        <f ca="1">IF(Main[[#This Row],[بدهی تسویه نشده (کیلوگرم)]]&gt;0,'گزارش فردی'!$B$7-Main[[#This Row],[تاريخ میلادی]],0)</f>
        <v>0</v>
      </c>
      <c r="R2532" s="6">
        <f ca="1">IF(Main[[#This Row],[بدهی تسویه نشده (کیلوگرم)]]&gt;0,'گزارش فردی'!$B$7-Main[[#This Row],[تاريخ میلادی]]-'گزارش فردی'!$B$8,0)</f>
        <v>0</v>
      </c>
      <c r="S2532" s="6">
        <f ca="1">Main[[#This Row],[روز از ارسال سفارش]]*Main[[#This Row],[بدهی تسویه نشده (کیلوگرم)]]</f>
        <v>0</v>
      </c>
      <c r="T2532" s="6">
        <f ca="1">Main[[#This Row],[بدهی سررسید شده (کیلوگرم)]]*Main[[#This Row],[روز از ارسال سفارش]]</f>
        <v>0</v>
      </c>
      <c r="U2532" s="6">
        <f>-SUBTOTAL(9,INDEX(Main[مقدار (کیلوگرم)],1):Main[[#This Row],[مقدار (کیلوگرم)]])</f>
        <v>41791</v>
      </c>
      <c r="V253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2" s="6">
        <f>Main[[#This Row],[تعداد کل روزهای بدهکار (روز)]]*Main[[#This Row],[مانده در خط کل (کیلوگرم)]]</f>
        <v>125373</v>
      </c>
      <c r="X2532" s="6">
        <f ca="1">-SUBTOTAL(9,INDEX(Main[مقدار تسویه شده (کیلوگرم)],1):Main[[#This Row],[مقدار تسویه شده (کیلوگرم)]])</f>
        <v>14280</v>
      </c>
      <c r="Y2532" s="6">
        <f ca="1">IF(Main[[#This Row],[مانده در خط تسویه شده (کیلوگرم)]]&lt;&gt;0,Main[[#This Row],[تعداد کل روزهای بدهکار (روز)]],0)</f>
        <v>3</v>
      </c>
      <c r="Z2532" s="6">
        <f ca="1">Main[[#This Row],[تعداد روزهای بدهکار تسویه شده (روز)]]*Main[[#This Row],[مانده در خط تسویه شده (کیلوگرم)]]</f>
        <v>42840</v>
      </c>
      <c r="AA2532" s="6">
        <f ca="1">SUBTOTAL(9,INDEX(Main[بدهی تسویه نشده (کیلوگرم)],1):Main[[#This Row],[بدهی تسویه نشده (کیلوگرم)]])</f>
        <v>27511</v>
      </c>
      <c r="AB2532" s="6">
        <f ca="1">IF(Main[[#This Row],[مانده در خط تسویه نشده (کیلوگرم)]]&lt;&gt;0,Main[[#This Row],[تعداد کل روزهای بدهکار (روز)]],0)</f>
        <v>3</v>
      </c>
      <c r="AC2532" s="6">
        <f ca="1">Main[[#This Row],[تعداد روزهای بدهکار  تسویه نشده (روز)]]*Main[[#This Row],[مانده در خط تسویه نشده (کیلوگرم)]]</f>
        <v>82533</v>
      </c>
      <c r="AD2532" s="6">
        <f ca="1">SUBTOTAL(9,INDEX(Main[بدهی سررسید شده (کیلوگرم)],1):Main[[#This Row],[بدهی سررسید شده (کیلوگرم)]])</f>
        <v>27511</v>
      </c>
      <c r="AE2532" s="6">
        <f ca="1">IF(Main[[#This Row],[مانده در خط سررسید شده (کیلوگرم)]]&lt;&gt;0,Main[[#This Row],[تعداد کل روزهای بدهکار (روز)]],0)</f>
        <v>3</v>
      </c>
      <c r="AF2532" s="6">
        <f ca="1">Main[[#This Row],[تعداد روزهای بدهکار سررسید شده (روز)]]*Main[[#This Row],[مانده در خط سررسید شده (کیلوگرم)]]</f>
        <v>82533</v>
      </c>
    </row>
    <row r="2533" spans="1:32" hidden="1" x14ac:dyDescent="0.35">
      <c r="A2533" s="5">
        <f>ROW()-ROW(INDEX(Main[ردیف],1))+1</f>
        <v>2531</v>
      </c>
      <c r="B2533" s="31">
        <f>SUBTOTAL(2,INDEX(Main[ردیف],1):Main[[#This Row],[ردیف]])</f>
        <v>229</v>
      </c>
      <c r="C2533" s="32" t="s">
        <v>812</v>
      </c>
      <c r="D2533" s="32" t="str">
        <f>_xlfn.CONCAT("14",Main[[#This Row],[تاريخ]])</f>
        <v>1400/09/24</v>
      </c>
      <c r="E2533" s="33">
        <v>44545</v>
      </c>
      <c r="F2533" s="32">
        <v>30186</v>
      </c>
      <c r="G2533" s="5" t="str">
        <f>INDEX(customer[عنوان],MATCH(Main[[#This Row],[کد ردیابی]],customer[کد],0))</f>
        <v>سارا گاز</v>
      </c>
      <c r="H2533">
        <v>360</v>
      </c>
      <c r="I2533" s="6">
        <f ca="1">-Main[[#This Row],[بدهی تسویه شده (کیلوگرم)]]+Main[[#This Row],[بستانکار (کیلوگرم)]]</f>
        <v>360</v>
      </c>
      <c r="J2533" s="6">
        <f>IF(Main[[#This Row],[مقدار (کیلوگرم)]]&gt;0,Main[[#This Row],[مقدار (کیلوگرم)]],0)</f>
        <v>360</v>
      </c>
      <c r="K2533" s="6">
        <f>-IF(Main[[#This Row],[مقدار (کیلوگرم)]]&lt;0,Main[[#This Row],[مقدار (کیلوگرم)]],0)</f>
        <v>0</v>
      </c>
      <c r="L25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3" s="7">
        <f>-IF(AND(Main[[#This Row],[مقدار (کیلوگرم)]]&lt;0,Main[[#This Row],[تاريخ میلادی]]&gt;44276),Main[[#This Row],[مقدار (کیلوگرم)]],0)</f>
        <v>0</v>
      </c>
      <c r="N2533" s="6">
        <f ca="1">Main[[#This Row],[بدهکار (کیلوگرم)]]-Main[[#This Row],[بدهی تسویه نشده (کیلوگرم)]]</f>
        <v>0</v>
      </c>
      <c r="O2533" s="6">
        <f ca="1">Main[[#This Row],[تفکیک]]</f>
        <v>0</v>
      </c>
      <c r="P2533" s="6">
        <f ca="1">IF(Main[[#This Row],[تاخیر از سررسید]]&gt;0,Main[[#This Row],[بدهی تسویه نشده (کیلوگرم)]],0)</f>
        <v>0</v>
      </c>
      <c r="Q2533" s="6">
        <f ca="1">IF(Main[[#This Row],[بدهی تسویه نشده (کیلوگرم)]]&gt;0,'گزارش فردی'!$B$7-Main[[#This Row],[تاريخ میلادی]],0)</f>
        <v>0</v>
      </c>
      <c r="R2533" s="6">
        <f ca="1">IF(Main[[#This Row],[بدهی تسویه نشده (کیلوگرم)]]&gt;0,'گزارش فردی'!$B$7-Main[[#This Row],[تاريخ میلادی]]-'گزارش فردی'!$B$8,0)</f>
        <v>0</v>
      </c>
      <c r="S2533" s="6">
        <f ca="1">Main[[#This Row],[روز از ارسال سفارش]]*Main[[#This Row],[بدهی تسویه نشده (کیلوگرم)]]</f>
        <v>0</v>
      </c>
      <c r="T2533" s="6">
        <f ca="1">Main[[#This Row],[بدهی سررسید شده (کیلوگرم)]]*Main[[#This Row],[روز از ارسال سفارش]]</f>
        <v>0</v>
      </c>
      <c r="U2533" s="6">
        <f>-SUBTOTAL(9,INDEX(Main[مقدار (کیلوگرم)],1):Main[[#This Row],[مقدار (کیلوگرم)]])</f>
        <v>41791</v>
      </c>
      <c r="V253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3" s="6">
        <f>Main[[#This Row],[تعداد کل روزهای بدهکار (روز)]]*Main[[#This Row],[مانده در خط کل (کیلوگرم)]]</f>
        <v>125373</v>
      </c>
      <c r="X2533" s="6">
        <f ca="1">-SUBTOTAL(9,INDEX(Main[مقدار تسویه شده (کیلوگرم)],1):Main[[#This Row],[مقدار تسویه شده (کیلوگرم)]])</f>
        <v>14280</v>
      </c>
      <c r="Y2533" s="6">
        <f ca="1">IF(Main[[#This Row],[مانده در خط تسویه شده (کیلوگرم)]]&lt;&gt;0,Main[[#This Row],[تعداد کل روزهای بدهکار (روز)]],0)</f>
        <v>3</v>
      </c>
      <c r="Z2533" s="6">
        <f ca="1">Main[[#This Row],[تعداد روزهای بدهکار تسویه شده (روز)]]*Main[[#This Row],[مانده در خط تسویه شده (کیلوگرم)]]</f>
        <v>42840</v>
      </c>
      <c r="AA2533" s="6">
        <f ca="1">SUBTOTAL(9,INDEX(Main[بدهی تسویه نشده (کیلوگرم)],1):Main[[#This Row],[بدهی تسویه نشده (کیلوگرم)]])</f>
        <v>27511</v>
      </c>
      <c r="AB2533" s="6">
        <f ca="1">IF(Main[[#This Row],[مانده در خط تسویه نشده (کیلوگرم)]]&lt;&gt;0,Main[[#This Row],[تعداد کل روزهای بدهکار (روز)]],0)</f>
        <v>3</v>
      </c>
      <c r="AC2533" s="6">
        <f ca="1">Main[[#This Row],[تعداد روزهای بدهکار  تسویه نشده (روز)]]*Main[[#This Row],[مانده در خط تسویه نشده (کیلوگرم)]]</f>
        <v>82533</v>
      </c>
      <c r="AD2533" s="6">
        <f ca="1">SUBTOTAL(9,INDEX(Main[بدهی سررسید شده (کیلوگرم)],1):Main[[#This Row],[بدهی سررسید شده (کیلوگرم)]])</f>
        <v>27511</v>
      </c>
      <c r="AE2533" s="6">
        <f ca="1">IF(Main[[#This Row],[مانده در خط سررسید شده (کیلوگرم)]]&lt;&gt;0,Main[[#This Row],[تعداد کل روزهای بدهکار (روز)]],0)</f>
        <v>3</v>
      </c>
      <c r="AF2533" s="6">
        <f ca="1">Main[[#This Row],[تعداد روزهای بدهکار سررسید شده (روز)]]*Main[[#This Row],[مانده در خط سررسید شده (کیلوگرم)]]</f>
        <v>82533</v>
      </c>
    </row>
    <row r="2534" spans="1:32" hidden="1" x14ac:dyDescent="0.35">
      <c r="A2534" s="5">
        <f>ROW()-ROW(INDEX(Main[ردیف],1))+1</f>
        <v>2532</v>
      </c>
      <c r="B2534" s="31">
        <f>SUBTOTAL(2,INDEX(Main[ردیف],1):Main[[#This Row],[ردیف]])</f>
        <v>229</v>
      </c>
      <c r="C2534" s="32" t="s">
        <v>812</v>
      </c>
      <c r="D2534" s="32" t="str">
        <f>_xlfn.CONCAT("14",Main[[#This Row],[تاريخ]])</f>
        <v>1400/09/24</v>
      </c>
      <c r="E2534" s="33">
        <v>44545</v>
      </c>
      <c r="F2534" s="32">
        <v>30186</v>
      </c>
      <c r="G2534" s="5" t="str">
        <f>INDEX(customer[عنوان],MATCH(Main[[#This Row],[کد ردیابی]],customer[کد],0))</f>
        <v>سارا گاز</v>
      </c>
      <c r="H2534">
        <v>358</v>
      </c>
      <c r="I2534" s="6">
        <f ca="1">-Main[[#This Row],[بدهی تسویه شده (کیلوگرم)]]+Main[[#This Row],[بستانکار (کیلوگرم)]]</f>
        <v>358</v>
      </c>
      <c r="J2534" s="6">
        <f>IF(Main[[#This Row],[مقدار (کیلوگرم)]]&gt;0,Main[[#This Row],[مقدار (کیلوگرم)]],0)</f>
        <v>358</v>
      </c>
      <c r="K2534" s="6">
        <f>-IF(Main[[#This Row],[مقدار (کیلوگرم)]]&lt;0,Main[[#This Row],[مقدار (کیلوگرم)]],0)</f>
        <v>0</v>
      </c>
      <c r="L25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4" s="7">
        <f>-IF(AND(Main[[#This Row],[مقدار (کیلوگرم)]]&lt;0,Main[[#This Row],[تاريخ میلادی]]&gt;44276),Main[[#This Row],[مقدار (کیلوگرم)]],0)</f>
        <v>0</v>
      </c>
      <c r="N2534" s="6">
        <f ca="1">Main[[#This Row],[بدهکار (کیلوگرم)]]-Main[[#This Row],[بدهی تسویه نشده (کیلوگرم)]]</f>
        <v>0</v>
      </c>
      <c r="O2534" s="6">
        <f ca="1">Main[[#This Row],[تفکیک]]</f>
        <v>0</v>
      </c>
      <c r="P2534" s="6">
        <f ca="1">IF(Main[[#This Row],[تاخیر از سررسید]]&gt;0,Main[[#This Row],[بدهی تسویه نشده (کیلوگرم)]],0)</f>
        <v>0</v>
      </c>
      <c r="Q2534" s="6">
        <f ca="1">IF(Main[[#This Row],[بدهی تسویه نشده (کیلوگرم)]]&gt;0,'گزارش فردی'!$B$7-Main[[#This Row],[تاريخ میلادی]],0)</f>
        <v>0</v>
      </c>
      <c r="R2534" s="6">
        <f ca="1">IF(Main[[#This Row],[بدهی تسویه نشده (کیلوگرم)]]&gt;0,'گزارش فردی'!$B$7-Main[[#This Row],[تاريخ میلادی]]-'گزارش فردی'!$B$8,0)</f>
        <v>0</v>
      </c>
      <c r="S2534" s="6">
        <f ca="1">Main[[#This Row],[روز از ارسال سفارش]]*Main[[#This Row],[بدهی تسویه نشده (کیلوگرم)]]</f>
        <v>0</v>
      </c>
      <c r="T2534" s="6">
        <f ca="1">Main[[#This Row],[بدهی سررسید شده (کیلوگرم)]]*Main[[#This Row],[روز از ارسال سفارش]]</f>
        <v>0</v>
      </c>
      <c r="U2534" s="6">
        <f>-SUBTOTAL(9,INDEX(Main[مقدار (کیلوگرم)],1):Main[[#This Row],[مقدار (کیلوگرم)]])</f>
        <v>41791</v>
      </c>
      <c r="V253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4" s="6">
        <f>Main[[#This Row],[تعداد کل روزهای بدهکار (روز)]]*Main[[#This Row],[مانده در خط کل (کیلوگرم)]]</f>
        <v>125373</v>
      </c>
      <c r="X2534" s="6">
        <f ca="1">-SUBTOTAL(9,INDEX(Main[مقدار تسویه شده (کیلوگرم)],1):Main[[#This Row],[مقدار تسویه شده (کیلوگرم)]])</f>
        <v>14280</v>
      </c>
      <c r="Y2534" s="6">
        <f ca="1">IF(Main[[#This Row],[مانده در خط تسویه شده (کیلوگرم)]]&lt;&gt;0,Main[[#This Row],[تعداد کل روزهای بدهکار (روز)]],0)</f>
        <v>3</v>
      </c>
      <c r="Z2534" s="6">
        <f ca="1">Main[[#This Row],[تعداد روزهای بدهکار تسویه شده (روز)]]*Main[[#This Row],[مانده در خط تسویه شده (کیلوگرم)]]</f>
        <v>42840</v>
      </c>
      <c r="AA2534" s="6">
        <f ca="1">SUBTOTAL(9,INDEX(Main[بدهی تسویه نشده (کیلوگرم)],1):Main[[#This Row],[بدهی تسویه نشده (کیلوگرم)]])</f>
        <v>27511</v>
      </c>
      <c r="AB2534" s="6">
        <f ca="1">IF(Main[[#This Row],[مانده در خط تسویه نشده (کیلوگرم)]]&lt;&gt;0,Main[[#This Row],[تعداد کل روزهای بدهکار (روز)]],0)</f>
        <v>3</v>
      </c>
      <c r="AC2534" s="6">
        <f ca="1">Main[[#This Row],[تعداد روزهای بدهکار  تسویه نشده (روز)]]*Main[[#This Row],[مانده در خط تسویه نشده (کیلوگرم)]]</f>
        <v>82533</v>
      </c>
      <c r="AD2534" s="6">
        <f ca="1">SUBTOTAL(9,INDEX(Main[بدهی سررسید شده (کیلوگرم)],1):Main[[#This Row],[بدهی سررسید شده (کیلوگرم)]])</f>
        <v>27511</v>
      </c>
      <c r="AE2534" s="6">
        <f ca="1">IF(Main[[#This Row],[مانده در خط سررسید شده (کیلوگرم)]]&lt;&gt;0,Main[[#This Row],[تعداد کل روزهای بدهکار (روز)]],0)</f>
        <v>3</v>
      </c>
      <c r="AF2534" s="6">
        <f ca="1">Main[[#This Row],[تعداد روزهای بدهکار سررسید شده (روز)]]*Main[[#This Row],[مانده در خط سررسید شده (کیلوگرم)]]</f>
        <v>82533</v>
      </c>
    </row>
    <row r="2535" spans="1:32" hidden="1" x14ac:dyDescent="0.35">
      <c r="A2535" s="5">
        <f>ROW()-ROW(INDEX(Main[ردیف],1))+1</f>
        <v>2533</v>
      </c>
      <c r="B2535" s="31">
        <f>SUBTOTAL(2,INDEX(Main[ردیف],1):Main[[#This Row],[ردیف]])</f>
        <v>229</v>
      </c>
      <c r="C2535" s="32" t="s">
        <v>812</v>
      </c>
      <c r="D2535" s="32" t="str">
        <f>_xlfn.CONCAT("14",Main[[#This Row],[تاريخ]])</f>
        <v>1400/09/24</v>
      </c>
      <c r="E2535" s="33">
        <v>44545</v>
      </c>
      <c r="F2535" s="32">
        <v>30186</v>
      </c>
      <c r="G2535" s="5" t="str">
        <f>INDEX(customer[عنوان],MATCH(Main[[#This Row],[کد ردیابی]],customer[کد],0))</f>
        <v>سارا گاز</v>
      </c>
      <c r="H2535">
        <v>1191</v>
      </c>
      <c r="I2535" s="6">
        <f ca="1">-Main[[#This Row],[بدهی تسویه شده (کیلوگرم)]]+Main[[#This Row],[بستانکار (کیلوگرم)]]</f>
        <v>1191</v>
      </c>
      <c r="J2535" s="6">
        <f>IF(Main[[#This Row],[مقدار (کیلوگرم)]]&gt;0,Main[[#This Row],[مقدار (کیلوگرم)]],0)</f>
        <v>1191</v>
      </c>
      <c r="K2535" s="6">
        <f>-IF(Main[[#This Row],[مقدار (کیلوگرم)]]&lt;0,Main[[#This Row],[مقدار (کیلوگرم)]],0)</f>
        <v>0</v>
      </c>
      <c r="L25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5" s="7">
        <f>-IF(AND(Main[[#This Row],[مقدار (کیلوگرم)]]&lt;0,Main[[#This Row],[تاريخ میلادی]]&gt;44276),Main[[#This Row],[مقدار (کیلوگرم)]],0)</f>
        <v>0</v>
      </c>
      <c r="N2535" s="6">
        <f ca="1">Main[[#This Row],[بدهکار (کیلوگرم)]]-Main[[#This Row],[بدهی تسویه نشده (کیلوگرم)]]</f>
        <v>0</v>
      </c>
      <c r="O2535" s="6">
        <f ca="1">Main[[#This Row],[تفکیک]]</f>
        <v>0</v>
      </c>
      <c r="P2535" s="6">
        <f ca="1">IF(Main[[#This Row],[تاخیر از سررسید]]&gt;0,Main[[#This Row],[بدهی تسویه نشده (کیلوگرم)]],0)</f>
        <v>0</v>
      </c>
      <c r="Q2535" s="6">
        <f ca="1">IF(Main[[#This Row],[بدهی تسویه نشده (کیلوگرم)]]&gt;0,'گزارش فردی'!$B$7-Main[[#This Row],[تاريخ میلادی]],0)</f>
        <v>0</v>
      </c>
      <c r="R2535" s="6">
        <f ca="1">IF(Main[[#This Row],[بدهی تسویه نشده (کیلوگرم)]]&gt;0,'گزارش فردی'!$B$7-Main[[#This Row],[تاريخ میلادی]]-'گزارش فردی'!$B$8,0)</f>
        <v>0</v>
      </c>
      <c r="S2535" s="6">
        <f ca="1">Main[[#This Row],[روز از ارسال سفارش]]*Main[[#This Row],[بدهی تسویه نشده (کیلوگرم)]]</f>
        <v>0</v>
      </c>
      <c r="T2535" s="6">
        <f ca="1">Main[[#This Row],[بدهی سررسید شده (کیلوگرم)]]*Main[[#This Row],[روز از ارسال سفارش]]</f>
        <v>0</v>
      </c>
      <c r="U2535" s="6">
        <f>-SUBTOTAL(9,INDEX(Main[مقدار (کیلوگرم)],1):Main[[#This Row],[مقدار (کیلوگرم)]])</f>
        <v>41791</v>
      </c>
      <c r="V253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5" s="6">
        <f>Main[[#This Row],[تعداد کل روزهای بدهکار (روز)]]*Main[[#This Row],[مانده در خط کل (کیلوگرم)]]</f>
        <v>125373</v>
      </c>
      <c r="X2535" s="6">
        <f ca="1">-SUBTOTAL(9,INDEX(Main[مقدار تسویه شده (کیلوگرم)],1):Main[[#This Row],[مقدار تسویه شده (کیلوگرم)]])</f>
        <v>14280</v>
      </c>
      <c r="Y2535" s="6">
        <f ca="1">IF(Main[[#This Row],[مانده در خط تسویه شده (کیلوگرم)]]&lt;&gt;0,Main[[#This Row],[تعداد کل روزهای بدهکار (روز)]],0)</f>
        <v>3</v>
      </c>
      <c r="Z2535" s="6">
        <f ca="1">Main[[#This Row],[تعداد روزهای بدهکار تسویه شده (روز)]]*Main[[#This Row],[مانده در خط تسویه شده (کیلوگرم)]]</f>
        <v>42840</v>
      </c>
      <c r="AA2535" s="6">
        <f ca="1">SUBTOTAL(9,INDEX(Main[بدهی تسویه نشده (کیلوگرم)],1):Main[[#This Row],[بدهی تسویه نشده (کیلوگرم)]])</f>
        <v>27511</v>
      </c>
      <c r="AB2535" s="6">
        <f ca="1">IF(Main[[#This Row],[مانده در خط تسویه نشده (کیلوگرم)]]&lt;&gt;0,Main[[#This Row],[تعداد کل روزهای بدهکار (روز)]],0)</f>
        <v>3</v>
      </c>
      <c r="AC2535" s="6">
        <f ca="1">Main[[#This Row],[تعداد روزهای بدهکار  تسویه نشده (روز)]]*Main[[#This Row],[مانده در خط تسویه نشده (کیلوگرم)]]</f>
        <v>82533</v>
      </c>
      <c r="AD2535" s="6">
        <f ca="1">SUBTOTAL(9,INDEX(Main[بدهی سررسید شده (کیلوگرم)],1):Main[[#This Row],[بدهی سررسید شده (کیلوگرم)]])</f>
        <v>27511</v>
      </c>
      <c r="AE2535" s="6">
        <f ca="1">IF(Main[[#This Row],[مانده در خط سررسید شده (کیلوگرم)]]&lt;&gt;0,Main[[#This Row],[تعداد کل روزهای بدهکار (روز)]],0)</f>
        <v>3</v>
      </c>
      <c r="AF2535" s="6">
        <f ca="1">Main[[#This Row],[تعداد روزهای بدهکار سررسید شده (روز)]]*Main[[#This Row],[مانده در خط سررسید شده (کیلوگرم)]]</f>
        <v>82533</v>
      </c>
    </row>
    <row r="2536" spans="1:32" hidden="1" x14ac:dyDescent="0.35">
      <c r="A2536" s="5">
        <f>ROW()-ROW(INDEX(Main[ردیف],1))+1</f>
        <v>2534</v>
      </c>
      <c r="B2536" s="31">
        <f>SUBTOTAL(2,INDEX(Main[ردیف],1):Main[[#This Row],[ردیف]])</f>
        <v>229</v>
      </c>
      <c r="C2536" s="32" t="s">
        <v>812</v>
      </c>
      <c r="D2536" s="32" t="str">
        <f>_xlfn.CONCAT("14",Main[[#This Row],[تاريخ]])</f>
        <v>1400/09/24</v>
      </c>
      <c r="E2536" s="33">
        <v>44545</v>
      </c>
      <c r="F2536" s="32">
        <v>30146</v>
      </c>
      <c r="G2536" s="5" t="str">
        <f>INDEX(customer[عنوان],MATCH(Main[[#This Row],[کد ردیابی]],customer[کد],0))</f>
        <v>شرکت آذرپاد</v>
      </c>
      <c r="H2536">
        <v>526</v>
      </c>
      <c r="I2536" s="6">
        <f ca="1">-Main[[#This Row],[بدهی تسویه شده (کیلوگرم)]]+Main[[#This Row],[بستانکار (کیلوگرم)]]</f>
        <v>526</v>
      </c>
      <c r="J2536" s="6">
        <f>IF(Main[[#This Row],[مقدار (کیلوگرم)]]&gt;0,Main[[#This Row],[مقدار (کیلوگرم)]],0)</f>
        <v>526</v>
      </c>
      <c r="K2536" s="6">
        <f>-IF(Main[[#This Row],[مقدار (کیلوگرم)]]&lt;0,Main[[#This Row],[مقدار (کیلوگرم)]],0)</f>
        <v>0</v>
      </c>
      <c r="L25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6" s="7">
        <f>-IF(AND(Main[[#This Row],[مقدار (کیلوگرم)]]&lt;0,Main[[#This Row],[تاريخ میلادی]]&gt;44276),Main[[#This Row],[مقدار (کیلوگرم)]],0)</f>
        <v>0</v>
      </c>
      <c r="N2536" s="6">
        <f ca="1">Main[[#This Row],[بدهکار (کیلوگرم)]]-Main[[#This Row],[بدهی تسویه نشده (کیلوگرم)]]</f>
        <v>0</v>
      </c>
      <c r="O2536" s="6">
        <f ca="1">Main[[#This Row],[تفکیک]]</f>
        <v>0</v>
      </c>
      <c r="P2536" s="6">
        <f ca="1">IF(Main[[#This Row],[تاخیر از سررسید]]&gt;0,Main[[#This Row],[بدهی تسویه نشده (کیلوگرم)]],0)</f>
        <v>0</v>
      </c>
      <c r="Q2536" s="6">
        <f ca="1">IF(Main[[#This Row],[بدهی تسویه نشده (کیلوگرم)]]&gt;0,'گزارش فردی'!$B$7-Main[[#This Row],[تاريخ میلادی]],0)</f>
        <v>0</v>
      </c>
      <c r="R2536" s="6">
        <f ca="1">IF(Main[[#This Row],[بدهی تسویه نشده (کیلوگرم)]]&gt;0,'گزارش فردی'!$B$7-Main[[#This Row],[تاريخ میلادی]]-'گزارش فردی'!$B$8,0)</f>
        <v>0</v>
      </c>
      <c r="S2536" s="6">
        <f ca="1">Main[[#This Row],[روز از ارسال سفارش]]*Main[[#This Row],[بدهی تسویه نشده (کیلوگرم)]]</f>
        <v>0</v>
      </c>
      <c r="T2536" s="6">
        <f ca="1">Main[[#This Row],[بدهی سررسید شده (کیلوگرم)]]*Main[[#This Row],[روز از ارسال سفارش]]</f>
        <v>0</v>
      </c>
      <c r="U2536" s="6">
        <f>-SUBTOTAL(9,INDEX(Main[مقدار (کیلوگرم)],1):Main[[#This Row],[مقدار (کیلوگرم)]])</f>
        <v>41791</v>
      </c>
      <c r="V253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6" s="6">
        <f>Main[[#This Row],[تعداد کل روزهای بدهکار (روز)]]*Main[[#This Row],[مانده در خط کل (کیلوگرم)]]</f>
        <v>125373</v>
      </c>
      <c r="X2536" s="6">
        <f ca="1">-SUBTOTAL(9,INDEX(Main[مقدار تسویه شده (کیلوگرم)],1):Main[[#This Row],[مقدار تسویه شده (کیلوگرم)]])</f>
        <v>14280</v>
      </c>
      <c r="Y2536" s="6">
        <f ca="1">IF(Main[[#This Row],[مانده در خط تسویه شده (کیلوگرم)]]&lt;&gt;0,Main[[#This Row],[تعداد کل روزهای بدهکار (روز)]],0)</f>
        <v>3</v>
      </c>
      <c r="Z2536" s="6">
        <f ca="1">Main[[#This Row],[تعداد روزهای بدهکار تسویه شده (روز)]]*Main[[#This Row],[مانده در خط تسویه شده (کیلوگرم)]]</f>
        <v>42840</v>
      </c>
      <c r="AA2536" s="6">
        <f ca="1">SUBTOTAL(9,INDEX(Main[بدهی تسویه نشده (کیلوگرم)],1):Main[[#This Row],[بدهی تسویه نشده (کیلوگرم)]])</f>
        <v>27511</v>
      </c>
      <c r="AB2536" s="6">
        <f ca="1">IF(Main[[#This Row],[مانده در خط تسویه نشده (کیلوگرم)]]&lt;&gt;0,Main[[#This Row],[تعداد کل روزهای بدهکار (روز)]],0)</f>
        <v>3</v>
      </c>
      <c r="AC2536" s="6">
        <f ca="1">Main[[#This Row],[تعداد روزهای بدهکار  تسویه نشده (روز)]]*Main[[#This Row],[مانده در خط تسویه نشده (کیلوگرم)]]</f>
        <v>82533</v>
      </c>
      <c r="AD2536" s="6">
        <f ca="1">SUBTOTAL(9,INDEX(Main[بدهی سررسید شده (کیلوگرم)],1):Main[[#This Row],[بدهی سررسید شده (کیلوگرم)]])</f>
        <v>27511</v>
      </c>
      <c r="AE2536" s="6">
        <f ca="1">IF(Main[[#This Row],[مانده در خط سررسید شده (کیلوگرم)]]&lt;&gt;0,Main[[#This Row],[تعداد کل روزهای بدهکار (روز)]],0)</f>
        <v>3</v>
      </c>
      <c r="AF2536" s="6">
        <f ca="1">Main[[#This Row],[تعداد روزهای بدهکار سررسید شده (روز)]]*Main[[#This Row],[مانده در خط سررسید شده (کیلوگرم)]]</f>
        <v>82533</v>
      </c>
    </row>
    <row r="2537" spans="1:32" hidden="1" x14ac:dyDescent="0.35">
      <c r="A2537" s="5">
        <f>ROW()-ROW(INDEX(Main[ردیف],1))+1</f>
        <v>2535</v>
      </c>
      <c r="B2537" s="31">
        <f>SUBTOTAL(2,INDEX(Main[ردیف],1):Main[[#This Row],[ردیف]])</f>
        <v>229</v>
      </c>
      <c r="C2537" s="32" t="s">
        <v>812</v>
      </c>
      <c r="D2537" s="32" t="str">
        <f>_xlfn.CONCAT("14",Main[[#This Row],[تاريخ]])</f>
        <v>1400/09/24</v>
      </c>
      <c r="E2537" s="33">
        <v>44545</v>
      </c>
      <c r="F2537" s="32">
        <v>30127</v>
      </c>
      <c r="G2537" s="5" t="str">
        <f>INDEX(customer[عنوان],MATCH(Main[[#This Row],[کد ردیابی]],customer[کد],0))</f>
        <v>شیر گاز آذران</v>
      </c>
      <c r="H2537">
        <v>14485</v>
      </c>
      <c r="I2537" s="6">
        <f ca="1">-Main[[#This Row],[بدهی تسویه شده (کیلوگرم)]]+Main[[#This Row],[بستانکار (کیلوگرم)]]</f>
        <v>14485</v>
      </c>
      <c r="J2537" s="6">
        <f>IF(Main[[#This Row],[مقدار (کیلوگرم)]]&gt;0,Main[[#This Row],[مقدار (کیلوگرم)]],0)</f>
        <v>14485</v>
      </c>
      <c r="K2537" s="6">
        <f>-IF(Main[[#This Row],[مقدار (کیلوگرم)]]&lt;0,Main[[#This Row],[مقدار (کیلوگرم)]],0)</f>
        <v>0</v>
      </c>
      <c r="L25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7" s="7">
        <f>-IF(AND(Main[[#This Row],[مقدار (کیلوگرم)]]&lt;0,Main[[#This Row],[تاريخ میلادی]]&gt;44276),Main[[#This Row],[مقدار (کیلوگرم)]],0)</f>
        <v>0</v>
      </c>
      <c r="N2537" s="6">
        <f ca="1">Main[[#This Row],[بدهکار (کیلوگرم)]]-Main[[#This Row],[بدهی تسویه نشده (کیلوگرم)]]</f>
        <v>0</v>
      </c>
      <c r="O2537" s="6">
        <f ca="1">Main[[#This Row],[تفکیک]]</f>
        <v>0</v>
      </c>
      <c r="P2537" s="6">
        <f ca="1">IF(Main[[#This Row],[تاخیر از سررسید]]&gt;0,Main[[#This Row],[بدهی تسویه نشده (کیلوگرم)]],0)</f>
        <v>0</v>
      </c>
      <c r="Q2537" s="6">
        <f ca="1">IF(Main[[#This Row],[بدهی تسویه نشده (کیلوگرم)]]&gt;0,'گزارش فردی'!$B$7-Main[[#This Row],[تاريخ میلادی]],0)</f>
        <v>0</v>
      </c>
      <c r="R2537" s="6">
        <f ca="1">IF(Main[[#This Row],[بدهی تسویه نشده (کیلوگرم)]]&gt;0,'گزارش فردی'!$B$7-Main[[#This Row],[تاريخ میلادی]]-'گزارش فردی'!$B$8,0)</f>
        <v>0</v>
      </c>
      <c r="S2537" s="6">
        <f ca="1">Main[[#This Row],[روز از ارسال سفارش]]*Main[[#This Row],[بدهی تسویه نشده (کیلوگرم)]]</f>
        <v>0</v>
      </c>
      <c r="T2537" s="6">
        <f ca="1">Main[[#This Row],[بدهی سررسید شده (کیلوگرم)]]*Main[[#This Row],[روز از ارسال سفارش]]</f>
        <v>0</v>
      </c>
      <c r="U2537" s="6">
        <f>-SUBTOTAL(9,INDEX(Main[مقدار (کیلوگرم)],1):Main[[#This Row],[مقدار (کیلوگرم)]])</f>
        <v>41791</v>
      </c>
      <c r="V253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7" s="6">
        <f>Main[[#This Row],[تعداد کل روزهای بدهکار (روز)]]*Main[[#This Row],[مانده در خط کل (کیلوگرم)]]</f>
        <v>125373</v>
      </c>
      <c r="X2537" s="6">
        <f ca="1">-SUBTOTAL(9,INDEX(Main[مقدار تسویه شده (کیلوگرم)],1):Main[[#This Row],[مقدار تسویه شده (کیلوگرم)]])</f>
        <v>14280</v>
      </c>
      <c r="Y2537" s="6">
        <f ca="1">IF(Main[[#This Row],[مانده در خط تسویه شده (کیلوگرم)]]&lt;&gt;0,Main[[#This Row],[تعداد کل روزهای بدهکار (روز)]],0)</f>
        <v>3</v>
      </c>
      <c r="Z2537" s="6">
        <f ca="1">Main[[#This Row],[تعداد روزهای بدهکار تسویه شده (روز)]]*Main[[#This Row],[مانده در خط تسویه شده (کیلوگرم)]]</f>
        <v>42840</v>
      </c>
      <c r="AA2537" s="6">
        <f ca="1">SUBTOTAL(9,INDEX(Main[بدهی تسویه نشده (کیلوگرم)],1):Main[[#This Row],[بدهی تسویه نشده (کیلوگرم)]])</f>
        <v>27511</v>
      </c>
      <c r="AB2537" s="6">
        <f ca="1">IF(Main[[#This Row],[مانده در خط تسویه نشده (کیلوگرم)]]&lt;&gt;0,Main[[#This Row],[تعداد کل روزهای بدهکار (روز)]],0)</f>
        <v>3</v>
      </c>
      <c r="AC2537" s="6">
        <f ca="1">Main[[#This Row],[تعداد روزهای بدهکار  تسویه نشده (روز)]]*Main[[#This Row],[مانده در خط تسویه نشده (کیلوگرم)]]</f>
        <v>82533</v>
      </c>
      <c r="AD2537" s="6">
        <f ca="1">SUBTOTAL(9,INDEX(Main[بدهی سررسید شده (کیلوگرم)],1):Main[[#This Row],[بدهی سررسید شده (کیلوگرم)]])</f>
        <v>27511</v>
      </c>
      <c r="AE2537" s="6">
        <f ca="1">IF(Main[[#This Row],[مانده در خط سررسید شده (کیلوگرم)]]&lt;&gt;0,Main[[#This Row],[تعداد کل روزهای بدهکار (روز)]],0)</f>
        <v>3</v>
      </c>
      <c r="AF2537" s="6">
        <f ca="1">Main[[#This Row],[تعداد روزهای بدهکار سررسید شده (روز)]]*Main[[#This Row],[مانده در خط سررسید شده (کیلوگرم)]]</f>
        <v>82533</v>
      </c>
    </row>
    <row r="2538" spans="1:32" hidden="1" x14ac:dyDescent="0.35">
      <c r="A2538" s="5">
        <f>ROW()-ROW(INDEX(Main[ردیف],1))+1</f>
        <v>2536</v>
      </c>
      <c r="B2538" s="31">
        <f>SUBTOTAL(2,INDEX(Main[ردیف],1):Main[[#This Row],[ردیف]])</f>
        <v>229</v>
      </c>
      <c r="C2538" s="32" t="s">
        <v>812</v>
      </c>
      <c r="D2538" s="32" t="str">
        <f>_xlfn.CONCAT("14",Main[[#This Row],[تاريخ]])</f>
        <v>1400/09/24</v>
      </c>
      <c r="E2538" s="33">
        <v>44545</v>
      </c>
      <c r="F2538" s="32">
        <v>30081</v>
      </c>
      <c r="G2538" s="5" t="str">
        <f>INDEX(customer[عنوان],MATCH(Main[[#This Row],[کد ردیابی]],customer[کد],0))</f>
        <v xml:space="preserve">شیرآلات بهداشتی راسان </v>
      </c>
      <c r="H2538">
        <v>1286</v>
      </c>
      <c r="I2538" s="6">
        <f ca="1">-Main[[#This Row],[بدهی تسویه شده (کیلوگرم)]]+Main[[#This Row],[بستانکار (کیلوگرم)]]</f>
        <v>1286</v>
      </c>
      <c r="J2538" s="6">
        <f>IF(Main[[#This Row],[مقدار (کیلوگرم)]]&gt;0,Main[[#This Row],[مقدار (کیلوگرم)]],0)</f>
        <v>1286</v>
      </c>
      <c r="K2538" s="6">
        <f>-IF(Main[[#This Row],[مقدار (کیلوگرم)]]&lt;0,Main[[#This Row],[مقدار (کیلوگرم)]],0)</f>
        <v>0</v>
      </c>
      <c r="L25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8" s="7">
        <f>-IF(AND(Main[[#This Row],[مقدار (کیلوگرم)]]&lt;0,Main[[#This Row],[تاريخ میلادی]]&gt;44276),Main[[#This Row],[مقدار (کیلوگرم)]],0)</f>
        <v>0</v>
      </c>
      <c r="N2538" s="6">
        <f ca="1">Main[[#This Row],[بدهکار (کیلوگرم)]]-Main[[#This Row],[بدهی تسویه نشده (کیلوگرم)]]</f>
        <v>0</v>
      </c>
      <c r="O2538" s="6">
        <f ca="1">Main[[#This Row],[تفکیک]]</f>
        <v>0</v>
      </c>
      <c r="P2538" s="6">
        <f ca="1">IF(Main[[#This Row],[تاخیر از سررسید]]&gt;0,Main[[#This Row],[بدهی تسویه نشده (کیلوگرم)]],0)</f>
        <v>0</v>
      </c>
      <c r="Q2538" s="6">
        <f ca="1">IF(Main[[#This Row],[بدهی تسویه نشده (کیلوگرم)]]&gt;0,'گزارش فردی'!$B$7-Main[[#This Row],[تاريخ میلادی]],0)</f>
        <v>0</v>
      </c>
      <c r="R2538" s="6">
        <f ca="1">IF(Main[[#This Row],[بدهی تسویه نشده (کیلوگرم)]]&gt;0,'گزارش فردی'!$B$7-Main[[#This Row],[تاريخ میلادی]]-'گزارش فردی'!$B$8,0)</f>
        <v>0</v>
      </c>
      <c r="S2538" s="6">
        <f ca="1">Main[[#This Row],[روز از ارسال سفارش]]*Main[[#This Row],[بدهی تسویه نشده (کیلوگرم)]]</f>
        <v>0</v>
      </c>
      <c r="T2538" s="6">
        <f ca="1">Main[[#This Row],[بدهی سررسید شده (کیلوگرم)]]*Main[[#This Row],[روز از ارسال سفارش]]</f>
        <v>0</v>
      </c>
      <c r="U2538" s="6">
        <f>-SUBTOTAL(9,INDEX(Main[مقدار (کیلوگرم)],1):Main[[#This Row],[مقدار (کیلوگرم)]])</f>
        <v>41791</v>
      </c>
      <c r="V253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8" s="6">
        <f>Main[[#This Row],[تعداد کل روزهای بدهکار (روز)]]*Main[[#This Row],[مانده در خط کل (کیلوگرم)]]</f>
        <v>125373</v>
      </c>
      <c r="X2538" s="6">
        <f ca="1">-SUBTOTAL(9,INDEX(Main[مقدار تسویه شده (کیلوگرم)],1):Main[[#This Row],[مقدار تسویه شده (کیلوگرم)]])</f>
        <v>14280</v>
      </c>
      <c r="Y2538" s="6">
        <f ca="1">IF(Main[[#This Row],[مانده در خط تسویه شده (کیلوگرم)]]&lt;&gt;0,Main[[#This Row],[تعداد کل روزهای بدهکار (روز)]],0)</f>
        <v>3</v>
      </c>
      <c r="Z2538" s="6">
        <f ca="1">Main[[#This Row],[تعداد روزهای بدهکار تسویه شده (روز)]]*Main[[#This Row],[مانده در خط تسویه شده (کیلوگرم)]]</f>
        <v>42840</v>
      </c>
      <c r="AA2538" s="6">
        <f ca="1">SUBTOTAL(9,INDEX(Main[بدهی تسویه نشده (کیلوگرم)],1):Main[[#This Row],[بدهی تسویه نشده (کیلوگرم)]])</f>
        <v>27511</v>
      </c>
      <c r="AB2538" s="6">
        <f ca="1">IF(Main[[#This Row],[مانده در خط تسویه نشده (کیلوگرم)]]&lt;&gt;0,Main[[#This Row],[تعداد کل روزهای بدهکار (روز)]],0)</f>
        <v>3</v>
      </c>
      <c r="AC2538" s="6">
        <f ca="1">Main[[#This Row],[تعداد روزهای بدهکار  تسویه نشده (روز)]]*Main[[#This Row],[مانده در خط تسویه نشده (کیلوگرم)]]</f>
        <v>82533</v>
      </c>
      <c r="AD2538" s="6">
        <f ca="1">SUBTOTAL(9,INDEX(Main[بدهی سررسید شده (کیلوگرم)],1):Main[[#This Row],[بدهی سررسید شده (کیلوگرم)]])</f>
        <v>27511</v>
      </c>
      <c r="AE2538" s="6">
        <f ca="1">IF(Main[[#This Row],[مانده در خط سررسید شده (کیلوگرم)]]&lt;&gt;0,Main[[#This Row],[تعداد کل روزهای بدهکار (روز)]],0)</f>
        <v>3</v>
      </c>
      <c r="AF2538" s="6">
        <f ca="1">Main[[#This Row],[تعداد روزهای بدهکار سررسید شده (روز)]]*Main[[#This Row],[مانده در خط سررسید شده (کیلوگرم)]]</f>
        <v>82533</v>
      </c>
    </row>
    <row r="2539" spans="1:32" hidden="1" x14ac:dyDescent="0.35">
      <c r="A2539" s="5">
        <f>ROW()-ROW(INDEX(Main[ردیف],1))+1</f>
        <v>2537</v>
      </c>
      <c r="B2539" s="31">
        <f>SUBTOTAL(2,INDEX(Main[ردیف],1):Main[[#This Row],[ردیف]])</f>
        <v>229</v>
      </c>
      <c r="C2539" s="32" t="s">
        <v>812</v>
      </c>
      <c r="D2539" s="32" t="str">
        <f>_xlfn.CONCAT("14",Main[[#This Row],[تاريخ]])</f>
        <v>1400/09/24</v>
      </c>
      <c r="E2539" s="33">
        <v>44545</v>
      </c>
      <c r="F2539" s="32">
        <v>30009</v>
      </c>
      <c r="G2539" s="5" t="str">
        <f>INDEX(customer[عنوان],MATCH(Main[[#This Row],[کد ردیابی]],customer[کد],0))</f>
        <v>شرکت ایمن تک پیشرو</v>
      </c>
      <c r="H2539">
        <v>1984</v>
      </c>
      <c r="I2539" s="6">
        <f ca="1">-Main[[#This Row],[بدهی تسویه شده (کیلوگرم)]]+Main[[#This Row],[بستانکار (کیلوگرم)]]</f>
        <v>1984</v>
      </c>
      <c r="J2539" s="6">
        <f>IF(Main[[#This Row],[مقدار (کیلوگرم)]]&gt;0,Main[[#This Row],[مقدار (کیلوگرم)]],0)</f>
        <v>1984</v>
      </c>
      <c r="K2539" s="6">
        <f>-IF(Main[[#This Row],[مقدار (کیلوگرم)]]&lt;0,Main[[#This Row],[مقدار (کیلوگرم)]],0)</f>
        <v>0</v>
      </c>
      <c r="L25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9" s="7">
        <f>-IF(AND(Main[[#This Row],[مقدار (کیلوگرم)]]&lt;0,Main[[#This Row],[تاريخ میلادی]]&gt;44276),Main[[#This Row],[مقدار (کیلوگرم)]],0)</f>
        <v>0</v>
      </c>
      <c r="N2539" s="6">
        <f ca="1">Main[[#This Row],[بدهکار (کیلوگرم)]]-Main[[#This Row],[بدهی تسویه نشده (کیلوگرم)]]</f>
        <v>0</v>
      </c>
      <c r="O2539" s="6">
        <f ca="1">Main[[#This Row],[تفکیک]]</f>
        <v>0</v>
      </c>
      <c r="P2539" s="6">
        <f ca="1">IF(Main[[#This Row],[تاخیر از سررسید]]&gt;0,Main[[#This Row],[بدهی تسویه نشده (کیلوگرم)]],0)</f>
        <v>0</v>
      </c>
      <c r="Q2539" s="6">
        <f ca="1">IF(Main[[#This Row],[بدهی تسویه نشده (کیلوگرم)]]&gt;0,'گزارش فردی'!$B$7-Main[[#This Row],[تاريخ میلادی]],0)</f>
        <v>0</v>
      </c>
      <c r="R2539" s="6">
        <f ca="1">IF(Main[[#This Row],[بدهی تسویه نشده (کیلوگرم)]]&gt;0,'گزارش فردی'!$B$7-Main[[#This Row],[تاريخ میلادی]]-'گزارش فردی'!$B$8,0)</f>
        <v>0</v>
      </c>
      <c r="S2539" s="6">
        <f ca="1">Main[[#This Row],[روز از ارسال سفارش]]*Main[[#This Row],[بدهی تسویه نشده (کیلوگرم)]]</f>
        <v>0</v>
      </c>
      <c r="T2539" s="6">
        <f ca="1">Main[[#This Row],[بدهی سررسید شده (کیلوگرم)]]*Main[[#This Row],[روز از ارسال سفارش]]</f>
        <v>0</v>
      </c>
      <c r="U2539" s="6">
        <f>-SUBTOTAL(9,INDEX(Main[مقدار (کیلوگرم)],1):Main[[#This Row],[مقدار (کیلوگرم)]])</f>
        <v>41791</v>
      </c>
      <c r="V253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9" s="6">
        <f>Main[[#This Row],[تعداد کل روزهای بدهکار (روز)]]*Main[[#This Row],[مانده در خط کل (کیلوگرم)]]</f>
        <v>125373</v>
      </c>
      <c r="X2539" s="6">
        <f ca="1">-SUBTOTAL(9,INDEX(Main[مقدار تسویه شده (کیلوگرم)],1):Main[[#This Row],[مقدار تسویه شده (کیلوگرم)]])</f>
        <v>14280</v>
      </c>
      <c r="Y2539" s="6">
        <f ca="1">IF(Main[[#This Row],[مانده در خط تسویه شده (کیلوگرم)]]&lt;&gt;0,Main[[#This Row],[تعداد کل روزهای بدهکار (روز)]],0)</f>
        <v>3</v>
      </c>
      <c r="Z2539" s="6">
        <f ca="1">Main[[#This Row],[تعداد روزهای بدهکار تسویه شده (روز)]]*Main[[#This Row],[مانده در خط تسویه شده (کیلوگرم)]]</f>
        <v>42840</v>
      </c>
      <c r="AA2539" s="6">
        <f ca="1">SUBTOTAL(9,INDEX(Main[بدهی تسویه نشده (کیلوگرم)],1):Main[[#This Row],[بدهی تسویه نشده (کیلوگرم)]])</f>
        <v>27511</v>
      </c>
      <c r="AB2539" s="6">
        <f ca="1">IF(Main[[#This Row],[مانده در خط تسویه نشده (کیلوگرم)]]&lt;&gt;0,Main[[#This Row],[تعداد کل روزهای بدهکار (روز)]],0)</f>
        <v>3</v>
      </c>
      <c r="AC2539" s="6">
        <f ca="1">Main[[#This Row],[تعداد روزهای بدهکار  تسویه نشده (روز)]]*Main[[#This Row],[مانده در خط تسویه نشده (کیلوگرم)]]</f>
        <v>82533</v>
      </c>
      <c r="AD2539" s="6">
        <f ca="1">SUBTOTAL(9,INDEX(Main[بدهی سررسید شده (کیلوگرم)],1):Main[[#This Row],[بدهی سررسید شده (کیلوگرم)]])</f>
        <v>27511</v>
      </c>
      <c r="AE2539" s="6">
        <f ca="1">IF(Main[[#This Row],[مانده در خط سررسید شده (کیلوگرم)]]&lt;&gt;0,Main[[#This Row],[تعداد کل روزهای بدهکار (روز)]],0)</f>
        <v>3</v>
      </c>
      <c r="AF2539" s="6">
        <f ca="1">Main[[#This Row],[تعداد روزهای بدهکار سررسید شده (روز)]]*Main[[#This Row],[مانده در خط سررسید شده (کیلوگرم)]]</f>
        <v>82533</v>
      </c>
    </row>
    <row r="2540" spans="1:32" hidden="1" x14ac:dyDescent="0.35">
      <c r="A2540" s="5">
        <f>ROW()-ROW(INDEX(Main[ردیف],1))+1</f>
        <v>2538</v>
      </c>
      <c r="B2540" s="31">
        <f>SUBTOTAL(2,INDEX(Main[ردیف],1):Main[[#This Row],[ردیف]])</f>
        <v>229</v>
      </c>
      <c r="C2540" s="32" t="s">
        <v>812</v>
      </c>
      <c r="D2540" s="32" t="str">
        <f>_xlfn.CONCAT("14",Main[[#This Row],[تاريخ]])</f>
        <v>1400/09/24</v>
      </c>
      <c r="E2540" s="33">
        <v>44545</v>
      </c>
      <c r="F2540" s="32">
        <v>30070</v>
      </c>
      <c r="G2540" s="5" t="str">
        <f>INDEX(customer[عنوان],MATCH(Main[[#This Row],[کد ردیابی]],customer[کد],0))</f>
        <v xml:space="preserve">تکنو تراش یادگار </v>
      </c>
      <c r="H2540">
        <v>1887</v>
      </c>
      <c r="I2540" s="6">
        <f ca="1">-Main[[#This Row],[بدهی تسویه شده (کیلوگرم)]]+Main[[#This Row],[بستانکار (کیلوگرم)]]</f>
        <v>1887</v>
      </c>
      <c r="J2540" s="6">
        <f>IF(Main[[#This Row],[مقدار (کیلوگرم)]]&gt;0,Main[[#This Row],[مقدار (کیلوگرم)]],0)</f>
        <v>1887</v>
      </c>
      <c r="K2540" s="6">
        <f>-IF(Main[[#This Row],[مقدار (کیلوگرم)]]&lt;0,Main[[#This Row],[مقدار (کیلوگرم)]],0)</f>
        <v>0</v>
      </c>
      <c r="L25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0" s="7">
        <f>-IF(AND(Main[[#This Row],[مقدار (کیلوگرم)]]&lt;0,Main[[#This Row],[تاريخ میلادی]]&gt;44276),Main[[#This Row],[مقدار (کیلوگرم)]],0)</f>
        <v>0</v>
      </c>
      <c r="N2540" s="6">
        <f ca="1">Main[[#This Row],[بدهکار (کیلوگرم)]]-Main[[#This Row],[بدهی تسویه نشده (کیلوگرم)]]</f>
        <v>0</v>
      </c>
      <c r="O2540" s="6">
        <f ca="1">Main[[#This Row],[تفکیک]]</f>
        <v>0</v>
      </c>
      <c r="P2540" s="6">
        <f ca="1">IF(Main[[#This Row],[تاخیر از سررسید]]&gt;0,Main[[#This Row],[بدهی تسویه نشده (کیلوگرم)]],0)</f>
        <v>0</v>
      </c>
      <c r="Q2540" s="6">
        <f ca="1">IF(Main[[#This Row],[بدهی تسویه نشده (کیلوگرم)]]&gt;0,'گزارش فردی'!$B$7-Main[[#This Row],[تاريخ میلادی]],0)</f>
        <v>0</v>
      </c>
      <c r="R2540" s="6">
        <f ca="1">IF(Main[[#This Row],[بدهی تسویه نشده (کیلوگرم)]]&gt;0,'گزارش فردی'!$B$7-Main[[#This Row],[تاريخ میلادی]]-'گزارش فردی'!$B$8,0)</f>
        <v>0</v>
      </c>
      <c r="S2540" s="6">
        <f ca="1">Main[[#This Row],[روز از ارسال سفارش]]*Main[[#This Row],[بدهی تسویه نشده (کیلوگرم)]]</f>
        <v>0</v>
      </c>
      <c r="T2540" s="6">
        <f ca="1">Main[[#This Row],[بدهی سررسید شده (کیلوگرم)]]*Main[[#This Row],[روز از ارسال سفارش]]</f>
        <v>0</v>
      </c>
      <c r="U2540" s="6">
        <f>-SUBTOTAL(9,INDEX(Main[مقدار (کیلوگرم)],1):Main[[#This Row],[مقدار (کیلوگرم)]])</f>
        <v>41791</v>
      </c>
      <c r="V254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40" s="6">
        <f>Main[[#This Row],[تعداد کل روزهای بدهکار (روز)]]*Main[[#This Row],[مانده در خط کل (کیلوگرم)]]</f>
        <v>125373</v>
      </c>
      <c r="X2540" s="6">
        <f ca="1">-SUBTOTAL(9,INDEX(Main[مقدار تسویه شده (کیلوگرم)],1):Main[[#This Row],[مقدار تسویه شده (کیلوگرم)]])</f>
        <v>14280</v>
      </c>
      <c r="Y2540" s="6">
        <f ca="1">IF(Main[[#This Row],[مانده در خط تسویه شده (کیلوگرم)]]&lt;&gt;0,Main[[#This Row],[تعداد کل روزهای بدهکار (روز)]],0)</f>
        <v>3</v>
      </c>
      <c r="Z2540" s="6">
        <f ca="1">Main[[#This Row],[تعداد روزهای بدهکار تسویه شده (روز)]]*Main[[#This Row],[مانده در خط تسویه شده (کیلوگرم)]]</f>
        <v>42840</v>
      </c>
      <c r="AA2540" s="6">
        <f ca="1">SUBTOTAL(9,INDEX(Main[بدهی تسویه نشده (کیلوگرم)],1):Main[[#This Row],[بدهی تسویه نشده (کیلوگرم)]])</f>
        <v>27511</v>
      </c>
      <c r="AB2540" s="6">
        <f ca="1">IF(Main[[#This Row],[مانده در خط تسویه نشده (کیلوگرم)]]&lt;&gt;0,Main[[#This Row],[تعداد کل روزهای بدهکار (روز)]],0)</f>
        <v>3</v>
      </c>
      <c r="AC2540" s="6">
        <f ca="1">Main[[#This Row],[تعداد روزهای بدهکار  تسویه نشده (روز)]]*Main[[#This Row],[مانده در خط تسویه نشده (کیلوگرم)]]</f>
        <v>82533</v>
      </c>
      <c r="AD2540" s="6">
        <f ca="1">SUBTOTAL(9,INDEX(Main[بدهی سررسید شده (کیلوگرم)],1):Main[[#This Row],[بدهی سررسید شده (کیلوگرم)]])</f>
        <v>27511</v>
      </c>
      <c r="AE2540" s="6">
        <f ca="1">IF(Main[[#This Row],[مانده در خط سررسید شده (کیلوگرم)]]&lt;&gt;0,Main[[#This Row],[تعداد کل روزهای بدهکار (روز)]],0)</f>
        <v>3</v>
      </c>
      <c r="AF2540" s="6">
        <f ca="1">Main[[#This Row],[تعداد روزهای بدهکار سررسید شده (روز)]]*Main[[#This Row],[مانده در خط سررسید شده (کیلوگرم)]]</f>
        <v>82533</v>
      </c>
    </row>
    <row r="2541" spans="1:32" hidden="1" x14ac:dyDescent="0.35">
      <c r="A2541" s="5">
        <f>ROW()-ROW(INDEX(Main[ردیف],1))+1</f>
        <v>2539</v>
      </c>
      <c r="B2541" s="31">
        <f>SUBTOTAL(2,INDEX(Main[ردیف],1):Main[[#This Row],[ردیف]])</f>
        <v>229</v>
      </c>
      <c r="C2541" s="32" t="s">
        <v>814</v>
      </c>
      <c r="D2541" s="32" t="str">
        <f>_xlfn.CONCAT("14",Main[[#This Row],[تاريخ]])</f>
        <v>1400/09/25</v>
      </c>
      <c r="E2541" s="33">
        <v>44546</v>
      </c>
      <c r="F2541" s="32">
        <v>30009</v>
      </c>
      <c r="G2541" s="5" t="str">
        <f>INDEX(customer[عنوان],MATCH(Main[[#This Row],[کد ردیابی]],customer[کد],0))</f>
        <v>شرکت ایمن تک پیشرو</v>
      </c>
      <c r="H2541">
        <v>-1022</v>
      </c>
      <c r="I2541" s="6">
        <f ca="1">-Main[[#This Row],[بدهی تسویه شده (کیلوگرم)]]+Main[[#This Row],[بستانکار (کیلوگرم)]]</f>
        <v>0</v>
      </c>
      <c r="J2541" s="6">
        <f>IF(Main[[#This Row],[مقدار (کیلوگرم)]]&gt;0,Main[[#This Row],[مقدار (کیلوگرم)]],0)</f>
        <v>0</v>
      </c>
      <c r="K2541" s="6">
        <f>-IF(Main[[#This Row],[مقدار (کیلوگرم)]]&lt;0,Main[[#This Row],[مقدار (کیلوگرم)]],0)</f>
        <v>1022</v>
      </c>
      <c r="L25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1022</v>
      </c>
      <c r="M2541" s="7">
        <f>-IF(AND(Main[[#This Row],[مقدار (کیلوگرم)]]&lt;0,Main[[#This Row],[تاريخ میلادی]]&gt;44276),Main[[#This Row],[مقدار (کیلوگرم)]],0)</f>
        <v>1022</v>
      </c>
      <c r="N2541" s="6">
        <f ca="1">Main[[#This Row],[بدهکار (کیلوگرم)]]-Main[[#This Row],[بدهی تسویه نشده (کیلوگرم)]]</f>
        <v>0</v>
      </c>
      <c r="O2541" s="6">
        <f ca="1">Main[[#This Row],[تفکیک]]</f>
        <v>1022</v>
      </c>
      <c r="P2541" s="6">
        <f ca="1">IF(Main[[#This Row],[تاخیر از سررسید]]&gt;0,Main[[#This Row],[بدهی تسویه نشده (کیلوگرم)]],0)</f>
        <v>1022</v>
      </c>
      <c r="Q2541" s="6">
        <f ca="1">IF(Main[[#This Row],[بدهی تسویه نشده (کیلوگرم)]]&gt;0,'گزارش فردی'!$B$7-Main[[#This Row],[تاريخ میلادی]],0)</f>
        <v>916.75374085648218</v>
      </c>
      <c r="R2541" s="6">
        <f ca="1">IF(Main[[#This Row],[بدهی تسویه نشده (کیلوگرم)]]&gt;0,'گزارش فردی'!$B$7-Main[[#This Row],[تاريخ میلادی]]-'گزارش فردی'!$B$8,0)</f>
        <v>901.75374085648218</v>
      </c>
      <c r="S2541" s="6">
        <f ca="1">Main[[#This Row],[روز از ارسال سفارش]]*Main[[#This Row],[بدهی تسویه نشده (کیلوگرم)]]</f>
        <v>936922.32315532479</v>
      </c>
      <c r="T2541" s="6">
        <f ca="1">Main[[#This Row],[بدهی سررسید شده (کیلوگرم)]]*Main[[#This Row],[روز از ارسال سفارش]]</f>
        <v>936922.32315532479</v>
      </c>
      <c r="U2541" s="6">
        <f>-SUBTOTAL(9,INDEX(Main[مقدار (کیلوگرم)],1):Main[[#This Row],[مقدار (کیلوگرم)]])</f>
        <v>41791</v>
      </c>
      <c r="V254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1" s="6">
        <f>Main[[#This Row],[تعداد کل روزهای بدهکار (روز)]]*Main[[#This Row],[مانده در خط کل (کیلوگرم)]]</f>
        <v>83582</v>
      </c>
      <c r="X2541" s="6">
        <f ca="1">-SUBTOTAL(9,INDEX(Main[مقدار تسویه شده (کیلوگرم)],1):Main[[#This Row],[مقدار تسویه شده (کیلوگرم)]])</f>
        <v>14280</v>
      </c>
      <c r="Y2541" s="6">
        <f ca="1">IF(Main[[#This Row],[مانده در خط تسویه شده (کیلوگرم)]]&lt;&gt;0,Main[[#This Row],[تعداد کل روزهای بدهکار (روز)]],0)</f>
        <v>2</v>
      </c>
      <c r="Z2541" s="6">
        <f ca="1">Main[[#This Row],[تعداد روزهای بدهکار تسویه شده (روز)]]*Main[[#This Row],[مانده در خط تسویه شده (کیلوگرم)]]</f>
        <v>28560</v>
      </c>
      <c r="AA2541" s="6">
        <f ca="1">SUBTOTAL(9,INDEX(Main[بدهی تسویه نشده (کیلوگرم)],1):Main[[#This Row],[بدهی تسویه نشده (کیلوگرم)]])</f>
        <v>27511</v>
      </c>
      <c r="AB2541" s="6">
        <f ca="1">IF(Main[[#This Row],[مانده در خط تسویه نشده (کیلوگرم)]]&lt;&gt;0,Main[[#This Row],[تعداد کل روزهای بدهکار (روز)]],0)</f>
        <v>2</v>
      </c>
      <c r="AC2541" s="6">
        <f ca="1">Main[[#This Row],[تعداد روزهای بدهکار  تسویه نشده (روز)]]*Main[[#This Row],[مانده در خط تسویه نشده (کیلوگرم)]]</f>
        <v>55022</v>
      </c>
      <c r="AD2541" s="6">
        <f ca="1">SUBTOTAL(9,INDEX(Main[بدهی سررسید شده (کیلوگرم)],1):Main[[#This Row],[بدهی سررسید شده (کیلوگرم)]])</f>
        <v>27511</v>
      </c>
      <c r="AE2541" s="6">
        <f ca="1">IF(Main[[#This Row],[مانده در خط سررسید شده (کیلوگرم)]]&lt;&gt;0,Main[[#This Row],[تعداد کل روزهای بدهکار (روز)]],0)</f>
        <v>2</v>
      </c>
      <c r="AF2541" s="6">
        <f ca="1">Main[[#This Row],[تعداد روزهای بدهکار سررسید شده (روز)]]*Main[[#This Row],[مانده در خط سررسید شده (کیلوگرم)]]</f>
        <v>55022</v>
      </c>
    </row>
    <row r="2542" spans="1:32" hidden="1" x14ac:dyDescent="0.35">
      <c r="A2542" s="5">
        <f>ROW()-ROW(INDEX(Main[ردیف],1))+1</f>
        <v>2540</v>
      </c>
      <c r="B2542" s="31">
        <f>SUBTOTAL(2,INDEX(Main[ردیف],1):Main[[#This Row],[ردیف]])</f>
        <v>229</v>
      </c>
      <c r="C2542" s="32" t="s">
        <v>814</v>
      </c>
      <c r="D2542" s="32" t="str">
        <f>_xlfn.CONCAT("14",Main[[#This Row],[تاريخ]])</f>
        <v>1400/09/25</v>
      </c>
      <c r="E2542" s="33">
        <v>44546</v>
      </c>
      <c r="F2542" s="32">
        <v>10109</v>
      </c>
      <c r="G2542" s="5" t="str">
        <f>INDEX(customer[عنوان],MATCH(Main[[#This Row],[کد ردیابی]],customer[کد],0))</f>
        <v>فردی مجتبی</v>
      </c>
      <c r="H2542">
        <v>662</v>
      </c>
      <c r="I2542" s="6">
        <f ca="1">-Main[[#This Row],[بدهی تسویه شده (کیلوگرم)]]+Main[[#This Row],[بستانکار (کیلوگرم)]]</f>
        <v>662</v>
      </c>
      <c r="J2542" s="6">
        <f>IF(Main[[#This Row],[مقدار (کیلوگرم)]]&gt;0,Main[[#This Row],[مقدار (کیلوگرم)]],0)</f>
        <v>662</v>
      </c>
      <c r="K2542" s="6">
        <f>-IF(Main[[#This Row],[مقدار (کیلوگرم)]]&lt;0,Main[[#This Row],[مقدار (کیلوگرم)]],0)</f>
        <v>0</v>
      </c>
      <c r="L25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2" s="7">
        <f>-IF(AND(Main[[#This Row],[مقدار (کیلوگرم)]]&lt;0,Main[[#This Row],[تاريخ میلادی]]&gt;44276),Main[[#This Row],[مقدار (کیلوگرم)]],0)</f>
        <v>0</v>
      </c>
      <c r="N2542" s="6">
        <f ca="1">Main[[#This Row],[بدهکار (کیلوگرم)]]-Main[[#This Row],[بدهی تسویه نشده (کیلوگرم)]]</f>
        <v>0</v>
      </c>
      <c r="O2542" s="6">
        <f ca="1">Main[[#This Row],[تفکیک]]</f>
        <v>0</v>
      </c>
      <c r="P2542" s="6">
        <f ca="1">IF(Main[[#This Row],[تاخیر از سررسید]]&gt;0,Main[[#This Row],[بدهی تسویه نشده (کیلوگرم)]],0)</f>
        <v>0</v>
      </c>
      <c r="Q2542" s="6">
        <f ca="1">IF(Main[[#This Row],[بدهی تسویه نشده (کیلوگرم)]]&gt;0,'گزارش فردی'!$B$7-Main[[#This Row],[تاريخ میلادی]],0)</f>
        <v>0</v>
      </c>
      <c r="R2542" s="6">
        <f ca="1">IF(Main[[#This Row],[بدهی تسویه نشده (کیلوگرم)]]&gt;0,'گزارش فردی'!$B$7-Main[[#This Row],[تاريخ میلادی]]-'گزارش فردی'!$B$8,0)</f>
        <v>0</v>
      </c>
      <c r="S2542" s="6">
        <f ca="1">Main[[#This Row],[روز از ارسال سفارش]]*Main[[#This Row],[بدهی تسویه نشده (کیلوگرم)]]</f>
        <v>0</v>
      </c>
      <c r="T2542" s="6">
        <f ca="1">Main[[#This Row],[بدهی سررسید شده (کیلوگرم)]]*Main[[#This Row],[روز از ارسال سفارش]]</f>
        <v>0</v>
      </c>
      <c r="U2542" s="6">
        <f>-SUBTOTAL(9,INDEX(Main[مقدار (کیلوگرم)],1):Main[[#This Row],[مقدار (کیلوگرم)]])</f>
        <v>41791</v>
      </c>
      <c r="V254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2" s="6">
        <f>Main[[#This Row],[تعداد کل روزهای بدهکار (روز)]]*Main[[#This Row],[مانده در خط کل (کیلوگرم)]]</f>
        <v>83582</v>
      </c>
      <c r="X2542" s="6">
        <f ca="1">-SUBTOTAL(9,INDEX(Main[مقدار تسویه شده (کیلوگرم)],1):Main[[#This Row],[مقدار تسویه شده (کیلوگرم)]])</f>
        <v>14280</v>
      </c>
      <c r="Y2542" s="6">
        <f ca="1">IF(Main[[#This Row],[مانده در خط تسویه شده (کیلوگرم)]]&lt;&gt;0,Main[[#This Row],[تعداد کل روزهای بدهکار (روز)]],0)</f>
        <v>2</v>
      </c>
      <c r="Z2542" s="6">
        <f ca="1">Main[[#This Row],[تعداد روزهای بدهکار تسویه شده (روز)]]*Main[[#This Row],[مانده در خط تسویه شده (کیلوگرم)]]</f>
        <v>28560</v>
      </c>
      <c r="AA2542" s="6">
        <f ca="1">SUBTOTAL(9,INDEX(Main[بدهی تسویه نشده (کیلوگرم)],1):Main[[#This Row],[بدهی تسویه نشده (کیلوگرم)]])</f>
        <v>27511</v>
      </c>
      <c r="AB2542" s="6">
        <f ca="1">IF(Main[[#This Row],[مانده در خط تسویه نشده (کیلوگرم)]]&lt;&gt;0,Main[[#This Row],[تعداد کل روزهای بدهکار (روز)]],0)</f>
        <v>2</v>
      </c>
      <c r="AC2542" s="6">
        <f ca="1">Main[[#This Row],[تعداد روزهای بدهکار  تسویه نشده (روز)]]*Main[[#This Row],[مانده در خط تسویه نشده (کیلوگرم)]]</f>
        <v>55022</v>
      </c>
      <c r="AD2542" s="6">
        <f ca="1">SUBTOTAL(9,INDEX(Main[بدهی سررسید شده (کیلوگرم)],1):Main[[#This Row],[بدهی سررسید شده (کیلوگرم)]])</f>
        <v>27511</v>
      </c>
      <c r="AE2542" s="6">
        <f ca="1">IF(Main[[#This Row],[مانده در خط سررسید شده (کیلوگرم)]]&lt;&gt;0,Main[[#This Row],[تعداد کل روزهای بدهکار (روز)]],0)</f>
        <v>2</v>
      </c>
      <c r="AF2542" s="6">
        <f ca="1">Main[[#This Row],[تعداد روزهای بدهکار سررسید شده (روز)]]*Main[[#This Row],[مانده در خط سررسید شده (کیلوگرم)]]</f>
        <v>55022</v>
      </c>
    </row>
    <row r="2543" spans="1:32" hidden="1" x14ac:dyDescent="0.35">
      <c r="A2543" s="5">
        <f>ROW()-ROW(INDEX(Main[ردیف],1))+1</f>
        <v>2541</v>
      </c>
      <c r="B2543" s="31">
        <f>SUBTOTAL(2,INDEX(Main[ردیف],1):Main[[#This Row],[ردیف]])</f>
        <v>229</v>
      </c>
      <c r="C2543" s="32" t="s">
        <v>814</v>
      </c>
      <c r="D2543" s="32" t="str">
        <f>_xlfn.CONCAT("14",Main[[#This Row],[تاريخ]])</f>
        <v>1400/09/25</v>
      </c>
      <c r="E2543" s="33">
        <v>44546</v>
      </c>
      <c r="F2543" s="32">
        <v>30186</v>
      </c>
      <c r="G2543" s="5" t="str">
        <f>INDEX(customer[عنوان],MATCH(Main[[#This Row],[کد ردیابی]],customer[کد],0))</f>
        <v>سارا گاز</v>
      </c>
      <c r="H2543">
        <v>-2001</v>
      </c>
      <c r="I2543" s="6">
        <f ca="1">-Main[[#This Row],[بدهی تسویه شده (کیلوگرم)]]+Main[[#This Row],[بستانکار (کیلوگرم)]]</f>
        <v>0</v>
      </c>
      <c r="J2543" s="6">
        <f>IF(Main[[#This Row],[مقدار (کیلوگرم)]]&gt;0,Main[[#This Row],[مقدار (کیلوگرم)]],0)</f>
        <v>0</v>
      </c>
      <c r="K2543" s="6">
        <f>-IF(Main[[#This Row],[مقدار (کیلوگرم)]]&lt;0,Main[[#This Row],[مقدار (کیلوگرم)]],0)</f>
        <v>2001</v>
      </c>
      <c r="L25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2001</v>
      </c>
      <c r="M2543" s="7">
        <f>-IF(AND(Main[[#This Row],[مقدار (کیلوگرم)]]&lt;0,Main[[#This Row],[تاريخ میلادی]]&gt;44276),Main[[#This Row],[مقدار (کیلوگرم)]],0)</f>
        <v>2001</v>
      </c>
      <c r="N2543" s="6">
        <f ca="1">Main[[#This Row],[بدهکار (کیلوگرم)]]-Main[[#This Row],[بدهی تسویه نشده (کیلوگرم)]]</f>
        <v>0</v>
      </c>
      <c r="O2543" s="6">
        <f ca="1">Main[[#This Row],[تفکیک]]</f>
        <v>2001</v>
      </c>
      <c r="P2543" s="6">
        <f ca="1">IF(Main[[#This Row],[تاخیر از سررسید]]&gt;0,Main[[#This Row],[بدهی تسویه نشده (کیلوگرم)]],0)</f>
        <v>2001</v>
      </c>
      <c r="Q2543" s="6">
        <f ca="1">IF(Main[[#This Row],[بدهی تسویه نشده (کیلوگرم)]]&gt;0,'گزارش فردی'!$B$7-Main[[#This Row],[تاريخ میلادی]],0)</f>
        <v>916.75374085648218</v>
      </c>
      <c r="R2543" s="6">
        <f ca="1">IF(Main[[#This Row],[بدهی تسویه نشده (کیلوگرم)]]&gt;0,'گزارش فردی'!$B$7-Main[[#This Row],[تاريخ میلادی]]-'گزارش فردی'!$B$8,0)</f>
        <v>901.75374085648218</v>
      </c>
      <c r="S2543" s="6">
        <f ca="1">Main[[#This Row],[روز از ارسال سفارش]]*Main[[#This Row],[بدهی تسویه نشده (کیلوگرم)]]</f>
        <v>1834424.2354538208</v>
      </c>
      <c r="T2543" s="6">
        <f ca="1">Main[[#This Row],[بدهی سررسید شده (کیلوگرم)]]*Main[[#This Row],[روز از ارسال سفارش]]</f>
        <v>1834424.2354538208</v>
      </c>
      <c r="U2543" s="6">
        <f>-SUBTOTAL(9,INDEX(Main[مقدار (کیلوگرم)],1):Main[[#This Row],[مقدار (کیلوگرم)]])</f>
        <v>41791</v>
      </c>
      <c r="V254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3" s="6">
        <f>Main[[#This Row],[تعداد کل روزهای بدهکار (روز)]]*Main[[#This Row],[مانده در خط کل (کیلوگرم)]]</f>
        <v>83582</v>
      </c>
      <c r="X2543" s="6">
        <f ca="1">-SUBTOTAL(9,INDEX(Main[مقدار تسویه شده (کیلوگرم)],1):Main[[#This Row],[مقدار تسویه شده (کیلوگرم)]])</f>
        <v>14280</v>
      </c>
      <c r="Y2543" s="6">
        <f ca="1">IF(Main[[#This Row],[مانده در خط تسویه شده (کیلوگرم)]]&lt;&gt;0,Main[[#This Row],[تعداد کل روزهای بدهکار (روز)]],0)</f>
        <v>2</v>
      </c>
      <c r="Z2543" s="6">
        <f ca="1">Main[[#This Row],[تعداد روزهای بدهکار تسویه شده (روز)]]*Main[[#This Row],[مانده در خط تسویه شده (کیلوگرم)]]</f>
        <v>28560</v>
      </c>
      <c r="AA2543" s="6">
        <f ca="1">SUBTOTAL(9,INDEX(Main[بدهی تسویه نشده (کیلوگرم)],1):Main[[#This Row],[بدهی تسویه نشده (کیلوگرم)]])</f>
        <v>27511</v>
      </c>
      <c r="AB2543" s="6">
        <f ca="1">IF(Main[[#This Row],[مانده در خط تسویه نشده (کیلوگرم)]]&lt;&gt;0,Main[[#This Row],[تعداد کل روزهای بدهکار (روز)]],0)</f>
        <v>2</v>
      </c>
      <c r="AC2543" s="6">
        <f ca="1">Main[[#This Row],[تعداد روزهای بدهکار  تسویه نشده (روز)]]*Main[[#This Row],[مانده در خط تسویه نشده (کیلوگرم)]]</f>
        <v>55022</v>
      </c>
      <c r="AD2543" s="6">
        <f ca="1">SUBTOTAL(9,INDEX(Main[بدهی سررسید شده (کیلوگرم)],1):Main[[#This Row],[بدهی سررسید شده (کیلوگرم)]])</f>
        <v>27511</v>
      </c>
      <c r="AE2543" s="6">
        <f ca="1">IF(Main[[#This Row],[مانده در خط سررسید شده (کیلوگرم)]]&lt;&gt;0,Main[[#This Row],[تعداد کل روزهای بدهکار (روز)]],0)</f>
        <v>2</v>
      </c>
      <c r="AF2543" s="6">
        <f ca="1">Main[[#This Row],[تعداد روزهای بدهکار سررسید شده (روز)]]*Main[[#This Row],[مانده در خط سررسید شده (کیلوگرم)]]</f>
        <v>55022</v>
      </c>
    </row>
    <row r="2544" spans="1:32" hidden="1" x14ac:dyDescent="0.35">
      <c r="A2544" s="5">
        <f>ROW()-ROW(INDEX(Main[ردیف],1))+1</f>
        <v>2542</v>
      </c>
      <c r="B2544" s="31">
        <f>SUBTOTAL(2,INDEX(Main[ردیف],1):Main[[#This Row],[ردیف]])</f>
        <v>229</v>
      </c>
      <c r="C2544" s="32" t="s">
        <v>814</v>
      </c>
      <c r="D2544" s="32" t="str">
        <f>_xlfn.CONCAT("14",Main[[#This Row],[تاريخ]])</f>
        <v>1400/09/25</v>
      </c>
      <c r="E2544" s="33">
        <v>44546</v>
      </c>
      <c r="F2544" s="32">
        <v>10018</v>
      </c>
      <c r="G2544" s="5" t="str">
        <f>INDEX(customer[عنوان],MATCH(Main[[#This Row],[کد ردیابی]],customer[کد],0))</f>
        <v xml:space="preserve">کوهی </v>
      </c>
      <c r="H2544">
        <v>132</v>
      </c>
      <c r="I2544" s="6">
        <f ca="1">-Main[[#This Row],[بدهی تسویه شده (کیلوگرم)]]+Main[[#This Row],[بستانکار (کیلوگرم)]]</f>
        <v>132</v>
      </c>
      <c r="J2544" s="6">
        <f>IF(Main[[#This Row],[مقدار (کیلوگرم)]]&gt;0,Main[[#This Row],[مقدار (کیلوگرم)]],0)</f>
        <v>132</v>
      </c>
      <c r="K2544" s="6">
        <f>-IF(Main[[#This Row],[مقدار (کیلوگرم)]]&lt;0,Main[[#This Row],[مقدار (کیلوگرم)]],0)</f>
        <v>0</v>
      </c>
      <c r="L25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4" s="7">
        <f>-IF(AND(Main[[#This Row],[مقدار (کیلوگرم)]]&lt;0,Main[[#This Row],[تاريخ میلادی]]&gt;44276),Main[[#This Row],[مقدار (کیلوگرم)]],0)</f>
        <v>0</v>
      </c>
      <c r="N2544" s="6">
        <f ca="1">Main[[#This Row],[بدهکار (کیلوگرم)]]-Main[[#This Row],[بدهی تسویه نشده (کیلوگرم)]]</f>
        <v>0</v>
      </c>
      <c r="O2544" s="6">
        <f ca="1">Main[[#This Row],[تفکیک]]</f>
        <v>0</v>
      </c>
      <c r="P2544" s="6">
        <f ca="1">IF(Main[[#This Row],[تاخیر از سررسید]]&gt;0,Main[[#This Row],[بدهی تسویه نشده (کیلوگرم)]],0)</f>
        <v>0</v>
      </c>
      <c r="Q2544" s="6">
        <f ca="1">IF(Main[[#This Row],[بدهی تسویه نشده (کیلوگرم)]]&gt;0,'گزارش فردی'!$B$7-Main[[#This Row],[تاريخ میلادی]],0)</f>
        <v>0</v>
      </c>
      <c r="R2544" s="6">
        <f ca="1">IF(Main[[#This Row],[بدهی تسویه نشده (کیلوگرم)]]&gt;0,'گزارش فردی'!$B$7-Main[[#This Row],[تاريخ میلادی]]-'گزارش فردی'!$B$8,0)</f>
        <v>0</v>
      </c>
      <c r="S2544" s="6">
        <f ca="1">Main[[#This Row],[روز از ارسال سفارش]]*Main[[#This Row],[بدهی تسویه نشده (کیلوگرم)]]</f>
        <v>0</v>
      </c>
      <c r="T2544" s="6">
        <f ca="1">Main[[#This Row],[بدهی سررسید شده (کیلوگرم)]]*Main[[#This Row],[روز از ارسال سفارش]]</f>
        <v>0</v>
      </c>
      <c r="U2544" s="6">
        <f>-SUBTOTAL(9,INDEX(Main[مقدار (کیلوگرم)],1):Main[[#This Row],[مقدار (کیلوگرم)]])</f>
        <v>41791</v>
      </c>
      <c r="V254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4" s="6">
        <f>Main[[#This Row],[تعداد کل روزهای بدهکار (روز)]]*Main[[#This Row],[مانده در خط کل (کیلوگرم)]]</f>
        <v>83582</v>
      </c>
      <c r="X2544" s="6">
        <f ca="1">-SUBTOTAL(9,INDEX(Main[مقدار تسویه شده (کیلوگرم)],1):Main[[#This Row],[مقدار تسویه شده (کیلوگرم)]])</f>
        <v>14280</v>
      </c>
      <c r="Y2544" s="6">
        <f ca="1">IF(Main[[#This Row],[مانده در خط تسویه شده (کیلوگرم)]]&lt;&gt;0,Main[[#This Row],[تعداد کل روزهای بدهکار (روز)]],0)</f>
        <v>2</v>
      </c>
      <c r="Z2544" s="6">
        <f ca="1">Main[[#This Row],[تعداد روزهای بدهکار تسویه شده (روز)]]*Main[[#This Row],[مانده در خط تسویه شده (کیلوگرم)]]</f>
        <v>28560</v>
      </c>
      <c r="AA2544" s="6">
        <f ca="1">SUBTOTAL(9,INDEX(Main[بدهی تسویه نشده (کیلوگرم)],1):Main[[#This Row],[بدهی تسویه نشده (کیلوگرم)]])</f>
        <v>27511</v>
      </c>
      <c r="AB2544" s="6">
        <f ca="1">IF(Main[[#This Row],[مانده در خط تسویه نشده (کیلوگرم)]]&lt;&gt;0,Main[[#This Row],[تعداد کل روزهای بدهکار (روز)]],0)</f>
        <v>2</v>
      </c>
      <c r="AC2544" s="6">
        <f ca="1">Main[[#This Row],[تعداد روزهای بدهکار  تسویه نشده (روز)]]*Main[[#This Row],[مانده در خط تسویه نشده (کیلوگرم)]]</f>
        <v>55022</v>
      </c>
      <c r="AD2544" s="6">
        <f ca="1">SUBTOTAL(9,INDEX(Main[بدهی سررسید شده (کیلوگرم)],1):Main[[#This Row],[بدهی سررسید شده (کیلوگرم)]])</f>
        <v>27511</v>
      </c>
      <c r="AE2544" s="6">
        <f ca="1">IF(Main[[#This Row],[مانده در خط سررسید شده (کیلوگرم)]]&lt;&gt;0,Main[[#This Row],[تعداد کل روزهای بدهکار (روز)]],0)</f>
        <v>2</v>
      </c>
      <c r="AF2544" s="6">
        <f ca="1">Main[[#This Row],[تعداد روزهای بدهکار سررسید شده (روز)]]*Main[[#This Row],[مانده در خط سررسید شده (کیلوگرم)]]</f>
        <v>55022</v>
      </c>
    </row>
    <row r="2545" spans="1:32" hidden="1" x14ac:dyDescent="0.35">
      <c r="A2545" s="5">
        <f>ROW()-ROW(INDEX(Main[ردیف],1))+1</f>
        <v>2543</v>
      </c>
      <c r="B2545" s="31">
        <f>SUBTOTAL(2,INDEX(Main[ردیف],1):Main[[#This Row],[ردیف]])</f>
        <v>229</v>
      </c>
      <c r="C2545" s="32" t="s">
        <v>814</v>
      </c>
      <c r="D2545" s="32" t="str">
        <f>_xlfn.CONCAT("14",Main[[#This Row],[تاريخ]])</f>
        <v>1400/09/25</v>
      </c>
      <c r="E2545" s="33">
        <v>44546</v>
      </c>
      <c r="F2545" s="32">
        <v>10018</v>
      </c>
      <c r="G2545" s="5" t="str">
        <f>INDEX(customer[عنوان],MATCH(Main[[#This Row],[کد ردیابی]],customer[کد],0))</f>
        <v xml:space="preserve">کوهی </v>
      </c>
      <c r="H2545">
        <v>-502</v>
      </c>
      <c r="I2545" s="6">
        <f ca="1">-Main[[#This Row],[بدهی تسویه شده (کیلوگرم)]]+Main[[#This Row],[بستانکار (کیلوگرم)]]</f>
        <v>0</v>
      </c>
      <c r="J2545" s="6">
        <f>IF(Main[[#This Row],[مقدار (کیلوگرم)]]&gt;0,Main[[#This Row],[مقدار (کیلوگرم)]],0)</f>
        <v>0</v>
      </c>
      <c r="K2545" s="6">
        <f>-IF(Main[[#This Row],[مقدار (کیلوگرم)]]&lt;0,Main[[#This Row],[مقدار (کیلوگرم)]],0)</f>
        <v>502</v>
      </c>
      <c r="L25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502</v>
      </c>
      <c r="M2545" s="7">
        <f>-IF(AND(Main[[#This Row],[مقدار (کیلوگرم)]]&lt;0,Main[[#This Row],[تاريخ میلادی]]&gt;44276),Main[[#This Row],[مقدار (کیلوگرم)]],0)</f>
        <v>502</v>
      </c>
      <c r="N2545" s="6">
        <f ca="1">Main[[#This Row],[بدهکار (کیلوگرم)]]-Main[[#This Row],[بدهی تسویه نشده (کیلوگرم)]]</f>
        <v>0</v>
      </c>
      <c r="O2545" s="6">
        <f ca="1">Main[[#This Row],[تفکیک]]</f>
        <v>502</v>
      </c>
      <c r="P2545" s="6">
        <f ca="1">IF(Main[[#This Row],[تاخیر از سررسید]]&gt;0,Main[[#This Row],[بدهی تسویه نشده (کیلوگرم)]],0)</f>
        <v>502</v>
      </c>
      <c r="Q2545" s="6">
        <f ca="1">IF(Main[[#This Row],[بدهی تسویه نشده (کیلوگرم)]]&gt;0,'گزارش فردی'!$B$7-Main[[#This Row],[تاريخ میلادی]],0)</f>
        <v>916.75374085648218</v>
      </c>
      <c r="R2545" s="6">
        <f ca="1">IF(Main[[#This Row],[بدهی تسویه نشده (کیلوگرم)]]&gt;0,'گزارش فردی'!$B$7-Main[[#This Row],[تاريخ میلادی]]-'گزارش فردی'!$B$8,0)</f>
        <v>901.75374085648218</v>
      </c>
      <c r="S2545" s="6">
        <f ca="1">Main[[#This Row],[روز از ارسال سفارش]]*Main[[#This Row],[بدهی تسویه نشده (کیلوگرم)]]</f>
        <v>460210.37790995406</v>
      </c>
      <c r="T2545" s="6">
        <f ca="1">Main[[#This Row],[بدهی سررسید شده (کیلوگرم)]]*Main[[#This Row],[روز از ارسال سفارش]]</f>
        <v>460210.37790995406</v>
      </c>
      <c r="U2545" s="6">
        <f>-SUBTOTAL(9,INDEX(Main[مقدار (کیلوگرم)],1):Main[[#This Row],[مقدار (کیلوگرم)]])</f>
        <v>41791</v>
      </c>
      <c r="V25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5" s="6">
        <f>Main[[#This Row],[تعداد کل روزهای بدهکار (روز)]]*Main[[#This Row],[مانده در خط کل (کیلوگرم)]]</f>
        <v>83582</v>
      </c>
      <c r="X2545" s="6">
        <f ca="1">-SUBTOTAL(9,INDEX(Main[مقدار تسویه شده (کیلوگرم)],1):Main[[#This Row],[مقدار تسویه شده (کیلوگرم)]])</f>
        <v>14280</v>
      </c>
      <c r="Y2545" s="6">
        <f ca="1">IF(Main[[#This Row],[مانده در خط تسویه شده (کیلوگرم)]]&lt;&gt;0,Main[[#This Row],[تعداد کل روزهای بدهکار (روز)]],0)</f>
        <v>2</v>
      </c>
      <c r="Z2545" s="6">
        <f ca="1">Main[[#This Row],[تعداد روزهای بدهکار تسویه شده (روز)]]*Main[[#This Row],[مانده در خط تسویه شده (کیلوگرم)]]</f>
        <v>28560</v>
      </c>
      <c r="AA2545" s="6">
        <f ca="1">SUBTOTAL(9,INDEX(Main[بدهی تسویه نشده (کیلوگرم)],1):Main[[#This Row],[بدهی تسویه نشده (کیلوگرم)]])</f>
        <v>27511</v>
      </c>
      <c r="AB2545" s="6">
        <f ca="1">IF(Main[[#This Row],[مانده در خط تسویه نشده (کیلوگرم)]]&lt;&gt;0,Main[[#This Row],[تعداد کل روزهای بدهکار (روز)]],0)</f>
        <v>2</v>
      </c>
      <c r="AC2545" s="6">
        <f ca="1">Main[[#This Row],[تعداد روزهای بدهکار  تسویه نشده (روز)]]*Main[[#This Row],[مانده در خط تسویه نشده (کیلوگرم)]]</f>
        <v>55022</v>
      </c>
      <c r="AD2545" s="6">
        <f ca="1">SUBTOTAL(9,INDEX(Main[بدهی سررسید شده (کیلوگرم)],1):Main[[#This Row],[بدهی سررسید شده (کیلوگرم)]])</f>
        <v>27511</v>
      </c>
      <c r="AE2545" s="6">
        <f ca="1">IF(Main[[#This Row],[مانده در خط سررسید شده (کیلوگرم)]]&lt;&gt;0,Main[[#This Row],[تعداد کل روزهای بدهکار (روز)]],0)</f>
        <v>2</v>
      </c>
      <c r="AF2545" s="6">
        <f ca="1">Main[[#This Row],[تعداد روزهای بدهکار سررسید شده (روز)]]*Main[[#This Row],[مانده در خط سررسید شده (کیلوگرم)]]</f>
        <v>55022</v>
      </c>
    </row>
    <row r="2546" spans="1:32" hidden="1" x14ac:dyDescent="0.35">
      <c r="A2546" s="5">
        <f>ROW()-ROW(INDEX(Main[ردیف],1))+1</f>
        <v>2544</v>
      </c>
      <c r="B2546" s="31">
        <f>SUBTOTAL(2,INDEX(Main[ردیف],1):Main[[#This Row],[ردیف]])</f>
        <v>229</v>
      </c>
      <c r="C2546" s="32" t="s">
        <v>814</v>
      </c>
      <c r="D2546" s="32" t="str">
        <f>_xlfn.CONCAT("14",Main[[#This Row],[تاريخ]])</f>
        <v>1400/09/25</v>
      </c>
      <c r="E2546" s="33">
        <v>44546</v>
      </c>
      <c r="F2546" s="32">
        <v>10018</v>
      </c>
      <c r="G2546" s="5" t="str">
        <f>INDEX(customer[عنوان],MATCH(Main[[#This Row],[کد ردیابی]],customer[کد],0))</f>
        <v xml:space="preserve">کوهی </v>
      </c>
      <c r="H2546">
        <v>349</v>
      </c>
      <c r="I2546" s="6">
        <f ca="1">-Main[[#This Row],[بدهی تسویه شده (کیلوگرم)]]+Main[[#This Row],[بستانکار (کیلوگرم)]]</f>
        <v>349</v>
      </c>
      <c r="J2546" s="6">
        <f>IF(Main[[#This Row],[مقدار (کیلوگرم)]]&gt;0,Main[[#This Row],[مقدار (کیلوگرم)]],0)</f>
        <v>349</v>
      </c>
      <c r="K2546" s="6">
        <f>-IF(Main[[#This Row],[مقدار (کیلوگرم)]]&lt;0,Main[[#This Row],[مقدار (کیلوگرم)]],0)</f>
        <v>0</v>
      </c>
      <c r="L25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6" s="7">
        <f>-IF(AND(Main[[#This Row],[مقدار (کیلوگرم)]]&lt;0,Main[[#This Row],[تاريخ میلادی]]&gt;44276),Main[[#This Row],[مقدار (کیلوگرم)]],0)</f>
        <v>0</v>
      </c>
      <c r="N2546" s="6">
        <f ca="1">Main[[#This Row],[بدهکار (کیلوگرم)]]-Main[[#This Row],[بدهی تسویه نشده (کیلوگرم)]]</f>
        <v>0</v>
      </c>
      <c r="O2546" s="6">
        <f ca="1">Main[[#This Row],[تفکیک]]</f>
        <v>0</v>
      </c>
      <c r="P2546" s="6">
        <f ca="1">IF(Main[[#This Row],[تاخیر از سررسید]]&gt;0,Main[[#This Row],[بدهی تسویه نشده (کیلوگرم)]],0)</f>
        <v>0</v>
      </c>
      <c r="Q2546" s="6">
        <f ca="1">IF(Main[[#This Row],[بدهی تسویه نشده (کیلوگرم)]]&gt;0,'گزارش فردی'!$B$7-Main[[#This Row],[تاريخ میلادی]],0)</f>
        <v>0</v>
      </c>
      <c r="R2546" s="6">
        <f ca="1">IF(Main[[#This Row],[بدهی تسویه نشده (کیلوگرم)]]&gt;0,'گزارش فردی'!$B$7-Main[[#This Row],[تاريخ میلادی]]-'گزارش فردی'!$B$8,0)</f>
        <v>0</v>
      </c>
      <c r="S2546" s="6">
        <f ca="1">Main[[#This Row],[روز از ارسال سفارش]]*Main[[#This Row],[بدهی تسویه نشده (کیلوگرم)]]</f>
        <v>0</v>
      </c>
      <c r="T2546" s="6">
        <f ca="1">Main[[#This Row],[بدهی سررسید شده (کیلوگرم)]]*Main[[#This Row],[روز از ارسال سفارش]]</f>
        <v>0</v>
      </c>
      <c r="U2546" s="6">
        <f>-SUBTOTAL(9,INDEX(Main[مقدار (کیلوگرم)],1):Main[[#This Row],[مقدار (کیلوگرم)]])</f>
        <v>41791</v>
      </c>
      <c r="V254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6" s="6">
        <f>Main[[#This Row],[تعداد کل روزهای بدهکار (روز)]]*Main[[#This Row],[مانده در خط کل (کیلوگرم)]]</f>
        <v>83582</v>
      </c>
      <c r="X2546" s="6">
        <f ca="1">-SUBTOTAL(9,INDEX(Main[مقدار تسویه شده (کیلوگرم)],1):Main[[#This Row],[مقدار تسویه شده (کیلوگرم)]])</f>
        <v>14280</v>
      </c>
      <c r="Y2546" s="6">
        <f ca="1">IF(Main[[#This Row],[مانده در خط تسویه شده (کیلوگرم)]]&lt;&gt;0,Main[[#This Row],[تعداد کل روزهای بدهکار (روز)]],0)</f>
        <v>2</v>
      </c>
      <c r="Z2546" s="6">
        <f ca="1">Main[[#This Row],[تعداد روزهای بدهکار تسویه شده (روز)]]*Main[[#This Row],[مانده در خط تسویه شده (کیلوگرم)]]</f>
        <v>28560</v>
      </c>
      <c r="AA2546" s="6">
        <f ca="1">SUBTOTAL(9,INDEX(Main[بدهی تسویه نشده (کیلوگرم)],1):Main[[#This Row],[بدهی تسویه نشده (کیلوگرم)]])</f>
        <v>27511</v>
      </c>
      <c r="AB2546" s="6">
        <f ca="1">IF(Main[[#This Row],[مانده در خط تسویه نشده (کیلوگرم)]]&lt;&gt;0,Main[[#This Row],[تعداد کل روزهای بدهکار (روز)]],0)</f>
        <v>2</v>
      </c>
      <c r="AC2546" s="6">
        <f ca="1">Main[[#This Row],[تعداد روزهای بدهکار  تسویه نشده (روز)]]*Main[[#This Row],[مانده در خط تسویه نشده (کیلوگرم)]]</f>
        <v>55022</v>
      </c>
      <c r="AD2546" s="6">
        <f ca="1">SUBTOTAL(9,INDEX(Main[بدهی سررسید شده (کیلوگرم)],1):Main[[#This Row],[بدهی سررسید شده (کیلوگرم)]])</f>
        <v>27511</v>
      </c>
      <c r="AE2546" s="6">
        <f ca="1">IF(Main[[#This Row],[مانده در خط سررسید شده (کیلوگرم)]]&lt;&gt;0,Main[[#This Row],[تعداد کل روزهای بدهکار (روز)]],0)</f>
        <v>2</v>
      </c>
      <c r="AF2546" s="6">
        <f ca="1">Main[[#This Row],[تعداد روزهای بدهکار سررسید شده (روز)]]*Main[[#This Row],[مانده در خط سررسید شده (کیلوگرم)]]</f>
        <v>55022</v>
      </c>
    </row>
    <row r="2547" spans="1:32" hidden="1" x14ac:dyDescent="0.35">
      <c r="A2547" s="5">
        <f>ROW()-ROW(INDEX(Main[ردیف],1))+1</f>
        <v>2545</v>
      </c>
      <c r="B2547" s="31">
        <f>SUBTOTAL(2,INDEX(Main[ردیف],1):Main[[#This Row],[ردیف]])</f>
        <v>229</v>
      </c>
      <c r="C2547" s="32" t="s">
        <v>814</v>
      </c>
      <c r="D2547" s="32" t="str">
        <f>_xlfn.CONCAT("14",Main[[#This Row],[تاريخ]])</f>
        <v>1400/09/25</v>
      </c>
      <c r="E2547" s="33">
        <v>44546</v>
      </c>
      <c r="F2547" s="32">
        <v>30004</v>
      </c>
      <c r="G2547" s="5" t="str">
        <f>INDEX(customer[عنوان],MATCH(Main[[#This Row],[کد ردیابی]],customer[کد],0))</f>
        <v>تولیدی صنعتی صفاشیر پارس</v>
      </c>
      <c r="H2547">
        <v>-4055</v>
      </c>
      <c r="I2547" s="6">
        <f ca="1">-Main[[#This Row],[بدهی تسویه شده (کیلوگرم)]]+Main[[#This Row],[بستانکار (کیلوگرم)]]</f>
        <v>0</v>
      </c>
      <c r="J2547" s="6">
        <f>IF(Main[[#This Row],[مقدار (کیلوگرم)]]&gt;0,Main[[#This Row],[مقدار (کیلوگرم)]],0)</f>
        <v>0</v>
      </c>
      <c r="K2547" s="6">
        <f>-IF(Main[[#This Row],[مقدار (کیلوگرم)]]&lt;0,Main[[#This Row],[مقدار (کیلوگرم)]],0)</f>
        <v>4055</v>
      </c>
      <c r="L25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4055</v>
      </c>
      <c r="M2547" s="7">
        <f>-IF(AND(Main[[#This Row],[مقدار (کیلوگرم)]]&lt;0,Main[[#This Row],[تاريخ میلادی]]&gt;44276),Main[[#This Row],[مقدار (کیلوگرم)]],0)</f>
        <v>4055</v>
      </c>
      <c r="N2547" s="6">
        <f ca="1">Main[[#This Row],[بدهکار (کیلوگرم)]]-Main[[#This Row],[بدهی تسویه نشده (کیلوگرم)]]</f>
        <v>0</v>
      </c>
      <c r="O2547" s="6">
        <f ca="1">Main[[#This Row],[تفکیک]]</f>
        <v>4055</v>
      </c>
      <c r="P2547" s="6">
        <f ca="1">IF(Main[[#This Row],[تاخیر از سررسید]]&gt;0,Main[[#This Row],[بدهی تسویه نشده (کیلوگرم)]],0)</f>
        <v>4055</v>
      </c>
      <c r="Q2547" s="6">
        <f ca="1">IF(Main[[#This Row],[بدهی تسویه نشده (کیلوگرم)]]&gt;0,'گزارش فردی'!$B$7-Main[[#This Row],[تاريخ میلادی]],0)</f>
        <v>916.75374085648218</v>
      </c>
      <c r="R2547" s="6">
        <f ca="1">IF(Main[[#This Row],[بدهی تسویه نشده (کیلوگرم)]]&gt;0,'گزارش فردی'!$B$7-Main[[#This Row],[تاريخ میلادی]]-'گزارش فردی'!$B$8,0)</f>
        <v>901.75374085648218</v>
      </c>
      <c r="S2547" s="6">
        <f ca="1">Main[[#This Row],[روز از ارسال سفارش]]*Main[[#This Row],[بدهی تسویه نشده (کیلوگرم)]]</f>
        <v>3717436.4191730353</v>
      </c>
      <c r="T2547" s="6">
        <f ca="1">Main[[#This Row],[بدهی سررسید شده (کیلوگرم)]]*Main[[#This Row],[روز از ارسال سفارش]]</f>
        <v>3717436.4191730353</v>
      </c>
      <c r="U2547" s="6">
        <f>-SUBTOTAL(9,INDEX(Main[مقدار (کیلوگرم)],1):Main[[#This Row],[مقدار (کیلوگرم)]])</f>
        <v>41791</v>
      </c>
      <c r="V25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7" s="6">
        <f>Main[[#This Row],[تعداد کل روزهای بدهکار (روز)]]*Main[[#This Row],[مانده در خط کل (کیلوگرم)]]</f>
        <v>83582</v>
      </c>
      <c r="X2547" s="6">
        <f ca="1">-SUBTOTAL(9,INDEX(Main[مقدار تسویه شده (کیلوگرم)],1):Main[[#This Row],[مقدار تسویه شده (کیلوگرم)]])</f>
        <v>14280</v>
      </c>
      <c r="Y2547" s="6">
        <f ca="1">IF(Main[[#This Row],[مانده در خط تسویه شده (کیلوگرم)]]&lt;&gt;0,Main[[#This Row],[تعداد کل روزهای بدهکار (روز)]],0)</f>
        <v>2</v>
      </c>
      <c r="Z2547" s="6">
        <f ca="1">Main[[#This Row],[تعداد روزهای بدهکار تسویه شده (روز)]]*Main[[#This Row],[مانده در خط تسویه شده (کیلوگرم)]]</f>
        <v>28560</v>
      </c>
      <c r="AA2547" s="6">
        <f ca="1">SUBTOTAL(9,INDEX(Main[بدهی تسویه نشده (کیلوگرم)],1):Main[[#This Row],[بدهی تسویه نشده (کیلوگرم)]])</f>
        <v>27511</v>
      </c>
      <c r="AB2547" s="6">
        <f ca="1">IF(Main[[#This Row],[مانده در خط تسویه نشده (کیلوگرم)]]&lt;&gt;0,Main[[#This Row],[تعداد کل روزهای بدهکار (روز)]],0)</f>
        <v>2</v>
      </c>
      <c r="AC2547" s="6">
        <f ca="1">Main[[#This Row],[تعداد روزهای بدهکار  تسویه نشده (روز)]]*Main[[#This Row],[مانده در خط تسویه نشده (کیلوگرم)]]</f>
        <v>55022</v>
      </c>
      <c r="AD2547" s="6">
        <f ca="1">SUBTOTAL(9,INDEX(Main[بدهی سررسید شده (کیلوگرم)],1):Main[[#This Row],[بدهی سررسید شده (کیلوگرم)]])</f>
        <v>27511</v>
      </c>
      <c r="AE2547" s="6">
        <f ca="1">IF(Main[[#This Row],[مانده در خط سررسید شده (کیلوگرم)]]&lt;&gt;0,Main[[#This Row],[تعداد کل روزهای بدهکار (روز)]],0)</f>
        <v>2</v>
      </c>
      <c r="AF2547" s="6">
        <f ca="1">Main[[#This Row],[تعداد روزهای بدهکار سررسید شده (روز)]]*Main[[#This Row],[مانده در خط سررسید شده (کیلوگرم)]]</f>
        <v>55022</v>
      </c>
    </row>
    <row r="2548" spans="1:32" hidden="1" x14ac:dyDescent="0.35">
      <c r="A2548" s="5">
        <f>ROW()-ROW(INDEX(Main[ردیف],1))+1</f>
        <v>2546</v>
      </c>
      <c r="B2548" s="31">
        <f>SUBTOTAL(2,INDEX(Main[ردیف],1):Main[[#This Row],[ردیف]])</f>
        <v>229</v>
      </c>
      <c r="C2548" s="32" t="s">
        <v>814</v>
      </c>
      <c r="D2548" s="32" t="str">
        <f>_xlfn.CONCAT("14",Main[[#This Row],[تاريخ]])</f>
        <v>1400/09/25</v>
      </c>
      <c r="E2548" s="33">
        <v>44546</v>
      </c>
      <c r="F2548" s="32">
        <v>10109</v>
      </c>
      <c r="G2548" s="5" t="str">
        <f>INDEX(customer[عنوان],MATCH(Main[[#This Row],[کد ردیابی]],customer[کد],0))</f>
        <v>فردی مجتبی</v>
      </c>
      <c r="H2548">
        <v>240</v>
      </c>
      <c r="I2548" s="6">
        <f ca="1">-Main[[#This Row],[بدهی تسویه شده (کیلوگرم)]]+Main[[#This Row],[بستانکار (کیلوگرم)]]</f>
        <v>240</v>
      </c>
      <c r="J2548" s="6">
        <f>IF(Main[[#This Row],[مقدار (کیلوگرم)]]&gt;0,Main[[#This Row],[مقدار (کیلوگرم)]],0)</f>
        <v>240</v>
      </c>
      <c r="K2548" s="6">
        <f>-IF(Main[[#This Row],[مقدار (کیلوگرم)]]&lt;0,Main[[#This Row],[مقدار (کیلوگرم)]],0)</f>
        <v>0</v>
      </c>
      <c r="L25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8" s="7">
        <f>-IF(AND(Main[[#This Row],[مقدار (کیلوگرم)]]&lt;0,Main[[#This Row],[تاريخ میلادی]]&gt;44276),Main[[#This Row],[مقدار (کیلوگرم)]],0)</f>
        <v>0</v>
      </c>
      <c r="N2548" s="6">
        <f ca="1">Main[[#This Row],[بدهکار (کیلوگرم)]]-Main[[#This Row],[بدهی تسویه نشده (کیلوگرم)]]</f>
        <v>0</v>
      </c>
      <c r="O2548" s="6">
        <f ca="1">Main[[#This Row],[تفکیک]]</f>
        <v>0</v>
      </c>
      <c r="P2548" s="6">
        <f ca="1">IF(Main[[#This Row],[تاخیر از سررسید]]&gt;0,Main[[#This Row],[بدهی تسویه نشده (کیلوگرم)]],0)</f>
        <v>0</v>
      </c>
      <c r="Q2548" s="6">
        <f ca="1">IF(Main[[#This Row],[بدهی تسویه نشده (کیلوگرم)]]&gt;0,'گزارش فردی'!$B$7-Main[[#This Row],[تاريخ میلادی]],0)</f>
        <v>0</v>
      </c>
      <c r="R2548" s="6">
        <f ca="1">IF(Main[[#This Row],[بدهی تسویه نشده (کیلوگرم)]]&gt;0,'گزارش فردی'!$B$7-Main[[#This Row],[تاريخ میلادی]]-'گزارش فردی'!$B$8,0)</f>
        <v>0</v>
      </c>
      <c r="S2548" s="6">
        <f ca="1">Main[[#This Row],[روز از ارسال سفارش]]*Main[[#This Row],[بدهی تسویه نشده (کیلوگرم)]]</f>
        <v>0</v>
      </c>
      <c r="T2548" s="6">
        <f ca="1">Main[[#This Row],[بدهی سررسید شده (کیلوگرم)]]*Main[[#This Row],[روز از ارسال سفارش]]</f>
        <v>0</v>
      </c>
      <c r="U2548" s="6">
        <f>-SUBTOTAL(9,INDEX(Main[مقدار (کیلوگرم)],1):Main[[#This Row],[مقدار (کیلوگرم)]])</f>
        <v>41791</v>
      </c>
      <c r="V25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8" s="6">
        <f>Main[[#This Row],[تعداد کل روزهای بدهکار (روز)]]*Main[[#This Row],[مانده در خط کل (کیلوگرم)]]</f>
        <v>83582</v>
      </c>
      <c r="X2548" s="6">
        <f ca="1">-SUBTOTAL(9,INDEX(Main[مقدار تسویه شده (کیلوگرم)],1):Main[[#This Row],[مقدار تسویه شده (کیلوگرم)]])</f>
        <v>14280</v>
      </c>
      <c r="Y2548" s="6">
        <f ca="1">IF(Main[[#This Row],[مانده در خط تسویه شده (کیلوگرم)]]&lt;&gt;0,Main[[#This Row],[تعداد کل روزهای بدهکار (روز)]],0)</f>
        <v>2</v>
      </c>
      <c r="Z2548" s="6">
        <f ca="1">Main[[#This Row],[تعداد روزهای بدهکار تسویه شده (روز)]]*Main[[#This Row],[مانده در خط تسویه شده (کیلوگرم)]]</f>
        <v>28560</v>
      </c>
      <c r="AA2548" s="6">
        <f ca="1">SUBTOTAL(9,INDEX(Main[بدهی تسویه نشده (کیلوگرم)],1):Main[[#This Row],[بدهی تسویه نشده (کیلوگرم)]])</f>
        <v>27511</v>
      </c>
      <c r="AB2548" s="6">
        <f ca="1">IF(Main[[#This Row],[مانده در خط تسویه نشده (کیلوگرم)]]&lt;&gt;0,Main[[#This Row],[تعداد کل روزهای بدهکار (روز)]],0)</f>
        <v>2</v>
      </c>
      <c r="AC2548" s="6">
        <f ca="1">Main[[#This Row],[تعداد روزهای بدهکار  تسویه نشده (روز)]]*Main[[#This Row],[مانده در خط تسویه نشده (کیلوگرم)]]</f>
        <v>55022</v>
      </c>
      <c r="AD2548" s="6">
        <f ca="1">SUBTOTAL(9,INDEX(Main[بدهی سررسید شده (کیلوگرم)],1):Main[[#This Row],[بدهی سررسید شده (کیلوگرم)]])</f>
        <v>27511</v>
      </c>
      <c r="AE2548" s="6">
        <f ca="1">IF(Main[[#This Row],[مانده در خط سررسید شده (کیلوگرم)]]&lt;&gt;0,Main[[#This Row],[تعداد کل روزهای بدهکار (روز)]],0)</f>
        <v>2</v>
      </c>
      <c r="AF2548" s="6">
        <f ca="1">Main[[#This Row],[تعداد روزهای بدهکار سررسید شده (روز)]]*Main[[#This Row],[مانده در خط سررسید شده (کیلوگرم)]]</f>
        <v>55022</v>
      </c>
    </row>
    <row r="2549" spans="1:32" hidden="1" x14ac:dyDescent="0.35">
      <c r="A2549" s="5">
        <f>ROW()-ROW(INDEX(Main[ردیف],1))+1</f>
        <v>2547</v>
      </c>
      <c r="B2549" s="31">
        <f>SUBTOTAL(2,INDEX(Main[ردیف],1):Main[[#This Row],[ردیف]])</f>
        <v>229</v>
      </c>
      <c r="C2549" s="32" t="s">
        <v>814</v>
      </c>
      <c r="D2549" s="32" t="str">
        <f>_xlfn.CONCAT("14",Main[[#This Row],[تاريخ]])</f>
        <v>1400/09/25</v>
      </c>
      <c r="E2549" s="33">
        <v>44546</v>
      </c>
      <c r="F2549" s="32">
        <v>10018</v>
      </c>
      <c r="G2549" s="5" t="str">
        <f>INDEX(customer[عنوان],MATCH(Main[[#This Row],[کد ردیابی]],customer[کد],0))</f>
        <v xml:space="preserve">کوهی </v>
      </c>
      <c r="H2549">
        <v>21</v>
      </c>
      <c r="I2549" s="6">
        <f ca="1">-Main[[#This Row],[بدهی تسویه شده (کیلوگرم)]]+Main[[#This Row],[بستانکار (کیلوگرم)]]</f>
        <v>21</v>
      </c>
      <c r="J2549" s="6">
        <f>IF(Main[[#This Row],[مقدار (کیلوگرم)]]&gt;0,Main[[#This Row],[مقدار (کیلوگرم)]],0)</f>
        <v>21</v>
      </c>
      <c r="K2549" s="6">
        <f>-IF(Main[[#This Row],[مقدار (کیلوگرم)]]&lt;0,Main[[#This Row],[مقدار (کیلوگرم)]],0)</f>
        <v>0</v>
      </c>
      <c r="L25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9" s="7">
        <f>-IF(AND(Main[[#This Row],[مقدار (کیلوگرم)]]&lt;0,Main[[#This Row],[تاريخ میلادی]]&gt;44276),Main[[#This Row],[مقدار (کیلوگرم)]],0)</f>
        <v>0</v>
      </c>
      <c r="N2549" s="6">
        <f ca="1">Main[[#This Row],[بدهکار (کیلوگرم)]]-Main[[#This Row],[بدهی تسویه نشده (کیلوگرم)]]</f>
        <v>0</v>
      </c>
      <c r="O2549" s="6">
        <f ca="1">Main[[#This Row],[تفکیک]]</f>
        <v>0</v>
      </c>
      <c r="P2549" s="6">
        <f ca="1">IF(Main[[#This Row],[تاخیر از سررسید]]&gt;0,Main[[#This Row],[بدهی تسویه نشده (کیلوگرم)]],0)</f>
        <v>0</v>
      </c>
      <c r="Q2549" s="6">
        <f ca="1">IF(Main[[#This Row],[بدهی تسویه نشده (کیلوگرم)]]&gt;0,'گزارش فردی'!$B$7-Main[[#This Row],[تاريخ میلادی]],0)</f>
        <v>0</v>
      </c>
      <c r="R2549" s="6">
        <f ca="1">IF(Main[[#This Row],[بدهی تسویه نشده (کیلوگرم)]]&gt;0,'گزارش فردی'!$B$7-Main[[#This Row],[تاريخ میلادی]]-'گزارش فردی'!$B$8,0)</f>
        <v>0</v>
      </c>
      <c r="S2549" s="6">
        <f ca="1">Main[[#This Row],[روز از ارسال سفارش]]*Main[[#This Row],[بدهی تسویه نشده (کیلوگرم)]]</f>
        <v>0</v>
      </c>
      <c r="T2549" s="6">
        <f ca="1">Main[[#This Row],[بدهی سررسید شده (کیلوگرم)]]*Main[[#This Row],[روز از ارسال سفارش]]</f>
        <v>0</v>
      </c>
      <c r="U2549" s="6">
        <f>-SUBTOTAL(9,INDEX(Main[مقدار (کیلوگرم)],1):Main[[#This Row],[مقدار (کیلوگرم)]])</f>
        <v>41791</v>
      </c>
      <c r="V25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9" s="6">
        <f>Main[[#This Row],[تعداد کل روزهای بدهکار (روز)]]*Main[[#This Row],[مانده در خط کل (کیلوگرم)]]</f>
        <v>83582</v>
      </c>
      <c r="X2549" s="6">
        <f ca="1">-SUBTOTAL(9,INDEX(Main[مقدار تسویه شده (کیلوگرم)],1):Main[[#This Row],[مقدار تسویه شده (کیلوگرم)]])</f>
        <v>14280</v>
      </c>
      <c r="Y2549" s="6">
        <f ca="1">IF(Main[[#This Row],[مانده در خط تسویه شده (کیلوگرم)]]&lt;&gt;0,Main[[#This Row],[تعداد کل روزهای بدهکار (روز)]],0)</f>
        <v>2</v>
      </c>
      <c r="Z2549" s="6">
        <f ca="1">Main[[#This Row],[تعداد روزهای بدهکار تسویه شده (روز)]]*Main[[#This Row],[مانده در خط تسویه شده (کیلوگرم)]]</f>
        <v>28560</v>
      </c>
      <c r="AA2549" s="6">
        <f ca="1">SUBTOTAL(9,INDEX(Main[بدهی تسویه نشده (کیلوگرم)],1):Main[[#This Row],[بدهی تسویه نشده (کیلوگرم)]])</f>
        <v>27511</v>
      </c>
      <c r="AB2549" s="6">
        <f ca="1">IF(Main[[#This Row],[مانده در خط تسویه نشده (کیلوگرم)]]&lt;&gt;0,Main[[#This Row],[تعداد کل روزهای بدهکار (روز)]],0)</f>
        <v>2</v>
      </c>
      <c r="AC2549" s="6">
        <f ca="1">Main[[#This Row],[تعداد روزهای بدهکار  تسویه نشده (روز)]]*Main[[#This Row],[مانده در خط تسویه نشده (کیلوگرم)]]</f>
        <v>55022</v>
      </c>
      <c r="AD2549" s="6">
        <f ca="1">SUBTOTAL(9,INDEX(Main[بدهی سررسید شده (کیلوگرم)],1):Main[[#This Row],[بدهی سررسید شده (کیلوگرم)]])</f>
        <v>27511</v>
      </c>
      <c r="AE2549" s="6">
        <f ca="1">IF(Main[[#This Row],[مانده در خط سررسید شده (کیلوگرم)]]&lt;&gt;0,Main[[#This Row],[تعداد کل روزهای بدهکار (روز)]],0)</f>
        <v>2</v>
      </c>
      <c r="AF2549" s="6">
        <f ca="1">Main[[#This Row],[تعداد روزهای بدهکار سررسید شده (روز)]]*Main[[#This Row],[مانده در خط سررسید شده (کیلوگرم)]]</f>
        <v>55022</v>
      </c>
    </row>
    <row r="2550" spans="1:32" hidden="1" x14ac:dyDescent="0.35">
      <c r="A2550" s="5">
        <f>ROW()-ROW(INDEX(Main[ردیف],1))+1</f>
        <v>2548</v>
      </c>
      <c r="B2550" s="31">
        <f>SUBTOTAL(2,INDEX(Main[ردیف],1):Main[[#This Row],[ردیف]])</f>
        <v>229</v>
      </c>
      <c r="C2550" s="32" t="s">
        <v>814</v>
      </c>
      <c r="D2550" s="32" t="str">
        <f>_xlfn.CONCAT("14",Main[[#This Row],[تاريخ]])</f>
        <v>1400/09/25</v>
      </c>
      <c r="E2550" s="33">
        <v>44546</v>
      </c>
      <c r="F2550" s="32">
        <v>30004</v>
      </c>
      <c r="G2550" s="5" t="str">
        <f>INDEX(customer[عنوان],MATCH(Main[[#This Row],[کد ردیابی]],customer[کد],0))</f>
        <v>تولیدی صنعتی صفاشیر پارس</v>
      </c>
      <c r="H2550">
        <v>3883</v>
      </c>
      <c r="I2550" s="6">
        <f ca="1">-Main[[#This Row],[بدهی تسویه شده (کیلوگرم)]]+Main[[#This Row],[بستانکار (کیلوگرم)]]</f>
        <v>3883</v>
      </c>
      <c r="J2550" s="6">
        <f>IF(Main[[#This Row],[مقدار (کیلوگرم)]]&gt;0,Main[[#This Row],[مقدار (کیلوگرم)]],0)</f>
        <v>3883</v>
      </c>
      <c r="K2550" s="6">
        <f>-IF(Main[[#This Row],[مقدار (کیلوگرم)]]&lt;0,Main[[#This Row],[مقدار (کیلوگرم)]],0)</f>
        <v>0</v>
      </c>
      <c r="L25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0" s="7">
        <f>-IF(AND(Main[[#This Row],[مقدار (کیلوگرم)]]&lt;0,Main[[#This Row],[تاريخ میلادی]]&gt;44276),Main[[#This Row],[مقدار (کیلوگرم)]],0)</f>
        <v>0</v>
      </c>
      <c r="N2550" s="6">
        <f ca="1">Main[[#This Row],[بدهکار (کیلوگرم)]]-Main[[#This Row],[بدهی تسویه نشده (کیلوگرم)]]</f>
        <v>0</v>
      </c>
      <c r="O2550" s="6">
        <f ca="1">Main[[#This Row],[تفکیک]]</f>
        <v>0</v>
      </c>
      <c r="P2550" s="6">
        <f ca="1">IF(Main[[#This Row],[تاخیر از سررسید]]&gt;0,Main[[#This Row],[بدهی تسویه نشده (کیلوگرم)]],0)</f>
        <v>0</v>
      </c>
      <c r="Q2550" s="6">
        <f ca="1">IF(Main[[#This Row],[بدهی تسویه نشده (کیلوگرم)]]&gt;0,'گزارش فردی'!$B$7-Main[[#This Row],[تاريخ میلادی]],0)</f>
        <v>0</v>
      </c>
      <c r="R2550" s="6">
        <f ca="1">IF(Main[[#This Row],[بدهی تسویه نشده (کیلوگرم)]]&gt;0,'گزارش فردی'!$B$7-Main[[#This Row],[تاريخ میلادی]]-'گزارش فردی'!$B$8,0)</f>
        <v>0</v>
      </c>
      <c r="S2550" s="6">
        <f ca="1">Main[[#This Row],[روز از ارسال سفارش]]*Main[[#This Row],[بدهی تسویه نشده (کیلوگرم)]]</f>
        <v>0</v>
      </c>
      <c r="T2550" s="6">
        <f ca="1">Main[[#This Row],[بدهی سررسید شده (کیلوگرم)]]*Main[[#This Row],[روز از ارسال سفارش]]</f>
        <v>0</v>
      </c>
      <c r="U2550" s="6">
        <f>-SUBTOTAL(9,INDEX(Main[مقدار (کیلوگرم)],1):Main[[#This Row],[مقدار (کیلوگرم)]])</f>
        <v>41791</v>
      </c>
      <c r="V25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0" s="6">
        <f>Main[[#This Row],[تعداد کل روزهای بدهکار (روز)]]*Main[[#This Row],[مانده در خط کل (کیلوگرم)]]</f>
        <v>83582</v>
      </c>
      <c r="X2550" s="6">
        <f ca="1">-SUBTOTAL(9,INDEX(Main[مقدار تسویه شده (کیلوگرم)],1):Main[[#This Row],[مقدار تسویه شده (کیلوگرم)]])</f>
        <v>14280</v>
      </c>
      <c r="Y2550" s="6">
        <f ca="1">IF(Main[[#This Row],[مانده در خط تسویه شده (کیلوگرم)]]&lt;&gt;0,Main[[#This Row],[تعداد کل روزهای بدهکار (روز)]],0)</f>
        <v>2</v>
      </c>
      <c r="Z2550" s="6">
        <f ca="1">Main[[#This Row],[تعداد روزهای بدهکار تسویه شده (روز)]]*Main[[#This Row],[مانده در خط تسویه شده (کیلوگرم)]]</f>
        <v>28560</v>
      </c>
      <c r="AA2550" s="6">
        <f ca="1">SUBTOTAL(9,INDEX(Main[بدهی تسویه نشده (کیلوگرم)],1):Main[[#This Row],[بدهی تسویه نشده (کیلوگرم)]])</f>
        <v>27511</v>
      </c>
      <c r="AB2550" s="6">
        <f ca="1">IF(Main[[#This Row],[مانده در خط تسویه نشده (کیلوگرم)]]&lt;&gt;0,Main[[#This Row],[تعداد کل روزهای بدهکار (روز)]],0)</f>
        <v>2</v>
      </c>
      <c r="AC2550" s="6">
        <f ca="1">Main[[#This Row],[تعداد روزهای بدهکار  تسویه نشده (روز)]]*Main[[#This Row],[مانده در خط تسویه نشده (کیلوگرم)]]</f>
        <v>55022</v>
      </c>
      <c r="AD2550" s="6">
        <f ca="1">SUBTOTAL(9,INDEX(Main[بدهی سررسید شده (کیلوگرم)],1):Main[[#This Row],[بدهی سررسید شده (کیلوگرم)]])</f>
        <v>27511</v>
      </c>
      <c r="AE2550" s="6">
        <f ca="1">IF(Main[[#This Row],[مانده در خط سررسید شده (کیلوگرم)]]&lt;&gt;0,Main[[#This Row],[تعداد کل روزهای بدهکار (روز)]],0)</f>
        <v>2</v>
      </c>
      <c r="AF2550" s="6">
        <f ca="1">Main[[#This Row],[تعداد روزهای بدهکار سررسید شده (روز)]]*Main[[#This Row],[مانده در خط سررسید شده (کیلوگرم)]]</f>
        <v>55022</v>
      </c>
    </row>
    <row r="2551" spans="1:32" hidden="1" x14ac:dyDescent="0.35">
      <c r="A2551" s="5">
        <f>ROW()-ROW(INDEX(Main[ردیف],1))+1</f>
        <v>2549</v>
      </c>
      <c r="B2551" s="31">
        <f>SUBTOTAL(2,INDEX(Main[ردیف],1):Main[[#This Row],[ردیف]])</f>
        <v>229</v>
      </c>
      <c r="C2551" s="32" t="s">
        <v>814</v>
      </c>
      <c r="D2551" s="32" t="str">
        <f>_xlfn.CONCAT("14",Main[[#This Row],[تاريخ]])</f>
        <v>1400/09/25</v>
      </c>
      <c r="E2551" s="33">
        <v>44546</v>
      </c>
      <c r="F2551" s="32">
        <v>30186</v>
      </c>
      <c r="G2551" s="5" t="str">
        <f>INDEX(customer[عنوان],MATCH(Main[[#This Row],[کد ردیابی]],customer[کد],0))</f>
        <v>سارا گاز</v>
      </c>
      <c r="H2551">
        <v>689</v>
      </c>
      <c r="I2551" s="6">
        <f ca="1">-Main[[#This Row],[بدهی تسویه شده (کیلوگرم)]]+Main[[#This Row],[بستانکار (کیلوگرم)]]</f>
        <v>689</v>
      </c>
      <c r="J2551" s="6">
        <f>IF(Main[[#This Row],[مقدار (کیلوگرم)]]&gt;0,Main[[#This Row],[مقدار (کیلوگرم)]],0)</f>
        <v>689</v>
      </c>
      <c r="K2551" s="6">
        <f>-IF(Main[[#This Row],[مقدار (کیلوگرم)]]&lt;0,Main[[#This Row],[مقدار (کیلوگرم)]],0)</f>
        <v>0</v>
      </c>
      <c r="L25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1" s="7">
        <f>-IF(AND(Main[[#This Row],[مقدار (کیلوگرم)]]&lt;0,Main[[#This Row],[تاريخ میلادی]]&gt;44276),Main[[#This Row],[مقدار (کیلوگرم)]],0)</f>
        <v>0</v>
      </c>
      <c r="N2551" s="6">
        <f ca="1">Main[[#This Row],[بدهکار (کیلوگرم)]]-Main[[#This Row],[بدهی تسویه نشده (کیلوگرم)]]</f>
        <v>0</v>
      </c>
      <c r="O2551" s="6">
        <f ca="1">Main[[#This Row],[تفکیک]]</f>
        <v>0</v>
      </c>
      <c r="P2551" s="6">
        <f ca="1">IF(Main[[#This Row],[تاخیر از سررسید]]&gt;0,Main[[#This Row],[بدهی تسویه نشده (کیلوگرم)]],0)</f>
        <v>0</v>
      </c>
      <c r="Q2551" s="6">
        <f ca="1">IF(Main[[#This Row],[بدهی تسویه نشده (کیلوگرم)]]&gt;0,'گزارش فردی'!$B$7-Main[[#This Row],[تاريخ میلادی]],0)</f>
        <v>0</v>
      </c>
      <c r="R2551" s="6">
        <f ca="1">IF(Main[[#This Row],[بدهی تسویه نشده (کیلوگرم)]]&gt;0,'گزارش فردی'!$B$7-Main[[#This Row],[تاريخ میلادی]]-'گزارش فردی'!$B$8,0)</f>
        <v>0</v>
      </c>
      <c r="S2551" s="6">
        <f ca="1">Main[[#This Row],[روز از ارسال سفارش]]*Main[[#This Row],[بدهی تسویه نشده (کیلوگرم)]]</f>
        <v>0</v>
      </c>
      <c r="T2551" s="6">
        <f ca="1">Main[[#This Row],[بدهی سررسید شده (کیلوگرم)]]*Main[[#This Row],[روز از ارسال سفارش]]</f>
        <v>0</v>
      </c>
      <c r="U2551" s="6">
        <f>-SUBTOTAL(9,INDEX(Main[مقدار (کیلوگرم)],1):Main[[#This Row],[مقدار (کیلوگرم)]])</f>
        <v>41791</v>
      </c>
      <c r="V255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1" s="6">
        <f>Main[[#This Row],[تعداد کل روزهای بدهکار (روز)]]*Main[[#This Row],[مانده در خط کل (کیلوگرم)]]</f>
        <v>83582</v>
      </c>
      <c r="X2551" s="6">
        <f ca="1">-SUBTOTAL(9,INDEX(Main[مقدار تسویه شده (کیلوگرم)],1):Main[[#This Row],[مقدار تسویه شده (کیلوگرم)]])</f>
        <v>14280</v>
      </c>
      <c r="Y2551" s="6">
        <f ca="1">IF(Main[[#This Row],[مانده در خط تسویه شده (کیلوگرم)]]&lt;&gt;0,Main[[#This Row],[تعداد کل روزهای بدهکار (روز)]],0)</f>
        <v>2</v>
      </c>
      <c r="Z2551" s="6">
        <f ca="1">Main[[#This Row],[تعداد روزهای بدهکار تسویه شده (روز)]]*Main[[#This Row],[مانده در خط تسویه شده (کیلوگرم)]]</f>
        <v>28560</v>
      </c>
      <c r="AA2551" s="6">
        <f ca="1">SUBTOTAL(9,INDEX(Main[بدهی تسویه نشده (کیلوگرم)],1):Main[[#This Row],[بدهی تسویه نشده (کیلوگرم)]])</f>
        <v>27511</v>
      </c>
      <c r="AB2551" s="6">
        <f ca="1">IF(Main[[#This Row],[مانده در خط تسویه نشده (کیلوگرم)]]&lt;&gt;0,Main[[#This Row],[تعداد کل روزهای بدهکار (روز)]],0)</f>
        <v>2</v>
      </c>
      <c r="AC2551" s="6">
        <f ca="1">Main[[#This Row],[تعداد روزهای بدهکار  تسویه نشده (روز)]]*Main[[#This Row],[مانده در خط تسویه نشده (کیلوگرم)]]</f>
        <v>55022</v>
      </c>
      <c r="AD2551" s="6">
        <f ca="1">SUBTOTAL(9,INDEX(Main[بدهی سررسید شده (کیلوگرم)],1):Main[[#This Row],[بدهی سررسید شده (کیلوگرم)]])</f>
        <v>27511</v>
      </c>
      <c r="AE2551" s="6">
        <f ca="1">IF(Main[[#This Row],[مانده در خط سررسید شده (کیلوگرم)]]&lt;&gt;0,Main[[#This Row],[تعداد کل روزهای بدهکار (روز)]],0)</f>
        <v>2</v>
      </c>
      <c r="AF2551" s="6">
        <f ca="1">Main[[#This Row],[تعداد روزهای بدهکار سررسید شده (روز)]]*Main[[#This Row],[مانده در خط سررسید شده (کیلوگرم)]]</f>
        <v>55022</v>
      </c>
    </row>
    <row r="2552" spans="1:32" hidden="1" x14ac:dyDescent="0.35">
      <c r="A2552" s="5">
        <f>ROW()-ROW(INDEX(Main[ردیف],1))+1</f>
        <v>2550</v>
      </c>
      <c r="B2552" s="31">
        <f>SUBTOTAL(2,INDEX(Main[ردیف],1):Main[[#This Row],[ردیف]])</f>
        <v>229</v>
      </c>
      <c r="C2552" s="32" t="s">
        <v>814</v>
      </c>
      <c r="D2552" s="32" t="str">
        <f>_xlfn.CONCAT("14",Main[[#This Row],[تاريخ]])</f>
        <v>1400/09/25</v>
      </c>
      <c r="E2552" s="33">
        <v>44546</v>
      </c>
      <c r="F2552" s="32">
        <v>30186</v>
      </c>
      <c r="G2552" s="5" t="str">
        <f>INDEX(customer[عنوان],MATCH(Main[[#This Row],[کد ردیابی]],customer[کد],0))</f>
        <v>سارا گاز</v>
      </c>
      <c r="H2552">
        <v>202</v>
      </c>
      <c r="I2552" s="6">
        <f ca="1">-Main[[#This Row],[بدهی تسویه شده (کیلوگرم)]]+Main[[#This Row],[بستانکار (کیلوگرم)]]</f>
        <v>202</v>
      </c>
      <c r="J2552" s="6">
        <f>IF(Main[[#This Row],[مقدار (کیلوگرم)]]&gt;0,Main[[#This Row],[مقدار (کیلوگرم)]],0)</f>
        <v>202</v>
      </c>
      <c r="K2552" s="6">
        <f>-IF(Main[[#This Row],[مقدار (کیلوگرم)]]&lt;0,Main[[#This Row],[مقدار (کیلوگرم)]],0)</f>
        <v>0</v>
      </c>
      <c r="L25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2" s="7">
        <f>-IF(AND(Main[[#This Row],[مقدار (کیلوگرم)]]&lt;0,Main[[#This Row],[تاريخ میلادی]]&gt;44276),Main[[#This Row],[مقدار (کیلوگرم)]],0)</f>
        <v>0</v>
      </c>
      <c r="N2552" s="6">
        <f ca="1">Main[[#This Row],[بدهکار (کیلوگرم)]]-Main[[#This Row],[بدهی تسویه نشده (کیلوگرم)]]</f>
        <v>0</v>
      </c>
      <c r="O2552" s="6">
        <f ca="1">Main[[#This Row],[تفکیک]]</f>
        <v>0</v>
      </c>
      <c r="P2552" s="6">
        <f ca="1">IF(Main[[#This Row],[تاخیر از سررسید]]&gt;0,Main[[#This Row],[بدهی تسویه نشده (کیلوگرم)]],0)</f>
        <v>0</v>
      </c>
      <c r="Q2552" s="6">
        <f ca="1">IF(Main[[#This Row],[بدهی تسویه نشده (کیلوگرم)]]&gt;0,'گزارش فردی'!$B$7-Main[[#This Row],[تاريخ میلادی]],0)</f>
        <v>0</v>
      </c>
      <c r="R2552" s="6">
        <f ca="1">IF(Main[[#This Row],[بدهی تسویه نشده (کیلوگرم)]]&gt;0,'گزارش فردی'!$B$7-Main[[#This Row],[تاريخ میلادی]]-'گزارش فردی'!$B$8,0)</f>
        <v>0</v>
      </c>
      <c r="S2552" s="6">
        <f ca="1">Main[[#This Row],[روز از ارسال سفارش]]*Main[[#This Row],[بدهی تسویه نشده (کیلوگرم)]]</f>
        <v>0</v>
      </c>
      <c r="T2552" s="6">
        <f ca="1">Main[[#This Row],[بدهی سررسید شده (کیلوگرم)]]*Main[[#This Row],[روز از ارسال سفارش]]</f>
        <v>0</v>
      </c>
      <c r="U2552" s="6">
        <f>-SUBTOTAL(9,INDEX(Main[مقدار (کیلوگرم)],1):Main[[#This Row],[مقدار (کیلوگرم)]])</f>
        <v>41791</v>
      </c>
      <c r="V25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2" s="6">
        <f>Main[[#This Row],[تعداد کل روزهای بدهکار (روز)]]*Main[[#This Row],[مانده در خط کل (کیلوگرم)]]</f>
        <v>83582</v>
      </c>
      <c r="X2552" s="6">
        <f ca="1">-SUBTOTAL(9,INDEX(Main[مقدار تسویه شده (کیلوگرم)],1):Main[[#This Row],[مقدار تسویه شده (کیلوگرم)]])</f>
        <v>14280</v>
      </c>
      <c r="Y2552" s="6">
        <f ca="1">IF(Main[[#This Row],[مانده در خط تسویه شده (کیلوگرم)]]&lt;&gt;0,Main[[#This Row],[تعداد کل روزهای بدهکار (روز)]],0)</f>
        <v>2</v>
      </c>
      <c r="Z2552" s="6">
        <f ca="1">Main[[#This Row],[تعداد روزهای بدهکار تسویه شده (روز)]]*Main[[#This Row],[مانده در خط تسویه شده (کیلوگرم)]]</f>
        <v>28560</v>
      </c>
      <c r="AA2552" s="6">
        <f ca="1">SUBTOTAL(9,INDEX(Main[بدهی تسویه نشده (کیلوگرم)],1):Main[[#This Row],[بدهی تسویه نشده (کیلوگرم)]])</f>
        <v>27511</v>
      </c>
      <c r="AB2552" s="6">
        <f ca="1">IF(Main[[#This Row],[مانده در خط تسویه نشده (کیلوگرم)]]&lt;&gt;0,Main[[#This Row],[تعداد کل روزهای بدهکار (روز)]],0)</f>
        <v>2</v>
      </c>
      <c r="AC2552" s="6">
        <f ca="1">Main[[#This Row],[تعداد روزهای بدهکار  تسویه نشده (روز)]]*Main[[#This Row],[مانده در خط تسویه نشده (کیلوگرم)]]</f>
        <v>55022</v>
      </c>
      <c r="AD2552" s="6">
        <f ca="1">SUBTOTAL(9,INDEX(Main[بدهی سررسید شده (کیلوگرم)],1):Main[[#This Row],[بدهی سررسید شده (کیلوگرم)]])</f>
        <v>27511</v>
      </c>
      <c r="AE2552" s="6">
        <f ca="1">IF(Main[[#This Row],[مانده در خط سررسید شده (کیلوگرم)]]&lt;&gt;0,Main[[#This Row],[تعداد کل روزهای بدهکار (روز)]],0)</f>
        <v>2</v>
      </c>
      <c r="AF2552" s="6">
        <f ca="1">Main[[#This Row],[تعداد روزهای بدهکار سررسید شده (روز)]]*Main[[#This Row],[مانده در خط سررسید شده (کیلوگرم)]]</f>
        <v>55022</v>
      </c>
    </row>
    <row r="2553" spans="1:32" hidden="1" x14ac:dyDescent="0.35">
      <c r="A2553" s="5">
        <f>ROW()-ROW(INDEX(Main[ردیف],1))+1</f>
        <v>2551</v>
      </c>
      <c r="B2553" s="31">
        <f>SUBTOTAL(2,INDEX(Main[ردیف],1):Main[[#This Row],[ردیف]])</f>
        <v>229</v>
      </c>
      <c r="C2553" s="32" t="s">
        <v>814</v>
      </c>
      <c r="D2553" s="32" t="str">
        <f>_xlfn.CONCAT("14",Main[[#This Row],[تاريخ]])</f>
        <v>1400/09/25</v>
      </c>
      <c r="E2553" s="33">
        <v>44546</v>
      </c>
      <c r="F2553" s="32">
        <v>30004</v>
      </c>
      <c r="G2553" s="5" t="str">
        <f>INDEX(customer[عنوان],MATCH(Main[[#This Row],[کد ردیابی]],customer[کد],0))</f>
        <v>تولیدی صنعتی صفاشیر پارس</v>
      </c>
      <c r="H2553">
        <v>412</v>
      </c>
      <c r="I2553" s="6">
        <f ca="1">-Main[[#This Row],[بدهی تسویه شده (کیلوگرم)]]+Main[[#This Row],[بستانکار (کیلوگرم)]]</f>
        <v>412</v>
      </c>
      <c r="J2553" s="6">
        <f>IF(Main[[#This Row],[مقدار (کیلوگرم)]]&gt;0,Main[[#This Row],[مقدار (کیلوگرم)]],0)</f>
        <v>412</v>
      </c>
      <c r="K2553" s="6">
        <f>-IF(Main[[#This Row],[مقدار (کیلوگرم)]]&lt;0,Main[[#This Row],[مقدار (کیلوگرم)]],0)</f>
        <v>0</v>
      </c>
      <c r="L25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3" s="7">
        <f>-IF(AND(Main[[#This Row],[مقدار (کیلوگرم)]]&lt;0,Main[[#This Row],[تاريخ میلادی]]&gt;44276),Main[[#This Row],[مقدار (کیلوگرم)]],0)</f>
        <v>0</v>
      </c>
      <c r="N2553" s="6">
        <f ca="1">Main[[#This Row],[بدهکار (کیلوگرم)]]-Main[[#This Row],[بدهی تسویه نشده (کیلوگرم)]]</f>
        <v>0</v>
      </c>
      <c r="O2553" s="6">
        <f ca="1">Main[[#This Row],[تفکیک]]</f>
        <v>0</v>
      </c>
      <c r="P2553" s="6">
        <f ca="1">IF(Main[[#This Row],[تاخیر از سررسید]]&gt;0,Main[[#This Row],[بدهی تسویه نشده (کیلوگرم)]],0)</f>
        <v>0</v>
      </c>
      <c r="Q2553" s="6">
        <f ca="1">IF(Main[[#This Row],[بدهی تسویه نشده (کیلوگرم)]]&gt;0,'گزارش فردی'!$B$7-Main[[#This Row],[تاريخ میلادی]],0)</f>
        <v>0</v>
      </c>
      <c r="R2553" s="6">
        <f ca="1">IF(Main[[#This Row],[بدهی تسویه نشده (کیلوگرم)]]&gt;0,'گزارش فردی'!$B$7-Main[[#This Row],[تاريخ میلادی]]-'گزارش فردی'!$B$8,0)</f>
        <v>0</v>
      </c>
      <c r="S2553" s="6">
        <f ca="1">Main[[#This Row],[روز از ارسال سفارش]]*Main[[#This Row],[بدهی تسویه نشده (کیلوگرم)]]</f>
        <v>0</v>
      </c>
      <c r="T2553" s="6">
        <f ca="1">Main[[#This Row],[بدهی سررسید شده (کیلوگرم)]]*Main[[#This Row],[روز از ارسال سفارش]]</f>
        <v>0</v>
      </c>
      <c r="U2553" s="6">
        <f>-SUBTOTAL(9,INDEX(Main[مقدار (کیلوگرم)],1):Main[[#This Row],[مقدار (کیلوگرم)]])</f>
        <v>41791</v>
      </c>
      <c r="V25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3" s="6">
        <f>Main[[#This Row],[تعداد کل روزهای بدهکار (روز)]]*Main[[#This Row],[مانده در خط کل (کیلوگرم)]]</f>
        <v>83582</v>
      </c>
      <c r="X2553" s="6">
        <f ca="1">-SUBTOTAL(9,INDEX(Main[مقدار تسویه شده (کیلوگرم)],1):Main[[#This Row],[مقدار تسویه شده (کیلوگرم)]])</f>
        <v>14280</v>
      </c>
      <c r="Y2553" s="6">
        <f ca="1">IF(Main[[#This Row],[مانده در خط تسویه شده (کیلوگرم)]]&lt;&gt;0,Main[[#This Row],[تعداد کل روزهای بدهکار (روز)]],0)</f>
        <v>2</v>
      </c>
      <c r="Z2553" s="6">
        <f ca="1">Main[[#This Row],[تعداد روزهای بدهکار تسویه شده (روز)]]*Main[[#This Row],[مانده در خط تسویه شده (کیلوگرم)]]</f>
        <v>28560</v>
      </c>
      <c r="AA2553" s="6">
        <f ca="1">SUBTOTAL(9,INDEX(Main[بدهی تسویه نشده (کیلوگرم)],1):Main[[#This Row],[بدهی تسویه نشده (کیلوگرم)]])</f>
        <v>27511</v>
      </c>
      <c r="AB2553" s="6">
        <f ca="1">IF(Main[[#This Row],[مانده در خط تسویه نشده (کیلوگرم)]]&lt;&gt;0,Main[[#This Row],[تعداد کل روزهای بدهکار (روز)]],0)</f>
        <v>2</v>
      </c>
      <c r="AC2553" s="6">
        <f ca="1">Main[[#This Row],[تعداد روزهای بدهکار  تسویه نشده (روز)]]*Main[[#This Row],[مانده در خط تسویه نشده (کیلوگرم)]]</f>
        <v>55022</v>
      </c>
      <c r="AD2553" s="6">
        <f ca="1">SUBTOTAL(9,INDEX(Main[بدهی سررسید شده (کیلوگرم)],1):Main[[#This Row],[بدهی سررسید شده (کیلوگرم)]])</f>
        <v>27511</v>
      </c>
      <c r="AE2553" s="6">
        <f ca="1">IF(Main[[#This Row],[مانده در خط سررسید شده (کیلوگرم)]]&lt;&gt;0,Main[[#This Row],[تعداد کل روزهای بدهکار (روز)]],0)</f>
        <v>2</v>
      </c>
      <c r="AF2553" s="6">
        <f ca="1">Main[[#This Row],[تعداد روزهای بدهکار سررسید شده (روز)]]*Main[[#This Row],[مانده در خط سررسید شده (کیلوگرم)]]</f>
        <v>55022</v>
      </c>
    </row>
    <row r="2554" spans="1:32" hidden="1" x14ac:dyDescent="0.35">
      <c r="A2554" s="5">
        <f>ROW()-ROW(INDEX(Main[ردیف],1))+1</f>
        <v>2552</v>
      </c>
      <c r="B2554" s="31">
        <f>SUBTOTAL(2,INDEX(Main[ردیف],1):Main[[#This Row],[ردیف]])</f>
        <v>229</v>
      </c>
      <c r="C2554" s="32" t="s">
        <v>815</v>
      </c>
      <c r="D2554" s="32" t="str">
        <f>_xlfn.CONCAT("14",Main[[#This Row],[تاريخ]])</f>
        <v>1400/09/27</v>
      </c>
      <c r="E2554" s="33">
        <v>44548</v>
      </c>
      <c r="F2554" s="32">
        <v>30003</v>
      </c>
      <c r="G2554" s="5" t="str">
        <f>INDEX(customer[عنوان],MATCH(Main[[#This Row],[کد ردیابی]],customer[کد],0))</f>
        <v xml:space="preserve">شهاب گاز سوز </v>
      </c>
      <c r="H2554">
        <v>-204</v>
      </c>
      <c r="I2554" s="6">
        <f ca="1">-Main[[#This Row],[بدهی تسویه شده (کیلوگرم)]]+Main[[#This Row],[بستانکار (کیلوگرم)]]</f>
        <v>0</v>
      </c>
      <c r="J2554" s="6">
        <f>IF(Main[[#This Row],[مقدار (کیلوگرم)]]&gt;0,Main[[#This Row],[مقدار (کیلوگرم)]],0)</f>
        <v>0</v>
      </c>
      <c r="K2554" s="6">
        <f>-IF(Main[[#This Row],[مقدار (کیلوگرم)]]&lt;0,Main[[#This Row],[مقدار (کیلوگرم)]],0)</f>
        <v>204</v>
      </c>
      <c r="L25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204</v>
      </c>
      <c r="M2554" s="7">
        <f>-IF(AND(Main[[#This Row],[مقدار (کیلوگرم)]]&lt;0,Main[[#This Row],[تاريخ میلادی]]&gt;44276),Main[[#This Row],[مقدار (کیلوگرم)]],0)</f>
        <v>204</v>
      </c>
      <c r="N2554" s="6">
        <f ca="1">Main[[#This Row],[بدهکار (کیلوگرم)]]-Main[[#This Row],[بدهی تسویه نشده (کیلوگرم)]]</f>
        <v>0</v>
      </c>
      <c r="O2554" s="6">
        <f ca="1">Main[[#This Row],[تفکیک]]</f>
        <v>204</v>
      </c>
      <c r="P2554" s="6">
        <f ca="1">IF(Main[[#This Row],[تاخیر از سررسید]]&gt;0,Main[[#This Row],[بدهی تسویه نشده (کیلوگرم)]],0)</f>
        <v>204</v>
      </c>
      <c r="Q2554" s="6">
        <f ca="1">IF(Main[[#This Row],[بدهی تسویه نشده (کیلوگرم)]]&gt;0,'گزارش فردی'!$B$7-Main[[#This Row],[تاريخ میلادی]],0)</f>
        <v>914.75374085648218</v>
      </c>
      <c r="R2554" s="6">
        <f ca="1">IF(Main[[#This Row],[بدهی تسویه نشده (کیلوگرم)]]&gt;0,'گزارش فردی'!$B$7-Main[[#This Row],[تاريخ میلادی]]-'گزارش فردی'!$B$8,0)</f>
        <v>899.75374085648218</v>
      </c>
      <c r="S2554" s="6">
        <f ca="1">Main[[#This Row],[روز از ارسال سفارش]]*Main[[#This Row],[بدهی تسویه نشده (کیلوگرم)]]</f>
        <v>186609.76313472237</v>
      </c>
      <c r="T2554" s="6">
        <f ca="1">Main[[#This Row],[بدهی سررسید شده (کیلوگرم)]]*Main[[#This Row],[روز از ارسال سفارش]]</f>
        <v>186609.76313472237</v>
      </c>
      <c r="U2554" s="6">
        <f>-SUBTOTAL(9,INDEX(Main[مقدار (کیلوگرم)],1):Main[[#This Row],[مقدار (کیلوگرم)]])</f>
        <v>41791</v>
      </c>
      <c r="V25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4" s="6">
        <f>Main[[#This Row],[تعداد کل روزهای بدهکار (روز)]]*Main[[#This Row],[مانده در خط کل (کیلوگرم)]]</f>
        <v>0</v>
      </c>
      <c r="X2554" s="6">
        <f ca="1">-SUBTOTAL(9,INDEX(Main[مقدار تسویه شده (کیلوگرم)],1):Main[[#This Row],[مقدار تسویه شده (کیلوگرم)]])</f>
        <v>14280</v>
      </c>
      <c r="Y2554" s="6">
        <f ca="1">IF(Main[[#This Row],[مانده در خط تسویه شده (کیلوگرم)]]&lt;&gt;0,Main[[#This Row],[تعداد کل روزهای بدهکار (روز)]],0)</f>
        <v>0</v>
      </c>
      <c r="Z2554" s="6">
        <f ca="1">Main[[#This Row],[تعداد روزهای بدهکار تسویه شده (روز)]]*Main[[#This Row],[مانده در خط تسویه شده (کیلوگرم)]]</f>
        <v>0</v>
      </c>
      <c r="AA2554" s="6">
        <f ca="1">SUBTOTAL(9,INDEX(Main[بدهی تسویه نشده (کیلوگرم)],1):Main[[#This Row],[بدهی تسویه نشده (کیلوگرم)]])</f>
        <v>27511</v>
      </c>
      <c r="AB2554" s="6">
        <f ca="1">IF(Main[[#This Row],[مانده در خط تسویه نشده (کیلوگرم)]]&lt;&gt;0,Main[[#This Row],[تعداد کل روزهای بدهکار (روز)]],0)</f>
        <v>0</v>
      </c>
      <c r="AC2554" s="6">
        <f ca="1">Main[[#This Row],[تعداد روزهای بدهکار  تسویه نشده (روز)]]*Main[[#This Row],[مانده در خط تسویه نشده (کیلوگرم)]]</f>
        <v>0</v>
      </c>
      <c r="AD2554" s="6">
        <f ca="1">SUBTOTAL(9,INDEX(Main[بدهی سررسید شده (کیلوگرم)],1):Main[[#This Row],[بدهی سررسید شده (کیلوگرم)]])</f>
        <v>27511</v>
      </c>
      <c r="AE2554" s="6">
        <f ca="1">IF(Main[[#This Row],[مانده در خط سررسید شده (کیلوگرم)]]&lt;&gt;0,Main[[#This Row],[تعداد کل روزهای بدهکار (روز)]],0)</f>
        <v>0</v>
      </c>
      <c r="AF2554" s="6">
        <f ca="1">Main[[#This Row],[تعداد روزهای بدهکار سررسید شده (روز)]]*Main[[#This Row],[مانده در خط سررسید شده (کیلوگرم)]]</f>
        <v>0</v>
      </c>
    </row>
    <row r="2555" spans="1:32" hidden="1" x14ac:dyDescent="0.35">
      <c r="A2555" s="5">
        <f>ROW()-ROW(INDEX(Main[ردیف],1))+1</f>
        <v>2553</v>
      </c>
      <c r="B2555" s="31">
        <f>SUBTOTAL(2,INDEX(Main[ردیف],1):Main[[#This Row],[ردیف]])</f>
        <v>229</v>
      </c>
      <c r="C2555" s="32" t="s">
        <v>815</v>
      </c>
      <c r="D2555" s="32" t="str">
        <f>_xlfn.CONCAT("14",Main[[#This Row],[تاريخ]])</f>
        <v>1400/09/27</v>
      </c>
      <c r="E2555" s="33">
        <v>44548</v>
      </c>
      <c r="F2555" s="32">
        <v>10084</v>
      </c>
      <c r="G2555" s="5" t="str">
        <f>INDEX(customer[عنوان],MATCH(Main[[#This Row],[کد ردیابی]],customer[کد],0))</f>
        <v xml:space="preserve">سیدحمید کاظمی </v>
      </c>
      <c r="H2555">
        <v>46</v>
      </c>
      <c r="I2555" s="6">
        <f ca="1">-Main[[#This Row],[بدهی تسویه شده (کیلوگرم)]]+Main[[#This Row],[بستانکار (کیلوگرم)]]</f>
        <v>46</v>
      </c>
      <c r="J2555" s="6">
        <f>IF(Main[[#This Row],[مقدار (کیلوگرم)]]&gt;0,Main[[#This Row],[مقدار (کیلوگرم)]],0)</f>
        <v>46</v>
      </c>
      <c r="K2555" s="6">
        <f>-IF(Main[[#This Row],[مقدار (کیلوگرم)]]&lt;0,Main[[#This Row],[مقدار (کیلوگرم)]],0)</f>
        <v>0</v>
      </c>
      <c r="L25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5" s="7">
        <f>-IF(AND(Main[[#This Row],[مقدار (کیلوگرم)]]&lt;0,Main[[#This Row],[تاريخ میلادی]]&gt;44276),Main[[#This Row],[مقدار (کیلوگرم)]],0)</f>
        <v>0</v>
      </c>
      <c r="N2555" s="6">
        <f ca="1">Main[[#This Row],[بدهکار (کیلوگرم)]]-Main[[#This Row],[بدهی تسویه نشده (کیلوگرم)]]</f>
        <v>0</v>
      </c>
      <c r="O2555" s="6">
        <f ca="1">Main[[#This Row],[تفکیک]]</f>
        <v>0</v>
      </c>
      <c r="P2555" s="6">
        <f ca="1">IF(Main[[#This Row],[تاخیر از سررسید]]&gt;0,Main[[#This Row],[بدهی تسویه نشده (کیلوگرم)]],0)</f>
        <v>0</v>
      </c>
      <c r="Q2555" s="6">
        <f ca="1">IF(Main[[#This Row],[بدهی تسویه نشده (کیلوگرم)]]&gt;0,'گزارش فردی'!$B$7-Main[[#This Row],[تاريخ میلادی]],0)</f>
        <v>0</v>
      </c>
      <c r="R2555" s="6">
        <f ca="1">IF(Main[[#This Row],[بدهی تسویه نشده (کیلوگرم)]]&gt;0,'گزارش فردی'!$B$7-Main[[#This Row],[تاريخ میلادی]]-'گزارش فردی'!$B$8,0)</f>
        <v>0</v>
      </c>
      <c r="S2555" s="6">
        <f ca="1">Main[[#This Row],[روز از ارسال سفارش]]*Main[[#This Row],[بدهی تسویه نشده (کیلوگرم)]]</f>
        <v>0</v>
      </c>
      <c r="T2555" s="6">
        <f ca="1">Main[[#This Row],[بدهی سررسید شده (کیلوگرم)]]*Main[[#This Row],[روز از ارسال سفارش]]</f>
        <v>0</v>
      </c>
      <c r="U2555" s="6">
        <f>-SUBTOTAL(9,INDEX(Main[مقدار (کیلوگرم)],1):Main[[#This Row],[مقدار (کیلوگرم)]])</f>
        <v>41791</v>
      </c>
      <c r="V25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5" s="6">
        <f>Main[[#This Row],[تعداد کل روزهای بدهکار (روز)]]*Main[[#This Row],[مانده در خط کل (کیلوگرم)]]</f>
        <v>0</v>
      </c>
      <c r="X2555" s="6">
        <f ca="1">-SUBTOTAL(9,INDEX(Main[مقدار تسویه شده (کیلوگرم)],1):Main[[#This Row],[مقدار تسویه شده (کیلوگرم)]])</f>
        <v>14280</v>
      </c>
      <c r="Y2555" s="6">
        <f ca="1">IF(Main[[#This Row],[مانده در خط تسویه شده (کیلوگرم)]]&lt;&gt;0,Main[[#This Row],[تعداد کل روزهای بدهکار (روز)]],0)</f>
        <v>0</v>
      </c>
      <c r="Z2555" s="6">
        <f ca="1">Main[[#This Row],[تعداد روزهای بدهکار تسویه شده (روز)]]*Main[[#This Row],[مانده در خط تسویه شده (کیلوگرم)]]</f>
        <v>0</v>
      </c>
      <c r="AA2555" s="6">
        <f ca="1">SUBTOTAL(9,INDEX(Main[بدهی تسویه نشده (کیلوگرم)],1):Main[[#This Row],[بدهی تسویه نشده (کیلوگرم)]])</f>
        <v>27511</v>
      </c>
      <c r="AB2555" s="6">
        <f ca="1">IF(Main[[#This Row],[مانده در خط تسویه نشده (کیلوگرم)]]&lt;&gt;0,Main[[#This Row],[تعداد کل روزهای بدهکار (روز)]],0)</f>
        <v>0</v>
      </c>
      <c r="AC2555" s="6">
        <f ca="1">Main[[#This Row],[تعداد روزهای بدهکار  تسویه نشده (روز)]]*Main[[#This Row],[مانده در خط تسویه نشده (کیلوگرم)]]</f>
        <v>0</v>
      </c>
      <c r="AD2555" s="6">
        <f ca="1">SUBTOTAL(9,INDEX(Main[بدهی سررسید شده (کیلوگرم)],1):Main[[#This Row],[بدهی سررسید شده (کیلوگرم)]])</f>
        <v>27511</v>
      </c>
      <c r="AE2555" s="6">
        <f ca="1">IF(Main[[#This Row],[مانده در خط سررسید شده (کیلوگرم)]]&lt;&gt;0,Main[[#This Row],[تعداد کل روزهای بدهکار (روز)]],0)</f>
        <v>0</v>
      </c>
      <c r="AF2555" s="6">
        <f ca="1">Main[[#This Row],[تعداد روزهای بدهکار سررسید شده (روز)]]*Main[[#This Row],[مانده در خط سررسید شده (کیلوگرم)]]</f>
        <v>0</v>
      </c>
    </row>
    <row r="2556" spans="1:32" hidden="1" x14ac:dyDescent="0.35">
      <c r="A2556" s="5">
        <f>ROW()-ROW(INDEX(Main[ردیف],1))+1</f>
        <v>2554</v>
      </c>
      <c r="B2556" s="31">
        <f>SUBTOTAL(2,INDEX(Main[ردیف],1):Main[[#This Row],[ردیف]])</f>
        <v>229</v>
      </c>
      <c r="C2556" s="32" t="s">
        <v>815</v>
      </c>
      <c r="D2556" s="32" t="str">
        <f>_xlfn.CONCAT("14",Main[[#This Row],[تاريخ]])</f>
        <v>1400/09/27</v>
      </c>
      <c r="E2556" s="33">
        <v>44548</v>
      </c>
      <c r="F2556" s="32">
        <v>10084</v>
      </c>
      <c r="G2556" s="5" t="str">
        <f>INDEX(customer[عنوان],MATCH(Main[[#This Row],[کد ردیابی]],customer[کد],0))</f>
        <v xml:space="preserve">سیدحمید کاظمی </v>
      </c>
      <c r="H2556">
        <v>-1490</v>
      </c>
      <c r="I2556" s="6">
        <f ca="1">-Main[[#This Row],[بدهی تسویه شده (کیلوگرم)]]+Main[[#This Row],[بستانکار (کیلوگرم)]]</f>
        <v>0</v>
      </c>
      <c r="J2556" s="6">
        <f>IF(Main[[#This Row],[مقدار (کیلوگرم)]]&gt;0,Main[[#This Row],[مقدار (کیلوگرم)]],0)</f>
        <v>0</v>
      </c>
      <c r="K2556" s="6">
        <f>-IF(Main[[#This Row],[مقدار (کیلوگرم)]]&lt;0,Main[[#This Row],[مقدار (کیلوگرم)]],0)</f>
        <v>1490</v>
      </c>
      <c r="L25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1490</v>
      </c>
      <c r="M2556" s="7">
        <f>-IF(AND(Main[[#This Row],[مقدار (کیلوگرم)]]&lt;0,Main[[#This Row],[تاريخ میلادی]]&gt;44276),Main[[#This Row],[مقدار (کیلوگرم)]],0)</f>
        <v>1490</v>
      </c>
      <c r="N2556" s="6">
        <f ca="1">Main[[#This Row],[بدهکار (کیلوگرم)]]-Main[[#This Row],[بدهی تسویه نشده (کیلوگرم)]]</f>
        <v>0</v>
      </c>
      <c r="O2556" s="6">
        <f ca="1">Main[[#This Row],[تفکیک]]</f>
        <v>1490</v>
      </c>
      <c r="P2556" s="6">
        <f ca="1">IF(Main[[#This Row],[تاخیر از سررسید]]&gt;0,Main[[#This Row],[بدهی تسویه نشده (کیلوگرم)]],0)</f>
        <v>1490</v>
      </c>
      <c r="Q2556" s="6">
        <f ca="1">IF(Main[[#This Row],[بدهی تسویه نشده (کیلوگرم)]]&gt;0,'گزارش فردی'!$B$7-Main[[#This Row],[تاريخ میلادی]],0)</f>
        <v>914.75374085648218</v>
      </c>
      <c r="R2556" s="6">
        <f ca="1">IF(Main[[#This Row],[بدهی تسویه نشده (کیلوگرم)]]&gt;0,'گزارش فردی'!$B$7-Main[[#This Row],[تاريخ میلادی]]-'گزارش فردی'!$B$8,0)</f>
        <v>899.75374085648218</v>
      </c>
      <c r="S2556" s="6">
        <f ca="1">Main[[#This Row],[روز از ارسال سفارش]]*Main[[#This Row],[بدهی تسویه نشده (کیلوگرم)]]</f>
        <v>1362983.0738761583</v>
      </c>
      <c r="T2556" s="6">
        <f ca="1">Main[[#This Row],[بدهی سررسید شده (کیلوگرم)]]*Main[[#This Row],[روز از ارسال سفارش]]</f>
        <v>1362983.0738761583</v>
      </c>
      <c r="U2556" s="6">
        <f>-SUBTOTAL(9,INDEX(Main[مقدار (کیلوگرم)],1):Main[[#This Row],[مقدار (کیلوگرم)]])</f>
        <v>41791</v>
      </c>
      <c r="V25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6" s="6">
        <f>Main[[#This Row],[تعداد کل روزهای بدهکار (روز)]]*Main[[#This Row],[مانده در خط کل (کیلوگرم)]]</f>
        <v>0</v>
      </c>
      <c r="X2556" s="6">
        <f ca="1">-SUBTOTAL(9,INDEX(Main[مقدار تسویه شده (کیلوگرم)],1):Main[[#This Row],[مقدار تسویه شده (کیلوگرم)]])</f>
        <v>14280</v>
      </c>
      <c r="Y2556" s="6">
        <f ca="1">IF(Main[[#This Row],[مانده در خط تسویه شده (کیلوگرم)]]&lt;&gt;0,Main[[#This Row],[تعداد کل روزهای بدهکار (روز)]],0)</f>
        <v>0</v>
      </c>
      <c r="Z2556" s="6">
        <f ca="1">Main[[#This Row],[تعداد روزهای بدهکار تسویه شده (روز)]]*Main[[#This Row],[مانده در خط تسویه شده (کیلوگرم)]]</f>
        <v>0</v>
      </c>
      <c r="AA2556" s="6">
        <f ca="1">SUBTOTAL(9,INDEX(Main[بدهی تسویه نشده (کیلوگرم)],1):Main[[#This Row],[بدهی تسویه نشده (کیلوگرم)]])</f>
        <v>27511</v>
      </c>
      <c r="AB2556" s="6">
        <f ca="1">IF(Main[[#This Row],[مانده در خط تسویه نشده (کیلوگرم)]]&lt;&gt;0,Main[[#This Row],[تعداد کل روزهای بدهکار (روز)]],0)</f>
        <v>0</v>
      </c>
      <c r="AC2556" s="6">
        <f ca="1">Main[[#This Row],[تعداد روزهای بدهکار  تسویه نشده (روز)]]*Main[[#This Row],[مانده در خط تسویه نشده (کیلوگرم)]]</f>
        <v>0</v>
      </c>
      <c r="AD2556" s="6">
        <f ca="1">SUBTOTAL(9,INDEX(Main[بدهی سررسید شده (کیلوگرم)],1):Main[[#This Row],[بدهی سررسید شده (کیلوگرم)]])</f>
        <v>27511</v>
      </c>
      <c r="AE2556" s="6">
        <f ca="1">IF(Main[[#This Row],[مانده در خط سررسید شده (کیلوگرم)]]&lt;&gt;0,Main[[#This Row],[تعداد کل روزهای بدهکار (روز)]],0)</f>
        <v>0</v>
      </c>
      <c r="AF2556" s="6">
        <f ca="1">Main[[#This Row],[تعداد روزهای بدهکار سررسید شده (روز)]]*Main[[#This Row],[مانده در خط سررسید شده (کیلوگرم)]]</f>
        <v>0</v>
      </c>
    </row>
    <row r="2557" spans="1:32" hidden="1" x14ac:dyDescent="0.35">
      <c r="A2557" s="5">
        <f>ROW()-ROW(INDEX(Main[ردیف],1))+1</f>
        <v>2555</v>
      </c>
      <c r="B2557" s="31">
        <f>SUBTOTAL(2,INDEX(Main[ردیف],1):Main[[#This Row],[ردیف]])</f>
        <v>229</v>
      </c>
      <c r="C2557" s="32" t="s">
        <v>815</v>
      </c>
      <c r="D2557" s="32" t="str">
        <f>_xlfn.CONCAT("14",Main[[#This Row],[تاريخ]])</f>
        <v>1400/09/27</v>
      </c>
      <c r="E2557" s="33">
        <v>44548</v>
      </c>
      <c r="F2557" s="32">
        <v>10126</v>
      </c>
      <c r="G2557" s="5" t="str">
        <f>INDEX(customer[عنوان],MATCH(Main[[#This Row],[کد ردیابی]],customer[کد],0))</f>
        <v xml:space="preserve">کریم اسمعیلی </v>
      </c>
      <c r="H2557">
        <v>826</v>
      </c>
      <c r="I2557" s="6">
        <f ca="1">-Main[[#This Row],[بدهی تسویه شده (کیلوگرم)]]+Main[[#This Row],[بستانکار (کیلوگرم)]]</f>
        <v>826</v>
      </c>
      <c r="J2557" s="6">
        <f>IF(Main[[#This Row],[مقدار (کیلوگرم)]]&gt;0,Main[[#This Row],[مقدار (کیلوگرم)]],0)</f>
        <v>826</v>
      </c>
      <c r="K2557" s="6">
        <f>-IF(Main[[#This Row],[مقدار (کیلوگرم)]]&lt;0,Main[[#This Row],[مقدار (کیلوگرم)]],0)</f>
        <v>0</v>
      </c>
      <c r="L25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7" s="7">
        <f>-IF(AND(Main[[#This Row],[مقدار (کیلوگرم)]]&lt;0,Main[[#This Row],[تاريخ میلادی]]&gt;44276),Main[[#This Row],[مقدار (کیلوگرم)]],0)</f>
        <v>0</v>
      </c>
      <c r="N2557" s="6">
        <f ca="1">Main[[#This Row],[بدهکار (کیلوگرم)]]-Main[[#This Row],[بدهی تسویه نشده (کیلوگرم)]]</f>
        <v>0</v>
      </c>
      <c r="O2557" s="6">
        <f ca="1">Main[[#This Row],[تفکیک]]</f>
        <v>0</v>
      </c>
      <c r="P2557" s="6">
        <f ca="1">IF(Main[[#This Row],[تاخیر از سررسید]]&gt;0,Main[[#This Row],[بدهی تسویه نشده (کیلوگرم)]],0)</f>
        <v>0</v>
      </c>
      <c r="Q2557" s="6">
        <f ca="1">IF(Main[[#This Row],[بدهی تسویه نشده (کیلوگرم)]]&gt;0,'گزارش فردی'!$B$7-Main[[#This Row],[تاريخ میلادی]],0)</f>
        <v>0</v>
      </c>
      <c r="R2557" s="6">
        <f ca="1">IF(Main[[#This Row],[بدهی تسویه نشده (کیلوگرم)]]&gt;0,'گزارش فردی'!$B$7-Main[[#This Row],[تاريخ میلادی]]-'گزارش فردی'!$B$8,0)</f>
        <v>0</v>
      </c>
      <c r="S2557" s="6">
        <f ca="1">Main[[#This Row],[روز از ارسال سفارش]]*Main[[#This Row],[بدهی تسویه نشده (کیلوگرم)]]</f>
        <v>0</v>
      </c>
      <c r="T2557" s="6">
        <f ca="1">Main[[#This Row],[بدهی سررسید شده (کیلوگرم)]]*Main[[#This Row],[روز از ارسال سفارش]]</f>
        <v>0</v>
      </c>
      <c r="U2557" s="6">
        <f>-SUBTOTAL(9,INDEX(Main[مقدار (کیلوگرم)],1):Main[[#This Row],[مقدار (کیلوگرم)]])</f>
        <v>41791</v>
      </c>
      <c r="V25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7" s="6">
        <f>Main[[#This Row],[تعداد کل روزهای بدهکار (روز)]]*Main[[#This Row],[مانده در خط کل (کیلوگرم)]]</f>
        <v>0</v>
      </c>
      <c r="X2557" s="6">
        <f ca="1">-SUBTOTAL(9,INDEX(Main[مقدار تسویه شده (کیلوگرم)],1):Main[[#This Row],[مقدار تسویه شده (کیلوگرم)]])</f>
        <v>14280</v>
      </c>
      <c r="Y2557" s="6">
        <f ca="1">IF(Main[[#This Row],[مانده در خط تسویه شده (کیلوگرم)]]&lt;&gt;0,Main[[#This Row],[تعداد کل روزهای بدهکار (روز)]],0)</f>
        <v>0</v>
      </c>
      <c r="Z2557" s="6">
        <f ca="1">Main[[#This Row],[تعداد روزهای بدهکار تسویه شده (روز)]]*Main[[#This Row],[مانده در خط تسویه شده (کیلوگرم)]]</f>
        <v>0</v>
      </c>
      <c r="AA2557" s="6">
        <f ca="1">SUBTOTAL(9,INDEX(Main[بدهی تسویه نشده (کیلوگرم)],1):Main[[#This Row],[بدهی تسویه نشده (کیلوگرم)]])</f>
        <v>27511</v>
      </c>
      <c r="AB2557" s="6">
        <f ca="1">IF(Main[[#This Row],[مانده در خط تسویه نشده (کیلوگرم)]]&lt;&gt;0,Main[[#This Row],[تعداد کل روزهای بدهکار (روز)]],0)</f>
        <v>0</v>
      </c>
      <c r="AC2557" s="6">
        <f ca="1">Main[[#This Row],[تعداد روزهای بدهکار  تسویه نشده (روز)]]*Main[[#This Row],[مانده در خط تسویه نشده (کیلوگرم)]]</f>
        <v>0</v>
      </c>
      <c r="AD2557" s="6">
        <f ca="1">SUBTOTAL(9,INDEX(Main[بدهی سررسید شده (کیلوگرم)],1):Main[[#This Row],[بدهی سررسید شده (کیلوگرم)]])</f>
        <v>27511</v>
      </c>
      <c r="AE2557" s="6">
        <f ca="1">IF(Main[[#This Row],[مانده در خط سررسید شده (کیلوگرم)]]&lt;&gt;0,Main[[#This Row],[تعداد کل روزهای بدهکار (روز)]],0)</f>
        <v>0</v>
      </c>
      <c r="AF2557" s="6">
        <f ca="1">Main[[#This Row],[تعداد روزهای بدهکار سررسید شده (روز)]]*Main[[#This Row],[مانده در خط سررسید شده (کیلوگرم)]]</f>
        <v>0</v>
      </c>
    </row>
    <row r="2558" spans="1:32" x14ac:dyDescent="0.35">
      <c r="A2558" s="5">
        <f>ROW()-ROW(INDEX(Main[ردیف],1))+1</f>
        <v>2556</v>
      </c>
      <c r="B2558" s="31">
        <f>SUBTOTAL(2,INDEX(Main[ردیف],1):Main[[#This Row],[ردیف]])</f>
        <v>230</v>
      </c>
      <c r="C2558" s="32" t="s">
        <v>815</v>
      </c>
      <c r="D2558" s="32" t="str">
        <f>_xlfn.CONCAT("14",Main[[#This Row],[تاريخ]])</f>
        <v>1400/09/27</v>
      </c>
      <c r="E2558" s="33">
        <v>44548</v>
      </c>
      <c r="F2558" s="32">
        <v>10003</v>
      </c>
      <c r="G2558" s="5" t="str">
        <f>INDEX(customer[عنوان],MATCH(Main[[#This Row],[کد ردیابی]],customer[کد],0))</f>
        <v>اصغر نورعلی</v>
      </c>
      <c r="H2558">
        <v>-2990</v>
      </c>
      <c r="I2558" s="6">
        <f ca="1">-Main[[#This Row],[بدهی تسویه شده (کیلوگرم)]]+Main[[#This Row],[بستانکار (کیلوگرم)]]</f>
        <v>0</v>
      </c>
      <c r="J2558" s="6">
        <f>IF(Main[[#This Row],[مقدار (کیلوگرم)]]&gt;0,Main[[#This Row],[مقدار (کیلوگرم)]],0)</f>
        <v>0</v>
      </c>
      <c r="K2558" s="6">
        <f>-IF(Main[[#This Row],[مقدار (کیلوگرم)]]&lt;0,Main[[#This Row],[مقدار (کیلوگرم)]],0)</f>
        <v>2990</v>
      </c>
      <c r="L25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2990</v>
      </c>
      <c r="M2558" s="7">
        <f>-IF(AND(Main[[#This Row],[مقدار (کیلوگرم)]]&lt;0,Main[[#This Row],[تاريخ میلادی]]&gt;44276),Main[[#This Row],[مقدار (کیلوگرم)]],0)</f>
        <v>2990</v>
      </c>
      <c r="N2558" s="6">
        <f ca="1">Main[[#This Row],[بدهکار (کیلوگرم)]]-Main[[#This Row],[بدهی تسویه نشده (کیلوگرم)]]</f>
        <v>0</v>
      </c>
      <c r="O2558" s="6">
        <f ca="1">Main[[#This Row],[تفکیک]]</f>
        <v>2990</v>
      </c>
      <c r="P2558" s="6">
        <f ca="1">IF(Main[[#This Row],[تاخیر از سررسید]]&gt;0,Main[[#This Row],[بدهی تسویه نشده (کیلوگرم)]],0)</f>
        <v>2990</v>
      </c>
      <c r="Q2558" s="6">
        <f ca="1">IF(Main[[#This Row],[بدهی تسویه نشده (کیلوگرم)]]&gt;0,'گزارش فردی'!$B$7-Main[[#This Row],[تاريخ میلادی]],0)</f>
        <v>914.75374085648218</v>
      </c>
      <c r="R2558" s="6">
        <f ca="1">IF(Main[[#This Row],[بدهی تسویه نشده (کیلوگرم)]]&gt;0,'گزارش فردی'!$B$7-Main[[#This Row],[تاريخ میلادی]]-'گزارش فردی'!$B$8,0)</f>
        <v>899.75374085648218</v>
      </c>
      <c r="S2558" s="6">
        <f ca="1">Main[[#This Row],[روز از ارسال سفارش]]*Main[[#This Row],[بدهی تسویه نشده (کیلوگرم)]]</f>
        <v>2735113.6851608818</v>
      </c>
      <c r="T2558" s="6">
        <f ca="1">Main[[#This Row],[بدهی سررسید شده (کیلوگرم)]]*Main[[#This Row],[روز از ارسال سفارش]]</f>
        <v>2735113.6851608818</v>
      </c>
      <c r="U2558" s="6">
        <f>-SUBTOTAL(9,INDEX(Main[مقدار (کیلوگرم)],1):Main[[#This Row],[مقدار (کیلوگرم)]])</f>
        <v>44781</v>
      </c>
      <c r="V25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58" s="6">
        <f>Main[[#This Row],[تعداد کل روزهای بدهکار (روز)]]*Main[[#This Row],[مانده در خط کل (کیلوگرم)]]</f>
        <v>44781</v>
      </c>
      <c r="X2558" s="6">
        <f ca="1">-SUBTOTAL(9,INDEX(Main[مقدار تسویه شده (کیلوگرم)],1):Main[[#This Row],[مقدار تسویه شده (کیلوگرم)]])</f>
        <v>14280</v>
      </c>
      <c r="Y2558" s="6">
        <f ca="1">IF(Main[[#This Row],[مانده در خط تسویه شده (کیلوگرم)]]&lt;&gt;0,Main[[#This Row],[تعداد کل روزهای بدهکار (روز)]],0)</f>
        <v>1</v>
      </c>
      <c r="Z2558" s="6">
        <f ca="1">Main[[#This Row],[تعداد روزهای بدهکار تسویه شده (روز)]]*Main[[#This Row],[مانده در خط تسویه شده (کیلوگرم)]]</f>
        <v>14280</v>
      </c>
      <c r="AA2558" s="6">
        <f ca="1">SUBTOTAL(9,INDEX(Main[بدهی تسویه نشده (کیلوگرم)],1):Main[[#This Row],[بدهی تسویه نشده (کیلوگرم)]])</f>
        <v>30501</v>
      </c>
      <c r="AB2558" s="6">
        <f ca="1">IF(Main[[#This Row],[مانده در خط تسویه نشده (کیلوگرم)]]&lt;&gt;0,Main[[#This Row],[تعداد کل روزهای بدهکار (روز)]],0)</f>
        <v>1</v>
      </c>
      <c r="AC2558" s="6">
        <f ca="1">Main[[#This Row],[تعداد روزهای بدهکار  تسویه نشده (روز)]]*Main[[#This Row],[مانده در خط تسویه نشده (کیلوگرم)]]</f>
        <v>30501</v>
      </c>
      <c r="AD2558" s="6">
        <f ca="1">SUBTOTAL(9,INDEX(Main[بدهی سررسید شده (کیلوگرم)],1):Main[[#This Row],[بدهی سررسید شده (کیلوگرم)]])</f>
        <v>30501</v>
      </c>
      <c r="AE2558" s="6">
        <f ca="1">IF(Main[[#This Row],[مانده در خط سررسید شده (کیلوگرم)]]&lt;&gt;0,Main[[#This Row],[تعداد کل روزهای بدهکار (روز)]],0)</f>
        <v>1</v>
      </c>
      <c r="AF2558" s="6">
        <f ca="1">Main[[#This Row],[تعداد روزهای بدهکار سررسید شده (روز)]]*Main[[#This Row],[مانده در خط سررسید شده (کیلوگرم)]]</f>
        <v>30501</v>
      </c>
    </row>
    <row r="2559" spans="1:32" hidden="1" x14ac:dyDescent="0.35">
      <c r="A2559" s="5">
        <f>ROW()-ROW(INDEX(Main[ردیف],1))+1</f>
        <v>2557</v>
      </c>
      <c r="B2559" s="31">
        <f>SUBTOTAL(2,INDEX(Main[ردیف],1):Main[[#This Row],[ردیف]])</f>
        <v>230</v>
      </c>
      <c r="C2559" s="32" t="s">
        <v>815</v>
      </c>
      <c r="D2559" s="32" t="str">
        <f>_xlfn.CONCAT("14",Main[[#This Row],[تاريخ]])</f>
        <v>1400/09/27</v>
      </c>
      <c r="E2559" s="33">
        <v>44548</v>
      </c>
      <c r="F2559" s="32">
        <v>10084</v>
      </c>
      <c r="G2559" s="5" t="str">
        <f>INDEX(customer[عنوان],MATCH(Main[[#This Row],[کد ردیابی]],customer[کد],0))</f>
        <v xml:space="preserve">سیدحمید کاظمی </v>
      </c>
      <c r="H2559">
        <v>1227</v>
      </c>
      <c r="I2559" s="6">
        <f ca="1">-Main[[#This Row],[بدهی تسویه شده (کیلوگرم)]]+Main[[#This Row],[بستانکار (کیلوگرم)]]</f>
        <v>1227</v>
      </c>
      <c r="J2559" s="6">
        <f>IF(Main[[#This Row],[مقدار (کیلوگرم)]]&gt;0,Main[[#This Row],[مقدار (کیلوگرم)]],0)</f>
        <v>1227</v>
      </c>
      <c r="K2559" s="6">
        <f>-IF(Main[[#This Row],[مقدار (کیلوگرم)]]&lt;0,Main[[#This Row],[مقدار (کیلوگرم)]],0)</f>
        <v>0</v>
      </c>
      <c r="L25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9" s="7">
        <f>-IF(AND(Main[[#This Row],[مقدار (کیلوگرم)]]&lt;0,Main[[#This Row],[تاريخ میلادی]]&gt;44276),Main[[#This Row],[مقدار (کیلوگرم)]],0)</f>
        <v>0</v>
      </c>
      <c r="N2559" s="6">
        <f ca="1">Main[[#This Row],[بدهکار (کیلوگرم)]]-Main[[#This Row],[بدهی تسویه نشده (کیلوگرم)]]</f>
        <v>0</v>
      </c>
      <c r="O2559" s="6">
        <f ca="1">Main[[#This Row],[تفکیک]]</f>
        <v>0</v>
      </c>
      <c r="P2559" s="6">
        <f ca="1">IF(Main[[#This Row],[تاخیر از سررسید]]&gt;0,Main[[#This Row],[بدهی تسویه نشده (کیلوگرم)]],0)</f>
        <v>0</v>
      </c>
      <c r="Q2559" s="6">
        <f ca="1">IF(Main[[#This Row],[بدهی تسویه نشده (کیلوگرم)]]&gt;0,'گزارش فردی'!$B$7-Main[[#This Row],[تاريخ میلادی]],0)</f>
        <v>0</v>
      </c>
      <c r="R2559" s="6">
        <f ca="1">IF(Main[[#This Row],[بدهی تسویه نشده (کیلوگرم)]]&gt;0,'گزارش فردی'!$B$7-Main[[#This Row],[تاريخ میلادی]]-'گزارش فردی'!$B$8,0)</f>
        <v>0</v>
      </c>
      <c r="S2559" s="6">
        <f ca="1">Main[[#This Row],[روز از ارسال سفارش]]*Main[[#This Row],[بدهی تسویه نشده (کیلوگرم)]]</f>
        <v>0</v>
      </c>
      <c r="T2559" s="6">
        <f ca="1">Main[[#This Row],[بدهی سررسید شده (کیلوگرم)]]*Main[[#This Row],[روز از ارسال سفارش]]</f>
        <v>0</v>
      </c>
      <c r="U2559" s="6">
        <f>-SUBTOTAL(9,INDEX(Main[مقدار (کیلوگرم)],1):Main[[#This Row],[مقدار (کیلوگرم)]])</f>
        <v>44781</v>
      </c>
      <c r="V25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59" s="6">
        <f>Main[[#This Row],[تعداد کل روزهای بدهکار (روز)]]*Main[[#This Row],[مانده در خط کل (کیلوگرم)]]</f>
        <v>44781</v>
      </c>
      <c r="X2559" s="6">
        <f ca="1">-SUBTOTAL(9,INDEX(Main[مقدار تسویه شده (کیلوگرم)],1):Main[[#This Row],[مقدار تسویه شده (کیلوگرم)]])</f>
        <v>14280</v>
      </c>
      <c r="Y2559" s="6">
        <f ca="1">IF(Main[[#This Row],[مانده در خط تسویه شده (کیلوگرم)]]&lt;&gt;0,Main[[#This Row],[تعداد کل روزهای بدهکار (روز)]],0)</f>
        <v>1</v>
      </c>
      <c r="Z2559" s="6">
        <f ca="1">Main[[#This Row],[تعداد روزهای بدهکار تسویه شده (روز)]]*Main[[#This Row],[مانده در خط تسویه شده (کیلوگرم)]]</f>
        <v>14280</v>
      </c>
      <c r="AA2559" s="6">
        <f ca="1">SUBTOTAL(9,INDEX(Main[بدهی تسویه نشده (کیلوگرم)],1):Main[[#This Row],[بدهی تسویه نشده (کیلوگرم)]])</f>
        <v>30501</v>
      </c>
      <c r="AB2559" s="6">
        <f ca="1">IF(Main[[#This Row],[مانده در خط تسویه نشده (کیلوگرم)]]&lt;&gt;0,Main[[#This Row],[تعداد کل روزهای بدهکار (روز)]],0)</f>
        <v>1</v>
      </c>
      <c r="AC2559" s="6">
        <f ca="1">Main[[#This Row],[تعداد روزهای بدهکار  تسویه نشده (روز)]]*Main[[#This Row],[مانده در خط تسویه نشده (کیلوگرم)]]</f>
        <v>30501</v>
      </c>
      <c r="AD2559" s="6">
        <f ca="1">SUBTOTAL(9,INDEX(Main[بدهی سررسید شده (کیلوگرم)],1):Main[[#This Row],[بدهی سررسید شده (کیلوگرم)]])</f>
        <v>30501</v>
      </c>
      <c r="AE2559" s="6">
        <f ca="1">IF(Main[[#This Row],[مانده در خط سررسید شده (کیلوگرم)]]&lt;&gt;0,Main[[#This Row],[تعداد کل روزهای بدهکار (روز)]],0)</f>
        <v>1</v>
      </c>
      <c r="AF2559" s="6">
        <f ca="1">Main[[#This Row],[تعداد روزهای بدهکار سررسید شده (روز)]]*Main[[#This Row],[مانده در خط سررسید شده (کیلوگرم)]]</f>
        <v>30501</v>
      </c>
    </row>
    <row r="2560" spans="1:32" hidden="1" x14ac:dyDescent="0.35">
      <c r="A2560" s="5">
        <f>ROW()-ROW(INDEX(Main[ردیف],1))+1</f>
        <v>2558</v>
      </c>
      <c r="B2560" s="31">
        <f>SUBTOTAL(2,INDEX(Main[ردیف],1):Main[[#This Row],[ردیف]])</f>
        <v>230</v>
      </c>
      <c r="C2560" s="32" t="s">
        <v>815</v>
      </c>
      <c r="D2560" s="32" t="str">
        <f>_xlfn.CONCAT("14",Main[[#This Row],[تاريخ]])</f>
        <v>1400/09/27</v>
      </c>
      <c r="E2560" s="33">
        <v>44548</v>
      </c>
      <c r="F2560" s="32">
        <v>10084</v>
      </c>
      <c r="G2560" s="5" t="str">
        <f>INDEX(customer[عنوان],MATCH(Main[[#This Row],[کد ردیابی]],customer[کد],0))</f>
        <v xml:space="preserve">سیدحمید کاظمی </v>
      </c>
      <c r="H2560">
        <v>73</v>
      </c>
      <c r="I2560" s="6">
        <f ca="1">-Main[[#This Row],[بدهی تسویه شده (کیلوگرم)]]+Main[[#This Row],[بستانکار (کیلوگرم)]]</f>
        <v>73</v>
      </c>
      <c r="J2560" s="6">
        <f>IF(Main[[#This Row],[مقدار (کیلوگرم)]]&gt;0,Main[[#This Row],[مقدار (کیلوگرم)]],0)</f>
        <v>73</v>
      </c>
      <c r="K2560" s="6">
        <f>-IF(Main[[#This Row],[مقدار (کیلوگرم)]]&lt;0,Main[[#This Row],[مقدار (کیلوگرم)]],0)</f>
        <v>0</v>
      </c>
      <c r="L25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0" s="7">
        <f>-IF(AND(Main[[#This Row],[مقدار (کیلوگرم)]]&lt;0,Main[[#This Row],[تاريخ میلادی]]&gt;44276),Main[[#This Row],[مقدار (کیلوگرم)]],0)</f>
        <v>0</v>
      </c>
      <c r="N2560" s="6">
        <f ca="1">Main[[#This Row],[بدهکار (کیلوگرم)]]-Main[[#This Row],[بدهی تسویه نشده (کیلوگرم)]]</f>
        <v>0</v>
      </c>
      <c r="O2560" s="6">
        <f ca="1">Main[[#This Row],[تفکیک]]</f>
        <v>0</v>
      </c>
      <c r="P2560" s="6">
        <f ca="1">IF(Main[[#This Row],[تاخیر از سررسید]]&gt;0,Main[[#This Row],[بدهی تسویه نشده (کیلوگرم)]],0)</f>
        <v>0</v>
      </c>
      <c r="Q2560" s="6">
        <f ca="1">IF(Main[[#This Row],[بدهی تسویه نشده (کیلوگرم)]]&gt;0,'گزارش فردی'!$B$7-Main[[#This Row],[تاريخ میلادی]],0)</f>
        <v>0</v>
      </c>
      <c r="R2560" s="6">
        <f ca="1">IF(Main[[#This Row],[بدهی تسویه نشده (کیلوگرم)]]&gt;0,'گزارش فردی'!$B$7-Main[[#This Row],[تاريخ میلادی]]-'گزارش فردی'!$B$8,0)</f>
        <v>0</v>
      </c>
      <c r="S2560" s="6">
        <f ca="1">Main[[#This Row],[روز از ارسال سفارش]]*Main[[#This Row],[بدهی تسویه نشده (کیلوگرم)]]</f>
        <v>0</v>
      </c>
      <c r="T2560" s="6">
        <f ca="1">Main[[#This Row],[بدهی سررسید شده (کیلوگرم)]]*Main[[#This Row],[روز از ارسال سفارش]]</f>
        <v>0</v>
      </c>
      <c r="U2560" s="6">
        <f>-SUBTOTAL(9,INDEX(Main[مقدار (کیلوگرم)],1):Main[[#This Row],[مقدار (کیلوگرم)]])</f>
        <v>44781</v>
      </c>
      <c r="V25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0" s="6">
        <f>Main[[#This Row],[تعداد کل روزهای بدهکار (روز)]]*Main[[#This Row],[مانده در خط کل (کیلوگرم)]]</f>
        <v>44781</v>
      </c>
      <c r="X2560" s="6">
        <f ca="1">-SUBTOTAL(9,INDEX(Main[مقدار تسویه شده (کیلوگرم)],1):Main[[#This Row],[مقدار تسویه شده (کیلوگرم)]])</f>
        <v>14280</v>
      </c>
      <c r="Y2560" s="6">
        <f ca="1">IF(Main[[#This Row],[مانده در خط تسویه شده (کیلوگرم)]]&lt;&gt;0,Main[[#This Row],[تعداد کل روزهای بدهکار (روز)]],0)</f>
        <v>1</v>
      </c>
      <c r="Z2560" s="6">
        <f ca="1">Main[[#This Row],[تعداد روزهای بدهکار تسویه شده (روز)]]*Main[[#This Row],[مانده در خط تسویه شده (کیلوگرم)]]</f>
        <v>14280</v>
      </c>
      <c r="AA2560" s="6">
        <f ca="1">SUBTOTAL(9,INDEX(Main[بدهی تسویه نشده (کیلوگرم)],1):Main[[#This Row],[بدهی تسویه نشده (کیلوگرم)]])</f>
        <v>30501</v>
      </c>
      <c r="AB2560" s="6">
        <f ca="1">IF(Main[[#This Row],[مانده در خط تسویه نشده (کیلوگرم)]]&lt;&gt;0,Main[[#This Row],[تعداد کل روزهای بدهکار (روز)]],0)</f>
        <v>1</v>
      </c>
      <c r="AC2560" s="6">
        <f ca="1">Main[[#This Row],[تعداد روزهای بدهکار  تسویه نشده (روز)]]*Main[[#This Row],[مانده در خط تسویه نشده (کیلوگرم)]]</f>
        <v>30501</v>
      </c>
      <c r="AD2560" s="6">
        <f ca="1">SUBTOTAL(9,INDEX(Main[بدهی سررسید شده (کیلوگرم)],1):Main[[#This Row],[بدهی سررسید شده (کیلوگرم)]])</f>
        <v>30501</v>
      </c>
      <c r="AE2560" s="6">
        <f ca="1">IF(Main[[#This Row],[مانده در خط سررسید شده (کیلوگرم)]]&lt;&gt;0,Main[[#This Row],[تعداد کل روزهای بدهکار (روز)]],0)</f>
        <v>1</v>
      </c>
      <c r="AF2560" s="6">
        <f ca="1">Main[[#This Row],[تعداد روزهای بدهکار سررسید شده (روز)]]*Main[[#This Row],[مانده در خط سررسید شده (کیلوگرم)]]</f>
        <v>30501</v>
      </c>
    </row>
    <row r="2561" spans="1:32" hidden="1" x14ac:dyDescent="0.35">
      <c r="A2561" s="5">
        <f>ROW()-ROW(INDEX(Main[ردیف],1))+1</f>
        <v>2559</v>
      </c>
      <c r="B2561" s="31">
        <f>SUBTOTAL(2,INDEX(Main[ردیف],1):Main[[#This Row],[ردیف]])</f>
        <v>230</v>
      </c>
      <c r="C2561" s="32" t="s">
        <v>815</v>
      </c>
      <c r="D2561" s="32" t="str">
        <f>_xlfn.CONCAT("14",Main[[#This Row],[تاريخ]])</f>
        <v>1400/09/27</v>
      </c>
      <c r="E2561" s="33">
        <v>44548</v>
      </c>
      <c r="F2561" s="32">
        <v>30003</v>
      </c>
      <c r="G2561" s="5" t="str">
        <f>INDEX(customer[عنوان],MATCH(Main[[#This Row],[کد ردیابی]],customer[کد],0))</f>
        <v xml:space="preserve">شهاب گاز سوز </v>
      </c>
      <c r="H2561">
        <v>256</v>
      </c>
      <c r="I2561" s="6">
        <f ca="1">-Main[[#This Row],[بدهی تسویه شده (کیلوگرم)]]+Main[[#This Row],[بستانکار (کیلوگرم)]]</f>
        <v>256</v>
      </c>
      <c r="J2561" s="6">
        <f>IF(Main[[#This Row],[مقدار (کیلوگرم)]]&gt;0,Main[[#This Row],[مقدار (کیلوگرم)]],0)</f>
        <v>256</v>
      </c>
      <c r="K2561" s="6">
        <f>-IF(Main[[#This Row],[مقدار (کیلوگرم)]]&lt;0,Main[[#This Row],[مقدار (کیلوگرم)]],0)</f>
        <v>0</v>
      </c>
      <c r="L25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1" s="7">
        <f>-IF(AND(Main[[#This Row],[مقدار (کیلوگرم)]]&lt;0,Main[[#This Row],[تاريخ میلادی]]&gt;44276),Main[[#This Row],[مقدار (کیلوگرم)]],0)</f>
        <v>0</v>
      </c>
      <c r="N2561" s="6">
        <f ca="1">Main[[#This Row],[بدهکار (کیلوگرم)]]-Main[[#This Row],[بدهی تسویه نشده (کیلوگرم)]]</f>
        <v>0</v>
      </c>
      <c r="O2561" s="6">
        <f ca="1">Main[[#This Row],[تفکیک]]</f>
        <v>0</v>
      </c>
      <c r="P2561" s="6">
        <f ca="1">IF(Main[[#This Row],[تاخیر از سررسید]]&gt;0,Main[[#This Row],[بدهی تسویه نشده (کیلوگرم)]],0)</f>
        <v>0</v>
      </c>
      <c r="Q2561" s="6">
        <f ca="1">IF(Main[[#This Row],[بدهی تسویه نشده (کیلوگرم)]]&gt;0,'گزارش فردی'!$B$7-Main[[#This Row],[تاريخ میلادی]],0)</f>
        <v>0</v>
      </c>
      <c r="R2561" s="6">
        <f ca="1">IF(Main[[#This Row],[بدهی تسویه نشده (کیلوگرم)]]&gt;0,'گزارش فردی'!$B$7-Main[[#This Row],[تاريخ میلادی]]-'گزارش فردی'!$B$8,0)</f>
        <v>0</v>
      </c>
      <c r="S2561" s="6">
        <f ca="1">Main[[#This Row],[روز از ارسال سفارش]]*Main[[#This Row],[بدهی تسویه نشده (کیلوگرم)]]</f>
        <v>0</v>
      </c>
      <c r="T2561" s="6">
        <f ca="1">Main[[#This Row],[بدهی سررسید شده (کیلوگرم)]]*Main[[#This Row],[روز از ارسال سفارش]]</f>
        <v>0</v>
      </c>
      <c r="U2561" s="6">
        <f>-SUBTOTAL(9,INDEX(Main[مقدار (کیلوگرم)],1):Main[[#This Row],[مقدار (کیلوگرم)]])</f>
        <v>44781</v>
      </c>
      <c r="V25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1" s="6">
        <f>Main[[#This Row],[تعداد کل روزهای بدهکار (روز)]]*Main[[#This Row],[مانده در خط کل (کیلوگرم)]]</f>
        <v>44781</v>
      </c>
      <c r="X2561" s="6">
        <f ca="1">-SUBTOTAL(9,INDEX(Main[مقدار تسویه شده (کیلوگرم)],1):Main[[#This Row],[مقدار تسویه شده (کیلوگرم)]])</f>
        <v>14280</v>
      </c>
      <c r="Y2561" s="6">
        <f ca="1">IF(Main[[#This Row],[مانده در خط تسویه شده (کیلوگرم)]]&lt;&gt;0,Main[[#This Row],[تعداد کل روزهای بدهکار (روز)]],0)</f>
        <v>1</v>
      </c>
      <c r="Z2561" s="6">
        <f ca="1">Main[[#This Row],[تعداد روزهای بدهکار تسویه شده (روز)]]*Main[[#This Row],[مانده در خط تسویه شده (کیلوگرم)]]</f>
        <v>14280</v>
      </c>
      <c r="AA2561" s="6">
        <f ca="1">SUBTOTAL(9,INDEX(Main[بدهی تسویه نشده (کیلوگرم)],1):Main[[#This Row],[بدهی تسویه نشده (کیلوگرم)]])</f>
        <v>30501</v>
      </c>
      <c r="AB2561" s="6">
        <f ca="1">IF(Main[[#This Row],[مانده در خط تسویه نشده (کیلوگرم)]]&lt;&gt;0,Main[[#This Row],[تعداد کل روزهای بدهکار (روز)]],0)</f>
        <v>1</v>
      </c>
      <c r="AC2561" s="6">
        <f ca="1">Main[[#This Row],[تعداد روزهای بدهکار  تسویه نشده (روز)]]*Main[[#This Row],[مانده در خط تسویه نشده (کیلوگرم)]]</f>
        <v>30501</v>
      </c>
      <c r="AD2561" s="6">
        <f ca="1">SUBTOTAL(9,INDEX(Main[بدهی سررسید شده (کیلوگرم)],1):Main[[#This Row],[بدهی سررسید شده (کیلوگرم)]])</f>
        <v>30501</v>
      </c>
      <c r="AE2561" s="6">
        <f ca="1">IF(Main[[#This Row],[مانده در خط سررسید شده (کیلوگرم)]]&lt;&gt;0,Main[[#This Row],[تعداد کل روزهای بدهکار (روز)]],0)</f>
        <v>1</v>
      </c>
      <c r="AF2561" s="6">
        <f ca="1">Main[[#This Row],[تعداد روزهای بدهکار سررسید شده (روز)]]*Main[[#This Row],[مانده در خط سررسید شده (کیلوگرم)]]</f>
        <v>30501</v>
      </c>
    </row>
    <row r="2562" spans="1:32" hidden="1" x14ac:dyDescent="0.35">
      <c r="A2562" s="5">
        <f>ROW()-ROW(INDEX(Main[ردیف],1))+1</f>
        <v>2560</v>
      </c>
      <c r="B2562" s="31">
        <f>SUBTOTAL(2,INDEX(Main[ردیف],1):Main[[#This Row],[ردیف]])</f>
        <v>230</v>
      </c>
      <c r="C2562" s="32" t="s">
        <v>815</v>
      </c>
      <c r="D2562" s="32" t="str">
        <f>_xlfn.CONCAT("14",Main[[#This Row],[تاريخ]])</f>
        <v>1400/09/27</v>
      </c>
      <c r="E2562" s="33">
        <v>44548</v>
      </c>
      <c r="F2562" s="32">
        <v>30009</v>
      </c>
      <c r="G2562" s="5" t="str">
        <f>INDEX(customer[عنوان],MATCH(Main[[#This Row],[کد ردیابی]],customer[کد],0))</f>
        <v>شرکت ایمن تک پیشرو</v>
      </c>
      <c r="H2562">
        <v>1749</v>
      </c>
      <c r="I2562" s="6">
        <f ca="1">-Main[[#This Row],[بدهی تسویه شده (کیلوگرم)]]+Main[[#This Row],[بستانکار (کیلوگرم)]]</f>
        <v>1749</v>
      </c>
      <c r="J2562" s="6">
        <f>IF(Main[[#This Row],[مقدار (کیلوگرم)]]&gt;0,Main[[#This Row],[مقدار (کیلوگرم)]],0)</f>
        <v>1749</v>
      </c>
      <c r="K2562" s="6">
        <f>-IF(Main[[#This Row],[مقدار (کیلوگرم)]]&lt;0,Main[[#This Row],[مقدار (کیلوگرم)]],0)</f>
        <v>0</v>
      </c>
      <c r="L25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2" s="7">
        <f>-IF(AND(Main[[#This Row],[مقدار (کیلوگرم)]]&lt;0,Main[[#This Row],[تاريخ میلادی]]&gt;44276),Main[[#This Row],[مقدار (کیلوگرم)]],0)</f>
        <v>0</v>
      </c>
      <c r="N2562" s="6">
        <f ca="1">Main[[#This Row],[بدهکار (کیلوگرم)]]-Main[[#This Row],[بدهی تسویه نشده (کیلوگرم)]]</f>
        <v>0</v>
      </c>
      <c r="O2562" s="6">
        <f ca="1">Main[[#This Row],[تفکیک]]</f>
        <v>0</v>
      </c>
      <c r="P2562" s="6">
        <f ca="1">IF(Main[[#This Row],[تاخیر از سررسید]]&gt;0,Main[[#This Row],[بدهی تسویه نشده (کیلوگرم)]],0)</f>
        <v>0</v>
      </c>
      <c r="Q2562" s="6">
        <f ca="1">IF(Main[[#This Row],[بدهی تسویه نشده (کیلوگرم)]]&gt;0,'گزارش فردی'!$B$7-Main[[#This Row],[تاريخ میلادی]],0)</f>
        <v>0</v>
      </c>
      <c r="R2562" s="6">
        <f ca="1">IF(Main[[#This Row],[بدهی تسویه نشده (کیلوگرم)]]&gt;0,'گزارش فردی'!$B$7-Main[[#This Row],[تاريخ میلادی]]-'گزارش فردی'!$B$8,0)</f>
        <v>0</v>
      </c>
      <c r="S2562" s="6">
        <f ca="1">Main[[#This Row],[روز از ارسال سفارش]]*Main[[#This Row],[بدهی تسویه نشده (کیلوگرم)]]</f>
        <v>0</v>
      </c>
      <c r="T2562" s="6">
        <f ca="1">Main[[#This Row],[بدهی سررسید شده (کیلوگرم)]]*Main[[#This Row],[روز از ارسال سفارش]]</f>
        <v>0</v>
      </c>
      <c r="U2562" s="6">
        <f>-SUBTOTAL(9,INDEX(Main[مقدار (کیلوگرم)],1):Main[[#This Row],[مقدار (کیلوگرم)]])</f>
        <v>44781</v>
      </c>
      <c r="V25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2" s="6">
        <f>Main[[#This Row],[تعداد کل روزهای بدهکار (روز)]]*Main[[#This Row],[مانده در خط کل (کیلوگرم)]]</f>
        <v>44781</v>
      </c>
      <c r="X2562" s="6">
        <f ca="1">-SUBTOTAL(9,INDEX(Main[مقدار تسویه شده (کیلوگرم)],1):Main[[#This Row],[مقدار تسویه شده (کیلوگرم)]])</f>
        <v>14280</v>
      </c>
      <c r="Y2562" s="6">
        <f ca="1">IF(Main[[#This Row],[مانده در خط تسویه شده (کیلوگرم)]]&lt;&gt;0,Main[[#This Row],[تعداد کل روزهای بدهکار (روز)]],0)</f>
        <v>1</v>
      </c>
      <c r="Z2562" s="6">
        <f ca="1">Main[[#This Row],[تعداد روزهای بدهکار تسویه شده (روز)]]*Main[[#This Row],[مانده در خط تسویه شده (کیلوگرم)]]</f>
        <v>14280</v>
      </c>
      <c r="AA2562" s="6">
        <f ca="1">SUBTOTAL(9,INDEX(Main[بدهی تسویه نشده (کیلوگرم)],1):Main[[#This Row],[بدهی تسویه نشده (کیلوگرم)]])</f>
        <v>30501</v>
      </c>
      <c r="AB2562" s="6">
        <f ca="1">IF(Main[[#This Row],[مانده در خط تسویه نشده (کیلوگرم)]]&lt;&gt;0,Main[[#This Row],[تعداد کل روزهای بدهکار (روز)]],0)</f>
        <v>1</v>
      </c>
      <c r="AC2562" s="6">
        <f ca="1">Main[[#This Row],[تعداد روزهای بدهکار  تسویه نشده (روز)]]*Main[[#This Row],[مانده در خط تسویه نشده (کیلوگرم)]]</f>
        <v>30501</v>
      </c>
      <c r="AD2562" s="6">
        <f ca="1">SUBTOTAL(9,INDEX(Main[بدهی سررسید شده (کیلوگرم)],1):Main[[#This Row],[بدهی سررسید شده (کیلوگرم)]])</f>
        <v>30501</v>
      </c>
      <c r="AE2562" s="6">
        <f ca="1">IF(Main[[#This Row],[مانده در خط سررسید شده (کیلوگرم)]]&lt;&gt;0,Main[[#This Row],[تعداد کل روزهای بدهکار (روز)]],0)</f>
        <v>1</v>
      </c>
      <c r="AF2562" s="6">
        <f ca="1">Main[[#This Row],[تعداد روزهای بدهکار سررسید شده (روز)]]*Main[[#This Row],[مانده در خط سررسید شده (کیلوگرم)]]</f>
        <v>30501</v>
      </c>
    </row>
    <row r="2563" spans="1:32" hidden="1" x14ac:dyDescent="0.35">
      <c r="A2563" s="5">
        <f>ROW()-ROW(INDEX(Main[ردیف],1))+1</f>
        <v>2561</v>
      </c>
      <c r="B2563" s="31">
        <f>SUBTOTAL(2,INDEX(Main[ردیف],1):Main[[#This Row],[ردیف]])</f>
        <v>230</v>
      </c>
      <c r="C2563" s="32" t="s">
        <v>815</v>
      </c>
      <c r="D2563" s="32" t="str">
        <f>_xlfn.CONCAT("14",Main[[#This Row],[تاريخ]])</f>
        <v>1400/09/27</v>
      </c>
      <c r="E2563" s="33">
        <v>44548</v>
      </c>
      <c r="F2563" s="32">
        <v>30012</v>
      </c>
      <c r="G2563" s="5" t="str">
        <f>INDEX(customer[عنوان],MATCH(Main[[#This Row],[کد ردیابی]],customer[کد],0))</f>
        <v xml:space="preserve">پارس قفل </v>
      </c>
      <c r="H2563">
        <v>1987</v>
      </c>
      <c r="I2563" s="6">
        <f ca="1">-Main[[#This Row],[بدهی تسویه شده (کیلوگرم)]]+Main[[#This Row],[بستانکار (کیلوگرم)]]</f>
        <v>1987</v>
      </c>
      <c r="J2563" s="6">
        <f>IF(Main[[#This Row],[مقدار (کیلوگرم)]]&gt;0,Main[[#This Row],[مقدار (کیلوگرم)]],0)</f>
        <v>1987</v>
      </c>
      <c r="K2563" s="6">
        <f>-IF(Main[[#This Row],[مقدار (کیلوگرم)]]&lt;0,Main[[#This Row],[مقدار (کیلوگرم)]],0)</f>
        <v>0</v>
      </c>
      <c r="L25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3" s="7">
        <f>-IF(AND(Main[[#This Row],[مقدار (کیلوگرم)]]&lt;0,Main[[#This Row],[تاريخ میلادی]]&gt;44276),Main[[#This Row],[مقدار (کیلوگرم)]],0)</f>
        <v>0</v>
      </c>
      <c r="N2563" s="6">
        <f ca="1">Main[[#This Row],[بدهکار (کیلوگرم)]]-Main[[#This Row],[بدهی تسویه نشده (کیلوگرم)]]</f>
        <v>0</v>
      </c>
      <c r="O2563" s="6">
        <f ca="1">Main[[#This Row],[تفکیک]]</f>
        <v>0</v>
      </c>
      <c r="P2563" s="6">
        <f ca="1">IF(Main[[#This Row],[تاخیر از سررسید]]&gt;0,Main[[#This Row],[بدهی تسویه نشده (کیلوگرم)]],0)</f>
        <v>0</v>
      </c>
      <c r="Q2563" s="6">
        <f ca="1">IF(Main[[#This Row],[بدهی تسویه نشده (کیلوگرم)]]&gt;0,'گزارش فردی'!$B$7-Main[[#This Row],[تاريخ میلادی]],0)</f>
        <v>0</v>
      </c>
      <c r="R2563" s="6">
        <f ca="1">IF(Main[[#This Row],[بدهی تسویه نشده (کیلوگرم)]]&gt;0,'گزارش فردی'!$B$7-Main[[#This Row],[تاريخ میلادی]]-'گزارش فردی'!$B$8,0)</f>
        <v>0</v>
      </c>
      <c r="S2563" s="6">
        <f ca="1">Main[[#This Row],[روز از ارسال سفارش]]*Main[[#This Row],[بدهی تسویه نشده (کیلوگرم)]]</f>
        <v>0</v>
      </c>
      <c r="T2563" s="6">
        <f ca="1">Main[[#This Row],[بدهی سررسید شده (کیلوگرم)]]*Main[[#This Row],[روز از ارسال سفارش]]</f>
        <v>0</v>
      </c>
      <c r="U2563" s="6">
        <f>-SUBTOTAL(9,INDEX(Main[مقدار (کیلوگرم)],1):Main[[#This Row],[مقدار (کیلوگرم)]])</f>
        <v>44781</v>
      </c>
      <c r="V25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3" s="6">
        <f>Main[[#This Row],[تعداد کل روزهای بدهکار (روز)]]*Main[[#This Row],[مانده در خط کل (کیلوگرم)]]</f>
        <v>44781</v>
      </c>
      <c r="X2563" s="6">
        <f ca="1">-SUBTOTAL(9,INDEX(Main[مقدار تسویه شده (کیلوگرم)],1):Main[[#This Row],[مقدار تسویه شده (کیلوگرم)]])</f>
        <v>14280</v>
      </c>
      <c r="Y2563" s="6">
        <f ca="1">IF(Main[[#This Row],[مانده در خط تسویه شده (کیلوگرم)]]&lt;&gt;0,Main[[#This Row],[تعداد کل روزهای بدهکار (روز)]],0)</f>
        <v>1</v>
      </c>
      <c r="Z2563" s="6">
        <f ca="1">Main[[#This Row],[تعداد روزهای بدهکار تسویه شده (روز)]]*Main[[#This Row],[مانده در خط تسویه شده (کیلوگرم)]]</f>
        <v>14280</v>
      </c>
      <c r="AA2563" s="6">
        <f ca="1">SUBTOTAL(9,INDEX(Main[بدهی تسویه نشده (کیلوگرم)],1):Main[[#This Row],[بدهی تسویه نشده (کیلوگرم)]])</f>
        <v>30501</v>
      </c>
      <c r="AB2563" s="6">
        <f ca="1">IF(Main[[#This Row],[مانده در خط تسویه نشده (کیلوگرم)]]&lt;&gt;0,Main[[#This Row],[تعداد کل روزهای بدهکار (روز)]],0)</f>
        <v>1</v>
      </c>
      <c r="AC2563" s="6">
        <f ca="1">Main[[#This Row],[تعداد روزهای بدهکار  تسویه نشده (روز)]]*Main[[#This Row],[مانده در خط تسویه نشده (کیلوگرم)]]</f>
        <v>30501</v>
      </c>
      <c r="AD2563" s="6">
        <f ca="1">SUBTOTAL(9,INDEX(Main[بدهی سررسید شده (کیلوگرم)],1):Main[[#This Row],[بدهی سررسید شده (کیلوگرم)]])</f>
        <v>30501</v>
      </c>
      <c r="AE2563" s="6">
        <f ca="1">IF(Main[[#This Row],[مانده در خط سررسید شده (کیلوگرم)]]&lt;&gt;0,Main[[#This Row],[تعداد کل روزهای بدهکار (روز)]],0)</f>
        <v>1</v>
      </c>
      <c r="AF2563" s="6">
        <f ca="1">Main[[#This Row],[تعداد روزهای بدهکار سررسید شده (روز)]]*Main[[#This Row],[مانده در خط سررسید شده (کیلوگرم)]]</f>
        <v>30501</v>
      </c>
    </row>
    <row r="2564" spans="1:32" hidden="1" x14ac:dyDescent="0.35">
      <c r="A2564" s="5">
        <f>ROW()-ROW(INDEX(Main[ردیف],1))+1</f>
        <v>2562</v>
      </c>
      <c r="B2564" s="31">
        <f>SUBTOTAL(2,INDEX(Main[ردیف],1):Main[[#This Row],[ردیف]])</f>
        <v>230</v>
      </c>
      <c r="C2564" s="32" t="s">
        <v>815</v>
      </c>
      <c r="D2564" s="32" t="str">
        <f>_xlfn.CONCAT("14",Main[[#This Row],[تاريخ]])</f>
        <v>1400/09/27</v>
      </c>
      <c r="E2564" s="33">
        <v>44548</v>
      </c>
      <c r="F2564" s="32">
        <v>10119</v>
      </c>
      <c r="G2564" s="5" t="str">
        <f>INDEX(customer[عنوان],MATCH(Main[[#This Row],[کد ردیابی]],customer[کد],0))</f>
        <v>سیف الله اکبری</v>
      </c>
      <c r="H2564">
        <v>56</v>
      </c>
      <c r="I2564" s="6">
        <f ca="1">-Main[[#This Row],[بدهی تسویه شده (کیلوگرم)]]+Main[[#This Row],[بستانکار (کیلوگرم)]]</f>
        <v>56</v>
      </c>
      <c r="J2564" s="6">
        <f>IF(Main[[#This Row],[مقدار (کیلوگرم)]]&gt;0,Main[[#This Row],[مقدار (کیلوگرم)]],0)</f>
        <v>56</v>
      </c>
      <c r="K2564" s="6">
        <f>-IF(Main[[#This Row],[مقدار (کیلوگرم)]]&lt;0,Main[[#This Row],[مقدار (کیلوگرم)]],0)</f>
        <v>0</v>
      </c>
      <c r="L25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4" s="7">
        <f>-IF(AND(Main[[#This Row],[مقدار (کیلوگرم)]]&lt;0,Main[[#This Row],[تاريخ میلادی]]&gt;44276),Main[[#This Row],[مقدار (کیلوگرم)]],0)</f>
        <v>0</v>
      </c>
      <c r="N2564" s="6">
        <f ca="1">Main[[#This Row],[بدهکار (کیلوگرم)]]-Main[[#This Row],[بدهی تسویه نشده (کیلوگرم)]]</f>
        <v>0</v>
      </c>
      <c r="O2564" s="6">
        <f ca="1">Main[[#This Row],[تفکیک]]</f>
        <v>0</v>
      </c>
      <c r="P2564" s="6">
        <f ca="1">IF(Main[[#This Row],[تاخیر از سررسید]]&gt;0,Main[[#This Row],[بدهی تسویه نشده (کیلوگرم)]],0)</f>
        <v>0</v>
      </c>
      <c r="Q2564" s="6">
        <f ca="1">IF(Main[[#This Row],[بدهی تسویه نشده (کیلوگرم)]]&gt;0,'گزارش فردی'!$B$7-Main[[#This Row],[تاريخ میلادی]],0)</f>
        <v>0</v>
      </c>
      <c r="R2564" s="6">
        <f ca="1">IF(Main[[#This Row],[بدهی تسویه نشده (کیلوگرم)]]&gt;0,'گزارش فردی'!$B$7-Main[[#This Row],[تاريخ میلادی]]-'گزارش فردی'!$B$8,0)</f>
        <v>0</v>
      </c>
      <c r="S2564" s="6">
        <f ca="1">Main[[#This Row],[روز از ارسال سفارش]]*Main[[#This Row],[بدهی تسویه نشده (کیلوگرم)]]</f>
        <v>0</v>
      </c>
      <c r="T2564" s="6">
        <f ca="1">Main[[#This Row],[بدهی سررسید شده (کیلوگرم)]]*Main[[#This Row],[روز از ارسال سفارش]]</f>
        <v>0</v>
      </c>
      <c r="U2564" s="6">
        <f>-SUBTOTAL(9,INDEX(Main[مقدار (کیلوگرم)],1):Main[[#This Row],[مقدار (کیلوگرم)]])</f>
        <v>44781</v>
      </c>
      <c r="V25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4" s="6">
        <f>Main[[#This Row],[تعداد کل روزهای بدهکار (روز)]]*Main[[#This Row],[مانده در خط کل (کیلوگرم)]]</f>
        <v>44781</v>
      </c>
      <c r="X2564" s="6">
        <f ca="1">-SUBTOTAL(9,INDEX(Main[مقدار تسویه شده (کیلوگرم)],1):Main[[#This Row],[مقدار تسویه شده (کیلوگرم)]])</f>
        <v>14280</v>
      </c>
      <c r="Y2564" s="6">
        <f ca="1">IF(Main[[#This Row],[مانده در خط تسویه شده (کیلوگرم)]]&lt;&gt;0,Main[[#This Row],[تعداد کل روزهای بدهکار (روز)]],0)</f>
        <v>1</v>
      </c>
      <c r="Z2564" s="6">
        <f ca="1">Main[[#This Row],[تعداد روزهای بدهکار تسویه شده (روز)]]*Main[[#This Row],[مانده در خط تسویه شده (کیلوگرم)]]</f>
        <v>14280</v>
      </c>
      <c r="AA2564" s="6">
        <f ca="1">SUBTOTAL(9,INDEX(Main[بدهی تسویه نشده (کیلوگرم)],1):Main[[#This Row],[بدهی تسویه نشده (کیلوگرم)]])</f>
        <v>30501</v>
      </c>
      <c r="AB2564" s="6">
        <f ca="1">IF(Main[[#This Row],[مانده در خط تسویه نشده (کیلوگرم)]]&lt;&gt;0,Main[[#This Row],[تعداد کل روزهای بدهکار (روز)]],0)</f>
        <v>1</v>
      </c>
      <c r="AC2564" s="6">
        <f ca="1">Main[[#This Row],[تعداد روزهای بدهکار  تسویه نشده (روز)]]*Main[[#This Row],[مانده در خط تسویه نشده (کیلوگرم)]]</f>
        <v>30501</v>
      </c>
      <c r="AD2564" s="6">
        <f ca="1">SUBTOTAL(9,INDEX(Main[بدهی سررسید شده (کیلوگرم)],1):Main[[#This Row],[بدهی سررسید شده (کیلوگرم)]])</f>
        <v>30501</v>
      </c>
      <c r="AE2564" s="6">
        <f ca="1">IF(Main[[#This Row],[مانده در خط سررسید شده (کیلوگرم)]]&lt;&gt;0,Main[[#This Row],[تعداد کل روزهای بدهکار (روز)]],0)</f>
        <v>1</v>
      </c>
      <c r="AF2564" s="6">
        <f ca="1">Main[[#This Row],[تعداد روزهای بدهکار سررسید شده (روز)]]*Main[[#This Row],[مانده در خط سررسید شده (کیلوگرم)]]</f>
        <v>30501</v>
      </c>
    </row>
    <row r="2565" spans="1:32" hidden="1" x14ac:dyDescent="0.35">
      <c r="A2565" s="5">
        <f>ROW()-ROW(INDEX(Main[ردیف],1))+1</f>
        <v>2563</v>
      </c>
      <c r="B2565" s="31">
        <f>SUBTOTAL(2,INDEX(Main[ردیف],1):Main[[#This Row],[ردیف]])</f>
        <v>230</v>
      </c>
      <c r="C2565" s="32" t="s">
        <v>815</v>
      </c>
      <c r="D2565" s="32" t="str">
        <f>_xlfn.CONCAT("14",Main[[#This Row],[تاريخ]])</f>
        <v>1400/09/27</v>
      </c>
      <c r="E2565" s="33">
        <v>44548</v>
      </c>
      <c r="F2565" s="32">
        <v>10119</v>
      </c>
      <c r="G2565" s="5" t="str">
        <f>INDEX(customer[عنوان],MATCH(Main[[#This Row],[کد ردیابی]],customer[کد],0))</f>
        <v>سیف الله اکبری</v>
      </c>
      <c r="H2565">
        <v>54</v>
      </c>
      <c r="I2565" s="6">
        <f ca="1">-Main[[#This Row],[بدهی تسویه شده (کیلوگرم)]]+Main[[#This Row],[بستانکار (کیلوگرم)]]</f>
        <v>54</v>
      </c>
      <c r="J2565" s="6">
        <f>IF(Main[[#This Row],[مقدار (کیلوگرم)]]&gt;0,Main[[#This Row],[مقدار (کیلوگرم)]],0)</f>
        <v>54</v>
      </c>
      <c r="K2565" s="6">
        <f>-IF(Main[[#This Row],[مقدار (کیلوگرم)]]&lt;0,Main[[#This Row],[مقدار (کیلوگرم)]],0)</f>
        <v>0</v>
      </c>
      <c r="L25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5" s="7">
        <f>-IF(AND(Main[[#This Row],[مقدار (کیلوگرم)]]&lt;0,Main[[#This Row],[تاريخ میلادی]]&gt;44276),Main[[#This Row],[مقدار (کیلوگرم)]],0)</f>
        <v>0</v>
      </c>
      <c r="N2565" s="6">
        <f ca="1">Main[[#This Row],[بدهکار (کیلوگرم)]]-Main[[#This Row],[بدهی تسویه نشده (کیلوگرم)]]</f>
        <v>0</v>
      </c>
      <c r="O2565" s="6">
        <f ca="1">Main[[#This Row],[تفکیک]]</f>
        <v>0</v>
      </c>
      <c r="P2565" s="6">
        <f ca="1">IF(Main[[#This Row],[تاخیر از سررسید]]&gt;0,Main[[#This Row],[بدهی تسویه نشده (کیلوگرم)]],0)</f>
        <v>0</v>
      </c>
      <c r="Q2565" s="6">
        <f ca="1">IF(Main[[#This Row],[بدهی تسویه نشده (کیلوگرم)]]&gt;0,'گزارش فردی'!$B$7-Main[[#This Row],[تاريخ میلادی]],0)</f>
        <v>0</v>
      </c>
      <c r="R2565" s="6">
        <f ca="1">IF(Main[[#This Row],[بدهی تسویه نشده (کیلوگرم)]]&gt;0,'گزارش فردی'!$B$7-Main[[#This Row],[تاريخ میلادی]]-'گزارش فردی'!$B$8,0)</f>
        <v>0</v>
      </c>
      <c r="S2565" s="6">
        <f ca="1">Main[[#This Row],[روز از ارسال سفارش]]*Main[[#This Row],[بدهی تسویه نشده (کیلوگرم)]]</f>
        <v>0</v>
      </c>
      <c r="T2565" s="6">
        <f ca="1">Main[[#This Row],[بدهی سررسید شده (کیلوگرم)]]*Main[[#This Row],[روز از ارسال سفارش]]</f>
        <v>0</v>
      </c>
      <c r="U2565" s="6">
        <f>-SUBTOTAL(9,INDEX(Main[مقدار (کیلوگرم)],1):Main[[#This Row],[مقدار (کیلوگرم)]])</f>
        <v>44781</v>
      </c>
      <c r="V25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5" s="6">
        <f>Main[[#This Row],[تعداد کل روزهای بدهکار (روز)]]*Main[[#This Row],[مانده در خط کل (کیلوگرم)]]</f>
        <v>44781</v>
      </c>
      <c r="X2565" s="6">
        <f ca="1">-SUBTOTAL(9,INDEX(Main[مقدار تسویه شده (کیلوگرم)],1):Main[[#This Row],[مقدار تسویه شده (کیلوگرم)]])</f>
        <v>14280</v>
      </c>
      <c r="Y2565" s="6">
        <f ca="1">IF(Main[[#This Row],[مانده در خط تسویه شده (کیلوگرم)]]&lt;&gt;0,Main[[#This Row],[تعداد کل روزهای بدهکار (روز)]],0)</f>
        <v>1</v>
      </c>
      <c r="Z2565" s="6">
        <f ca="1">Main[[#This Row],[تعداد روزهای بدهکار تسویه شده (روز)]]*Main[[#This Row],[مانده در خط تسویه شده (کیلوگرم)]]</f>
        <v>14280</v>
      </c>
      <c r="AA2565" s="6">
        <f ca="1">SUBTOTAL(9,INDEX(Main[بدهی تسویه نشده (کیلوگرم)],1):Main[[#This Row],[بدهی تسویه نشده (کیلوگرم)]])</f>
        <v>30501</v>
      </c>
      <c r="AB2565" s="6">
        <f ca="1">IF(Main[[#This Row],[مانده در خط تسویه نشده (کیلوگرم)]]&lt;&gt;0,Main[[#This Row],[تعداد کل روزهای بدهکار (روز)]],0)</f>
        <v>1</v>
      </c>
      <c r="AC2565" s="6">
        <f ca="1">Main[[#This Row],[تعداد روزهای بدهکار  تسویه نشده (روز)]]*Main[[#This Row],[مانده در خط تسویه نشده (کیلوگرم)]]</f>
        <v>30501</v>
      </c>
      <c r="AD2565" s="6">
        <f ca="1">SUBTOTAL(9,INDEX(Main[بدهی سررسید شده (کیلوگرم)],1):Main[[#This Row],[بدهی سررسید شده (کیلوگرم)]])</f>
        <v>30501</v>
      </c>
      <c r="AE2565" s="6">
        <f ca="1">IF(Main[[#This Row],[مانده در خط سررسید شده (کیلوگرم)]]&lt;&gt;0,Main[[#This Row],[تعداد کل روزهای بدهکار (روز)]],0)</f>
        <v>1</v>
      </c>
      <c r="AF2565" s="6">
        <f ca="1">Main[[#This Row],[تعداد روزهای بدهکار سررسید شده (روز)]]*Main[[#This Row],[مانده در خط سررسید شده (کیلوگرم)]]</f>
        <v>30501</v>
      </c>
    </row>
    <row r="2566" spans="1:32" hidden="1" x14ac:dyDescent="0.35">
      <c r="A2566" s="5">
        <f>ROW()-ROW(INDEX(Main[ردیف],1))+1</f>
        <v>2564</v>
      </c>
      <c r="B2566" s="31">
        <f>SUBTOTAL(2,INDEX(Main[ردیف],1):Main[[#This Row],[ردیف]])</f>
        <v>230</v>
      </c>
      <c r="C2566" s="32" t="s">
        <v>816</v>
      </c>
      <c r="D2566" s="32" t="str">
        <f>_xlfn.CONCAT("14",Main[[#This Row],[تاريخ]])</f>
        <v>1400/09/28</v>
      </c>
      <c r="E2566" s="33">
        <v>44549</v>
      </c>
      <c r="F2566" s="32">
        <v>30018</v>
      </c>
      <c r="G2566" s="5" t="str">
        <f>INDEX(customer[عنوان],MATCH(Main[[#This Row],[کد ردیابی]],customer[کد],0))</f>
        <v xml:space="preserve">تولیدی شیر سازی غریب پویا </v>
      </c>
      <c r="H2566">
        <v>-1933</v>
      </c>
      <c r="I2566" s="6">
        <f ca="1">-Main[[#This Row],[بدهی تسویه شده (کیلوگرم)]]+Main[[#This Row],[بستانکار (کیلوگرم)]]</f>
        <v>0</v>
      </c>
      <c r="J2566" s="6">
        <f>IF(Main[[#This Row],[مقدار (کیلوگرم)]]&gt;0,Main[[#This Row],[مقدار (کیلوگرم)]],0)</f>
        <v>0</v>
      </c>
      <c r="K2566" s="6">
        <f>-IF(Main[[#This Row],[مقدار (کیلوگرم)]]&lt;0,Main[[#This Row],[مقدار (کیلوگرم)]],0)</f>
        <v>1933</v>
      </c>
      <c r="L25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1933</v>
      </c>
      <c r="M2566" s="7">
        <f>-IF(AND(Main[[#This Row],[مقدار (کیلوگرم)]]&lt;0,Main[[#This Row],[تاريخ میلادی]]&gt;44276),Main[[#This Row],[مقدار (کیلوگرم)]],0)</f>
        <v>1933</v>
      </c>
      <c r="N2566" s="6">
        <f ca="1">Main[[#This Row],[بدهکار (کیلوگرم)]]-Main[[#This Row],[بدهی تسویه نشده (کیلوگرم)]]</f>
        <v>0</v>
      </c>
      <c r="O2566" s="6">
        <f ca="1">Main[[#This Row],[تفکیک]]</f>
        <v>1933</v>
      </c>
      <c r="P2566" s="6">
        <f ca="1">IF(Main[[#This Row],[تاخیر از سررسید]]&gt;0,Main[[#This Row],[بدهی تسویه نشده (کیلوگرم)]],0)</f>
        <v>1933</v>
      </c>
      <c r="Q2566" s="6">
        <f ca="1">IF(Main[[#This Row],[بدهی تسویه نشده (کیلوگرم)]]&gt;0,'گزارش فردی'!$B$7-Main[[#This Row],[تاريخ میلادی]],0)</f>
        <v>913.75374085648218</v>
      </c>
      <c r="R2566" s="6">
        <f ca="1">IF(Main[[#This Row],[بدهی تسویه نشده (کیلوگرم)]]&gt;0,'گزارش فردی'!$B$7-Main[[#This Row],[تاريخ میلادی]]-'گزارش فردی'!$B$8,0)</f>
        <v>898.75374085648218</v>
      </c>
      <c r="S2566" s="6">
        <f ca="1">Main[[#This Row],[روز از ارسال سفارش]]*Main[[#This Row],[بدهی تسویه نشده (کیلوگرم)]]</f>
        <v>1766285.98107558</v>
      </c>
      <c r="T2566" s="6">
        <f ca="1">Main[[#This Row],[بدهی سررسید شده (کیلوگرم)]]*Main[[#This Row],[روز از ارسال سفارش]]</f>
        <v>1766285.98107558</v>
      </c>
      <c r="U2566" s="6">
        <f>-SUBTOTAL(9,INDEX(Main[مقدار (کیلوگرم)],1):Main[[#This Row],[مقدار (کیلوگرم)]])</f>
        <v>44781</v>
      </c>
      <c r="V25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6" s="6">
        <f>Main[[#This Row],[تعداد کل روزهای بدهکار (روز)]]*Main[[#This Row],[مانده در خط کل (کیلوگرم)]]</f>
        <v>0</v>
      </c>
      <c r="X2566" s="6">
        <f ca="1">-SUBTOTAL(9,INDEX(Main[مقدار تسویه شده (کیلوگرم)],1):Main[[#This Row],[مقدار تسویه شده (کیلوگرم)]])</f>
        <v>14280</v>
      </c>
      <c r="Y2566" s="6">
        <f ca="1">IF(Main[[#This Row],[مانده در خط تسویه شده (کیلوگرم)]]&lt;&gt;0,Main[[#This Row],[تعداد کل روزهای بدهکار (روز)]],0)</f>
        <v>0</v>
      </c>
      <c r="Z2566" s="6">
        <f ca="1">Main[[#This Row],[تعداد روزهای بدهکار تسویه شده (روز)]]*Main[[#This Row],[مانده در خط تسویه شده (کیلوگرم)]]</f>
        <v>0</v>
      </c>
      <c r="AA2566" s="6">
        <f ca="1">SUBTOTAL(9,INDEX(Main[بدهی تسویه نشده (کیلوگرم)],1):Main[[#This Row],[بدهی تسویه نشده (کیلوگرم)]])</f>
        <v>30501</v>
      </c>
      <c r="AB2566" s="6">
        <f ca="1">IF(Main[[#This Row],[مانده در خط تسویه نشده (کیلوگرم)]]&lt;&gt;0,Main[[#This Row],[تعداد کل روزهای بدهکار (روز)]],0)</f>
        <v>0</v>
      </c>
      <c r="AC2566" s="6">
        <f ca="1">Main[[#This Row],[تعداد روزهای بدهکار  تسویه نشده (روز)]]*Main[[#This Row],[مانده در خط تسویه نشده (کیلوگرم)]]</f>
        <v>0</v>
      </c>
      <c r="AD2566" s="6">
        <f ca="1">SUBTOTAL(9,INDEX(Main[بدهی سررسید شده (کیلوگرم)],1):Main[[#This Row],[بدهی سررسید شده (کیلوگرم)]])</f>
        <v>30501</v>
      </c>
      <c r="AE2566" s="6">
        <f ca="1">IF(Main[[#This Row],[مانده در خط سررسید شده (کیلوگرم)]]&lt;&gt;0,Main[[#This Row],[تعداد کل روزهای بدهکار (روز)]],0)</f>
        <v>0</v>
      </c>
      <c r="AF2566" s="6">
        <f ca="1">Main[[#This Row],[تعداد روزهای بدهکار سررسید شده (روز)]]*Main[[#This Row],[مانده در خط سررسید شده (کیلوگرم)]]</f>
        <v>0</v>
      </c>
    </row>
    <row r="2567" spans="1:32" hidden="1" x14ac:dyDescent="0.35">
      <c r="A2567" s="5">
        <f>ROW()-ROW(INDEX(Main[ردیف],1))+1</f>
        <v>2565</v>
      </c>
      <c r="B2567" s="31">
        <f>SUBTOTAL(2,INDEX(Main[ردیف],1):Main[[#This Row],[ردیف]])</f>
        <v>230</v>
      </c>
      <c r="C2567" s="32" t="s">
        <v>816</v>
      </c>
      <c r="D2567" s="32" t="str">
        <f>_xlfn.CONCAT("14",Main[[#This Row],[تاريخ]])</f>
        <v>1400/09/28</v>
      </c>
      <c r="E2567" s="33">
        <v>44549</v>
      </c>
      <c r="F2567" s="32">
        <v>30081</v>
      </c>
      <c r="G2567" s="5" t="str">
        <f>INDEX(customer[عنوان],MATCH(Main[[#This Row],[کد ردیابی]],customer[کد],0))</f>
        <v xml:space="preserve">شیرآلات بهداشتی راسان </v>
      </c>
      <c r="H2567">
        <v>543</v>
      </c>
      <c r="I2567" s="6">
        <f ca="1">-Main[[#This Row],[بدهی تسویه شده (کیلوگرم)]]+Main[[#This Row],[بستانکار (کیلوگرم)]]</f>
        <v>543</v>
      </c>
      <c r="J2567" s="6">
        <f>IF(Main[[#This Row],[مقدار (کیلوگرم)]]&gt;0,Main[[#This Row],[مقدار (کیلوگرم)]],0)</f>
        <v>543</v>
      </c>
      <c r="K2567" s="6">
        <f>-IF(Main[[#This Row],[مقدار (کیلوگرم)]]&lt;0,Main[[#This Row],[مقدار (کیلوگرم)]],0)</f>
        <v>0</v>
      </c>
      <c r="L25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7" s="7">
        <f>-IF(AND(Main[[#This Row],[مقدار (کیلوگرم)]]&lt;0,Main[[#This Row],[تاريخ میلادی]]&gt;44276),Main[[#This Row],[مقدار (کیلوگرم)]],0)</f>
        <v>0</v>
      </c>
      <c r="N2567" s="6">
        <f ca="1">Main[[#This Row],[بدهکار (کیلوگرم)]]-Main[[#This Row],[بدهی تسویه نشده (کیلوگرم)]]</f>
        <v>0</v>
      </c>
      <c r="O2567" s="6">
        <f ca="1">Main[[#This Row],[تفکیک]]</f>
        <v>0</v>
      </c>
      <c r="P2567" s="6">
        <f ca="1">IF(Main[[#This Row],[تاخیر از سررسید]]&gt;0,Main[[#This Row],[بدهی تسویه نشده (کیلوگرم)]],0)</f>
        <v>0</v>
      </c>
      <c r="Q2567" s="6">
        <f ca="1">IF(Main[[#This Row],[بدهی تسویه نشده (کیلوگرم)]]&gt;0,'گزارش فردی'!$B$7-Main[[#This Row],[تاريخ میلادی]],0)</f>
        <v>0</v>
      </c>
      <c r="R2567" s="6">
        <f ca="1">IF(Main[[#This Row],[بدهی تسویه نشده (کیلوگرم)]]&gt;0,'گزارش فردی'!$B$7-Main[[#This Row],[تاريخ میلادی]]-'گزارش فردی'!$B$8,0)</f>
        <v>0</v>
      </c>
      <c r="S2567" s="6">
        <f ca="1">Main[[#This Row],[روز از ارسال سفارش]]*Main[[#This Row],[بدهی تسویه نشده (کیلوگرم)]]</f>
        <v>0</v>
      </c>
      <c r="T2567" s="6">
        <f ca="1">Main[[#This Row],[بدهی سررسید شده (کیلوگرم)]]*Main[[#This Row],[روز از ارسال سفارش]]</f>
        <v>0</v>
      </c>
      <c r="U2567" s="6">
        <f>-SUBTOTAL(9,INDEX(Main[مقدار (کیلوگرم)],1):Main[[#This Row],[مقدار (کیلوگرم)]])</f>
        <v>44781</v>
      </c>
      <c r="V25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7" s="6">
        <f>Main[[#This Row],[تعداد کل روزهای بدهکار (روز)]]*Main[[#This Row],[مانده در خط کل (کیلوگرم)]]</f>
        <v>0</v>
      </c>
      <c r="X2567" s="6">
        <f ca="1">-SUBTOTAL(9,INDEX(Main[مقدار تسویه شده (کیلوگرم)],1):Main[[#This Row],[مقدار تسویه شده (کیلوگرم)]])</f>
        <v>14280</v>
      </c>
      <c r="Y2567" s="6">
        <f ca="1">IF(Main[[#This Row],[مانده در خط تسویه شده (کیلوگرم)]]&lt;&gt;0,Main[[#This Row],[تعداد کل روزهای بدهکار (روز)]],0)</f>
        <v>0</v>
      </c>
      <c r="Z2567" s="6">
        <f ca="1">Main[[#This Row],[تعداد روزهای بدهکار تسویه شده (روز)]]*Main[[#This Row],[مانده در خط تسویه شده (کیلوگرم)]]</f>
        <v>0</v>
      </c>
      <c r="AA2567" s="6">
        <f ca="1">SUBTOTAL(9,INDEX(Main[بدهی تسویه نشده (کیلوگرم)],1):Main[[#This Row],[بدهی تسویه نشده (کیلوگرم)]])</f>
        <v>30501</v>
      </c>
      <c r="AB2567" s="6">
        <f ca="1">IF(Main[[#This Row],[مانده در خط تسویه نشده (کیلوگرم)]]&lt;&gt;0,Main[[#This Row],[تعداد کل روزهای بدهکار (روز)]],0)</f>
        <v>0</v>
      </c>
      <c r="AC2567" s="6">
        <f ca="1">Main[[#This Row],[تعداد روزهای بدهکار  تسویه نشده (روز)]]*Main[[#This Row],[مانده در خط تسویه نشده (کیلوگرم)]]</f>
        <v>0</v>
      </c>
      <c r="AD2567" s="6">
        <f ca="1">SUBTOTAL(9,INDEX(Main[بدهی سررسید شده (کیلوگرم)],1):Main[[#This Row],[بدهی سررسید شده (کیلوگرم)]])</f>
        <v>30501</v>
      </c>
      <c r="AE2567" s="6">
        <f ca="1">IF(Main[[#This Row],[مانده در خط سررسید شده (کیلوگرم)]]&lt;&gt;0,Main[[#This Row],[تعداد کل روزهای بدهکار (روز)]],0)</f>
        <v>0</v>
      </c>
      <c r="AF2567" s="6">
        <f ca="1">Main[[#This Row],[تعداد روزهای بدهکار سررسید شده (روز)]]*Main[[#This Row],[مانده در خط سررسید شده (کیلوگرم)]]</f>
        <v>0</v>
      </c>
    </row>
    <row r="2568" spans="1:32" hidden="1" x14ac:dyDescent="0.35">
      <c r="A2568" s="5">
        <f>ROW()-ROW(INDEX(Main[ردیف],1))+1</f>
        <v>2566</v>
      </c>
      <c r="B2568" s="31">
        <f>SUBTOTAL(2,INDEX(Main[ردیف],1):Main[[#This Row],[ردیف]])</f>
        <v>230</v>
      </c>
      <c r="C2568" s="32" t="s">
        <v>816</v>
      </c>
      <c r="D2568" s="32" t="str">
        <f>_xlfn.CONCAT("14",Main[[#This Row],[تاريخ]])</f>
        <v>1400/09/28</v>
      </c>
      <c r="E2568" s="33">
        <v>44549</v>
      </c>
      <c r="F2568" s="32">
        <v>10126</v>
      </c>
      <c r="G2568" s="5" t="str">
        <f>INDEX(customer[عنوان],MATCH(Main[[#This Row],[کد ردیابی]],customer[کد],0))</f>
        <v xml:space="preserve">کریم اسمعیلی </v>
      </c>
      <c r="H2568">
        <v>-1706</v>
      </c>
      <c r="I2568" s="6">
        <f ca="1">-Main[[#This Row],[بدهی تسویه شده (کیلوگرم)]]+Main[[#This Row],[بستانکار (کیلوگرم)]]</f>
        <v>0</v>
      </c>
      <c r="J2568" s="6">
        <f>IF(Main[[#This Row],[مقدار (کیلوگرم)]]&gt;0,Main[[#This Row],[مقدار (کیلوگرم)]],0)</f>
        <v>0</v>
      </c>
      <c r="K2568" s="6">
        <f>-IF(Main[[#This Row],[مقدار (کیلوگرم)]]&lt;0,Main[[#This Row],[مقدار (کیلوگرم)]],0)</f>
        <v>1706</v>
      </c>
      <c r="L25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1706</v>
      </c>
      <c r="M2568" s="7">
        <f>-IF(AND(Main[[#This Row],[مقدار (کیلوگرم)]]&lt;0,Main[[#This Row],[تاريخ میلادی]]&gt;44276),Main[[#This Row],[مقدار (کیلوگرم)]],0)</f>
        <v>1706</v>
      </c>
      <c r="N2568" s="6">
        <f ca="1">Main[[#This Row],[بدهکار (کیلوگرم)]]-Main[[#This Row],[بدهی تسویه نشده (کیلوگرم)]]</f>
        <v>0</v>
      </c>
      <c r="O2568" s="6">
        <f ca="1">Main[[#This Row],[تفکیک]]</f>
        <v>1706</v>
      </c>
      <c r="P2568" s="6">
        <f ca="1">IF(Main[[#This Row],[تاخیر از سررسید]]&gt;0,Main[[#This Row],[بدهی تسویه نشده (کیلوگرم)]],0)</f>
        <v>1706</v>
      </c>
      <c r="Q2568" s="6">
        <f ca="1">IF(Main[[#This Row],[بدهی تسویه نشده (کیلوگرم)]]&gt;0,'گزارش فردی'!$B$7-Main[[#This Row],[تاريخ میلادی]],0)</f>
        <v>913.75374085648218</v>
      </c>
      <c r="R2568" s="6">
        <f ca="1">IF(Main[[#This Row],[بدهی تسویه نشده (کیلوگرم)]]&gt;0,'گزارش فردی'!$B$7-Main[[#This Row],[تاريخ میلادی]]-'گزارش فردی'!$B$8,0)</f>
        <v>898.75374085648218</v>
      </c>
      <c r="S2568" s="6">
        <f ca="1">Main[[#This Row],[روز از ارسال سفارش]]*Main[[#This Row],[بدهی تسویه نشده (کیلوگرم)]]</f>
        <v>1558863.8819011585</v>
      </c>
      <c r="T2568" s="6">
        <f ca="1">Main[[#This Row],[بدهی سررسید شده (کیلوگرم)]]*Main[[#This Row],[روز از ارسال سفارش]]</f>
        <v>1558863.8819011585</v>
      </c>
      <c r="U2568" s="6">
        <f>-SUBTOTAL(9,INDEX(Main[مقدار (کیلوگرم)],1):Main[[#This Row],[مقدار (کیلوگرم)]])</f>
        <v>44781</v>
      </c>
      <c r="V25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8" s="6">
        <f>Main[[#This Row],[تعداد کل روزهای بدهکار (روز)]]*Main[[#This Row],[مانده در خط کل (کیلوگرم)]]</f>
        <v>0</v>
      </c>
      <c r="X2568" s="6">
        <f ca="1">-SUBTOTAL(9,INDEX(Main[مقدار تسویه شده (کیلوگرم)],1):Main[[#This Row],[مقدار تسویه شده (کیلوگرم)]])</f>
        <v>14280</v>
      </c>
      <c r="Y2568" s="6">
        <f ca="1">IF(Main[[#This Row],[مانده در خط تسویه شده (کیلوگرم)]]&lt;&gt;0,Main[[#This Row],[تعداد کل روزهای بدهکار (روز)]],0)</f>
        <v>0</v>
      </c>
      <c r="Z2568" s="6">
        <f ca="1">Main[[#This Row],[تعداد روزهای بدهکار تسویه شده (روز)]]*Main[[#This Row],[مانده در خط تسویه شده (کیلوگرم)]]</f>
        <v>0</v>
      </c>
      <c r="AA2568" s="6">
        <f ca="1">SUBTOTAL(9,INDEX(Main[بدهی تسویه نشده (کیلوگرم)],1):Main[[#This Row],[بدهی تسویه نشده (کیلوگرم)]])</f>
        <v>30501</v>
      </c>
      <c r="AB2568" s="6">
        <f ca="1">IF(Main[[#This Row],[مانده در خط تسویه نشده (کیلوگرم)]]&lt;&gt;0,Main[[#This Row],[تعداد کل روزهای بدهکار (روز)]],0)</f>
        <v>0</v>
      </c>
      <c r="AC2568" s="6">
        <f ca="1">Main[[#This Row],[تعداد روزهای بدهکار  تسویه نشده (روز)]]*Main[[#This Row],[مانده در خط تسویه نشده (کیلوگرم)]]</f>
        <v>0</v>
      </c>
      <c r="AD2568" s="6">
        <f ca="1">SUBTOTAL(9,INDEX(Main[بدهی سررسید شده (کیلوگرم)],1):Main[[#This Row],[بدهی سررسید شده (کیلوگرم)]])</f>
        <v>30501</v>
      </c>
      <c r="AE2568" s="6">
        <f ca="1">IF(Main[[#This Row],[مانده در خط سررسید شده (کیلوگرم)]]&lt;&gt;0,Main[[#This Row],[تعداد کل روزهای بدهکار (روز)]],0)</f>
        <v>0</v>
      </c>
      <c r="AF2568" s="6">
        <f ca="1">Main[[#This Row],[تعداد روزهای بدهکار سررسید شده (روز)]]*Main[[#This Row],[مانده در خط سررسید شده (کیلوگرم)]]</f>
        <v>0</v>
      </c>
    </row>
    <row r="2569" spans="1:32" hidden="1" x14ac:dyDescent="0.35">
      <c r="A2569" s="5">
        <f>ROW()-ROW(INDEX(Main[ردیف],1))+1</f>
        <v>2567</v>
      </c>
      <c r="B2569" s="31">
        <f>SUBTOTAL(2,INDEX(Main[ردیف],1):Main[[#This Row],[ردیف]])</f>
        <v>230</v>
      </c>
      <c r="C2569" s="32" t="s">
        <v>816</v>
      </c>
      <c r="D2569" s="32" t="str">
        <f>_xlfn.CONCAT("14",Main[[#This Row],[تاريخ]])</f>
        <v>1400/09/28</v>
      </c>
      <c r="E2569" s="33">
        <v>44549</v>
      </c>
      <c r="F2569" s="32">
        <v>30081</v>
      </c>
      <c r="G2569" s="5" t="str">
        <f>INDEX(customer[عنوان],MATCH(Main[[#This Row],[کد ردیابی]],customer[کد],0))</f>
        <v xml:space="preserve">شیرآلات بهداشتی راسان </v>
      </c>
      <c r="H2569">
        <v>551</v>
      </c>
      <c r="I2569" s="6">
        <f ca="1">-Main[[#This Row],[بدهی تسویه شده (کیلوگرم)]]+Main[[#This Row],[بستانکار (کیلوگرم)]]</f>
        <v>551</v>
      </c>
      <c r="J2569" s="6">
        <f>IF(Main[[#This Row],[مقدار (کیلوگرم)]]&gt;0,Main[[#This Row],[مقدار (کیلوگرم)]],0)</f>
        <v>551</v>
      </c>
      <c r="K2569" s="6">
        <f>-IF(Main[[#This Row],[مقدار (کیلوگرم)]]&lt;0,Main[[#This Row],[مقدار (کیلوگرم)]],0)</f>
        <v>0</v>
      </c>
      <c r="L25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9" s="7">
        <f>-IF(AND(Main[[#This Row],[مقدار (کیلوگرم)]]&lt;0,Main[[#This Row],[تاريخ میلادی]]&gt;44276),Main[[#This Row],[مقدار (کیلوگرم)]],0)</f>
        <v>0</v>
      </c>
      <c r="N2569" s="6">
        <f ca="1">Main[[#This Row],[بدهکار (کیلوگرم)]]-Main[[#This Row],[بدهی تسویه نشده (کیلوگرم)]]</f>
        <v>0</v>
      </c>
      <c r="O2569" s="6">
        <f ca="1">Main[[#This Row],[تفکیک]]</f>
        <v>0</v>
      </c>
      <c r="P2569" s="6">
        <f ca="1">IF(Main[[#This Row],[تاخیر از سررسید]]&gt;0,Main[[#This Row],[بدهی تسویه نشده (کیلوگرم)]],0)</f>
        <v>0</v>
      </c>
      <c r="Q2569" s="6">
        <f ca="1">IF(Main[[#This Row],[بدهی تسویه نشده (کیلوگرم)]]&gt;0,'گزارش فردی'!$B$7-Main[[#This Row],[تاريخ میلادی]],0)</f>
        <v>0</v>
      </c>
      <c r="R2569" s="6">
        <f ca="1">IF(Main[[#This Row],[بدهی تسویه نشده (کیلوگرم)]]&gt;0,'گزارش فردی'!$B$7-Main[[#This Row],[تاريخ میلادی]]-'گزارش فردی'!$B$8,0)</f>
        <v>0</v>
      </c>
      <c r="S2569" s="6">
        <f ca="1">Main[[#This Row],[روز از ارسال سفارش]]*Main[[#This Row],[بدهی تسویه نشده (کیلوگرم)]]</f>
        <v>0</v>
      </c>
      <c r="T2569" s="6">
        <f ca="1">Main[[#This Row],[بدهی سررسید شده (کیلوگرم)]]*Main[[#This Row],[روز از ارسال سفارش]]</f>
        <v>0</v>
      </c>
      <c r="U2569" s="6">
        <f>-SUBTOTAL(9,INDEX(Main[مقدار (کیلوگرم)],1):Main[[#This Row],[مقدار (کیلوگرم)]])</f>
        <v>44781</v>
      </c>
      <c r="V25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9" s="6">
        <f>Main[[#This Row],[تعداد کل روزهای بدهکار (روز)]]*Main[[#This Row],[مانده در خط کل (کیلوگرم)]]</f>
        <v>0</v>
      </c>
      <c r="X2569" s="6">
        <f ca="1">-SUBTOTAL(9,INDEX(Main[مقدار تسویه شده (کیلوگرم)],1):Main[[#This Row],[مقدار تسویه شده (کیلوگرم)]])</f>
        <v>14280</v>
      </c>
      <c r="Y2569" s="6">
        <f ca="1">IF(Main[[#This Row],[مانده در خط تسویه شده (کیلوگرم)]]&lt;&gt;0,Main[[#This Row],[تعداد کل روزهای بدهکار (روز)]],0)</f>
        <v>0</v>
      </c>
      <c r="Z2569" s="6">
        <f ca="1">Main[[#This Row],[تعداد روزهای بدهکار تسویه شده (روز)]]*Main[[#This Row],[مانده در خط تسویه شده (کیلوگرم)]]</f>
        <v>0</v>
      </c>
      <c r="AA2569" s="6">
        <f ca="1">SUBTOTAL(9,INDEX(Main[بدهی تسویه نشده (کیلوگرم)],1):Main[[#This Row],[بدهی تسویه نشده (کیلوگرم)]])</f>
        <v>30501</v>
      </c>
      <c r="AB2569" s="6">
        <f ca="1">IF(Main[[#This Row],[مانده در خط تسویه نشده (کیلوگرم)]]&lt;&gt;0,Main[[#This Row],[تعداد کل روزهای بدهکار (روز)]],0)</f>
        <v>0</v>
      </c>
      <c r="AC2569" s="6">
        <f ca="1">Main[[#This Row],[تعداد روزهای بدهکار  تسویه نشده (روز)]]*Main[[#This Row],[مانده در خط تسویه نشده (کیلوگرم)]]</f>
        <v>0</v>
      </c>
      <c r="AD2569" s="6">
        <f ca="1">SUBTOTAL(9,INDEX(Main[بدهی سررسید شده (کیلوگرم)],1):Main[[#This Row],[بدهی سررسید شده (کیلوگرم)]])</f>
        <v>30501</v>
      </c>
      <c r="AE2569" s="6">
        <f ca="1">IF(Main[[#This Row],[مانده در خط سررسید شده (کیلوگرم)]]&lt;&gt;0,Main[[#This Row],[تعداد کل روزهای بدهکار (روز)]],0)</f>
        <v>0</v>
      </c>
      <c r="AF2569" s="6">
        <f ca="1">Main[[#This Row],[تعداد روزهای بدهکار سررسید شده (روز)]]*Main[[#This Row],[مانده در خط سررسید شده (کیلوگرم)]]</f>
        <v>0</v>
      </c>
    </row>
    <row r="2570" spans="1:32" x14ac:dyDescent="0.35">
      <c r="A2570" s="5">
        <f>ROW()-ROW(INDEX(Main[ردیف],1))+1</f>
        <v>2568</v>
      </c>
      <c r="B2570" s="31">
        <f>SUBTOTAL(2,INDEX(Main[ردیف],1):Main[[#This Row],[ردیف]])</f>
        <v>231</v>
      </c>
      <c r="C2570" s="32" t="s">
        <v>816</v>
      </c>
      <c r="D2570" s="32" t="str">
        <f>_xlfn.CONCAT("14",Main[[#This Row],[تاريخ]])</f>
        <v>1400/09/28</v>
      </c>
      <c r="E2570" s="33">
        <v>44549</v>
      </c>
      <c r="F2570" s="32">
        <v>10003</v>
      </c>
      <c r="G2570" s="5" t="str">
        <f>INDEX(customer[عنوان],MATCH(Main[[#This Row],[کد ردیابی]],customer[کد],0))</f>
        <v>اصغر نورعلی</v>
      </c>
      <c r="H2570">
        <v>-2092</v>
      </c>
      <c r="I2570" s="6">
        <f ca="1">-Main[[#This Row],[بدهی تسویه شده (کیلوگرم)]]+Main[[#This Row],[بستانکار (کیلوگرم)]]</f>
        <v>0</v>
      </c>
      <c r="J2570" s="6">
        <f>IF(Main[[#This Row],[مقدار (کیلوگرم)]]&gt;0,Main[[#This Row],[مقدار (کیلوگرم)]],0)</f>
        <v>0</v>
      </c>
      <c r="K2570" s="6">
        <f>-IF(Main[[#This Row],[مقدار (کیلوگرم)]]&lt;0,Main[[#This Row],[مقدار (کیلوگرم)]],0)</f>
        <v>2092</v>
      </c>
      <c r="L25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2092</v>
      </c>
      <c r="M2570" s="7">
        <f>-IF(AND(Main[[#This Row],[مقدار (کیلوگرم)]]&lt;0,Main[[#This Row],[تاريخ میلادی]]&gt;44276),Main[[#This Row],[مقدار (کیلوگرم)]],0)</f>
        <v>2092</v>
      </c>
      <c r="N2570" s="6">
        <f ca="1">Main[[#This Row],[بدهکار (کیلوگرم)]]-Main[[#This Row],[بدهی تسویه نشده (کیلوگرم)]]</f>
        <v>0</v>
      </c>
      <c r="O2570" s="6">
        <f ca="1">Main[[#This Row],[تفکیک]]</f>
        <v>2092</v>
      </c>
      <c r="P2570" s="6">
        <f ca="1">IF(Main[[#This Row],[تاخیر از سررسید]]&gt;0,Main[[#This Row],[بدهی تسویه نشده (کیلوگرم)]],0)</f>
        <v>2092</v>
      </c>
      <c r="Q2570" s="6">
        <f ca="1">IF(Main[[#This Row],[بدهی تسویه نشده (کیلوگرم)]]&gt;0,'گزارش فردی'!$B$7-Main[[#This Row],[تاريخ میلادی]],0)</f>
        <v>913.75374085648218</v>
      </c>
      <c r="R2570" s="6">
        <f ca="1">IF(Main[[#This Row],[بدهی تسویه نشده (کیلوگرم)]]&gt;0,'گزارش فردی'!$B$7-Main[[#This Row],[تاريخ میلادی]]-'گزارش فردی'!$B$8,0)</f>
        <v>898.75374085648218</v>
      </c>
      <c r="S2570" s="6">
        <f ca="1">Main[[#This Row],[روز از ارسال سفارش]]*Main[[#This Row],[بدهی تسویه نشده (کیلوگرم)]]</f>
        <v>1911572.8258717607</v>
      </c>
      <c r="T2570" s="6">
        <f ca="1">Main[[#This Row],[بدهی سررسید شده (کیلوگرم)]]*Main[[#This Row],[روز از ارسال سفارش]]</f>
        <v>1911572.8258717607</v>
      </c>
      <c r="U2570" s="6">
        <f>-SUBTOTAL(9,INDEX(Main[مقدار (کیلوگرم)],1):Main[[#This Row],[مقدار (کیلوگرم)]])</f>
        <v>46873</v>
      </c>
      <c r="V25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0" s="6">
        <f>Main[[#This Row],[تعداد کل روزهای بدهکار (روز)]]*Main[[#This Row],[مانده در خط کل (کیلوگرم)]]</f>
        <v>46873</v>
      </c>
      <c r="X2570" s="6">
        <f ca="1">-SUBTOTAL(9,INDEX(Main[مقدار تسویه شده (کیلوگرم)],1):Main[[#This Row],[مقدار تسویه شده (کیلوگرم)]])</f>
        <v>14280</v>
      </c>
      <c r="Y2570" s="6">
        <f ca="1">IF(Main[[#This Row],[مانده در خط تسویه شده (کیلوگرم)]]&lt;&gt;0,Main[[#This Row],[تعداد کل روزهای بدهکار (روز)]],0)</f>
        <v>1</v>
      </c>
      <c r="Z2570" s="6">
        <f ca="1">Main[[#This Row],[تعداد روزهای بدهکار تسویه شده (روز)]]*Main[[#This Row],[مانده در خط تسویه شده (کیلوگرم)]]</f>
        <v>14280</v>
      </c>
      <c r="AA2570" s="6">
        <f ca="1">SUBTOTAL(9,INDEX(Main[بدهی تسویه نشده (کیلوگرم)],1):Main[[#This Row],[بدهی تسویه نشده (کیلوگرم)]])</f>
        <v>32593</v>
      </c>
      <c r="AB2570" s="6">
        <f ca="1">IF(Main[[#This Row],[مانده در خط تسویه نشده (کیلوگرم)]]&lt;&gt;0,Main[[#This Row],[تعداد کل روزهای بدهکار (روز)]],0)</f>
        <v>1</v>
      </c>
      <c r="AC2570" s="6">
        <f ca="1">Main[[#This Row],[تعداد روزهای بدهکار  تسویه نشده (روز)]]*Main[[#This Row],[مانده در خط تسویه نشده (کیلوگرم)]]</f>
        <v>32593</v>
      </c>
      <c r="AD2570" s="6">
        <f ca="1">SUBTOTAL(9,INDEX(Main[بدهی سررسید شده (کیلوگرم)],1):Main[[#This Row],[بدهی سررسید شده (کیلوگرم)]])</f>
        <v>32593</v>
      </c>
      <c r="AE2570" s="6">
        <f ca="1">IF(Main[[#This Row],[مانده در خط سررسید شده (کیلوگرم)]]&lt;&gt;0,Main[[#This Row],[تعداد کل روزهای بدهکار (روز)]],0)</f>
        <v>1</v>
      </c>
      <c r="AF2570" s="6">
        <f ca="1">Main[[#This Row],[تعداد روزهای بدهکار سررسید شده (روز)]]*Main[[#This Row],[مانده در خط سررسید شده (کیلوگرم)]]</f>
        <v>32593</v>
      </c>
    </row>
    <row r="2571" spans="1:32" hidden="1" x14ac:dyDescent="0.35">
      <c r="A2571" s="5">
        <f>ROW()-ROW(INDEX(Main[ردیف],1))+1</f>
        <v>2569</v>
      </c>
      <c r="B2571" s="31">
        <f>SUBTOTAL(2,INDEX(Main[ردیف],1):Main[[#This Row],[ردیف]])</f>
        <v>231</v>
      </c>
      <c r="C2571" s="32" t="s">
        <v>816</v>
      </c>
      <c r="D2571" s="32" t="str">
        <f>_xlfn.CONCAT("14",Main[[#This Row],[تاريخ]])</f>
        <v>1400/09/28</v>
      </c>
      <c r="E2571" s="33">
        <v>44549</v>
      </c>
      <c r="F2571" s="32">
        <v>30196</v>
      </c>
      <c r="G2571" s="5" t="str">
        <f>INDEX(customer[عنوان],MATCH(Main[[#This Row],[کد ردیابی]],customer[کد],0))</f>
        <v>شرکت فردوس</v>
      </c>
      <c r="H2571">
        <v>5000</v>
      </c>
      <c r="I2571" s="6">
        <f ca="1">-Main[[#This Row],[بدهی تسویه شده (کیلوگرم)]]+Main[[#This Row],[بستانکار (کیلوگرم)]]</f>
        <v>5000</v>
      </c>
      <c r="J2571" s="6">
        <f>IF(Main[[#This Row],[مقدار (کیلوگرم)]]&gt;0,Main[[#This Row],[مقدار (کیلوگرم)]],0)</f>
        <v>5000</v>
      </c>
      <c r="K2571" s="6">
        <f>-IF(Main[[#This Row],[مقدار (کیلوگرم)]]&lt;0,Main[[#This Row],[مقدار (کیلوگرم)]],0)</f>
        <v>0</v>
      </c>
      <c r="L25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1" s="7">
        <f>-IF(AND(Main[[#This Row],[مقدار (کیلوگرم)]]&lt;0,Main[[#This Row],[تاريخ میلادی]]&gt;44276),Main[[#This Row],[مقدار (کیلوگرم)]],0)</f>
        <v>0</v>
      </c>
      <c r="N2571" s="6">
        <f ca="1">Main[[#This Row],[بدهکار (کیلوگرم)]]-Main[[#This Row],[بدهی تسویه نشده (کیلوگرم)]]</f>
        <v>0</v>
      </c>
      <c r="O2571" s="6">
        <f ca="1">Main[[#This Row],[تفکیک]]</f>
        <v>0</v>
      </c>
      <c r="P2571" s="6">
        <f ca="1">IF(Main[[#This Row],[تاخیر از سررسید]]&gt;0,Main[[#This Row],[بدهی تسویه نشده (کیلوگرم)]],0)</f>
        <v>0</v>
      </c>
      <c r="Q2571" s="6">
        <f ca="1">IF(Main[[#This Row],[بدهی تسویه نشده (کیلوگرم)]]&gt;0,'گزارش فردی'!$B$7-Main[[#This Row],[تاريخ میلادی]],0)</f>
        <v>0</v>
      </c>
      <c r="R2571" s="6">
        <f ca="1">IF(Main[[#This Row],[بدهی تسویه نشده (کیلوگرم)]]&gt;0,'گزارش فردی'!$B$7-Main[[#This Row],[تاريخ میلادی]]-'گزارش فردی'!$B$8,0)</f>
        <v>0</v>
      </c>
      <c r="S2571" s="6">
        <f ca="1">Main[[#This Row],[روز از ارسال سفارش]]*Main[[#This Row],[بدهی تسویه نشده (کیلوگرم)]]</f>
        <v>0</v>
      </c>
      <c r="T2571" s="6">
        <f ca="1">Main[[#This Row],[بدهی سررسید شده (کیلوگرم)]]*Main[[#This Row],[روز از ارسال سفارش]]</f>
        <v>0</v>
      </c>
      <c r="U2571" s="6">
        <f>-SUBTOTAL(9,INDEX(Main[مقدار (کیلوگرم)],1):Main[[#This Row],[مقدار (کیلوگرم)]])</f>
        <v>46873</v>
      </c>
      <c r="V25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1" s="6">
        <f>Main[[#This Row],[تعداد کل روزهای بدهکار (روز)]]*Main[[#This Row],[مانده در خط کل (کیلوگرم)]]</f>
        <v>46873</v>
      </c>
      <c r="X2571" s="6">
        <f ca="1">-SUBTOTAL(9,INDEX(Main[مقدار تسویه شده (کیلوگرم)],1):Main[[#This Row],[مقدار تسویه شده (کیلوگرم)]])</f>
        <v>14280</v>
      </c>
      <c r="Y2571" s="6">
        <f ca="1">IF(Main[[#This Row],[مانده در خط تسویه شده (کیلوگرم)]]&lt;&gt;0,Main[[#This Row],[تعداد کل روزهای بدهکار (روز)]],0)</f>
        <v>1</v>
      </c>
      <c r="Z2571" s="6">
        <f ca="1">Main[[#This Row],[تعداد روزهای بدهکار تسویه شده (روز)]]*Main[[#This Row],[مانده در خط تسویه شده (کیلوگرم)]]</f>
        <v>14280</v>
      </c>
      <c r="AA2571" s="6">
        <f ca="1">SUBTOTAL(9,INDEX(Main[بدهی تسویه نشده (کیلوگرم)],1):Main[[#This Row],[بدهی تسویه نشده (کیلوگرم)]])</f>
        <v>32593</v>
      </c>
      <c r="AB2571" s="6">
        <f ca="1">IF(Main[[#This Row],[مانده در خط تسویه نشده (کیلوگرم)]]&lt;&gt;0,Main[[#This Row],[تعداد کل روزهای بدهکار (روز)]],0)</f>
        <v>1</v>
      </c>
      <c r="AC2571" s="6">
        <f ca="1">Main[[#This Row],[تعداد روزهای بدهکار  تسویه نشده (روز)]]*Main[[#This Row],[مانده در خط تسویه نشده (کیلوگرم)]]</f>
        <v>32593</v>
      </c>
      <c r="AD2571" s="6">
        <f ca="1">SUBTOTAL(9,INDEX(Main[بدهی سررسید شده (کیلوگرم)],1):Main[[#This Row],[بدهی سررسید شده (کیلوگرم)]])</f>
        <v>32593</v>
      </c>
      <c r="AE2571" s="6">
        <f ca="1">IF(Main[[#This Row],[مانده در خط سررسید شده (کیلوگرم)]]&lt;&gt;0,Main[[#This Row],[تعداد کل روزهای بدهکار (روز)]],0)</f>
        <v>1</v>
      </c>
      <c r="AF2571" s="6">
        <f ca="1">Main[[#This Row],[تعداد روزهای بدهکار سررسید شده (روز)]]*Main[[#This Row],[مانده در خط سررسید شده (کیلوگرم)]]</f>
        <v>32593</v>
      </c>
    </row>
    <row r="2572" spans="1:32" hidden="1" x14ac:dyDescent="0.35">
      <c r="A2572" s="5">
        <f>ROW()-ROW(INDEX(Main[ردیف],1))+1</f>
        <v>2570</v>
      </c>
      <c r="B2572" s="31">
        <f>SUBTOTAL(2,INDEX(Main[ردیف],1):Main[[#This Row],[ردیف]])</f>
        <v>231</v>
      </c>
      <c r="C2572" s="32" t="s">
        <v>816</v>
      </c>
      <c r="D2572" s="32" t="str">
        <f>_xlfn.CONCAT("14",Main[[#This Row],[تاريخ]])</f>
        <v>1400/09/28</v>
      </c>
      <c r="E2572" s="33">
        <v>44549</v>
      </c>
      <c r="F2572" s="32">
        <v>10027</v>
      </c>
      <c r="G2572" s="5" t="str">
        <f>INDEX(customer[عنوان],MATCH(Main[[#This Row],[کد ردیابی]],customer[کد],0))</f>
        <v xml:space="preserve">مصطفی نورعلی </v>
      </c>
      <c r="H2572">
        <v>2675</v>
      </c>
      <c r="I2572" s="6">
        <f ca="1">-Main[[#This Row],[بدهی تسویه شده (کیلوگرم)]]+Main[[#This Row],[بستانکار (کیلوگرم)]]</f>
        <v>2675</v>
      </c>
      <c r="J2572" s="6">
        <f>IF(Main[[#This Row],[مقدار (کیلوگرم)]]&gt;0,Main[[#This Row],[مقدار (کیلوگرم)]],0)</f>
        <v>2675</v>
      </c>
      <c r="K2572" s="6">
        <f>-IF(Main[[#This Row],[مقدار (کیلوگرم)]]&lt;0,Main[[#This Row],[مقدار (کیلوگرم)]],0)</f>
        <v>0</v>
      </c>
      <c r="L25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2" s="7">
        <f>-IF(AND(Main[[#This Row],[مقدار (کیلوگرم)]]&lt;0,Main[[#This Row],[تاريخ میلادی]]&gt;44276),Main[[#This Row],[مقدار (کیلوگرم)]],0)</f>
        <v>0</v>
      </c>
      <c r="N2572" s="6">
        <f ca="1">Main[[#This Row],[بدهکار (کیلوگرم)]]-Main[[#This Row],[بدهی تسویه نشده (کیلوگرم)]]</f>
        <v>0</v>
      </c>
      <c r="O2572" s="6">
        <f ca="1">Main[[#This Row],[تفکیک]]</f>
        <v>0</v>
      </c>
      <c r="P2572" s="6">
        <f ca="1">IF(Main[[#This Row],[تاخیر از سررسید]]&gt;0,Main[[#This Row],[بدهی تسویه نشده (کیلوگرم)]],0)</f>
        <v>0</v>
      </c>
      <c r="Q2572" s="6">
        <f ca="1">IF(Main[[#This Row],[بدهی تسویه نشده (کیلوگرم)]]&gt;0,'گزارش فردی'!$B$7-Main[[#This Row],[تاريخ میلادی]],0)</f>
        <v>0</v>
      </c>
      <c r="R2572" s="6">
        <f ca="1">IF(Main[[#This Row],[بدهی تسویه نشده (کیلوگرم)]]&gt;0,'گزارش فردی'!$B$7-Main[[#This Row],[تاريخ میلادی]]-'گزارش فردی'!$B$8,0)</f>
        <v>0</v>
      </c>
      <c r="S2572" s="6">
        <f ca="1">Main[[#This Row],[روز از ارسال سفارش]]*Main[[#This Row],[بدهی تسویه نشده (کیلوگرم)]]</f>
        <v>0</v>
      </c>
      <c r="T2572" s="6">
        <f ca="1">Main[[#This Row],[بدهی سررسید شده (کیلوگرم)]]*Main[[#This Row],[روز از ارسال سفارش]]</f>
        <v>0</v>
      </c>
      <c r="U2572" s="6">
        <f>-SUBTOTAL(9,INDEX(Main[مقدار (کیلوگرم)],1):Main[[#This Row],[مقدار (کیلوگرم)]])</f>
        <v>46873</v>
      </c>
      <c r="V25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2" s="6">
        <f>Main[[#This Row],[تعداد کل روزهای بدهکار (روز)]]*Main[[#This Row],[مانده در خط کل (کیلوگرم)]]</f>
        <v>46873</v>
      </c>
      <c r="X2572" s="6">
        <f ca="1">-SUBTOTAL(9,INDEX(Main[مقدار تسویه شده (کیلوگرم)],1):Main[[#This Row],[مقدار تسویه شده (کیلوگرم)]])</f>
        <v>14280</v>
      </c>
      <c r="Y2572" s="6">
        <f ca="1">IF(Main[[#This Row],[مانده در خط تسویه شده (کیلوگرم)]]&lt;&gt;0,Main[[#This Row],[تعداد کل روزهای بدهکار (روز)]],0)</f>
        <v>1</v>
      </c>
      <c r="Z2572" s="6">
        <f ca="1">Main[[#This Row],[تعداد روزهای بدهکار تسویه شده (روز)]]*Main[[#This Row],[مانده در خط تسویه شده (کیلوگرم)]]</f>
        <v>14280</v>
      </c>
      <c r="AA2572" s="6">
        <f ca="1">SUBTOTAL(9,INDEX(Main[بدهی تسویه نشده (کیلوگرم)],1):Main[[#This Row],[بدهی تسویه نشده (کیلوگرم)]])</f>
        <v>32593</v>
      </c>
      <c r="AB2572" s="6">
        <f ca="1">IF(Main[[#This Row],[مانده در خط تسویه نشده (کیلوگرم)]]&lt;&gt;0,Main[[#This Row],[تعداد کل روزهای بدهکار (روز)]],0)</f>
        <v>1</v>
      </c>
      <c r="AC2572" s="6">
        <f ca="1">Main[[#This Row],[تعداد روزهای بدهکار  تسویه نشده (روز)]]*Main[[#This Row],[مانده در خط تسویه نشده (کیلوگرم)]]</f>
        <v>32593</v>
      </c>
      <c r="AD2572" s="6">
        <f ca="1">SUBTOTAL(9,INDEX(Main[بدهی سررسید شده (کیلوگرم)],1):Main[[#This Row],[بدهی سررسید شده (کیلوگرم)]])</f>
        <v>32593</v>
      </c>
      <c r="AE2572" s="6">
        <f ca="1">IF(Main[[#This Row],[مانده در خط سررسید شده (کیلوگرم)]]&lt;&gt;0,Main[[#This Row],[تعداد کل روزهای بدهکار (روز)]],0)</f>
        <v>1</v>
      </c>
      <c r="AF2572" s="6">
        <f ca="1">Main[[#This Row],[تعداد روزهای بدهکار سررسید شده (روز)]]*Main[[#This Row],[مانده در خط سررسید شده (کیلوگرم)]]</f>
        <v>32593</v>
      </c>
    </row>
    <row r="2573" spans="1:32" hidden="1" x14ac:dyDescent="0.35">
      <c r="A2573" s="5">
        <f>ROW()-ROW(INDEX(Main[ردیف],1))+1</f>
        <v>2571</v>
      </c>
      <c r="B2573" s="31">
        <f>SUBTOTAL(2,INDEX(Main[ردیف],1):Main[[#This Row],[ردیف]])</f>
        <v>231</v>
      </c>
      <c r="C2573" s="32" t="s">
        <v>816</v>
      </c>
      <c r="D2573" s="32" t="str">
        <f>_xlfn.CONCAT("14",Main[[#This Row],[تاريخ]])</f>
        <v>1400/09/28</v>
      </c>
      <c r="E2573" s="33">
        <v>44549</v>
      </c>
      <c r="F2573" s="32">
        <v>30019</v>
      </c>
      <c r="G2573" s="5" t="str">
        <f>INDEX(customer[عنوان],MATCH(Main[[#This Row],[کد ردیابی]],customer[کد],0))</f>
        <v xml:space="preserve">گسترش ارتباطات بهداد </v>
      </c>
      <c r="H2573">
        <v>32</v>
      </c>
      <c r="I2573" s="6">
        <f ca="1">-Main[[#This Row],[بدهی تسویه شده (کیلوگرم)]]+Main[[#This Row],[بستانکار (کیلوگرم)]]</f>
        <v>32</v>
      </c>
      <c r="J2573" s="6">
        <f>IF(Main[[#This Row],[مقدار (کیلوگرم)]]&gt;0,Main[[#This Row],[مقدار (کیلوگرم)]],0)</f>
        <v>32</v>
      </c>
      <c r="K2573" s="6">
        <f>-IF(Main[[#This Row],[مقدار (کیلوگرم)]]&lt;0,Main[[#This Row],[مقدار (کیلوگرم)]],0)</f>
        <v>0</v>
      </c>
      <c r="L25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3" s="7">
        <f>-IF(AND(Main[[#This Row],[مقدار (کیلوگرم)]]&lt;0,Main[[#This Row],[تاريخ میلادی]]&gt;44276),Main[[#This Row],[مقدار (کیلوگرم)]],0)</f>
        <v>0</v>
      </c>
      <c r="N2573" s="6">
        <f ca="1">Main[[#This Row],[بدهکار (کیلوگرم)]]-Main[[#This Row],[بدهی تسویه نشده (کیلوگرم)]]</f>
        <v>0</v>
      </c>
      <c r="O2573" s="6">
        <f ca="1">Main[[#This Row],[تفکیک]]</f>
        <v>0</v>
      </c>
      <c r="P2573" s="6">
        <f ca="1">IF(Main[[#This Row],[تاخیر از سررسید]]&gt;0,Main[[#This Row],[بدهی تسویه نشده (کیلوگرم)]],0)</f>
        <v>0</v>
      </c>
      <c r="Q2573" s="6">
        <f ca="1">IF(Main[[#This Row],[بدهی تسویه نشده (کیلوگرم)]]&gt;0,'گزارش فردی'!$B$7-Main[[#This Row],[تاريخ میلادی]],0)</f>
        <v>0</v>
      </c>
      <c r="R2573" s="6">
        <f ca="1">IF(Main[[#This Row],[بدهی تسویه نشده (کیلوگرم)]]&gt;0,'گزارش فردی'!$B$7-Main[[#This Row],[تاريخ میلادی]]-'گزارش فردی'!$B$8,0)</f>
        <v>0</v>
      </c>
      <c r="S2573" s="6">
        <f ca="1">Main[[#This Row],[روز از ارسال سفارش]]*Main[[#This Row],[بدهی تسویه نشده (کیلوگرم)]]</f>
        <v>0</v>
      </c>
      <c r="T2573" s="6">
        <f ca="1">Main[[#This Row],[بدهی سررسید شده (کیلوگرم)]]*Main[[#This Row],[روز از ارسال سفارش]]</f>
        <v>0</v>
      </c>
      <c r="U2573" s="6">
        <f>-SUBTOTAL(9,INDEX(Main[مقدار (کیلوگرم)],1):Main[[#This Row],[مقدار (کیلوگرم)]])</f>
        <v>46873</v>
      </c>
      <c r="V25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3" s="6">
        <f>Main[[#This Row],[تعداد کل روزهای بدهکار (روز)]]*Main[[#This Row],[مانده در خط کل (کیلوگرم)]]</f>
        <v>46873</v>
      </c>
      <c r="X2573" s="6">
        <f ca="1">-SUBTOTAL(9,INDEX(Main[مقدار تسویه شده (کیلوگرم)],1):Main[[#This Row],[مقدار تسویه شده (کیلوگرم)]])</f>
        <v>14280</v>
      </c>
      <c r="Y2573" s="6">
        <f ca="1">IF(Main[[#This Row],[مانده در خط تسویه شده (کیلوگرم)]]&lt;&gt;0,Main[[#This Row],[تعداد کل روزهای بدهکار (روز)]],0)</f>
        <v>1</v>
      </c>
      <c r="Z2573" s="6">
        <f ca="1">Main[[#This Row],[تعداد روزهای بدهکار تسویه شده (روز)]]*Main[[#This Row],[مانده در خط تسویه شده (کیلوگرم)]]</f>
        <v>14280</v>
      </c>
      <c r="AA2573" s="6">
        <f ca="1">SUBTOTAL(9,INDEX(Main[بدهی تسویه نشده (کیلوگرم)],1):Main[[#This Row],[بدهی تسویه نشده (کیلوگرم)]])</f>
        <v>32593</v>
      </c>
      <c r="AB2573" s="6">
        <f ca="1">IF(Main[[#This Row],[مانده در خط تسویه نشده (کیلوگرم)]]&lt;&gt;0,Main[[#This Row],[تعداد کل روزهای بدهکار (روز)]],0)</f>
        <v>1</v>
      </c>
      <c r="AC2573" s="6">
        <f ca="1">Main[[#This Row],[تعداد روزهای بدهکار  تسویه نشده (روز)]]*Main[[#This Row],[مانده در خط تسویه نشده (کیلوگرم)]]</f>
        <v>32593</v>
      </c>
      <c r="AD2573" s="6">
        <f ca="1">SUBTOTAL(9,INDEX(Main[بدهی سررسید شده (کیلوگرم)],1):Main[[#This Row],[بدهی سررسید شده (کیلوگرم)]])</f>
        <v>32593</v>
      </c>
      <c r="AE2573" s="6">
        <f ca="1">IF(Main[[#This Row],[مانده در خط سررسید شده (کیلوگرم)]]&lt;&gt;0,Main[[#This Row],[تعداد کل روزهای بدهکار (روز)]],0)</f>
        <v>1</v>
      </c>
      <c r="AF2573" s="6">
        <f ca="1">Main[[#This Row],[تعداد روزهای بدهکار سررسید شده (روز)]]*Main[[#This Row],[مانده در خط سررسید شده (کیلوگرم)]]</f>
        <v>32593</v>
      </c>
    </row>
    <row r="2574" spans="1:32" hidden="1" x14ac:dyDescent="0.35">
      <c r="A2574" s="5">
        <f>ROW()-ROW(INDEX(Main[ردیف],1))+1</f>
        <v>2572</v>
      </c>
      <c r="B2574" s="31">
        <f>SUBTOTAL(2,INDEX(Main[ردیف],1):Main[[#This Row],[ردیف]])</f>
        <v>231</v>
      </c>
      <c r="C2574" s="32" t="s">
        <v>816</v>
      </c>
      <c r="D2574" s="32" t="str">
        <f>_xlfn.CONCAT("14",Main[[#This Row],[تاريخ]])</f>
        <v>1400/09/28</v>
      </c>
      <c r="E2574" s="33">
        <v>44549</v>
      </c>
      <c r="F2574" s="32">
        <v>30186</v>
      </c>
      <c r="G2574" s="5" t="str">
        <f>INDEX(customer[عنوان],MATCH(Main[[#This Row],[کد ردیابی]],customer[کد],0))</f>
        <v>سارا گاز</v>
      </c>
      <c r="H2574">
        <v>1732</v>
      </c>
      <c r="I2574" s="6">
        <f ca="1">-Main[[#This Row],[بدهی تسویه شده (کیلوگرم)]]+Main[[#This Row],[بستانکار (کیلوگرم)]]</f>
        <v>1732</v>
      </c>
      <c r="J2574" s="6">
        <f>IF(Main[[#This Row],[مقدار (کیلوگرم)]]&gt;0,Main[[#This Row],[مقدار (کیلوگرم)]],0)</f>
        <v>1732</v>
      </c>
      <c r="K2574" s="6">
        <f>-IF(Main[[#This Row],[مقدار (کیلوگرم)]]&lt;0,Main[[#This Row],[مقدار (کیلوگرم)]],0)</f>
        <v>0</v>
      </c>
      <c r="L25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4" s="7">
        <f>-IF(AND(Main[[#This Row],[مقدار (کیلوگرم)]]&lt;0,Main[[#This Row],[تاريخ میلادی]]&gt;44276),Main[[#This Row],[مقدار (کیلوگرم)]],0)</f>
        <v>0</v>
      </c>
      <c r="N2574" s="6">
        <f ca="1">Main[[#This Row],[بدهکار (کیلوگرم)]]-Main[[#This Row],[بدهی تسویه نشده (کیلوگرم)]]</f>
        <v>0</v>
      </c>
      <c r="O2574" s="6">
        <f ca="1">Main[[#This Row],[تفکیک]]</f>
        <v>0</v>
      </c>
      <c r="P2574" s="6">
        <f ca="1">IF(Main[[#This Row],[تاخیر از سررسید]]&gt;0,Main[[#This Row],[بدهی تسویه نشده (کیلوگرم)]],0)</f>
        <v>0</v>
      </c>
      <c r="Q2574" s="6">
        <f ca="1">IF(Main[[#This Row],[بدهی تسویه نشده (کیلوگرم)]]&gt;0,'گزارش فردی'!$B$7-Main[[#This Row],[تاريخ میلادی]],0)</f>
        <v>0</v>
      </c>
      <c r="R2574" s="6">
        <f ca="1">IF(Main[[#This Row],[بدهی تسویه نشده (کیلوگرم)]]&gt;0,'گزارش فردی'!$B$7-Main[[#This Row],[تاريخ میلادی]]-'گزارش فردی'!$B$8,0)</f>
        <v>0</v>
      </c>
      <c r="S2574" s="6">
        <f ca="1">Main[[#This Row],[روز از ارسال سفارش]]*Main[[#This Row],[بدهی تسویه نشده (کیلوگرم)]]</f>
        <v>0</v>
      </c>
      <c r="T2574" s="6">
        <f ca="1">Main[[#This Row],[بدهی سررسید شده (کیلوگرم)]]*Main[[#This Row],[روز از ارسال سفارش]]</f>
        <v>0</v>
      </c>
      <c r="U2574" s="6">
        <f>-SUBTOTAL(9,INDEX(Main[مقدار (کیلوگرم)],1):Main[[#This Row],[مقدار (کیلوگرم)]])</f>
        <v>46873</v>
      </c>
      <c r="V25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4" s="6">
        <f>Main[[#This Row],[تعداد کل روزهای بدهکار (روز)]]*Main[[#This Row],[مانده در خط کل (کیلوگرم)]]</f>
        <v>46873</v>
      </c>
      <c r="X2574" s="6">
        <f ca="1">-SUBTOTAL(9,INDEX(Main[مقدار تسویه شده (کیلوگرم)],1):Main[[#This Row],[مقدار تسویه شده (کیلوگرم)]])</f>
        <v>14280</v>
      </c>
      <c r="Y2574" s="6">
        <f ca="1">IF(Main[[#This Row],[مانده در خط تسویه شده (کیلوگرم)]]&lt;&gt;0,Main[[#This Row],[تعداد کل روزهای بدهکار (روز)]],0)</f>
        <v>1</v>
      </c>
      <c r="Z2574" s="6">
        <f ca="1">Main[[#This Row],[تعداد روزهای بدهکار تسویه شده (روز)]]*Main[[#This Row],[مانده در خط تسویه شده (کیلوگرم)]]</f>
        <v>14280</v>
      </c>
      <c r="AA2574" s="6">
        <f ca="1">SUBTOTAL(9,INDEX(Main[بدهی تسویه نشده (کیلوگرم)],1):Main[[#This Row],[بدهی تسویه نشده (کیلوگرم)]])</f>
        <v>32593</v>
      </c>
      <c r="AB2574" s="6">
        <f ca="1">IF(Main[[#This Row],[مانده در خط تسویه نشده (کیلوگرم)]]&lt;&gt;0,Main[[#This Row],[تعداد کل روزهای بدهکار (روز)]],0)</f>
        <v>1</v>
      </c>
      <c r="AC2574" s="6">
        <f ca="1">Main[[#This Row],[تعداد روزهای بدهکار  تسویه نشده (روز)]]*Main[[#This Row],[مانده در خط تسویه نشده (کیلوگرم)]]</f>
        <v>32593</v>
      </c>
      <c r="AD2574" s="6">
        <f ca="1">SUBTOTAL(9,INDEX(Main[بدهی سررسید شده (کیلوگرم)],1):Main[[#This Row],[بدهی سررسید شده (کیلوگرم)]])</f>
        <v>32593</v>
      </c>
      <c r="AE2574" s="6">
        <f ca="1">IF(Main[[#This Row],[مانده در خط سررسید شده (کیلوگرم)]]&lt;&gt;0,Main[[#This Row],[تعداد کل روزهای بدهکار (روز)]],0)</f>
        <v>1</v>
      </c>
      <c r="AF2574" s="6">
        <f ca="1">Main[[#This Row],[تعداد روزهای بدهکار سررسید شده (روز)]]*Main[[#This Row],[مانده در خط سررسید شده (کیلوگرم)]]</f>
        <v>32593</v>
      </c>
    </row>
    <row r="2575" spans="1:32" hidden="1" x14ac:dyDescent="0.35">
      <c r="A2575" s="5">
        <f>ROW()-ROW(INDEX(Main[ردیف],1))+1</f>
        <v>2573</v>
      </c>
      <c r="B2575" s="31">
        <f>SUBTOTAL(2,INDEX(Main[ردیف],1):Main[[#This Row],[ردیف]])</f>
        <v>231</v>
      </c>
      <c r="C2575" s="32" t="s">
        <v>816</v>
      </c>
      <c r="D2575" s="32" t="str">
        <f>_xlfn.CONCAT("14",Main[[#This Row],[تاريخ]])</f>
        <v>1400/09/28</v>
      </c>
      <c r="E2575" s="33">
        <v>44549</v>
      </c>
      <c r="F2575" s="32">
        <v>30081</v>
      </c>
      <c r="G2575" s="5" t="str">
        <f>INDEX(customer[عنوان],MATCH(Main[[#This Row],[کد ردیابی]],customer[کد],0))</f>
        <v xml:space="preserve">شیرآلات بهداشتی راسان </v>
      </c>
      <c r="H2575">
        <v>636</v>
      </c>
      <c r="I2575" s="6">
        <f ca="1">-Main[[#This Row],[بدهی تسویه شده (کیلوگرم)]]+Main[[#This Row],[بستانکار (کیلوگرم)]]</f>
        <v>636</v>
      </c>
      <c r="J2575" s="6">
        <f>IF(Main[[#This Row],[مقدار (کیلوگرم)]]&gt;0,Main[[#This Row],[مقدار (کیلوگرم)]],0)</f>
        <v>636</v>
      </c>
      <c r="K2575" s="6">
        <f>-IF(Main[[#This Row],[مقدار (کیلوگرم)]]&lt;0,Main[[#This Row],[مقدار (کیلوگرم)]],0)</f>
        <v>0</v>
      </c>
      <c r="L25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5" s="7">
        <f>-IF(AND(Main[[#This Row],[مقدار (کیلوگرم)]]&lt;0,Main[[#This Row],[تاريخ میلادی]]&gt;44276),Main[[#This Row],[مقدار (کیلوگرم)]],0)</f>
        <v>0</v>
      </c>
      <c r="N2575" s="6">
        <f ca="1">Main[[#This Row],[بدهکار (کیلوگرم)]]-Main[[#This Row],[بدهی تسویه نشده (کیلوگرم)]]</f>
        <v>0</v>
      </c>
      <c r="O2575" s="6">
        <f ca="1">Main[[#This Row],[تفکیک]]</f>
        <v>0</v>
      </c>
      <c r="P2575" s="6">
        <f ca="1">IF(Main[[#This Row],[تاخیر از سررسید]]&gt;0,Main[[#This Row],[بدهی تسویه نشده (کیلوگرم)]],0)</f>
        <v>0</v>
      </c>
      <c r="Q2575" s="6">
        <f ca="1">IF(Main[[#This Row],[بدهی تسویه نشده (کیلوگرم)]]&gt;0,'گزارش فردی'!$B$7-Main[[#This Row],[تاريخ میلادی]],0)</f>
        <v>0</v>
      </c>
      <c r="R2575" s="6">
        <f ca="1">IF(Main[[#This Row],[بدهی تسویه نشده (کیلوگرم)]]&gt;0,'گزارش فردی'!$B$7-Main[[#This Row],[تاريخ میلادی]]-'گزارش فردی'!$B$8,0)</f>
        <v>0</v>
      </c>
      <c r="S2575" s="6">
        <f ca="1">Main[[#This Row],[روز از ارسال سفارش]]*Main[[#This Row],[بدهی تسویه نشده (کیلوگرم)]]</f>
        <v>0</v>
      </c>
      <c r="T2575" s="6">
        <f ca="1">Main[[#This Row],[بدهی سررسید شده (کیلوگرم)]]*Main[[#This Row],[روز از ارسال سفارش]]</f>
        <v>0</v>
      </c>
      <c r="U2575" s="6">
        <f>-SUBTOTAL(9,INDEX(Main[مقدار (کیلوگرم)],1):Main[[#This Row],[مقدار (کیلوگرم)]])</f>
        <v>46873</v>
      </c>
      <c r="V25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5" s="6">
        <f>Main[[#This Row],[تعداد کل روزهای بدهکار (روز)]]*Main[[#This Row],[مانده در خط کل (کیلوگرم)]]</f>
        <v>46873</v>
      </c>
      <c r="X2575" s="6">
        <f ca="1">-SUBTOTAL(9,INDEX(Main[مقدار تسویه شده (کیلوگرم)],1):Main[[#This Row],[مقدار تسویه شده (کیلوگرم)]])</f>
        <v>14280</v>
      </c>
      <c r="Y2575" s="6">
        <f ca="1">IF(Main[[#This Row],[مانده در خط تسویه شده (کیلوگرم)]]&lt;&gt;0,Main[[#This Row],[تعداد کل روزهای بدهکار (روز)]],0)</f>
        <v>1</v>
      </c>
      <c r="Z2575" s="6">
        <f ca="1">Main[[#This Row],[تعداد روزهای بدهکار تسویه شده (روز)]]*Main[[#This Row],[مانده در خط تسویه شده (کیلوگرم)]]</f>
        <v>14280</v>
      </c>
      <c r="AA2575" s="6">
        <f ca="1">SUBTOTAL(9,INDEX(Main[بدهی تسویه نشده (کیلوگرم)],1):Main[[#This Row],[بدهی تسویه نشده (کیلوگرم)]])</f>
        <v>32593</v>
      </c>
      <c r="AB2575" s="6">
        <f ca="1">IF(Main[[#This Row],[مانده در خط تسویه نشده (کیلوگرم)]]&lt;&gt;0,Main[[#This Row],[تعداد کل روزهای بدهکار (روز)]],0)</f>
        <v>1</v>
      </c>
      <c r="AC2575" s="6">
        <f ca="1">Main[[#This Row],[تعداد روزهای بدهکار  تسویه نشده (روز)]]*Main[[#This Row],[مانده در خط تسویه نشده (کیلوگرم)]]</f>
        <v>32593</v>
      </c>
      <c r="AD2575" s="6">
        <f ca="1">SUBTOTAL(9,INDEX(Main[بدهی سررسید شده (کیلوگرم)],1):Main[[#This Row],[بدهی سررسید شده (کیلوگرم)]])</f>
        <v>32593</v>
      </c>
      <c r="AE2575" s="6">
        <f ca="1">IF(Main[[#This Row],[مانده در خط سررسید شده (کیلوگرم)]]&lt;&gt;0,Main[[#This Row],[تعداد کل روزهای بدهکار (روز)]],0)</f>
        <v>1</v>
      </c>
      <c r="AF2575" s="6">
        <f ca="1">Main[[#This Row],[تعداد روزهای بدهکار سررسید شده (روز)]]*Main[[#This Row],[مانده در خط سررسید شده (کیلوگرم)]]</f>
        <v>32593</v>
      </c>
    </row>
    <row r="2576" spans="1:32" hidden="1" x14ac:dyDescent="0.35">
      <c r="A2576" s="5">
        <f>ROW()-ROW(INDEX(Main[ردیف],1))+1</f>
        <v>2574</v>
      </c>
      <c r="B2576" s="31">
        <f>SUBTOTAL(2,INDEX(Main[ردیف],1):Main[[#This Row],[ردیف]])</f>
        <v>231</v>
      </c>
      <c r="C2576" s="32" t="s">
        <v>816</v>
      </c>
      <c r="D2576" s="32" t="str">
        <f>_xlfn.CONCAT("14",Main[[#This Row],[تاريخ]])</f>
        <v>1400/09/28</v>
      </c>
      <c r="E2576" s="33">
        <v>44549</v>
      </c>
      <c r="F2576" s="32">
        <v>30019</v>
      </c>
      <c r="G2576" s="5" t="str">
        <f>INDEX(customer[عنوان],MATCH(Main[[#This Row],[کد ردیابی]],customer[کد],0))</f>
        <v xml:space="preserve">گسترش ارتباطات بهداد </v>
      </c>
      <c r="H2576">
        <v>2115</v>
      </c>
      <c r="I2576" s="6">
        <f ca="1">-Main[[#This Row],[بدهی تسویه شده (کیلوگرم)]]+Main[[#This Row],[بستانکار (کیلوگرم)]]</f>
        <v>2115</v>
      </c>
      <c r="J2576" s="6">
        <f>IF(Main[[#This Row],[مقدار (کیلوگرم)]]&gt;0,Main[[#This Row],[مقدار (کیلوگرم)]],0)</f>
        <v>2115</v>
      </c>
      <c r="K2576" s="6">
        <f>-IF(Main[[#This Row],[مقدار (کیلوگرم)]]&lt;0,Main[[#This Row],[مقدار (کیلوگرم)]],0)</f>
        <v>0</v>
      </c>
      <c r="L25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6" s="7">
        <f>-IF(AND(Main[[#This Row],[مقدار (کیلوگرم)]]&lt;0,Main[[#This Row],[تاريخ میلادی]]&gt;44276),Main[[#This Row],[مقدار (کیلوگرم)]],0)</f>
        <v>0</v>
      </c>
      <c r="N2576" s="6">
        <f ca="1">Main[[#This Row],[بدهکار (کیلوگرم)]]-Main[[#This Row],[بدهی تسویه نشده (کیلوگرم)]]</f>
        <v>0</v>
      </c>
      <c r="O2576" s="6">
        <f ca="1">Main[[#This Row],[تفکیک]]</f>
        <v>0</v>
      </c>
      <c r="P2576" s="6">
        <f ca="1">IF(Main[[#This Row],[تاخیر از سررسید]]&gt;0,Main[[#This Row],[بدهی تسویه نشده (کیلوگرم)]],0)</f>
        <v>0</v>
      </c>
      <c r="Q2576" s="6">
        <f ca="1">IF(Main[[#This Row],[بدهی تسویه نشده (کیلوگرم)]]&gt;0,'گزارش فردی'!$B$7-Main[[#This Row],[تاريخ میلادی]],0)</f>
        <v>0</v>
      </c>
      <c r="R2576" s="6">
        <f ca="1">IF(Main[[#This Row],[بدهی تسویه نشده (کیلوگرم)]]&gt;0,'گزارش فردی'!$B$7-Main[[#This Row],[تاريخ میلادی]]-'گزارش فردی'!$B$8,0)</f>
        <v>0</v>
      </c>
      <c r="S2576" s="6">
        <f ca="1">Main[[#This Row],[روز از ارسال سفارش]]*Main[[#This Row],[بدهی تسویه نشده (کیلوگرم)]]</f>
        <v>0</v>
      </c>
      <c r="T2576" s="6">
        <f ca="1">Main[[#This Row],[بدهی سررسید شده (کیلوگرم)]]*Main[[#This Row],[روز از ارسال سفارش]]</f>
        <v>0</v>
      </c>
      <c r="U2576" s="6">
        <f>-SUBTOTAL(9,INDEX(Main[مقدار (کیلوگرم)],1):Main[[#This Row],[مقدار (کیلوگرم)]])</f>
        <v>46873</v>
      </c>
      <c r="V25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6" s="6">
        <f>Main[[#This Row],[تعداد کل روزهای بدهکار (روز)]]*Main[[#This Row],[مانده در خط کل (کیلوگرم)]]</f>
        <v>46873</v>
      </c>
      <c r="X2576" s="6">
        <f ca="1">-SUBTOTAL(9,INDEX(Main[مقدار تسویه شده (کیلوگرم)],1):Main[[#This Row],[مقدار تسویه شده (کیلوگرم)]])</f>
        <v>14280</v>
      </c>
      <c r="Y2576" s="6">
        <f ca="1">IF(Main[[#This Row],[مانده در خط تسویه شده (کیلوگرم)]]&lt;&gt;0,Main[[#This Row],[تعداد کل روزهای بدهکار (روز)]],0)</f>
        <v>1</v>
      </c>
      <c r="Z2576" s="6">
        <f ca="1">Main[[#This Row],[تعداد روزهای بدهکار تسویه شده (روز)]]*Main[[#This Row],[مانده در خط تسویه شده (کیلوگرم)]]</f>
        <v>14280</v>
      </c>
      <c r="AA2576" s="6">
        <f ca="1">SUBTOTAL(9,INDEX(Main[بدهی تسویه نشده (کیلوگرم)],1):Main[[#This Row],[بدهی تسویه نشده (کیلوگرم)]])</f>
        <v>32593</v>
      </c>
      <c r="AB2576" s="6">
        <f ca="1">IF(Main[[#This Row],[مانده در خط تسویه نشده (کیلوگرم)]]&lt;&gt;0,Main[[#This Row],[تعداد کل روزهای بدهکار (روز)]],0)</f>
        <v>1</v>
      </c>
      <c r="AC2576" s="6">
        <f ca="1">Main[[#This Row],[تعداد روزهای بدهکار  تسویه نشده (روز)]]*Main[[#This Row],[مانده در خط تسویه نشده (کیلوگرم)]]</f>
        <v>32593</v>
      </c>
      <c r="AD2576" s="6">
        <f ca="1">SUBTOTAL(9,INDEX(Main[بدهی سررسید شده (کیلوگرم)],1):Main[[#This Row],[بدهی سررسید شده (کیلوگرم)]])</f>
        <v>32593</v>
      </c>
      <c r="AE2576" s="6">
        <f ca="1">IF(Main[[#This Row],[مانده در خط سررسید شده (کیلوگرم)]]&lt;&gt;0,Main[[#This Row],[تعداد کل روزهای بدهکار (روز)]],0)</f>
        <v>1</v>
      </c>
      <c r="AF2576" s="6">
        <f ca="1">Main[[#This Row],[تعداد روزهای بدهکار سررسید شده (روز)]]*Main[[#This Row],[مانده در خط سررسید شده (کیلوگرم)]]</f>
        <v>32593</v>
      </c>
    </row>
    <row r="2577" spans="1:32" hidden="1" x14ac:dyDescent="0.35">
      <c r="A2577" s="5">
        <f>ROW()-ROW(INDEX(Main[ردیف],1))+1</f>
        <v>2575</v>
      </c>
      <c r="B2577" s="31">
        <f>SUBTOTAL(2,INDEX(Main[ردیف],1):Main[[#This Row],[ردیف]])</f>
        <v>231</v>
      </c>
      <c r="C2577" s="32" t="s">
        <v>817</v>
      </c>
      <c r="D2577" s="32" t="str">
        <f>_xlfn.CONCAT("14",Main[[#This Row],[تاريخ]])</f>
        <v>1400/09/29</v>
      </c>
      <c r="E2577" s="33">
        <v>44550</v>
      </c>
      <c r="F2577" s="32">
        <v>30186</v>
      </c>
      <c r="G2577" s="5" t="str">
        <f>INDEX(customer[عنوان],MATCH(Main[[#This Row],[کد ردیابی]],customer[کد],0))</f>
        <v>سارا گاز</v>
      </c>
      <c r="H2577">
        <v>-1096</v>
      </c>
      <c r="I2577" s="6">
        <f ca="1">-Main[[#This Row],[بدهی تسویه شده (کیلوگرم)]]+Main[[#This Row],[بستانکار (کیلوگرم)]]</f>
        <v>0</v>
      </c>
      <c r="J2577" s="6">
        <f>IF(Main[[#This Row],[مقدار (کیلوگرم)]]&gt;0,Main[[#This Row],[مقدار (کیلوگرم)]],0)</f>
        <v>0</v>
      </c>
      <c r="K2577" s="6">
        <f>-IF(Main[[#This Row],[مقدار (کیلوگرم)]]&lt;0,Main[[#This Row],[مقدار (کیلوگرم)]],0)</f>
        <v>1096</v>
      </c>
      <c r="L25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1096</v>
      </c>
      <c r="M2577" s="7">
        <f>-IF(AND(Main[[#This Row],[مقدار (کیلوگرم)]]&lt;0,Main[[#This Row],[تاريخ میلادی]]&gt;44276),Main[[#This Row],[مقدار (کیلوگرم)]],0)</f>
        <v>1096</v>
      </c>
      <c r="N2577" s="6">
        <f ca="1">Main[[#This Row],[بدهکار (کیلوگرم)]]-Main[[#This Row],[بدهی تسویه نشده (کیلوگرم)]]</f>
        <v>0</v>
      </c>
      <c r="O2577" s="6">
        <f ca="1">Main[[#This Row],[تفکیک]]</f>
        <v>1096</v>
      </c>
      <c r="P2577" s="6">
        <f ca="1">IF(Main[[#This Row],[تاخیر از سررسید]]&gt;0,Main[[#This Row],[بدهی تسویه نشده (کیلوگرم)]],0)</f>
        <v>1096</v>
      </c>
      <c r="Q2577" s="6">
        <f ca="1">IF(Main[[#This Row],[بدهی تسویه نشده (کیلوگرم)]]&gt;0,'گزارش فردی'!$B$7-Main[[#This Row],[تاريخ میلادی]],0)</f>
        <v>912.75374085648218</v>
      </c>
      <c r="R2577" s="6">
        <f ca="1">IF(Main[[#This Row],[بدهی تسویه نشده (کیلوگرم)]]&gt;0,'گزارش فردی'!$B$7-Main[[#This Row],[تاريخ میلادی]]-'گزارش فردی'!$B$8,0)</f>
        <v>897.75374085648218</v>
      </c>
      <c r="S2577" s="6">
        <f ca="1">Main[[#This Row],[روز از ارسال سفارش]]*Main[[#This Row],[بدهی تسویه نشده (کیلوگرم)]]</f>
        <v>1000378.0999787045</v>
      </c>
      <c r="T2577" s="6">
        <f ca="1">Main[[#This Row],[بدهی سررسید شده (کیلوگرم)]]*Main[[#This Row],[روز از ارسال سفارش]]</f>
        <v>1000378.0999787045</v>
      </c>
      <c r="U2577" s="6">
        <f>-SUBTOTAL(9,INDEX(Main[مقدار (کیلوگرم)],1):Main[[#This Row],[مقدار (کیلوگرم)]])</f>
        <v>46873</v>
      </c>
      <c r="V25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7" s="6">
        <f>Main[[#This Row],[تعداد کل روزهای بدهکار (روز)]]*Main[[#This Row],[مانده در خط کل (کیلوگرم)]]</f>
        <v>0</v>
      </c>
      <c r="X2577" s="6">
        <f ca="1">-SUBTOTAL(9,INDEX(Main[مقدار تسویه شده (کیلوگرم)],1):Main[[#This Row],[مقدار تسویه شده (کیلوگرم)]])</f>
        <v>14280</v>
      </c>
      <c r="Y2577" s="6">
        <f ca="1">IF(Main[[#This Row],[مانده در خط تسویه شده (کیلوگرم)]]&lt;&gt;0,Main[[#This Row],[تعداد کل روزهای بدهکار (روز)]],0)</f>
        <v>0</v>
      </c>
      <c r="Z2577" s="6">
        <f ca="1">Main[[#This Row],[تعداد روزهای بدهکار تسویه شده (روز)]]*Main[[#This Row],[مانده در خط تسویه شده (کیلوگرم)]]</f>
        <v>0</v>
      </c>
      <c r="AA2577" s="6">
        <f ca="1">SUBTOTAL(9,INDEX(Main[بدهی تسویه نشده (کیلوگرم)],1):Main[[#This Row],[بدهی تسویه نشده (کیلوگرم)]])</f>
        <v>32593</v>
      </c>
      <c r="AB2577" s="6">
        <f ca="1">IF(Main[[#This Row],[مانده در خط تسویه نشده (کیلوگرم)]]&lt;&gt;0,Main[[#This Row],[تعداد کل روزهای بدهکار (روز)]],0)</f>
        <v>0</v>
      </c>
      <c r="AC2577" s="6">
        <f ca="1">Main[[#This Row],[تعداد روزهای بدهکار  تسویه نشده (روز)]]*Main[[#This Row],[مانده در خط تسویه نشده (کیلوگرم)]]</f>
        <v>0</v>
      </c>
      <c r="AD2577" s="6">
        <f ca="1">SUBTOTAL(9,INDEX(Main[بدهی سررسید شده (کیلوگرم)],1):Main[[#This Row],[بدهی سررسید شده (کیلوگرم)]])</f>
        <v>32593</v>
      </c>
      <c r="AE2577" s="6">
        <f ca="1">IF(Main[[#This Row],[مانده در خط سررسید شده (کیلوگرم)]]&lt;&gt;0,Main[[#This Row],[تعداد کل روزهای بدهکار (روز)]],0)</f>
        <v>0</v>
      </c>
      <c r="AF2577" s="6">
        <f ca="1">Main[[#This Row],[تعداد روزهای بدهکار سررسید شده (روز)]]*Main[[#This Row],[مانده در خط سررسید شده (کیلوگرم)]]</f>
        <v>0</v>
      </c>
    </row>
    <row r="2578" spans="1:32" hidden="1" x14ac:dyDescent="0.35">
      <c r="A2578" s="5">
        <f>ROW()-ROW(INDEX(Main[ردیف],1))+1</f>
        <v>2576</v>
      </c>
      <c r="B2578" s="31">
        <f>SUBTOTAL(2,INDEX(Main[ردیف],1):Main[[#This Row],[ردیف]])</f>
        <v>231</v>
      </c>
      <c r="C2578" s="32" t="s">
        <v>817</v>
      </c>
      <c r="D2578" s="32" t="str">
        <f>_xlfn.CONCAT("14",Main[[#This Row],[تاريخ]])</f>
        <v>1400/09/29</v>
      </c>
      <c r="E2578" s="33">
        <v>44550</v>
      </c>
      <c r="F2578" s="32">
        <v>30018</v>
      </c>
      <c r="G2578" s="5" t="str">
        <f>INDEX(customer[عنوان],MATCH(Main[[#This Row],[کد ردیابی]],customer[کد],0))</f>
        <v xml:space="preserve">تولیدی شیر سازی غریب پویا </v>
      </c>
      <c r="H2578">
        <v>396</v>
      </c>
      <c r="I2578" s="6">
        <f ca="1">-Main[[#This Row],[بدهی تسویه شده (کیلوگرم)]]+Main[[#This Row],[بستانکار (کیلوگرم)]]</f>
        <v>396</v>
      </c>
      <c r="J2578" s="6">
        <f>IF(Main[[#This Row],[مقدار (کیلوگرم)]]&gt;0,Main[[#This Row],[مقدار (کیلوگرم)]],0)</f>
        <v>396</v>
      </c>
      <c r="K2578" s="6">
        <f>-IF(Main[[#This Row],[مقدار (کیلوگرم)]]&lt;0,Main[[#This Row],[مقدار (کیلوگرم)]],0)</f>
        <v>0</v>
      </c>
      <c r="L25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8" s="7">
        <f>-IF(AND(Main[[#This Row],[مقدار (کیلوگرم)]]&lt;0,Main[[#This Row],[تاريخ میلادی]]&gt;44276),Main[[#This Row],[مقدار (کیلوگرم)]],0)</f>
        <v>0</v>
      </c>
      <c r="N2578" s="6">
        <f ca="1">Main[[#This Row],[بدهکار (کیلوگرم)]]-Main[[#This Row],[بدهی تسویه نشده (کیلوگرم)]]</f>
        <v>0</v>
      </c>
      <c r="O2578" s="6">
        <f ca="1">Main[[#This Row],[تفکیک]]</f>
        <v>0</v>
      </c>
      <c r="P2578" s="6">
        <f ca="1">IF(Main[[#This Row],[تاخیر از سررسید]]&gt;0,Main[[#This Row],[بدهی تسویه نشده (کیلوگرم)]],0)</f>
        <v>0</v>
      </c>
      <c r="Q2578" s="6">
        <f ca="1">IF(Main[[#This Row],[بدهی تسویه نشده (کیلوگرم)]]&gt;0,'گزارش فردی'!$B$7-Main[[#This Row],[تاريخ میلادی]],0)</f>
        <v>0</v>
      </c>
      <c r="R2578" s="6">
        <f ca="1">IF(Main[[#This Row],[بدهی تسویه نشده (کیلوگرم)]]&gt;0,'گزارش فردی'!$B$7-Main[[#This Row],[تاريخ میلادی]]-'گزارش فردی'!$B$8,0)</f>
        <v>0</v>
      </c>
      <c r="S2578" s="6">
        <f ca="1">Main[[#This Row],[روز از ارسال سفارش]]*Main[[#This Row],[بدهی تسویه نشده (کیلوگرم)]]</f>
        <v>0</v>
      </c>
      <c r="T2578" s="6">
        <f ca="1">Main[[#This Row],[بدهی سررسید شده (کیلوگرم)]]*Main[[#This Row],[روز از ارسال سفارش]]</f>
        <v>0</v>
      </c>
      <c r="U2578" s="6">
        <f>-SUBTOTAL(9,INDEX(Main[مقدار (کیلوگرم)],1):Main[[#This Row],[مقدار (کیلوگرم)]])</f>
        <v>46873</v>
      </c>
      <c r="V25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8" s="6">
        <f>Main[[#This Row],[تعداد کل روزهای بدهکار (روز)]]*Main[[#This Row],[مانده در خط کل (کیلوگرم)]]</f>
        <v>0</v>
      </c>
      <c r="X2578" s="6">
        <f ca="1">-SUBTOTAL(9,INDEX(Main[مقدار تسویه شده (کیلوگرم)],1):Main[[#This Row],[مقدار تسویه شده (کیلوگرم)]])</f>
        <v>14280</v>
      </c>
      <c r="Y2578" s="6">
        <f ca="1">IF(Main[[#This Row],[مانده در خط تسویه شده (کیلوگرم)]]&lt;&gt;0,Main[[#This Row],[تعداد کل روزهای بدهکار (روز)]],0)</f>
        <v>0</v>
      </c>
      <c r="Z2578" s="6">
        <f ca="1">Main[[#This Row],[تعداد روزهای بدهکار تسویه شده (روز)]]*Main[[#This Row],[مانده در خط تسویه شده (کیلوگرم)]]</f>
        <v>0</v>
      </c>
      <c r="AA2578" s="6">
        <f ca="1">SUBTOTAL(9,INDEX(Main[بدهی تسویه نشده (کیلوگرم)],1):Main[[#This Row],[بدهی تسویه نشده (کیلوگرم)]])</f>
        <v>32593</v>
      </c>
      <c r="AB2578" s="6">
        <f ca="1">IF(Main[[#This Row],[مانده در خط تسویه نشده (کیلوگرم)]]&lt;&gt;0,Main[[#This Row],[تعداد کل روزهای بدهکار (روز)]],0)</f>
        <v>0</v>
      </c>
      <c r="AC2578" s="6">
        <f ca="1">Main[[#This Row],[تعداد روزهای بدهکار  تسویه نشده (روز)]]*Main[[#This Row],[مانده در خط تسویه نشده (کیلوگرم)]]</f>
        <v>0</v>
      </c>
      <c r="AD2578" s="6">
        <f ca="1">SUBTOTAL(9,INDEX(Main[بدهی سررسید شده (کیلوگرم)],1):Main[[#This Row],[بدهی سررسید شده (کیلوگرم)]])</f>
        <v>32593</v>
      </c>
      <c r="AE2578" s="6">
        <f ca="1">IF(Main[[#This Row],[مانده در خط سررسید شده (کیلوگرم)]]&lt;&gt;0,Main[[#This Row],[تعداد کل روزهای بدهکار (روز)]],0)</f>
        <v>0</v>
      </c>
      <c r="AF2578" s="6">
        <f ca="1">Main[[#This Row],[تعداد روزهای بدهکار سررسید شده (روز)]]*Main[[#This Row],[مانده در خط سررسید شده (کیلوگرم)]]</f>
        <v>0</v>
      </c>
    </row>
    <row r="2579" spans="1:32" hidden="1" x14ac:dyDescent="0.35">
      <c r="A2579" s="5">
        <f>ROW()-ROW(INDEX(Main[ردیف],1))+1</f>
        <v>2577</v>
      </c>
      <c r="B2579" s="31">
        <f>SUBTOTAL(2,INDEX(Main[ردیف],1):Main[[#This Row],[ردیف]])</f>
        <v>231</v>
      </c>
      <c r="C2579" s="32" t="s">
        <v>817</v>
      </c>
      <c r="D2579" s="32" t="str">
        <f>_xlfn.CONCAT("14",Main[[#This Row],[تاريخ]])</f>
        <v>1400/09/29</v>
      </c>
      <c r="E2579" s="33">
        <v>44550</v>
      </c>
      <c r="F2579" s="32">
        <v>30191</v>
      </c>
      <c r="G2579" s="5" t="str">
        <f>INDEX(customer[عنوان],MATCH(Main[[#This Row],[کد ردیابی]],customer[کد],0))</f>
        <v>ایران گرما</v>
      </c>
      <c r="H2579">
        <v>-758</v>
      </c>
      <c r="I2579" s="6">
        <f ca="1">-Main[[#This Row],[بدهی تسویه شده (کیلوگرم)]]+Main[[#This Row],[بستانکار (کیلوگرم)]]</f>
        <v>0</v>
      </c>
      <c r="J2579" s="6">
        <f>IF(Main[[#This Row],[مقدار (کیلوگرم)]]&gt;0,Main[[#This Row],[مقدار (کیلوگرم)]],0)</f>
        <v>0</v>
      </c>
      <c r="K2579" s="6">
        <f>-IF(Main[[#This Row],[مقدار (کیلوگرم)]]&lt;0,Main[[#This Row],[مقدار (کیلوگرم)]],0)</f>
        <v>758</v>
      </c>
      <c r="L25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758</v>
      </c>
      <c r="M2579" s="7">
        <f>-IF(AND(Main[[#This Row],[مقدار (کیلوگرم)]]&lt;0,Main[[#This Row],[تاريخ میلادی]]&gt;44276),Main[[#This Row],[مقدار (کیلوگرم)]],0)</f>
        <v>758</v>
      </c>
      <c r="N2579" s="6">
        <f ca="1">Main[[#This Row],[بدهکار (کیلوگرم)]]-Main[[#This Row],[بدهی تسویه نشده (کیلوگرم)]]</f>
        <v>0</v>
      </c>
      <c r="O2579" s="6">
        <f ca="1">Main[[#This Row],[تفکیک]]</f>
        <v>758</v>
      </c>
      <c r="P2579" s="6">
        <f ca="1">IF(Main[[#This Row],[تاخیر از سررسید]]&gt;0,Main[[#This Row],[بدهی تسویه نشده (کیلوگرم)]],0)</f>
        <v>758</v>
      </c>
      <c r="Q2579" s="6">
        <f ca="1">IF(Main[[#This Row],[بدهی تسویه نشده (کیلوگرم)]]&gt;0,'گزارش فردی'!$B$7-Main[[#This Row],[تاريخ میلادی]],0)</f>
        <v>912.75374085648218</v>
      </c>
      <c r="R2579" s="6">
        <f ca="1">IF(Main[[#This Row],[بدهی تسویه نشده (کیلوگرم)]]&gt;0,'گزارش فردی'!$B$7-Main[[#This Row],[تاريخ میلادی]]-'گزارش فردی'!$B$8,0)</f>
        <v>897.75374085648218</v>
      </c>
      <c r="S2579" s="6">
        <f ca="1">Main[[#This Row],[روز از ارسال سفارش]]*Main[[#This Row],[بدهی تسویه نشده (کیلوگرم)]]</f>
        <v>691867.33556921349</v>
      </c>
      <c r="T2579" s="6">
        <f ca="1">Main[[#This Row],[بدهی سررسید شده (کیلوگرم)]]*Main[[#This Row],[روز از ارسال سفارش]]</f>
        <v>691867.33556921349</v>
      </c>
      <c r="U2579" s="6">
        <f>-SUBTOTAL(9,INDEX(Main[مقدار (کیلوگرم)],1):Main[[#This Row],[مقدار (کیلوگرم)]])</f>
        <v>46873</v>
      </c>
      <c r="V25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9" s="6">
        <f>Main[[#This Row],[تعداد کل روزهای بدهکار (روز)]]*Main[[#This Row],[مانده در خط کل (کیلوگرم)]]</f>
        <v>0</v>
      </c>
      <c r="X2579" s="6">
        <f ca="1">-SUBTOTAL(9,INDEX(Main[مقدار تسویه شده (کیلوگرم)],1):Main[[#This Row],[مقدار تسویه شده (کیلوگرم)]])</f>
        <v>14280</v>
      </c>
      <c r="Y2579" s="6">
        <f ca="1">IF(Main[[#This Row],[مانده در خط تسویه شده (کیلوگرم)]]&lt;&gt;0,Main[[#This Row],[تعداد کل روزهای بدهکار (روز)]],0)</f>
        <v>0</v>
      </c>
      <c r="Z2579" s="6">
        <f ca="1">Main[[#This Row],[تعداد روزهای بدهکار تسویه شده (روز)]]*Main[[#This Row],[مانده در خط تسویه شده (کیلوگرم)]]</f>
        <v>0</v>
      </c>
      <c r="AA2579" s="6">
        <f ca="1">SUBTOTAL(9,INDEX(Main[بدهی تسویه نشده (کیلوگرم)],1):Main[[#This Row],[بدهی تسویه نشده (کیلوگرم)]])</f>
        <v>32593</v>
      </c>
      <c r="AB2579" s="6">
        <f ca="1">IF(Main[[#This Row],[مانده در خط تسویه نشده (کیلوگرم)]]&lt;&gt;0,Main[[#This Row],[تعداد کل روزهای بدهکار (روز)]],0)</f>
        <v>0</v>
      </c>
      <c r="AC2579" s="6">
        <f ca="1">Main[[#This Row],[تعداد روزهای بدهکار  تسویه نشده (روز)]]*Main[[#This Row],[مانده در خط تسویه نشده (کیلوگرم)]]</f>
        <v>0</v>
      </c>
      <c r="AD2579" s="6">
        <f ca="1">SUBTOTAL(9,INDEX(Main[بدهی سررسید شده (کیلوگرم)],1):Main[[#This Row],[بدهی سررسید شده (کیلوگرم)]])</f>
        <v>32593</v>
      </c>
      <c r="AE2579" s="6">
        <f ca="1">IF(Main[[#This Row],[مانده در خط سررسید شده (کیلوگرم)]]&lt;&gt;0,Main[[#This Row],[تعداد کل روزهای بدهکار (روز)]],0)</f>
        <v>0</v>
      </c>
      <c r="AF2579" s="6">
        <f ca="1">Main[[#This Row],[تعداد روزهای بدهکار سررسید شده (روز)]]*Main[[#This Row],[مانده در خط سررسید شده (کیلوگرم)]]</f>
        <v>0</v>
      </c>
    </row>
    <row r="2580" spans="1:32" hidden="1" x14ac:dyDescent="0.35">
      <c r="A2580" s="5">
        <f>ROW()-ROW(INDEX(Main[ردیف],1))+1</f>
        <v>2578</v>
      </c>
      <c r="B2580" s="31">
        <f>SUBTOTAL(2,INDEX(Main[ردیف],1):Main[[#This Row],[ردیف]])</f>
        <v>231</v>
      </c>
      <c r="C2580" s="32" t="s">
        <v>817</v>
      </c>
      <c r="D2580" s="32" t="str">
        <f>_xlfn.CONCAT("14",Main[[#This Row],[تاريخ]])</f>
        <v>1400/09/29</v>
      </c>
      <c r="E2580" s="33">
        <v>44550</v>
      </c>
      <c r="F2580" s="32">
        <v>30018</v>
      </c>
      <c r="G2580" s="5" t="str">
        <f>INDEX(customer[عنوان],MATCH(Main[[#This Row],[کد ردیابی]],customer[کد],0))</f>
        <v xml:space="preserve">تولیدی شیر سازی غریب پویا </v>
      </c>
      <c r="H2580">
        <v>420</v>
      </c>
      <c r="I2580" s="6">
        <f ca="1">-Main[[#This Row],[بدهی تسویه شده (کیلوگرم)]]+Main[[#This Row],[بستانکار (کیلوگرم)]]</f>
        <v>420</v>
      </c>
      <c r="J2580" s="6">
        <f>IF(Main[[#This Row],[مقدار (کیلوگرم)]]&gt;0,Main[[#This Row],[مقدار (کیلوگرم)]],0)</f>
        <v>420</v>
      </c>
      <c r="K2580" s="6">
        <f>-IF(Main[[#This Row],[مقدار (کیلوگرم)]]&lt;0,Main[[#This Row],[مقدار (کیلوگرم)]],0)</f>
        <v>0</v>
      </c>
      <c r="L25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0" s="7">
        <f>-IF(AND(Main[[#This Row],[مقدار (کیلوگرم)]]&lt;0,Main[[#This Row],[تاريخ میلادی]]&gt;44276),Main[[#This Row],[مقدار (کیلوگرم)]],0)</f>
        <v>0</v>
      </c>
      <c r="N2580" s="6">
        <f ca="1">Main[[#This Row],[بدهکار (کیلوگرم)]]-Main[[#This Row],[بدهی تسویه نشده (کیلوگرم)]]</f>
        <v>0</v>
      </c>
      <c r="O2580" s="6">
        <f ca="1">Main[[#This Row],[تفکیک]]</f>
        <v>0</v>
      </c>
      <c r="P2580" s="6">
        <f ca="1">IF(Main[[#This Row],[تاخیر از سررسید]]&gt;0,Main[[#This Row],[بدهی تسویه نشده (کیلوگرم)]],0)</f>
        <v>0</v>
      </c>
      <c r="Q2580" s="6">
        <f ca="1">IF(Main[[#This Row],[بدهی تسویه نشده (کیلوگرم)]]&gt;0,'گزارش فردی'!$B$7-Main[[#This Row],[تاريخ میلادی]],0)</f>
        <v>0</v>
      </c>
      <c r="R2580" s="6">
        <f ca="1">IF(Main[[#This Row],[بدهی تسویه نشده (کیلوگرم)]]&gt;0,'گزارش فردی'!$B$7-Main[[#This Row],[تاريخ میلادی]]-'گزارش فردی'!$B$8,0)</f>
        <v>0</v>
      </c>
      <c r="S2580" s="6">
        <f ca="1">Main[[#This Row],[روز از ارسال سفارش]]*Main[[#This Row],[بدهی تسویه نشده (کیلوگرم)]]</f>
        <v>0</v>
      </c>
      <c r="T2580" s="6">
        <f ca="1">Main[[#This Row],[بدهی سررسید شده (کیلوگرم)]]*Main[[#This Row],[روز از ارسال سفارش]]</f>
        <v>0</v>
      </c>
      <c r="U2580" s="6">
        <f>-SUBTOTAL(9,INDEX(Main[مقدار (کیلوگرم)],1):Main[[#This Row],[مقدار (کیلوگرم)]])</f>
        <v>46873</v>
      </c>
      <c r="V25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0" s="6">
        <f>Main[[#This Row],[تعداد کل روزهای بدهکار (روز)]]*Main[[#This Row],[مانده در خط کل (کیلوگرم)]]</f>
        <v>0</v>
      </c>
      <c r="X2580" s="6">
        <f ca="1">-SUBTOTAL(9,INDEX(Main[مقدار تسویه شده (کیلوگرم)],1):Main[[#This Row],[مقدار تسویه شده (کیلوگرم)]])</f>
        <v>14280</v>
      </c>
      <c r="Y2580" s="6">
        <f ca="1">IF(Main[[#This Row],[مانده در خط تسویه شده (کیلوگرم)]]&lt;&gt;0,Main[[#This Row],[تعداد کل روزهای بدهکار (روز)]],0)</f>
        <v>0</v>
      </c>
      <c r="Z2580" s="6">
        <f ca="1">Main[[#This Row],[تعداد روزهای بدهکار تسویه شده (روز)]]*Main[[#This Row],[مانده در خط تسویه شده (کیلوگرم)]]</f>
        <v>0</v>
      </c>
      <c r="AA2580" s="6">
        <f ca="1">SUBTOTAL(9,INDEX(Main[بدهی تسویه نشده (کیلوگرم)],1):Main[[#This Row],[بدهی تسویه نشده (کیلوگرم)]])</f>
        <v>32593</v>
      </c>
      <c r="AB2580" s="6">
        <f ca="1">IF(Main[[#This Row],[مانده در خط تسویه نشده (کیلوگرم)]]&lt;&gt;0,Main[[#This Row],[تعداد کل روزهای بدهکار (روز)]],0)</f>
        <v>0</v>
      </c>
      <c r="AC2580" s="6">
        <f ca="1">Main[[#This Row],[تعداد روزهای بدهکار  تسویه نشده (روز)]]*Main[[#This Row],[مانده در خط تسویه نشده (کیلوگرم)]]</f>
        <v>0</v>
      </c>
      <c r="AD2580" s="6">
        <f ca="1">SUBTOTAL(9,INDEX(Main[بدهی سررسید شده (کیلوگرم)],1):Main[[#This Row],[بدهی سررسید شده (کیلوگرم)]])</f>
        <v>32593</v>
      </c>
      <c r="AE2580" s="6">
        <f ca="1">IF(Main[[#This Row],[مانده در خط سررسید شده (کیلوگرم)]]&lt;&gt;0,Main[[#This Row],[تعداد کل روزهای بدهکار (روز)]],0)</f>
        <v>0</v>
      </c>
      <c r="AF2580" s="6">
        <f ca="1">Main[[#This Row],[تعداد روزهای بدهکار سررسید شده (روز)]]*Main[[#This Row],[مانده در خط سررسید شده (کیلوگرم)]]</f>
        <v>0</v>
      </c>
    </row>
    <row r="2581" spans="1:32" hidden="1" x14ac:dyDescent="0.35">
      <c r="A2581" s="5">
        <f>ROW()-ROW(INDEX(Main[ردیف],1))+1</f>
        <v>2579</v>
      </c>
      <c r="B2581" s="31">
        <f>SUBTOTAL(2,INDEX(Main[ردیف],1):Main[[#This Row],[ردیف]])</f>
        <v>231</v>
      </c>
      <c r="C2581" s="32" t="s">
        <v>817</v>
      </c>
      <c r="D2581" s="32" t="str">
        <f>_xlfn.CONCAT("14",Main[[#This Row],[تاريخ]])</f>
        <v>1400/09/29</v>
      </c>
      <c r="E2581" s="33">
        <v>44550</v>
      </c>
      <c r="F2581" s="32">
        <v>30196</v>
      </c>
      <c r="G2581" s="5" t="str">
        <f>INDEX(customer[عنوان],MATCH(Main[[#This Row],[کد ردیابی]],customer[کد],0))</f>
        <v>شرکت فردوس</v>
      </c>
      <c r="H2581">
        <v>-4546</v>
      </c>
      <c r="I2581" s="6">
        <f ca="1">-Main[[#This Row],[بدهی تسویه شده (کیلوگرم)]]+Main[[#This Row],[بستانکار (کیلوگرم)]]</f>
        <v>0</v>
      </c>
      <c r="J2581" s="6">
        <f>IF(Main[[#This Row],[مقدار (کیلوگرم)]]&gt;0,Main[[#This Row],[مقدار (کیلوگرم)]],0)</f>
        <v>0</v>
      </c>
      <c r="K2581" s="6">
        <f>-IF(Main[[#This Row],[مقدار (کیلوگرم)]]&lt;0,Main[[#This Row],[مقدار (کیلوگرم)]],0)</f>
        <v>4546</v>
      </c>
      <c r="L25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4546</v>
      </c>
      <c r="M2581" s="7">
        <f>-IF(AND(Main[[#This Row],[مقدار (کیلوگرم)]]&lt;0,Main[[#This Row],[تاريخ میلادی]]&gt;44276),Main[[#This Row],[مقدار (کیلوگرم)]],0)</f>
        <v>4546</v>
      </c>
      <c r="N2581" s="6">
        <f ca="1">Main[[#This Row],[بدهکار (کیلوگرم)]]-Main[[#This Row],[بدهی تسویه نشده (کیلوگرم)]]</f>
        <v>0</v>
      </c>
      <c r="O2581" s="6">
        <f ca="1">Main[[#This Row],[تفکیک]]</f>
        <v>4546</v>
      </c>
      <c r="P2581" s="6">
        <f ca="1">IF(Main[[#This Row],[تاخیر از سررسید]]&gt;0,Main[[#This Row],[بدهی تسویه نشده (کیلوگرم)]],0)</f>
        <v>4546</v>
      </c>
      <c r="Q2581" s="6">
        <f ca="1">IF(Main[[#This Row],[بدهی تسویه نشده (کیلوگرم)]]&gt;0,'گزارش فردی'!$B$7-Main[[#This Row],[تاريخ میلادی]],0)</f>
        <v>912.75374085648218</v>
      </c>
      <c r="R2581" s="6">
        <f ca="1">IF(Main[[#This Row],[بدهی تسویه نشده (کیلوگرم)]]&gt;0,'گزارش فردی'!$B$7-Main[[#This Row],[تاريخ میلادی]]-'گزارش فردی'!$B$8,0)</f>
        <v>897.75374085648218</v>
      </c>
      <c r="S2581" s="6">
        <f ca="1">Main[[#This Row],[روز از ارسال سفارش]]*Main[[#This Row],[بدهی تسویه نشده (کیلوگرم)]]</f>
        <v>4149378.5059335679</v>
      </c>
      <c r="T2581" s="6">
        <f ca="1">Main[[#This Row],[بدهی سررسید شده (کیلوگرم)]]*Main[[#This Row],[روز از ارسال سفارش]]</f>
        <v>4149378.5059335679</v>
      </c>
      <c r="U2581" s="6">
        <f>-SUBTOTAL(9,INDEX(Main[مقدار (کیلوگرم)],1):Main[[#This Row],[مقدار (کیلوگرم)]])</f>
        <v>46873</v>
      </c>
      <c r="V25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1" s="6">
        <f>Main[[#This Row],[تعداد کل روزهای بدهکار (روز)]]*Main[[#This Row],[مانده در خط کل (کیلوگرم)]]</f>
        <v>0</v>
      </c>
      <c r="X2581" s="6">
        <f ca="1">-SUBTOTAL(9,INDEX(Main[مقدار تسویه شده (کیلوگرم)],1):Main[[#This Row],[مقدار تسویه شده (کیلوگرم)]])</f>
        <v>14280</v>
      </c>
      <c r="Y2581" s="6">
        <f ca="1">IF(Main[[#This Row],[مانده در خط تسویه شده (کیلوگرم)]]&lt;&gt;0,Main[[#This Row],[تعداد کل روزهای بدهکار (روز)]],0)</f>
        <v>0</v>
      </c>
      <c r="Z2581" s="6">
        <f ca="1">Main[[#This Row],[تعداد روزهای بدهکار تسویه شده (روز)]]*Main[[#This Row],[مانده در خط تسویه شده (کیلوگرم)]]</f>
        <v>0</v>
      </c>
      <c r="AA2581" s="6">
        <f ca="1">SUBTOTAL(9,INDEX(Main[بدهی تسویه نشده (کیلوگرم)],1):Main[[#This Row],[بدهی تسویه نشده (کیلوگرم)]])</f>
        <v>32593</v>
      </c>
      <c r="AB2581" s="6">
        <f ca="1">IF(Main[[#This Row],[مانده در خط تسویه نشده (کیلوگرم)]]&lt;&gt;0,Main[[#This Row],[تعداد کل روزهای بدهکار (روز)]],0)</f>
        <v>0</v>
      </c>
      <c r="AC2581" s="6">
        <f ca="1">Main[[#This Row],[تعداد روزهای بدهکار  تسویه نشده (روز)]]*Main[[#This Row],[مانده در خط تسویه نشده (کیلوگرم)]]</f>
        <v>0</v>
      </c>
      <c r="AD2581" s="6">
        <f ca="1">SUBTOTAL(9,INDEX(Main[بدهی سررسید شده (کیلوگرم)],1):Main[[#This Row],[بدهی سررسید شده (کیلوگرم)]])</f>
        <v>32593</v>
      </c>
      <c r="AE2581" s="6">
        <f ca="1">IF(Main[[#This Row],[مانده در خط سررسید شده (کیلوگرم)]]&lt;&gt;0,Main[[#This Row],[تعداد کل روزهای بدهکار (روز)]],0)</f>
        <v>0</v>
      </c>
      <c r="AF2581" s="6">
        <f ca="1">Main[[#This Row],[تعداد روزهای بدهکار سررسید شده (روز)]]*Main[[#This Row],[مانده در خط سررسید شده (کیلوگرم)]]</f>
        <v>0</v>
      </c>
    </row>
    <row r="2582" spans="1:32" hidden="1" x14ac:dyDescent="0.35">
      <c r="A2582" s="5">
        <f>ROW()-ROW(INDEX(Main[ردیف],1))+1</f>
        <v>2580</v>
      </c>
      <c r="B2582" s="31">
        <f>SUBTOTAL(2,INDEX(Main[ردیف],1):Main[[#This Row],[ردیف]])</f>
        <v>231</v>
      </c>
      <c r="C2582" s="32" t="s">
        <v>817</v>
      </c>
      <c r="D2582" s="32" t="str">
        <f>_xlfn.CONCAT("14",Main[[#This Row],[تاريخ]])</f>
        <v>1400/09/29</v>
      </c>
      <c r="E2582" s="33">
        <v>44550</v>
      </c>
      <c r="F2582" s="32">
        <v>50016</v>
      </c>
      <c r="G2582" s="5" t="str">
        <f>INDEX(customer[عنوان],MATCH(Main[[#This Row],[کد ردیابی]],customer[کد],0))</f>
        <v xml:space="preserve">مهدی یوسفی  </v>
      </c>
      <c r="H2582">
        <v>2030</v>
      </c>
      <c r="I2582" s="6">
        <f ca="1">-Main[[#This Row],[بدهی تسویه شده (کیلوگرم)]]+Main[[#This Row],[بستانکار (کیلوگرم)]]</f>
        <v>2030</v>
      </c>
      <c r="J2582" s="6">
        <f>IF(Main[[#This Row],[مقدار (کیلوگرم)]]&gt;0,Main[[#This Row],[مقدار (کیلوگرم)]],0)</f>
        <v>2030</v>
      </c>
      <c r="K2582" s="6">
        <f>-IF(Main[[#This Row],[مقدار (کیلوگرم)]]&lt;0,Main[[#This Row],[مقدار (کیلوگرم)]],0)</f>
        <v>0</v>
      </c>
      <c r="L25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2" s="7">
        <f>-IF(AND(Main[[#This Row],[مقدار (کیلوگرم)]]&lt;0,Main[[#This Row],[تاريخ میلادی]]&gt;44276),Main[[#This Row],[مقدار (کیلوگرم)]],0)</f>
        <v>0</v>
      </c>
      <c r="N2582" s="6">
        <f ca="1">Main[[#This Row],[بدهکار (کیلوگرم)]]-Main[[#This Row],[بدهی تسویه نشده (کیلوگرم)]]</f>
        <v>0</v>
      </c>
      <c r="O2582" s="6">
        <f ca="1">Main[[#This Row],[تفکیک]]</f>
        <v>0</v>
      </c>
      <c r="P2582" s="6">
        <f ca="1">IF(Main[[#This Row],[تاخیر از سررسید]]&gt;0,Main[[#This Row],[بدهی تسویه نشده (کیلوگرم)]],0)</f>
        <v>0</v>
      </c>
      <c r="Q2582" s="6">
        <f ca="1">IF(Main[[#This Row],[بدهی تسویه نشده (کیلوگرم)]]&gt;0,'گزارش فردی'!$B$7-Main[[#This Row],[تاريخ میلادی]],0)</f>
        <v>0</v>
      </c>
      <c r="R2582" s="6">
        <f ca="1">IF(Main[[#This Row],[بدهی تسویه نشده (کیلوگرم)]]&gt;0,'گزارش فردی'!$B$7-Main[[#This Row],[تاريخ میلادی]]-'گزارش فردی'!$B$8,0)</f>
        <v>0</v>
      </c>
      <c r="S2582" s="6">
        <f ca="1">Main[[#This Row],[روز از ارسال سفارش]]*Main[[#This Row],[بدهی تسویه نشده (کیلوگرم)]]</f>
        <v>0</v>
      </c>
      <c r="T2582" s="6">
        <f ca="1">Main[[#This Row],[بدهی سررسید شده (کیلوگرم)]]*Main[[#This Row],[روز از ارسال سفارش]]</f>
        <v>0</v>
      </c>
      <c r="U2582" s="6">
        <f>-SUBTOTAL(9,INDEX(Main[مقدار (کیلوگرم)],1):Main[[#This Row],[مقدار (کیلوگرم)]])</f>
        <v>46873</v>
      </c>
      <c r="V25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2" s="6">
        <f>Main[[#This Row],[تعداد کل روزهای بدهکار (روز)]]*Main[[#This Row],[مانده در خط کل (کیلوگرم)]]</f>
        <v>0</v>
      </c>
      <c r="X2582" s="6">
        <f ca="1">-SUBTOTAL(9,INDEX(Main[مقدار تسویه شده (کیلوگرم)],1):Main[[#This Row],[مقدار تسویه شده (کیلوگرم)]])</f>
        <v>14280</v>
      </c>
      <c r="Y2582" s="6">
        <f ca="1">IF(Main[[#This Row],[مانده در خط تسویه شده (کیلوگرم)]]&lt;&gt;0,Main[[#This Row],[تعداد کل روزهای بدهکار (روز)]],0)</f>
        <v>0</v>
      </c>
      <c r="Z2582" s="6">
        <f ca="1">Main[[#This Row],[تعداد روزهای بدهکار تسویه شده (روز)]]*Main[[#This Row],[مانده در خط تسویه شده (کیلوگرم)]]</f>
        <v>0</v>
      </c>
      <c r="AA2582" s="6">
        <f ca="1">SUBTOTAL(9,INDEX(Main[بدهی تسویه نشده (کیلوگرم)],1):Main[[#This Row],[بدهی تسویه نشده (کیلوگرم)]])</f>
        <v>32593</v>
      </c>
      <c r="AB2582" s="6">
        <f ca="1">IF(Main[[#This Row],[مانده در خط تسویه نشده (کیلوگرم)]]&lt;&gt;0,Main[[#This Row],[تعداد کل روزهای بدهکار (روز)]],0)</f>
        <v>0</v>
      </c>
      <c r="AC2582" s="6">
        <f ca="1">Main[[#This Row],[تعداد روزهای بدهکار  تسویه نشده (روز)]]*Main[[#This Row],[مانده در خط تسویه نشده (کیلوگرم)]]</f>
        <v>0</v>
      </c>
      <c r="AD2582" s="6">
        <f ca="1">SUBTOTAL(9,INDEX(Main[بدهی سررسید شده (کیلوگرم)],1):Main[[#This Row],[بدهی سررسید شده (کیلوگرم)]])</f>
        <v>32593</v>
      </c>
      <c r="AE2582" s="6">
        <f ca="1">IF(Main[[#This Row],[مانده در خط سررسید شده (کیلوگرم)]]&lt;&gt;0,Main[[#This Row],[تعداد کل روزهای بدهکار (روز)]],0)</f>
        <v>0</v>
      </c>
      <c r="AF2582" s="6">
        <f ca="1">Main[[#This Row],[تعداد روزهای بدهکار سررسید شده (روز)]]*Main[[#This Row],[مانده در خط سررسید شده (کیلوگرم)]]</f>
        <v>0</v>
      </c>
    </row>
    <row r="2583" spans="1:32" x14ac:dyDescent="0.35">
      <c r="A2583" s="5">
        <f>ROW()-ROW(INDEX(Main[ردیف],1))+1</f>
        <v>2581</v>
      </c>
      <c r="B2583" s="31">
        <f>SUBTOTAL(2,INDEX(Main[ردیف],1):Main[[#This Row],[ردیف]])</f>
        <v>232</v>
      </c>
      <c r="C2583" s="32" t="s">
        <v>817</v>
      </c>
      <c r="D2583" s="32" t="str">
        <f>_xlfn.CONCAT("14",Main[[#This Row],[تاريخ]])</f>
        <v>1400/09/29</v>
      </c>
      <c r="E2583" s="33">
        <v>44550</v>
      </c>
      <c r="F2583" s="32">
        <v>10003</v>
      </c>
      <c r="G2583" s="5" t="str">
        <f>INDEX(customer[عنوان],MATCH(Main[[#This Row],[کد ردیابی]],customer[کد],0))</f>
        <v>اصغر نورعلی</v>
      </c>
      <c r="H2583">
        <v>-1396</v>
      </c>
      <c r="I2583" s="6">
        <f ca="1">-Main[[#This Row],[بدهی تسویه شده (کیلوگرم)]]+Main[[#This Row],[بستانکار (کیلوگرم)]]</f>
        <v>0</v>
      </c>
      <c r="J2583" s="6">
        <f>IF(Main[[#This Row],[مقدار (کیلوگرم)]]&gt;0,Main[[#This Row],[مقدار (کیلوگرم)]],0)</f>
        <v>0</v>
      </c>
      <c r="K2583" s="6">
        <f>-IF(Main[[#This Row],[مقدار (کیلوگرم)]]&lt;0,Main[[#This Row],[مقدار (کیلوگرم)]],0)</f>
        <v>1396</v>
      </c>
      <c r="L25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1396</v>
      </c>
      <c r="M2583" s="7">
        <f>-IF(AND(Main[[#This Row],[مقدار (کیلوگرم)]]&lt;0,Main[[#This Row],[تاريخ میلادی]]&gt;44276),Main[[#This Row],[مقدار (کیلوگرم)]],0)</f>
        <v>1396</v>
      </c>
      <c r="N2583" s="6">
        <f ca="1">Main[[#This Row],[بدهکار (کیلوگرم)]]-Main[[#This Row],[بدهی تسویه نشده (کیلوگرم)]]</f>
        <v>0</v>
      </c>
      <c r="O2583" s="6">
        <f ca="1">Main[[#This Row],[تفکیک]]</f>
        <v>1396</v>
      </c>
      <c r="P2583" s="6">
        <f ca="1">IF(Main[[#This Row],[تاخیر از سررسید]]&gt;0,Main[[#This Row],[بدهی تسویه نشده (کیلوگرم)]],0)</f>
        <v>1396</v>
      </c>
      <c r="Q2583" s="6">
        <f ca="1">IF(Main[[#This Row],[بدهی تسویه نشده (کیلوگرم)]]&gt;0,'گزارش فردی'!$B$7-Main[[#This Row],[تاريخ میلادی]],0)</f>
        <v>912.75374085648218</v>
      </c>
      <c r="R2583" s="6">
        <f ca="1">IF(Main[[#This Row],[بدهی تسویه نشده (کیلوگرم)]]&gt;0,'گزارش فردی'!$B$7-Main[[#This Row],[تاريخ میلادی]]-'گزارش فردی'!$B$8,0)</f>
        <v>897.75374085648218</v>
      </c>
      <c r="S2583" s="6">
        <f ca="1">Main[[#This Row],[روز از ارسال سفارش]]*Main[[#This Row],[بدهی تسویه نشده (کیلوگرم)]]</f>
        <v>1274204.2222356491</v>
      </c>
      <c r="T2583" s="6">
        <f ca="1">Main[[#This Row],[بدهی سررسید شده (کیلوگرم)]]*Main[[#This Row],[روز از ارسال سفارش]]</f>
        <v>1274204.2222356491</v>
      </c>
      <c r="U2583" s="6">
        <f>-SUBTOTAL(9,INDEX(Main[مقدار (کیلوگرم)],1):Main[[#This Row],[مقدار (کیلوگرم)]])</f>
        <v>48269</v>
      </c>
      <c r="V25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3" s="6">
        <f>Main[[#This Row],[تعداد کل روزهای بدهکار (روز)]]*Main[[#This Row],[مانده در خط کل (کیلوگرم)]]</f>
        <v>0</v>
      </c>
      <c r="X2583" s="6">
        <f ca="1">-SUBTOTAL(9,INDEX(Main[مقدار تسویه شده (کیلوگرم)],1):Main[[#This Row],[مقدار تسویه شده (کیلوگرم)]])</f>
        <v>14280</v>
      </c>
      <c r="Y2583" s="6">
        <f ca="1">IF(Main[[#This Row],[مانده در خط تسویه شده (کیلوگرم)]]&lt;&gt;0,Main[[#This Row],[تعداد کل روزهای بدهکار (روز)]],0)</f>
        <v>0</v>
      </c>
      <c r="Z2583" s="6">
        <f ca="1">Main[[#This Row],[تعداد روزهای بدهکار تسویه شده (روز)]]*Main[[#This Row],[مانده در خط تسویه شده (کیلوگرم)]]</f>
        <v>0</v>
      </c>
      <c r="AA2583" s="6">
        <f ca="1">SUBTOTAL(9,INDEX(Main[بدهی تسویه نشده (کیلوگرم)],1):Main[[#This Row],[بدهی تسویه نشده (کیلوگرم)]])</f>
        <v>33989</v>
      </c>
      <c r="AB2583" s="6">
        <f ca="1">IF(Main[[#This Row],[مانده در خط تسویه نشده (کیلوگرم)]]&lt;&gt;0,Main[[#This Row],[تعداد کل روزهای بدهکار (روز)]],0)</f>
        <v>0</v>
      </c>
      <c r="AC2583" s="6">
        <f ca="1">Main[[#This Row],[تعداد روزهای بدهکار  تسویه نشده (روز)]]*Main[[#This Row],[مانده در خط تسویه نشده (کیلوگرم)]]</f>
        <v>0</v>
      </c>
      <c r="AD2583" s="6">
        <f ca="1">SUBTOTAL(9,INDEX(Main[بدهی سررسید شده (کیلوگرم)],1):Main[[#This Row],[بدهی سررسید شده (کیلوگرم)]])</f>
        <v>33989</v>
      </c>
      <c r="AE2583" s="6">
        <f ca="1">IF(Main[[#This Row],[مانده در خط سررسید شده (کیلوگرم)]]&lt;&gt;0,Main[[#This Row],[تعداد کل روزهای بدهکار (روز)]],0)</f>
        <v>0</v>
      </c>
      <c r="AF2583" s="6">
        <f ca="1">Main[[#This Row],[تعداد روزهای بدهکار سررسید شده (روز)]]*Main[[#This Row],[مانده در خط سررسید شده (کیلوگرم)]]</f>
        <v>0</v>
      </c>
    </row>
    <row r="2584" spans="1:32" hidden="1" x14ac:dyDescent="0.35">
      <c r="A2584" s="5">
        <f>ROW()-ROW(INDEX(Main[ردیف],1))+1</f>
        <v>2582</v>
      </c>
      <c r="B2584" s="31">
        <f>SUBTOTAL(2,INDEX(Main[ردیف],1):Main[[#This Row],[ردیف]])</f>
        <v>232</v>
      </c>
      <c r="C2584" s="32" t="s">
        <v>817</v>
      </c>
      <c r="D2584" s="32" t="str">
        <f>_xlfn.CONCAT("14",Main[[#This Row],[تاريخ]])</f>
        <v>1400/09/29</v>
      </c>
      <c r="E2584" s="33">
        <v>44550</v>
      </c>
      <c r="F2584" s="32">
        <v>50011</v>
      </c>
      <c r="G2584" s="5" t="str">
        <f>INDEX(customer[عنوان],MATCH(Main[[#This Row],[کد ردیابی]],customer[کد],0))</f>
        <v xml:space="preserve">جعفر هوشمند </v>
      </c>
      <c r="H2584">
        <v>1509</v>
      </c>
      <c r="I2584" s="6">
        <f ca="1">-Main[[#This Row],[بدهی تسویه شده (کیلوگرم)]]+Main[[#This Row],[بستانکار (کیلوگرم)]]</f>
        <v>1509</v>
      </c>
      <c r="J2584" s="6">
        <f>IF(Main[[#This Row],[مقدار (کیلوگرم)]]&gt;0,Main[[#This Row],[مقدار (کیلوگرم)]],0)</f>
        <v>1509</v>
      </c>
      <c r="K2584" s="6">
        <f>-IF(Main[[#This Row],[مقدار (کیلوگرم)]]&lt;0,Main[[#This Row],[مقدار (کیلوگرم)]],0)</f>
        <v>0</v>
      </c>
      <c r="L25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4" s="7">
        <f>-IF(AND(Main[[#This Row],[مقدار (کیلوگرم)]]&lt;0,Main[[#This Row],[تاريخ میلادی]]&gt;44276),Main[[#This Row],[مقدار (کیلوگرم)]],0)</f>
        <v>0</v>
      </c>
      <c r="N2584" s="6">
        <f ca="1">Main[[#This Row],[بدهکار (کیلوگرم)]]-Main[[#This Row],[بدهی تسویه نشده (کیلوگرم)]]</f>
        <v>0</v>
      </c>
      <c r="O2584" s="6">
        <f ca="1">Main[[#This Row],[تفکیک]]</f>
        <v>0</v>
      </c>
      <c r="P2584" s="6">
        <f ca="1">IF(Main[[#This Row],[تاخیر از سررسید]]&gt;0,Main[[#This Row],[بدهی تسویه نشده (کیلوگرم)]],0)</f>
        <v>0</v>
      </c>
      <c r="Q2584" s="6">
        <f ca="1">IF(Main[[#This Row],[بدهی تسویه نشده (کیلوگرم)]]&gt;0,'گزارش فردی'!$B$7-Main[[#This Row],[تاريخ میلادی]],0)</f>
        <v>0</v>
      </c>
      <c r="R2584" s="6">
        <f ca="1">IF(Main[[#This Row],[بدهی تسویه نشده (کیلوگرم)]]&gt;0,'گزارش فردی'!$B$7-Main[[#This Row],[تاريخ میلادی]]-'گزارش فردی'!$B$8,0)</f>
        <v>0</v>
      </c>
      <c r="S2584" s="6">
        <f ca="1">Main[[#This Row],[روز از ارسال سفارش]]*Main[[#This Row],[بدهی تسویه نشده (کیلوگرم)]]</f>
        <v>0</v>
      </c>
      <c r="T2584" s="6">
        <f ca="1">Main[[#This Row],[بدهی سررسید شده (کیلوگرم)]]*Main[[#This Row],[روز از ارسال سفارش]]</f>
        <v>0</v>
      </c>
      <c r="U2584" s="6">
        <f>-SUBTOTAL(9,INDEX(Main[مقدار (کیلوگرم)],1):Main[[#This Row],[مقدار (کیلوگرم)]])</f>
        <v>48269</v>
      </c>
      <c r="V25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4" s="6">
        <f>Main[[#This Row],[تعداد کل روزهای بدهکار (روز)]]*Main[[#This Row],[مانده در خط کل (کیلوگرم)]]</f>
        <v>0</v>
      </c>
      <c r="X2584" s="6">
        <f ca="1">-SUBTOTAL(9,INDEX(Main[مقدار تسویه شده (کیلوگرم)],1):Main[[#This Row],[مقدار تسویه شده (کیلوگرم)]])</f>
        <v>14280</v>
      </c>
      <c r="Y2584" s="6">
        <f ca="1">IF(Main[[#This Row],[مانده در خط تسویه شده (کیلوگرم)]]&lt;&gt;0,Main[[#This Row],[تعداد کل روزهای بدهکار (روز)]],0)</f>
        <v>0</v>
      </c>
      <c r="Z2584" s="6">
        <f ca="1">Main[[#This Row],[تعداد روزهای بدهکار تسویه شده (روز)]]*Main[[#This Row],[مانده در خط تسویه شده (کیلوگرم)]]</f>
        <v>0</v>
      </c>
      <c r="AA2584" s="6">
        <f ca="1">SUBTOTAL(9,INDEX(Main[بدهی تسویه نشده (کیلوگرم)],1):Main[[#This Row],[بدهی تسویه نشده (کیلوگرم)]])</f>
        <v>33989</v>
      </c>
      <c r="AB2584" s="6">
        <f ca="1">IF(Main[[#This Row],[مانده در خط تسویه نشده (کیلوگرم)]]&lt;&gt;0,Main[[#This Row],[تعداد کل روزهای بدهکار (روز)]],0)</f>
        <v>0</v>
      </c>
      <c r="AC2584" s="6">
        <f ca="1">Main[[#This Row],[تعداد روزهای بدهکار  تسویه نشده (روز)]]*Main[[#This Row],[مانده در خط تسویه نشده (کیلوگرم)]]</f>
        <v>0</v>
      </c>
      <c r="AD2584" s="6">
        <f ca="1">SUBTOTAL(9,INDEX(Main[بدهی سررسید شده (کیلوگرم)],1):Main[[#This Row],[بدهی سررسید شده (کیلوگرم)]])</f>
        <v>33989</v>
      </c>
      <c r="AE2584" s="6">
        <f ca="1">IF(Main[[#This Row],[مانده در خط سررسید شده (کیلوگرم)]]&lt;&gt;0,Main[[#This Row],[تعداد کل روزهای بدهکار (روز)]],0)</f>
        <v>0</v>
      </c>
      <c r="AF2584" s="6">
        <f ca="1">Main[[#This Row],[تعداد روزهای بدهکار سررسید شده (روز)]]*Main[[#This Row],[مانده در خط سررسید شده (کیلوگرم)]]</f>
        <v>0</v>
      </c>
    </row>
    <row r="2585" spans="1:32" hidden="1" x14ac:dyDescent="0.35">
      <c r="A2585" s="5">
        <f>ROW()-ROW(INDEX(Main[ردیف],1))+1</f>
        <v>2583</v>
      </c>
      <c r="B2585" s="31">
        <f>SUBTOTAL(2,INDEX(Main[ردیف],1):Main[[#This Row],[ردیف]])</f>
        <v>232</v>
      </c>
      <c r="C2585" s="32" t="s">
        <v>817</v>
      </c>
      <c r="D2585" s="32" t="str">
        <f>_xlfn.CONCAT("14",Main[[#This Row],[تاريخ]])</f>
        <v>1400/09/29</v>
      </c>
      <c r="E2585" s="33">
        <v>44550</v>
      </c>
      <c r="F2585" s="32">
        <v>10026</v>
      </c>
      <c r="G2585" s="5" t="str">
        <f>INDEX(customer[عنوان],MATCH(Main[[#This Row],[کد ردیابی]],customer[کد],0))</f>
        <v xml:space="preserve">محسن فیاض بخش </v>
      </c>
      <c r="H2585">
        <v>-3985</v>
      </c>
      <c r="I2585" s="6">
        <f ca="1">-Main[[#This Row],[بدهی تسویه شده (کیلوگرم)]]+Main[[#This Row],[بستانکار (کیلوگرم)]]</f>
        <v>0</v>
      </c>
      <c r="J2585" s="6">
        <f>IF(Main[[#This Row],[مقدار (کیلوگرم)]]&gt;0,Main[[#This Row],[مقدار (کیلوگرم)]],0)</f>
        <v>0</v>
      </c>
      <c r="K2585" s="6">
        <f>-IF(Main[[#This Row],[مقدار (کیلوگرم)]]&lt;0,Main[[#This Row],[مقدار (کیلوگرم)]],0)</f>
        <v>3985</v>
      </c>
      <c r="L25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3985</v>
      </c>
      <c r="M2585" s="7">
        <f>-IF(AND(Main[[#This Row],[مقدار (کیلوگرم)]]&lt;0,Main[[#This Row],[تاريخ میلادی]]&gt;44276),Main[[#This Row],[مقدار (کیلوگرم)]],0)</f>
        <v>3985</v>
      </c>
      <c r="N2585" s="6">
        <f ca="1">Main[[#This Row],[بدهکار (کیلوگرم)]]-Main[[#This Row],[بدهی تسویه نشده (کیلوگرم)]]</f>
        <v>0</v>
      </c>
      <c r="O2585" s="6">
        <f ca="1">Main[[#This Row],[تفکیک]]</f>
        <v>3985</v>
      </c>
      <c r="P2585" s="6">
        <f ca="1">IF(Main[[#This Row],[تاخیر از سررسید]]&gt;0,Main[[#This Row],[بدهی تسویه نشده (کیلوگرم)]],0)</f>
        <v>3985</v>
      </c>
      <c r="Q2585" s="6">
        <f ca="1">IF(Main[[#This Row],[بدهی تسویه نشده (کیلوگرم)]]&gt;0,'گزارش فردی'!$B$7-Main[[#This Row],[تاريخ میلادی]],0)</f>
        <v>912.75374085648218</v>
      </c>
      <c r="R2585" s="6">
        <f ca="1">IF(Main[[#This Row],[بدهی تسویه نشده (کیلوگرم)]]&gt;0,'گزارش فردی'!$B$7-Main[[#This Row],[تاريخ میلادی]]-'گزارش فردی'!$B$8,0)</f>
        <v>897.75374085648218</v>
      </c>
      <c r="S2585" s="6">
        <f ca="1">Main[[#This Row],[روز از ارسال سفارش]]*Main[[#This Row],[بدهی تسویه نشده (کیلوگرم)]]</f>
        <v>3637323.6573130814</v>
      </c>
      <c r="T2585" s="6">
        <f ca="1">Main[[#This Row],[بدهی سررسید شده (کیلوگرم)]]*Main[[#This Row],[روز از ارسال سفارش]]</f>
        <v>3637323.6573130814</v>
      </c>
      <c r="U2585" s="6">
        <f>-SUBTOTAL(9,INDEX(Main[مقدار (کیلوگرم)],1):Main[[#This Row],[مقدار (کیلوگرم)]])</f>
        <v>48269</v>
      </c>
      <c r="V25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5" s="6">
        <f>Main[[#This Row],[تعداد کل روزهای بدهکار (روز)]]*Main[[#This Row],[مانده در خط کل (کیلوگرم)]]</f>
        <v>0</v>
      </c>
      <c r="X2585" s="6">
        <f ca="1">-SUBTOTAL(9,INDEX(Main[مقدار تسویه شده (کیلوگرم)],1):Main[[#This Row],[مقدار تسویه شده (کیلوگرم)]])</f>
        <v>14280</v>
      </c>
      <c r="Y2585" s="6">
        <f ca="1">IF(Main[[#This Row],[مانده در خط تسویه شده (کیلوگرم)]]&lt;&gt;0,Main[[#This Row],[تعداد کل روزهای بدهکار (روز)]],0)</f>
        <v>0</v>
      </c>
      <c r="Z2585" s="6">
        <f ca="1">Main[[#This Row],[تعداد روزهای بدهکار تسویه شده (روز)]]*Main[[#This Row],[مانده در خط تسویه شده (کیلوگرم)]]</f>
        <v>0</v>
      </c>
      <c r="AA2585" s="6">
        <f ca="1">SUBTOTAL(9,INDEX(Main[بدهی تسویه نشده (کیلوگرم)],1):Main[[#This Row],[بدهی تسویه نشده (کیلوگرم)]])</f>
        <v>33989</v>
      </c>
      <c r="AB2585" s="6">
        <f ca="1">IF(Main[[#This Row],[مانده در خط تسویه نشده (کیلوگرم)]]&lt;&gt;0,Main[[#This Row],[تعداد کل روزهای بدهکار (روز)]],0)</f>
        <v>0</v>
      </c>
      <c r="AC2585" s="6">
        <f ca="1">Main[[#This Row],[تعداد روزهای بدهکار  تسویه نشده (روز)]]*Main[[#This Row],[مانده در خط تسویه نشده (کیلوگرم)]]</f>
        <v>0</v>
      </c>
      <c r="AD2585" s="6">
        <f ca="1">SUBTOTAL(9,INDEX(Main[بدهی سررسید شده (کیلوگرم)],1):Main[[#This Row],[بدهی سررسید شده (کیلوگرم)]])</f>
        <v>33989</v>
      </c>
      <c r="AE2585" s="6">
        <f ca="1">IF(Main[[#This Row],[مانده در خط سررسید شده (کیلوگرم)]]&lt;&gt;0,Main[[#This Row],[تعداد کل روزهای بدهکار (روز)]],0)</f>
        <v>0</v>
      </c>
      <c r="AF2585" s="6">
        <f ca="1">Main[[#This Row],[تعداد روزهای بدهکار سررسید شده (روز)]]*Main[[#This Row],[مانده در خط سررسید شده (کیلوگرم)]]</f>
        <v>0</v>
      </c>
    </row>
    <row r="2586" spans="1:32" hidden="1" x14ac:dyDescent="0.35">
      <c r="A2586" s="5">
        <f>ROW()-ROW(INDEX(Main[ردیف],1))+1</f>
        <v>2584</v>
      </c>
      <c r="B2586" s="31">
        <f>SUBTOTAL(2,INDEX(Main[ردیف],1):Main[[#This Row],[ردیف]])</f>
        <v>232</v>
      </c>
      <c r="C2586" s="32" t="s">
        <v>817</v>
      </c>
      <c r="D2586" s="32" t="str">
        <f>_xlfn.CONCAT("14",Main[[#This Row],[تاريخ]])</f>
        <v>1400/09/29</v>
      </c>
      <c r="E2586" s="33">
        <v>44550</v>
      </c>
      <c r="F2586" s="32">
        <v>30009</v>
      </c>
      <c r="G2586" s="5" t="str">
        <f>INDEX(customer[عنوان],MATCH(Main[[#This Row],[کد ردیابی]],customer[کد],0))</f>
        <v>شرکت ایمن تک پیشرو</v>
      </c>
      <c r="H2586">
        <v>1499</v>
      </c>
      <c r="I2586" s="6">
        <f ca="1">-Main[[#This Row],[بدهی تسویه شده (کیلوگرم)]]+Main[[#This Row],[بستانکار (کیلوگرم)]]</f>
        <v>1499</v>
      </c>
      <c r="J2586" s="6">
        <f>IF(Main[[#This Row],[مقدار (کیلوگرم)]]&gt;0,Main[[#This Row],[مقدار (کیلوگرم)]],0)</f>
        <v>1499</v>
      </c>
      <c r="K2586" s="6">
        <f>-IF(Main[[#This Row],[مقدار (کیلوگرم)]]&lt;0,Main[[#This Row],[مقدار (کیلوگرم)]],0)</f>
        <v>0</v>
      </c>
      <c r="L25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6" s="7">
        <f>-IF(AND(Main[[#This Row],[مقدار (کیلوگرم)]]&lt;0,Main[[#This Row],[تاريخ میلادی]]&gt;44276),Main[[#This Row],[مقدار (کیلوگرم)]],0)</f>
        <v>0</v>
      </c>
      <c r="N2586" s="6">
        <f ca="1">Main[[#This Row],[بدهکار (کیلوگرم)]]-Main[[#This Row],[بدهی تسویه نشده (کیلوگرم)]]</f>
        <v>0</v>
      </c>
      <c r="O2586" s="6">
        <f ca="1">Main[[#This Row],[تفکیک]]</f>
        <v>0</v>
      </c>
      <c r="P2586" s="6">
        <f ca="1">IF(Main[[#This Row],[تاخیر از سررسید]]&gt;0,Main[[#This Row],[بدهی تسویه نشده (کیلوگرم)]],0)</f>
        <v>0</v>
      </c>
      <c r="Q2586" s="6">
        <f ca="1">IF(Main[[#This Row],[بدهی تسویه نشده (کیلوگرم)]]&gt;0,'گزارش فردی'!$B$7-Main[[#This Row],[تاريخ میلادی]],0)</f>
        <v>0</v>
      </c>
      <c r="R2586" s="6">
        <f ca="1">IF(Main[[#This Row],[بدهی تسویه نشده (کیلوگرم)]]&gt;0,'گزارش فردی'!$B$7-Main[[#This Row],[تاريخ میلادی]]-'گزارش فردی'!$B$8,0)</f>
        <v>0</v>
      </c>
      <c r="S2586" s="6">
        <f ca="1">Main[[#This Row],[روز از ارسال سفارش]]*Main[[#This Row],[بدهی تسویه نشده (کیلوگرم)]]</f>
        <v>0</v>
      </c>
      <c r="T2586" s="6">
        <f ca="1">Main[[#This Row],[بدهی سررسید شده (کیلوگرم)]]*Main[[#This Row],[روز از ارسال سفارش]]</f>
        <v>0</v>
      </c>
      <c r="U2586" s="6">
        <f>-SUBTOTAL(9,INDEX(Main[مقدار (کیلوگرم)],1):Main[[#This Row],[مقدار (کیلوگرم)]])</f>
        <v>48269</v>
      </c>
      <c r="V25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6" s="6">
        <f>Main[[#This Row],[تعداد کل روزهای بدهکار (روز)]]*Main[[#This Row],[مانده در خط کل (کیلوگرم)]]</f>
        <v>0</v>
      </c>
      <c r="X2586" s="6">
        <f ca="1">-SUBTOTAL(9,INDEX(Main[مقدار تسویه شده (کیلوگرم)],1):Main[[#This Row],[مقدار تسویه شده (کیلوگرم)]])</f>
        <v>14280</v>
      </c>
      <c r="Y2586" s="6">
        <f ca="1">IF(Main[[#This Row],[مانده در خط تسویه شده (کیلوگرم)]]&lt;&gt;0,Main[[#This Row],[تعداد کل روزهای بدهکار (روز)]],0)</f>
        <v>0</v>
      </c>
      <c r="Z2586" s="6">
        <f ca="1">Main[[#This Row],[تعداد روزهای بدهکار تسویه شده (روز)]]*Main[[#This Row],[مانده در خط تسویه شده (کیلوگرم)]]</f>
        <v>0</v>
      </c>
      <c r="AA2586" s="6">
        <f ca="1">SUBTOTAL(9,INDEX(Main[بدهی تسویه نشده (کیلوگرم)],1):Main[[#This Row],[بدهی تسویه نشده (کیلوگرم)]])</f>
        <v>33989</v>
      </c>
      <c r="AB2586" s="6">
        <f ca="1">IF(Main[[#This Row],[مانده در خط تسویه نشده (کیلوگرم)]]&lt;&gt;0,Main[[#This Row],[تعداد کل روزهای بدهکار (روز)]],0)</f>
        <v>0</v>
      </c>
      <c r="AC2586" s="6">
        <f ca="1">Main[[#This Row],[تعداد روزهای بدهکار  تسویه نشده (روز)]]*Main[[#This Row],[مانده در خط تسویه نشده (کیلوگرم)]]</f>
        <v>0</v>
      </c>
      <c r="AD2586" s="6">
        <f ca="1">SUBTOTAL(9,INDEX(Main[بدهی سررسید شده (کیلوگرم)],1):Main[[#This Row],[بدهی سررسید شده (کیلوگرم)]])</f>
        <v>33989</v>
      </c>
      <c r="AE2586" s="6">
        <f ca="1">IF(Main[[#This Row],[مانده در خط سررسید شده (کیلوگرم)]]&lt;&gt;0,Main[[#This Row],[تعداد کل روزهای بدهکار (روز)]],0)</f>
        <v>0</v>
      </c>
      <c r="AF2586" s="6">
        <f ca="1">Main[[#This Row],[تعداد روزهای بدهکار سررسید شده (روز)]]*Main[[#This Row],[مانده در خط سررسید شده (کیلوگرم)]]</f>
        <v>0</v>
      </c>
    </row>
    <row r="2587" spans="1:32" hidden="1" x14ac:dyDescent="0.35">
      <c r="A2587" s="5">
        <f>ROW()-ROW(INDEX(Main[ردیف],1))+1</f>
        <v>2585</v>
      </c>
      <c r="B2587" s="31">
        <f>SUBTOTAL(2,INDEX(Main[ردیف],1):Main[[#This Row],[ردیف]])</f>
        <v>232</v>
      </c>
      <c r="C2587" s="32" t="s">
        <v>817</v>
      </c>
      <c r="D2587" s="32" t="str">
        <f>_xlfn.CONCAT("14",Main[[#This Row],[تاريخ]])</f>
        <v>1400/09/29</v>
      </c>
      <c r="E2587" s="33">
        <v>44550</v>
      </c>
      <c r="F2587" s="32">
        <v>30155</v>
      </c>
      <c r="G2587" s="5" t="str">
        <f>INDEX(customer[عنوان],MATCH(Main[[#This Row],[کد ردیابی]],customer[کد],0))</f>
        <v>سری تراشی طاهری</v>
      </c>
      <c r="H2587">
        <v>-3982</v>
      </c>
      <c r="I2587" s="6">
        <f ca="1">-Main[[#This Row],[بدهی تسویه شده (کیلوگرم)]]+Main[[#This Row],[بستانکار (کیلوگرم)]]</f>
        <v>0</v>
      </c>
      <c r="J2587" s="6">
        <f>IF(Main[[#This Row],[مقدار (کیلوگرم)]]&gt;0,Main[[#This Row],[مقدار (کیلوگرم)]],0)</f>
        <v>0</v>
      </c>
      <c r="K2587" s="6">
        <f>-IF(Main[[#This Row],[مقدار (کیلوگرم)]]&lt;0,Main[[#This Row],[مقدار (کیلوگرم)]],0)</f>
        <v>3982</v>
      </c>
      <c r="L25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3982</v>
      </c>
      <c r="M2587" s="7">
        <f>-IF(AND(Main[[#This Row],[مقدار (کیلوگرم)]]&lt;0,Main[[#This Row],[تاريخ میلادی]]&gt;44276),Main[[#This Row],[مقدار (کیلوگرم)]],0)</f>
        <v>3982</v>
      </c>
      <c r="N2587" s="6">
        <f ca="1">Main[[#This Row],[بدهکار (کیلوگرم)]]-Main[[#This Row],[بدهی تسویه نشده (کیلوگرم)]]</f>
        <v>0</v>
      </c>
      <c r="O2587" s="6">
        <f ca="1">Main[[#This Row],[تفکیک]]</f>
        <v>3982</v>
      </c>
      <c r="P2587" s="6">
        <f ca="1">IF(Main[[#This Row],[تاخیر از سررسید]]&gt;0,Main[[#This Row],[بدهی تسویه نشده (کیلوگرم)]],0)</f>
        <v>3982</v>
      </c>
      <c r="Q2587" s="6">
        <f ca="1">IF(Main[[#This Row],[بدهی تسویه نشده (کیلوگرم)]]&gt;0,'گزارش فردی'!$B$7-Main[[#This Row],[تاريخ میلادی]],0)</f>
        <v>912.75374085648218</v>
      </c>
      <c r="R2587" s="6">
        <f ca="1">IF(Main[[#This Row],[بدهی تسویه نشده (کیلوگرم)]]&gt;0,'گزارش فردی'!$B$7-Main[[#This Row],[تاريخ میلادی]]-'گزارش فردی'!$B$8,0)</f>
        <v>897.75374085648218</v>
      </c>
      <c r="S2587" s="6">
        <f ca="1">Main[[#This Row],[روز از ارسال سفارش]]*Main[[#This Row],[بدهی تسویه نشده (کیلوگرم)]]</f>
        <v>3634585.3960905122</v>
      </c>
      <c r="T2587" s="6">
        <f ca="1">Main[[#This Row],[بدهی سررسید شده (کیلوگرم)]]*Main[[#This Row],[روز از ارسال سفارش]]</f>
        <v>3634585.3960905122</v>
      </c>
      <c r="U2587" s="6">
        <f>-SUBTOTAL(9,INDEX(Main[مقدار (کیلوگرم)],1):Main[[#This Row],[مقدار (کیلوگرم)]])</f>
        <v>48269</v>
      </c>
      <c r="V25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7" s="6">
        <f>Main[[#This Row],[تعداد کل روزهای بدهکار (روز)]]*Main[[#This Row],[مانده در خط کل (کیلوگرم)]]</f>
        <v>0</v>
      </c>
      <c r="X2587" s="6">
        <f ca="1">-SUBTOTAL(9,INDEX(Main[مقدار تسویه شده (کیلوگرم)],1):Main[[#This Row],[مقدار تسویه شده (کیلوگرم)]])</f>
        <v>14280</v>
      </c>
      <c r="Y2587" s="6">
        <f ca="1">IF(Main[[#This Row],[مانده در خط تسویه شده (کیلوگرم)]]&lt;&gt;0,Main[[#This Row],[تعداد کل روزهای بدهکار (روز)]],0)</f>
        <v>0</v>
      </c>
      <c r="Z2587" s="6">
        <f ca="1">Main[[#This Row],[تعداد روزهای بدهکار تسویه شده (روز)]]*Main[[#This Row],[مانده در خط تسویه شده (کیلوگرم)]]</f>
        <v>0</v>
      </c>
      <c r="AA2587" s="6">
        <f ca="1">SUBTOTAL(9,INDEX(Main[بدهی تسویه نشده (کیلوگرم)],1):Main[[#This Row],[بدهی تسویه نشده (کیلوگرم)]])</f>
        <v>33989</v>
      </c>
      <c r="AB2587" s="6">
        <f ca="1">IF(Main[[#This Row],[مانده در خط تسویه نشده (کیلوگرم)]]&lt;&gt;0,Main[[#This Row],[تعداد کل روزهای بدهکار (روز)]],0)</f>
        <v>0</v>
      </c>
      <c r="AC2587" s="6">
        <f ca="1">Main[[#This Row],[تعداد روزهای بدهکار  تسویه نشده (روز)]]*Main[[#This Row],[مانده در خط تسویه نشده (کیلوگرم)]]</f>
        <v>0</v>
      </c>
      <c r="AD2587" s="6">
        <f ca="1">SUBTOTAL(9,INDEX(Main[بدهی سررسید شده (کیلوگرم)],1):Main[[#This Row],[بدهی سررسید شده (کیلوگرم)]])</f>
        <v>33989</v>
      </c>
      <c r="AE2587" s="6">
        <f ca="1">IF(Main[[#This Row],[مانده در خط سررسید شده (کیلوگرم)]]&lt;&gt;0,Main[[#This Row],[تعداد کل روزهای بدهکار (روز)]],0)</f>
        <v>0</v>
      </c>
      <c r="AF2587" s="6">
        <f ca="1">Main[[#This Row],[تعداد روزهای بدهکار سررسید شده (روز)]]*Main[[#This Row],[مانده در خط سررسید شده (کیلوگرم)]]</f>
        <v>0</v>
      </c>
    </row>
    <row r="2588" spans="1:32" x14ac:dyDescent="0.35">
      <c r="A2588" s="5">
        <f>ROW()-ROW(INDEX(Main[ردیف],1))+1</f>
        <v>2586</v>
      </c>
      <c r="B2588" s="31">
        <f>SUBTOTAL(2,INDEX(Main[ردیف],1):Main[[#This Row],[ردیف]])</f>
        <v>233</v>
      </c>
      <c r="C2588" s="32" t="s">
        <v>817</v>
      </c>
      <c r="D2588" s="32" t="str">
        <f>_xlfn.CONCAT("14",Main[[#This Row],[تاريخ]])</f>
        <v>1400/09/29</v>
      </c>
      <c r="E2588" s="33">
        <v>44550</v>
      </c>
      <c r="F2588" s="32">
        <v>10003</v>
      </c>
      <c r="G2588" s="5" t="str">
        <f>INDEX(customer[عنوان],MATCH(Main[[#This Row],[کد ردیابی]],customer[کد],0))</f>
        <v>اصغر نورعلی</v>
      </c>
      <c r="H2588">
        <v>2244</v>
      </c>
      <c r="I2588" s="6">
        <f ca="1">-Main[[#This Row],[بدهی تسویه شده (کیلوگرم)]]+Main[[#This Row],[بستانکار (کیلوگرم)]]</f>
        <v>2244</v>
      </c>
      <c r="J2588" s="6">
        <f>IF(Main[[#This Row],[مقدار (کیلوگرم)]]&gt;0,Main[[#This Row],[مقدار (کیلوگرم)]],0)</f>
        <v>2244</v>
      </c>
      <c r="K2588" s="6">
        <f>-IF(Main[[#This Row],[مقدار (کیلوگرم)]]&lt;0,Main[[#This Row],[مقدار (کیلوگرم)]],0)</f>
        <v>0</v>
      </c>
      <c r="L25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8" s="7">
        <f>-IF(AND(Main[[#This Row],[مقدار (کیلوگرم)]]&lt;0,Main[[#This Row],[تاريخ میلادی]]&gt;44276),Main[[#This Row],[مقدار (کیلوگرم)]],0)</f>
        <v>0</v>
      </c>
      <c r="N2588" s="6">
        <f ca="1">Main[[#This Row],[بدهکار (کیلوگرم)]]-Main[[#This Row],[بدهی تسویه نشده (کیلوگرم)]]</f>
        <v>0</v>
      </c>
      <c r="O2588" s="6">
        <f ca="1">Main[[#This Row],[تفکیک]]</f>
        <v>0</v>
      </c>
      <c r="P2588" s="6">
        <f ca="1">IF(Main[[#This Row],[تاخیر از سررسید]]&gt;0,Main[[#This Row],[بدهی تسویه نشده (کیلوگرم)]],0)</f>
        <v>0</v>
      </c>
      <c r="Q2588" s="6">
        <f ca="1">IF(Main[[#This Row],[بدهی تسویه نشده (کیلوگرم)]]&gt;0,'گزارش فردی'!$B$7-Main[[#This Row],[تاريخ میلادی]],0)</f>
        <v>0</v>
      </c>
      <c r="R2588" s="6">
        <f ca="1">IF(Main[[#This Row],[بدهی تسویه نشده (کیلوگرم)]]&gt;0,'گزارش فردی'!$B$7-Main[[#This Row],[تاريخ میلادی]]-'گزارش فردی'!$B$8,0)</f>
        <v>0</v>
      </c>
      <c r="S2588" s="6">
        <f ca="1">Main[[#This Row],[روز از ارسال سفارش]]*Main[[#This Row],[بدهی تسویه نشده (کیلوگرم)]]</f>
        <v>0</v>
      </c>
      <c r="T2588" s="6">
        <f ca="1">Main[[#This Row],[بدهی سررسید شده (کیلوگرم)]]*Main[[#This Row],[روز از ارسال سفارش]]</f>
        <v>0</v>
      </c>
      <c r="U2588" s="6">
        <f>-SUBTOTAL(9,INDEX(Main[مقدار (کیلوگرم)],1):Main[[#This Row],[مقدار (کیلوگرم)]])</f>
        <v>46025</v>
      </c>
      <c r="V25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88" s="6">
        <f>Main[[#This Row],[تعداد کل روزهای بدهکار (روز)]]*Main[[#This Row],[مانده در خط کل (کیلوگرم)]]</f>
        <v>46025</v>
      </c>
      <c r="X2588" s="6">
        <f ca="1">-SUBTOTAL(9,INDEX(Main[مقدار تسویه شده (کیلوگرم)],1):Main[[#This Row],[مقدار تسویه شده (کیلوگرم)]])</f>
        <v>12036</v>
      </c>
      <c r="Y2588" s="6">
        <f ca="1">IF(Main[[#This Row],[مانده در خط تسویه شده (کیلوگرم)]]&lt;&gt;0,Main[[#This Row],[تعداد کل روزهای بدهکار (روز)]],0)</f>
        <v>1</v>
      </c>
      <c r="Z2588" s="6">
        <f ca="1">Main[[#This Row],[تعداد روزهای بدهکار تسویه شده (روز)]]*Main[[#This Row],[مانده در خط تسویه شده (کیلوگرم)]]</f>
        <v>12036</v>
      </c>
      <c r="AA2588" s="6">
        <f ca="1">SUBTOTAL(9,INDEX(Main[بدهی تسویه نشده (کیلوگرم)],1):Main[[#This Row],[بدهی تسویه نشده (کیلوگرم)]])</f>
        <v>33989</v>
      </c>
      <c r="AB2588" s="6">
        <f ca="1">IF(Main[[#This Row],[مانده در خط تسویه نشده (کیلوگرم)]]&lt;&gt;0,Main[[#This Row],[تعداد کل روزهای بدهکار (روز)]],0)</f>
        <v>1</v>
      </c>
      <c r="AC2588" s="6">
        <f ca="1">Main[[#This Row],[تعداد روزهای بدهکار  تسویه نشده (روز)]]*Main[[#This Row],[مانده در خط تسویه نشده (کیلوگرم)]]</f>
        <v>33989</v>
      </c>
      <c r="AD2588" s="6">
        <f ca="1">SUBTOTAL(9,INDEX(Main[بدهی سررسید شده (کیلوگرم)],1):Main[[#This Row],[بدهی سررسید شده (کیلوگرم)]])</f>
        <v>33989</v>
      </c>
      <c r="AE2588" s="6">
        <f ca="1">IF(Main[[#This Row],[مانده در خط سررسید شده (کیلوگرم)]]&lt;&gt;0,Main[[#This Row],[تعداد کل روزهای بدهکار (روز)]],0)</f>
        <v>1</v>
      </c>
      <c r="AF2588" s="6">
        <f ca="1">Main[[#This Row],[تعداد روزهای بدهکار سررسید شده (روز)]]*Main[[#This Row],[مانده در خط سررسید شده (کیلوگرم)]]</f>
        <v>33989</v>
      </c>
    </row>
    <row r="2589" spans="1:32" hidden="1" x14ac:dyDescent="0.35">
      <c r="A2589" s="5">
        <f>ROW()-ROW(INDEX(Main[ردیف],1))+1</f>
        <v>2587</v>
      </c>
      <c r="B2589" s="31">
        <f>SUBTOTAL(2,INDEX(Main[ردیف],1):Main[[#This Row],[ردیف]])</f>
        <v>233</v>
      </c>
      <c r="C2589" s="32" t="s">
        <v>817</v>
      </c>
      <c r="D2589" s="32" t="str">
        <f>_xlfn.CONCAT("14",Main[[#This Row],[تاريخ]])</f>
        <v>1400/09/29</v>
      </c>
      <c r="E2589" s="33">
        <v>44550</v>
      </c>
      <c r="F2589" s="32">
        <v>30191</v>
      </c>
      <c r="G2589" s="5" t="str">
        <f>INDEX(customer[عنوان],MATCH(Main[[#This Row],[کد ردیابی]],customer[کد],0))</f>
        <v>ایران گرما</v>
      </c>
      <c r="H2589">
        <v>557</v>
      </c>
      <c r="I2589" s="6">
        <f ca="1">-Main[[#This Row],[بدهی تسویه شده (کیلوگرم)]]+Main[[#This Row],[بستانکار (کیلوگرم)]]</f>
        <v>557</v>
      </c>
      <c r="J2589" s="6">
        <f>IF(Main[[#This Row],[مقدار (کیلوگرم)]]&gt;0,Main[[#This Row],[مقدار (کیلوگرم)]],0)</f>
        <v>557</v>
      </c>
      <c r="K2589" s="6">
        <f>-IF(Main[[#This Row],[مقدار (کیلوگرم)]]&lt;0,Main[[#This Row],[مقدار (کیلوگرم)]],0)</f>
        <v>0</v>
      </c>
      <c r="L25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9" s="7">
        <f>-IF(AND(Main[[#This Row],[مقدار (کیلوگرم)]]&lt;0,Main[[#This Row],[تاريخ میلادی]]&gt;44276),Main[[#This Row],[مقدار (کیلوگرم)]],0)</f>
        <v>0</v>
      </c>
      <c r="N2589" s="6">
        <f ca="1">Main[[#This Row],[بدهکار (کیلوگرم)]]-Main[[#This Row],[بدهی تسویه نشده (کیلوگرم)]]</f>
        <v>0</v>
      </c>
      <c r="O2589" s="6">
        <f ca="1">Main[[#This Row],[تفکیک]]</f>
        <v>0</v>
      </c>
      <c r="P2589" s="6">
        <f ca="1">IF(Main[[#This Row],[تاخیر از سررسید]]&gt;0,Main[[#This Row],[بدهی تسویه نشده (کیلوگرم)]],0)</f>
        <v>0</v>
      </c>
      <c r="Q2589" s="6">
        <f ca="1">IF(Main[[#This Row],[بدهی تسویه نشده (کیلوگرم)]]&gt;0,'گزارش فردی'!$B$7-Main[[#This Row],[تاريخ میلادی]],0)</f>
        <v>0</v>
      </c>
      <c r="R2589" s="6">
        <f ca="1">IF(Main[[#This Row],[بدهی تسویه نشده (کیلوگرم)]]&gt;0,'گزارش فردی'!$B$7-Main[[#This Row],[تاريخ میلادی]]-'گزارش فردی'!$B$8,0)</f>
        <v>0</v>
      </c>
      <c r="S2589" s="6">
        <f ca="1">Main[[#This Row],[روز از ارسال سفارش]]*Main[[#This Row],[بدهی تسویه نشده (کیلوگرم)]]</f>
        <v>0</v>
      </c>
      <c r="T2589" s="6">
        <f ca="1">Main[[#This Row],[بدهی سررسید شده (کیلوگرم)]]*Main[[#This Row],[روز از ارسال سفارش]]</f>
        <v>0</v>
      </c>
      <c r="U2589" s="6">
        <f>-SUBTOTAL(9,INDEX(Main[مقدار (کیلوگرم)],1):Main[[#This Row],[مقدار (کیلوگرم)]])</f>
        <v>46025</v>
      </c>
      <c r="V25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89" s="6">
        <f>Main[[#This Row],[تعداد کل روزهای بدهکار (روز)]]*Main[[#This Row],[مانده در خط کل (کیلوگرم)]]</f>
        <v>46025</v>
      </c>
      <c r="X2589" s="6">
        <f ca="1">-SUBTOTAL(9,INDEX(Main[مقدار تسویه شده (کیلوگرم)],1):Main[[#This Row],[مقدار تسویه شده (کیلوگرم)]])</f>
        <v>12036</v>
      </c>
      <c r="Y2589" s="6">
        <f ca="1">IF(Main[[#This Row],[مانده در خط تسویه شده (کیلوگرم)]]&lt;&gt;0,Main[[#This Row],[تعداد کل روزهای بدهکار (روز)]],0)</f>
        <v>1</v>
      </c>
      <c r="Z2589" s="6">
        <f ca="1">Main[[#This Row],[تعداد روزهای بدهکار تسویه شده (روز)]]*Main[[#This Row],[مانده در خط تسویه شده (کیلوگرم)]]</f>
        <v>12036</v>
      </c>
      <c r="AA2589" s="6">
        <f ca="1">SUBTOTAL(9,INDEX(Main[بدهی تسویه نشده (کیلوگرم)],1):Main[[#This Row],[بدهی تسویه نشده (کیلوگرم)]])</f>
        <v>33989</v>
      </c>
      <c r="AB2589" s="6">
        <f ca="1">IF(Main[[#This Row],[مانده در خط تسویه نشده (کیلوگرم)]]&lt;&gt;0,Main[[#This Row],[تعداد کل روزهای بدهکار (روز)]],0)</f>
        <v>1</v>
      </c>
      <c r="AC2589" s="6">
        <f ca="1">Main[[#This Row],[تعداد روزهای بدهکار  تسویه نشده (روز)]]*Main[[#This Row],[مانده در خط تسویه نشده (کیلوگرم)]]</f>
        <v>33989</v>
      </c>
      <c r="AD2589" s="6">
        <f ca="1">SUBTOTAL(9,INDEX(Main[بدهی سررسید شده (کیلوگرم)],1):Main[[#This Row],[بدهی سررسید شده (کیلوگرم)]])</f>
        <v>33989</v>
      </c>
      <c r="AE2589" s="6">
        <f ca="1">IF(Main[[#This Row],[مانده در خط سررسید شده (کیلوگرم)]]&lt;&gt;0,Main[[#This Row],[تعداد کل روزهای بدهکار (روز)]],0)</f>
        <v>1</v>
      </c>
      <c r="AF2589" s="6">
        <f ca="1">Main[[#This Row],[تعداد روزهای بدهکار سررسید شده (روز)]]*Main[[#This Row],[مانده در خط سررسید شده (کیلوگرم)]]</f>
        <v>33989</v>
      </c>
    </row>
    <row r="2590" spans="1:32" hidden="1" x14ac:dyDescent="0.35">
      <c r="A2590" s="5">
        <f>ROW()-ROW(INDEX(Main[ردیف],1))+1</f>
        <v>2588</v>
      </c>
      <c r="B2590" s="31">
        <f>SUBTOTAL(2,INDEX(Main[ردیف],1):Main[[#This Row],[ردیف]])</f>
        <v>233</v>
      </c>
      <c r="C2590" s="32" t="s">
        <v>817</v>
      </c>
      <c r="D2590" s="32" t="str">
        <f>_xlfn.CONCAT("14",Main[[#This Row],[تاريخ]])</f>
        <v>1400/09/29</v>
      </c>
      <c r="E2590" s="33">
        <v>44550</v>
      </c>
      <c r="F2590" s="32">
        <v>30191</v>
      </c>
      <c r="G2590" s="5" t="str">
        <f>INDEX(customer[عنوان],MATCH(Main[[#This Row],[کد ردیابی]],customer[کد],0))</f>
        <v>ایران گرما</v>
      </c>
      <c r="H2590">
        <v>194</v>
      </c>
      <c r="I2590" s="6">
        <f ca="1">-Main[[#This Row],[بدهی تسویه شده (کیلوگرم)]]+Main[[#This Row],[بستانکار (کیلوگرم)]]</f>
        <v>194</v>
      </c>
      <c r="J2590" s="6">
        <f>IF(Main[[#This Row],[مقدار (کیلوگرم)]]&gt;0,Main[[#This Row],[مقدار (کیلوگرم)]],0)</f>
        <v>194</v>
      </c>
      <c r="K2590" s="6">
        <f>-IF(Main[[#This Row],[مقدار (کیلوگرم)]]&lt;0,Main[[#This Row],[مقدار (کیلوگرم)]],0)</f>
        <v>0</v>
      </c>
      <c r="L25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0" s="7">
        <f>-IF(AND(Main[[#This Row],[مقدار (کیلوگرم)]]&lt;0,Main[[#This Row],[تاريخ میلادی]]&gt;44276),Main[[#This Row],[مقدار (کیلوگرم)]],0)</f>
        <v>0</v>
      </c>
      <c r="N2590" s="6">
        <f ca="1">Main[[#This Row],[بدهکار (کیلوگرم)]]-Main[[#This Row],[بدهی تسویه نشده (کیلوگرم)]]</f>
        <v>0</v>
      </c>
      <c r="O2590" s="6">
        <f ca="1">Main[[#This Row],[تفکیک]]</f>
        <v>0</v>
      </c>
      <c r="P2590" s="6">
        <f ca="1">IF(Main[[#This Row],[تاخیر از سررسید]]&gt;0,Main[[#This Row],[بدهی تسویه نشده (کیلوگرم)]],0)</f>
        <v>0</v>
      </c>
      <c r="Q2590" s="6">
        <f ca="1">IF(Main[[#This Row],[بدهی تسویه نشده (کیلوگرم)]]&gt;0,'گزارش فردی'!$B$7-Main[[#This Row],[تاريخ میلادی]],0)</f>
        <v>0</v>
      </c>
      <c r="R2590" s="6">
        <f ca="1">IF(Main[[#This Row],[بدهی تسویه نشده (کیلوگرم)]]&gt;0,'گزارش فردی'!$B$7-Main[[#This Row],[تاريخ میلادی]]-'گزارش فردی'!$B$8,0)</f>
        <v>0</v>
      </c>
      <c r="S2590" s="6">
        <f ca="1">Main[[#This Row],[روز از ارسال سفارش]]*Main[[#This Row],[بدهی تسویه نشده (کیلوگرم)]]</f>
        <v>0</v>
      </c>
      <c r="T2590" s="6">
        <f ca="1">Main[[#This Row],[بدهی سررسید شده (کیلوگرم)]]*Main[[#This Row],[روز از ارسال سفارش]]</f>
        <v>0</v>
      </c>
      <c r="U2590" s="6">
        <f>-SUBTOTAL(9,INDEX(Main[مقدار (کیلوگرم)],1):Main[[#This Row],[مقدار (کیلوگرم)]])</f>
        <v>46025</v>
      </c>
      <c r="V25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0" s="6">
        <f>Main[[#This Row],[تعداد کل روزهای بدهکار (روز)]]*Main[[#This Row],[مانده در خط کل (کیلوگرم)]]</f>
        <v>46025</v>
      </c>
      <c r="X2590" s="6">
        <f ca="1">-SUBTOTAL(9,INDEX(Main[مقدار تسویه شده (کیلوگرم)],1):Main[[#This Row],[مقدار تسویه شده (کیلوگرم)]])</f>
        <v>12036</v>
      </c>
      <c r="Y2590" s="6">
        <f ca="1">IF(Main[[#This Row],[مانده در خط تسویه شده (کیلوگرم)]]&lt;&gt;0,Main[[#This Row],[تعداد کل روزهای بدهکار (روز)]],0)</f>
        <v>1</v>
      </c>
      <c r="Z2590" s="6">
        <f ca="1">Main[[#This Row],[تعداد روزهای بدهکار تسویه شده (روز)]]*Main[[#This Row],[مانده در خط تسویه شده (کیلوگرم)]]</f>
        <v>12036</v>
      </c>
      <c r="AA2590" s="6">
        <f ca="1">SUBTOTAL(9,INDEX(Main[بدهی تسویه نشده (کیلوگرم)],1):Main[[#This Row],[بدهی تسویه نشده (کیلوگرم)]])</f>
        <v>33989</v>
      </c>
      <c r="AB2590" s="6">
        <f ca="1">IF(Main[[#This Row],[مانده در خط تسویه نشده (کیلوگرم)]]&lt;&gt;0,Main[[#This Row],[تعداد کل روزهای بدهکار (روز)]],0)</f>
        <v>1</v>
      </c>
      <c r="AC2590" s="6">
        <f ca="1">Main[[#This Row],[تعداد روزهای بدهکار  تسویه نشده (روز)]]*Main[[#This Row],[مانده در خط تسویه نشده (کیلوگرم)]]</f>
        <v>33989</v>
      </c>
      <c r="AD2590" s="6">
        <f ca="1">SUBTOTAL(9,INDEX(Main[بدهی سررسید شده (کیلوگرم)],1):Main[[#This Row],[بدهی سررسید شده (کیلوگرم)]])</f>
        <v>33989</v>
      </c>
      <c r="AE2590" s="6">
        <f ca="1">IF(Main[[#This Row],[مانده در خط سررسید شده (کیلوگرم)]]&lt;&gt;0,Main[[#This Row],[تعداد کل روزهای بدهکار (روز)]],0)</f>
        <v>1</v>
      </c>
      <c r="AF2590" s="6">
        <f ca="1">Main[[#This Row],[تعداد روزهای بدهکار سررسید شده (روز)]]*Main[[#This Row],[مانده در خط سررسید شده (کیلوگرم)]]</f>
        <v>33989</v>
      </c>
    </row>
    <row r="2591" spans="1:32" hidden="1" x14ac:dyDescent="0.35">
      <c r="A2591" s="5">
        <f>ROW()-ROW(INDEX(Main[ردیف],1))+1</f>
        <v>2589</v>
      </c>
      <c r="B2591" s="31">
        <f>SUBTOTAL(2,INDEX(Main[ردیف],1):Main[[#This Row],[ردیف]])</f>
        <v>233</v>
      </c>
      <c r="C2591" s="32" t="s">
        <v>817</v>
      </c>
      <c r="D2591" s="32" t="str">
        <f>_xlfn.CONCAT("14",Main[[#This Row],[تاريخ]])</f>
        <v>1400/09/29</v>
      </c>
      <c r="E2591" s="33">
        <v>44550</v>
      </c>
      <c r="F2591" s="32">
        <v>30155</v>
      </c>
      <c r="G2591" s="5" t="str">
        <f>INDEX(customer[عنوان],MATCH(Main[[#This Row],[کد ردیابی]],customer[کد],0))</f>
        <v>سری تراشی طاهری</v>
      </c>
      <c r="H2591">
        <v>207</v>
      </c>
      <c r="I2591" s="6">
        <f ca="1">-Main[[#This Row],[بدهی تسویه شده (کیلوگرم)]]+Main[[#This Row],[بستانکار (کیلوگرم)]]</f>
        <v>207</v>
      </c>
      <c r="J2591" s="6">
        <f>IF(Main[[#This Row],[مقدار (کیلوگرم)]]&gt;0,Main[[#This Row],[مقدار (کیلوگرم)]],0)</f>
        <v>207</v>
      </c>
      <c r="K2591" s="6">
        <f>-IF(Main[[#This Row],[مقدار (کیلوگرم)]]&lt;0,Main[[#This Row],[مقدار (کیلوگرم)]],0)</f>
        <v>0</v>
      </c>
      <c r="L25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1" s="7">
        <f>-IF(AND(Main[[#This Row],[مقدار (کیلوگرم)]]&lt;0,Main[[#This Row],[تاريخ میلادی]]&gt;44276),Main[[#This Row],[مقدار (کیلوگرم)]],0)</f>
        <v>0</v>
      </c>
      <c r="N2591" s="6">
        <f ca="1">Main[[#This Row],[بدهکار (کیلوگرم)]]-Main[[#This Row],[بدهی تسویه نشده (کیلوگرم)]]</f>
        <v>0</v>
      </c>
      <c r="O2591" s="6">
        <f ca="1">Main[[#This Row],[تفکیک]]</f>
        <v>0</v>
      </c>
      <c r="P2591" s="6">
        <f ca="1">IF(Main[[#This Row],[تاخیر از سررسید]]&gt;0,Main[[#This Row],[بدهی تسویه نشده (کیلوگرم)]],0)</f>
        <v>0</v>
      </c>
      <c r="Q2591" s="6">
        <f ca="1">IF(Main[[#This Row],[بدهی تسویه نشده (کیلوگرم)]]&gt;0,'گزارش فردی'!$B$7-Main[[#This Row],[تاريخ میلادی]],0)</f>
        <v>0</v>
      </c>
      <c r="R2591" s="6">
        <f ca="1">IF(Main[[#This Row],[بدهی تسویه نشده (کیلوگرم)]]&gt;0,'گزارش فردی'!$B$7-Main[[#This Row],[تاريخ میلادی]]-'گزارش فردی'!$B$8,0)</f>
        <v>0</v>
      </c>
      <c r="S2591" s="6">
        <f ca="1">Main[[#This Row],[روز از ارسال سفارش]]*Main[[#This Row],[بدهی تسویه نشده (کیلوگرم)]]</f>
        <v>0</v>
      </c>
      <c r="T2591" s="6">
        <f ca="1">Main[[#This Row],[بدهی سررسید شده (کیلوگرم)]]*Main[[#This Row],[روز از ارسال سفارش]]</f>
        <v>0</v>
      </c>
      <c r="U2591" s="6">
        <f>-SUBTOTAL(9,INDEX(Main[مقدار (کیلوگرم)],1):Main[[#This Row],[مقدار (کیلوگرم)]])</f>
        <v>46025</v>
      </c>
      <c r="V25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1" s="6">
        <f>Main[[#This Row],[تعداد کل روزهای بدهکار (روز)]]*Main[[#This Row],[مانده در خط کل (کیلوگرم)]]</f>
        <v>46025</v>
      </c>
      <c r="X2591" s="6">
        <f ca="1">-SUBTOTAL(9,INDEX(Main[مقدار تسویه شده (کیلوگرم)],1):Main[[#This Row],[مقدار تسویه شده (کیلوگرم)]])</f>
        <v>12036</v>
      </c>
      <c r="Y2591" s="6">
        <f ca="1">IF(Main[[#This Row],[مانده در خط تسویه شده (کیلوگرم)]]&lt;&gt;0,Main[[#This Row],[تعداد کل روزهای بدهکار (روز)]],0)</f>
        <v>1</v>
      </c>
      <c r="Z2591" s="6">
        <f ca="1">Main[[#This Row],[تعداد روزهای بدهکار تسویه شده (روز)]]*Main[[#This Row],[مانده در خط تسویه شده (کیلوگرم)]]</f>
        <v>12036</v>
      </c>
      <c r="AA2591" s="6">
        <f ca="1">SUBTOTAL(9,INDEX(Main[بدهی تسویه نشده (کیلوگرم)],1):Main[[#This Row],[بدهی تسویه نشده (کیلوگرم)]])</f>
        <v>33989</v>
      </c>
      <c r="AB2591" s="6">
        <f ca="1">IF(Main[[#This Row],[مانده در خط تسویه نشده (کیلوگرم)]]&lt;&gt;0,Main[[#This Row],[تعداد کل روزهای بدهکار (روز)]],0)</f>
        <v>1</v>
      </c>
      <c r="AC2591" s="6">
        <f ca="1">Main[[#This Row],[تعداد روزهای بدهکار  تسویه نشده (روز)]]*Main[[#This Row],[مانده در خط تسویه نشده (کیلوگرم)]]</f>
        <v>33989</v>
      </c>
      <c r="AD2591" s="6">
        <f ca="1">SUBTOTAL(9,INDEX(Main[بدهی سررسید شده (کیلوگرم)],1):Main[[#This Row],[بدهی سررسید شده (کیلوگرم)]])</f>
        <v>33989</v>
      </c>
      <c r="AE2591" s="6">
        <f ca="1">IF(Main[[#This Row],[مانده در خط سررسید شده (کیلوگرم)]]&lt;&gt;0,Main[[#This Row],[تعداد کل روزهای بدهکار (روز)]],0)</f>
        <v>1</v>
      </c>
      <c r="AF2591" s="6">
        <f ca="1">Main[[#This Row],[تعداد روزهای بدهکار سررسید شده (روز)]]*Main[[#This Row],[مانده در خط سررسید شده (کیلوگرم)]]</f>
        <v>33989</v>
      </c>
    </row>
    <row r="2592" spans="1:32" hidden="1" x14ac:dyDescent="0.35">
      <c r="A2592" s="5">
        <f>ROW()-ROW(INDEX(Main[ردیف],1))+1</f>
        <v>2590</v>
      </c>
      <c r="B2592" s="31">
        <f>SUBTOTAL(2,INDEX(Main[ردیف],1):Main[[#This Row],[ردیف]])</f>
        <v>233</v>
      </c>
      <c r="C2592" s="32" t="s">
        <v>817</v>
      </c>
      <c r="D2592" s="32" t="str">
        <f>_xlfn.CONCAT("14",Main[[#This Row],[تاريخ]])</f>
        <v>1400/09/29</v>
      </c>
      <c r="E2592" s="33">
        <v>44550</v>
      </c>
      <c r="F2592" s="32">
        <v>30155</v>
      </c>
      <c r="G2592" s="5" t="str">
        <f>INDEX(customer[عنوان],MATCH(Main[[#This Row],[کد ردیابی]],customer[کد],0))</f>
        <v>سری تراشی طاهری</v>
      </c>
      <c r="H2592">
        <v>2650</v>
      </c>
      <c r="I2592" s="6">
        <f ca="1">-Main[[#This Row],[بدهی تسویه شده (کیلوگرم)]]+Main[[#This Row],[بستانکار (کیلوگرم)]]</f>
        <v>2650</v>
      </c>
      <c r="J2592" s="6">
        <f>IF(Main[[#This Row],[مقدار (کیلوگرم)]]&gt;0,Main[[#This Row],[مقدار (کیلوگرم)]],0)</f>
        <v>2650</v>
      </c>
      <c r="K2592" s="6">
        <f>-IF(Main[[#This Row],[مقدار (کیلوگرم)]]&lt;0,Main[[#This Row],[مقدار (کیلوگرم)]],0)</f>
        <v>0</v>
      </c>
      <c r="L25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2" s="7">
        <f>-IF(AND(Main[[#This Row],[مقدار (کیلوگرم)]]&lt;0,Main[[#This Row],[تاريخ میلادی]]&gt;44276),Main[[#This Row],[مقدار (کیلوگرم)]],0)</f>
        <v>0</v>
      </c>
      <c r="N2592" s="6">
        <f ca="1">Main[[#This Row],[بدهکار (کیلوگرم)]]-Main[[#This Row],[بدهی تسویه نشده (کیلوگرم)]]</f>
        <v>0</v>
      </c>
      <c r="O2592" s="6">
        <f ca="1">Main[[#This Row],[تفکیک]]</f>
        <v>0</v>
      </c>
      <c r="P2592" s="6">
        <f ca="1">IF(Main[[#This Row],[تاخیر از سررسید]]&gt;0,Main[[#This Row],[بدهی تسویه نشده (کیلوگرم)]],0)</f>
        <v>0</v>
      </c>
      <c r="Q2592" s="6">
        <f ca="1">IF(Main[[#This Row],[بدهی تسویه نشده (کیلوگرم)]]&gt;0,'گزارش فردی'!$B$7-Main[[#This Row],[تاريخ میلادی]],0)</f>
        <v>0</v>
      </c>
      <c r="R2592" s="6">
        <f ca="1">IF(Main[[#This Row],[بدهی تسویه نشده (کیلوگرم)]]&gt;0,'گزارش فردی'!$B$7-Main[[#This Row],[تاريخ میلادی]]-'گزارش فردی'!$B$8,0)</f>
        <v>0</v>
      </c>
      <c r="S2592" s="6">
        <f ca="1">Main[[#This Row],[روز از ارسال سفارش]]*Main[[#This Row],[بدهی تسویه نشده (کیلوگرم)]]</f>
        <v>0</v>
      </c>
      <c r="T2592" s="6">
        <f ca="1">Main[[#This Row],[بدهی سررسید شده (کیلوگرم)]]*Main[[#This Row],[روز از ارسال سفارش]]</f>
        <v>0</v>
      </c>
      <c r="U2592" s="6">
        <f>-SUBTOTAL(9,INDEX(Main[مقدار (کیلوگرم)],1):Main[[#This Row],[مقدار (کیلوگرم)]])</f>
        <v>46025</v>
      </c>
      <c r="V25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2" s="6">
        <f>Main[[#This Row],[تعداد کل روزهای بدهکار (روز)]]*Main[[#This Row],[مانده در خط کل (کیلوگرم)]]</f>
        <v>46025</v>
      </c>
      <c r="X2592" s="6">
        <f ca="1">-SUBTOTAL(9,INDEX(Main[مقدار تسویه شده (کیلوگرم)],1):Main[[#This Row],[مقدار تسویه شده (کیلوگرم)]])</f>
        <v>12036</v>
      </c>
      <c r="Y2592" s="6">
        <f ca="1">IF(Main[[#This Row],[مانده در خط تسویه شده (کیلوگرم)]]&lt;&gt;0,Main[[#This Row],[تعداد کل روزهای بدهکار (روز)]],0)</f>
        <v>1</v>
      </c>
      <c r="Z2592" s="6">
        <f ca="1">Main[[#This Row],[تعداد روزهای بدهکار تسویه شده (روز)]]*Main[[#This Row],[مانده در خط تسویه شده (کیلوگرم)]]</f>
        <v>12036</v>
      </c>
      <c r="AA2592" s="6">
        <f ca="1">SUBTOTAL(9,INDEX(Main[بدهی تسویه نشده (کیلوگرم)],1):Main[[#This Row],[بدهی تسویه نشده (کیلوگرم)]])</f>
        <v>33989</v>
      </c>
      <c r="AB2592" s="6">
        <f ca="1">IF(Main[[#This Row],[مانده در خط تسویه نشده (کیلوگرم)]]&lt;&gt;0,Main[[#This Row],[تعداد کل روزهای بدهکار (روز)]],0)</f>
        <v>1</v>
      </c>
      <c r="AC2592" s="6">
        <f ca="1">Main[[#This Row],[تعداد روزهای بدهکار  تسویه نشده (روز)]]*Main[[#This Row],[مانده در خط تسویه نشده (کیلوگرم)]]</f>
        <v>33989</v>
      </c>
      <c r="AD2592" s="6">
        <f ca="1">SUBTOTAL(9,INDEX(Main[بدهی سررسید شده (کیلوگرم)],1):Main[[#This Row],[بدهی سررسید شده (کیلوگرم)]])</f>
        <v>33989</v>
      </c>
      <c r="AE2592" s="6">
        <f ca="1">IF(Main[[#This Row],[مانده در خط سررسید شده (کیلوگرم)]]&lt;&gt;0,Main[[#This Row],[تعداد کل روزهای بدهکار (روز)]],0)</f>
        <v>1</v>
      </c>
      <c r="AF2592" s="6">
        <f ca="1">Main[[#This Row],[تعداد روزهای بدهکار سررسید شده (روز)]]*Main[[#This Row],[مانده در خط سررسید شده (کیلوگرم)]]</f>
        <v>33989</v>
      </c>
    </row>
    <row r="2593" spans="1:32" hidden="1" x14ac:dyDescent="0.35">
      <c r="A2593" s="5">
        <f>ROW()-ROW(INDEX(Main[ردیف],1))+1</f>
        <v>2591</v>
      </c>
      <c r="B2593" s="31">
        <f>SUBTOTAL(2,INDEX(Main[ردیف],1):Main[[#This Row],[ردیف]])</f>
        <v>233</v>
      </c>
      <c r="C2593" s="32" t="s">
        <v>817</v>
      </c>
      <c r="D2593" s="32" t="str">
        <f>_xlfn.CONCAT("14",Main[[#This Row],[تاريخ]])</f>
        <v>1400/09/29</v>
      </c>
      <c r="E2593" s="33">
        <v>44550</v>
      </c>
      <c r="F2593" s="32">
        <v>30004</v>
      </c>
      <c r="G2593" s="5" t="str">
        <f>INDEX(customer[عنوان],MATCH(Main[[#This Row],[کد ردیابی]],customer[کد],0))</f>
        <v>تولیدی صنعتی صفاشیر پارس</v>
      </c>
      <c r="H2593">
        <v>2762</v>
      </c>
      <c r="I2593" s="6">
        <f ca="1">-Main[[#This Row],[بدهی تسویه شده (کیلوگرم)]]+Main[[#This Row],[بستانکار (کیلوگرم)]]</f>
        <v>2762</v>
      </c>
      <c r="J2593" s="6">
        <f>IF(Main[[#This Row],[مقدار (کیلوگرم)]]&gt;0,Main[[#This Row],[مقدار (کیلوگرم)]],0)</f>
        <v>2762</v>
      </c>
      <c r="K2593" s="6">
        <f>-IF(Main[[#This Row],[مقدار (کیلوگرم)]]&lt;0,Main[[#This Row],[مقدار (کیلوگرم)]],0)</f>
        <v>0</v>
      </c>
      <c r="L25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3" s="7">
        <f>-IF(AND(Main[[#This Row],[مقدار (کیلوگرم)]]&lt;0,Main[[#This Row],[تاريخ میلادی]]&gt;44276),Main[[#This Row],[مقدار (کیلوگرم)]],0)</f>
        <v>0</v>
      </c>
      <c r="N2593" s="6">
        <f ca="1">Main[[#This Row],[بدهکار (کیلوگرم)]]-Main[[#This Row],[بدهی تسویه نشده (کیلوگرم)]]</f>
        <v>0</v>
      </c>
      <c r="O2593" s="6">
        <f ca="1">Main[[#This Row],[تفکیک]]</f>
        <v>0</v>
      </c>
      <c r="P2593" s="6">
        <f ca="1">IF(Main[[#This Row],[تاخیر از سررسید]]&gt;0,Main[[#This Row],[بدهی تسویه نشده (کیلوگرم)]],0)</f>
        <v>0</v>
      </c>
      <c r="Q2593" s="6">
        <f ca="1">IF(Main[[#This Row],[بدهی تسویه نشده (کیلوگرم)]]&gt;0,'گزارش فردی'!$B$7-Main[[#This Row],[تاريخ میلادی]],0)</f>
        <v>0</v>
      </c>
      <c r="R2593" s="6">
        <f ca="1">IF(Main[[#This Row],[بدهی تسویه نشده (کیلوگرم)]]&gt;0,'گزارش فردی'!$B$7-Main[[#This Row],[تاريخ میلادی]]-'گزارش فردی'!$B$8,0)</f>
        <v>0</v>
      </c>
      <c r="S2593" s="6">
        <f ca="1">Main[[#This Row],[روز از ارسال سفارش]]*Main[[#This Row],[بدهی تسویه نشده (کیلوگرم)]]</f>
        <v>0</v>
      </c>
      <c r="T2593" s="6">
        <f ca="1">Main[[#This Row],[بدهی سررسید شده (کیلوگرم)]]*Main[[#This Row],[روز از ارسال سفارش]]</f>
        <v>0</v>
      </c>
      <c r="U2593" s="6">
        <f>-SUBTOTAL(9,INDEX(Main[مقدار (کیلوگرم)],1):Main[[#This Row],[مقدار (کیلوگرم)]])</f>
        <v>46025</v>
      </c>
      <c r="V25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3" s="6">
        <f>Main[[#This Row],[تعداد کل روزهای بدهکار (روز)]]*Main[[#This Row],[مانده در خط کل (کیلوگرم)]]</f>
        <v>46025</v>
      </c>
      <c r="X2593" s="6">
        <f ca="1">-SUBTOTAL(9,INDEX(Main[مقدار تسویه شده (کیلوگرم)],1):Main[[#This Row],[مقدار تسویه شده (کیلوگرم)]])</f>
        <v>12036</v>
      </c>
      <c r="Y2593" s="6">
        <f ca="1">IF(Main[[#This Row],[مانده در خط تسویه شده (کیلوگرم)]]&lt;&gt;0,Main[[#This Row],[تعداد کل روزهای بدهکار (روز)]],0)</f>
        <v>1</v>
      </c>
      <c r="Z2593" s="6">
        <f ca="1">Main[[#This Row],[تعداد روزهای بدهکار تسویه شده (روز)]]*Main[[#This Row],[مانده در خط تسویه شده (کیلوگرم)]]</f>
        <v>12036</v>
      </c>
      <c r="AA2593" s="6">
        <f ca="1">SUBTOTAL(9,INDEX(Main[بدهی تسویه نشده (کیلوگرم)],1):Main[[#This Row],[بدهی تسویه نشده (کیلوگرم)]])</f>
        <v>33989</v>
      </c>
      <c r="AB2593" s="6">
        <f ca="1">IF(Main[[#This Row],[مانده در خط تسویه نشده (کیلوگرم)]]&lt;&gt;0,Main[[#This Row],[تعداد کل روزهای بدهکار (روز)]],0)</f>
        <v>1</v>
      </c>
      <c r="AC2593" s="6">
        <f ca="1">Main[[#This Row],[تعداد روزهای بدهکار  تسویه نشده (روز)]]*Main[[#This Row],[مانده در خط تسویه نشده (کیلوگرم)]]</f>
        <v>33989</v>
      </c>
      <c r="AD2593" s="6">
        <f ca="1">SUBTOTAL(9,INDEX(Main[بدهی سررسید شده (کیلوگرم)],1):Main[[#This Row],[بدهی سررسید شده (کیلوگرم)]])</f>
        <v>33989</v>
      </c>
      <c r="AE2593" s="6">
        <f ca="1">IF(Main[[#This Row],[مانده در خط سررسید شده (کیلوگرم)]]&lt;&gt;0,Main[[#This Row],[تعداد کل روزهای بدهکار (روز)]],0)</f>
        <v>1</v>
      </c>
      <c r="AF2593" s="6">
        <f ca="1">Main[[#This Row],[تعداد روزهای بدهکار سررسید شده (روز)]]*Main[[#This Row],[مانده در خط سررسید شده (کیلوگرم)]]</f>
        <v>33989</v>
      </c>
    </row>
    <row r="2594" spans="1:32" hidden="1" x14ac:dyDescent="0.35">
      <c r="A2594" s="5">
        <f>ROW()-ROW(INDEX(Main[ردیف],1))+1</f>
        <v>2592</v>
      </c>
      <c r="B2594" s="31">
        <f>SUBTOTAL(2,INDEX(Main[ردیف],1):Main[[#This Row],[ردیف]])</f>
        <v>233</v>
      </c>
      <c r="C2594" s="32" t="s">
        <v>817</v>
      </c>
      <c r="D2594" s="32" t="str">
        <f>_xlfn.CONCAT("14",Main[[#This Row],[تاريخ]])</f>
        <v>1400/09/29</v>
      </c>
      <c r="E2594" s="33">
        <v>44550</v>
      </c>
      <c r="F2594" s="32">
        <v>30004</v>
      </c>
      <c r="G2594" s="5" t="str">
        <f>INDEX(customer[عنوان],MATCH(Main[[#This Row],[کد ردیابی]],customer[کد],0))</f>
        <v>تولیدی صنعتی صفاشیر پارس</v>
      </c>
      <c r="H2594">
        <v>528</v>
      </c>
      <c r="I2594" s="6">
        <f ca="1">-Main[[#This Row],[بدهی تسویه شده (کیلوگرم)]]+Main[[#This Row],[بستانکار (کیلوگرم)]]</f>
        <v>528</v>
      </c>
      <c r="J2594" s="6">
        <f>IF(Main[[#This Row],[مقدار (کیلوگرم)]]&gt;0,Main[[#This Row],[مقدار (کیلوگرم)]],0)</f>
        <v>528</v>
      </c>
      <c r="K2594" s="6">
        <f>-IF(Main[[#This Row],[مقدار (کیلوگرم)]]&lt;0,Main[[#This Row],[مقدار (کیلوگرم)]],0)</f>
        <v>0</v>
      </c>
      <c r="L25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4" s="7">
        <f>-IF(AND(Main[[#This Row],[مقدار (کیلوگرم)]]&lt;0,Main[[#This Row],[تاريخ میلادی]]&gt;44276),Main[[#This Row],[مقدار (کیلوگرم)]],0)</f>
        <v>0</v>
      </c>
      <c r="N2594" s="6">
        <f ca="1">Main[[#This Row],[بدهکار (کیلوگرم)]]-Main[[#This Row],[بدهی تسویه نشده (کیلوگرم)]]</f>
        <v>0</v>
      </c>
      <c r="O2594" s="6">
        <f ca="1">Main[[#This Row],[تفکیک]]</f>
        <v>0</v>
      </c>
      <c r="P2594" s="6">
        <f ca="1">IF(Main[[#This Row],[تاخیر از سررسید]]&gt;0,Main[[#This Row],[بدهی تسویه نشده (کیلوگرم)]],0)</f>
        <v>0</v>
      </c>
      <c r="Q2594" s="6">
        <f ca="1">IF(Main[[#This Row],[بدهی تسویه نشده (کیلوگرم)]]&gt;0,'گزارش فردی'!$B$7-Main[[#This Row],[تاريخ میلادی]],0)</f>
        <v>0</v>
      </c>
      <c r="R2594" s="6">
        <f ca="1">IF(Main[[#This Row],[بدهی تسویه نشده (کیلوگرم)]]&gt;0,'گزارش فردی'!$B$7-Main[[#This Row],[تاريخ میلادی]]-'گزارش فردی'!$B$8,0)</f>
        <v>0</v>
      </c>
      <c r="S2594" s="6">
        <f ca="1">Main[[#This Row],[روز از ارسال سفارش]]*Main[[#This Row],[بدهی تسویه نشده (کیلوگرم)]]</f>
        <v>0</v>
      </c>
      <c r="T2594" s="6">
        <f ca="1">Main[[#This Row],[بدهی سررسید شده (کیلوگرم)]]*Main[[#This Row],[روز از ارسال سفارش]]</f>
        <v>0</v>
      </c>
      <c r="U2594" s="6">
        <f>-SUBTOTAL(9,INDEX(Main[مقدار (کیلوگرم)],1):Main[[#This Row],[مقدار (کیلوگرم)]])</f>
        <v>46025</v>
      </c>
      <c r="V25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4" s="6">
        <f>Main[[#This Row],[تعداد کل روزهای بدهکار (روز)]]*Main[[#This Row],[مانده در خط کل (کیلوگرم)]]</f>
        <v>46025</v>
      </c>
      <c r="X2594" s="6">
        <f ca="1">-SUBTOTAL(9,INDEX(Main[مقدار تسویه شده (کیلوگرم)],1):Main[[#This Row],[مقدار تسویه شده (کیلوگرم)]])</f>
        <v>12036</v>
      </c>
      <c r="Y2594" s="6">
        <f ca="1">IF(Main[[#This Row],[مانده در خط تسویه شده (کیلوگرم)]]&lt;&gt;0,Main[[#This Row],[تعداد کل روزهای بدهکار (روز)]],0)</f>
        <v>1</v>
      </c>
      <c r="Z2594" s="6">
        <f ca="1">Main[[#This Row],[تعداد روزهای بدهکار تسویه شده (روز)]]*Main[[#This Row],[مانده در خط تسویه شده (کیلوگرم)]]</f>
        <v>12036</v>
      </c>
      <c r="AA2594" s="6">
        <f ca="1">SUBTOTAL(9,INDEX(Main[بدهی تسویه نشده (کیلوگرم)],1):Main[[#This Row],[بدهی تسویه نشده (کیلوگرم)]])</f>
        <v>33989</v>
      </c>
      <c r="AB2594" s="6">
        <f ca="1">IF(Main[[#This Row],[مانده در خط تسویه نشده (کیلوگرم)]]&lt;&gt;0,Main[[#This Row],[تعداد کل روزهای بدهکار (روز)]],0)</f>
        <v>1</v>
      </c>
      <c r="AC2594" s="6">
        <f ca="1">Main[[#This Row],[تعداد روزهای بدهکار  تسویه نشده (روز)]]*Main[[#This Row],[مانده در خط تسویه نشده (کیلوگرم)]]</f>
        <v>33989</v>
      </c>
      <c r="AD2594" s="6">
        <f ca="1">SUBTOTAL(9,INDEX(Main[بدهی سررسید شده (کیلوگرم)],1):Main[[#This Row],[بدهی سررسید شده (کیلوگرم)]])</f>
        <v>33989</v>
      </c>
      <c r="AE2594" s="6">
        <f ca="1">IF(Main[[#This Row],[مانده در خط سررسید شده (کیلوگرم)]]&lt;&gt;0,Main[[#This Row],[تعداد کل روزهای بدهکار (روز)]],0)</f>
        <v>1</v>
      </c>
      <c r="AF2594" s="6">
        <f ca="1">Main[[#This Row],[تعداد روزهای بدهکار سررسید شده (روز)]]*Main[[#This Row],[مانده در خط سررسید شده (کیلوگرم)]]</f>
        <v>33989</v>
      </c>
    </row>
    <row r="2595" spans="1:32" hidden="1" x14ac:dyDescent="0.35">
      <c r="A2595" s="5">
        <f>ROW()-ROW(INDEX(Main[ردیف],1))+1</f>
        <v>2593</v>
      </c>
      <c r="B2595" s="31">
        <f>SUBTOTAL(2,INDEX(Main[ردیف],1):Main[[#This Row],[ردیف]])</f>
        <v>233</v>
      </c>
      <c r="C2595" s="32" t="s">
        <v>817</v>
      </c>
      <c r="D2595" s="32" t="str">
        <f>_xlfn.CONCAT("14",Main[[#This Row],[تاريخ]])</f>
        <v>1400/09/29</v>
      </c>
      <c r="E2595" s="33">
        <v>44550</v>
      </c>
      <c r="F2595" s="32">
        <v>30155</v>
      </c>
      <c r="G2595" s="5" t="str">
        <f>INDEX(customer[عنوان],MATCH(Main[[#This Row],[کد ردیابی]],customer[کد],0))</f>
        <v>سری تراشی طاهری</v>
      </c>
      <c r="H2595">
        <v>1125</v>
      </c>
      <c r="I2595" s="6">
        <f ca="1">-Main[[#This Row],[بدهی تسویه شده (کیلوگرم)]]+Main[[#This Row],[بستانکار (کیلوگرم)]]</f>
        <v>1125</v>
      </c>
      <c r="J2595" s="6">
        <f>IF(Main[[#This Row],[مقدار (کیلوگرم)]]&gt;0,Main[[#This Row],[مقدار (کیلوگرم)]],0)</f>
        <v>1125</v>
      </c>
      <c r="K2595" s="6">
        <f>-IF(Main[[#This Row],[مقدار (کیلوگرم)]]&lt;0,Main[[#This Row],[مقدار (کیلوگرم)]],0)</f>
        <v>0</v>
      </c>
      <c r="L25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5" s="7">
        <f>-IF(AND(Main[[#This Row],[مقدار (کیلوگرم)]]&lt;0,Main[[#This Row],[تاريخ میلادی]]&gt;44276),Main[[#This Row],[مقدار (کیلوگرم)]],0)</f>
        <v>0</v>
      </c>
      <c r="N2595" s="6">
        <f ca="1">Main[[#This Row],[بدهکار (کیلوگرم)]]-Main[[#This Row],[بدهی تسویه نشده (کیلوگرم)]]</f>
        <v>0</v>
      </c>
      <c r="O2595" s="6">
        <f ca="1">Main[[#This Row],[تفکیک]]</f>
        <v>0</v>
      </c>
      <c r="P2595" s="6">
        <f ca="1">IF(Main[[#This Row],[تاخیر از سررسید]]&gt;0,Main[[#This Row],[بدهی تسویه نشده (کیلوگرم)]],0)</f>
        <v>0</v>
      </c>
      <c r="Q2595" s="6">
        <f ca="1">IF(Main[[#This Row],[بدهی تسویه نشده (کیلوگرم)]]&gt;0,'گزارش فردی'!$B$7-Main[[#This Row],[تاريخ میلادی]],0)</f>
        <v>0</v>
      </c>
      <c r="R2595" s="6">
        <f ca="1">IF(Main[[#This Row],[بدهی تسویه نشده (کیلوگرم)]]&gt;0,'گزارش فردی'!$B$7-Main[[#This Row],[تاريخ میلادی]]-'گزارش فردی'!$B$8,0)</f>
        <v>0</v>
      </c>
      <c r="S2595" s="6">
        <f ca="1">Main[[#This Row],[روز از ارسال سفارش]]*Main[[#This Row],[بدهی تسویه نشده (کیلوگرم)]]</f>
        <v>0</v>
      </c>
      <c r="T2595" s="6">
        <f ca="1">Main[[#This Row],[بدهی سررسید شده (کیلوگرم)]]*Main[[#This Row],[روز از ارسال سفارش]]</f>
        <v>0</v>
      </c>
      <c r="U2595" s="6">
        <f>-SUBTOTAL(9,INDEX(Main[مقدار (کیلوگرم)],1):Main[[#This Row],[مقدار (کیلوگرم)]])</f>
        <v>46025</v>
      </c>
      <c r="V25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5" s="6">
        <f>Main[[#This Row],[تعداد کل روزهای بدهکار (روز)]]*Main[[#This Row],[مانده در خط کل (کیلوگرم)]]</f>
        <v>46025</v>
      </c>
      <c r="X2595" s="6">
        <f ca="1">-SUBTOTAL(9,INDEX(Main[مقدار تسویه شده (کیلوگرم)],1):Main[[#This Row],[مقدار تسویه شده (کیلوگرم)]])</f>
        <v>12036</v>
      </c>
      <c r="Y2595" s="6">
        <f ca="1">IF(Main[[#This Row],[مانده در خط تسویه شده (کیلوگرم)]]&lt;&gt;0,Main[[#This Row],[تعداد کل روزهای بدهکار (روز)]],0)</f>
        <v>1</v>
      </c>
      <c r="Z2595" s="6">
        <f ca="1">Main[[#This Row],[تعداد روزهای بدهکار تسویه شده (روز)]]*Main[[#This Row],[مانده در خط تسویه شده (کیلوگرم)]]</f>
        <v>12036</v>
      </c>
      <c r="AA2595" s="6">
        <f ca="1">SUBTOTAL(9,INDEX(Main[بدهی تسویه نشده (کیلوگرم)],1):Main[[#This Row],[بدهی تسویه نشده (کیلوگرم)]])</f>
        <v>33989</v>
      </c>
      <c r="AB2595" s="6">
        <f ca="1">IF(Main[[#This Row],[مانده در خط تسویه نشده (کیلوگرم)]]&lt;&gt;0,Main[[#This Row],[تعداد کل روزهای بدهکار (روز)]],0)</f>
        <v>1</v>
      </c>
      <c r="AC2595" s="6">
        <f ca="1">Main[[#This Row],[تعداد روزهای بدهکار  تسویه نشده (روز)]]*Main[[#This Row],[مانده در خط تسویه نشده (کیلوگرم)]]</f>
        <v>33989</v>
      </c>
      <c r="AD2595" s="6">
        <f ca="1">SUBTOTAL(9,INDEX(Main[بدهی سررسید شده (کیلوگرم)],1):Main[[#This Row],[بدهی سررسید شده (کیلوگرم)]])</f>
        <v>33989</v>
      </c>
      <c r="AE2595" s="6">
        <f ca="1">IF(Main[[#This Row],[مانده در خط سررسید شده (کیلوگرم)]]&lt;&gt;0,Main[[#This Row],[تعداد کل روزهای بدهکار (روز)]],0)</f>
        <v>1</v>
      </c>
      <c r="AF2595" s="6">
        <f ca="1">Main[[#This Row],[تعداد روزهای بدهکار سررسید شده (روز)]]*Main[[#This Row],[مانده در خط سررسید شده (کیلوگرم)]]</f>
        <v>33989</v>
      </c>
    </row>
    <row r="2596" spans="1:32" hidden="1" x14ac:dyDescent="0.35">
      <c r="A2596" s="5">
        <f>ROW()-ROW(INDEX(Main[ردیف],1))+1</f>
        <v>2594</v>
      </c>
      <c r="B2596" s="31">
        <f>SUBTOTAL(2,INDEX(Main[ردیف],1):Main[[#This Row],[ردیف]])</f>
        <v>233</v>
      </c>
      <c r="C2596" s="32" t="s">
        <v>817</v>
      </c>
      <c r="D2596" s="32" t="str">
        <f>_xlfn.CONCAT("14",Main[[#This Row],[تاريخ]])</f>
        <v>1400/09/29</v>
      </c>
      <c r="E2596" s="33">
        <v>44550</v>
      </c>
      <c r="F2596" s="32">
        <v>10026</v>
      </c>
      <c r="G2596" s="5" t="str">
        <f>INDEX(customer[عنوان],MATCH(Main[[#This Row],[کد ردیابی]],customer[کد],0))</f>
        <v xml:space="preserve">محسن فیاض بخش </v>
      </c>
      <c r="H2596">
        <v>3345</v>
      </c>
      <c r="I2596" s="6">
        <f ca="1">-Main[[#This Row],[بدهی تسویه شده (کیلوگرم)]]+Main[[#This Row],[بستانکار (کیلوگرم)]]</f>
        <v>3345</v>
      </c>
      <c r="J2596" s="6">
        <f>IF(Main[[#This Row],[مقدار (کیلوگرم)]]&gt;0,Main[[#This Row],[مقدار (کیلوگرم)]],0)</f>
        <v>3345</v>
      </c>
      <c r="K2596" s="6">
        <f>-IF(Main[[#This Row],[مقدار (کیلوگرم)]]&lt;0,Main[[#This Row],[مقدار (کیلوگرم)]],0)</f>
        <v>0</v>
      </c>
      <c r="L25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6" s="7">
        <f>-IF(AND(Main[[#This Row],[مقدار (کیلوگرم)]]&lt;0,Main[[#This Row],[تاريخ میلادی]]&gt;44276),Main[[#This Row],[مقدار (کیلوگرم)]],0)</f>
        <v>0</v>
      </c>
      <c r="N2596" s="6">
        <f ca="1">Main[[#This Row],[بدهکار (کیلوگرم)]]-Main[[#This Row],[بدهی تسویه نشده (کیلوگرم)]]</f>
        <v>0</v>
      </c>
      <c r="O2596" s="6">
        <f ca="1">Main[[#This Row],[تفکیک]]</f>
        <v>0</v>
      </c>
      <c r="P2596" s="6">
        <f ca="1">IF(Main[[#This Row],[تاخیر از سررسید]]&gt;0,Main[[#This Row],[بدهی تسویه نشده (کیلوگرم)]],0)</f>
        <v>0</v>
      </c>
      <c r="Q2596" s="6">
        <f ca="1">IF(Main[[#This Row],[بدهی تسویه نشده (کیلوگرم)]]&gt;0,'گزارش فردی'!$B$7-Main[[#This Row],[تاريخ میلادی]],0)</f>
        <v>0</v>
      </c>
      <c r="R2596" s="6">
        <f ca="1">IF(Main[[#This Row],[بدهی تسویه نشده (کیلوگرم)]]&gt;0,'گزارش فردی'!$B$7-Main[[#This Row],[تاريخ میلادی]]-'گزارش فردی'!$B$8,0)</f>
        <v>0</v>
      </c>
      <c r="S2596" s="6">
        <f ca="1">Main[[#This Row],[روز از ارسال سفارش]]*Main[[#This Row],[بدهی تسویه نشده (کیلوگرم)]]</f>
        <v>0</v>
      </c>
      <c r="T2596" s="6">
        <f ca="1">Main[[#This Row],[بدهی سررسید شده (کیلوگرم)]]*Main[[#This Row],[روز از ارسال سفارش]]</f>
        <v>0</v>
      </c>
      <c r="U2596" s="6">
        <f>-SUBTOTAL(9,INDEX(Main[مقدار (کیلوگرم)],1):Main[[#This Row],[مقدار (کیلوگرم)]])</f>
        <v>46025</v>
      </c>
      <c r="V25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6" s="6">
        <f>Main[[#This Row],[تعداد کل روزهای بدهکار (روز)]]*Main[[#This Row],[مانده در خط کل (کیلوگرم)]]</f>
        <v>46025</v>
      </c>
      <c r="X2596" s="6">
        <f ca="1">-SUBTOTAL(9,INDEX(Main[مقدار تسویه شده (کیلوگرم)],1):Main[[#This Row],[مقدار تسویه شده (کیلوگرم)]])</f>
        <v>12036</v>
      </c>
      <c r="Y2596" s="6">
        <f ca="1">IF(Main[[#This Row],[مانده در خط تسویه شده (کیلوگرم)]]&lt;&gt;0,Main[[#This Row],[تعداد کل روزهای بدهکار (روز)]],0)</f>
        <v>1</v>
      </c>
      <c r="Z2596" s="6">
        <f ca="1">Main[[#This Row],[تعداد روزهای بدهکار تسویه شده (روز)]]*Main[[#This Row],[مانده در خط تسویه شده (کیلوگرم)]]</f>
        <v>12036</v>
      </c>
      <c r="AA2596" s="6">
        <f ca="1">SUBTOTAL(9,INDEX(Main[بدهی تسویه نشده (کیلوگرم)],1):Main[[#This Row],[بدهی تسویه نشده (کیلوگرم)]])</f>
        <v>33989</v>
      </c>
      <c r="AB2596" s="6">
        <f ca="1">IF(Main[[#This Row],[مانده در خط تسویه نشده (کیلوگرم)]]&lt;&gt;0,Main[[#This Row],[تعداد کل روزهای بدهکار (روز)]],0)</f>
        <v>1</v>
      </c>
      <c r="AC2596" s="6">
        <f ca="1">Main[[#This Row],[تعداد روزهای بدهکار  تسویه نشده (روز)]]*Main[[#This Row],[مانده در خط تسویه نشده (کیلوگرم)]]</f>
        <v>33989</v>
      </c>
      <c r="AD2596" s="6">
        <f ca="1">SUBTOTAL(9,INDEX(Main[بدهی سررسید شده (کیلوگرم)],1):Main[[#This Row],[بدهی سررسید شده (کیلوگرم)]])</f>
        <v>33989</v>
      </c>
      <c r="AE2596" s="6">
        <f ca="1">IF(Main[[#This Row],[مانده در خط سررسید شده (کیلوگرم)]]&lt;&gt;0,Main[[#This Row],[تعداد کل روزهای بدهکار (روز)]],0)</f>
        <v>1</v>
      </c>
      <c r="AF2596" s="6">
        <f ca="1">Main[[#This Row],[تعداد روزهای بدهکار سررسید شده (روز)]]*Main[[#This Row],[مانده در خط سررسید شده (کیلوگرم)]]</f>
        <v>33989</v>
      </c>
    </row>
    <row r="2597" spans="1:32" hidden="1" x14ac:dyDescent="0.35">
      <c r="A2597" s="5">
        <f>ROW()-ROW(INDEX(Main[ردیف],1))+1</f>
        <v>2595</v>
      </c>
      <c r="B2597" s="31">
        <f>SUBTOTAL(2,INDEX(Main[ردیف],1):Main[[#This Row],[ردیف]])</f>
        <v>233</v>
      </c>
      <c r="C2597" s="32" t="s">
        <v>817</v>
      </c>
      <c r="D2597" s="32" t="str">
        <f>_xlfn.CONCAT("14",Main[[#This Row],[تاريخ]])</f>
        <v>1400/09/29</v>
      </c>
      <c r="E2597" s="33">
        <v>44550</v>
      </c>
      <c r="F2597" s="32">
        <v>30009</v>
      </c>
      <c r="G2597" s="5" t="str">
        <f>INDEX(customer[عنوان],MATCH(Main[[#This Row],[کد ردیابی]],customer[کد],0))</f>
        <v>شرکت ایمن تک پیشرو</v>
      </c>
      <c r="H2597">
        <v>451</v>
      </c>
      <c r="I2597" s="6">
        <f ca="1">-Main[[#This Row],[بدهی تسویه شده (کیلوگرم)]]+Main[[#This Row],[بستانکار (کیلوگرم)]]</f>
        <v>451</v>
      </c>
      <c r="J2597" s="6">
        <f>IF(Main[[#This Row],[مقدار (کیلوگرم)]]&gt;0,Main[[#This Row],[مقدار (کیلوگرم)]],0)</f>
        <v>451</v>
      </c>
      <c r="K2597" s="6">
        <f>-IF(Main[[#This Row],[مقدار (کیلوگرم)]]&lt;0,Main[[#This Row],[مقدار (کیلوگرم)]],0)</f>
        <v>0</v>
      </c>
      <c r="L25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7" s="7">
        <f>-IF(AND(Main[[#This Row],[مقدار (کیلوگرم)]]&lt;0,Main[[#This Row],[تاريخ میلادی]]&gt;44276),Main[[#This Row],[مقدار (کیلوگرم)]],0)</f>
        <v>0</v>
      </c>
      <c r="N2597" s="6">
        <f ca="1">Main[[#This Row],[بدهکار (کیلوگرم)]]-Main[[#This Row],[بدهی تسویه نشده (کیلوگرم)]]</f>
        <v>0</v>
      </c>
      <c r="O2597" s="6">
        <f ca="1">Main[[#This Row],[تفکیک]]</f>
        <v>0</v>
      </c>
      <c r="P2597" s="6">
        <f ca="1">IF(Main[[#This Row],[تاخیر از سررسید]]&gt;0,Main[[#This Row],[بدهی تسویه نشده (کیلوگرم)]],0)</f>
        <v>0</v>
      </c>
      <c r="Q2597" s="6">
        <f ca="1">IF(Main[[#This Row],[بدهی تسویه نشده (کیلوگرم)]]&gt;0,'گزارش فردی'!$B$7-Main[[#This Row],[تاريخ میلادی]],0)</f>
        <v>0</v>
      </c>
      <c r="R2597" s="6">
        <f ca="1">IF(Main[[#This Row],[بدهی تسویه نشده (کیلوگرم)]]&gt;0,'گزارش فردی'!$B$7-Main[[#This Row],[تاريخ میلادی]]-'گزارش فردی'!$B$8,0)</f>
        <v>0</v>
      </c>
      <c r="S2597" s="6">
        <f ca="1">Main[[#This Row],[روز از ارسال سفارش]]*Main[[#This Row],[بدهی تسویه نشده (کیلوگرم)]]</f>
        <v>0</v>
      </c>
      <c r="T2597" s="6">
        <f ca="1">Main[[#This Row],[بدهی سررسید شده (کیلوگرم)]]*Main[[#This Row],[روز از ارسال سفارش]]</f>
        <v>0</v>
      </c>
      <c r="U2597" s="6">
        <f>-SUBTOTAL(9,INDEX(Main[مقدار (کیلوگرم)],1):Main[[#This Row],[مقدار (کیلوگرم)]])</f>
        <v>46025</v>
      </c>
      <c r="V25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7" s="6">
        <f>Main[[#This Row],[تعداد کل روزهای بدهکار (روز)]]*Main[[#This Row],[مانده در خط کل (کیلوگرم)]]</f>
        <v>46025</v>
      </c>
      <c r="X2597" s="6">
        <f ca="1">-SUBTOTAL(9,INDEX(Main[مقدار تسویه شده (کیلوگرم)],1):Main[[#This Row],[مقدار تسویه شده (کیلوگرم)]])</f>
        <v>12036</v>
      </c>
      <c r="Y2597" s="6">
        <f ca="1">IF(Main[[#This Row],[مانده در خط تسویه شده (کیلوگرم)]]&lt;&gt;0,Main[[#This Row],[تعداد کل روزهای بدهکار (روز)]],0)</f>
        <v>1</v>
      </c>
      <c r="Z2597" s="6">
        <f ca="1">Main[[#This Row],[تعداد روزهای بدهکار تسویه شده (روز)]]*Main[[#This Row],[مانده در خط تسویه شده (کیلوگرم)]]</f>
        <v>12036</v>
      </c>
      <c r="AA2597" s="6">
        <f ca="1">SUBTOTAL(9,INDEX(Main[بدهی تسویه نشده (کیلوگرم)],1):Main[[#This Row],[بدهی تسویه نشده (کیلوگرم)]])</f>
        <v>33989</v>
      </c>
      <c r="AB2597" s="6">
        <f ca="1">IF(Main[[#This Row],[مانده در خط تسویه نشده (کیلوگرم)]]&lt;&gt;0,Main[[#This Row],[تعداد کل روزهای بدهکار (روز)]],0)</f>
        <v>1</v>
      </c>
      <c r="AC2597" s="6">
        <f ca="1">Main[[#This Row],[تعداد روزهای بدهکار  تسویه نشده (روز)]]*Main[[#This Row],[مانده در خط تسویه نشده (کیلوگرم)]]</f>
        <v>33989</v>
      </c>
      <c r="AD2597" s="6">
        <f ca="1">SUBTOTAL(9,INDEX(Main[بدهی سررسید شده (کیلوگرم)],1):Main[[#This Row],[بدهی سررسید شده (کیلوگرم)]])</f>
        <v>33989</v>
      </c>
      <c r="AE2597" s="6">
        <f ca="1">IF(Main[[#This Row],[مانده در خط سررسید شده (کیلوگرم)]]&lt;&gt;0,Main[[#This Row],[تعداد کل روزهای بدهکار (روز)]],0)</f>
        <v>1</v>
      </c>
      <c r="AF2597" s="6">
        <f ca="1">Main[[#This Row],[تعداد روزهای بدهکار سررسید شده (روز)]]*Main[[#This Row],[مانده در خط سررسید شده (کیلوگرم)]]</f>
        <v>33989</v>
      </c>
    </row>
    <row r="2598" spans="1:32" hidden="1" x14ac:dyDescent="0.35">
      <c r="A2598" s="5">
        <f>ROW()-ROW(INDEX(Main[ردیف],1))+1</f>
        <v>2596</v>
      </c>
      <c r="B2598" s="31">
        <f>SUBTOTAL(2,INDEX(Main[ردیف],1):Main[[#This Row],[ردیف]])</f>
        <v>233</v>
      </c>
      <c r="C2598" s="32" t="s">
        <v>817</v>
      </c>
      <c r="D2598" s="32" t="str">
        <f>_xlfn.CONCAT("14",Main[[#This Row],[تاريخ]])</f>
        <v>1400/09/29</v>
      </c>
      <c r="E2598" s="33">
        <v>44550</v>
      </c>
      <c r="F2598" s="32">
        <v>30186</v>
      </c>
      <c r="G2598" s="5" t="str">
        <f>INDEX(customer[عنوان],MATCH(Main[[#This Row],[کد ردیابی]],customer[کد],0))</f>
        <v>سارا گاز</v>
      </c>
      <c r="H2598">
        <v>682</v>
      </c>
      <c r="I2598" s="6">
        <f ca="1">-Main[[#This Row],[بدهی تسویه شده (کیلوگرم)]]+Main[[#This Row],[بستانکار (کیلوگرم)]]</f>
        <v>682</v>
      </c>
      <c r="J2598" s="6">
        <f>IF(Main[[#This Row],[مقدار (کیلوگرم)]]&gt;0,Main[[#This Row],[مقدار (کیلوگرم)]],0)</f>
        <v>682</v>
      </c>
      <c r="K2598" s="6">
        <f>-IF(Main[[#This Row],[مقدار (کیلوگرم)]]&lt;0,Main[[#This Row],[مقدار (کیلوگرم)]],0)</f>
        <v>0</v>
      </c>
      <c r="L25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8" s="7">
        <f>-IF(AND(Main[[#This Row],[مقدار (کیلوگرم)]]&lt;0,Main[[#This Row],[تاريخ میلادی]]&gt;44276),Main[[#This Row],[مقدار (کیلوگرم)]],0)</f>
        <v>0</v>
      </c>
      <c r="N2598" s="6">
        <f ca="1">Main[[#This Row],[بدهکار (کیلوگرم)]]-Main[[#This Row],[بدهی تسویه نشده (کیلوگرم)]]</f>
        <v>0</v>
      </c>
      <c r="O2598" s="6">
        <f ca="1">Main[[#This Row],[تفکیک]]</f>
        <v>0</v>
      </c>
      <c r="P2598" s="6">
        <f ca="1">IF(Main[[#This Row],[تاخیر از سررسید]]&gt;0,Main[[#This Row],[بدهی تسویه نشده (کیلوگرم)]],0)</f>
        <v>0</v>
      </c>
      <c r="Q2598" s="6">
        <f ca="1">IF(Main[[#This Row],[بدهی تسویه نشده (کیلوگرم)]]&gt;0,'گزارش فردی'!$B$7-Main[[#This Row],[تاريخ میلادی]],0)</f>
        <v>0</v>
      </c>
      <c r="R2598" s="6">
        <f ca="1">IF(Main[[#This Row],[بدهی تسویه نشده (کیلوگرم)]]&gt;0,'گزارش فردی'!$B$7-Main[[#This Row],[تاريخ میلادی]]-'گزارش فردی'!$B$8,0)</f>
        <v>0</v>
      </c>
      <c r="S2598" s="6">
        <f ca="1">Main[[#This Row],[روز از ارسال سفارش]]*Main[[#This Row],[بدهی تسویه نشده (کیلوگرم)]]</f>
        <v>0</v>
      </c>
      <c r="T2598" s="6">
        <f ca="1">Main[[#This Row],[بدهی سررسید شده (کیلوگرم)]]*Main[[#This Row],[روز از ارسال سفارش]]</f>
        <v>0</v>
      </c>
      <c r="U2598" s="6">
        <f>-SUBTOTAL(9,INDEX(Main[مقدار (کیلوگرم)],1):Main[[#This Row],[مقدار (کیلوگرم)]])</f>
        <v>46025</v>
      </c>
      <c r="V25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8" s="6">
        <f>Main[[#This Row],[تعداد کل روزهای بدهکار (روز)]]*Main[[#This Row],[مانده در خط کل (کیلوگرم)]]</f>
        <v>46025</v>
      </c>
      <c r="X2598" s="6">
        <f ca="1">-SUBTOTAL(9,INDEX(Main[مقدار تسویه شده (کیلوگرم)],1):Main[[#This Row],[مقدار تسویه شده (کیلوگرم)]])</f>
        <v>12036</v>
      </c>
      <c r="Y2598" s="6">
        <f ca="1">IF(Main[[#This Row],[مانده در خط تسویه شده (کیلوگرم)]]&lt;&gt;0,Main[[#This Row],[تعداد کل روزهای بدهکار (روز)]],0)</f>
        <v>1</v>
      </c>
      <c r="Z2598" s="6">
        <f ca="1">Main[[#This Row],[تعداد روزهای بدهکار تسویه شده (روز)]]*Main[[#This Row],[مانده در خط تسویه شده (کیلوگرم)]]</f>
        <v>12036</v>
      </c>
      <c r="AA2598" s="6">
        <f ca="1">SUBTOTAL(9,INDEX(Main[بدهی تسویه نشده (کیلوگرم)],1):Main[[#This Row],[بدهی تسویه نشده (کیلوگرم)]])</f>
        <v>33989</v>
      </c>
      <c r="AB2598" s="6">
        <f ca="1">IF(Main[[#This Row],[مانده در خط تسویه نشده (کیلوگرم)]]&lt;&gt;0,Main[[#This Row],[تعداد کل روزهای بدهکار (روز)]],0)</f>
        <v>1</v>
      </c>
      <c r="AC2598" s="6">
        <f ca="1">Main[[#This Row],[تعداد روزهای بدهکار  تسویه نشده (روز)]]*Main[[#This Row],[مانده در خط تسویه نشده (کیلوگرم)]]</f>
        <v>33989</v>
      </c>
      <c r="AD2598" s="6">
        <f ca="1">SUBTOTAL(9,INDEX(Main[بدهی سررسید شده (کیلوگرم)],1):Main[[#This Row],[بدهی سررسید شده (کیلوگرم)]])</f>
        <v>33989</v>
      </c>
      <c r="AE2598" s="6">
        <f ca="1">IF(Main[[#This Row],[مانده در خط سررسید شده (کیلوگرم)]]&lt;&gt;0,Main[[#This Row],[تعداد کل روزهای بدهکار (روز)]],0)</f>
        <v>1</v>
      </c>
      <c r="AF2598" s="6">
        <f ca="1">Main[[#This Row],[تعداد روزهای بدهکار سررسید شده (روز)]]*Main[[#This Row],[مانده در خط سررسید شده (کیلوگرم)]]</f>
        <v>33989</v>
      </c>
    </row>
    <row r="2599" spans="1:32" hidden="1" x14ac:dyDescent="0.35">
      <c r="A2599" s="5">
        <f>ROW()-ROW(INDEX(Main[ردیف],1))+1</f>
        <v>2597</v>
      </c>
      <c r="B2599" s="31">
        <f>SUBTOTAL(2,INDEX(Main[ردیف],1):Main[[#This Row],[ردیف]])</f>
        <v>233</v>
      </c>
      <c r="C2599" s="32" t="s">
        <v>818</v>
      </c>
      <c r="D2599" s="32" t="str">
        <f>_xlfn.CONCAT("14",Main[[#This Row],[تاريخ]])</f>
        <v>1400/09/30</v>
      </c>
      <c r="E2599" s="33">
        <v>44551</v>
      </c>
      <c r="F2599" s="32">
        <v>30164</v>
      </c>
      <c r="G2599" s="5" t="str">
        <f>INDEX(customer[عنوان],MATCH(Main[[#This Row],[کد ردیابی]],customer[کد],0))</f>
        <v xml:space="preserve">پارت الکتریک </v>
      </c>
      <c r="H2599">
        <v>-1001</v>
      </c>
      <c r="I2599" s="6">
        <f ca="1">-Main[[#This Row],[بدهی تسویه شده (کیلوگرم)]]+Main[[#This Row],[بستانکار (کیلوگرم)]]</f>
        <v>0</v>
      </c>
      <c r="J2599" s="6">
        <f>IF(Main[[#This Row],[مقدار (کیلوگرم)]]&gt;0,Main[[#This Row],[مقدار (کیلوگرم)]],0)</f>
        <v>0</v>
      </c>
      <c r="K2599" s="6">
        <f>-IF(Main[[#This Row],[مقدار (کیلوگرم)]]&lt;0,Main[[#This Row],[مقدار (کیلوگرم)]],0)</f>
        <v>1001</v>
      </c>
      <c r="L25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1001</v>
      </c>
      <c r="M2599" s="7">
        <f>-IF(AND(Main[[#This Row],[مقدار (کیلوگرم)]]&lt;0,Main[[#This Row],[تاريخ میلادی]]&gt;44276),Main[[#This Row],[مقدار (کیلوگرم)]],0)</f>
        <v>1001</v>
      </c>
      <c r="N2599" s="6">
        <f ca="1">Main[[#This Row],[بدهکار (کیلوگرم)]]-Main[[#This Row],[بدهی تسویه نشده (کیلوگرم)]]</f>
        <v>0</v>
      </c>
      <c r="O2599" s="6">
        <f ca="1">Main[[#This Row],[تفکیک]]</f>
        <v>1001</v>
      </c>
      <c r="P2599" s="6">
        <f ca="1">IF(Main[[#This Row],[تاخیر از سررسید]]&gt;0,Main[[#This Row],[بدهی تسویه نشده (کیلوگرم)]],0)</f>
        <v>1001</v>
      </c>
      <c r="Q2599" s="6">
        <f ca="1">IF(Main[[#This Row],[بدهی تسویه نشده (کیلوگرم)]]&gt;0,'گزارش فردی'!$B$7-Main[[#This Row],[تاريخ میلادی]],0)</f>
        <v>911.75374085648218</v>
      </c>
      <c r="R2599" s="6">
        <f ca="1">IF(Main[[#This Row],[بدهی تسویه نشده (کیلوگرم)]]&gt;0,'گزارش فردی'!$B$7-Main[[#This Row],[تاريخ میلادی]]-'گزارش فردی'!$B$8,0)</f>
        <v>896.75374085648218</v>
      </c>
      <c r="S2599" s="6">
        <f ca="1">Main[[#This Row],[روز از ارسال سفارش]]*Main[[#This Row],[بدهی تسویه نشده (کیلوگرم)]]</f>
        <v>912665.49459733861</v>
      </c>
      <c r="T2599" s="6">
        <f ca="1">Main[[#This Row],[بدهی سررسید شده (کیلوگرم)]]*Main[[#This Row],[روز از ارسال سفارش]]</f>
        <v>912665.49459733861</v>
      </c>
      <c r="U2599" s="6">
        <f>-SUBTOTAL(9,INDEX(Main[مقدار (کیلوگرم)],1):Main[[#This Row],[مقدار (کیلوگرم)]])</f>
        <v>46025</v>
      </c>
      <c r="V25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99" s="6">
        <f>Main[[#This Row],[تعداد کل روزهای بدهکار (روز)]]*Main[[#This Row],[مانده در خط کل (کیلوگرم)]]</f>
        <v>0</v>
      </c>
      <c r="X2599" s="6">
        <f ca="1">-SUBTOTAL(9,INDEX(Main[مقدار تسویه شده (کیلوگرم)],1):Main[[#This Row],[مقدار تسویه شده (کیلوگرم)]])</f>
        <v>12036</v>
      </c>
      <c r="Y2599" s="6">
        <f ca="1">IF(Main[[#This Row],[مانده در خط تسویه شده (کیلوگرم)]]&lt;&gt;0,Main[[#This Row],[تعداد کل روزهای بدهکار (روز)]],0)</f>
        <v>0</v>
      </c>
      <c r="Z2599" s="6">
        <f ca="1">Main[[#This Row],[تعداد روزهای بدهکار تسویه شده (روز)]]*Main[[#This Row],[مانده در خط تسویه شده (کیلوگرم)]]</f>
        <v>0</v>
      </c>
      <c r="AA2599" s="6">
        <f ca="1">SUBTOTAL(9,INDEX(Main[بدهی تسویه نشده (کیلوگرم)],1):Main[[#This Row],[بدهی تسویه نشده (کیلوگرم)]])</f>
        <v>33989</v>
      </c>
      <c r="AB2599" s="6">
        <f ca="1">IF(Main[[#This Row],[مانده در خط تسویه نشده (کیلوگرم)]]&lt;&gt;0,Main[[#This Row],[تعداد کل روزهای بدهکار (روز)]],0)</f>
        <v>0</v>
      </c>
      <c r="AC2599" s="6">
        <f ca="1">Main[[#This Row],[تعداد روزهای بدهکار  تسویه نشده (روز)]]*Main[[#This Row],[مانده در خط تسویه نشده (کیلوگرم)]]</f>
        <v>0</v>
      </c>
      <c r="AD2599" s="6">
        <f ca="1">SUBTOTAL(9,INDEX(Main[بدهی سررسید شده (کیلوگرم)],1):Main[[#This Row],[بدهی سررسید شده (کیلوگرم)]])</f>
        <v>33989</v>
      </c>
      <c r="AE2599" s="6">
        <f ca="1">IF(Main[[#This Row],[مانده در خط سررسید شده (کیلوگرم)]]&lt;&gt;0,Main[[#This Row],[تعداد کل روزهای بدهکار (روز)]],0)</f>
        <v>0</v>
      </c>
      <c r="AF2599" s="6">
        <f ca="1">Main[[#This Row],[تعداد روزهای بدهکار سررسید شده (روز)]]*Main[[#This Row],[مانده در خط سررسید شده (کیلوگرم)]]</f>
        <v>0</v>
      </c>
    </row>
    <row r="2600" spans="1:32" hidden="1" x14ac:dyDescent="0.35">
      <c r="A2600" s="5">
        <f>ROW()-ROW(INDEX(Main[ردیف],1))+1</f>
        <v>2598</v>
      </c>
      <c r="B2600" s="31">
        <f>SUBTOTAL(2,INDEX(Main[ردیف],1):Main[[#This Row],[ردیف]])</f>
        <v>233</v>
      </c>
      <c r="C2600" s="32" t="s">
        <v>818</v>
      </c>
      <c r="D2600" s="32" t="str">
        <f>_xlfn.CONCAT("14",Main[[#This Row],[تاريخ]])</f>
        <v>1400/09/30</v>
      </c>
      <c r="E2600" s="33">
        <v>44551</v>
      </c>
      <c r="F2600" s="32">
        <v>30014</v>
      </c>
      <c r="G2600" s="5" t="str">
        <f>INDEX(customer[عنوان],MATCH(Main[[#This Row],[کد ردیابی]],customer[کد],0))</f>
        <v>کلون</v>
      </c>
      <c r="H2600">
        <v>2144</v>
      </c>
      <c r="I2600" s="6">
        <f ca="1">-Main[[#This Row],[بدهی تسویه شده (کیلوگرم)]]+Main[[#This Row],[بستانکار (کیلوگرم)]]</f>
        <v>2144</v>
      </c>
      <c r="J2600" s="6">
        <f>IF(Main[[#This Row],[مقدار (کیلوگرم)]]&gt;0,Main[[#This Row],[مقدار (کیلوگرم)]],0)</f>
        <v>2144</v>
      </c>
      <c r="K2600" s="6">
        <f>-IF(Main[[#This Row],[مقدار (کیلوگرم)]]&lt;0,Main[[#This Row],[مقدار (کیلوگرم)]],0)</f>
        <v>0</v>
      </c>
      <c r="L26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0" s="7">
        <f>-IF(AND(Main[[#This Row],[مقدار (کیلوگرم)]]&lt;0,Main[[#This Row],[تاريخ میلادی]]&gt;44276),Main[[#This Row],[مقدار (کیلوگرم)]],0)</f>
        <v>0</v>
      </c>
      <c r="N2600" s="6">
        <f ca="1">Main[[#This Row],[بدهکار (کیلوگرم)]]-Main[[#This Row],[بدهی تسویه نشده (کیلوگرم)]]</f>
        <v>0</v>
      </c>
      <c r="O2600" s="6">
        <f ca="1">Main[[#This Row],[تفکیک]]</f>
        <v>0</v>
      </c>
      <c r="P2600" s="6">
        <f ca="1">IF(Main[[#This Row],[تاخیر از سررسید]]&gt;0,Main[[#This Row],[بدهی تسویه نشده (کیلوگرم)]],0)</f>
        <v>0</v>
      </c>
      <c r="Q2600" s="6">
        <f ca="1">IF(Main[[#This Row],[بدهی تسویه نشده (کیلوگرم)]]&gt;0,'گزارش فردی'!$B$7-Main[[#This Row],[تاريخ میلادی]],0)</f>
        <v>0</v>
      </c>
      <c r="R2600" s="6">
        <f ca="1">IF(Main[[#This Row],[بدهی تسویه نشده (کیلوگرم)]]&gt;0,'گزارش فردی'!$B$7-Main[[#This Row],[تاريخ میلادی]]-'گزارش فردی'!$B$8,0)</f>
        <v>0</v>
      </c>
      <c r="S2600" s="6">
        <f ca="1">Main[[#This Row],[روز از ارسال سفارش]]*Main[[#This Row],[بدهی تسویه نشده (کیلوگرم)]]</f>
        <v>0</v>
      </c>
      <c r="T2600" s="6">
        <f ca="1">Main[[#This Row],[بدهی سررسید شده (کیلوگرم)]]*Main[[#This Row],[روز از ارسال سفارش]]</f>
        <v>0</v>
      </c>
      <c r="U2600" s="6">
        <f>-SUBTOTAL(9,INDEX(Main[مقدار (کیلوگرم)],1):Main[[#This Row],[مقدار (کیلوگرم)]])</f>
        <v>46025</v>
      </c>
      <c r="V26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0" s="6">
        <f>Main[[#This Row],[تعداد کل روزهای بدهکار (روز)]]*Main[[#This Row],[مانده در خط کل (کیلوگرم)]]</f>
        <v>0</v>
      </c>
      <c r="X2600" s="6">
        <f ca="1">-SUBTOTAL(9,INDEX(Main[مقدار تسویه شده (کیلوگرم)],1):Main[[#This Row],[مقدار تسویه شده (کیلوگرم)]])</f>
        <v>12036</v>
      </c>
      <c r="Y2600" s="6">
        <f ca="1">IF(Main[[#This Row],[مانده در خط تسویه شده (کیلوگرم)]]&lt;&gt;0,Main[[#This Row],[تعداد کل روزهای بدهکار (روز)]],0)</f>
        <v>0</v>
      </c>
      <c r="Z2600" s="6">
        <f ca="1">Main[[#This Row],[تعداد روزهای بدهکار تسویه شده (روز)]]*Main[[#This Row],[مانده در خط تسویه شده (کیلوگرم)]]</f>
        <v>0</v>
      </c>
      <c r="AA2600" s="6">
        <f ca="1">SUBTOTAL(9,INDEX(Main[بدهی تسویه نشده (کیلوگرم)],1):Main[[#This Row],[بدهی تسویه نشده (کیلوگرم)]])</f>
        <v>33989</v>
      </c>
      <c r="AB2600" s="6">
        <f ca="1">IF(Main[[#This Row],[مانده در خط تسویه نشده (کیلوگرم)]]&lt;&gt;0,Main[[#This Row],[تعداد کل روزهای بدهکار (روز)]],0)</f>
        <v>0</v>
      </c>
      <c r="AC2600" s="6">
        <f ca="1">Main[[#This Row],[تعداد روزهای بدهکار  تسویه نشده (روز)]]*Main[[#This Row],[مانده در خط تسویه نشده (کیلوگرم)]]</f>
        <v>0</v>
      </c>
      <c r="AD2600" s="6">
        <f ca="1">SUBTOTAL(9,INDEX(Main[بدهی سررسید شده (کیلوگرم)],1):Main[[#This Row],[بدهی سررسید شده (کیلوگرم)]])</f>
        <v>33989</v>
      </c>
      <c r="AE2600" s="6">
        <f ca="1">IF(Main[[#This Row],[مانده در خط سررسید شده (کیلوگرم)]]&lt;&gt;0,Main[[#This Row],[تعداد کل روزهای بدهکار (روز)]],0)</f>
        <v>0</v>
      </c>
      <c r="AF2600" s="6">
        <f ca="1">Main[[#This Row],[تعداد روزهای بدهکار سررسید شده (روز)]]*Main[[#This Row],[مانده در خط سررسید شده (کیلوگرم)]]</f>
        <v>0</v>
      </c>
    </row>
    <row r="2601" spans="1:32" hidden="1" x14ac:dyDescent="0.35">
      <c r="A2601" s="5">
        <f>ROW()-ROW(INDEX(Main[ردیف],1))+1</f>
        <v>2599</v>
      </c>
      <c r="B2601" s="31">
        <f>SUBTOTAL(2,INDEX(Main[ردیف],1):Main[[#This Row],[ردیف]])</f>
        <v>233</v>
      </c>
      <c r="C2601" s="32" t="s">
        <v>818</v>
      </c>
      <c r="D2601" s="32" t="str">
        <f>_xlfn.CONCAT("14",Main[[#This Row],[تاريخ]])</f>
        <v>1400/09/30</v>
      </c>
      <c r="E2601" s="33">
        <v>44551</v>
      </c>
      <c r="F2601" s="32">
        <v>10026</v>
      </c>
      <c r="G2601" s="5" t="str">
        <f>INDEX(customer[عنوان],MATCH(Main[[#This Row],[کد ردیابی]],customer[کد],0))</f>
        <v xml:space="preserve">محسن فیاض بخش </v>
      </c>
      <c r="H2601">
        <v>-966</v>
      </c>
      <c r="I2601" s="6">
        <f ca="1">-Main[[#This Row],[بدهی تسویه شده (کیلوگرم)]]+Main[[#This Row],[بستانکار (کیلوگرم)]]</f>
        <v>0</v>
      </c>
      <c r="J2601" s="6">
        <f>IF(Main[[#This Row],[مقدار (کیلوگرم)]]&gt;0,Main[[#This Row],[مقدار (کیلوگرم)]],0)</f>
        <v>0</v>
      </c>
      <c r="K2601" s="6">
        <f>-IF(Main[[#This Row],[مقدار (کیلوگرم)]]&lt;0,Main[[#This Row],[مقدار (کیلوگرم)]],0)</f>
        <v>966</v>
      </c>
      <c r="L26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966</v>
      </c>
      <c r="M2601" s="7">
        <f>-IF(AND(Main[[#This Row],[مقدار (کیلوگرم)]]&lt;0,Main[[#This Row],[تاريخ میلادی]]&gt;44276),Main[[#This Row],[مقدار (کیلوگرم)]],0)</f>
        <v>966</v>
      </c>
      <c r="N2601" s="6">
        <f ca="1">Main[[#This Row],[بدهکار (کیلوگرم)]]-Main[[#This Row],[بدهی تسویه نشده (کیلوگرم)]]</f>
        <v>0</v>
      </c>
      <c r="O2601" s="6">
        <f ca="1">Main[[#This Row],[تفکیک]]</f>
        <v>966</v>
      </c>
      <c r="P2601" s="6">
        <f ca="1">IF(Main[[#This Row],[تاخیر از سررسید]]&gt;0,Main[[#This Row],[بدهی تسویه نشده (کیلوگرم)]],0)</f>
        <v>966</v>
      </c>
      <c r="Q2601" s="6">
        <f ca="1">IF(Main[[#This Row],[بدهی تسویه نشده (کیلوگرم)]]&gt;0,'گزارش فردی'!$B$7-Main[[#This Row],[تاريخ میلادی]],0)</f>
        <v>911.75374085648218</v>
      </c>
      <c r="R2601" s="6">
        <f ca="1">IF(Main[[#This Row],[بدهی تسویه نشده (کیلوگرم)]]&gt;0,'گزارش فردی'!$B$7-Main[[#This Row],[تاريخ میلادی]]-'گزارش فردی'!$B$8,0)</f>
        <v>896.75374085648218</v>
      </c>
      <c r="S2601" s="6">
        <f ca="1">Main[[#This Row],[روز از ارسال سفارش]]*Main[[#This Row],[بدهی تسویه نشده (کیلوگرم)]]</f>
        <v>880754.11366736179</v>
      </c>
      <c r="T2601" s="6">
        <f ca="1">Main[[#This Row],[بدهی سررسید شده (کیلوگرم)]]*Main[[#This Row],[روز از ارسال سفارش]]</f>
        <v>880754.11366736179</v>
      </c>
      <c r="U2601" s="6">
        <f>-SUBTOTAL(9,INDEX(Main[مقدار (کیلوگرم)],1):Main[[#This Row],[مقدار (کیلوگرم)]])</f>
        <v>46025</v>
      </c>
      <c r="V26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1" s="6">
        <f>Main[[#This Row],[تعداد کل روزهای بدهکار (روز)]]*Main[[#This Row],[مانده در خط کل (کیلوگرم)]]</f>
        <v>0</v>
      </c>
      <c r="X2601" s="6">
        <f ca="1">-SUBTOTAL(9,INDEX(Main[مقدار تسویه شده (کیلوگرم)],1):Main[[#This Row],[مقدار تسویه شده (کیلوگرم)]])</f>
        <v>12036</v>
      </c>
      <c r="Y2601" s="6">
        <f ca="1">IF(Main[[#This Row],[مانده در خط تسویه شده (کیلوگرم)]]&lt;&gt;0,Main[[#This Row],[تعداد کل روزهای بدهکار (روز)]],0)</f>
        <v>0</v>
      </c>
      <c r="Z2601" s="6">
        <f ca="1">Main[[#This Row],[تعداد روزهای بدهکار تسویه شده (روز)]]*Main[[#This Row],[مانده در خط تسویه شده (کیلوگرم)]]</f>
        <v>0</v>
      </c>
      <c r="AA2601" s="6">
        <f ca="1">SUBTOTAL(9,INDEX(Main[بدهی تسویه نشده (کیلوگرم)],1):Main[[#This Row],[بدهی تسویه نشده (کیلوگرم)]])</f>
        <v>33989</v>
      </c>
      <c r="AB2601" s="6">
        <f ca="1">IF(Main[[#This Row],[مانده در خط تسویه نشده (کیلوگرم)]]&lt;&gt;0,Main[[#This Row],[تعداد کل روزهای بدهکار (روز)]],0)</f>
        <v>0</v>
      </c>
      <c r="AC2601" s="6">
        <f ca="1">Main[[#This Row],[تعداد روزهای بدهکار  تسویه نشده (روز)]]*Main[[#This Row],[مانده در خط تسویه نشده (کیلوگرم)]]</f>
        <v>0</v>
      </c>
      <c r="AD2601" s="6">
        <f ca="1">SUBTOTAL(9,INDEX(Main[بدهی سررسید شده (کیلوگرم)],1):Main[[#This Row],[بدهی سررسید شده (کیلوگرم)]])</f>
        <v>33989</v>
      </c>
      <c r="AE2601" s="6">
        <f ca="1">IF(Main[[#This Row],[مانده در خط سررسید شده (کیلوگرم)]]&lt;&gt;0,Main[[#This Row],[تعداد کل روزهای بدهکار (روز)]],0)</f>
        <v>0</v>
      </c>
      <c r="AF2601" s="6">
        <f ca="1">Main[[#This Row],[تعداد روزهای بدهکار سررسید شده (روز)]]*Main[[#This Row],[مانده در خط سررسید شده (کیلوگرم)]]</f>
        <v>0</v>
      </c>
    </row>
    <row r="2602" spans="1:32" hidden="1" x14ac:dyDescent="0.35">
      <c r="A2602" s="5">
        <f>ROW()-ROW(INDEX(Main[ردیف],1))+1</f>
        <v>2600</v>
      </c>
      <c r="B2602" s="31">
        <f>SUBTOTAL(2,INDEX(Main[ردیف],1):Main[[#This Row],[ردیف]])</f>
        <v>233</v>
      </c>
      <c r="C2602" s="32" t="s">
        <v>818</v>
      </c>
      <c r="D2602" s="32" t="str">
        <f>_xlfn.CONCAT("14",Main[[#This Row],[تاريخ]])</f>
        <v>1400/09/30</v>
      </c>
      <c r="E2602" s="33">
        <v>44551</v>
      </c>
      <c r="F2602" s="32">
        <v>30014</v>
      </c>
      <c r="G2602" s="5" t="str">
        <f>INDEX(customer[عنوان],MATCH(Main[[#This Row],[کد ردیابی]],customer[کد],0))</f>
        <v>کلون</v>
      </c>
      <c r="H2602">
        <v>70</v>
      </c>
      <c r="I2602" s="6">
        <f ca="1">-Main[[#This Row],[بدهی تسویه شده (کیلوگرم)]]+Main[[#This Row],[بستانکار (کیلوگرم)]]</f>
        <v>70</v>
      </c>
      <c r="J2602" s="6">
        <f>IF(Main[[#This Row],[مقدار (کیلوگرم)]]&gt;0,Main[[#This Row],[مقدار (کیلوگرم)]],0)</f>
        <v>70</v>
      </c>
      <c r="K2602" s="6">
        <f>-IF(Main[[#This Row],[مقدار (کیلوگرم)]]&lt;0,Main[[#This Row],[مقدار (کیلوگرم)]],0)</f>
        <v>0</v>
      </c>
      <c r="L26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2" s="7">
        <f>-IF(AND(Main[[#This Row],[مقدار (کیلوگرم)]]&lt;0,Main[[#This Row],[تاريخ میلادی]]&gt;44276),Main[[#This Row],[مقدار (کیلوگرم)]],0)</f>
        <v>0</v>
      </c>
      <c r="N2602" s="6">
        <f ca="1">Main[[#This Row],[بدهکار (کیلوگرم)]]-Main[[#This Row],[بدهی تسویه نشده (کیلوگرم)]]</f>
        <v>0</v>
      </c>
      <c r="O2602" s="6">
        <f ca="1">Main[[#This Row],[تفکیک]]</f>
        <v>0</v>
      </c>
      <c r="P2602" s="6">
        <f ca="1">IF(Main[[#This Row],[تاخیر از سررسید]]&gt;0,Main[[#This Row],[بدهی تسویه نشده (کیلوگرم)]],0)</f>
        <v>0</v>
      </c>
      <c r="Q2602" s="6">
        <f ca="1">IF(Main[[#This Row],[بدهی تسویه نشده (کیلوگرم)]]&gt;0,'گزارش فردی'!$B$7-Main[[#This Row],[تاريخ میلادی]],0)</f>
        <v>0</v>
      </c>
      <c r="R2602" s="6">
        <f ca="1">IF(Main[[#This Row],[بدهی تسویه نشده (کیلوگرم)]]&gt;0,'گزارش فردی'!$B$7-Main[[#This Row],[تاريخ میلادی]]-'گزارش فردی'!$B$8,0)</f>
        <v>0</v>
      </c>
      <c r="S2602" s="6">
        <f ca="1">Main[[#This Row],[روز از ارسال سفارش]]*Main[[#This Row],[بدهی تسویه نشده (کیلوگرم)]]</f>
        <v>0</v>
      </c>
      <c r="T2602" s="6">
        <f ca="1">Main[[#This Row],[بدهی سررسید شده (کیلوگرم)]]*Main[[#This Row],[روز از ارسال سفارش]]</f>
        <v>0</v>
      </c>
      <c r="U2602" s="6">
        <f>-SUBTOTAL(9,INDEX(Main[مقدار (کیلوگرم)],1):Main[[#This Row],[مقدار (کیلوگرم)]])</f>
        <v>46025</v>
      </c>
      <c r="V26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2" s="6">
        <f>Main[[#This Row],[تعداد کل روزهای بدهکار (روز)]]*Main[[#This Row],[مانده در خط کل (کیلوگرم)]]</f>
        <v>0</v>
      </c>
      <c r="X2602" s="6">
        <f ca="1">-SUBTOTAL(9,INDEX(Main[مقدار تسویه شده (کیلوگرم)],1):Main[[#This Row],[مقدار تسویه شده (کیلوگرم)]])</f>
        <v>12036</v>
      </c>
      <c r="Y2602" s="6">
        <f ca="1">IF(Main[[#This Row],[مانده در خط تسویه شده (کیلوگرم)]]&lt;&gt;0,Main[[#This Row],[تعداد کل روزهای بدهکار (روز)]],0)</f>
        <v>0</v>
      </c>
      <c r="Z2602" s="6">
        <f ca="1">Main[[#This Row],[تعداد روزهای بدهکار تسویه شده (روز)]]*Main[[#This Row],[مانده در خط تسویه شده (کیلوگرم)]]</f>
        <v>0</v>
      </c>
      <c r="AA2602" s="6">
        <f ca="1">SUBTOTAL(9,INDEX(Main[بدهی تسویه نشده (کیلوگرم)],1):Main[[#This Row],[بدهی تسویه نشده (کیلوگرم)]])</f>
        <v>33989</v>
      </c>
      <c r="AB2602" s="6">
        <f ca="1">IF(Main[[#This Row],[مانده در خط تسویه نشده (کیلوگرم)]]&lt;&gt;0,Main[[#This Row],[تعداد کل روزهای بدهکار (روز)]],0)</f>
        <v>0</v>
      </c>
      <c r="AC2602" s="6">
        <f ca="1">Main[[#This Row],[تعداد روزهای بدهکار  تسویه نشده (روز)]]*Main[[#This Row],[مانده در خط تسویه نشده (کیلوگرم)]]</f>
        <v>0</v>
      </c>
      <c r="AD2602" s="6">
        <f ca="1">SUBTOTAL(9,INDEX(Main[بدهی سررسید شده (کیلوگرم)],1):Main[[#This Row],[بدهی سررسید شده (کیلوگرم)]])</f>
        <v>33989</v>
      </c>
      <c r="AE2602" s="6">
        <f ca="1">IF(Main[[#This Row],[مانده در خط سررسید شده (کیلوگرم)]]&lt;&gt;0,Main[[#This Row],[تعداد کل روزهای بدهکار (روز)]],0)</f>
        <v>0</v>
      </c>
      <c r="AF2602" s="6">
        <f ca="1">Main[[#This Row],[تعداد روزهای بدهکار سررسید شده (روز)]]*Main[[#This Row],[مانده در خط سررسید شده (کیلوگرم)]]</f>
        <v>0</v>
      </c>
    </row>
    <row r="2603" spans="1:32" x14ac:dyDescent="0.35">
      <c r="A2603" s="5">
        <f>ROW()-ROW(INDEX(Main[ردیف],1))+1</f>
        <v>2601</v>
      </c>
      <c r="B2603" s="31">
        <f>SUBTOTAL(2,INDEX(Main[ردیف],1):Main[[#This Row],[ردیف]])</f>
        <v>234</v>
      </c>
      <c r="C2603" s="32" t="s">
        <v>818</v>
      </c>
      <c r="D2603" s="32" t="str">
        <f>_xlfn.CONCAT("14",Main[[#This Row],[تاريخ]])</f>
        <v>1400/09/30</v>
      </c>
      <c r="E2603" s="33">
        <v>44551</v>
      </c>
      <c r="F2603" s="32">
        <v>10003</v>
      </c>
      <c r="G2603" s="5" t="str">
        <f>INDEX(customer[عنوان],MATCH(Main[[#This Row],[کد ردیابی]],customer[کد],0))</f>
        <v>اصغر نورعلی</v>
      </c>
      <c r="H2603">
        <v>-2240</v>
      </c>
      <c r="I2603" s="6">
        <f ca="1">-Main[[#This Row],[بدهی تسویه شده (کیلوگرم)]]+Main[[#This Row],[بستانکار (کیلوگرم)]]</f>
        <v>0</v>
      </c>
      <c r="J2603" s="6">
        <f>IF(Main[[#This Row],[مقدار (کیلوگرم)]]&gt;0,Main[[#This Row],[مقدار (کیلوگرم)]],0)</f>
        <v>0</v>
      </c>
      <c r="K2603" s="6">
        <f>-IF(Main[[#This Row],[مقدار (کیلوگرم)]]&lt;0,Main[[#This Row],[مقدار (کیلوگرم)]],0)</f>
        <v>2240</v>
      </c>
      <c r="L26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2240</v>
      </c>
      <c r="M2603" s="7">
        <f>-IF(AND(Main[[#This Row],[مقدار (کیلوگرم)]]&lt;0,Main[[#This Row],[تاريخ میلادی]]&gt;44276),Main[[#This Row],[مقدار (کیلوگرم)]],0)</f>
        <v>2240</v>
      </c>
      <c r="N2603" s="6">
        <f ca="1">Main[[#This Row],[بدهکار (کیلوگرم)]]-Main[[#This Row],[بدهی تسویه نشده (کیلوگرم)]]</f>
        <v>0</v>
      </c>
      <c r="O2603" s="6">
        <f ca="1">Main[[#This Row],[تفکیک]]</f>
        <v>2240</v>
      </c>
      <c r="P2603" s="6">
        <f ca="1">IF(Main[[#This Row],[تاخیر از سررسید]]&gt;0,Main[[#This Row],[بدهی تسویه نشده (کیلوگرم)]],0)</f>
        <v>2240</v>
      </c>
      <c r="Q2603" s="6">
        <f ca="1">IF(Main[[#This Row],[بدهی تسویه نشده (کیلوگرم)]]&gt;0,'گزارش فردی'!$B$7-Main[[#This Row],[تاريخ میلادی]],0)</f>
        <v>911.75374085648218</v>
      </c>
      <c r="R2603" s="6">
        <f ca="1">IF(Main[[#This Row],[بدهی تسویه نشده (کیلوگرم)]]&gt;0,'گزارش فردی'!$B$7-Main[[#This Row],[تاريخ میلادی]]-'گزارش فردی'!$B$8,0)</f>
        <v>896.75374085648218</v>
      </c>
      <c r="S2603" s="6">
        <f ca="1">Main[[#This Row],[روز از ارسال سفارش]]*Main[[#This Row],[بدهی تسویه نشده (کیلوگرم)]]</f>
        <v>2042328.3795185201</v>
      </c>
      <c r="T2603" s="6">
        <f ca="1">Main[[#This Row],[بدهی سررسید شده (کیلوگرم)]]*Main[[#This Row],[روز از ارسال سفارش]]</f>
        <v>2042328.3795185201</v>
      </c>
      <c r="U2603" s="6">
        <f>-SUBTOTAL(9,INDEX(Main[مقدار (کیلوگرم)],1):Main[[#This Row],[مقدار (کیلوگرم)]])</f>
        <v>48265</v>
      </c>
      <c r="V26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3" s="6">
        <f>Main[[#This Row],[تعداد کل روزهای بدهکار (روز)]]*Main[[#This Row],[مانده در خط کل (کیلوگرم)]]</f>
        <v>48265</v>
      </c>
      <c r="X2603" s="6">
        <f ca="1">-SUBTOTAL(9,INDEX(Main[مقدار تسویه شده (کیلوگرم)],1):Main[[#This Row],[مقدار تسویه شده (کیلوگرم)]])</f>
        <v>12036</v>
      </c>
      <c r="Y2603" s="6">
        <f ca="1">IF(Main[[#This Row],[مانده در خط تسویه شده (کیلوگرم)]]&lt;&gt;0,Main[[#This Row],[تعداد کل روزهای بدهکار (روز)]],0)</f>
        <v>1</v>
      </c>
      <c r="Z2603" s="6">
        <f ca="1">Main[[#This Row],[تعداد روزهای بدهکار تسویه شده (روز)]]*Main[[#This Row],[مانده در خط تسویه شده (کیلوگرم)]]</f>
        <v>12036</v>
      </c>
      <c r="AA2603" s="6">
        <f ca="1">SUBTOTAL(9,INDEX(Main[بدهی تسویه نشده (کیلوگرم)],1):Main[[#This Row],[بدهی تسویه نشده (کیلوگرم)]])</f>
        <v>36229</v>
      </c>
      <c r="AB2603" s="6">
        <f ca="1">IF(Main[[#This Row],[مانده در خط تسویه نشده (کیلوگرم)]]&lt;&gt;0,Main[[#This Row],[تعداد کل روزهای بدهکار (روز)]],0)</f>
        <v>1</v>
      </c>
      <c r="AC2603" s="6">
        <f ca="1">Main[[#This Row],[تعداد روزهای بدهکار  تسویه نشده (روز)]]*Main[[#This Row],[مانده در خط تسویه نشده (کیلوگرم)]]</f>
        <v>36229</v>
      </c>
      <c r="AD2603" s="6">
        <f ca="1">SUBTOTAL(9,INDEX(Main[بدهی سررسید شده (کیلوگرم)],1):Main[[#This Row],[بدهی سررسید شده (کیلوگرم)]])</f>
        <v>36229</v>
      </c>
      <c r="AE2603" s="6">
        <f ca="1">IF(Main[[#This Row],[مانده در خط سررسید شده (کیلوگرم)]]&lt;&gt;0,Main[[#This Row],[تعداد کل روزهای بدهکار (روز)]],0)</f>
        <v>1</v>
      </c>
      <c r="AF2603" s="6">
        <f ca="1">Main[[#This Row],[تعداد روزهای بدهکار سررسید شده (روز)]]*Main[[#This Row],[مانده در خط سررسید شده (کیلوگرم)]]</f>
        <v>36229</v>
      </c>
    </row>
    <row r="2604" spans="1:32" hidden="1" x14ac:dyDescent="0.35">
      <c r="A2604" s="5">
        <f>ROW()-ROW(INDEX(Main[ردیف],1))+1</f>
        <v>2602</v>
      </c>
      <c r="B2604" s="31">
        <f>SUBTOTAL(2,INDEX(Main[ردیف],1):Main[[#This Row],[ردیف]])</f>
        <v>234</v>
      </c>
      <c r="C2604" s="32" t="s">
        <v>818</v>
      </c>
      <c r="D2604" s="32" t="str">
        <f>_xlfn.CONCAT("14",Main[[#This Row],[تاريخ]])</f>
        <v>1400/09/30</v>
      </c>
      <c r="E2604" s="33">
        <v>44551</v>
      </c>
      <c r="F2604" s="32">
        <v>10026</v>
      </c>
      <c r="G2604" s="5" t="str">
        <f>INDEX(customer[عنوان],MATCH(Main[[#This Row],[کد ردیابی]],customer[کد],0))</f>
        <v xml:space="preserve">محسن فیاض بخش </v>
      </c>
      <c r="H2604">
        <v>3334</v>
      </c>
      <c r="I2604" s="6">
        <f ca="1">-Main[[#This Row],[بدهی تسویه شده (کیلوگرم)]]+Main[[#This Row],[بستانکار (کیلوگرم)]]</f>
        <v>3334</v>
      </c>
      <c r="J2604" s="6">
        <f>IF(Main[[#This Row],[مقدار (کیلوگرم)]]&gt;0,Main[[#This Row],[مقدار (کیلوگرم)]],0)</f>
        <v>3334</v>
      </c>
      <c r="K2604" s="6">
        <f>-IF(Main[[#This Row],[مقدار (کیلوگرم)]]&lt;0,Main[[#This Row],[مقدار (کیلوگرم)]],0)</f>
        <v>0</v>
      </c>
      <c r="L26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4" s="7">
        <f>-IF(AND(Main[[#This Row],[مقدار (کیلوگرم)]]&lt;0,Main[[#This Row],[تاريخ میلادی]]&gt;44276),Main[[#This Row],[مقدار (کیلوگرم)]],0)</f>
        <v>0</v>
      </c>
      <c r="N2604" s="6">
        <f ca="1">Main[[#This Row],[بدهکار (کیلوگرم)]]-Main[[#This Row],[بدهی تسویه نشده (کیلوگرم)]]</f>
        <v>0</v>
      </c>
      <c r="O2604" s="6">
        <f ca="1">Main[[#This Row],[تفکیک]]</f>
        <v>0</v>
      </c>
      <c r="P2604" s="6">
        <f ca="1">IF(Main[[#This Row],[تاخیر از سررسید]]&gt;0,Main[[#This Row],[بدهی تسویه نشده (کیلوگرم)]],0)</f>
        <v>0</v>
      </c>
      <c r="Q2604" s="6">
        <f ca="1">IF(Main[[#This Row],[بدهی تسویه نشده (کیلوگرم)]]&gt;0,'گزارش فردی'!$B$7-Main[[#This Row],[تاريخ میلادی]],0)</f>
        <v>0</v>
      </c>
      <c r="R2604" s="6">
        <f ca="1">IF(Main[[#This Row],[بدهی تسویه نشده (کیلوگرم)]]&gt;0,'گزارش فردی'!$B$7-Main[[#This Row],[تاريخ میلادی]]-'گزارش فردی'!$B$8,0)</f>
        <v>0</v>
      </c>
      <c r="S2604" s="6">
        <f ca="1">Main[[#This Row],[روز از ارسال سفارش]]*Main[[#This Row],[بدهی تسویه نشده (کیلوگرم)]]</f>
        <v>0</v>
      </c>
      <c r="T2604" s="6">
        <f ca="1">Main[[#This Row],[بدهی سررسید شده (کیلوگرم)]]*Main[[#This Row],[روز از ارسال سفارش]]</f>
        <v>0</v>
      </c>
      <c r="U2604" s="6">
        <f>-SUBTOTAL(9,INDEX(Main[مقدار (کیلوگرم)],1):Main[[#This Row],[مقدار (کیلوگرم)]])</f>
        <v>48265</v>
      </c>
      <c r="V26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4" s="6">
        <f>Main[[#This Row],[تعداد کل روزهای بدهکار (روز)]]*Main[[#This Row],[مانده در خط کل (کیلوگرم)]]</f>
        <v>48265</v>
      </c>
      <c r="X2604" s="6">
        <f ca="1">-SUBTOTAL(9,INDEX(Main[مقدار تسویه شده (کیلوگرم)],1):Main[[#This Row],[مقدار تسویه شده (کیلوگرم)]])</f>
        <v>12036</v>
      </c>
      <c r="Y2604" s="6">
        <f ca="1">IF(Main[[#This Row],[مانده در خط تسویه شده (کیلوگرم)]]&lt;&gt;0,Main[[#This Row],[تعداد کل روزهای بدهکار (روز)]],0)</f>
        <v>1</v>
      </c>
      <c r="Z2604" s="6">
        <f ca="1">Main[[#This Row],[تعداد روزهای بدهکار تسویه شده (روز)]]*Main[[#This Row],[مانده در خط تسویه شده (کیلوگرم)]]</f>
        <v>12036</v>
      </c>
      <c r="AA2604" s="6">
        <f ca="1">SUBTOTAL(9,INDEX(Main[بدهی تسویه نشده (کیلوگرم)],1):Main[[#This Row],[بدهی تسویه نشده (کیلوگرم)]])</f>
        <v>36229</v>
      </c>
      <c r="AB2604" s="6">
        <f ca="1">IF(Main[[#This Row],[مانده در خط تسویه نشده (کیلوگرم)]]&lt;&gt;0,Main[[#This Row],[تعداد کل روزهای بدهکار (روز)]],0)</f>
        <v>1</v>
      </c>
      <c r="AC2604" s="6">
        <f ca="1">Main[[#This Row],[تعداد روزهای بدهکار  تسویه نشده (روز)]]*Main[[#This Row],[مانده در خط تسویه نشده (کیلوگرم)]]</f>
        <v>36229</v>
      </c>
      <c r="AD2604" s="6">
        <f ca="1">SUBTOTAL(9,INDEX(Main[بدهی سررسید شده (کیلوگرم)],1):Main[[#This Row],[بدهی سررسید شده (کیلوگرم)]])</f>
        <v>36229</v>
      </c>
      <c r="AE2604" s="6">
        <f ca="1">IF(Main[[#This Row],[مانده در خط سررسید شده (کیلوگرم)]]&lt;&gt;0,Main[[#This Row],[تعداد کل روزهای بدهکار (روز)]],0)</f>
        <v>1</v>
      </c>
      <c r="AF2604" s="6">
        <f ca="1">Main[[#This Row],[تعداد روزهای بدهکار سررسید شده (روز)]]*Main[[#This Row],[مانده در خط سررسید شده (کیلوگرم)]]</f>
        <v>36229</v>
      </c>
    </row>
    <row r="2605" spans="1:32" hidden="1" x14ac:dyDescent="0.35">
      <c r="A2605" s="5">
        <f>ROW()-ROW(INDEX(Main[ردیف],1))+1</f>
        <v>2603</v>
      </c>
      <c r="B2605" s="31">
        <f>SUBTOTAL(2,INDEX(Main[ردیف],1):Main[[#This Row],[ردیف]])</f>
        <v>234</v>
      </c>
      <c r="C2605" s="32" t="s">
        <v>818</v>
      </c>
      <c r="D2605" s="32" t="str">
        <f>_xlfn.CONCAT("14",Main[[#This Row],[تاريخ]])</f>
        <v>1400/09/30</v>
      </c>
      <c r="E2605" s="33">
        <v>44551</v>
      </c>
      <c r="F2605" s="32">
        <v>30164</v>
      </c>
      <c r="G2605" s="5" t="str">
        <f>INDEX(customer[عنوان],MATCH(Main[[#This Row],[کد ردیابی]],customer[کد],0))</f>
        <v xml:space="preserve">پارت الکتریک </v>
      </c>
      <c r="H2605">
        <v>1243</v>
      </c>
      <c r="I2605" s="6">
        <f ca="1">-Main[[#This Row],[بدهی تسویه شده (کیلوگرم)]]+Main[[#This Row],[بستانکار (کیلوگرم)]]</f>
        <v>1243</v>
      </c>
      <c r="J2605" s="6">
        <f>IF(Main[[#This Row],[مقدار (کیلوگرم)]]&gt;0,Main[[#This Row],[مقدار (کیلوگرم)]],0)</f>
        <v>1243</v>
      </c>
      <c r="K2605" s="6">
        <f>-IF(Main[[#This Row],[مقدار (کیلوگرم)]]&lt;0,Main[[#This Row],[مقدار (کیلوگرم)]],0)</f>
        <v>0</v>
      </c>
      <c r="L26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5" s="7">
        <f>-IF(AND(Main[[#This Row],[مقدار (کیلوگرم)]]&lt;0,Main[[#This Row],[تاريخ میلادی]]&gt;44276),Main[[#This Row],[مقدار (کیلوگرم)]],0)</f>
        <v>0</v>
      </c>
      <c r="N2605" s="6">
        <f ca="1">Main[[#This Row],[بدهکار (کیلوگرم)]]-Main[[#This Row],[بدهی تسویه نشده (کیلوگرم)]]</f>
        <v>0</v>
      </c>
      <c r="O2605" s="6">
        <f ca="1">Main[[#This Row],[تفکیک]]</f>
        <v>0</v>
      </c>
      <c r="P2605" s="6">
        <f ca="1">IF(Main[[#This Row],[تاخیر از سررسید]]&gt;0,Main[[#This Row],[بدهی تسویه نشده (کیلوگرم)]],0)</f>
        <v>0</v>
      </c>
      <c r="Q2605" s="6">
        <f ca="1">IF(Main[[#This Row],[بدهی تسویه نشده (کیلوگرم)]]&gt;0,'گزارش فردی'!$B$7-Main[[#This Row],[تاريخ میلادی]],0)</f>
        <v>0</v>
      </c>
      <c r="R2605" s="6">
        <f ca="1">IF(Main[[#This Row],[بدهی تسویه نشده (کیلوگرم)]]&gt;0,'گزارش فردی'!$B$7-Main[[#This Row],[تاريخ میلادی]]-'گزارش فردی'!$B$8,0)</f>
        <v>0</v>
      </c>
      <c r="S2605" s="6">
        <f ca="1">Main[[#This Row],[روز از ارسال سفارش]]*Main[[#This Row],[بدهی تسویه نشده (کیلوگرم)]]</f>
        <v>0</v>
      </c>
      <c r="T2605" s="6">
        <f ca="1">Main[[#This Row],[بدهی سررسید شده (کیلوگرم)]]*Main[[#This Row],[روز از ارسال سفارش]]</f>
        <v>0</v>
      </c>
      <c r="U2605" s="6">
        <f>-SUBTOTAL(9,INDEX(Main[مقدار (کیلوگرم)],1):Main[[#This Row],[مقدار (کیلوگرم)]])</f>
        <v>48265</v>
      </c>
      <c r="V26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5" s="6">
        <f>Main[[#This Row],[تعداد کل روزهای بدهکار (روز)]]*Main[[#This Row],[مانده در خط کل (کیلوگرم)]]</f>
        <v>48265</v>
      </c>
      <c r="X2605" s="6">
        <f ca="1">-SUBTOTAL(9,INDEX(Main[مقدار تسویه شده (کیلوگرم)],1):Main[[#This Row],[مقدار تسویه شده (کیلوگرم)]])</f>
        <v>12036</v>
      </c>
      <c r="Y2605" s="6">
        <f ca="1">IF(Main[[#This Row],[مانده در خط تسویه شده (کیلوگرم)]]&lt;&gt;0,Main[[#This Row],[تعداد کل روزهای بدهکار (روز)]],0)</f>
        <v>1</v>
      </c>
      <c r="Z2605" s="6">
        <f ca="1">Main[[#This Row],[تعداد روزهای بدهکار تسویه شده (روز)]]*Main[[#This Row],[مانده در خط تسویه شده (کیلوگرم)]]</f>
        <v>12036</v>
      </c>
      <c r="AA2605" s="6">
        <f ca="1">SUBTOTAL(9,INDEX(Main[بدهی تسویه نشده (کیلوگرم)],1):Main[[#This Row],[بدهی تسویه نشده (کیلوگرم)]])</f>
        <v>36229</v>
      </c>
      <c r="AB2605" s="6">
        <f ca="1">IF(Main[[#This Row],[مانده در خط تسویه نشده (کیلوگرم)]]&lt;&gt;0,Main[[#This Row],[تعداد کل روزهای بدهکار (روز)]],0)</f>
        <v>1</v>
      </c>
      <c r="AC2605" s="6">
        <f ca="1">Main[[#This Row],[تعداد روزهای بدهکار  تسویه نشده (روز)]]*Main[[#This Row],[مانده در خط تسویه نشده (کیلوگرم)]]</f>
        <v>36229</v>
      </c>
      <c r="AD2605" s="6">
        <f ca="1">SUBTOTAL(9,INDEX(Main[بدهی سررسید شده (کیلوگرم)],1):Main[[#This Row],[بدهی سررسید شده (کیلوگرم)]])</f>
        <v>36229</v>
      </c>
      <c r="AE2605" s="6">
        <f ca="1">IF(Main[[#This Row],[مانده در خط سررسید شده (کیلوگرم)]]&lt;&gt;0,Main[[#This Row],[تعداد کل روزهای بدهکار (روز)]],0)</f>
        <v>1</v>
      </c>
      <c r="AF2605" s="6">
        <f ca="1">Main[[#This Row],[تعداد روزهای بدهکار سررسید شده (روز)]]*Main[[#This Row],[مانده در خط سررسید شده (کیلوگرم)]]</f>
        <v>36229</v>
      </c>
    </row>
    <row r="2606" spans="1:32" hidden="1" x14ac:dyDescent="0.35">
      <c r="A2606" s="5">
        <f>ROW()-ROW(INDEX(Main[ردیف],1))+1</f>
        <v>2604</v>
      </c>
      <c r="B2606" s="31">
        <f>SUBTOTAL(2,INDEX(Main[ردیف],1):Main[[#This Row],[ردیف]])</f>
        <v>234</v>
      </c>
      <c r="C2606" s="32" t="s">
        <v>818</v>
      </c>
      <c r="D2606" s="32" t="str">
        <f>_xlfn.CONCAT("14",Main[[#This Row],[تاريخ]])</f>
        <v>1400/09/30</v>
      </c>
      <c r="E2606" s="33">
        <v>44551</v>
      </c>
      <c r="F2606" s="32">
        <v>30014</v>
      </c>
      <c r="G2606" s="5" t="str">
        <f>INDEX(customer[عنوان],MATCH(Main[[#This Row],[کد ردیابی]],customer[کد],0))</f>
        <v>کلون</v>
      </c>
      <c r="H2606">
        <v>1038</v>
      </c>
      <c r="I2606" s="6">
        <f ca="1">-Main[[#This Row],[بدهی تسویه شده (کیلوگرم)]]+Main[[#This Row],[بستانکار (کیلوگرم)]]</f>
        <v>1038</v>
      </c>
      <c r="J2606" s="6">
        <f>IF(Main[[#This Row],[مقدار (کیلوگرم)]]&gt;0,Main[[#This Row],[مقدار (کیلوگرم)]],0)</f>
        <v>1038</v>
      </c>
      <c r="K2606" s="6">
        <f>-IF(Main[[#This Row],[مقدار (کیلوگرم)]]&lt;0,Main[[#This Row],[مقدار (کیلوگرم)]],0)</f>
        <v>0</v>
      </c>
      <c r="L26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6" s="7">
        <f>-IF(AND(Main[[#This Row],[مقدار (کیلوگرم)]]&lt;0,Main[[#This Row],[تاريخ میلادی]]&gt;44276),Main[[#This Row],[مقدار (کیلوگرم)]],0)</f>
        <v>0</v>
      </c>
      <c r="N2606" s="6">
        <f ca="1">Main[[#This Row],[بدهکار (کیلوگرم)]]-Main[[#This Row],[بدهی تسویه نشده (کیلوگرم)]]</f>
        <v>0</v>
      </c>
      <c r="O2606" s="6">
        <f ca="1">Main[[#This Row],[تفکیک]]</f>
        <v>0</v>
      </c>
      <c r="P2606" s="6">
        <f ca="1">IF(Main[[#This Row],[تاخیر از سررسید]]&gt;0,Main[[#This Row],[بدهی تسویه نشده (کیلوگرم)]],0)</f>
        <v>0</v>
      </c>
      <c r="Q2606" s="6">
        <f ca="1">IF(Main[[#This Row],[بدهی تسویه نشده (کیلوگرم)]]&gt;0,'گزارش فردی'!$B$7-Main[[#This Row],[تاريخ میلادی]],0)</f>
        <v>0</v>
      </c>
      <c r="R2606" s="6">
        <f ca="1">IF(Main[[#This Row],[بدهی تسویه نشده (کیلوگرم)]]&gt;0,'گزارش فردی'!$B$7-Main[[#This Row],[تاريخ میلادی]]-'گزارش فردی'!$B$8,0)</f>
        <v>0</v>
      </c>
      <c r="S2606" s="6">
        <f ca="1">Main[[#This Row],[روز از ارسال سفارش]]*Main[[#This Row],[بدهی تسویه نشده (کیلوگرم)]]</f>
        <v>0</v>
      </c>
      <c r="T2606" s="6">
        <f ca="1">Main[[#This Row],[بدهی سررسید شده (کیلوگرم)]]*Main[[#This Row],[روز از ارسال سفارش]]</f>
        <v>0</v>
      </c>
      <c r="U2606" s="6">
        <f>-SUBTOTAL(9,INDEX(Main[مقدار (کیلوگرم)],1):Main[[#This Row],[مقدار (کیلوگرم)]])</f>
        <v>48265</v>
      </c>
      <c r="V26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6" s="6">
        <f>Main[[#This Row],[تعداد کل روزهای بدهکار (روز)]]*Main[[#This Row],[مانده در خط کل (کیلوگرم)]]</f>
        <v>48265</v>
      </c>
      <c r="X2606" s="6">
        <f ca="1">-SUBTOTAL(9,INDEX(Main[مقدار تسویه شده (کیلوگرم)],1):Main[[#This Row],[مقدار تسویه شده (کیلوگرم)]])</f>
        <v>12036</v>
      </c>
      <c r="Y2606" s="6">
        <f ca="1">IF(Main[[#This Row],[مانده در خط تسویه شده (کیلوگرم)]]&lt;&gt;0,Main[[#This Row],[تعداد کل روزهای بدهکار (روز)]],0)</f>
        <v>1</v>
      </c>
      <c r="Z2606" s="6">
        <f ca="1">Main[[#This Row],[تعداد روزهای بدهکار تسویه شده (روز)]]*Main[[#This Row],[مانده در خط تسویه شده (کیلوگرم)]]</f>
        <v>12036</v>
      </c>
      <c r="AA2606" s="6">
        <f ca="1">SUBTOTAL(9,INDEX(Main[بدهی تسویه نشده (کیلوگرم)],1):Main[[#This Row],[بدهی تسویه نشده (کیلوگرم)]])</f>
        <v>36229</v>
      </c>
      <c r="AB2606" s="6">
        <f ca="1">IF(Main[[#This Row],[مانده در خط تسویه نشده (کیلوگرم)]]&lt;&gt;0,Main[[#This Row],[تعداد کل روزهای بدهکار (روز)]],0)</f>
        <v>1</v>
      </c>
      <c r="AC2606" s="6">
        <f ca="1">Main[[#This Row],[تعداد روزهای بدهکار  تسویه نشده (روز)]]*Main[[#This Row],[مانده در خط تسویه نشده (کیلوگرم)]]</f>
        <v>36229</v>
      </c>
      <c r="AD2606" s="6">
        <f ca="1">SUBTOTAL(9,INDEX(Main[بدهی سررسید شده (کیلوگرم)],1):Main[[#This Row],[بدهی سررسید شده (کیلوگرم)]])</f>
        <v>36229</v>
      </c>
      <c r="AE2606" s="6">
        <f ca="1">IF(Main[[#This Row],[مانده در خط سررسید شده (کیلوگرم)]]&lt;&gt;0,Main[[#This Row],[تعداد کل روزهای بدهکار (روز)]],0)</f>
        <v>1</v>
      </c>
      <c r="AF2606" s="6">
        <f ca="1">Main[[#This Row],[تعداد روزهای بدهکار سررسید شده (روز)]]*Main[[#This Row],[مانده در خط سررسید شده (کیلوگرم)]]</f>
        <v>36229</v>
      </c>
    </row>
    <row r="2607" spans="1:32" hidden="1" x14ac:dyDescent="0.35">
      <c r="A2607" s="5">
        <f>ROW()-ROW(INDEX(Main[ردیف],1))+1</f>
        <v>2605</v>
      </c>
      <c r="B2607" s="31">
        <f>SUBTOTAL(2,INDEX(Main[ردیف],1):Main[[#This Row],[ردیف]])</f>
        <v>234</v>
      </c>
      <c r="C2607" s="32" t="s">
        <v>818</v>
      </c>
      <c r="D2607" s="32" t="str">
        <f>_xlfn.CONCAT("14",Main[[#This Row],[تاريخ]])</f>
        <v>1400/09/30</v>
      </c>
      <c r="E2607" s="33">
        <v>44551</v>
      </c>
      <c r="F2607" s="32">
        <v>10009</v>
      </c>
      <c r="G2607" s="5" t="str">
        <f>INDEX(customer[عنوان],MATCH(Main[[#This Row],[کد ردیابی]],customer[کد],0))</f>
        <v>محمد نمازی</v>
      </c>
      <c r="H2607">
        <v>1640</v>
      </c>
      <c r="I2607" s="6">
        <f ca="1">-Main[[#This Row],[بدهی تسویه شده (کیلوگرم)]]+Main[[#This Row],[بستانکار (کیلوگرم)]]</f>
        <v>1640</v>
      </c>
      <c r="J2607" s="6">
        <f>IF(Main[[#This Row],[مقدار (کیلوگرم)]]&gt;0,Main[[#This Row],[مقدار (کیلوگرم)]],0)</f>
        <v>1640</v>
      </c>
      <c r="K2607" s="6">
        <f>-IF(Main[[#This Row],[مقدار (کیلوگرم)]]&lt;0,Main[[#This Row],[مقدار (کیلوگرم)]],0)</f>
        <v>0</v>
      </c>
      <c r="L26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7" s="7">
        <f>-IF(AND(Main[[#This Row],[مقدار (کیلوگرم)]]&lt;0,Main[[#This Row],[تاريخ میلادی]]&gt;44276),Main[[#This Row],[مقدار (کیلوگرم)]],0)</f>
        <v>0</v>
      </c>
      <c r="N2607" s="6">
        <f ca="1">Main[[#This Row],[بدهکار (کیلوگرم)]]-Main[[#This Row],[بدهی تسویه نشده (کیلوگرم)]]</f>
        <v>0</v>
      </c>
      <c r="O2607" s="6">
        <f ca="1">Main[[#This Row],[تفکیک]]</f>
        <v>0</v>
      </c>
      <c r="P2607" s="6">
        <f ca="1">IF(Main[[#This Row],[تاخیر از سررسید]]&gt;0,Main[[#This Row],[بدهی تسویه نشده (کیلوگرم)]],0)</f>
        <v>0</v>
      </c>
      <c r="Q2607" s="6">
        <f ca="1">IF(Main[[#This Row],[بدهی تسویه نشده (کیلوگرم)]]&gt;0,'گزارش فردی'!$B$7-Main[[#This Row],[تاريخ میلادی]],0)</f>
        <v>0</v>
      </c>
      <c r="R2607" s="6">
        <f ca="1">IF(Main[[#This Row],[بدهی تسویه نشده (کیلوگرم)]]&gt;0,'گزارش فردی'!$B$7-Main[[#This Row],[تاريخ میلادی]]-'گزارش فردی'!$B$8,0)</f>
        <v>0</v>
      </c>
      <c r="S2607" s="6">
        <f ca="1">Main[[#This Row],[روز از ارسال سفارش]]*Main[[#This Row],[بدهی تسویه نشده (کیلوگرم)]]</f>
        <v>0</v>
      </c>
      <c r="T2607" s="6">
        <f ca="1">Main[[#This Row],[بدهی سررسید شده (کیلوگرم)]]*Main[[#This Row],[روز از ارسال سفارش]]</f>
        <v>0</v>
      </c>
      <c r="U2607" s="6">
        <f>-SUBTOTAL(9,INDEX(Main[مقدار (کیلوگرم)],1):Main[[#This Row],[مقدار (کیلوگرم)]])</f>
        <v>48265</v>
      </c>
      <c r="V26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7" s="6">
        <f>Main[[#This Row],[تعداد کل روزهای بدهکار (روز)]]*Main[[#This Row],[مانده در خط کل (کیلوگرم)]]</f>
        <v>48265</v>
      </c>
      <c r="X2607" s="6">
        <f ca="1">-SUBTOTAL(9,INDEX(Main[مقدار تسویه شده (کیلوگرم)],1):Main[[#This Row],[مقدار تسویه شده (کیلوگرم)]])</f>
        <v>12036</v>
      </c>
      <c r="Y2607" s="6">
        <f ca="1">IF(Main[[#This Row],[مانده در خط تسویه شده (کیلوگرم)]]&lt;&gt;0,Main[[#This Row],[تعداد کل روزهای بدهکار (روز)]],0)</f>
        <v>1</v>
      </c>
      <c r="Z2607" s="6">
        <f ca="1">Main[[#This Row],[تعداد روزهای بدهکار تسویه شده (روز)]]*Main[[#This Row],[مانده در خط تسویه شده (کیلوگرم)]]</f>
        <v>12036</v>
      </c>
      <c r="AA2607" s="6">
        <f ca="1">SUBTOTAL(9,INDEX(Main[بدهی تسویه نشده (کیلوگرم)],1):Main[[#This Row],[بدهی تسویه نشده (کیلوگرم)]])</f>
        <v>36229</v>
      </c>
      <c r="AB2607" s="6">
        <f ca="1">IF(Main[[#This Row],[مانده در خط تسویه نشده (کیلوگرم)]]&lt;&gt;0,Main[[#This Row],[تعداد کل روزهای بدهکار (روز)]],0)</f>
        <v>1</v>
      </c>
      <c r="AC2607" s="6">
        <f ca="1">Main[[#This Row],[تعداد روزهای بدهکار  تسویه نشده (روز)]]*Main[[#This Row],[مانده در خط تسویه نشده (کیلوگرم)]]</f>
        <v>36229</v>
      </c>
      <c r="AD2607" s="6">
        <f ca="1">SUBTOTAL(9,INDEX(Main[بدهی سررسید شده (کیلوگرم)],1):Main[[#This Row],[بدهی سررسید شده (کیلوگرم)]])</f>
        <v>36229</v>
      </c>
      <c r="AE2607" s="6">
        <f ca="1">IF(Main[[#This Row],[مانده در خط سررسید شده (کیلوگرم)]]&lt;&gt;0,Main[[#This Row],[تعداد کل روزهای بدهکار (روز)]],0)</f>
        <v>1</v>
      </c>
      <c r="AF2607" s="6">
        <f ca="1">Main[[#This Row],[تعداد روزهای بدهکار سررسید شده (روز)]]*Main[[#This Row],[مانده در خط سررسید شده (کیلوگرم)]]</f>
        <v>36229</v>
      </c>
    </row>
    <row r="2608" spans="1:32" hidden="1" x14ac:dyDescent="0.35">
      <c r="A2608" s="5">
        <f>ROW()-ROW(INDEX(Main[ردیف],1))+1</f>
        <v>2606</v>
      </c>
      <c r="B2608" s="31">
        <f>SUBTOTAL(2,INDEX(Main[ردیف],1):Main[[#This Row],[ردیف]])</f>
        <v>234</v>
      </c>
      <c r="C2608" s="32" t="s">
        <v>818</v>
      </c>
      <c r="D2608" s="32" t="str">
        <f>_xlfn.CONCAT("14",Main[[#This Row],[تاريخ]])</f>
        <v>1400/09/30</v>
      </c>
      <c r="E2608" s="33">
        <v>44551</v>
      </c>
      <c r="F2608" s="32">
        <v>30004</v>
      </c>
      <c r="G2608" s="5" t="str">
        <f>INDEX(customer[عنوان],MATCH(Main[[#This Row],[کد ردیابی]],customer[کد],0))</f>
        <v>تولیدی صنعتی صفاشیر پارس</v>
      </c>
      <c r="H2608">
        <v>2549</v>
      </c>
      <c r="I2608" s="6">
        <f ca="1">-Main[[#This Row],[بدهی تسویه شده (کیلوگرم)]]+Main[[#This Row],[بستانکار (کیلوگرم)]]</f>
        <v>2549</v>
      </c>
      <c r="J2608" s="6">
        <f>IF(Main[[#This Row],[مقدار (کیلوگرم)]]&gt;0,Main[[#This Row],[مقدار (کیلوگرم)]],0)</f>
        <v>2549</v>
      </c>
      <c r="K2608" s="6">
        <f>-IF(Main[[#This Row],[مقدار (کیلوگرم)]]&lt;0,Main[[#This Row],[مقدار (کیلوگرم)]],0)</f>
        <v>0</v>
      </c>
      <c r="L26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8" s="7">
        <f>-IF(AND(Main[[#This Row],[مقدار (کیلوگرم)]]&lt;0,Main[[#This Row],[تاريخ میلادی]]&gt;44276),Main[[#This Row],[مقدار (کیلوگرم)]],0)</f>
        <v>0</v>
      </c>
      <c r="N2608" s="6">
        <f ca="1">Main[[#This Row],[بدهکار (کیلوگرم)]]-Main[[#This Row],[بدهی تسویه نشده (کیلوگرم)]]</f>
        <v>0</v>
      </c>
      <c r="O2608" s="6">
        <f ca="1">Main[[#This Row],[تفکیک]]</f>
        <v>0</v>
      </c>
      <c r="P2608" s="6">
        <f ca="1">IF(Main[[#This Row],[تاخیر از سررسید]]&gt;0,Main[[#This Row],[بدهی تسویه نشده (کیلوگرم)]],0)</f>
        <v>0</v>
      </c>
      <c r="Q2608" s="6">
        <f ca="1">IF(Main[[#This Row],[بدهی تسویه نشده (کیلوگرم)]]&gt;0,'گزارش فردی'!$B$7-Main[[#This Row],[تاريخ میلادی]],0)</f>
        <v>0</v>
      </c>
      <c r="R2608" s="6">
        <f ca="1">IF(Main[[#This Row],[بدهی تسویه نشده (کیلوگرم)]]&gt;0,'گزارش فردی'!$B$7-Main[[#This Row],[تاريخ میلادی]]-'گزارش فردی'!$B$8,0)</f>
        <v>0</v>
      </c>
      <c r="S2608" s="6">
        <f ca="1">Main[[#This Row],[روز از ارسال سفارش]]*Main[[#This Row],[بدهی تسویه نشده (کیلوگرم)]]</f>
        <v>0</v>
      </c>
      <c r="T2608" s="6">
        <f ca="1">Main[[#This Row],[بدهی سررسید شده (کیلوگرم)]]*Main[[#This Row],[روز از ارسال سفارش]]</f>
        <v>0</v>
      </c>
      <c r="U2608" s="6">
        <f>-SUBTOTAL(9,INDEX(Main[مقدار (کیلوگرم)],1):Main[[#This Row],[مقدار (کیلوگرم)]])</f>
        <v>48265</v>
      </c>
      <c r="V26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8" s="6">
        <f>Main[[#This Row],[تعداد کل روزهای بدهکار (روز)]]*Main[[#This Row],[مانده در خط کل (کیلوگرم)]]</f>
        <v>48265</v>
      </c>
      <c r="X2608" s="6">
        <f ca="1">-SUBTOTAL(9,INDEX(Main[مقدار تسویه شده (کیلوگرم)],1):Main[[#This Row],[مقدار تسویه شده (کیلوگرم)]])</f>
        <v>12036</v>
      </c>
      <c r="Y2608" s="6">
        <f ca="1">IF(Main[[#This Row],[مانده در خط تسویه شده (کیلوگرم)]]&lt;&gt;0,Main[[#This Row],[تعداد کل روزهای بدهکار (روز)]],0)</f>
        <v>1</v>
      </c>
      <c r="Z2608" s="6">
        <f ca="1">Main[[#This Row],[تعداد روزهای بدهکار تسویه شده (روز)]]*Main[[#This Row],[مانده در خط تسویه شده (کیلوگرم)]]</f>
        <v>12036</v>
      </c>
      <c r="AA2608" s="6">
        <f ca="1">SUBTOTAL(9,INDEX(Main[بدهی تسویه نشده (کیلوگرم)],1):Main[[#This Row],[بدهی تسویه نشده (کیلوگرم)]])</f>
        <v>36229</v>
      </c>
      <c r="AB2608" s="6">
        <f ca="1">IF(Main[[#This Row],[مانده در خط تسویه نشده (کیلوگرم)]]&lt;&gt;0,Main[[#This Row],[تعداد کل روزهای بدهکار (روز)]],0)</f>
        <v>1</v>
      </c>
      <c r="AC2608" s="6">
        <f ca="1">Main[[#This Row],[تعداد روزهای بدهکار  تسویه نشده (روز)]]*Main[[#This Row],[مانده در خط تسویه نشده (کیلوگرم)]]</f>
        <v>36229</v>
      </c>
      <c r="AD2608" s="6">
        <f ca="1">SUBTOTAL(9,INDEX(Main[بدهی سررسید شده (کیلوگرم)],1):Main[[#This Row],[بدهی سررسید شده (کیلوگرم)]])</f>
        <v>36229</v>
      </c>
      <c r="AE2608" s="6">
        <f ca="1">IF(Main[[#This Row],[مانده در خط سررسید شده (کیلوگرم)]]&lt;&gt;0,Main[[#This Row],[تعداد کل روزهای بدهکار (روز)]],0)</f>
        <v>1</v>
      </c>
      <c r="AF2608" s="6">
        <f ca="1">Main[[#This Row],[تعداد روزهای بدهکار سررسید شده (روز)]]*Main[[#This Row],[مانده در خط سررسید شده (کیلوگرم)]]</f>
        <v>36229</v>
      </c>
    </row>
    <row r="2609" spans="1:32" hidden="1" x14ac:dyDescent="0.35">
      <c r="A2609" s="5">
        <f>ROW()-ROW(INDEX(Main[ردیف],1))+1</f>
        <v>2607</v>
      </c>
      <c r="B2609" s="31">
        <f>SUBTOTAL(2,INDEX(Main[ردیف],1):Main[[#This Row],[ردیف]])</f>
        <v>234</v>
      </c>
      <c r="C2609" s="32" t="s">
        <v>818</v>
      </c>
      <c r="D2609" s="32" t="str">
        <f>_xlfn.CONCAT("14",Main[[#This Row],[تاريخ]])</f>
        <v>1400/09/30</v>
      </c>
      <c r="E2609" s="33">
        <v>44551</v>
      </c>
      <c r="F2609" s="32">
        <v>30070</v>
      </c>
      <c r="G2609" s="5" t="str">
        <f>INDEX(customer[عنوان],MATCH(Main[[#This Row],[کد ردیابی]],customer[کد],0))</f>
        <v xml:space="preserve">تکنو تراش یادگار </v>
      </c>
      <c r="H2609">
        <v>1062</v>
      </c>
      <c r="I2609" s="6">
        <f ca="1">-Main[[#This Row],[بدهی تسویه شده (کیلوگرم)]]+Main[[#This Row],[بستانکار (کیلوگرم)]]</f>
        <v>1062</v>
      </c>
      <c r="J2609" s="6">
        <f>IF(Main[[#This Row],[مقدار (کیلوگرم)]]&gt;0,Main[[#This Row],[مقدار (کیلوگرم)]],0)</f>
        <v>1062</v>
      </c>
      <c r="K2609" s="6">
        <f>-IF(Main[[#This Row],[مقدار (کیلوگرم)]]&lt;0,Main[[#This Row],[مقدار (کیلوگرم)]],0)</f>
        <v>0</v>
      </c>
      <c r="L26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9" s="7">
        <f>-IF(AND(Main[[#This Row],[مقدار (کیلوگرم)]]&lt;0,Main[[#This Row],[تاريخ میلادی]]&gt;44276),Main[[#This Row],[مقدار (کیلوگرم)]],0)</f>
        <v>0</v>
      </c>
      <c r="N2609" s="6">
        <f ca="1">Main[[#This Row],[بدهکار (کیلوگرم)]]-Main[[#This Row],[بدهی تسویه نشده (کیلوگرم)]]</f>
        <v>0</v>
      </c>
      <c r="O2609" s="6">
        <f ca="1">Main[[#This Row],[تفکیک]]</f>
        <v>0</v>
      </c>
      <c r="P2609" s="6">
        <f ca="1">IF(Main[[#This Row],[تاخیر از سررسید]]&gt;0,Main[[#This Row],[بدهی تسویه نشده (کیلوگرم)]],0)</f>
        <v>0</v>
      </c>
      <c r="Q2609" s="6">
        <f ca="1">IF(Main[[#This Row],[بدهی تسویه نشده (کیلوگرم)]]&gt;0,'گزارش فردی'!$B$7-Main[[#This Row],[تاريخ میلادی]],0)</f>
        <v>0</v>
      </c>
      <c r="R2609" s="6">
        <f ca="1">IF(Main[[#This Row],[بدهی تسویه نشده (کیلوگرم)]]&gt;0,'گزارش فردی'!$B$7-Main[[#This Row],[تاريخ میلادی]]-'گزارش فردی'!$B$8,0)</f>
        <v>0</v>
      </c>
      <c r="S2609" s="6">
        <f ca="1">Main[[#This Row],[روز از ارسال سفارش]]*Main[[#This Row],[بدهی تسویه نشده (کیلوگرم)]]</f>
        <v>0</v>
      </c>
      <c r="T2609" s="6">
        <f ca="1">Main[[#This Row],[بدهی سررسید شده (کیلوگرم)]]*Main[[#This Row],[روز از ارسال سفارش]]</f>
        <v>0</v>
      </c>
      <c r="U2609" s="6">
        <f>-SUBTOTAL(9,INDEX(Main[مقدار (کیلوگرم)],1):Main[[#This Row],[مقدار (کیلوگرم)]])</f>
        <v>48265</v>
      </c>
      <c r="V26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9" s="6">
        <f>Main[[#This Row],[تعداد کل روزهای بدهکار (روز)]]*Main[[#This Row],[مانده در خط کل (کیلوگرم)]]</f>
        <v>48265</v>
      </c>
      <c r="X2609" s="6">
        <f ca="1">-SUBTOTAL(9,INDEX(Main[مقدار تسویه شده (کیلوگرم)],1):Main[[#This Row],[مقدار تسویه شده (کیلوگرم)]])</f>
        <v>12036</v>
      </c>
      <c r="Y2609" s="6">
        <f ca="1">IF(Main[[#This Row],[مانده در خط تسویه شده (کیلوگرم)]]&lt;&gt;0,Main[[#This Row],[تعداد کل روزهای بدهکار (روز)]],0)</f>
        <v>1</v>
      </c>
      <c r="Z2609" s="6">
        <f ca="1">Main[[#This Row],[تعداد روزهای بدهکار تسویه شده (روز)]]*Main[[#This Row],[مانده در خط تسویه شده (کیلوگرم)]]</f>
        <v>12036</v>
      </c>
      <c r="AA2609" s="6">
        <f ca="1">SUBTOTAL(9,INDEX(Main[بدهی تسویه نشده (کیلوگرم)],1):Main[[#This Row],[بدهی تسویه نشده (کیلوگرم)]])</f>
        <v>36229</v>
      </c>
      <c r="AB2609" s="6">
        <f ca="1">IF(Main[[#This Row],[مانده در خط تسویه نشده (کیلوگرم)]]&lt;&gt;0,Main[[#This Row],[تعداد کل روزهای بدهکار (روز)]],0)</f>
        <v>1</v>
      </c>
      <c r="AC2609" s="6">
        <f ca="1">Main[[#This Row],[تعداد روزهای بدهکار  تسویه نشده (روز)]]*Main[[#This Row],[مانده در خط تسویه نشده (کیلوگرم)]]</f>
        <v>36229</v>
      </c>
      <c r="AD2609" s="6">
        <f ca="1">SUBTOTAL(9,INDEX(Main[بدهی سررسید شده (کیلوگرم)],1):Main[[#This Row],[بدهی سررسید شده (کیلوگرم)]])</f>
        <v>36229</v>
      </c>
      <c r="AE2609" s="6">
        <f ca="1">IF(Main[[#This Row],[مانده در خط سررسید شده (کیلوگرم)]]&lt;&gt;0,Main[[#This Row],[تعداد کل روزهای بدهکار (روز)]],0)</f>
        <v>1</v>
      </c>
      <c r="AF2609" s="6">
        <f ca="1">Main[[#This Row],[تعداد روزهای بدهکار سررسید شده (روز)]]*Main[[#This Row],[مانده در خط سررسید شده (کیلوگرم)]]</f>
        <v>36229</v>
      </c>
    </row>
    <row r="2610" spans="1:32" hidden="1" x14ac:dyDescent="0.35">
      <c r="A2610" s="5">
        <f>ROW()-ROW(INDEX(Main[ردیف],1))+1</f>
        <v>2608</v>
      </c>
      <c r="B2610" s="31">
        <f>SUBTOTAL(2,INDEX(Main[ردیف],1):Main[[#This Row],[ردیف]])</f>
        <v>234</v>
      </c>
      <c r="C2610" s="32" t="s">
        <v>818</v>
      </c>
      <c r="D2610" s="32" t="str">
        <f>_xlfn.CONCAT("14",Main[[#This Row],[تاريخ]])</f>
        <v>1400/09/30</v>
      </c>
      <c r="E2610" s="33">
        <v>44551</v>
      </c>
      <c r="F2610" s="32">
        <v>30070</v>
      </c>
      <c r="G2610" s="5" t="str">
        <f>INDEX(customer[عنوان],MATCH(Main[[#This Row],[کد ردیابی]],customer[کد],0))</f>
        <v xml:space="preserve">تکنو تراش یادگار </v>
      </c>
      <c r="H2610">
        <v>934</v>
      </c>
      <c r="I2610" s="6">
        <f ca="1">-Main[[#This Row],[بدهی تسویه شده (کیلوگرم)]]+Main[[#This Row],[بستانکار (کیلوگرم)]]</f>
        <v>934</v>
      </c>
      <c r="J2610" s="6">
        <f>IF(Main[[#This Row],[مقدار (کیلوگرم)]]&gt;0,Main[[#This Row],[مقدار (کیلوگرم)]],0)</f>
        <v>934</v>
      </c>
      <c r="K2610" s="6">
        <f>-IF(Main[[#This Row],[مقدار (کیلوگرم)]]&lt;0,Main[[#This Row],[مقدار (کیلوگرم)]],0)</f>
        <v>0</v>
      </c>
      <c r="L26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0" s="7">
        <f>-IF(AND(Main[[#This Row],[مقدار (کیلوگرم)]]&lt;0,Main[[#This Row],[تاريخ میلادی]]&gt;44276),Main[[#This Row],[مقدار (کیلوگرم)]],0)</f>
        <v>0</v>
      </c>
      <c r="N2610" s="6">
        <f ca="1">Main[[#This Row],[بدهکار (کیلوگرم)]]-Main[[#This Row],[بدهی تسویه نشده (کیلوگرم)]]</f>
        <v>0</v>
      </c>
      <c r="O2610" s="6">
        <f ca="1">Main[[#This Row],[تفکیک]]</f>
        <v>0</v>
      </c>
      <c r="P2610" s="6">
        <f ca="1">IF(Main[[#This Row],[تاخیر از سررسید]]&gt;0,Main[[#This Row],[بدهی تسویه نشده (کیلوگرم)]],0)</f>
        <v>0</v>
      </c>
      <c r="Q2610" s="6">
        <f ca="1">IF(Main[[#This Row],[بدهی تسویه نشده (کیلوگرم)]]&gt;0,'گزارش فردی'!$B$7-Main[[#This Row],[تاريخ میلادی]],0)</f>
        <v>0</v>
      </c>
      <c r="R2610" s="6">
        <f ca="1">IF(Main[[#This Row],[بدهی تسویه نشده (کیلوگرم)]]&gt;0,'گزارش فردی'!$B$7-Main[[#This Row],[تاريخ میلادی]]-'گزارش فردی'!$B$8,0)</f>
        <v>0</v>
      </c>
      <c r="S2610" s="6">
        <f ca="1">Main[[#This Row],[روز از ارسال سفارش]]*Main[[#This Row],[بدهی تسویه نشده (کیلوگرم)]]</f>
        <v>0</v>
      </c>
      <c r="T2610" s="6">
        <f ca="1">Main[[#This Row],[بدهی سررسید شده (کیلوگرم)]]*Main[[#This Row],[روز از ارسال سفارش]]</f>
        <v>0</v>
      </c>
      <c r="U2610" s="6">
        <f>-SUBTOTAL(9,INDEX(Main[مقدار (کیلوگرم)],1):Main[[#This Row],[مقدار (کیلوگرم)]])</f>
        <v>48265</v>
      </c>
      <c r="V26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0" s="6">
        <f>Main[[#This Row],[تعداد کل روزهای بدهکار (روز)]]*Main[[#This Row],[مانده در خط کل (کیلوگرم)]]</f>
        <v>48265</v>
      </c>
      <c r="X2610" s="6">
        <f ca="1">-SUBTOTAL(9,INDEX(Main[مقدار تسویه شده (کیلوگرم)],1):Main[[#This Row],[مقدار تسویه شده (کیلوگرم)]])</f>
        <v>12036</v>
      </c>
      <c r="Y2610" s="6">
        <f ca="1">IF(Main[[#This Row],[مانده در خط تسویه شده (کیلوگرم)]]&lt;&gt;0,Main[[#This Row],[تعداد کل روزهای بدهکار (روز)]],0)</f>
        <v>1</v>
      </c>
      <c r="Z2610" s="6">
        <f ca="1">Main[[#This Row],[تعداد روزهای بدهکار تسویه شده (روز)]]*Main[[#This Row],[مانده در خط تسویه شده (کیلوگرم)]]</f>
        <v>12036</v>
      </c>
      <c r="AA2610" s="6">
        <f ca="1">SUBTOTAL(9,INDEX(Main[بدهی تسویه نشده (کیلوگرم)],1):Main[[#This Row],[بدهی تسویه نشده (کیلوگرم)]])</f>
        <v>36229</v>
      </c>
      <c r="AB2610" s="6">
        <f ca="1">IF(Main[[#This Row],[مانده در خط تسویه نشده (کیلوگرم)]]&lt;&gt;0,Main[[#This Row],[تعداد کل روزهای بدهکار (روز)]],0)</f>
        <v>1</v>
      </c>
      <c r="AC2610" s="6">
        <f ca="1">Main[[#This Row],[تعداد روزهای بدهکار  تسویه نشده (روز)]]*Main[[#This Row],[مانده در خط تسویه نشده (کیلوگرم)]]</f>
        <v>36229</v>
      </c>
      <c r="AD2610" s="6">
        <f ca="1">SUBTOTAL(9,INDEX(Main[بدهی سررسید شده (کیلوگرم)],1):Main[[#This Row],[بدهی سررسید شده (کیلوگرم)]])</f>
        <v>36229</v>
      </c>
      <c r="AE2610" s="6">
        <f ca="1">IF(Main[[#This Row],[مانده در خط سررسید شده (کیلوگرم)]]&lt;&gt;0,Main[[#This Row],[تعداد کل روزهای بدهکار (روز)]],0)</f>
        <v>1</v>
      </c>
      <c r="AF2610" s="6">
        <f ca="1">Main[[#This Row],[تعداد روزهای بدهکار سررسید شده (روز)]]*Main[[#This Row],[مانده در خط سررسید شده (کیلوگرم)]]</f>
        <v>36229</v>
      </c>
    </row>
    <row r="2611" spans="1:32" hidden="1" x14ac:dyDescent="0.35">
      <c r="A2611" s="5">
        <f>ROW()-ROW(INDEX(Main[ردیف],1))+1</f>
        <v>2609</v>
      </c>
      <c r="B2611" s="31">
        <f>SUBTOTAL(2,INDEX(Main[ردیف],1):Main[[#This Row],[ردیف]])</f>
        <v>234</v>
      </c>
      <c r="C2611" s="32" t="s">
        <v>818</v>
      </c>
      <c r="D2611" s="32" t="str">
        <f>_xlfn.CONCAT("14",Main[[#This Row],[تاريخ]])</f>
        <v>1400/09/30</v>
      </c>
      <c r="E2611" s="33">
        <v>44551</v>
      </c>
      <c r="F2611" s="32">
        <v>30004</v>
      </c>
      <c r="G2611" s="5" t="str">
        <f>INDEX(customer[عنوان],MATCH(Main[[#This Row],[کد ردیابی]],customer[کد],0))</f>
        <v>تولیدی صنعتی صفاشیر پارس</v>
      </c>
      <c r="H2611">
        <v>1338</v>
      </c>
      <c r="I2611" s="6">
        <f ca="1">-Main[[#This Row],[بدهی تسویه شده (کیلوگرم)]]+Main[[#This Row],[بستانکار (کیلوگرم)]]</f>
        <v>1338</v>
      </c>
      <c r="J2611" s="6">
        <f>IF(Main[[#This Row],[مقدار (کیلوگرم)]]&gt;0,Main[[#This Row],[مقدار (کیلوگرم)]],0)</f>
        <v>1338</v>
      </c>
      <c r="K2611" s="6">
        <f>-IF(Main[[#This Row],[مقدار (کیلوگرم)]]&lt;0,Main[[#This Row],[مقدار (کیلوگرم)]],0)</f>
        <v>0</v>
      </c>
      <c r="L26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1" s="7">
        <f>-IF(AND(Main[[#This Row],[مقدار (کیلوگرم)]]&lt;0,Main[[#This Row],[تاريخ میلادی]]&gt;44276),Main[[#This Row],[مقدار (کیلوگرم)]],0)</f>
        <v>0</v>
      </c>
      <c r="N2611" s="6">
        <f ca="1">Main[[#This Row],[بدهکار (کیلوگرم)]]-Main[[#This Row],[بدهی تسویه نشده (کیلوگرم)]]</f>
        <v>0</v>
      </c>
      <c r="O2611" s="6">
        <f ca="1">Main[[#This Row],[تفکیک]]</f>
        <v>0</v>
      </c>
      <c r="P2611" s="6">
        <f ca="1">IF(Main[[#This Row],[تاخیر از سررسید]]&gt;0,Main[[#This Row],[بدهی تسویه نشده (کیلوگرم)]],0)</f>
        <v>0</v>
      </c>
      <c r="Q2611" s="6">
        <f ca="1">IF(Main[[#This Row],[بدهی تسویه نشده (کیلوگرم)]]&gt;0,'گزارش فردی'!$B$7-Main[[#This Row],[تاريخ میلادی]],0)</f>
        <v>0</v>
      </c>
      <c r="R2611" s="6">
        <f ca="1">IF(Main[[#This Row],[بدهی تسویه نشده (کیلوگرم)]]&gt;0,'گزارش فردی'!$B$7-Main[[#This Row],[تاريخ میلادی]]-'گزارش فردی'!$B$8,0)</f>
        <v>0</v>
      </c>
      <c r="S2611" s="6">
        <f ca="1">Main[[#This Row],[روز از ارسال سفارش]]*Main[[#This Row],[بدهی تسویه نشده (کیلوگرم)]]</f>
        <v>0</v>
      </c>
      <c r="T2611" s="6">
        <f ca="1">Main[[#This Row],[بدهی سررسید شده (کیلوگرم)]]*Main[[#This Row],[روز از ارسال سفارش]]</f>
        <v>0</v>
      </c>
      <c r="U2611" s="6">
        <f>-SUBTOTAL(9,INDEX(Main[مقدار (کیلوگرم)],1):Main[[#This Row],[مقدار (کیلوگرم)]])</f>
        <v>48265</v>
      </c>
      <c r="V26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1" s="6">
        <f>Main[[#This Row],[تعداد کل روزهای بدهکار (روز)]]*Main[[#This Row],[مانده در خط کل (کیلوگرم)]]</f>
        <v>48265</v>
      </c>
      <c r="X2611" s="6">
        <f ca="1">-SUBTOTAL(9,INDEX(Main[مقدار تسویه شده (کیلوگرم)],1):Main[[#This Row],[مقدار تسویه شده (کیلوگرم)]])</f>
        <v>12036</v>
      </c>
      <c r="Y2611" s="6">
        <f ca="1">IF(Main[[#This Row],[مانده در خط تسویه شده (کیلوگرم)]]&lt;&gt;0,Main[[#This Row],[تعداد کل روزهای بدهکار (روز)]],0)</f>
        <v>1</v>
      </c>
      <c r="Z2611" s="6">
        <f ca="1">Main[[#This Row],[تعداد روزهای بدهکار تسویه شده (روز)]]*Main[[#This Row],[مانده در خط تسویه شده (کیلوگرم)]]</f>
        <v>12036</v>
      </c>
      <c r="AA2611" s="6">
        <f ca="1">SUBTOTAL(9,INDEX(Main[بدهی تسویه نشده (کیلوگرم)],1):Main[[#This Row],[بدهی تسویه نشده (کیلوگرم)]])</f>
        <v>36229</v>
      </c>
      <c r="AB2611" s="6">
        <f ca="1">IF(Main[[#This Row],[مانده در خط تسویه نشده (کیلوگرم)]]&lt;&gt;0,Main[[#This Row],[تعداد کل روزهای بدهکار (روز)]],0)</f>
        <v>1</v>
      </c>
      <c r="AC2611" s="6">
        <f ca="1">Main[[#This Row],[تعداد روزهای بدهکار  تسویه نشده (روز)]]*Main[[#This Row],[مانده در خط تسویه نشده (کیلوگرم)]]</f>
        <v>36229</v>
      </c>
      <c r="AD2611" s="6">
        <f ca="1">SUBTOTAL(9,INDEX(Main[بدهی سررسید شده (کیلوگرم)],1):Main[[#This Row],[بدهی سررسید شده (کیلوگرم)]])</f>
        <v>36229</v>
      </c>
      <c r="AE2611" s="6">
        <f ca="1">IF(Main[[#This Row],[مانده در خط سررسید شده (کیلوگرم)]]&lt;&gt;0,Main[[#This Row],[تعداد کل روزهای بدهکار (روز)]],0)</f>
        <v>1</v>
      </c>
      <c r="AF2611" s="6">
        <f ca="1">Main[[#This Row],[تعداد روزهای بدهکار سررسید شده (روز)]]*Main[[#This Row],[مانده در خط سررسید شده (کیلوگرم)]]</f>
        <v>36229</v>
      </c>
    </row>
    <row r="2612" spans="1:32" hidden="1" x14ac:dyDescent="0.35">
      <c r="A2612" s="5">
        <f>ROW()-ROW(INDEX(Main[ردیف],1))+1</f>
        <v>2610</v>
      </c>
      <c r="B2612" s="31">
        <f>SUBTOTAL(2,INDEX(Main[ردیف],1):Main[[#This Row],[ردیف]])</f>
        <v>234</v>
      </c>
      <c r="C2612" s="32" t="s">
        <v>818</v>
      </c>
      <c r="D2612" s="32" t="str">
        <f>_xlfn.CONCAT("14",Main[[#This Row],[تاريخ]])</f>
        <v>1400/09/30</v>
      </c>
      <c r="E2612" s="33">
        <v>44551</v>
      </c>
      <c r="F2612" s="32">
        <v>30004</v>
      </c>
      <c r="G2612" s="5" t="str">
        <f>INDEX(customer[عنوان],MATCH(Main[[#This Row],[کد ردیابی]],customer[کد],0))</f>
        <v>تولیدی صنعتی صفاشیر پارس</v>
      </c>
      <c r="H2612">
        <v>576</v>
      </c>
      <c r="I2612" s="6">
        <f ca="1">-Main[[#This Row],[بدهی تسویه شده (کیلوگرم)]]+Main[[#This Row],[بستانکار (کیلوگرم)]]</f>
        <v>576</v>
      </c>
      <c r="J2612" s="6">
        <f>IF(Main[[#This Row],[مقدار (کیلوگرم)]]&gt;0,Main[[#This Row],[مقدار (کیلوگرم)]],0)</f>
        <v>576</v>
      </c>
      <c r="K2612" s="6">
        <f>-IF(Main[[#This Row],[مقدار (کیلوگرم)]]&lt;0,Main[[#This Row],[مقدار (کیلوگرم)]],0)</f>
        <v>0</v>
      </c>
      <c r="L26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2" s="7">
        <f>-IF(AND(Main[[#This Row],[مقدار (کیلوگرم)]]&lt;0,Main[[#This Row],[تاريخ میلادی]]&gt;44276),Main[[#This Row],[مقدار (کیلوگرم)]],0)</f>
        <v>0</v>
      </c>
      <c r="N2612" s="6">
        <f ca="1">Main[[#This Row],[بدهکار (کیلوگرم)]]-Main[[#This Row],[بدهی تسویه نشده (کیلوگرم)]]</f>
        <v>0</v>
      </c>
      <c r="O2612" s="6">
        <f ca="1">Main[[#This Row],[تفکیک]]</f>
        <v>0</v>
      </c>
      <c r="P2612" s="6">
        <f ca="1">IF(Main[[#This Row],[تاخیر از سررسید]]&gt;0,Main[[#This Row],[بدهی تسویه نشده (کیلوگرم)]],0)</f>
        <v>0</v>
      </c>
      <c r="Q2612" s="6">
        <f ca="1">IF(Main[[#This Row],[بدهی تسویه نشده (کیلوگرم)]]&gt;0,'گزارش فردی'!$B$7-Main[[#This Row],[تاريخ میلادی]],0)</f>
        <v>0</v>
      </c>
      <c r="R2612" s="6">
        <f ca="1">IF(Main[[#This Row],[بدهی تسویه نشده (کیلوگرم)]]&gt;0,'گزارش فردی'!$B$7-Main[[#This Row],[تاريخ میلادی]]-'گزارش فردی'!$B$8,0)</f>
        <v>0</v>
      </c>
      <c r="S2612" s="6">
        <f ca="1">Main[[#This Row],[روز از ارسال سفارش]]*Main[[#This Row],[بدهی تسویه نشده (کیلوگرم)]]</f>
        <v>0</v>
      </c>
      <c r="T2612" s="6">
        <f ca="1">Main[[#This Row],[بدهی سررسید شده (کیلوگرم)]]*Main[[#This Row],[روز از ارسال سفارش]]</f>
        <v>0</v>
      </c>
      <c r="U2612" s="6">
        <f>-SUBTOTAL(9,INDEX(Main[مقدار (کیلوگرم)],1):Main[[#This Row],[مقدار (کیلوگرم)]])</f>
        <v>48265</v>
      </c>
      <c r="V26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2" s="6">
        <f>Main[[#This Row],[تعداد کل روزهای بدهکار (روز)]]*Main[[#This Row],[مانده در خط کل (کیلوگرم)]]</f>
        <v>48265</v>
      </c>
      <c r="X2612" s="6">
        <f ca="1">-SUBTOTAL(9,INDEX(Main[مقدار تسویه شده (کیلوگرم)],1):Main[[#This Row],[مقدار تسویه شده (کیلوگرم)]])</f>
        <v>12036</v>
      </c>
      <c r="Y2612" s="6">
        <f ca="1">IF(Main[[#This Row],[مانده در خط تسویه شده (کیلوگرم)]]&lt;&gt;0,Main[[#This Row],[تعداد کل روزهای بدهکار (روز)]],0)</f>
        <v>1</v>
      </c>
      <c r="Z2612" s="6">
        <f ca="1">Main[[#This Row],[تعداد روزهای بدهکار تسویه شده (روز)]]*Main[[#This Row],[مانده در خط تسویه شده (کیلوگرم)]]</f>
        <v>12036</v>
      </c>
      <c r="AA2612" s="6">
        <f ca="1">SUBTOTAL(9,INDEX(Main[بدهی تسویه نشده (کیلوگرم)],1):Main[[#This Row],[بدهی تسویه نشده (کیلوگرم)]])</f>
        <v>36229</v>
      </c>
      <c r="AB2612" s="6">
        <f ca="1">IF(Main[[#This Row],[مانده در خط تسویه نشده (کیلوگرم)]]&lt;&gt;0,Main[[#This Row],[تعداد کل روزهای بدهکار (روز)]],0)</f>
        <v>1</v>
      </c>
      <c r="AC2612" s="6">
        <f ca="1">Main[[#This Row],[تعداد روزهای بدهکار  تسویه نشده (روز)]]*Main[[#This Row],[مانده در خط تسویه نشده (کیلوگرم)]]</f>
        <v>36229</v>
      </c>
      <c r="AD2612" s="6">
        <f ca="1">SUBTOTAL(9,INDEX(Main[بدهی سررسید شده (کیلوگرم)],1):Main[[#This Row],[بدهی سررسید شده (کیلوگرم)]])</f>
        <v>36229</v>
      </c>
      <c r="AE2612" s="6">
        <f ca="1">IF(Main[[#This Row],[مانده در خط سررسید شده (کیلوگرم)]]&lt;&gt;0,Main[[#This Row],[تعداد کل روزهای بدهکار (روز)]],0)</f>
        <v>1</v>
      </c>
      <c r="AF2612" s="6">
        <f ca="1">Main[[#This Row],[تعداد روزهای بدهکار سررسید شده (روز)]]*Main[[#This Row],[مانده در خط سررسید شده (کیلوگرم)]]</f>
        <v>36229</v>
      </c>
    </row>
    <row r="2613" spans="1:32" hidden="1" x14ac:dyDescent="0.35">
      <c r="A2613" s="5">
        <f>ROW()-ROW(INDEX(Main[ردیف],1))+1</f>
        <v>2611</v>
      </c>
      <c r="B2613" s="31">
        <f>SUBTOTAL(2,INDEX(Main[ردیف],1):Main[[#This Row],[ردیف]])</f>
        <v>234</v>
      </c>
      <c r="C2613" s="32" t="s">
        <v>818</v>
      </c>
      <c r="D2613" s="32" t="str">
        <f>_xlfn.CONCAT("14",Main[[#This Row],[تاريخ]])</f>
        <v>1400/09/30</v>
      </c>
      <c r="E2613" s="33">
        <v>44551</v>
      </c>
      <c r="F2613" s="32">
        <v>30124</v>
      </c>
      <c r="G2613" s="5" t="str">
        <f>INDEX(customer[عنوان],MATCH(Main[[#This Row],[کد ردیابی]],customer[کد],0))</f>
        <v>شرکت لنگرمرواریدسبز</v>
      </c>
      <c r="H2613">
        <v>1230</v>
      </c>
      <c r="I2613" s="6">
        <f ca="1">-Main[[#This Row],[بدهی تسویه شده (کیلوگرم)]]+Main[[#This Row],[بستانکار (کیلوگرم)]]</f>
        <v>1230</v>
      </c>
      <c r="J2613" s="6">
        <f>IF(Main[[#This Row],[مقدار (کیلوگرم)]]&gt;0,Main[[#This Row],[مقدار (کیلوگرم)]],0)</f>
        <v>1230</v>
      </c>
      <c r="K2613" s="6">
        <f>-IF(Main[[#This Row],[مقدار (کیلوگرم)]]&lt;0,Main[[#This Row],[مقدار (کیلوگرم)]],0)</f>
        <v>0</v>
      </c>
      <c r="L26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3" s="7">
        <f>-IF(AND(Main[[#This Row],[مقدار (کیلوگرم)]]&lt;0,Main[[#This Row],[تاريخ میلادی]]&gt;44276),Main[[#This Row],[مقدار (کیلوگرم)]],0)</f>
        <v>0</v>
      </c>
      <c r="N2613" s="6">
        <f ca="1">Main[[#This Row],[بدهکار (کیلوگرم)]]-Main[[#This Row],[بدهی تسویه نشده (کیلوگرم)]]</f>
        <v>0</v>
      </c>
      <c r="O2613" s="6">
        <f ca="1">Main[[#This Row],[تفکیک]]</f>
        <v>0</v>
      </c>
      <c r="P2613" s="6">
        <f ca="1">IF(Main[[#This Row],[تاخیر از سررسید]]&gt;0,Main[[#This Row],[بدهی تسویه نشده (کیلوگرم)]],0)</f>
        <v>0</v>
      </c>
      <c r="Q2613" s="6">
        <f ca="1">IF(Main[[#This Row],[بدهی تسویه نشده (کیلوگرم)]]&gt;0,'گزارش فردی'!$B$7-Main[[#This Row],[تاريخ میلادی]],0)</f>
        <v>0</v>
      </c>
      <c r="R2613" s="6">
        <f ca="1">IF(Main[[#This Row],[بدهی تسویه نشده (کیلوگرم)]]&gt;0,'گزارش فردی'!$B$7-Main[[#This Row],[تاريخ میلادی]]-'گزارش فردی'!$B$8,0)</f>
        <v>0</v>
      </c>
      <c r="S2613" s="6">
        <f ca="1">Main[[#This Row],[روز از ارسال سفارش]]*Main[[#This Row],[بدهی تسویه نشده (کیلوگرم)]]</f>
        <v>0</v>
      </c>
      <c r="T2613" s="6">
        <f ca="1">Main[[#This Row],[بدهی سررسید شده (کیلوگرم)]]*Main[[#This Row],[روز از ارسال سفارش]]</f>
        <v>0</v>
      </c>
      <c r="U2613" s="6">
        <f>-SUBTOTAL(9,INDEX(Main[مقدار (کیلوگرم)],1):Main[[#This Row],[مقدار (کیلوگرم)]])</f>
        <v>48265</v>
      </c>
      <c r="V26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3" s="6">
        <f>Main[[#This Row],[تعداد کل روزهای بدهکار (روز)]]*Main[[#This Row],[مانده در خط کل (کیلوگرم)]]</f>
        <v>48265</v>
      </c>
      <c r="X2613" s="6">
        <f ca="1">-SUBTOTAL(9,INDEX(Main[مقدار تسویه شده (کیلوگرم)],1):Main[[#This Row],[مقدار تسویه شده (کیلوگرم)]])</f>
        <v>12036</v>
      </c>
      <c r="Y2613" s="6">
        <f ca="1">IF(Main[[#This Row],[مانده در خط تسویه شده (کیلوگرم)]]&lt;&gt;0,Main[[#This Row],[تعداد کل روزهای بدهکار (روز)]],0)</f>
        <v>1</v>
      </c>
      <c r="Z2613" s="6">
        <f ca="1">Main[[#This Row],[تعداد روزهای بدهکار تسویه شده (روز)]]*Main[[#This Row],[مانده در خط تسویه شده (کیلوگرم)]]</f>
        <v>12036</v>
      </c>
      <c r="AA2613" s="6">
        <f ca="1">SUBTOTAL(9,INDEX(Main[بدهی تسویه نشده (کیلوگرم)],1):Main[[#This Row],[بدهی تسویه نشده (کیلوگرم)]])</f>
        <v>36229</v>
      </c>
      <c r="AB2613" s="6">
        <f ca="1">IF(Main[[#This Row],[مانده در خط تسویه نشده (کیلوگرم)]]&lt;&gt;0,Main[[#This Row],[تعداد کل روزهای بدهکار (روز)]],0)</f>
        <v>1</v>
      </c>
      <c r="AC2613" s="6">
        <f ca="1">Main[[#This Row],[تعداد روزهای بدهکار  تسویه نشده (روز)]]*Main[[#This Row],[مانده در خط تسویه نشده (کیلوگرم)]]</f>
        <v>36229</v>
      </c>
      <c r="AD2613" s="6">
        <f ca="1">SUBTOTAL(9,INDEX(Main[بدهی سررسید شده (کیلوگرم)],1):Main[[#This Row],[بدهی سررسید شده (کیلوگرم)]])</f>
        <v>36229</v>
      </c>
      <c r="AE2613" s="6">
        <f ca="1">IF(Main[[#This Row],[مانده در خط سررسید شده (کیلوگرم)]]&lt;&gt;0,Main[[#This Row],[تعداد کل روزهای بدهکار (روز)]],0)</f>
        <v>1</v>
      </c>
      <c r="AF2613" s="6">
        <f ca="1">Main[[#This Row],[تعداد روزهای بدهکار سررسید شده (روز)]]*Main[[#This Row],[مانده در خط سررسید شده (کیلوگرم)]]</f>
        <v>36229</v>
      </c>
    </row>
    <row r="2614" spans="1:32" hidden="1" x14ac:dyDescent="0.35">
      <c r="A2614" s="5">
        <f>ROW()-ROW(INDEX(Main[ردیف],1))+1</f>
        <v>2612</v>
      </c>
      <c r="B2614" s="31">
        <f>SUBTOTAL(2,INDEX(Main[ردیف],1):Main[[#This Row],[ردیف]])</f>
        <v>234</v>
      </c>
      <c r="C2614" s="32" t="s">
        <v>818</v>
      </c>
      <c r="D2614" s="32" t="str">
        <f>_xlfn.CONCAT("14",Main[[#This Row],[تاريخ]])</f>
        <v>1400/09/30</v>
      </c>
      <c r="E2614" s="33">
        <v>44551</v>
      </c>
      <c r="F2614" s="32">
        <v>30124</v>
      </c>
      <c r="G2614" s="5" t="str">
        <f>INDEX(customer[عنوان],MATCH(Main[[#This Row],[کد ردیابی]],customer[کد],0))</f>
        <v>شرکت لنگرمرواریدسبز</v>
      </c>
      <c r="H2614">
        <v>268</v>
      </c>
      <c r="I2614" s="6">
        <f ca="1">-Main[[#This Row],[بدهی تسویه شده (کیلوگرم)]]+Main[[#This Row],[بستانکار (کیلوگرم)]]</f>
        <v>268</v>
      </c>
      <c r="J2614" s="6">
        <f>IF(Main[[#This Row],[مقدار (کیلوگرم)]]&gt;0,Main[[#This Row],[مقدار (کیلوگرم)]],0)</f>
        <v>268</v>
      </c>
      <c r="K2614" s="6">
        <f>-IF(Main[[#This Row],[مقدار (کیلوگرم)]]&lt;0,Main[[#This Row],[مقدار (کیلوگرم)]],0)</f>
        <v>0</v>
      </c>
      <c r="L26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4" s="7">
        <f>-IF(AND(Main[[#This Row],[مقدار (کیلوگرم)]]&lt;0,Main[[#This Row],[تاريخ میلادی]]&gt;44276),Main[[#This Row],[مقدار (کیلوگرم)]],0)</f>
        <v>0</v>
      </c>
      <c r="N2614" s="6">
        <f ca="1">Main[[#This Row],[بدهکار (کیلوگرم)]]-Main[[#This Row],[بدهی تسویه نشده (کیلوگرم)]]</f>
        <v>0</v>
      </c>
      <c r="O2614" s="6">
        <f ca="1">Main[[#This Row],[تفکیک]]</f>
        <v>0</v>
      </c>
      <c r="P2614" s="6">
        <f ca="1">IF(Main[[#This Row],[تاخیر از سررسید]]&gt;0,Main[[#This Row],[بدهی تسویه نشده (کیلوگرم)]],0)</f>
        <v>0</v>
      </c>
      <c r="Q2614" s="6">
        <f ca="1">IF(Main[[#This Row],[بدهی تسویه نشده (کیلوگرم)]]&gt;0,'گزارش فردی'!$B$7-Main[[#This Row],[تاريخ میلادی]],0)</f>
        <v>0</v>
      </c>
      <c r="R2614" s="6">
        <f ca="1">IF(Main[[#This Row],[بدهی تسویه نشده (کیلوگرم)]]&gt;0,'گزارش فردی'!$B$7-Main[[#This Row],[تاريخ میلادی]]-'گزارش فردی'!$B$8,0)</f>
        <v>0</v>
      </c>
      <c r="S2614" s="6">
        <f ca="1">Main[[#This Row],[روز از ارسال سفارش]]*Main[[#This Row],[بدهی تسویه نشده (کیلوگرم)]]</f>
        <v>0</v>
      </c>
      <c r="T2614" s="6">
        <f ca="1">Main[[#This Row],[بدهی سررسید شده (کیلوگرم)]]*Main[[#This Row],[روز از ارسال سفارش]]</f>
        <v>0</v>
      </c>
      <c r="U2614" s="6">
        <f>-SUBTOTAL(9,INDEX(Main[مقدار (کیلوگرم)],1):Main[[#This Row],[مقدار (کیلوگرم)]])</f>
        <v>48265</v>
      </c>
      <c r="V26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4" s="6">
        <f>Main[[#This Row],[تعداد کل روزهای بدهکار (روز)]]*Main[[#This Row],[مانده در خط کل (کیلوگرم)]]</f>
        <v>48265</v>
      </c>
      <c r="X2614" s="6">
        <f ca="1">-SUBTOTAL(9,INDEX(Main[مقدار تسویه شده (کیلوگرم)],1):Main[[#This Row],[مقدار تسویه شده (کیلوگرم)]])</f>
        <v>12036</v>
      </c>
      <c r="Y2614" s="6">
        <f ca="1">IF(Main[[#This Row],[مانده در خط تسویه شده (کیلوگرم)]]&lt;&gt;0,Main[[#This Row],[تعداد کل روزهای بدهکار (روز)]],0)</f>
        <v>1</v>
      </c>
      <c r="Z2614" s="6">
        <f ca="1">Main[[#This Row],[تعداد روزهای بدهکار تسویه شده (روز)]]*Main[[#This Row],[مانده در خط تسویه شده (کیلوگرم)]]</f>
        <v>12036</v>
      </c>
      <c r="AA2614" s="6">
        <f ca="1">SUBTOTAL(9,INDEX(Main[بدهی تسویه نشده (کیلوگرم)],1):Main[[#This Row],[بدهی تسویه نشده (کیلوگرم)]])</f>
        <v>36229</v>
      </c>
      <c r="AB2614" s="6">
        <f ca="1">IF(Main[[#This Row],[مانده در خط تسویه نشده (کیلوگرم)]]&lt;&gt;0,Main[[#This Row],[تعداد کل روزهای بدهکار (روز)]],0)</f>
        <v>1</v>
      </c>
      <c r="AC2614" s="6">
        <f ca="1">Main[[#This Row],[تعداد روزهای بدهکار  تسویه نشده (روز)]]*Main[[#This Row],[مانده در خط تسویه نشده (کیلوگرم)]]</f>
        <v>36229</v>
      </c>
      <c r="AD2614" s="6">
        <f ca="1">SUBTOTAL(9,INDEX(Main[بدهی سررسید شده (کیلوگرم)],1):Main[[#This Row],[بدهی سررسید شده (کیلوگرم)]])</f>
        <v>36229</v>
      </c>
      <c r="AE2614" s="6">
        <f ca="1">IF(Main[[#This Row],[مانده در خط سررسید شده (کیلوگرم)]]&lt;&gt;0,Main[[#This Row],[تعداد کل روزهای بدهکار (روز)]],0)</f>
        <v>1</v>
      </c>
      <c r="AF2614" s="6">
        <f ca="1">Main[[#This Row],[تعداد روزهای بدهکار سررسید شده (روز)]]*Main[[#This Row],[مانده در خط سررسید شده (کیلوگرم)]]</f>
        <v>36229</v>
      </c>
    </row>
    <row r="2615" spans="1:32" hidden="1" x14ac:dyDescent="0.35">
      <c r="A2615" s="5">
        <f>ROW()-ROW(INDEX(Main[ردیف],1))+1</f>
        <v>2613</v>
      </c>
      <c r="B2615" s="31">
        <f>SUBTOTAL(2,INDEX(Main[ردیف],1):Main[[#This Row],[ردیف]])</f>
        <v>234</v>
      </c>
      <c r="C2615" s="32" t="s">
        <v>818</v>
      </c>
      <c r="D2615" s="32" t="str">
        <f>_xlfn.CONCAT("14",Main[[#This Row],[تاريخ]])</f>
        <v>1400/09/30</v>
      </c>
      <c r="E2615" s="33">
        <v>44551</v>
      </c>
      <c r="F2615" s="32">
        <v>30026</v>
      </c>
      <c r="G2615" s="5" t="str">
        <f>INDEX(customer[عنوان],MATCH(Main[[#This Row],[کد ردیابی]],customer[کد],0))</f>
        <v>آبکامه</v>
      </c>
      <c r="H2615">
        <v>500</v>
      </c>
      <c r="I2615" s="6">
        <f ca="1">-Main[[#This Row],[بدهی تسویه شده (کیلوگرم)]]+Main[[#This Row],[بستانکار (کیلوگرم)]]</f>
        <v>500</v>
      </c>
      <c r="J2615" s="6">
        <f>IF(Main[[#This Row],[مقدار (کیلوگرم)]]&gt;0,Main[[#This Row],[مقدار (کیلوگرم)]],0)</f>
        <v>500</v>
      </c>
      <c r="K2615" s="6">
        <f>-IF(Main[[#This Row],[مقدار (کیلوگرم)]]&lt;0,Main[[#This Row],[مقدار (کیلوگرم)]],0)</f>
        <v>0</v>
      </c>
      <c r="L26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5" s="7">
        <f>-IF(AND(Main[[#This Row],[مقدار (کیلوگرم)]]&lt;0,Main[[#This Row],[تاريخ میلادی]]&gt;44276),Main[[#This Row],[مقدار (کیلوگرم)]],0)</f>
        <v>0</v>
      </c>
      <c r="N2615" s="6">
        <f ca="1">Main[[#This Row],[بدهکار (کیلوگرم)]]-Main[[#This Row],[بدهی تسویه نشده (کیلوگرم)]]</f>
        <v>0</v>
      </c>
      <c r="O2615" s="6">
        <f ca="1">Main[[#This Row],[تفکیک]]</f>
        <v>0</v>
      </c>
      <c r="P2615" s="6">
        <f ca="1">IF(Main[[#This Row],[تاخیر از سررسید]]&gt;0,Main[[#This Row],[بدهی تسویه نشده (کیلوگرم)]],0)</f>
        <v>0</v>
      </c>
      <c r="Q2615" s="6">
        <f ca="1">IF(Main[[#This Row],[بدهی تسویه نشده (کیلوگرم)]]&gt;0,'گزارش فردی'!$B$7-Main[[#This Row],[تاريخ میلادی]],0)</f>
        <v>0</v>
      </c>
      <c r="R2615" s="6">
        <f ca="1">IF(Main[[#This Row],[بدهی تسویه نشده (کیلوگرم)]]&gt;0,'گزارش فردی'!$B$7-Main[[#This Row],[تاريخ میلادی]]-'گزارش فردی'!$B$8,0)</f>
        <v>0</v>
      </c>
      <c r="S2615" s="6">
        <f ca="1">Main[[#This Row],[روز از ارسال سفارش]]*Main[[#This Row],[بدهی تسویه نشده (کیلوگرم)]]</f>
        <v>0</v>
      </c>
      <c r="T2615" s="6">
        <f ca="1">Main[[#This Row],[بدهی سررسید شده (کیلوگرم)]]*Main[[#This Row],[روز از ارسال سفارش]]</f>
        <v>0</v>
      </c>
      <c r="U2615" s="6">
        <f>-SUBTOTAL(9,INDEX(Main[مقدار (کیلوگرم)],1):Main[[#This Row],[مقدار (کیلوگرم)]])</f>
        <v>48265</v>
      </c>
      <c r="V26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5" s="6">
        <f>Main[[#This Row],[تعداد کل روزهای بدهکار (روز)]]*Main[[#This Row],[مانده در خط کل (کیلوگرم)]]</f>
        <v>48265</v>
      </c>
      <c r="X2615" s="6">
        <f ca="1">-SUBTOTAL(9,INDEX(Main[مقدار تسویه شده (کیلوگرم)],1):Main[[#This Row],[مقدار تسویه شده (کیلوگرم)]])</f>
        <v>12036</v>
      </c>
      <c r="Y2615" s="6">
        <f ca="1">IF(Main[[#This Row],[مانده در خط تسویه شده (کیلوگرم)]]&lt;&gt;0,Main[[#This Row],[تعداد کل روزهای بدهکار (روز)]],0)</f>
        <v>1</v>
      </c>
      <c r="Z2615" s="6">
        <f ca="1">Main[[#This Row],[تعداد روزهای بدهکار تسویه شده (روز)]]*Main[[#This Row],[مانده در خط تسویه شده (کیلوگرم)]]</f>
        <v>12036</v>
      </c>
      <c r="AA2615" s="6">
        <f ca="1">SUBTOTAL(9,INDEX(Main[بدهی تسویه نشده (کیلوگرم)],1):Main[[#This Row],[بدهی تسویه نشده (کیلوگرم)]])</f>
        <v>36229</v>
      </c>
      <c r="AB2615" s="6">
        <f ca="1">IF(Main[[#This Row],[مانده در خط تسویه نشده (کیلوگرم)]]&lt;&gt;0,Main[[#This Row],[تعداد کل روزهای بدهکار (روز)]],0)</f>
        <v>1</v>
      </c>
      <c r="AC2615" s="6">
        <f ca="1">Main[[#This Row],[تعداد روزهای بدهکار  تسویه نشده (روز)]]*Main[[#This Row],[مانده در خط تسویه نشده (کیلوگرم)]]</f>
        <v>36229</v>
      </c>
      <c r="AD2615" s="6">
        <f ca="1">SUBTOTAL(9,INDEX(Main[بدهی سررسید شده (کیلوگرم)],1):Main[[#This Row],[بدهی سررسید شده (کیلوگرم)]])</f>
        <v>36229</v>
      </c>
      <c r="AE2615" s="6">
        <f ca="1">IF(Main[[#This Row],[مانده در خط سررسید شده (کیلوگرم)]]&lt;&gt;0,Main[[#This Row],[تعداد کل روزهای بدهکار (روز)]],0)</f>
        <v>1</v>
      </c>
      <c r="AF2615" s="6">
        <f ca="1">Main[[#This Row],[تعداد روزهای بدهکار سررسید شده (روز)]]*Main[[#This Row],[مانده در خط سررسید شده (کیلوگرم)]]</f>
        <v>36229</v>
      </c>
    </row>
    <row r="2616" spans="1:32" hidden="1" x14ac:dyDescent="0.35">
      <c r="A2616" s="5">
        <f>ROW()-ROW(INDEX(Main[ردیف],1))+1</f>
        <v>2614</v>
      </c>
      <c r="B2616" s="31">
        <f>SUBTOTAL(2,INDEX(Main[ردیف],1):Main[[#This Row],[ردیف]])</f>
        <v>234</v>
      </c>
      <c r="C2616" s="32" t="s">
        <v>818</v>
      </c>
      <c r="D2616" s="32" t="str">
        <f>_xlfn.CONCAT("14",Main[[#This Row],[تاريخ]])</f>
        <v>1400/09/30</v>
      </c>
      <c r="E2616" s="33">
        <v>44551</v>
      </c>
      <c r="F2616" s="32">
        <v>30137</v>
      </c>
      <c r="G2616" s="5" t="str">
        <f>INDEX(customer[عنوان],MATCH(Main[[#This Row],[کد ردیابی]],customer[کد],0))</f>
        <v>شرکت آفتابگردان</v>
      </c>
      <c r="H2616">
        <v>277</v>
      </c>
      <c r="I2616" s="6">
        <f ca="1">-Main[[#This Row],[بدهی تسویه شده (کیلوگرم)]]+Main[[#This Row],[بستانکار (کیلوگرم)]]</f>
        <v>277</v>
      </c>
      <c r="J2616" s="6">
        <f>IF(Main[[#This Row],[مقدار (کیلوگرم)]]&gt;0,Main[[#This Row],[مقدار (کیلوگرم)]],0)</f>
        <v>277</v>
      </c>
      <c r="K2616" s="6">
        <f>-IF(Main[[#This Row],[مقدار (کیلوگرم)]]&lt;0,Main[[#This Row],[مقدار (کیلوگرم)]],0)</f>
        <v>0</v>
      </c>
      <c r="L26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6" s="7">
        <f>-IF(AND(Main[[#This Row],[مقدار (کیلوگرم)]]&lt;0,Main[[#This Row],[تاريخ میلادی]]&gt;44276),Main[[#This Row],[مقدار (کیلوگرم)]],0)</f>
        <v>0</v>
      </c>
      <c r="N2616" s="6">
        <f ca="1">Main[[#This Row],[بدهکار (کیلوگرم)]]-Main[[#This Row],[بدهی تسویه نشده (کیلوگرم)]]</f>
        <v>0</v>
      </c>
      <c r="O2616" s="6">
        <f ca="1">Main[[#This Row],[تفکیک]]</f>
        <v>0</v>
      </c>
      <c r="P2616" s="6">
        <f ca="1">IF(Main[[#This Row],[تاخیر از سررسید]]&gt;0,Main[[#This Row],[بدهی تسویه نشده (کیلوگرم)]],0)</f>
        <v>0</v>
      </c>
      <c r="Q2616" s="6">
        <f ca="1">IF(Main[[#This Row],[بدهی تسویه نشده (کیلوگرم)]]&gt;0,'گزارش فردی'!$B$7-Main[[#This Row],[تاريخ میلادی]],0)</f>
        <v>0</v>
      </c>
      <c r="R2616" s="6">
        <f ca="1">IF(Main[[#This Row],[بدهی تسویه نشده (کیلوگرم)]]&gt;0,'گزارش فردی'!$B$7-Main[[#This Row],[تاريخ میلادی]]-'گزارش فردی'!$B$8,0)</f>
        <v>0</v>
      </c>
      <c r="S2616" s="6">
        <f ca="1">Main[[#This Row],[روز از ارسال سفارش]]*Main[[#This Row],[بدهی تسویه نشده (کیلوگرم)]]</f>
        <v>0</v>
      </c>
      <c r="T2616" s="6">
        <f ca="1">Main[[#This Row],[بدهی سررسید شده (کیلوگرم)]]*Main[[#This Row],[روز از ارسال سفارش]]</f>
        <v>0</v>
      </c>
      <c r="U2616" s="6">
        <f>-SUBTOTAL(9,INDEX(Main[مقدار (کیلوگرم)],1):Main[[#This Row],[مقدار (کیلوگرم)]])</f>
        <v>48265</v>
      </c>
      <c r="V26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6" s="6">
        <f>Main[[#This Row],[تعداد کل روزهای بدهکار (روز)]]*Main[[#This Row],[مانده در خط کل (کیلوگرم)]]</f>
        <v>48265</v>
      </c>
      <c r="X2616" s="6">
        <f ca="1">-SUBTOTAL(9,INDEX(Main[مقدار تسویه شده (کیلوگرم)],1):Main[[#This Row],[مقدار تسویه شده (کیلوگرم)]])</f>
        <v>12036</v>
      </c>
      <c r="Y2616" s="6">
        <f ca="1">IF(Main[[#This Row],[مانده در خط تسویه شده (کیلوگرم)]]&lt;&gt;0,Main[[#This Row],[تعداد کل روزهای بدهکار (روز)]],0)</f>
        <v>1</v>
      </c>
      <c r="Z2616" s="6">
        <f ca="1">Main[[#This Row],[تعداد روزهای بدهکار تسویه شده (روز)]]*Main[[#This Row],[مانده در خط تسویه شده (کیلوگرم)]]</f>
        <v>12036</v>
      </c>
      <c r="AA2616" s="6">
        <f ca="1">SUBTOTAL(9,INDEX(Main[بدهی تسویه نشده (کیلوگرم)],1):Main[[#This Row],[بدهی تسویه نشده (کیلوگرم)]])</f>
        <v>36229</v>
      </c>
      <c r="AB2616" s="6">
        <f ca="1">IF(Main[[#This Row],[مانده در خط تسویه نشده (کیلوگرم)]]&lt;&gt;0,Main[[#This Row],[تعداد کل روزهای بدهکار (روز)]],0)</f>
        <v>1</v>
      </c>
      <c r="AC2616" s="6">
        <f ca="1">Main[[#This Row],[تعداد روزهای بدهکار  تسویه نشده (روز)]]*Main[[#This Row],[مانده در خط تسویه نشده (کیلوگرم)]]</f>
        <v>36229</v>
      </c>
      <c r="AD2616" s="6">
        <f ca="1">SUBTOTAL(9,INDEX(Main[بدهی سررسید شده (کیلوگرم)],1):Main[[#This Row],[بدهی سررسید شده (کیلوگرم)]])</f>
        <v>36229</v>
      </c>
      <c r="AE2616" s="6">
        <f ca="1">IF(Main[[#This Row],[مانده در خط سررسید شده (کیلوگرم)]]&lt;&gt;0,Main[[#This Row],[تعداد کل روزهای بدهکار (روز)]],0)</f>
        <v>1</v>
      </c>
      <c r="AF2616" s="6">
        <f ca="1">Main[[#This Row],[تعداد روزهای بدهکار سررسید شده (روز)]]*Main[[#This Row],[مانده در خط سررسید شده (کیلوگرم)]]</f>
        <v>36229</v>
      </c>
    </row>
    <row r="2617" spans="1:32" hidden="1" x14ac:dyDescent="0.35">
      <c r="A2617" s="5">
        <f>ROW()-ROW(INDEX(Main[ردیف],1))+1</f>
        <v>2615</v>
      </c>
      <c r="B2617" s="31">
        <f>SUBTOTAL(2,INDEX(Main[ردیف],1):Main[[#This Row],[ردیف]])</f>
        <v>234</v>
      </c>
      <c r="C2617" s="32" t="s">
        <v>818</v>
      </c>
      <c r="D2617" s="32" t="str">
        <f>_xlfn.CONCAT("14",Main[[#This Row],[تاريخ]])</f>
        <v>1400/09/30</v>
      </c>
      <c r="E2617" s="33">
        <v>44551</v>
      </c>
      <c r="F2617" s="32">
        <v>50016</v>
      </c>
      <c r="G2617" s="5" t="str">
        <f>INDEX(customer[عنوان],MATCH(Main[[#This Row],[کد ردیابی]],customer[کد],0))</f>
        <v xml:space="preserve">مهدی یوسفی  </v>
      </c>
      <c r="H2617">
        <v>4</v>
      </c>
      <c r="I2617" s="6">
        <f ca="1">-Main[[#This Row],[بدهی تسویه شده (کیلوگرم)]]+Main[[#This Row],[بستانکار (کیلوگرم)]]</f>
        <v>4</v>
      </c>
      <c r="J2617" s="6">
        <f>IF(Main[[#This Row],[مقدار (کیلوگرم)]]&gt;0,Main[[#This Row],[مقدار (کیلوگرم)]],0)</f>
        <v>4</v>
      </c>
      <c r="K2617" s="6">
        <f>-IF(Main[[#This Row],[مقدار (کیلوگرم)]]&lt;0,Main[[#This Row],[مقدار (کیلوگرم)]],0)</f>
        <v>0</v>
      </c>
      <c r="L26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7" s="7">
        <f>-IF(AND(Main[[#This Row],[مقدار (کیلوگرم)]]&lt;0,Main[[#This Row],[تاريخ میلادی]]&gt;44276),Main[[#This Row],[مقدار (کیلوگرم)]],0)</f>
        <v>0</v>
      </c>
      <c r="N2617" s="6">
        <f ca="1">Main[[#This Row],[بدهکار (کیلوگرم)]]-Main[[#This Row],[بدهی تسویه نشده (کیلوگرم)]]</f>
        <v>0</v>
      </c>
      <c r="O2617" s="6">
        <f ca="1">Main[[#This Row],[تفکیک]]</f>
        <v>0</v>
      </c>
      <c r="P2617" s="6">
        <f ca="1">IF(Main[[#This Row],[تاخیر از سررسید]]&gt;0,Main[[#This Row],[بدهی تسویه نشده (کیلوگرم)]],0)</f>
        <v>0</v>
      </c>
      <c r="Q2617" s="6">
        <f ca="1">IF(Main[[#This Row],[بدهی تسویه نشده (کیلوگرم)]]&gt;0,'گزارش فردی'!$B$7-Main[[#This Row],[تاريخ میلادی]],0)</f>
        <v>0</v>
      </c>
      <c r="R2617" s="6">
        <f ca="1">IF(Main[[#This Row],[بدهی تسویه نشده (کیلوگرم)]]&gt;0,'گزارش فردی'!$B$7-Main[[#This Row],[تاريخ میلادی]]-'گزارش فردی'!$B$8,0)</f>
        <v>0</v>
      </c>
      <c r="S2617" s="6">
        <f ca="1">Main[[#This Row],[روز از ارسال سفارش]]*Main[[#This Row],[بدهی تسویه نشده (کیلوگرم)]]</f>
        <v>0</v>
      </c>
      <c r="T2617" s="6">
        <f ca="1">Main[[#This Row],[بدهی سررسید شده (کیلوگرم)]]*Main[[#This Row],[روز از ارسال سفارش]]</f>
        <v>0</v>
      </c>
      <c r="U2617" s="6">
        <f>-SUBTOTAL(9,INDEX(Main[مقدار (کیلوگرم)],1):Main[[#This Row],[مقدار (کیلوگرم)]])</f>
        <v>48265</v>
      </c>
      <c r="V26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7" s="6">
        <f>Main[[#This Row],[تعداد کل روزهای بدهکار (روز)]]*Main[[#This Row],[مانده در خط کل (کیلوگرم)]]</f>
        <v>48265</v>
      </c>
      <c r="X2617" s="6">
        <f ca="1">-SUBTOTAL(9,INDEX(Main[مقدار تسویه شده (کیلوگرم)],1):Main[[#This Row],[مقدار تسویه شده (کیلوگرم)]])</f>
        <v>12036</v>
      </c>
      <c r="Y2617" s="6">
        <f ca="1">IF(Main[[#This Row],[مانده در خط تسویه شده (کیلوگرم)]]&lt;&gt;0,Main[[#This Row],[تعداد کل روزهای بدهکار (روز)]],0)</f>
        <v>1</v>
      </c>
      <c r="Z2617" s="6">
        <f ca="1">Main[[#This Row],[تعداد روزهای بدهکار تسویه شده (روز)]]*Main[[#This Row],[مانده در خط تسویه شده (کیلوگرم)]]</f>
        <v>12036</v>
      </c>
      <c r="AA2617" s="6">
        <f ca="1">SUBTOTAL(9,INDEX(Main[بدهی تسویه نشده (کیلوگرم)],1):Main[[#This Row],[بدهی تسویه نشده (کیلوگرم)]])</f>
        <v>36229</v>
      </c>
      <c r="AB2617" s="6">
        <f ca="1">IF(Main[[#This Row],[مانده در خط تسویه نشده (کیلوگرم)]]&lt;&gt;0,Main[[#This Row],[تعداد کل روزهای بدهکار (روز)]],0)</f>
        <v>1</v>
      </c>
      <c r="AC2617" s="6">
        <f ca="1">Main[[#This Row],[تعداد روزهای بدهکار  تسویه نشده (روز)]]*Main[[#This Row],[مانده در خط تسویه نشده (کیلوگرم)]]</f>
        <v>36229</v>
      </c>
      <c r="AD2617" s="6">
        <f ca="1">SUBTOTAL(9,INDEX(Main[بدهی سررسید شده (کیلوگرم)],1):Main[[#This Row],[بدهی سررسید شده (کیلوگرم)]])</f>
        <v>36229</v>
      </c>
      <c r="AE2617" s="6">
        <f ca="1">IF(Main[[#This Row],[مانده در خط سررسید شده (کیلوگرم)]]&lt;&gt;0,Main[[#This Row],[تعداد کل روزهای بدهکار (روز)]],0)</f>
        <v>1</v>
      </c>
      <c r="AF2617" s="6">
        <f ca="1">Main[[#This Row],[تعداد روزهای بدهکار سررسید شده (روز)]]*Main[[#This Row],[مانده در خط سررسید شده (کیلوگرم)]]</f>
        <v>36229</v>
      </c>
    </row>
    <row r="2618" spans="1:32" hidden="1" x14ac:dyDescent="0.35">
      <c r="A2618" s="5">
        <f>ROW()-ROW(INDEX(Main[ردیف],1))+1</f>
        <v>2616</v>
      </c>
      <c r="B2618" s="31">
        <f>SUBTOTAL(2,INDEX(Main[ردیف],1):Main[[#This Row],[ردیف]])</f>
        <v>234</v>
      </c>
      <c r="C2618" s="32" t="s">
        <v>818</v>
      </c>
      <c r="D2618" s="32" t="str">
        <f>_xlfn.CONCAT("14",Main[[#This Row],[تاريخ]])</f>
        <v>1400/09/30</v>
      </c>
      <c r="E2618" s="33">
        <v>44551</v>
      </c>
      <c r="F2618" s="32">
        <v>30026</v>
      </c>
      <c r="G2618" s="5" t="str">
        <f>INDEX(customer[عنوان],MATCH(Main[[#This Row],[کد ردیابی]],customer[کد],0))</f>
        <v>آبکامه</v>
      </c>
      <c r="H2618">
        <v>136</v>
      </c>
      <c r="I2618" s="6">
        <f ca="1">-Main[[#This Row],[بدهی تسویه شده (کیلوگرم)]]+Main[[#This Row],[بستانکار (کیلوگرم)]]</f>
        <v>136</v>
      </c>
      <c r="J2618" s="6">
        <f>IF(Main[[#This Row],[مقدار (کیلوگرم)]]&gt;0,Main[[#This Row],[مقدار (کیلوگرم)]],0)</f>
        <v>136</v>
      </c>
      <c r="K2618" s="6">
        <f>-IF(Main[[#This Row],[مقدار (کیلوگرم)]]&lt;0,Main[[#This Row],[مقدار (کیلوگرم)]],0)</f>
        <v>0</v>
      </c>
      <c r="L26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8" s="7">
        <f>-IF(AND(Main[[#This Row],[مقدار (کیلوگرم)]]&lt;0,Main[[#This Row],[تاريخ میلادی]]&gt;44276),Main[[#This Row],[مقدار (کیلوگرم)]],0)</f>
        <v>0</v>
      </c>
      <c r="N2618" s="6">
        <f ca="1">Main[[#This Row],[بدهکار (کیلوگرم)]]-Main[[#This Row],[بدهی تسویه نشده (کیلوگرم)]]</f>
        <v>0</v>
      </c>
      <c r="O2618" s="6">
        <f ca="1">Main[[#This Row],[تفکیک]]</f>
        <v>0</v>
      </c>
      <c r="P2618" s="6">
        <f ca="1">IF(Main[[#This Row],[تاخیر از سررسید]]&gt;0,Main[[#This Row],[بدهی تسویه نشده (کیلوگرم)]],0)</f>
        <v>0</v>
      </c>
      <c r="Q2618" s="6">
        <f ca="1">IF(Main[[#This Row],[بدهی تسویه نشده (کیلوگرم)]]&gt;0,'گزارش فردی'!$B$7-Main[[#This Row],[تاريخ میلادی]],0)</f>
        <v>0</v>
      </c>
      <c r="R2618" s="6">
        <f ca="1">IF(Main[[#This Row],[بدهی تسویه نشده (کیلوگرم)]]&gt;0,'گزارش فردی'!$B$7-Main[[#This Row],[تاريخ میلادی]]-'گزارش فردی'!$B$8,0)</f>
        <v>0</v>
      </c>
      <c r="S2618" s="6">
        <f ca="1">Main[[#This Row],[روز از ارسال سفارش]]*Main[[#This Row],[بدهی تسویه نشده (کیلوگرم)]]</f>
        <v>0</v>
      </c>
      <c r="T2618" s="6">
        <f ca="1">Main[[#This Row],[بدهی سررسید شده (کیلوگرم)]]*Main[[#This Row],[روز از ارسال سفارش]]</f>
        <v>0</v>
      </c>
      <c r="U2618" s="6">
        <f>-SUBTOTAL(9,INDEX(Main[مقدار (کیلوگرم)],1):Main[[#This Row],[مقدار (کیلوگرم)]])</f>
        <v>48265</v>
      </c>
      <c r="V26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8" s="6">
        <f>Main[[#This Row],[تعداد کل روزهای بدهکار (روز)]]*Main[[#This Row],[مانده در خط کل (کیلوگرم)]]</f>
        <v>48265</v>
      </c>
      <c r="X2618" s="6">
        <f ca="1">-SUBTOTAL(9,INDEX(Main[مقدار تسویه شده (کیلوگرم)],1):Main[[#This Row],[مقدار تسویه شده (کیلوگرم)]])</f>
        <v>12036</v>
      </c>
      <c r="Y2618" s="6">
        <f ca="1">IF(Main[[#This Row],[مانده در خط تسویه شده (کیلوگرم)]]&lt;&gt;0,Main[[#This Row],[تعداد کل روزهای بدهکار (روز)]],0)</f>
        <v>1</v>
      </c>
      <c r="Z2618" s="6">
        <f ca="1">Main[[#This Row],[تعداد روزهای بدهکار تسویه شده (روز)]]*Main[[#This Row],[مانده در خط تسویه شده (کیلوگرم)]]</f>
        <v>12036</v>
      </c>
      <c r="AA2618" s="6">
        <f ca="1">SUBTOTAL(9,INDEX(Main[بدهی تسویه نشده (کیلوگرم)],1):Main[[#This Row],[بدهی تسویه نشده (کیلوگرم)]])</f>
        <v>36229</v>
      </c>
      <c r="AB2618" s="6">
        <f ca="1">IF(Main[[#This Row],[مانده در خط تسویه نشده (کیلوگرم)]]&lt;&gt;0,Main[[#This Row],[تعداد کل روزهای بدهکار (روز)]],0)</f>
        <v>1</v>
      </c>
      <c r="AC2618" s="6">
        <f ca="1">Main[[#This Row],[تعداد روزهای بدهکار  تسویه نشده (روز)]]*Main[[#This Row],[مانده در خط تسویه نشده (کیلوگرم)]]</f>
        <v>36229</v>
      </c>
      <c r="AD2618" s="6">
        <f ca="1">SUBTOTAL(9,INDEX(Main[بدهی سررسید شده (کیلوگرم)],1):Main[[#This Row],[بدهی سررسید شده (کیلوگرم)]])</f>
        <v>36229</v>
      </c>
      <c r="AE2618" s="6">
        <f ca="1">IF(Main[[#This Row],[مانده در خط سررسید شده (کیلوگرم)]]&lt;&gt;0,Main[[#This Row],[تعداد کل روزهای بدهکار (روز)]],0)</f>
        <v>1</v>
      </c>
      <c r="AF2618" s="6">
        <f ca="1">Main[[#This Row],[تعداد روزهای بدهکار سررسید شده (روز)]]*Main[[#This Row],[مانده در خط سررسید شده (کیلوگرم)]]</f>
        <v>36229</v>
      </c>
    </row>
    <row r="2619" spans="1:32" hidden="1" x14ac:dyDescent="0.35">
      <c r="A2619" s="5">
        <f>ROW()-ROW(INDEX(Main[ردیف],1))+1</f>
        <v>2617</v>
      </c>
      <c r="B2619" s="31">
        <f>SUBTOTAL(2,INDEX(Main[ردیف],1):Main[[#This Row],[ردیف]])</f>
        <v>234</v>
      </c>
      <c r="C2619" s="32" t="s">
        <v>818</v>
      </c>
      <c r="D2619" s="32" t="str">
        <f>_xlfn.CONCAT("14",Main[[#This Row],[تاريخ]])</f>
        <v>1400/09/30</v>
      </c>
      <c r="E2619" s="33">
        <v>44551</v>
      </c>
      <c r="F2619" s="32">
        <v>30009</v>
      </c>
      <c r="G2619" s="5" t="str">
        <f>INDEX(customer[عنوان],MATCH(Main[[#This Row],[کد ردیابی]],customer[کد],0))</f>
        <v>شرکت ایمن تک پیشرو</v>
      </c>
      <c r="H2619">
        <v>201</v>
      </c>
      <c r="I2619" s="6">
        <f ca="1">-Main[[#This Row],[بدهی تسویه شده (کیلوگرم)]]+Main[[#This Row],[بستانکار (کیلوگرم)]]</f>
        <v>201</v>
      </c>
      <c r="J2619" s="6">
        <f>IF(Main[[#This Row],[مقدار (کیلوگرم)]]&gt;0,Main[[#This Row],[مقدار (کیلوگرم)]],0)</f>
        <v>201</v>
      </c>
      <c r="K2619" s="6">
        <f>-IF(Main[[#This Row],[مقدار (کیلوگرم)]]&lt;0,Main[[#This Row],[مقدار (کیلوگرم)]],0)</f>
        <v>0</v>
      </c>
      <c r="L26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9" s="7">
        <f>-IF(AND(Main[[#This Row],[مقدار (کیلوگرم)]]&lt;0,Main[[#This Row],[تاريخ میلادی]]&gt;44276),Main[[#This Row],[مقدار (کیلوگرم)]],0)</f>
        <v>0</v>
      </c>
      <c r="N2619" s="6">
        <f ca="1">Main[[#This Row],[بدهکار (کیلوگرم)]]-Main[[#This Row],[بدهی تسویه نشده (کیلوگرم)]]</f>
        <v>0</v>
      </c>
      <c r="O2619" s="6">
        <f ca="1">Main[[#This Row],[تفکیک]]</f>
        <v>0</v>
      </c>
      <c r="P2619" s="6">
        <f ca="1">IF(Main[[#This Row],[تاخیر از سررسید]]&gt;0,Main[[#This Row],[بدهی تسویه نشده (کیلوگرم)]],0)</f>
        <v>0</v>
      </c>
      <c r="Q2619" s="6">
        <f ca="1">IF(Main[[#This Row],[بدهی تسویه نشده (کیلوگرم)]]&gt;0,'گزارش فردی'!$B$7-Main[[#This Row],[تاريخ میلادی]],0)</f>
        <v>0</v>
      </c>
      <c r="R2619" s="6">
        <f ca="1">IF(Main[[#This Row],[بدهی تسویه نشده (کیلوگرم)]]&gt;0,'گزارش فردی'!$B$7-Main[[#This Row],[تاريخ میلادی]]-'گزارش فردی'!$B$8,0)</f>
        <v>0</v>
      </c>
      <c r="S2619" s="6">
        <f ca="1">Main[[#This Row],[روز از ارسال سفارش]]*Main[[#This Row],[بدهی تسویه نشده (کیلوگرم)]]</f>
        <v>0</v>
      </c>
      <c r="T2619" s="6">
        <f ca="1">Main[[#This Row],[بدهی سررسید شده (کیلوگرم)]]*Main[[#This Row],[روز از ارسال سفارش]]</f>
        <v>0</v>
      </c>
      <c r="U2619" s="6">
        <f>-SUBTOTAL(9,INDEX(Main[مقدار (کیلوگرم)],1):Main[[#This Row],[مقدار (کیلوگرم)]])</f>
        <v>48265</v>
      </c>
      <c r="V26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9" s="6">
        <f>Main[[#This Row],[تعداد کل روزهای بدهکار (روز)]]*Main[[#This Row],[مانده در خط کل (کیلوگرم)]]</f>
        <v>48265</v>
      </c>
      <c r="X2619" s="6">
        <f ca="1">-SUBTOTAL(9,INDEX(Main[مقدار تسویه شده (کیلوگرم)],1):Main[[#This Row],[مقدار تسویه شده (کیلوگرم)]])</f>
        <v>12036</v>
      </c>
      <c r="Y2619" s="6">
        <f ca="1">IF(Main[[#This Row],[مانده در خط تسویه شده (کیلوگرم)]]&lt;&gt;0,Main[[#This Row],[تعداد کل روزهای بدهکار (روز)]],0)</f>
        <v>1</v>
      </c>
      <c r="Z2619" s="6">
        <f ca="1">Main[[#This Row],[تعداد روزهای بدهکار تسویه شده (روز)]]*Main[[#This Row],[مانده در خط تسویه شده (کیلوگرم)]]</f>
        <v>12036</v>
      </c>
      <c r="AA2619" s="6">
        <f ca="1">SUBTOTAL(9,INDEX(Main[بدهی تسویه نشده (کیلوگرم)],1):Main[[#This Row],[بدهی تسویه نشده (کیلوگرم)]])</f>
        <v>36229</v>
      </c>
      <c r="AB2619" s="6">
        <f ca="1">IF(Main[[#This Row],[مانده در خط تسویه نشده (کیلوگرم)]]&lt;&gt;0,Main[[#This Row],[تعداد کل روزهای بدهکار (روز)]],0)</f>
        <v>1</v>
      </c>
      <c r="AC2619" s="6">
        <f ca="1">Main[[#This Row],[تعداد روزهای بدهکار  تسویه نشده (روز)]]*Main[[#This Row],[مانده در خط تسویه نشده (کیلوگرم)]]</f>
        <v>36229</v>
      </c>
      <c r="AD2619" s="6">
        <f ca="1">SUBTOTAL(9,INDEX(Main[بدهی سررسید شده (کیلوگرم)],1):Main[[#This Row],[بدهی سررسید شده (کیلوگرم)]])</f>
        <v>36229</v>
      </c>
      <c r="AE2619" s="6">
        <f ca="1">IF(Main[[#This Row],[مانده در خط سررسید شده (کیلوگرم)]]&lt;&gt;0,Main[[#This Row],[تعداد کل روزهای بدهکار (روز)]],0)</f>
        <v>1</v>
      </c>
      <c r="AF2619" s="6">
        <f ca="1">Main[[#This Row],[تعداد روزهای بدهکار سررسید شده (روز)]]*Main[[#This Row],[مانده در خط سررسید شده (کیلوگرم)]]</f>
        <v>36229</v>
      </c>
    </row>
    <row r="2620" spans="1:32" hidden="1" x14ac:dyDescent="0.35">
      <c r="A2620" s="5">
        <f>ROW()-ROW(INDEX(Main[ردیف],1))+1</f>
        <v>2618</v>
      </c>
      <c r="B2620" s="31">
        <f>SUBTOTAL(2,INDEX(Main[ردیف],1):Main[[#This Row],[ردیف]])</f>
        <v>234</v>
      </c>
      <c r="C2620" s="32" t="s">
        <v>819</v>
      </c>
      <c r="D2620" s="32" t="str">
        <f>_xlfn.CONCAT("14",Main[[#This Row],[تاريخ]])</f>
        <v>1400/10/01</v>
      </c>
      <c r="E2620" s="33">
        <v>44552</v>
      </c>
      <c r="F2620" s="32">
        <v>30009</v>
      </c>
      <c r="G2620" s="5" t="str">
        <f>INDEX(customer[عنوان],MATCH(Main[[#This Row],[کد ردیابی]],customer[کد],0))</f>
        <v>شرکت ایمن تک پیشرو</v>
      </c>
      <c r="H2620">
        <v>-6878</v>
      </c>
      <c r="I2620" s="6">
        <f ca="1">-Main[[#This Row],[بدهی تسویه شده (کیلوگرم)]]+Main[[#This Row],[بستانکار (کیلوگرم)]]</f>
        <v>0</v>
      </c>
      <c r="J2620" s="6">
        <f>IF(Main[[#This Row],[مقدار (کیلوگرم)]]&gt;0,Main[[#This Row],[مقدار (کیلوگرم)]],0)</f>
        <v>0</v>
      </c>
      <c r="K2620" s="6">
        <f>-IF(Main[[#This Row],[مقدار (کیلوگرم)]]&lt;0,Main[[#This Row],[مقدار (کیلوگرم)]],0)</f>
        <v>6878</v>
      </c>
      <c r="L26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6878</v>
      </c>
      <c r="M2620" s="7">
        <f>-IF(AND(Main[[#This Row],[مقدار (کیلوگرم)]]&lt;0,Main[[#This Row],[تاريخ میلادی]]&gt;44276),Main[[#This Row],[مقدار (کیلوگرم)]],0)</f>
        <v>6878</v>
      </c>
      <c r="N2620" s="6">
        <f ca="1">Main[[#This Row],[بدهکار (کیلوگرم)]]-Main[[#This Row],[بدهی تسویه نشده (کیلوگرم)]]</f>
        <v>0</v>
      </c>
      <c r="O2620" s="6">
        <f ca="1">Main[[#This Row],[تفکیک]]</f>
        <v>6878</v>
      </c>
      <c r="P2620" s="6">
        <f ca="1">IF(Main[[#This Row],[تاخیر از سررسید]]&gt;0,Main[[#This Row],[بدهی تسویه نشده (کیلوگرم)]],0)</f>
        <v>6878</v>
      </c>
      <c r="Q2620" s="6">
        <f ca="1">IF(Main[[#This Row],[بدهی تسویه نشده (کیلوگرم)]]&gt;0,'گزارش فردی'!$B$7-Main[[#This Row],[تاريخ میلادی]],0)</f>
        <v>910.75374085648218</v>
      </c>
      <c r="R2620" s="6">
        <f ca="1">IF(Main[[#This Row],[بدهی تسویه نشده (کیلوگرم)]]&gt;0,'گزارش فردی'!$B$7-Main[[#This Row],[تاريخ میلادی]]-'گزارش فردی'!$B$8,0)</f>
        <v>895.75374085648218</v>
      </c>
      <c r="S2620" s="6">
        <f ca="1">Main[[#This Row],[روز از ارسال سفارش]]*Main[[#This Row],[بدهی تسویه نشده (کیلوگرم)]]</f>
        <v>6264164.2296108846</v>
      </c>
      <c r="T2620" s="6">
        <f ca="1">Main[[#This Row],[بدهی سررسید شده (کیلوگرم)]]*Main[[#This Row],[روز از ارسال سفارش]]</f>
        <v>6264164.2296108846</v>
      </c>
      <c r="U2620" s="6">
        <f>-SUBTOTAL(9,INDEX(Main[مقدار (کیلوگرم)],1):Main[[#This Row],[مقدار (کیلوگرم)]])</f>
        <v>48265</v>
      </c>
      <c r="V26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0" s="6">
        <f>Main[[#This Row],[تعداد کل روزهای بدهکار (روز)]]*Main[[#This Row],[مانده در خط کل (کیلوگرم)]]</f>
        <v>0</v>
      </c>
      <c r="X2620" s="6">
        <f ca="1">-SUBTOTAL(9,INDEX(Main[مقدار تسویه شده (کیلوگرم)],1):Main[[#This Row],[مقدار تسویه شده (کیلوگرم)]])</f>
        <v>12036</v>
      </c>
      <c r="Y2620" s="6">
        <f ca="1">IF(Main[[#This Row],[مانده در خط تسویه شده (کیلوگرم)]]&lt;&gt;0,Main[[#This Row],[تعداد کل روزهای بدهکار (روز)]],0)</f>
        <v>0</v>
      </c>
      <c r="Z2620" s="6">
        <f ca="1">Main[[#This Row],[تعداد روزهای بدهکار تسویه شده (روز)]]*Main[[#This Row],[مانده در خط تسویه شده (کیلوگرم)]]</f>
        <v>0</v>
      </c>
      <c r="AA2620" s="6">
        <f ca="1">SUBTOTAL(9,INDEX(Main[بدهی تسویه نشده (کیلوگرم)],1):Main[[#This Row],[بدهی تسویه نشده (کیلوگرم)]])</f>
        <v>36229</v>
      </c>
      <c r="AB2620" s="6">
        <f ca="1">IF(Main[[#This Row],[مانده در خط تسویه نشده (کیلوگرم)]]&lt;&gt;0,Main[[#This Row],[تعداد کل روزهای بدهکار (روز)]],0)</f>
        <v>0</v>
      </c>
      <c r="AC2620" s="6">
        <f ca="1">Main[[#This Row],[تعداد روزهای بدهکار  تسویه نشده (روز)]]*Main[[#This Row],[مانده در خط تسویه نشده (کیلوگرم)]]</f>
        <v>0</v>
      </c>
      <c r="AD2620" s="6">
        <f ca="1">SUBTOTAL(9,INDEX(Main[بدهی سررسید شده (کیلوگرم)],1):Main[[#This Row],[بدهی سررسید شده (کیلوگرم)]])</f>
        <v>36229</v>
      </c>
      <c r="AE2620" s="6">
        <f ca="1">IF(Main[[#This Row],[مانده در خط سررسید شده (کیلوگرم)]]&lt;&gt;0,Main[[#This Row],[تعداد کل روزهای بدهکار (روز)]],0)</f>
        <v>0</v>
      </c>
      <c r="AF2620" s="6">
        <f ca="1">Main[[#This Row],[تعداد روزهای بدهکار سررسید شده (روز)]]*Main[[#This Row],[مانده در خط سررسید شده (کیلوگرم)]]</f>
        <v>0</v>
      </c>
    </row>
    <row r="2621" spans="1:32" hidden="1" x14ac:dyDescent="0.35">
      <c r="A2621" s="5">
        <f>ROW()-ROW(INDEX(Main[ردیف],1))+1</f>
        <v>2619</v>
      </c>
      <c r="B2621" s="31">
        <f>SUBTOTAL(2,INDEX(Main[ردیف],1):Main[[#This Row],[ردیف]])</f>
        <v>234</v>
      </c>
      <c r="C2621" s="32" t="s">
        <v>819</v>
      </c>
      <c r="D2621" s="32" t="str">
        <f>_xlfn.CONCAT("14",Main[[#This Row],[تاريخ]])</f>
        <v>1400/10/01</v>
      </c>
      <c r="E2621" s="33">
        <v>44552</v>
      </c>
      <c r="F2621" s="32">
        <v>10104</v>
      </c>
      <c r="G2621" s="5" t="str">
        <f>INDEX(customer[عنوان],MATCH(Main[[#This Row],[کد ردیابی]],customer[کد],0))</f>
        <v>بهزادی فر اصغر</v>
      </c>
      <c r="H2621">
        <v>2247</v>
      </c>
      <c r="I2621" s="6">
        <f ca="1">-Main[[#This Row],[بدهی تسویه شده (کیلوگرم)]]+Main[[#This Row],[بستانکار (کیلوگرم)]]</f>
        <v>2247</v>
      </c>
      <c r="J2621" s="6">
        <f>IF(Main[[#This Row],[مقدار (کیلوگرم)]]&gt;0,Main[[#This Row],[مقدار (کیلوگرم)]],0)</f>
        <v>2247</v>
      </c>
      <c r="K2621" s="6">
        <f>-IF(Main[[#This Row],[مقدار (کیلوگرم)]]&lt;0,Main[[#This Row],[مقدار (کیلوگرم)]],0)</f>
        <v>0</v>
      </c>
      <c r="L26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1" s="7">
        <f>-IF(AND(Main[[#This Row],[مقدار (کیلوگرم)]]&lt;0,Main[[#This Row],[تاريخ میلادی]]&gt;44276),Main[[#This Row],[مقدار (کیلوگرم)]],0)</f>
        <v>0</v>
      </c>
      <c r="N2621" s="6">
        <f ca="1">Main[[#This Row],[بدهکار (کیلوگرم)]]-Main[[#This Row],[بدهی تسویه نشده (کیلوگرم)]]</f>
        <v>0</v>
      </c>
      <c r="O2621" s="6">
        <f ca="1">Main[[#This Row],[تفکیک]]</f>
        <v>0</v>
      </c>
      <c r="P2621" s="6">
        <f ca="1">IF(Main[[#This Row],[تاخیر از سررسید]]&gt;0,Main[[#This Row],[بدهی تسویه نشده (کیلوگرم)]],0)</f>
        <v>0</v>
      </c>
      <c r="Q2621" s="6">
        <f ca="1">IF(Main[[#This Row],[بدهی تسویه نشده (کیلوگرم)]]&gt;0,'گزارش فردی'!$B$7-Main[[#This Row],[تاريخ میلادی]],0)</f>
        <v>0</v>
      </c>
      <c r="R2621" s="6">
        <f ca="1">IF(Main[[#This Row],[بدهی تسویه نشده (کیلوگرم)]]&gt;0,'گزارش فردی'!$B$7-Main[[#This Row],[تاريخ میلادی]]-'گزارش فردی'!$B$8,0)</f>
        <v>0</v>
      </c>
      <c r="S2621" s="6">
        <f ca="1">Main[[#This Row],[روز از ارسال سفارش]]*Main[[#This Row],[بدهی تسویه نشده (کیلوگرم)]]</f>
        <v>0</v>
      </c>
      <c r="T2621" s="6">
        <f ca="1">Main[[#This Row],[بدهی سررسید شده (کیلوگرم)]]*Main[[#This Row],[روز از ارسال سفارش]]</f>
        <v>0</v>
      </c>
      <c r="U2621" s="6">
        <f>-SUBTOTAL(9,INDEX(Main[مقدار (کیلوگرم)],1):Main[[#This Row],[مقدار (کیلوگرم)]])</f>
        <v>48265</v>
      </c>
      <c r="V26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1" s="6">
        <f>Main[[#This Row],[تعداد کل روزهای بدهکار (روز)]]*Main[[#This Row],[مانده در خط کل (کیلوگرم)]]</f>
        <v>0</v>
      </c>
      <c r="X2621" s="6">
        <f ca="1">-SUBTOTAL(9,INDEX(Main[مقدار تسویه شده (کیلوگرم)],1):Main[[#This Row],[مقدار تسویه شده (کیلوگرم)]])</f>
        <v>12036</v>
      </c>
      <c r="Y2621" s="6">
        <f ca="1">IF(Main[[#This Row],[مانده در خط تسویه شده (کیلوگرم)]]&lt;&gt;0,Main[[#This Row],[تعداد کل روزهای بدهکار (روز)]],0)</f>
        <v>0</v>
      </c>
      <c r="Z2621" s="6">
        <f ca="1">Main[[#This Row],[تعداد روزهای بدهکار تسویه شده (روز)]]*Main[[#This Row],[مانده در خط تسویه شده (کیلوگرم)]]</f>
        <v>0</v>
      </c>
      <c r="AA2621" s="6">
        <f ca="1">SUBTOTAL(9,INDEX(Main[بدهی تسویه نشده (کیلوگرم)],1):Main[[#This Row],[بدهی تسویه نشده (کیلوگرم)]])</f>
        <v>36229</v>
      </c>
      <c r="AB2621" s="6">
        <f ca="1">IF(Main[[#This Row],[مانده در خط تسویه نشده (کیلوگرم)]]&lt;&gt;0,Main[[#This Row],[تعداد کل روزهای بدهکار (روز)]],0)</f>
        <v>0</v>
      </c>
      <c r="AC2621" s="6">
        <f ca="1">Main[[#This Row],[تعداد روزهای بدهکار  تسویه نشده (روز)]]*Main[[#This Row],[مانده در خط تسویه نشده (کیلوگرم)]]</f>
        <v>0</v>
      </c>
      <c r="AD2621" s="6">
        <f ca="1">SUBTOTAL(9,INDEX(Main[بدهی سررسید شده (کیلوگرم)],1):Main[[#This Row],[بدهی سررسید شده (کیلوگرم)]])</f>
        <v>36229</v>
      </c>
      <c r="AE2621" s="6">
        <f ca="1">IF(Main[[#This Row],[مانده در خط سررسید شده (کیلوگرم)]]&lt;&gt;0,Main[[#This Row],[تعداد کل روزهای بدهکار (روز)]],0)</f>
        <v>0</v>
      </c>
      <c r="AF2621" s="6">
        <f ca="1">Main[[#This Row],[تعداد روزهای بدهکار سررسید شده (روز)]]*Main[[#This Row],[مانده در خط سررسید شده (کیلوگرم)]]</f>
        <v>0</v>
      </c>
    </row>
    <row r="2622" spans="1:32" hidden="1" x14ac:dyDescent="0.35">
      <c r="A2622" s="5">
        <f>ROW()-ROW(INDEX(Main[ردیف],1))+1</f>
        <v>2620</v>
      </c>
      <c r="B2622" s="31">
        <f>SUBTOTAL(2,INDEX(Main[ردیف],1):Main[[#This Row],[ردیف]])</f>
        <v>234</v>
      </c>
      <c r="C2622" s="32" t="s">
        <v>819</v>
      </c>
      <c r="D2622" s="32" t="str">
        <f>_xlfn.CONCAT("14",Main[[#This Row],[تاريخ]])</f>
        <v>1400/10/01</v>
      </c>
      <c r="E2622" s="33">
        <v>44552</v>
      </c>
      <c r="F2622" s="32">
        <v>30022</v>
      </c>
      <c r="G2622" s="5" t="str">
        <f>INDEX(customer[عنوان],MATCH(Main[[#This Row],[کد ردیابی]],customer[کد],0))</f>
        <v xml:space="preserve">کلار پویا </v>
      </c>
      <c r="H2622">
        <v>-4838</v>
      </c>
      <c r="I2622" s="6">
        <f ca="1">-Main[[#This Row],[بدهی تسویه شده (کیلوگرم)]]+Main[[#This Row],[بستانکار (کیلوگرم)]]</f>
        <v>0</v>
      </c>
      <c r="J2622" s="6">
        <f>IF(Main[[#This Row],[مقدار (کیلوگرم)]]&gt;0,Main[[#This Row],[مقدار (کیلوگرم)]],0)</f>
        <v>0</v>
      </c>
      <c r="K2622" s="6">
        <f>-IF(Main[[#This Row],[مقدار (کیلوگرم)]]&lt;0,Main[[#This Row],[مقدار (کیلوگرم)]],0)</f>
        <v>4838</v>
      </c>
      <c r="L26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4838</v>
      </c>
      <c r="M2622" s="7">
        <f>-IF(AND(Main[[#This Row],[مقدار (کیلوگرم)]]&lt;0,Main[[#This Row],[تاريخ میلادی]]&gt;44276),Main[[#This Row],[مقدار (کیلوگرم)]],0)</f>
        <v>4838</v>
      </c>
      <c r="N2622" s="6">
        <f ca="1">Main[[#This Row],[بدهکار (کیلوگرم)]]-Main[[#This Row],[بدهی تسویه نشده (کیلوگرم)]]</f>
        <v>0</v>
      </c>
      <c r="O2622" s="6">
        <f ca="1">Main[[#This Row],[تفکیک]]</f>
        <v>4838</v>
      </c>
      <c r="P2622" s="6">
        <f ca="1">IF(Main[[#This Row],[تاخیر از سررسید]]&gt;0,Main[[#This Row],[بدهی تسویه نشده (کیلوگرم)]],0)</f>
        <v>4838</v>
      </c>
      <c r="Q2622" s="6">
        <f ca="1">IF(Main[[#This Row],[بدهی تسویه نشده (کیلوگرم)]]&gt;0,'گزارش فردی'!$B$7-Main[[#This Row],[تاريخ میلادی]],0)</f>
        <v>910.75374085648218</v>
      </c>
      <c r="R2622" s="6">
        <f ca="1">IF(Main[[#This Row],[بدهی تسویه نشده (کیلوگرم)]]&gt;0,'گزارش فردی'!$B$7-Main[[#This Row],[تاريخ میلادی]]-'گزارش فردی'!$B$8,0)</f>
        <v>895.75374085648218</v>
      </c>
      <c r="S2622" s="6">
        <f ca="1">Main[[#This Row],[روز از ارسال سفارش]]*Main[[#This Row],[بدهی تسویه نشده (کیلوگرم)]]</f>
        <v>4406226.5982636604</v>
      </c>
      <c r="T2622" s="6">
        <f ca="1">Main[[#This Row],[بدهی سررسید شده (کیلوگرم)]]*Main[[#This Row],[روز از ارسال سفارش]]</f>
        <v>4406226.5982636604</v>
      </c>
      <c r="U2622" s="6">
        <f>-SUBTOTAL(9,INDEX(Main[مقدار (کیلوگرم)],1):Main[[#This Row],[مقدار (کیلوگرم)]])</f>
        <v>48265</v>
      </c>
      <c r="V26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2" s="6">
        <f>Main[[#This Row],[تعداد کل روزهای بدهکار (روز)]]*Main[[#This Row],[مانده در خط کل (کیلوگرم)]]</f>
        <v>0</v>
      </c>
      <c r="X2622" s="6">
        <f ca="1">-SUBTOTAL(9,INDEX(Main[مقدار تسویه شده (کیلوگرم)],1):Main[[#This Row],[مقدار تسویه شده (کیلوگرم)]])</f>
        <v>12036</v>
      </c>
      <c r="Y2622" s="6">
        <f ca="1">IF(Main[[#This Row],[مانده در خط تسویه شده (کیلوگرم)]]&lt;&gt;0,Main[[#This Row],[تعداد کل روزهای بدهکار (روز)]],0)</f>
        <v>0</v>
      </c>
      <c r="Z2622" s="6">
        <f ca="1">Main[[#This Row],[تعداد روزهای بدهکار تسویه شده (روز)]]*Main[[#This Row],[مانده در خط تسویه شده (کیلوگرم)]]</f>
        <v>0</v>
      </c>
      <c r="AA2622" s="6">
        <f ca="1">SUBTOTAL(9,INDEX(Main[بدهی تسویه نشده (کیلوگرم)],1):Main[[#This Row],[بدهی تسویه نشده (کیلوگرم)]])</f>
        <v>36229</v>
      </c>
      <c r="AB2622" s="6">
        <f ca="1">IF(Main[[#This Row],[مانده در خط تسویه نشده (کیلوگرم)]]&lt;&gt;0,Main[[#This Row],[تعداد کل روزهای بدهکار (روز)]],0)</f>
        <v>0</v>
      </c>
      <c r="AC2622" s="6">
        <f ca="1">Main[[#This Row],[تعداد روزهای بدهکار  تسویه نشده (روز)]]*Main[[#This Row],[مانده در خط تسویه نشده (کیلوگرم)]]</f>
        <v>0</v>
      </c>
      <c r="AD2622" s="6">
        <f ca="1">SUBTOTAL(9,INDEX(Main[بدهی سررسید شده (کیلوگرم)],1):Main[[#This Row],[بدهی سررسید شده (کیلوگرم)]])</f>
        <v>36229</v>
      </c>
      <c r="AE2622" s="6">
        <f ca="1">IF(Main[[#This Row],[مانده در خط سررسید شده (کیلوگرم)]]&lt;&gt;0,Main[[#This Row],[تعداد کل روزهای بدهکار (روز)]],0)</f>
        <v>0</v>
      </c>
      <c r="AF2622" s="6">
        <f ca="1">Main[[#This Row],[تعداد روزهای بدهکار سررسید شده (روز)]]*Main[[#This Row],[مانده در خط سررسید شده (کیلوگرم)]]</f>
        <v>0</v>
      </c>
    </row>
    <row r="2623" spans="1:32" x14ac:dyDescent="0.35">
      <c r="A2623" s="5">
        <f>ROW()-ROW(INDEX(Main[ردیف],1))+1</f>
        <v>2621</v>
      </c>
      <c r="B2623" s="31">
        <f>SUBTOTAL(2,INDEX(Main[ردیف],1):Main[[#This Row],[ردیف]])</f>
        <v>235</v>
      </c>
      <c r="C2623" s="32" t="s">
        <v>819</v>
      </c>
      <c r="D2623" s="32" t="str">
        <f>_xlfn.CONCAT("14",Main[[#This Row],[تاريخ]])</f>
        <v>1400/10/01</v>
      </c>
      <c r="E2623" s="33">
        <v>44552</v>
      </c>
      <c r="F2623" s="32">
        <v>10003</v>
      </c>
      <c r="G2623" s="5" t="str">
        <f>INDEX(customer[عنوان],MATCH(Main[[#This Row],[کد ردیابی]],customer[کد],0))</f>
        <v>اصغر نورعلی</v>
      </c>
      <c r="H2623">
        <v>2052</v>
      </c>
      <c r="I2623" s="6">
        <f ca="1">-Main[[#This Row],[بدهی تسویه شده (کیلوگرم)]]+Main[[#This Row],[بستانکار (کیلوگرم)]]</f>
        <v>2052</v>
      </c>
      <c r="J2623" s="6">
        <f>IF(Main[[#This Row],[مقدار (کیلوگرم)]]&gt;0,Main[[#This Row],[مقدار (کیلوگرم)]],0)</f>
        <v>2052</v>
      </c>
      <c r="K2623" s="6">
        <f>-IF(Main[[#This Row],[مقدار (کیلوگرم)]]&lt;0,Main[[#This Row],[مقدار (کیلوگرم)]],0)</f>
        <v>0</v>
      </c>
      <c r="L26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3" s="7">
        <f>-IF(AND(Main[[#This Row],[مقدار (کیلوگرم)]]&lt;0,Main[[#This Row],[تاريخ میلادی]]&gt;44276),Main[[#This Row],[مقدار (کیلوگرم)]],0)</f>
        <v>0</v>
      </c>
      <c r="N2623" s="6">
        <f ca="1">Main[[#This Row],[بدهکار (کیلوگرم)]]-Main[[#This Row],[بدهی تسویه نشده (کیلوگرم)]]</f>
        <v>0</v>
      </c>
      <c r="O2623" s="6">
        <f ca="1">Main[[#This Row],[تفکیک]]</f>
        <v>0</v>
      </c>
      <c r="P2623" s="6">
        <f ca="1">IF(Main[[#This Row],[تاخیر از سررسید]]&gt;0,Main[[#This Row],[بدهی تسویه نشده (کیلوگرم)]],0)</f>
        <v>0</v>
      </c>
      <c r="Q2623" s="6">
        <f ca="1">IF(Main[[#This Row],[بدهی تسویه نشده (کیلوگرم)]]&gt;0,'گزارش فردی'!$B$7-Main[[#This Row],[تاريخ میلادی]],0)</f>
        <v>0</v>
      </c>
      <c r="R2623" s="6">
        <f ca="1">IF(Main[[#This Row],[بدهی تسویه نشده (کیلوگرم)]]&gt;0,'گزارش فردی'!$B$7-Main[[#This Row],[تاريخ میلادی]]-'گزارش فردی'!$B$8,0)</f>
        <v>0</v>
      </c>
      <c r="S2623" s="6">
        <f ca="1">Main[[#This Row],[روز از ارسال سفارش]]*Main[[#This Row],[بدهی تسویه نشده (کیلوگرم)]]</f>
        <v>0</v>
      </c>
      <c r="T2623" s="6">
        <f ca="1">Main[[#This Row],[بدهی سررسید شده (کیلوگرم)]]*Main[[#This Row],[روز از ارسال سفارش]]</f>
        <v>0</v>
      </c>
      <c r="U2623" s="6">
        <f>-SUBTOTAL(9,INDEX(Main[مقدار (کیلوگرم)],1):Main[[#This Row],[مقدار (کیلوگرم)]])</f>
        <v>46213</v>
      </c>
      <c r="V26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3" s="6">
        <f>Main[[#This Row],[تعداد کل روزهای بدهکار (روز)]]*Main[[#This Row],[مانده در خط کل (کیلوگرم)]]</f>
        <v>0</v>
      </c>
      <c r="X2623" s="6">
        <f ca="1">-SUBTOTAL(9,INDEX(Main[مقدار تسویه شده (کیلوگرم)],1):Main[[#This Row],[مقدار تسویه شده (کیلوگرم)]])</f>
        <v>9984</v>
      </c>
      <c r="Y2623" s="6">
        <f ca="1">IF(Main[[#This Row],[مانده در خط تسویه شده (کیلوگرم)]]&lt;&gt;0,Main[[#This Row],[تعداد کل روزهای بدهکار (روز)]],0)</f>
        <v>0</v>
      </c>
      <c r="Z2623" s="6">
        <f ca="1">Main[[#This Row],[تعداد روزهای بدهکار تسویه شده (روز)]]*Main[[#This Row],[مانده در خط تسویه شده (کیلوگرم)]]</f>
        <v>0</v>
      </c>
      <c r="AA2623" s="6">
        <f ca="1">SUBTOTAL(9,INDEX(Main[بدهی تسویه نشده (کیلوگرم)],1):Main[[#This Row],[بدهی تسویه نشده (کیلوگرم)]])</f>
        <v>36229</v>
      </c>
      <c r="AB2623" s="6">
        <f ca="1">IF(Main[[#This Row],[مانده در خط تسویه نشده (کیلوگرم)]]&lt;&gt;0,Main[[#This Row],[تعداد کل روزهای بدهکار (روز)]],0)</f>
        <v>0</v>
      </c>
      <c r="AC2623" s="6">
        <f ca="1">Main[[#This Row],[تعداد روزهای بدهکار  تسویه نشده (روز)]]*Main[[#This Row],[مانده در خط تسویه نشده (کیلوگرم)]]</f>
        <v>0</v>
      </c>
      <c r="AD2623" s="6">
        <f ca="1">SUBTOTAL(9,INDEX(Main[بدهی سررسید شده (کیلوگرم)],1):Main[[#This Row],[بدهی سررسید شده (کیلوگرم)]])</f>
        <v>36229</v>
      </c>
      <c r="AE2623" s="6">
        <f ca="1">IF(Main[[#This Row],[مانده در خط سررسید شده (کیلوگرم)]]&lt;&gt;0,Main[[#This Row],[تعداد کل روزهای بدهکار (روز)]],0)</f>
        <v>0</v>
      </c>
      <c r="AF2623" s="6">
        <f ca="1">Main[[#This Row],[تعداد روزهای بدهکار سررسید شده (روز)]]*Main[[#This Row],[مانده در خط سررسید شده (کیلوگرم)]]</f>
        <v>0</v>
      </c>
    </row>
    <row r="2624" spans="1:32" hidden="1" x14ac:dyDescent="0.35">
      <c r="A2624" s="5">
        <f>ROW()-ROW(INDEX(Main[ردیف],1))+1</f>
        <v>2622</v>
      </c>
      <c r="B2624" s="31">
        <f>SUBTOTAL(2,INDEX(Main[ردیف],1):Main[[#This Row],[ردیف]])</f>
        <v>235</v>
      </c>
      <c r="C2624" s="32" t="s">
        <v>819</v>
      </c>
      <c r="D2624" s="32" t="str">
        <f>_xlfn.CONCAT("14",Main[[#This Row],[تاريخ]])</f>
        <v>1400/10/01</v>
      </c>
      <c r="E2624" s="33">
        <v>44552</v>
      </c>
      <c r="F2624" s="32">
        <v>30195</v>
      </c>
      <c r="G2624" s="5" t="str">
        <f>INDEX(customer[عنوان],MATCH(Main[[#This Row],[کد ردیابی]],customer[کد],0))</f>
        <v>قطعه سازی محراب</v>
      </c>
      <c r="H2624">
        <v>-300</v>
      </c>
      <c r="I2624" s="6">
        <f ca="1">-Main[[#This Row],[بدهی تسویه شده (کیلوگرم)]]+Main[[#This Row],[بستانکار (کیلوگرم)]]</f>
        <v>0</v>
      </c>
      <c r="J2624" s="6">
        <f>IF(Main[[#This Row],[مقدار (کیلوگرم)]]&gt;0,Main[[#This Row],[مقدار (کیلوگرم)]],0)</f>
        <v>0</v>
      </c>
      <c r="K2624" s="6">
        <f>-IF(Main[[#This Row],[مقدار (کیلوگرم)]]&lt;0,Main[[#This Row],[مقدار (کیلوگرم)]],0)</f>
        <v>300</v>
      </c>
      <c r="L26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300</v>
      </c>
      <c r="M2624" s="7">
        <f>-IF(AND(Main[[#This Row],[مقدار (کیلوگرم)]]&lt;0,Main[[#This Row],[تاريخ میلادی]]&gt;44276),Main[[#This Row],[مقدار (کیلوگرم)]],0)</f>
        <v>300</v>
      </c>
      <c r="N2624" s="6">
        <f ca="1">Main[[#This Row],[بدهکار (کیلوگرم)]]-Main[[#This Row],[بدهی تسویه نشده (کیلوگرم)]]</f>
        <v>0</v>
      </c>
      <c r="O2624" s="6">
        <f ca="1">Main[[#This Row],[تفکیک]]</f>
        <v>300</v>
      </c>
      <c r="P2624" s="6">
        <f ca="1">IF(Main[[#This Row],[تاخیر از سررسید]]&gt;0,Main[[#This Row],[بدهی تسویه نشده (کیلوگرم)]],0)</f>
        <v>300</v>
      </c>
      <c r="Q2624" s="6">
        <f ca="1">IF(Main[[#This Row],[بدهی تسویه نشده (کیلوگرم)]]&gt;0,'گزارش فردی'!$B$7-Main[[#This Row],[تاريخ میلادی]],0)</f>
        <v>910.75374085648218</v>
      </c>
      <c r="R2624" s="6">
        <f ca="1">IF(Main[[#This Row],[بدهی تسویه نشده (کیلوگرم)]]&gt;0,'گزارش فردی'!$B$7-Main[[#This Row],[تاريخ میلادی]]-'گزارش فردی'!$B$8,0)</f>
        <v>895.75374085648218</v>
      </c>
      <c r="S2624" s="6">
        <f ca="1">Main[[#This Row],[روز از ارسال سفارش]]*Main[[#This Row],[بدهی تسویه نشده (کیلوگرم)]]</f>
        <v>273226.12225694465</v>
      </c>
      <c r="T2624" s="6">
        <f ca="1">Main[[#This Row],[بدهی سررسید شده (کیلوگرم)]]*Main[[#This Row],[روز از ارسال سفارش]]</f>
        <v>273226.12225694465</v>
      </c>
      <c r="U2624" s="6">
        <f>-SUBTOTAL(9,INDEX(Main[مقدار (کیلوگرم)],1):Main[[#This Row],[مقدار (کیلوگرم)]])</f>
        <v>46213</v>
      </c>
      <c r="V26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4" s="6">
        <f>Main[[#This Row],[تعداد کل روزهای بدهکار (روز)]]*Main[[#This Row],[مانده در خط کل (کیلوگرم)]]</f>
        <v>0</v>
      </c>
      <c r="X2624" s="6">
        <f ca="1">-SUBTOTAL(9,INDEX(Main[مقدار تسویه شده (کیلوگرم)],1):Main[[#This Row],[مقدار تسویه شده (کیلوگرم)]])</f>
        <v>9984</v>
      </c>
      <c r="Y2624" s="6">
        <f ca="1">IF(Main[[#This Row],[مانده در خط تسویه شده (کیلوگرم)]]&lt;&gt;0,Main[[#This Row],[تعداد کل روزهای بدهکار (روز)]],0)</f>
        <v>0</v>
      </c>
      <c r="Z2624" s="6">
        <f ca="1">Main[[#This Row],[تعداد روزهای بدهکار تسویه شده (روز)]]*Main[[#This Row],[مانده در خط تسویه شده (کیلوگرم)]]</f>
        <v>0</v>
      </c>
      <c r="AA2624" s="6">
        <f ca="1">SUBTOTAL(9,INDEX(Main[بدهی تسویه نشده (کیلوگرم)],1):Main[[#This Row],[بدهی تسویه نشده (کیلوگرم)]])</f>
        <v>36229</v>
      </c>
      <c r="AB2624" s="6">
        <f ca="1">IF(Main[[#This Row],[مانده در خط تسویه نشده (کیلوگرم)]]&lt;&gt;0,Main[[#This Row],[تعداد کل روزهای بدهکار (روز)]],0)</f>
        <v>0</v>
      </c>
      <c r="AC2624" s="6">
        <f ca="1">Main[[#This Row],[تعداد روزهای بدهکار  تسویه نشده (روز)]]*Main[[#This Row],[مانده در خط تسویه نشده (کیلوگرم)]]</f>
        <v>0</v>
      </c>
      <c r="AD2624" s="6">
        <f ca="1">SUBTOTAL(9,INDEX(Main[بدهی سررسید شده (کیلوگرم)],1):Main[[#This Row],[بدهی سررسید شده (کیلوگرم)]])</f>
        <v>36229</v>
      </c>
      <c r="AE2624" s="6">
        <f ca="1">IF(Main[[#This Row],[مانده در خط سررسید شده (کیلوگرم)]]&lt;&gt;0,Main[[#This Row],[تعداد کل روزهای بدهکار (روز)]],0)</f>
        <v>0</v>
      </c>
      <c r="AF2624" s="6">
        <f ca="1">Main[[#This Row],[تعداد روزهای بدهکار سررسید شده (روز)]]*Main[[#This Row],[مانده در خط سررسید شده (کیلوگرم)]]</f>
        <v>0</v>
      </c>
    </row>
    <row r="2625" spans="1:32" hidden="1" x14ac:dyDescent="0.35">
      <c r="A2625" s="5">
        <f>ROW()-ROW(INDEX(Main[ردیف],1))+1</f>
        <v>2623</v>
      </c>
      <c r="B2625" s="31">
        <f>SUBTOTAL(2,INDEX(Main[ردیف],1):Main[[#This Row],[ردیف]])</f>
        <v>235</v>
      </c>
      <c r="C2625" s="32" t="s">
        <v>819</v>
      </c>
      <c r="D2625" s="32" t="str">
        <f>_xlfn.CONCAT("14",Main[[#This Row],[تاريخ]])</f>
        <v>1400/10/01</v>
      </c>
      <c r="E2625" s="33">
        <v>44552</v>
      </c>
      <c r="F2625" s="32">
        <v>10026</v>
      </c>
      <c r="G2625" s="5" t="str">
        <f>INDEX(customer[عنوان],MATCH(Main[[#This Row],[کد ردیابی]],customer[کد],0))</f>
        <v xml:space="preserve">محسن فیاض بخش </v>
      </c>
      <c r="H2625">
        <v>950</v>
      </c>
      <c r="I2625" s="6">
        <f ca="1">-Main[[#This Row],[بدهی تسویه شده (کیلوگرم)]]+Main[[#This Row],[بستانکار (کیلوگرم)]]</f>
        <v>950</v>
      </c>
      <c r="J2625" s="6">
        <f>IF(Main[[#This Row],[مقدار (کیلوگرم)]]&gt;0,Main[[#This Row],[مقدار (کیلوگرم)]],0)</f>
        <v>950</v>
      </c>
      <c r="K2625" s="6">
        <f>-IF(Main[[#This Row],[مقدار (کیلوگرم)]]&lt;0,Main[[#This Row],[مقدار (کیلوگرم)]],0)</f>
        <v>0</v>
      </c>
      <c r="L26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5" s="7">
        <f>-IF(AND(Main[[#This Row],[مقدار (کیلوگرم)]]&lt;0,Main[[#This Row],[تاريخ میلادی]]&gt;44276),Main[[#This Row],[مقدار (کیلوگرم)]],0)</f>
        <v>0</v>
      </c>
      <c r="N2625" s="6">
        <f ca="1">Main[[#This Row],[بدهکار (کیلوگرم)]]-Main[[#This Row],[بدهی تسویه نشده (کیلوگرم)]]</f>
        <v>0</v>
      </c>
      <c r="O2625" s="6">
        <f ca="1">Main[[#This Row],[تفکیک]]</f>
        <v>0</v>
      </c>
      <c r="P2625" s="6">
        <f ca="1">IF(Main[[#This Row],[تاخیر از سررسید]]&gt;0,Main[[#This Row],[بدهی تسویه نشده (کیلوگرم)]],0)</f>
        <v>0</v>
      </c>
      <c r="Q2625" s="6">
        <f ca="1">IF(Main[[#This Row],[بدهی تسویه نشده (کیلوگرم)]]&gt;0,'گزارش فردی'!$B$7-Main[[#This Row],[تاريخ میلادی]],0)</f>
        <v>0</v>
      </c>
      <c r="R2625" s="6">
        <f ca="1">IF(Main[[#This Row],[بدهی تسویه نشده (کیلوگرم)]]&gt;0,'گزارش فردی'!$B$7-Main[[#This Row],[تاريخ میلادی]]-'گزارش فردی'!$B$8,0)</f>
        <v>0</v>
      </c>
      <c r="S2625" s="6">
        <f ca="1">Main[[#This Row],[روز از ارسال سفارش]]*Main[[#This Row],[بدهی تسویه نشده (کیلوگرم)]]</f>
        <v>0</v>
      </c>
      <c r="T2625" s="6">
        <f ca="1">Main[[#This Row],[بدهی سررسید شده (کیلوگرم)]]*Main[[#This Row],[روز از ارسال سفارش]]</f>
        <v>0</v>
      </c>
      <c r="U2625" s="6">
        <f>-SUBTOTAL(9,INDEX(Main[مقدار (کیلوگرم)],1):Main[[#This Row],[مقدار (کیلوگرم)]])</f>
        <v>46213</v>
      </c>
      <c r="V26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5" s="6">
        <f>Main[[#This Row],[تعداد کل روزهای بدهکار (روز)]]*Main[[#This Row],[مانده در خط کل (کیلوگرم)]]</f>
        <v>0</v>
      </c>
      <c r="X2625" s="6">
        <f ca="1">-SUBTOTAL(9,INDEX(Main[مقدار تسویه شده (کیلوگرم)],1):Main[[#This Row],[مقدار تسویه شده (کیلوگرم)]])</f>
        <v>9984</v>
      </c>
      <c r="Y2625" s="6">
        <f ca="1">IF(Main[[#This Row],[مانده در خط تسویه شده (کیلوگرم)]]&lt;&gt;0,Main[[#This Row],[تعداد کل روزهای بدهکار (روز)]],0)</f>
        <v>0</v>
      </c>
      <c r="Z2625" s="6">
        <f ca="1">Main[[#This Row],[تعداد روزهای بدهکار تسویه شده (روز)]]*Main[[#This Row],[مانده در خط تسویه شده (کیلوگرم)]]</f>
        <v>0</v>
      </c>
      <c r="AA2625" s="6">
        <f ca="1">SUBTOTAL(9,INDEX(Main[بدهی تسویه نشده (کیلوگرم)],1):Main[[#This Row],[بدهی تسویه نشده (کیلوگرم)]])</f>
        <v>36229</v>
      </c>
      <c r="AB2625" s="6">
        <f ca="1">IF(Main[[#This Row],[مانده در خط تسویه نشده (کیلوگرم)]]&lt;&gt;0,Main[[#This Row],[تعداد کل روزهای بدهکار (روز)]],0)</f>
        <v>0</v>
      </c>
      <c r="AC2625" s="6">
        <f ca="1">Main[[#This Row],[تعداد روزهای بدهکار  تسویه نشده (روز)]]*Main[[#This Row],[مانده در خط تسویه نشده (کیلوگرم)]]</f>
        <v>0</v>
      </c>
      <c r="AD2625" s="6">
        <f ca="1">SUBTOTAL(9,INDEX(Main[بدهی سررسید شده (کیلوگرم)],1):Main[[#This Row],[بدهی سررسید شده (کیلوگرم)]])</f>
        <v>36229</v>
      </c>
      <c r="AE2625" s="6">
        <f ca="1">IF(Main[[#This Row],[مانده در خط سررسید شده (کیلوگرم)]]&lt;&gt;0,Main[[#This Row],[تعداد کل روزهای بدهکار (روز)]],0)</f>
        <v>0</v>
      </c>
      <c r="AF2625" s="6">
        <f ca="1">Main[[#This Row],[تعداد روزهای بدهکار سررسید شده (روز)]]*Main[[#This Row],[مانده در خط سررسید شده (کیلوگرم)]]</f>
        <v>0</v>
      </c>
    </row>
    <row r="2626" spans="1:32" x14ac:dyDescent="0.35">
      <c r="A2626" s="5">
        <f>ROW()-ROW(INDEX(Main[ردیف],1))+1</f>
        <v>2624</v>
      </c>
      <c r="B2626" s="31">
        <f>SUBTOTAL(2,INDEX(Main[ردیف],1):Main[[#This Row],[ردیف]])</f>
        <v>236</v>
      </c>
      <c r="C2626" s="32" t="s">
        <v>819</v>
      </c>
      <c r="D2626" s="32" t="str">
        <f>_xlfn.CONCAT("14",Main[[#This Row],[تاريخ]])</f>
        <v>1400/10/01</v>
      </c>
      <c r="E2626" s="33">
        <v>44552</v>
      </c>
      <c r="F2626" s="32">
        <v>10003</v>
      </c>
      <c r="G2626" s="5" t="str">
        <f>INDEX(customer[عنوان],MATCH(Main[[#This Row],[کد ردیابی]],customer[کد],0))</f>
        <v>اصغر نورعلی</v>
      </c>
      <c r="H2626">
        <v>-971</v>
      </c>
      <c r="I2626" s="6">
        <f ca="1">-Main[[#This Row],[بدهی تسویه شده (کیلوگرم)]]+Main[[#This Row],[بستانکار (کیلوگرم)]]</f>
        <v>0</v>
      </c>
      <c r="J2626" s="6">
        <f>IF(Main[[#This Row],[مقدار (کیلوگرم)]]&gt;0,Main[[#This Row],[مقدار (کیلوگرم)]],0)</f>
        <v>0</v>
      </c>
      <c r="K2626" s="6">
        <f>-IF(Main[[#This Row],[مقدار (کیلوگرم)]]&lt;0,Main[[#This Row],[مقدار (کیلوگرم)]],0)</f>
        <v>971</v>
      </c>
      <c r="L26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971</v>
      </c>
      <c r="M2626" s="7">
        <f>-IF(AND(Main[[#This Row],[مقدار (کیلوگرم)]]&lt;0,Main[[#This Row],[تاريخ میلادی]]&gt;44276),Main[[#This Row],[مقدار (کیلوگرم)]],0)</f>
        <v>971</v>
      </c>
      <c r="N2626" s="6">
        <f ca="1">Main[[#This Row],[بدهکار (کیلوگرم)]]-Main[[#This Row],[بدهی تسویه نشده (کیلوگرم)]]</f>
        <v>0</v>
      </c>
      <c r="O2626" s="6">
        <f ca="1">Main[[#This Row],[تفکیک]]</f>
        <v>971</v>
      </c>
      <c r="P2626" s="6">
        <f ca="1">IF(Main[[#This Row],[تاخیر از سررسید]]&gt;0,Main[[#This Row],[بدهی تسویه نشده (کیلوگرم)]],0)</f>
        <v>971</v>
      </c>
      <c r="Q2626" s="6">
        <f ca="1">IF(Main[[#This Row],[بدهی تسویه نشده (کیلوگرم)]]&gt;0,'گزارش فردی'!$B$7-Main[[#This Row],[تاريخ میلادی]],0)</f>
        <v>910.75374085648218</v>
      </c>
      <c r="R2626" s="6">
        <f ca="1">IF(Main[[#This Row],[بدهی تسویه نشده (کیلوگرم)]]&gt;0,'گزارش فردی'!$B$7-Main[[#This Row],[تاريخ میلادی]]-'گزارش فردی'!$B$8,0)</f>
        <v>895.75374085648218</v>
      </c>
      <c r="S2626" s="6">
        <f ca="1">Main[[#This Row],[روز از ارسال سفارش]]*Main[[#This Row],[بدهی تسویه نشده (کیلوگرم)]]</f>
        <v>884341.88237164426</v>
      </c>
      <c r="T2626" s="6">
        <f ca="1">Main[[#This Row],[بدهی سررسید شده (کیلوگرم)]]*Main[[#This Row],[روز از ارسال سفارش]]</f>
        <v>884341.88237164426</v>
      </c>
      <c r="U2626" s="6">
        <f>-SUBTOTAL(9,INDEX(Main[مقدار (کیلوگرم)],1):Main[[#This Row],[مقدار (کیلوگرم)]])</f>
        <v>47184</v>
      </c>
      <c r="V26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6" s="6">
        <f>Main[[#This Row],[تعداد کل روزهای بدهکار (روز)]]*Main[[#This Row],[مانده در خط کل (کیلوگرم)]]</f>
        <v>94368</v>
      </c>
      <c r="X2626" s="6">
        <f ca="1">-SUBTOTAL(9,INDEX(Main[مقدار تسویه شده (کیلوگرم)],1):Main[[#This Row],[مقدار تسویه شده (کیلوگرم)]])</f>
        <v>9984</v>
      </c>
      <c r="Y2626" s="6">
        <f ca="1">IF(Main[[#This Row],[مانده در خط تسویه شده (کیلوگرم)]]&lt;&gt;0,Main[[#This Row],[تعداد کل روزهای بدهکار (روز)]],0)</f>
        <v>2</v>
      </c>
      <c r="Z2626" s="6">
        <f ca="1">Main[[#This Row],[تعداد روزهای بدهکار تسویه شده (روز)]]*Main[[#This Row],[مانده در خط تسویه شده (کیلوگرم)]]</f>
        <v>19968</v>
      </c>
      <c r="AA2626" s="6">
        <f ca="1">SUBTOTAL(9,INDEX(Main[بدهی تسویه نشده (کیلوگرم)],1):Main[[#This Row],[بدهی تسویه نشده (کیلوگرم)]])</f>
        <v>37200</v>
      </c>
      <c r="AB2626" s="6">
        <f ca="1">IF(Main[[#This Row],[مانده در خط تسویه نشده (کیلوگرم)]]&lt;&gt;0,Main[[#This Row],[تعداد کل روزهای بدهکار (روز)]],0)</f>
        <v>2</v>
      </c>
      <c r="AC2626" s="6">
        <f ca="1">Main[[#This Row],[تعداد روزهای بدهکار  تسویه نشده (روز)]]*Main[[#This Row],[مانده در خط تسویه نشده (کیلوگرم)]]</f>
        <v>74400</v>
      </c>
      <c r="AD2626" s="6">
        <f ca="1">SUBTOTAL(9,INDEX(Main[بدهی سررسید شده (کیلوگرم)],1):Main[[#This Row],[بدهی سررسید شده (کیلوگرم)]])</f>
        <v>37200</v>
      </c>
      <c r="AE2626" s="6">
        <f ca="1">IF(Main[[#This Row],[مانده در خط سررسید شده (کیلوگرم)]]&lt;&gt;0,Main[[#This Row],[تعداد کل روزهای بدهکار (روز)]],0)</f>
        <v>2</v>
      </c>
      <c r="AF2626" s="6">
        <f ca="1">Main[[#This Row],[تعداد روزهای بدهکار سررسید شده (روز)]]*Main[[#This Row],[مانده در خط سررسید شده (کیلوگرم)]]</f>
        <v>74400</v>
      </c>
    </row>
    <row r="2627" spans="1:32" hidden="1" x14ac:dyDescent="0.35">
      <c r="A2627" s="5">
        <f>ROW()-ROW(INDEX(Main[ردیف],1))+1</f>
        <v>2625</v>
      </c>
      <c r="B2627" s="31">
        <f>SUBTOTAL(2,INDEX(Main[ردیف],1):Main[[#This Row],[ردیف]])</f>
        <v>236</v>
      </c>
      <c r="C2627" s="32" t="s">
        <v>819</v>
      </c>
      <c r="D2627" s="32" t="str">
        <f>_xlfn.CONCAT("14",Main[[#This Row],[تاريخ]])</f>
        <v>1400/10/01</v>
      </c>
      <c r="E2627" s="33">
        <v>44552</v>
      </c>
      <c r="F2627" s="32">
        <v>30195</v>
      </c>
      <c r="G2627" s="5" t="str">
        <f>INDEX(customer[عنوان],MATCH(Main[[#This Row],[کد ردیابی]],customer[کد],0))</f>
        <v>قطعه سازی محراب</v>
      </c>
      <c r="H2627">
        <v>300</v>
      </c>
      <c r="I2627" s="6">
        <f ca="1">-Main[[#This Row],[بدهی تسویه شده (کیلوگرم)]]+Main[[#This Row],[بستانکار (کیلوگرم)]]</f>
        <v>300</v>
      </c>
      <c r="J2627" s="6">
        <f>IF(Main[[#This Row],[مقدار (کیلوگرم)]]&gt;0,Main[[#This Row],[مقدار (کیلوگرم)]],0)</f>
        <v>300</v>
      </c>
      <c r="K2627" s="6">
        <f>-IF(Main[[#This Row],[مقدار (کیلوگرم)]]&lt;0,Main[[#This Row],[مقدار (کیلوگرم)]],0)</f>
        <v>0</v>
      </c>
      <c r="L26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7" s="7">
        <f>-IF(AND(Main[[#This Row],[مقدار (کیلوگرم)]]&lt;0,Main[[#This Row],[تاريخ میلادی]]&gt;44276),Main[[#This Row],[مقدار (کیلوگرم)]],0)</f>
        <v>0</v>
      </c>
      <c r="N2627" s="6">
        <f ca="1">Main[[#This Row],[بدهکار (کیلوگرم)]]-Main[[#This Row],[بدهی تسویه نشده (کیلوگرم)]]</f>
        <v>0</v>
      </c>
      <c r="O2627" s="6">
        <f ca="1">Main[[#This Row],[تفکیک]]</f>
        <v>0</v>
      </c>
      <c r="P2627" s="6">
        <f ca="1">IF(Main[[#This Row],[تاخیر از سررسید]]&gt;0,Main[[#This Row],[بدهی تسویه نشده (کیلوگرم)]],0)</f>
        <v>0</v>
      </c>
      <c r="Q2627" s="6">
        <f ca="1">IF(Main[[#This Row],[بدهی تسویه نشده (کیلوگرم)]]&gt;0,'گزارش فردی'!$B$7-Main[[#This Row],[تاريخ میلادی]],0)</f>
        <v>0</v>
      </c>
      <c r="R2627" s="6">
        <f ca="1">IF(Main[[#This Row],[بدهی تسویه نشده (کیلوگرم)]]&gt;0,'گزارش فردی'!$B$7-Main[[#This Row],[تاريخ میلادی]]-'گزارش فردی'!$B$8,0)</f>
        <v>0</v>
      </c>
      <c r="S2627" s="6">
        <f ca="1">Main[[#This Row],[روز از ارسال سفارش]]*Main[[#This Row],[بدهی تسویه نشده (کیلوگرم)]]</f>
        <v>0</v>
      </c>
      <c r="T2627" s="6">
        <f ca="1">Main[[#This Row],[بدهی سررسید شده (کیلوگرم)]]*Main[[#This Row],[روز از ارسال سفارش]]</f>
        <v>0</v>
      </c>
      <c r="U2627" s="6">
        <f>-SUBTOTAL(9,INDEX(Main[مقدار (کیلوگرم)],1):Main[[#This Row],[مقدار (کیلوگرم)]])</f>
        <v>47184</v>
      </c>
      <c r="V26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7" s="6">
        <f>Main[[#This Row],[تعداد کل روزهای بدهکار (روز)]]*Main[[#This Row],[مانده در خط کل (کیلوگرم)]]</f>
        <v>94368</v>
      </c>
      <c r="X2627" s="6">
        <f ca="1">-SUBTOTAL(9,INDEX(Main[مقدار تسویه شده (کیلوگرم)],1):Main[[#This Row],[مقدار تسویه شده (کیلوگرم)]])</f>
        <v>9984</v>
      </c>
      <c r="Y2627" s="6">
        <f ca="1">IF(Main[[#This Row],[مانده در خط تسویه شده (کیلوگرم)]]&lt;&gt;0,Main[[#This Row],[تعداد کل روزهای بدهکار (روز)]],0)</f>
        <v>2</v>
      </c>
      <c r="Z2627" s="6">
        <f ca="1">Main[[#This Row],[تعداد روزهای بدهکار تسویه شده (روز)]]*Main[[#This Row],[مانده در خط تسویه شده (کیلوگرم)]]</f>
        <v>19968</v>
      </c>
      <c r="AA2627" s="6">
        <f ca="1">SUBTOTAL(9,INDEX(Main[بدهی تسویه نشده (کیلوگرم)],1):Main[[#This Row],[بدهی تسویه نشده (کیلوگرم)]])</f>
        <v>37200</v>
      </c>
      <c r="AB2627" s="6">
        <f ca="1">IF(Main[[#This Row],[مانده در خط تسویه نشده (کیلوگرم)]]&lt;&gt;0,Main[[#This Row],[تعداد کل روزهای بدهکار (روز)]],0)</f>
        <v>2</v>
      </c>
      <c r="AC2627" s="6">
        <f ca="1">Main[[#This Row],[تعداد روزهای بدهکار  تسویه نشده (روز)]]*Main[[#This Row],[مانده در خط تسویه نشده (کیلوگرم)]]</f>
        <v>74400</v>
      </c>
      <c r="AD2627" s="6">
        <f ca="1">SUBTOTAL(9,INDEX(Main[بدهی سررسید شده (کیلوگرم)],1):Main[[#This Row],[بدهی سررسید شده (کیلوگرم)]])</f>
        <v>37200</v>
      </c>
      <c r="AE2627" s="6">
        <f ca="1">IF(Main[[#This Row],[مانده در خط سررسید شده (کیلوگرم)]]&lt;&gt;0,Main[[#This Row],[تعداد کل روزهای بدهکار (روز)]],0)</f>
        <v>2</v>
      </c>
      <c r="AF2627" s="6">
        <f ca="1">Main[[#This Row],[تعداد روزهای بدهکار سررسید شده (روز)]]*Main[[#This Row],[مانده در خط سررسید شده (کیلوگرم)]]</f>
        <v>74400</v>
      </c>
    </row>
    <row r="2628" spans="1:32" hidden="1" x14ac:dyDescent="0.35">
      <c r="A2628" s="5">
        <f>ROW()-ROW(INDEX(Main[ردیف],1))+1</f>
        <v>2626</v>
      </c>
      <c r="B2628" s="31">
        <f>SUBTOTAL(2,INDEX(Main[ردیف],1):Main[[#This Row],[ردیف]])</f>
        <v>236</v>
      </c>
      <c r="C2628" s="32" t="s">
        <v>819</v>
      </c>
      <c r="D2628" s="32" t="str">
        <f>_xlfn.CONCAT("14",Main[[#This Row],[تاريخ]])</f>
        <v>1400/10/01</v>
      </c>
      <c r="E2628" s="33">
        <v>44552</v>
      </c>
      <c r="F2628" s="32">
        <v>10020</v>
      </c>
      <c r="G2628" s="5" t="str">
        <f>INDEX(customer[عنوان],MATCH(Main[[#This Row],[کد ردیابی]],customer[کد],0))</f>
        <v>فرزاد اسماعیل زاده</v>
      </c>
      <c r="H2628">
        <v>-1430</v>
      </c>
      <c r="I2628" s="6">
        <f ca="1">-Main[[#This Row],[بدهی تسویه شده (کیلوگرم)]]+Main[[#This Row],[بستانکار (کیلوگرم)]]</f>
        <v>0</v>
      </c>
      <c r="J2628" s="6">
        <f>IF(Main[[#This Row],[مقدار (کیلوگرم)]]&gt;0,Main[[#This Row],[مقدار (کیلوگرم)]],0)</f>
        <v>0</v>
      </c>
      <c r="K2628" s="6">
        <f>-IF(Main[[#This Row],[مقدار (کیلوگرم)]]&lt;0,Main[[#This Row],[مقدار (کیلوگرم)]],0)</f>
        <v>1430</v>
      </c>
      <c r="L26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1430</v>
      </c>
      <c r="M2628" s="7">
        <f>-IF(AND(Main[[#This Row],[مقدار (کیلوگرم)]]&lt;0,Main[[#This Row],[تاريخ میلادی]]&gt;44276),Main[[#This Row],[مقدار (کیلوگرم)]],0)</f>
        <v>1430</v>
      </c>
      <c r="N2628" s="6">
        <f ca="1">Main[[#This Row],[بدهکار (کیلوگرم)]]-Main[[#This Row],[بدهی تسویه نشده (کیلوگرم)]]</f>
        <v>0</v>
      </c>
      <c r="O2628" s="6">
        <f ca="1">Main[[#This Row],[تفکیک]]</f>
        <v>1430</v>
      </c>
      <c r="P2628" s="6">
        <f ca="1">IF(Main[[#This Row],[تاخیر از سررسید]]&gt;0,Main[[#This Row],[بدهی تسویه نشده (کیلوگرم)]],0)</f>
        <v>1430</v>
      </c>
      <c r="Q2628" s="6">
        <f ca="1">IF(Main[[#This Row],[بدهی تسویه نشده (کیلوگرم)]]&gt;0,'گزارش فردی'!$B$7-Main[[#This Row],[تاريخ میلادی]],0)</f>
        <v>910.75374085648218</v>
      </c>
      <c r="R2628" s="6">
        <f ca="1">IF(Main[[#This Row],[بدهی تسویه نشده (کیلوگرم)]]&gt;0,'گزارش فردی'!$B$7-Main[[#This Row],[تاريخ میلادی]]-'گزارش فردی'!$B$8,0)</f>
        <v>895.75374085648218</v>
      </c>
      <c r="S2628" s="6">
        <f ca="1">Main[[#This Row],[روز از ارسال سفارش]]*Main[[#This Row],[بدهی تسویه نشده (کیلوگرم)]]</f>
        <v>1302377.8494247696</v>
      </c>
      <c r="T2628" s="6">
        <f ca="1">Main[[#This Row],[بدهی سررسید شده (کیلوگرم)]]*Main[[#This Row],[روز از ارسال سفارش]]</f>
        <v>1302377.8494247696</v>
      </c>
      <c r="U2628" s="6">
        <f>-SUBTOTAL(9,INDEX(Main[مقدار (کیلوگرم)],1):Main[[#This Row],[مقدار (کیلوگرم)]])</f>
        <v>47184</v>
      </c>
      <c r="V26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8" s="6">
        <f>Main[[#This Row],[تعداد کل روزهای بدهکار (روز)]]*Main[[#This Row],[مانده در خط کل (کیلوگرم)]]</f>
        <v>94368</v>
      </c>
      <c r="X2628" s="6">
        <f ca="1">-SUBTOTAL(9,INDEX(Main[مقدار تسویه شده (کیلوگرم)],1):Main[[#This Row],[مقدار تسویه شده (کیلوگرم)]])</f>
        <v>9984</v>
      </c>
      <c r="Y2628" s="6">
        <f ca="1">IF(Main[[#This Row],[مانده در خط تسویه شده (کیلوگرم)]]&lt;&gt;0,Main[[#This Row],[تعداد کل روزهای بدهکار (روز)]],0)</f>
        <v>2</v>
      </c>
      <c r="Z2628" s="6">
        <f ca="1">Main[[#This Row],[تعداد روزهای بدهکار تسویه شده (روز)]]*Main[[#This Row],[مانده در خط تسویه شده (کیلوگرم)]]</f>
        <v>19968</v>
      </c>
      <c r="AA2628" s="6">
        <f ca="1">SUBTOTAL(9,INDEX(Main[بدهی تسویه نشده (کیلوگرم)],1):Main[[#This Row],[بدهی تسویه نشده (کیلوگرم)]])</f>
        <v>37200</v>
      </c>
      <c r="AB2628" s="6">
        <f ca="1">IF(Main[[#This Row],[مانده در خط تسویه نشده (کیلوگرم)]]&lt;&gt;0,Main[[#This Row],[تعداد کل روزهای بدهکار (روز)]],0)</f>
        <v>2</v>
      </c>
      <c r="AC2628" s="6">
        <f ca="1">Main[[#This Row],[تعداد روزهای بدهکار  تسویه نشده (روز)]]*Main[[#This Row],[مانده در خط تسویه نشده (کیلوگرم)]]</f>
        <v>74400</v>
      </c>
      <c r="AD2628" s="6">
        <f ca="1">SUBTOTAL(9,INDEX(Main[بدهی سررسید شده (کیلوگرم)],1):Main[[#This Row],[بدهی سررسید شده (کیلوگرم)]])</f>
        <v>37200</v>
      </c>
      <c r="AE2628" s="6">
        <f ca="1">IF(Main[[#This Row],[مانده در خط سررسید شده (کیلوگرم)]]&lt;&gt;0,Main[[#This Row],[تعداد کل روزهای بدهکار (روز)]],0)</f>
        <v>2</v>
      </c>
      <c r="AF2628" s="6">
        <f ca="1">Main[[#This Row],[تعداد روزهای بدهکار سررسید شده (روز)]]*Main[[#This Row],[مانده در خط سررسید شده (کیلوگرم)]]</f>
        <v>74400</v>
      </c>
    </row>
    <row r="2629" spans="1:32" hidden="1" x14ac:dyDescent="0.35">
      <c r="A2629" s="5">
        <f>ROW()-ROW(INDEX(Main[ردیف],1))+1</f>
        <v>2627</v>
      </c>
      <c r="B2629" s="31">
        <f>SUBTOTAL(2,INDEX(Main[ردیف],1):Main[[#This Row],[ردیف]])</f>
        <v>236</v>
      </c>
      <c r="C2629" s="32" t="s">
        <v>819</v>
      </c>
      <c r="D2629" s="32" t="str">
        <f>_xlfn.CONCAT("14",Main[[#This Row],[تاريخ]])</f>
        <v>1400/10/01</v>
      </c>
      <c r="E2629" s="33">
        <v>44552</v>
      </c>
      <c r="F2629" s="32">
        <v>10026</v>
      </c>
      <c r="G2629" s="5" t="str">
        <f>INDEX(customer[عنوان],MATCH(Main[[#This Row],[کد ردیابی]],customer[کد],0))</f>
        <v xml:space="preserve">محسن فیاض بخش </v>
      </c>
      <c r="H2629">
        <v>2548</v>
      </c>
      <c r="I2629" s="6">
        <f ca="1">-Main[[#This Row],[بدهی تسویه شده (کیلوگرم)]]+Main[[#This Row],[بستانکار (کیلوگرم)]]</f>
        <v>2548</v>
      </c>
      <c r="J2629" s="6">
        <f>IF(Main[[#This Row],[مقدار (کیلوگرم)]]&gt;0,Main[[#This Row],[مقدار (کیلوگرم)]],0)</f>
        <v>2548</v>
      </c>
      <c r="K2629" s="6">
        <f>-IF(Main[[#This Row],[مقدار (کیلوگرم)]]&lt;0,Main[[#This Row],[مقدار (کیلوگرم)]],0)</f>
        <v>0</v>
      </c>
      <c r="L26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9" s="7">
        <f>-IF(AND(Main[[#This Row],[مقدار (کیلوگرم)]]&lt;0,Main[[#This Row],[تاريخ میلادی]]&gt;44276),Main[[#This Row],[مقدار (کیلوگرم)]],0)</f>
        <v>0</v>
      </c>
      <c r="N2629" s="6">
        <f ca="1">Main[[#This Row],[بدهکار (کیلوگرم)]]-Main[[#This Row],[بدهی تسویه نشده (کیلوگرم)]]</f>
        <v>0</v>
      </c>
      <c r="O2629" s="6">
        <f ca="1">Main[[#This Row],[تفکیک]]</f>
        <v>0</v>
      </c>
      <c r="P2629" s="6">
        <f ca="1">IF(Main[[#This Row],[تاخیر از سررسید]]&gt;0,Main[[#This Row],[بدهی تسویه نشده (کیلوگرم)]],0)</f>
        <v>0</v>
      </c>
      <c r="Q2629" s="6">
        <f ca="1">IF(Main[[#This Row],[بدهی تسویه نشده (کیلوگرم)]]&gt;0,'گزارش فردی'!$B$7-Main[[#This Row],[تاريخ میلادی]],0)</f>
        <v>0</v>
      </c>
      <c r="R2629" s="6">
        <f ca="1">IF(Main[[#This Row],[بدهی تسویه نشده (کیلوگرم)]]&gt;0,'گزارش فردی'!$B$7-Main[[#This Row],[تاريخ میلادی]]-'گزارش فردی'!$B$8,0)</f>
        <v>0</v>
      </c>
      <c r="S2629" s="6">
        <f ca="1">Main[[#This Row],[روز از ارسال سفارش]]*Main[[#This Row],[بدهی تسویه نشده (کیلوگرم)]]</f>
        <v>0</v>
      </c>
      <c r="T2629" s="6">
        <f ca="1">Main[[#This Row],[بدهی سررسید شده (کیلوگرم)]]*Main[[#This Row],[روز از ارسال سفارش]]</f>
        <v>0</v>
      </c>
      <c r="U2629" s="6">
        <f>-SUBTOTAL(9,INDEX(Main[مقدار (کیلوگرم)],1):Main[[#This Row],[مقدار (کیلوگرم)]])</f>
        <v>47184</v>
      </c>
      <c r="V26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9" s="6">
        <f>Main[[#This Row],[تعداد کل روزهای بدهکار (روز)]]*Main[[#This Row],[مانده در خط کل (کیلوگرم)]]</f>
        <v>94368</v>
      </c>
      <c r="X2629" s="6">
        <f ca="1">-SUBTOTAL(9,INDEX(Main[مقدار تسویه شده (کیلوگرم)],1):Main[[#This Row],[مقدار تسویه شده (کیلوگرم)]])</f>
        <v>9984</v>
      </c>
      <c r="Y2629" s="6">
        <f ca="1">IF(Main[[#This Row],[مانده در خط تسویه شده (کیلوگرم)]]&lt;&gt;0,Main[[#This Row],[تعداد کل روزهای بدهکار (روز)]],0)</f>
        <v>2</v>
      </c>
      <c r="Z2629" s="6">
        <f ca="1">Main[[#This Row],[تعداد روزهای بدهکار تسویه شده (روز)]]*Main[[#This Row],[مانده در خط تسویه شده (کیلوگرم)]]</f>
        <v>19968</v>
      </c>
      <c r="AA2629" s="6">
        <f ca="1">SUBTOTAL(9,INDEX(Main[بدهی تسویه نشده (کیلوگرم)],1):Main[[#This Row],[بدهی تسویه نشده (کیلوگرم)]])</f>
        <v>37200</v>
      </c>
      <c r="AB2629" s="6">
        <f ca="1">IF(Main[[#This Row],[مانده در خط تسویه نشده (کیلوگرم)]]&lt;&gt;0,Main[[#This Row],[تعداد کل روزهای بدهکار (روز)]],0)</f>
        <v>2</v>
      </c>
      <c r="AC2629" s="6">
        <f ca="1">Main[[#This Row],[تعداد روزهای بدهکار  تسویه نشده (روز)]]*Main[[#This Row],[مانده در خط تسویه نشده (کیلوگرم)]]</f>
        <v>74400</v>
      </c>
      <c r="AD2629" s="6">
        <f ca="1">SUBTOTAL(9,INDEX(Main[بدهی سررسید شده (کیلوگرم)],1):Main[[#This Row],[بدهی سررسید شده (کیلوگرم)]])</f>
        <v>37200</v>
      </c>
      <c r="AE2629" s="6">
        <f ca="1">IF(Main[[#This Row],[مانده در خط سررسید شده (کیلوگرم)]]&lt;&gt;0,Main[[#This Row],[تعداد کل روزهای بدهکار (روز)]],0)</f>
        <v>2</v>
      </c>
      <c r="AF2629" s="6">
        <f ca="1">Main[[#This Row],[تعداد روزهای بدهکار سررسید شده (روز)]]*Main[[#This Row],[مانده در خط سررسید شده (کیلوگرم)]]</f>
        <v>74400</v>
      </c>
    </row>
    <row r="2630" spans="1:32" hidden="1" x14ac:dyDescent="0.35">
      <c r="A2630" s="5">
        <f>ROW()-ROW(INDEX(Main[ردیف],1))+1</f>
        <v>2628</v>
      </c>
      <c r="B2630" s="31">
        <f>SUBTOTAL(2,INDEX(Main[ردیف],1):Main[[#This Row],[ردیف]])</f>
        <v>236</v>
      </c>
      <c r="C2630" s="32" t="s">
        <v>819</v>
      </c>
      <c r="D2630" s="32" t="str">
        <f>_xlfn.CONCAT("14",Main[[#This Row],[تاريخ]])</f>
        <v>1400/10/01</v>
      </c>
      <c r="E2630" s="33">
        <v>44552</v>
      </c>
      <c r="F2630" s="32">
        <v>10026</v>
      </c>
      <c r="G2630" s="5" t="str">
        <f>INDEX(customer[عنوان],MATCH(Main[[#This Row],[کد ردیابی]],customer[کد],0))</f>
        <v xml:space="preserve">محسن فیاض بخش </v>
      </c>
      <c r="H2630">
        <v>-1584</v>
      </c>
      <c r="I2630" s="6">
        <f ca="1">-Main[[#This Row],[بدهی تسویه شده (کیلوگرم)]]+Main[[#This Row],[بستانکار (کیلوگرم)]]</f>
        <v>0</v>
      </c>
      <c r="J2630" s="6">
        <f>IF(Main[[#This Row],[مقدار (کیلوگرم)]]&gt;0,Main[[#This Row],[مقدار (کیلوگرم)]],0)</f>
        <v>0</v>
      </c>
      <c r="K2630" s="6">
        <f>-IF(Main[[#This Row],[مقدار (کیلوگرم)]]&lt;0,Main[[#This Row],[مقدار (کیلوگرم)]],0)</f>
        <v>1584</v>
      </c>
      <c r="L26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1584</v>
      </c>
      <c r="M2630" s="7">
        <f>-IF(AND(Main[[#This Row],[مقدار (کیلوگرم)]]&lt;0,Main[[#This Row],[تاريخ میلادی]]&gt;44276),Main[[#This Row],[مقدار (کیلوگرم)]],0)</f>
        <v>1584</v>
      </c>
      <c r="N2630" s="6">
        <f ca="1">Main[[#This Row],[بدهکار (کیلوگرم)]]-Main[[#This Row],[بدهی تسویه نشده (کیلوگرم)]]</f>
        <v>0</v>
      </c>
      <c r="O2630" s="6">
        <f ca="1">Main[[#This Row],[تفکیک]]</f>
        <v>1584</v>
      </c>
      <c r="P2630" s="6">
        <f ca="1">IF(Main[[#This Row],[تاخیر از سررسید]]&gt;0,Main[[#This Row],[بدهی تسویه نشده (کیلوگرم)]],0)</f>
        <v>1584</v>
      </c>
      <c r="Q2630" s="6">
        <f ca="1">IF(Main[[#This Row],[بدهی تسویه نشده (کیلوگرم)]]&gt;0,'گزارش فردی'!$B$7-Main[[#This Row],[تاريخ میلادی]],0)</f>
        <v>910.75374085648218</v>
      </c>
      <c r="R2630" s="6">
        <f ca="1">IF(Main[[#This Row],[بدهی تسویه نشده (کیلوگرم)]]&gt;0,'گزارش فردی'!$B$7-Main[[#This Row],[تاريخ میلادی]]-'گزارش فردی'!$B$8,0)</f>
        <v>895.75374085648218</v>
      </c>
      <c r="S2630" s="6">
        <f ca="1">Main[[#This Row],[روز از ارسال سفارش]]*Main[[#This Row],[بدهی تسویه نشده (کیلوگرم)]]</f>
        <v>1442633.9255166678</v>
      </c>
      <c r="T2630" s="6">
        <f ca="1">Main[[#This Row],[بدهی سررسید شده (کیلوگرم)]]*Main[[#This Row],[روز از ارسال سفارش]]</f>
        <v>1442633.9255166678</v>
      </c>
      <c r="U2630" s="6">
        <f>-SUBTOTAL(9,INDEX(Main[مقدار (کیلوگرم)],1):Main[[#This Row],[مقدار (کیلوگرم)]])</f>
        <v>47184</v>
      </c>
      <c r="V26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30" s="6">
        <f>Main[[#This Row],[تعداد کل روزهای بدهکار (روز)]]*Main[[#This Row],[مانده در خط کل (کیلوگرم)]]</f>
        <v>94368</v>
      </c>
      <c r="X2630" s="6">
        <f ca="1">-SUBTOTAL(9,INDEX(Main[مقدار تسویه شده (کیلوگرم)],1):Main[[#This Row],[مقدار تسویه شده (کیلوگرم)]])</f>
        <v>9984</v>
      </c>
      <c r="Y2630" s="6">
        <f ca="1">IF(Main[[#This Row],[مانده در خط تسویه شده (کیلوگرم)]]&lt;&gt;0,Main[[#This Row],[تعداد کل روزهای بدهکار (روز)]],0)</f>
        <v>2</v>
      </c>
      <c r="Z2630" s="6">
        <f ca="1">Main[[#This Row],[تعداد روزهای بدهکار تسویه شده (روز)]]*Main[[#This Row],[مانده در خط تسویه شده (کیلوگرم)]]</f>
        <v>19968</v>
      </c>
      <c r="AA2630" s="6">
        <f ca="1">SUBTOTAL(9,INDEX(Main[بدهی تسویه نشده (کیلوگرم)],1):Main[[#This Row],[بدهی تسویه نشده (کیلوگرم)]])</f>
        <v>37200</v>
      </c>
      <c r="AB2630" s="6">
        <f ca="1">IF(Main[[#This Row],[مانده در خط تسویه نشده (کیلوگرم)]]&lt;&gt;0,Main[[#This Row],[تعداد کل روزهای بدهکار (روز)]],0)</f>
        <v>2</v>
      </c>
      <c r="AC2630" s="6">
        <f ca="1">Main[[#This Row],[تعداد روزهای بدهکار  تسویه نشده (روز)]]*Main[[#This Row],[مانده در خط تسویه نشده (کیلوگرم)]]</f>
        <v>74400</v>
      </c>
      <c r="AD2630" s="6">
        <f ca="1">SUBTOTAL(9,INDEX(Main[بدهی سررسید شده (کیلوگرم)],1):Main[[#This Row],[بدهی سررسید شده (کیلوگرم)]])</f>
        <v>37200</v>
      </c>
      <c r="AE2630" s="6">
        <f ca="1">IF(Main[[#This Row],[مانده در خط سررسید شده (کیلوگرم)]]&lt;&gt;0,Main[[#This Row],[تعداد کل روزهای بدهکار (روز)]],0)</f>
        <v>2</v>
      </c>
      <c r="AF2630" s="6">
        <f ca="1">Main[[#This Row],[تعداد روزهای بدهکار سررسید شده (روز)]]*Main[[#This Row],[مانده در خط سررسید شده (کیلوگرم)]]</f>
        <v>74400</v>
      </c>
    </row>
    <row r="2631" spans="1:32" hidden="1" x14ac:dyDescent="0.35">
      <c r="A2631" s="5">
        <f>ROW()-ROW(INDEX(Main[ردیف],1))+1</f>
        <v>2629</v>
      </c>
      <c r="B2631" s="31">
        <f>SUBTOTAL(2,INDEX(Main[ردیف],1):Main[[#This Row],[ردیف]])</f>
        <v>236</v>
      </c>
      <c r="C2631" s="32" t="s">
        <v>821</v>
      </c>
      <c r="D2631" s="32" t="str">
        <f>_xlfn.CONCAT("14",Main[[#This Row],[تاريخ]])</f>
        <v>1400/10/02</v>
      </c>
      <c r="E2631" s="33">
        <v>44553</v>
      </c>
      <c r="F2631" s="32">
        <v>30101</v>
      </c>
      <c r="G2631" s="5" t="str">
        <f>INDEX(customer[عنوان],MATCH(Main[[#This Row],[کد ردیابی]],customer[کد],0))</f>
        <v>شرکت قاره سبز</v>
      </c>
      <c r="H2631">
        <v>107</v>
      </c>
      <c r="I2631" s="6">
        <f ca="1">-Main[[#This Row],[بدهی تسویه شده (کیلوگرم)]]+Main[[#This Row],[بستانکار (کیلوگرم)]]</f>
        <v>107</v>
      </c>
      <c r="J2631" s="6">
        <f>IF(Main[[#This Row],[مقدار (کیلوگرم)]]&gt;0,Main[[#This Row],[مقدار (کیلوگرم)]],0)</f>
        <v>107</v>
      </c>
      <c r="K2631" s="6">
        <f>-IF(Main[[#This Row],[مقدار (کیلوگرم)]]&lt;0,Main[[#This Row],[مقدار (کیلوگرم)]],0)</f>
        <v>0</v>
      </c>
      <c r="L26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1" s="7">
        <f>-IF(AND(Main[[#This Row],[مقدار (کیلوگرم)]]&lt;0,Main[[#This Row],[تاريخ میلادی]]&gt;44276),Main[[#This Row],[مقدار (کیلوگرم)]],0)</f>
        <v>0</v>
      </c>
      <c r="N2631" s="6">
        <f ca="1">Main[[#This Row],[بدهکار (کیلوگرم)]]-Main[[#This Row],[بدهی تسویه نشده (کیلوگرم)]]</f>
        <v>0</v>
      </c>
      <c r="O2631" s="6">
        <f ca="1">Main[[#This Row],[تفکیک]]</f>
        <v>0</v>
      </c>
      <c r="P2631" s="6">
        <f ca="1">IF(Main[[#This Row],[تاخیر از سررسید]]&gt;0,Main[[#This Row],[بدهی تسویه نشده (کیلوگرم)]],0)</f>
        <v>0</v>
      </c>
      <c r="Q2631" s="6">
        <f ca="1">IF(Main[[#This Row],[بدهی تسویه نشده (کیلوگرم)]]&gt;0,'گزارش فردی'!$B$7-Main[[#This Row],[تاريخ میلادی]],0)</f>
        <v>0</v>
      </c>
      <c r="R2631" s="6">
        <f ca="1">IF(Main[[#This Row],[بدهی تسویه نشده (کیلوگرم)]]&gt;0,'گزارش فردی'!$B$7-Main[[#This Row],[تاريخ میلادی]]-'گزارش فردی'!$B$8,0)</f>
        <v>0</v>
      </c>
      <c r="S2631" s="6">
        <f ca="1">Main[[#This Row],[روز از ارسال سفارش]]*Main[[#This Row],[بدهی تسویه نشده (کیلوگرم)]]</f>
        <v>0</v>
      </c>
      <c r="T2631" s="6">
        <f ca="1">Main[[#This Row],[بدهی سررسید شده (کیلوگرم)]]*Main[[#This Row],[روز از ارسال سفارش]]</f>
        <v>0</v>
      </c>
      <c r="U2631" s="6">
        <f>-SUBTOTAL(9,INDEX(Main[مقدار (کیلوگرم)],1):Main[[#This Row],[مقدار (کیلوگرم)]])</f>
        <v>47184</v>
      </c>
      <c r="V26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1" s="6">
        <f>Main[[#This Row],[تعداد کل روزهای بدهکار (روز)]]*Main[[#This Row],[مانده در خط کل (کیلوگرم)]]</f>
        <v>47184</v>
      </c>
      <c r="X2631" s="6">
        <f ca="1">-SUBTOTAL(9,INDEX(Main[مقدار تسویه شده (کیلوگرم)],1):Main[[#This Row],[مقدار تسویه شده (کیلوگرم)]])</f>
        <v>9984</v>
      </c>
      <c r="Y2631" s="6">
        <f ca="1">IF(Main[[#This Row],[مانده در خط تسویه شده (کیلوگرم)]]&lt;&gt;0,Main[[#This Row],[تعداد کل روزهای بدهکار (روز)]],0)</f>
        <v>1</v>
      </c>
      <c r="Z2631" s="6">
        <f ca="1">Main[[#This Row],[تعداد روزهای بدهکار تسویه شده (روز)]]*Main[[#This Row],[مانده در خط تسویه شده (کیلوگرم)]]</f>
        <v>9984</v>
      </c>
      <c r="AA2631" s="6">
        <f ca="1">SUBTOTAL(9,INDEX(Main[بدهی تسویه نشده (کیلوگرم)],1):Main[[#This Row],[بدهی تسویه نشده (کیلوگرم)]])</f>
        <v>37200</v>
      </c>
      <c r="AB2631" s="6">
        <f ca="1">IF(Main[[#This Row],[مانده در خط تسویه نشده (کیلوگرم)]]&lt;&gt;0,Main[[#This Row],[تعداد کل روزهای بدهکار (روز)]],0)</f>
        <v>1</v>
      </c>
      <c r="AC2631" s="6">
        <f ca="1">Main[[#This Row],[تعداد روزهای بدهکار  تسویه نشده (روز)]]*Main[[#This Row],[مانده در خط تسویه نشده (کیلوگرم)]]</f>
        <v>37200</v>
      </c>
      <c r="AD2631" s="6">
        <f ca="1">SUBTOTAL(9,INDEX(Main[بدهی سررسید شده (کیلوگرم)],1):Main[[#This Row],[بدهی سررسید شده (کیلوگرم)]])</f>
        <v>37200</v>
      </c>
      <c r="AE2631" s="6">
        <f ca="1">IF(Main[[#This Row],[مانده در خط سررسید شده (کیلوگرم)]]&lt;&gt;0,Main[[#This Row],[تعداد کل روزهای بدهکار (روز)]],0)</f>
        <v>1</v>
      </c>
      <c r="AF2631" s="6">
        <f ca="1">Main[[#This Row],[تعداد روزهای بدهکار سررسید شده (روز)]]*Main[[#This Row],[مانده در خط سررسید شده (کیلوگرم)]]</f>
        <v>37200</v>
      </c>
    </row>
    <row r="2632" spans="1:32" hidden="1" x14ac:dyDescent="0.35">
      <c r="A2632" s="5">
        <f>ROW()-ROW(INDEX(Main[ردیف],1))+1</f>
        <v>2630</v>
      </c>
      <c r="B2632" s="31">
        <f>SUBTOTAL(2,INDEX(Main[ردیف],1):Main[[#This Row],[ردیف]])</f>
        <v>236</v>
      </c>
      <c r="C2632" s="32" t="s">
        <v>821</v>
      </c>
      <c r="D2632" s="32" t="str">
        <f>_xlfn.CONCAT("14",Main[[#This Row],[تاريخ]])</f>
        <v>1400/10/02</v>
      </c>
      <c r="E2632" s="33">
        <v>44553</v>
      </c>
      <c r="F2632" s="32">
        <v>30101</v>
      </c>
      <c r="G2632" s="5" t="str">
        <f>INDEX(customer[عنوان],MATCH(Main[[#This Row],[کد ردیابی]],customer[کد],0))</f>
        <v>شرکت قاره سبز</v>
      </c>
      <c r="H2632">
        <v>-442</v>
      </c>
      <c r="I2632" s="6">
        <f ca="1">-Main[[#This Row],[بدهی تسویه شده (کیلوگرم)]]+Main[[#This Row],[بستانکار (کیلوگرم)]]</f>
        <v>0</v>
      </c>
      <c r="J2632" s="6">
        <f>IF(Main[[#This Row],[مقدار (کیلوگرم)]]&gt;0,Main[[#This Row],[مقدار (کیلوگرم)]],0)</f>
        <v>0</v>
      </c>
      <c r="K2632" s="6">
        <f>-IF(Main[[#This Row],[مقدار (کیلوگرم)]]&lt;0,Main[[#This Row],[مقدار (کیلوگرم)]],0)</f>
        <v>442</v>
      </c>
      <c r="L26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442</v>
      </c>
      <c r="M2632" s="7">
        <f>-IF(AND(Main[[#This Row],[مقدار (کیلوگرم)]]&lt;0,Main[[#This Row],[تاريخ میلادی]]&gt;44276),Main[[#This Row],[مقدار (کیلوگرم)]],0)</f>
        <v>442</v>
      </c>
      <c r="N2632" s="6">
        <f ca="1">Main[[#This Row],[بدهکار (کیلوگرم)]]-Main[[#This Row],[بدهی تسویه نشده (کیلوگرم)]]</f>
        <v>0</v>
      </c>
      <c r="O2632" s="6">
        <f ca="1">Main[[#This Row],[تفکیک]]</f>
        <v>442</v>
      </c>
      <c r="P2632" s="6">
        <f ca="1">IF(Main[[#This Row],[تاخیر از سررسید]]&gt;0,Main[[#This Row],[بدهی تسویه نشده (کیلوگرم)]],0)</f>
        <v>442</v>
      </c>
      <c r="Q2632" s="6">
        <f ca="1">IF(Main[[#This Row],[بدهی تسویه نشده (کیلوگرم)]]&gt;0,'گزارش فردی'!$B$7-Main[[#This Row],[تاريخ میلادی]],0)</f>
        <v>909.75374085648218</v>
      </c>
      <c r="R2632" s="6">
        <f ca="1">IF(Main[[#This Row],[بدهی تسویه نشده (کیلوگرم)]]&gt;0,'گزارش فردی'!$B$7-Main[[#This Row],[تاريخ میلادی]]-'گزارش فردی'!$B$8,0)</f>
        <v>894.75374085648218</v>
      </c>
      <c r="S2632" s="6">
        <f ca="1">Main[[#This Row],[روز از ارسال سفارش]]*Main[[#This Row],[بدهی تسویه نشده (کیلوگرم)]]</f>
        <v>402111.15345856512</v>
      </c>
      <c r="T2632" s="6">
        <f ca="1">Main[[#This Row],[بدهی سررسید شده (کیلوگرم)]]*Main[[#This Row],[روز از ارسال سفارش]]</f>
        <v>402111.15345856512</v>
      </c>
      <c r="U2632" s="6">
        <f>-SUBTOTAL(9,INDEX(Main[مقدار (کیلوگرم)],1):Main[[#This Row],[مقدار (کیلوگرم)]])</f>
        <v>47184</v>
      </c>
      <c r="V26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2" s="6">
        <f>Main[[#This Row],[تعداد کل روزهای بدهکار (روز)]]*Main[[#This Row],[مانده در خط کل (کیلوگرم)]]</f>
        <v>47184</v>
      </c>
      <c r="X2632" s="6">
        <f ca="1">-SUBTOTAL(9,INDEX(Main[مقدار تسویه شده (کیلوگرم)],1):Main[[#This Row],[مقدار تسویه شده (کیلوگرم)]])</f>
        <v>9984</v>
      </c>
      <c r="Y2632" s="6">
        <f ca="1">IF(Main[[#This Row],[مانده در خط تسویه شده (کیلوگرم)]]&lt;&gt;0,Main[[#This Row],[تعداد کل روزهای بدهکار (روز)]],0)</f>
        <v>1</v>
      </c>
      <c r="Z2632" s="6">
        <f ca="1">Main[[#This Row],[تعداد روزهای بدهکار تسویه شده (روز)]]*Main[[#This Row],[مانده در خط تسویه شده (کیلوگرم)]]</f>
        <v>9984</v>
      </c>
      <c r="AA2632" s="6">
        <f ca="1">SUBTOTAL(9,INDEX(Main[بدهی تسویه نشده (کیلوگرم)],1):Main[[#This Row],[بدهی تسویه نشده (کیلوگرم)]])</f>
        <v>37200</v>
      </c>
      <c r="AB2632" s="6">
        <f ca="1">IF(Main[[#This Row],[مانده در خط تسویه نشده (کیلوگرم)]]&lt;&gt;0,Main[[#This Row],[تعداد کل روزهای بدهکار (روز)]],0)</f>
        <v>1</v>
      </c>
      <c r="AC2632" s="6">
        <f ca="1">Main[[#This Row],[تعداد روزهای بدهکار  تسویه نشده (روز)]]*Main[[#This Row],[مانده در خط تسویه نشده (کیلوگرم)]]</f>
        <v>37200</v>
      </c>
      <c r="AD2632" s="6">
        <f ca="1">SUBTOTAL(9,INDEX(Main[بدهی سررسید شده (کیلوگرم)],1):Main[[#This Row],[بدهی سررسید شده (کیلوگرم)]])</f>
        <v>37200</v>
      </c>
      <c r="AE2632" s="6">
        <f ca="1">IF(Main[[#This Row],[مانده در خط سررسید شده (کیلوگرم)]]&lt;&gt;0,Main[[#This Row],[تعداد کل روزهای بدهکار (روز)]],0)</f>
        <v>1</v>
      </c>
      <c r="AF2632" s="6">
        <f ca="1">Main[[#This Row],[تعداد روزهای بدهکار سررسید شده (روز)]]*Main[[#This Row],[مانده در خط سررسید شده (کیلوگرم)]]</f>
        <v>37200</v>
      </c>
    </row>
    <row r="2633" spans="1:32" hidden="1" x14ac:dyDescent="0.35">
      <c r="A2633" s="5">
        <f>ROW()-ROW(INDEX(Main[ردیف],1))+1</f>
        <v>2631</v>
      </c>
      <c r="B2633" s="31">
        <f>SUBTOTAL(2,INDEX(Main[ردیف],1):Main[[#This Row],[ردیف]])</f>
        <v>236</v>
      </c>
      <c r="C2633" s="32" t="s">
        <v>821</v>
      </c>
      <c r="D2633" s="32" t="str">
        <f>_xlfn.CONCAT("14",Main[[#This Row],[تاريخ]])</f>
        <v>1400/10/02</v>
      </c>
      <c r="E2633" s="33">
        <v>44553</v>
      </c>
      <c r="F2633" s="32">
        <v>10055</v>
      </c>
      <c r="G2633" s="5" t="str">
        <f>INDEX(customer[عنوان],MATCH(Main[[#This Row],[کد ردیابی]],customer[کد],0))</f>
        <v xml:space="preserve">مریم فیض آبادی  </v>
      </c>
      <c r="H2633">
        <v>6867</v>
      </c>
      <c r="I2633" s="6">
        <f ca="1">-Main[[#This Row],[بدهی تسویه شده (کیلوگرم)]]+Main[[#This Row],[بستانکار (کیلوگرم)]]</f>
        <v>6867</v>
      </c>
      <c r="J2633" s="6">
        <f>IF(Main[[#This Row],[مقدار (کیلوگرم)]]&gt;0,Main[[#This Row],[مقدار (کیلوگرم)]],0)</f>
        <v>6867</v>
      </c>
      <c r="K2633" s="6">
        <f>-IF(Main[[#This Row],[مقدار (کیلوگرم)]]&lt;0,Main[[#This Row],[مقدار (کیلوگرم)]],0)</f>
        <v>0</v>
      </c>
      <c r="L26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3" s="7">
        <f>-IF(AND(Main[[#This Row],[مقدار (کیلوگرم)]]&lt;0,Main[[#This Row],[تاريخ میلادی]]&gt;44276),Main[[#This Row],[مقدار (کیلوگرم)]],0)</f>
        <v>0</v>
      </c>
      <c r="N2633" s="6">
        <f ca="1">Main[[#This Row],[بدهکار (کیلوگرم)]]-Main[[#This Row],[بدهی تسویه نشده (کیلوگرم)]]</f>
        <v>0</v>
      </c>
      <c r="O2633" s="6">
        <f ca="1">Main[[#This Row],[تفکیک]]</f>
        <v>0</v>
      </c>
      <c r="P2633" s="6">
        <f ca="1">IF(Main[[#This Row],[تاخیر از سررسید]]&gt;0,Main[[#This Row],[بدهی تسویه نشده (کیلوگرم)]],0)</f>
        <v>0</v>
      </c>
      <c r="Q2633" s="6">
        <f ca="1">IF(Main[[#This Row],[بدهی تسویه نشده (کیلوگرم)]]&gt;0,'گزارش فردی'!$B$7-Main[[#This Row],[تاريخ میلادی]],0)</f>
        <v>0</v>
      </c>
      <c r="R2633" s="6">
        <f ca="1">IF(Main[[#This Row],[بدهی تسویه نشده (کیلوگرم)]]&gt;0,'گزارش فردی'!$B$7-Main[[#This Row],[تاريخ میلادی]]-'گزارش فردی'!$B$8,0)</f>
        <v>0</v>
      </c>
      <c r="S2633" s="6">
        <f ca="1">Main[[#This Row],[روز از ارسال سفارش]]*Main[[#This Row],[بدهی تسویه نشده (کیلوگرم)]]</f>
        <v>0</v>
      </c>
      <c r="T2633" s="6">
        <f ca="1">Main[[#This Row],[بدهی سررسید شده (کیلوگرم)]]*Main[[#This Row],[روز از ارسال سفارش]]</f>
        <v>0</v>
      </c>
      <c r="U2633" s="6">
        <f>-SUBTOTAL(9,INDEX(Main[مقدار (کیلوگرم)],1):Main[[#This Row],[مقدار (کیلوگرم)]])</f>
        <v>47184</v>
      </c>
      <c r="V26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3" s="6">
        <f>Main[[#This Row],[تعداد کل روزهای بدهکار (روز)]]*Main[[#This Row],[مانده در خط کل (کیلوگرم)]]</f>
        <v>47184</v>
      </c>
      <c r="X2633" s="6">
        <f ca="1">-SUBTOTAL(9,INDEX(Main[مقدار تسویه شده (کیلوگرم)],1):Main[[#This Row],[مقدار تسویه شده (کیلوگرم)]])</f>
        <v>9984</v>
      </c>
      <c r="Y2633" s="6">
        <f ca="1">IF(Main[[#This Row],[مانده در خط تسویه شده (کیلوگرم)]]&lt;&gt;0,Main[[#This Row],[تعداد کل روزهای بدهکار (روز)]],0)</f>
        <v>1</v>
      </c>
      <c r="Z2633" s="6">
        <f ca="1">Main[[#This Row],[تعداد روزهای بدهکار تسویه شده (روز)]]*Main[[#This Row],[مانده در خط تسویه شده (کیلوگرم)]]</f>
        <v>9984</v>
      </c>
      <c r="AA2633" s="6">
        <f ca="1">SUBTOTAL(9,INDEX(Main[بدهی تسویه نشده (کیلوگرم)],1):Main[[#This Row],[بدهی تسویه نشده (کیلوگرم)]])</f>
        <v>37200</v>
      </c>
      <c r="AB2633" s="6">
        <f ca="1">IF(Main[[#This Row],[مانده در خط تسویه نشده (کیلوگرم)]]&lt;&gt;0,Main[[#This Row],[تعداد کل روزهای بدهکار (روز)]],0)</f>
        <v>1</v>
      </c>
      <c r="AC2633" s="6">
        <f ca="1">Main[[#This Row],[تعداد روزهای بدهکار  تسویه نشده (روز)]]*Main[[#This Row],[مانده در خط تسویه نشده (کیلوگرم)]]</f>
        <v>37200</v>
      </c>
      <c r="AD2633" s="6">
        <f ca="1">SUBTOTAL(9,INDEX(Main[بدهی سررسید شده (کیلوگرم)],1):Main[[#This Row],[بدهی سررسید شده (کیلوگرم)]])</f>
        <v>37200</v>
      </c>
      <c r="AE2633" s="6">
        <f ca="1">IF(Main[[#This Row],[مانده در خط سررسید شده (کیلوگرم)]]&lt;&gt;0,Main[[#This Row],[تعداد کل روزهای بدهکار (روز)]],0)</f>
        <v>1</v>
      </c>
      <c r="AF2633" s="6">
        <f ca="1">Main[[#This Row],[تعداد روزهای بدهکار سررسید شده (روز)]]*Main[[#This Row],[مانده در خط سررسید شده (کیلوگرم)]]</f>
        <v>37200</v>
      </c>
    </row>
    <row r="2634" spans="1:32" hidden="1" x14ac:dyDescent="0.35">
      <c r="A2634" s="5">
        <f>ROW()-ROW(INDEX(Main[ردیف],1))+1</f>
        <v>2632</v>
      </c>
      <c r="B2634" s="31">
        <f>SUBTOTAL(2,INDEX(Main[ردیف],1):Main[[#This Row],[ردیف]])</f>
        <v>236</v>
      </c>
      <c r="C2634" s="32" t="s">
        <v>821</v>
      </c>
      <c r="D2634" s="32" t="str">
        <f>_xlfn.CONCAT("14",Main[[#This Row],[تاريخ]])</f>
        <v>1400/10/02</v>
      </c>
      <c r="E2634" s="33">
        <v>44553</v>
      </c>
      <c r="F2634" s="32">
        <v>30009</v>
      </c>
      <c r="G2634" s="5" t="str">
        <f>INDEX(customer[عنوان],MATCH(Main[[#This Row],[کد ردیابی]],customer[کد],0))</f>
        <v>شرکت ایمن تک پیشرو</v>
      </c>
      <c r="H2634">
        <v>-2046</v>
      </c>
      <c r="I2634" s="6">
        <f ca="1">-Main[[#This Row],[بدهی تسویه شده (کیلوگرم)]]+Main[[#This Row],[بستانکار (کیلوگرم)]]</f>
        <v>0</v>
      </c>
      <c r="J2634" s="6">
        <f>IF(Main[[#This Row],[مقدار (کیلوگرم)]]&gt;0,Main[[#This Row],[مقدار (کیلوگرم)]],0)</f>
        <v>0</v>
      </c>
      <c r="K2634" s="6">
        <f>-IF(Main[[#This Row],[مقدار (کیلوگرم)]]&lt;0,Main[[#This Row],[مقدار (کیلوگرم)]],0)</f>
        <v>2046</v>
      </c>
      <c r="L26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2046</v>
      </c>
      <c r="M2634" s="7">
        <f>-IF(AND(Main[[#This Row],[مقدار (کیلوگرم)]]&lt;0,Main[[#This Row],[تاريخ میلادی]]&gt;44276),Main[[#This Row],[مقدار (کیلوگرم)]],0)</f>
        <v>2046</v>
      </c>
      <c r="N2634" s="6">
        <f ca="1">Main[[#This Row],[بدهکار (کیلوگرم)]]-Main[[#This Row],[بدهی تسویه نشده (کیلوگرم)]]</f>
        <v>0</v>
      </c>
      <c r="O2634" s="6">
        <f ca="1">Main[[#This Row],[تفکیک]]</f>
        <v>2046</v>
      </c>
      <c r="P2634" s="6">
        <f ca="1">IF(Main[[#This Row],[تاخیر از سررسید]]&gt;0,Main[[#This Row],[بدهی تسویه نشده (کیلوگرم)]],0)</f>
        <v>2046</v>
      </c>
      <c r="Q2634" s="6">
        <f ca="1">IF(Main[[#This Row],[بدهی تسویه نشده (کیلوگرم)]]&gt;0,'گزارش فردی'!$B$7-Main[[#This Row],[تاريخ میلادی]],0)</f>
        <v>909.75374085648218</v>
      </c>
      <c r="R2634" s="6">
        <f ca="1">IF(Main[[#This Row],[بدهی تسویه نشده (کیلوگرم)]]&gt;0,'گزارش فردی'!$B$7-Main[[#This Row],[تاريخ میلادی]]-'گزارش فردی'!$B$8,0)</f>
        <v>894.75374085648218</v>
      </c>
      <c r="S2634" s="6">
        <f ca="1">Main[[#This Row],[روز از ارسال سفارش]]*Main[[#This Row],[بدهی تسویه نشده (کیلوگرم)]]</f>
        <v>1861356.1537923627</v>
      </c>
      <c r="T2634" s="6">
        <f ca="1">Main[[#This Row],[بدهی سررسید شده (کیلوگرم)]]*Main[[#This Row],[روز از ارسال سفارش]]</f>
        <v>1861356.1537923627</v>
      </c>
      <c r="U2634" s="6">
        <f>-SUBTOTAL(9,INDEX(Main[مقدار (کیلوگرم)],1):Main[[#This Row],[مقدار (کیلوگرم)]])</f>
        <v>47184</v>
      </c>
      <c r="V26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4" s="6">
        <f>Main[[#This Row],[تعداد کل روزهای بدهکار (روز)]]*Main[[#This Row],[مانده در خط کل (کیلوگرم)]]</f>
        <v>47184</v>
      </c>
      <c r="X2634" s="6">
        <f ca="1">-SUBTOTAL(9,INDEX(Main[مقدار تسویه شده (کیلوگرم)],1):Main[[#This Row],[مقدار تسویه شده (کیلوگرم)]])</f>
        <v>9984</v>
      </c>
      <c r="Y2634" s="6">
        <f ca="1">IF(Main[[#This Row],[مانده در خط تسویه شده (کیلوگرم)]]&lt;&gt;0,Main[[#This Row],[تعداد کل روزهای بدهکار (روز)]],0)</f>
        <v>1</v>
      </c>
      <c r="Z2634" s="6">
        <f ca="1">Main[[#This Row],[تعداد روزهای بدهکار تسویه شده (روز)]]*Main[[#This Row],[مانده در خط تسویه شده (کیلوگرم)]]</f>
        <v>9984</v>
      </c>
      <c r="AA2634" s="6">
        <f ca="1">SUBTOTAL(9,INDEX(Main[بدهی تسویه نشده (کیلوگرم)],1):Main[[#This Row],[بدهی تسویه نشده (کیلوگرم)]])</f>
        <v>37200</v>
      </c>
      <c r="AB2634" s="6">
        <f ca="1">IF(Main[[#This Row],[مانده در خط تسویه نشده (کیلوگرم)]]&lt;&gt;0,Main[[#This Row],[تعداد کل روزهای بدهکار (روز)]],0)</f>
        <v>1</v>
      </c>
      <c r="AC2634" s="6">
        <f ca="1">Main[[#This Row],[تعداد روزهای بدهکار  تسویه نشده (روز)]]*Main[[#This Row],[مانده در خط تسویه نشده (کیلوگرم)]]</f>
        <v>37200</v>
      </c>
      <c r="AD2634" s="6">
        <f ca="1">SUBTOTAL(9,INDEX(Main[بدهی سررسید شده (کیلوگرم)],1):Main[[#This Row],[بدهی سررسید شده (کیلوگرم)]])</f>
        <v>37200</v>
      </c>
      <c r="AE2634" s="6">
        <f ca="1">IF(Main[[#This Row],[مانده در خط سررسید شده (کیلوگرم)]]&lt;&gt;0,Main[[#This Row],[تعداد کل روزهای بدهکار (روز)]],0)</f>
        <v>1</v>
      </c>
      <c r="AF2634" s="6">
        <f ca="1">Main[[#This Row],[تعداد روزهای بدهکار سررسید شده (روز)]]*Main[[#This Row],[مانده در خط سررسید شده (کیلوگرم)]]</f>
        <v>37200</v>
      </c>
    </row>
    <row r="2635" spans="1:32" hidden="1" x14ac:dyDescent="0.35">
      <c r="A2635" s="5">
        <f>ROW()-ROW(INDEX(Main[ردیف],1))+1</f>
        <v>2633</v>
      </c>
      <c r="B2635" s="31">
        <f>SUBTOTAL(2,INDEX(Main[ردیف],1):Main[[#This Row],[ردیف]])</f>
        <v>236</v>
      </c>
      <c r="C2635" s="32" t="s">
        <v>821</v>
      </c>
      <c r="D2635" s="32" t="str">
        <f>_xlfn.CONCAT("14",Main[[#This Row],[تاريخ]])</f>
        <v>1400/10/02</v>
      </c>
      <c r="E2635" s="33">
        <v>44553</v>
      </c>
      <c r="F2635" s="32">
        <v>30101</v>
      </c>
      <c r="G2635" s="5" t="str">
        <f>INDEX(customer[عنوان],MATCH(Main[[#This Row],[کد ردیابی]],customer[کد],0))</f>
        <v>شرکت قاره سبز</v>
      </c>
      <c r="H2635">
        <v>351</v>
      </c>
      <c r="I2635" s="6">
        <f ca="1">-Main[[#This Row],[بدهی تسویه شده (کیلوگرم)]]+Main[[#This Row],[بستانکار (کیلوگرم)]]</f>
        <v>351</v>
      </c>
      <c r="J2635" s="6">
        <f>IF(Main[[#This Row],[مقدار (کیلوگرم)]]&gt;0,Main[[#This Row],[مقدار (کیلوگرم)]],0)</f>
        <v>351</v>
      </c>
      <c r="K2635" s="6">
        <f>-IF(Main[[#This Row],[مقدار (کیلوگرم)]]&lt;0,Main[[#This Row],[مقدار (کیلوگرم)]],0)</f>
        <v>0</v>
      </c>
      <c r="L26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5" s="7">
        <f>-IF(AND(Main[[#This Row],[مقدار (کیلوگرم)]]&lt;0,Main[[#This Row],[تاريخ میلادی]]&gt;44276),Main[[#This Row],[مقدار (کیلوگرم)]],0)</f>
        <v>0</v>
      </c>
      <c r="N2635" s="6">
        <f ca="1">Main[[#This Row],[بدهکار (کیلوگرم)]]-Main[[#This Row],[بدهی تسویه نشده (کیلوگرم)]]</f>
        <v>0</v>
      </c>
      <c r="O2635" s="6">
        <f ca="1">Main[[#This Row],[تفکیک]]</f>
        <v>0</v>
      </c>
      <c r="P2635" s="6">
        <f ca="1">IF(Main[[#This Row],[تاخیر از سررسید]]&gt;0,Main[[#This Row],[بدهی تسویه نشده (کیلوگرم)]],0)</f>
        <v>0</v>
      </c>
      <c r="Q2635" s="6">
        <f ca="1">IF(Main[[#This Row],[بدهی تسویه نشده (کیلوگرم)]]&gt;0,'گزارش فردی'!$B$7-Main[[#This Row],[تاريخ میلادی]],0)</f>
        <v>0</v>
      </c>
      <c r="R2635" s="6">
        <f ca="1">IF(Main[[#This Row],[بدهی تسویه نشده (کیلوگرم)]]&gt;0,'گزارش فردی'!$B$7-Main[[#This Row],[تاريخ میلادی]]-'گزارش فردی'!$B$8,0)</f>
        <v>0</v>
      </c>
      <c r="S2635" s="6">
        <f ca="1">Main[[#This Row],[روز از ارسال سفارش]]*Main[[#This Row],[بدهی تسویه نشده (کیلوگرم)]]</f>
        <v>0</v>
      </c>
      <c r="T2635" s="6">
        <f ca="1">Main[[#This Row],[بدهی سررسید شده (کیلوگرم)]]*Main[[#This Row],[روز از ارسال سفارش]]</f>
        <v>0</v>
      </c>
      <c r="U2635" s="6">
        <f>-SUBTOTAL(9,INDEX(Main[مقدار (کیلوگرم)],1):Main[[#This Row],[مقدار (کیلوگرم)]])</f>
        <v>47184</v>
      </c>
      <c r="V26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5" s="6">
        <f>Main[[#This Row],[تعداد کل روزهای بدهکار (روز)]]*Main[[#This Row],[مانده در خط کل (کیلوگرم)]]</f>
        <v>47184</v>
      </c>
      <c r="X2635" s="6">
        <f ca="1">-SUBTOTAL(9,INDEX(Main[مقدار تسویه شده (کیلوگرم)],1):Main[[#This Row],[مقدار تسویه شده (کیلوگرم)]])</f>
        <v>9984</v>
      </c>
      <c r="Y2635" s="6">
        <f ca="1">IF(Main[[#This Row],[مانده در خط تسویه شده (کیلوگرم)]]&lt;&gt;0,Main[[#This Row],[تعداد کل روزهای بدهکار (روز)]],0)</f>
        <v>1</v>
      </c>
      <c r="Z2635" s="6">
        <f ca="1">Main[[#This Row],[تعداد روزهای بدهکار تسویه شده (روز)]]*Main[[#This Row],[مانده در خط تسویه شده (کیلوگرم)]]</f>
        <v>9984</v>
      </c>
      <c r="AA2635" s="6">
        <f ca="1">SUBTOTAL(9,INDEX(Main[بدهی تسویه نشده (کیلوگرم)],1):Main[[#This Row],[بدهی تسویه نشده (کیلوگرم)]])</f>
        <v>37200</v>
      </c>
      <c r="AB2635" s="6">
        <f ca="1">IF(Main[[#This Row],[مانده در خط تسویه نشده (کیلوگرم)]]&lt;&gt;0,Main[[#This Row],[تعداد کل روزهای بدهکار (روز)]],0)</f>
        <v>1</v>
      </c>
      <c r="AC2635" s="6">
        <f ca="1">Main[[#This Row],[تعداد روزهای بدهکار  تسویه نشده (روز)]]*Main[[#This Row],[مانده در خط تسویه نشده (کیلوگرم)]]</f>
        <v>37200</v>
      </c>
      <c r="AD2635" s="6">
        <f ca="1">SUBTOTAL(9,INDEX(Main[بدهی سررسید شده (کیلوگرم)],1):Main[[#This Row],[بدهی سررسید شده (کیلوگرم)]])</f>
        <v>37200</v>
      </c>
      <c r="AE2635" s="6">
        <f ca="1">IF(Main[[#This Row],[مانده در خط سررسید شده (کیلوگرم)]]&lt;&gt;0,Main[[#This Row],[تعداد کل روزهای بدهکار (روز)]],0)</f>
        <v>1</v>
      </c>
      <c r="AF2635" s="6">
        <f ca="1">Main[[#This Row],[تعداد روزهای بدهکار سررسید شده (روز)]]*Main[[#This Row],[مانده در خط سررسید شده (کیلوگرم)]]</f>
        <v>37200</v>
      </c>
    </row>
    <row r="2636" spans="1:32" hidden="1" x14ac:dyDescent="0.35">
      <c r="A2636" s="5">
        <f>ROW()-ROW(INDEX(Main[ردیف],1))+1</f>
        <v>2634</v>
      </c>
      <c r="B2636" s="31">
        <f>SUBTOTAL(2,INDEX(Main[ردیف],1):Main[[#This Row],[ردیف]])</f>
        <v>236</v>
      </c>
      <c r="C2636" s="32" t="s">
        <v>821</v>
      </c>
      <c r="D2636" s="32" t="str">
        <f>_xlfn.CONCAT("14",Main[[#This Row],[تاريخ]])</f>
        <v>1400/10/02</v>
      </c>
      <c r="E2636" s="33">
        <v>44553</v>
      </c>
      <c r="F2636" s="32">
        <v>10026</v>
      </c>
      <c r="G2636" s="5" t="str">
        <f>INDEX(customer[عنوان],MATCH(Main[[#This Row],[کد ردیابی]],customer[کد],0))</f>
        <v xml:space="preserve">محسن فیاض بخش </v>
      </c>
      <c r="H2636">
        <v>-1904</v>
      </c>
      <c r="I2636" s="6">
        <f ca="1">-Main[[#This Row],[بدهی تسویه شده (کیلوگرم)]]+Main[[#This Row],[بستانکار (کیلوگرم)]]</f>
        <v>0</v>
      </c>
      <c r="J2636" s="6">
        <f>IF(Main[[#This Row],[مقدار (کیلوگرم)]]&gt;0,Main[[#This Row],[مقدار (کیلوگرم)]],0)</f>
        <v>0</v>
      </c>
      <c r="K2636" s="6">
        <f>-IF(Main[[#This Row],[مقدار (کیلوگرم)]]&lt;0,Main[[#This Row],[مقدار (کیلوگرم)]],0)</f>
        <v>1904</v>
      </c>
      <c r="L26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1904</v>
      </c>
      <c r="M2636" s="7">
        <f>-IF(AND(Main[[#This Row],[مقدار (کیلوگرم)]]&lt;0,Main[[#This Row],[تاريخ میلادی]]&gt;44276),Main[[#This Row],[مقدار (کیلوگرم)]],0)</f>
        <v>1904</v>
      </c>
      <c r="N2636" s="6">
        <f ca="1">Main[[#This Row],[بدهکار (کیلوگرم)]]-Main[[#This Row],[بدهی تسویه نشده (کیلوگرم)]]</f>
        <v>0</v>
      </c>
      <c r="O2636" s="6">
        <f ca="1">Main[[#This Row],[تفکیک]]</f>
        <v>1904</v>
      </c>
      <c r="P2636" s="6">
        <f ca="1">IF(Main[[#This Row],[تاخیر از سررسید]]&gt;0,Main[[#This Row],[بدهی تسویه نشده (کیلوگرم)]],0)</f>
        <v>1904</v>
      </c>
      <c r="Q2636" s="6">
        <f ca="1">IF(Main[[#This Row],[بدهی تسویه نشده (کیلوگرم)]]&gt;0,'گزارش فردی'!$B$7-Main[[#This Row],[تاريخ میلادی]],0)</f>
        <v>909.75374085648218</v>
      </c>
      <c r="R2636" s="6">
        <f ca="1">IF(Main[[#This Row],[بدهی تسویه نشده (کیلوگرم)]]&gt;0,'گزارش فردی'!$B$7-Main[[#This Row],[تاريخ میلادی]]-'گزارش فردی'!$B$8,0)</f>
        <v>894.75374085648218</v>
      </c>
      <c r="S2636" s="6">
        <f ca="1">Main[[#This Row],[روز از ارسال سفارش]]*Main[[#This Row],[بدهی تسویه نشده (کیلوگرم)]]</f>
        <v>1732171.1225907421</v>
      </c>
      <c r="T2636" s="6">
        <f ca="1">Main[[#This Row],[بدهی سررسید شده (کیلوگرم)]]*Main[[#This Row],[روز از ارسال سفارش]]</f>
        <v>1732171.1225907421</v>
      </c>
      <c r="U2636" s="6">
        <f>-SUBTOTAL(9,INDEX(Main[مقدار (کیلوگرم)],1):Main[[#This Row],[مقدار (کیلوگرم)]])</f>
        <v>47184</v>
      </c>
      <c r="V26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6" s="6">
        <f>Main[[#This Row],[تعداد کل روزهای بدهکار (روز)]]*Main[[#This Row],[مانده در خط کل (کیلوگرم)]]</f>
        <v>47184</v>
      </c>
      <c r="X2636" s="6">
        <f ca="1">-SUBTOTAL(9,INDEX(Main[مقدار تسویه شده (کیلوگرم)],1):Main[[#This Row],[مقدار تسویه شده (کیلوگرم)]])</f>
        <v>9984</v>
      </c>
      <c r="Y2636" s="6">
        <f ca="1">IF(Main[[#This Row],[مانده در خط تسویه شده (کیلوگرم)]]&lt;&gt;0,Main[[#This Row],[تعداد کل روزهای بدهکار (روز)]],0)</f>
        <v>1</v>
      </c>
      <c r="Z2636" s="6">
        <f ca="1">Main[[#This Row],[تعداد روزهای بدهکار تسویه شده (روز)]]*Main[[#This Row],[مانده در خط تسویه شده (کیلوگرم)]]</f>
        <v>9984</v>
      </c>
      <c r="AA2636" s="6">
        <f ca="1">SUBTOTAL(9,INDEX(Main[بدهی تسویه نشده (کیلوگرم)],1):Main[[#This Row],[بدهی تسویه نشده (کیلوگرم)]])</f>
        <v>37200</v>
      </c>
      <c r="AB2636" s="6">
        <f ca="1">IF(Main[[#This Row],[مانده در خط تسویه نشده (کیلوگرم)]]&lt;&gt;0,Main[[#This Row],[تعداد کل روزهای بدهکار (روز)]],0)</f>
        <v>1</v>
      </c>
      <c r="AC2636" s="6">
        <f ca="1">Main[[#This Row],[تعداد روزهای بدهکار  تسویه نشده (روز)]]*Main[[#This Row],[مانده در خط تسویه نشده (کیلوگرم)]]</f>
        <v>37200</v>
      </c>
      <c r="AD2636" s="6">
        <f ca="1">SUBTOTAL(9,INDEX(Main[بدهی سررسید شده (کیلوگرم)],1):Main[[#This Row],[بدهی سررسید شده (کیلوگرم)]])</f>
        <v>37200</v>
      </c>
      <c r="AE2636" s="6">
        <f ca="1">IF(Main[[#This Row],[مانده در خط سررسید شده (کیلوگرم)]]&lt;&gt;0,Main[[#This Row],[تعداد کل روزهای بدهکار (روز)]],0)</f>
        <v>1</v>
      </c>
      <c r="AF2636" s="6">
        <f ca="1">Main[[#This Row],[تعداد روزهای بدهکار سررسید شده (روز)]]*Main[[#This Row],[مانده در خط سررسید شده (کیلوگرم)]]</f>
        <v>37200</v>
      </c>
    </row>
    <row r="2637" spans="1:32" hidden="1" x14ac:dyDescent="0.35">
      <c r="A2637" s="5">
        <f>ROW()-ROW(INDEX(Main[ردیف],1))+1</f>
        <v>2635</v>
      </c>
      <c r="B2637" s="31">
        <f>SUBTOTAL(2,INDEX(Main[ردیف],1):Main[[#This Row],[ردیف]])</f>
        <v>236</v>
      </c>
      <c r="C2637" s="32" t="s">
        <v>821</v>
      </c>
      <c r="D2637" s="32" t="str">
        <f>_xlfn.CONCAT("14",Main[[#This Row],[تاريخ]])</f>
        <v>1400/10/02</v>
      </c>
      <c r="E2637" s="33">
        <v>44553</v>
      </c>
      <c r="F2637" s="32">
        <v>30186</v>
      </c>
      <c r="G2637" s="5" t="str">
        <f>INDEX(customer[عنوان],MATCH(Main[[#This Row],[کد ردیابی]],customer[کد],0))</f>
        <v>سارا گاز</v>
      </c>
      <c r="H2637">
        <v>1360</v>
      </c>
      <c r="I2637" s="6">
        <f ca="1">-Main[[#This Row],[بدهی تسویه شده (کیلوگرم)]]+Main[[#This Row],[بستانکار (کیلوگرم)]]</f>
        <v>1360</v>
      </c>
      <c r="J2637" s="6">
        <f>IF(Main[[#This Row],[مقدار (کیلوگرم)]]&gt;0,Main[[#This Row],[مقدار (کیلوگرم)]],0)</f>
        <v>1360</v>
      </c>
      <c r="K2637" s="6">
        <f>-IF(Main[[#This Row],[مقدار (کیلوگرم)]]&lt;0,Main[[#This Row],[مقدار (کیلوگرم)]],0)</f>
        <v>0</v>
      </c>
      <c r="L26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7" s="7">
        <f>-IF(AND(Main[[#This Row],[مقدار (کیلوگرم)]]&lt;0,Main[[#This Row],[تاريخ میلادی]]&gt;44276),Main[[#This Row],[مقدار (کیلوگرم)]],0)</f>
        <v>0</v>
      </c>
      <c r="N2637" s="6">
        <f ca="1">Main[[#This Row],[بدهکار (کیلوگرم)]]-Main[[#This Row],[بدهی تسویه نشده (کیلوگرم)]]</f>
        <v>0</v>
      </c>
      <c r="O2637" s="6">
        <f ca="1">Main[[#This Row],[تفکیک]]</f>
        <v>0</v>
      </c>
      <c r="P2637" s="6">
        <f ca="1">IF(Main[[#This Row],[تاخیر از سررسید]]&gt;0,Main[[#This Row],[بدهی تسویه نشده (کیلوگرم)]],0)</f>
        <v>0</v>
      </c>
      <c r="Q2637" s="6">
        <f ca="1">IF(Main[[#This Row],[بدهی تسویه نشده (کیلوگرم)]]&gt;0,'گزارش فردی'!$B$7-Main[[#This Row],[تاريخ میلادی]],0)</f>
        <v>0</v>
      </c>
      <c r="R2637" s="6">
        <f ca="1">IF(Main[[#This Row],[بدهی تسویه نشده (کیلوگرم)]]&gt;0,'گزارش فردی'!$B$7-Main[[#This Row],[تاريخ میلادی]]-'گزارش فردی'!$B$8,0)</f>
        <v>0</v>
      </c>
      <c r="S2637" s="6">
        <f ca="1">Main[[#This Row],[روز از ارسال سفارش]]*Main[[#This Row],[بدهی تسویه نشده (کیلوگرم)]]</f>
        <v>0</v>
      </c>
      <c r="T2637" s="6">
        <f ca="1">Main[[#This Row],[بدهی سررسید شده (کیلوگرم)]]*Main[[#This Row],[روز از ارسال سفارش]]</f>
        <v>0</v>
      </c>
      <c r="U2637" s="6">
        <f>-SUBTOTAL(9,INDEX(Main[مقدار (کیلوگرم)],1):Main[[#This Row],[مقدار (کیلوگرم)]])</f>
        <v>47184</v>
      </c>
      <c r="V26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7" s="6">
        <f>Main[[#This Row],[تعداد کل روزهای بدهکار (روز)]]*Main[[#This Row],[مانده در خط کل (کیلوگرم)]]</f>
        <v>47184</v>
      </c>
      <c r="X2637" s="6">
        <f ca="1">-SUBTOTAL(9,INDEX(Main[مقدار تسویه شده (کیلوگرم)],1):Main[[#This Row],[مقدار تسویه شده (کیلوگرم)]])</f>
        <v>9984</v>
      </c>
      <c r="Y2637" s="6">
        <f ca="1">IF(Main[[#This Row],[مانده در خط تسویه شده (کیلوگرم)]]&lt;&gt;0,Main[[#This Row],[تعداد کل روزهای بدهکار (روز)]],0)</f>
        <v>1</v>
      </c>
      <c r="Z2637" s="6">
        <f ca="1">Main[[#This Row],[تعداد روزهای بدهکار تسویه شده (روز)]]*Main[[#This Row],[مانده در خط تسویه شده (کیلوگرم)]]</f>
        <v>9984</v>
      </c>
      <c r="AA2637" s="6">
        <f ca="1">SUBTOTAL(9,INDEX(Main[بدهی تسویه نشده (کیلوگرم)],1):Main[[#This Row],[بدهی تسویه نشده (کیلوگرم)]])</f>
        <v>37200</v>
      </c>
      <c r="AB2637" s="6">
        <f ca="1">IF(Main[[#This Row],[مانده در خط تسویه نشده (کیلوگرم)]]&lt;&gt;0,Main[[#This Row],[تعداد کل روزهای بدهکار (روز)]],0)</f>
        <v>1</v>
      </c>
      <c r="AC2637" s="6">
        <f ca="1">Main[[#This Row],[تعداد روزهای بدهکار  تسویه نشده (روز)]]*Main[[#This Row],[مانده در خط تسویه نشده (کیلوگرم)]]</f>
        <v>37200</v>
      </c>
      <c r="AD2637" s="6">
        <f ca="1">SUBTOTAL(9,INDEX(Main[بدهی سررسید شده (کیلوگرم)],1):Main[[#This Row],[بدهی سررسید شده (کیلوگرم)]])</f>
        <v>37200</v>
      </c>
      <c r="AE2637" s="6">
        <f ca="1">IF(Main[[#This Row],[مانده در خط سررسید شده (کیلوگرم)]]&lt;&gt;0,Main[[#This Row],[تعداد کل روزهای بدهکار (روز)]],0)</f>
        <v>1</v>
      </c>
      <c r="AF2637" s="6">
        <f ca="1">Main[[#This Row],[تعداد روزهای بدهکار سررسید شده (روز)]]*Main[[#This Row],[مانده در خط سررسید شده (کیلوگرم)]]</f>
        <v>37200</v>
      </c>
    </row>
    <row r="2638" spans="1:32" hidden="1" x14ac:dyDescent="0.35">
      <c r="A2638" s="5">
        <f>ROW()-ROW(INDEX(Main[ردیف],1))+1</f>
        <v>2636</v>
      </c>
      <c r="B2638" s="31">
        <f>SUBTOTAL(2,INDEX(Main[ردیف],1):Main[[#This Row],[ردیف]])</f>
        <v>236</v>
      </c>
      <c r="C2638" s="32" t="s">
        <v>821</v>
      </c>
      <c r="D2638" s="32" t="str">
        <f>_xlfn.CONCAT("14",Main[[#This Row],[تاريخ]])</f>
        <v>1400/10/02</v>
      </c>
      <c r="E2638" s="33">
        <v>44553</v>
      </c>
      <c r="F2638" s="32">
        <v>30022</v>
      </c>
      <c r="G2638" s="5" t="str">
        <f>INDEX(customer[عنوان],MATCH(Main[[#This Row],[کد ردیابی]],customer[کد],0))</f>
        <v xml:space="preserve">کلار پویا </v>
      </c>
      <c r="H2638">
        <v>4847</v>
      </c>
      <c r="I2638" s="6">
        <f ca="1">-Main[[#This Row],[بدهی تسویه شده (کیلوگرم)]]+Main[[#This Row],[بستانکار (کیلوگرم)]]</f>
        <v>4847</v>
      </c>
      <c r="J2638" s="6">
        <f>IF(Main[[#This Row],[مقدار (کیلوگرم)]]&gt;0,Main[[#This Row],[مقدار (کیلوگرم)]],0)</f>
        <v>4847</v>
      </c>
      <c r="K2638" s="6">
        <f>-IF(Main[[#This Row],[مقدار (کیلوگرم)]]&lt;0,Main[[#This Row],[مقدار (کیلوگرم)]],0)</f>
        <v>0</v>
      </c>
      <c r="L26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8" s="7">
        <f>-IF(AND(Main[[#This Row],[مقدار (کیلوگرم)]]&lt;0,Main[[#This Row],[تاريخ میلادی]]&gt;44276),Main[[#This Row],[مقدار (کیلوگرم)]],0)</f>
        <v>0</v>
      </c>
      <c r="N2638" s="6">
        <f ca="1">Main[[#This Row],[بدهکار (کیلوگرم)]]-Main[[#This Row],[بدهی تسویه نشده (کیلوگرم)]]</f>
        <v>0</v>
      </c>
      <c r="O2638" s="6">
        <f ca="1">Main[[#This Row],[تفکیک]]</f>
        <v>0</v>
      </c>
      <c r="P2638" s="6">
        <f ca="1">IF(Main[[#This Row],[تاخیر از سررسید]]&gt;0,Main[[#This Row],[بدهی تسویه نشده (کیلوگرم)]],0)</f>
        <v>0</v>
      </c>
      <c r="Q2638" s="6">
        <f ca="1">IF(Main[[#This Row],[بدهی تسویه نشده (کیلوگرم)]]&gt;0,'گزارش فردی'!$B$7-Main[[#This Row],[تاريخ میلادی]],0)</f>
        <v>0</v>
      </c>
      <c r="R2638" s="6">
        <f ca="1">IF(Main[[#This Row],[بدهی تسویه نشده (کیلوگرم)]]&gt;0,'گزارش فردی'!$B$7-Main[[#This Row],[تاريخ میلادی]]-'گزارش فردی'!$B$8,0)</f>
        <v>0</v>
      </c>
      <c r="S2638" s="6">
        <f ca="1">Main[[#This Row],[روز از ارسال سفارش]]*Main[[#This Row],[بدهی تسویه نشده (کیلوگرم)]]</f>
        <v>0</v>
      </c>
      <c r="T2638" s="6">
        <f ca="1">Main[[#This Row],[بدهی سررسید شده (کیلوگرم)]]*Main[[#This Row],[روز از ارسال سفارش]]</f>
        <v>0</v>
      </c>
      <c r="U2638" s="6">
        <f>-SUBTOTAL(9,INDEX(Main[مقدار (کیلوگرم)],1):Main[[#This Row],[مقدار (کیلوگرم)]])</f>
        <v>47184</v>
      </c>
      <c r="V26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8" s="6">
        <f>Main[[#This Row],[تعداد کل روزهای بدهکار (روز)]]*Main[[#This Row],[مانده در خط کل (کیلوگرم)]]</f>
        <v>47184</v>
      </c>
      <c r="X2638" s="6">
        <f ca="1">-SUBTOTAL(9,INDEX(Main[مقدار تسویه شده (کیلوگرم)],1):Main[[#This Row],[مقدار تسویه شده (کیلوگرم)]])</f>
        <v>9984</v>
      </c>
      <c r="Y2638" s="6">
        <f ca="1">IF(Main[[#This Row],[مانده در خط تسویه شده (کیلوگرم)]]&lt;&gt;0,Main[[#This Row],[تعداد کل روزهای بدهکار (روز)]],0)</f>
        <v>1</v>
      </c>
      <c r="Z2638" s="6">
        <f ca="1">Main[[#This Row],[تعداد روزهای بدهکار تسویه شده (روز)]]*Main[[#This Row],[مانده در خط تسویه شده (کیلوگرم)]]</f>
        <v>9984</v>
      </c>
      <c r="AA2638" s="6">
        <f ca="1">SUBTOTAL(9,INDEX(Main[بدهی تسویه نشده (کیلوگرم)],1):Main[[#This Row],[بدهی تسویه نشده (کیلوگرم)]])</f>
        <v>37200</v>
      </c>
      <c r="AB2638" s="6">
        <f ca="1">IF(Main[[#This Row],[مانده در خط تسویه نشده (کیلوگرم)]]&lt;&gt;0,Main[[#This Row],[تعداد کل روزهای بدهکار (روز)]],0)</f>
        <v>1</v>
      </c>
      <c r="AC2638" s="6">
        <f ca="1">Main[[#This Row],[تعداد روزهای بدهکار  تسویه نشده (روز)]]*Main[[#This Row],[مانده در خط تسویه نشده (کیلوگرم)]]</f>
        <v>37200</v>
      </c>
      <c r="AD2638" s="6">
        <f ca="1">SUBTOTAL(9,INDEX(Main[بدهی سررسید شده (کیلوگرم)],1):Main[[#This Row],[بدهی سررسید شده (کیلوگرم)]])</f>
        <v>37200</v>
      </c>
      <c r="AE2638" s="6">
        <f ca="1">IF(Main[[#This Row],[مانده در خط سررسید شده (کیلوگرم)]]&lt;&gt;0,Main[[#This Row],[تعداد کل روزهای بدهکار (روز)]],0)</f>
        <v>1</v>
      </c>
      <c r="AF2638" s="6">
        <f ca="1">Main[[#This Row],[تعداد روزهای بدهکار سررسید شده (روز)]]*Main[[#This Row],[مانده در خط سررسید شده (کیلوگرم)]]</f>
        <v>37200</v>
      </c>
    </row>
    <row r="2639" spans="1:32" hidden="1" x14ac:dyDescent="0.35">
      <c r="A2639" s="5">
        <f>ROW()-ROW(INDEX(Main[ردیف],1))+1</f>
        <v>2637</v>
      </c>
      <c r="B2639" s="31">
        <f>SUBTOTAL(2,INDEX(Main[ردیف],1):Main[[#This Row],[ردیف]])</f>
        <v>236</v>
      </c>
      <c r="C2639" s="32" t="s">
        <v>823</v>
      </c>
      <c r="D2639" s="32" t="str">
        <f>_xlfn.CONCAT("14",Main[[#This Row],[تاريخ]])</f>
        <v>1400/10/03</v>
      </c>
      <c r="E2639" s="33">
        <v>44554</v>
      </c>
      <c r="F2639" s="32">
        <v>30127</v>
      </c>
      <c r="G2639" s="5" t="str">
        <f>INDEX(customer[عنوان],MATCH(Main[[#This Row],[کد ردیابی]],customer[کد],0))</f>
        <v>شیر گاز آذران</v>
      </c>
      <c r="H2639">
        <v>-15776</v>
      </c>
      <c r="I2639" s="6">
        <f ca="1">-Main[[#This Row],[بدهی تسویه شده (کیلوگرم)]]+Main[[#This Row],[بستانکار (کیلوگرم)]]</f>
        <v>0</v>
      </c>
      <c r="J2639" s="6">
        <f>IF(Main[[#This Row],[مقدار (کیلوگرم)]]&gt;0,Main[[#This Row],[مقدار (کیلوگرم)]],0)</f>
        <v>0</v>
      </c>
      <c r="K2639" s="6">
        <f>-IF(Main[[#This Row],[مقدار (کیلوگرم)]]&lt;0,Main[[#This Row],[مقدار (کیلوگرم)]],0)</f>
        <v>15776</v>
      </c>
      <c r="L26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15776</v>
      </c>
      <c r="M2639" s="7">
        <f>-IF(AND(Main[[#This Row],[مقدار (کیلوگرم)]]&lt;0,Main[[#This Row],[تاريخ میلادی]]&gt;44276),Main[[#This Row],[مقدار (کیلوگرم)]],0)</f>
        <v>15776</v>
      </c>
      <c r="N2639" s="6">
        <f ca="1">Main[[#This Row],[بدهکار (کیلوگرم)]]-Main[[#This Row],[بدهی تسویه نشده (کیلوگرم)]]</f>
        <v>0</v>
      </c>
      <c r="O2639" s="6">
        <f ca="1">Main[[#This Row],[تفکیک]]</f>
        <v>15776</v>
      </c>
      <c r="P2639" s="6">
        <f ca="1">IF(Main[[#This Row],[تاخیر از سررسید]]&gt;0,Main[[#This Row],[بدهی تسویه نشده (کیلوگرم)]],0)</f>
        <v>15776</v>
      </c>
      <c r="Q2639" s="6">
        <f ca="1">IF(Main[[#This Row],[بدهی تسویه نشده (کیلوگرم)]]&gt;0,'گزارش فردی'!$B$7-Main[[#This Row],[تاريخ میلادی]],0)</f>
        <v>908.75374085648218</v>
      </c>
      <c r="R2639" s="6">
        <f ca="1">IF(Main[[#This Row],[بدهی تسویه نشده (کیلوگرم)]]&gt;0,'گزارش فردی'!$B$7-Main[[#This Row],[تاريخ میلادی]]-'گزارش فردی'!$B$8,0)</f>
        <v>893.75374085648218</v>
      </c>
      <c r="S2639" s="6">
        <f ca="1">Main[[#This Row],[روز از ارسال سفارش]]*Main[[#This Row],[بدهی تسویه نشده (کیلوگرم)]]</f>
        <v>14336499.015751863</v>
      </c>
      <c r="T2639" s="6">
        <f ca="1">Main[[#This Row],[بدهی سررسید شده (کیلوگرم)]]*Main[[#This Row],[روز از ارسال سفارش]]</f>
        <v>14336499.015751863</v>
      </c>
      <c r="U2639" s="6">
        <f>-SUBTOTAL(9,INDEX(Main[مقدار (کیلوگرم)],1):Main[[#This Row],[مقدار (کیلوگرم)]])</f>
        <v>47184</v>
      </c>
      <c r="V26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39" s="6">
        <f>Main[[#This Row],[تعداد کل روزهای بدهکار (روز)]]*Main[[#This Row],[مانده در خط کل (کیلوگرم)]]</f>
        <v>0</v>
      </c>
      <c r="X2639" s="6">
        <f ca="1">-SUBTOTAL(9,INDEX(Main[مقدار تسویه شده (کیلوگرم)],1):Main[[#This Row],[مقدار تسویه شده (کیلوگرم)]])</f>
        <v>9984</v>
      </c>
      <c r="Y2639" s="6">
        <f ca="1">IF(Main[[#This Row],[مانده در خط تسویه شده (کیلوگرم)]]&lt;&gt;0,Main[[#This Row],[تعداد کل روزهای بدهکار (روز)]],0)</f>
        <v>0</v>
      </c>
      <c r="Z2639" s="6">
        <f ca="1">Main[[#This Row],[تعداد روزهای بدهکار تسویه شده (روز)]]*Main[[#This Row],[مانده در خط تسویه شده (کیلوگرم)]]</f>
        <v>0</v>
      </c>
      <c r="AA2639" s="6">
        <f ca="1">SUBTOTAL(9,INDEX(Main[بدهی تسویه نشده (کیلوگرم)],1):Main[[#This Row],[بدهی تسویه نشده (کیلوگرم)]])</f>
        <v>37200</v>
      </c>
      <c r="AB2639" s="6">
        <f ca="1">IF(Main[[#This Row],[مانده در خط تسویه نشده (کیلوگرم)]]&lt;&gt;0,Main[[#This Row],[تعداد کل روزهای بدهکار (روز)]],0)</f>
        <v>0</v>
      </c>
      <c r="AC2639" s="6">
        <f ca="1">Main[[#This Row],[تعداد روزهای بدهکار  تسویه نشده (روز)]]*Main[[#This Row],[مانده در خط تسویه نشده (کیلوگرم)]]</f>
        <v>0</v>
      </c>
      <c r="AD2639" s="6">
        <f ca="1">SUBTOTAL(9,INDEX(Main[بدهی سررسید شده (کیلوگرم)],1):Main[[#This Row],[بدهی سررسید شده (کیلوگرم)]])</f>
        <v>37200</v>
      </c>
      <c r="AE2639" s="6">
        <f ca="1">IF(Main[[#This Row],[مانده در خط سررسید شده (کیلوگرم)]]&lt;&gt;0,Main[[#This Row],[تعداد کل روزهای بدهکار (روز)]],0)</f>
        <v>0</v>
      </c>
      <c r="AF2639" s="6">
        <f ca="1">Main[[#This Row],[تعداد روزهای بدهکار سررسید شده (روز)]]*Main[[#This Row],[مانده در خط سررسید شده (کیلوگرم)]]</f>
        <v>0</v>
      </c>
    </row>
    <row r="2640" spans="1:32" x14ac:dyDescent="0.35">
      <c r="A2640" s="5">
        <f>ROW()-ROW(INDEX(Main[ردیف],1))+1</f>
        <v>2638</v>
      </c>
      <c r="B2640" s="31">
        <f>SUBTOTAL(2,INDEX(Main[ردیف],1):Main[[#This Row],[ردیف]])</f>
        <v>237</v>
      </c>
      <c r="C2640" s="32" t="s">
        <v>823</v>
      </c>
      <c r="D2640" s="32" t="str">
        <f>_xlfn.CONCAT("14",Main[[#This Row],[تاريخ]])</f>
        <v>1400/10/03</v>
      </c>
      <c r="E2640" s="33">
        <v>44554</v>
      </c>
      <c r="F2640" s="32">
        <v>10003</v>
      </c>
      <c r="G2640" s="5" t="str">
        <f>INDEX(customer[عنوان],MATCH(Main[[#This Row],[کد ردیابی]],customer[کد],0))</f>
        <v>اصغر نورعلی</v>
      </c>
      <c r="H2640">
        <v>7298</v>
      </c>
      <c r="I2640" s="6">
        <f ca="1">-Main[[#This Row],[بدهی تسویه شده (کیلوگرم)]]+Main[[#This Row],[بستانکار (کیلوگرم)]]</f>
        <v>7298</v>
      </c>
      <c r="J2640" s="6">
        <f>IF(Main[[#This Row],[مقدار (کیلوگرم)]]&gt;0,Main[[#This Row],[مقدار (کیلوگرم)]],0)</f>
        <v>7298</v>
      </c>
      <c r="K2640" s="6">
        <f>-IF(Main[[#This Row],[مقدار (کیلوگرم)]]&lt;0,Main[[#This Row],[مقدار (کیلوگرم)]],0)</f>
        <v>0</v>
      </c>
      <c r="L26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0" s="7">
        <f>-IF(AND(Main[[#This Row],[مقدار (کیلوگرم)]]&lt;0,Main[[#This Row],[تاريخ میلادی]]&gt;44276),Main[[#This Row],[مقدار (کیلوگرم)]],0)</f>
        <v>0</v>
      </c>
      <c r="N2640" s="6">
        <f ca="1">Main[[#This Row],[بدهکار (کیلوگرم)]]-Main[[#This Row],[بدهی تسویه نشده (کیلوگرم)]]</f>
        <v>0</v>
      </c>
      <c r="O2640" s="6">
        <f ca="1">Main[[#This Row],[تفکیک]]</f>
        <v>0</v>
      </c>
      <c r="P2640" s="6">
        <f ca="1">IF(Main[[#This Row],[تاخیر از سررسید]]&gt;0,Main[[#This Row],[بدهی تسویه نشده (کیلوگرم)]],0)</f>
        <v>0</v>
      </c>
      <c r="Q2640" s="6">
        <f ca="1">IF(Main[[#This Row],[بدهی تسویه نشده (کیلوگرم)]]&gt;0,'گزارش فردی'!$B$7-Main[[#This Row],[تاريخ میلادی]],0)</f>
        <v>0</v>
      </c>
      <c r="R2640" s="6">
        <f ca="1">IF(Main[[#This Row],[بدهی تسویه نشده (کیلوگرم)]]&gt;0,'گزارش فردی'!$B$7-Main[[#This Row],[تاريخ میلادی]]-'گزارش فردی'!$B$8,0)</f>
        <v>0</v>
      </c>
      <c r="S2640" s="6">
        <f ca="1">Main[[#This Row],[روز از ارسال سفارش]]*Main[[#This Row],[بدهی تسویه نشده (کیلوگرم)]]</f>
        <v>0</v>
      </c>
      <c r="T2640" s="6">
        <f ca="1">Main[[#This Row],[بدهی سررسید شده (کیلوگرم)]]*Main[[#This Row],[روز از ارسال سفارش]]</f>
        <v>0</v>
      </c>
      <c r="U2640" s="6">
        <f>-SUBTOTAL(9,INDEX(Main[مقدار (کیلوگرم)],1):Main[[#This Row],[مقدار (کیلوگرم)]])</f>
        <v>39886</v>
      </c>
      <c r="V264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40" s="6">
        <f>Main[[#This Row],[تعداد کل روزهای بدهکار (روز)]]*Main[[#This Row],[مانده در خط کل (کیلوگرم)]]</f>
        <v>79772</v>
      </c>
      <c r="X2640" s="6">
        <f ca="1">-SUBTOTAL(9,INDEX(Main[مقدار تسویه شده (کیلوگرم)],1):Main[[#This Row],[مقدار تسویه شده (کیلوگرم)]])</f>
        <v>2686</v>
      </c>
      <c r="Y2640" s="6">
        <f ca="1">IF(Main[[#This Row],[مانده در خط تسویه شده (کیلوگرم)]]&lt;&gt;0,Main[[#This Row],[تعداد کل روزهای بدهکار (روز)]],0)</f>
        <v>2</v>
      </c>
      <c r="Z2640" s="6">
        <f ca="1">Main[[#This Row],[تعداد روزهای بدهکار تسویه شده (روز)]]*Main[[#This Row],[مانده در خط تسویه شده (کیلوگرم)]]</f>
        <v>5372</v>
      </c>
      <c r="AA2640" s="6">
        <f ca="1">SUBTOTAL(9,INDEX(Main[بدهی تسویه نشده (کیلوگرم)],1):Main[[#This Row],[بدهی تسویه نشده (کیلوگرم)]])</f>
        <v>37200</v>
      </c>
      <c r="AB2640" s="6">
        <f ca="1">IF(Main[[#This Row],[مانده در خط تسویه نشده (کیلوگرم)]]&lt;&gt;0,Main[[#This Row],[تعداد کل روزهای بدهکار (روز)]],0)</f>
        <v>2</v>
      </c>
      <c r="AC2640" s="6">
        <f ca="1">Main[[#This Row],[تعداد روزهای بدهکار  تسویه نشده (روز)]]*Main[[#This Row],[مانده در خط تسویه نشده (کیلوگرم)]]</f>
        <v>74400</v>
      </c>
      <c r="AD2640" s="6">
        <f ca="1">SUBTOTAL(9,INDEX(Main[بدهی سررسید شده (کیلوگرم)],1):Main[[#This Row],[بدهی سررسید شده (کیلوگرم)]])</f>
        <v>37200</v>
      </c>
      <c r="AE2640" s="6">
        <f ca="1">IF(Main[[#This Row],[مانده در خط سررسید شده (کیلوگرم)]]&lt;&gt;0,Main[[#This Row],[تعداد کل روزهای بدهکار (روز)]],0)</f>
        <v>2</v>
      </c>
      <c r="AF2640" s="6">
        <f ca="1">Main[[#This Row],[تعداد روزهای بدهکار سررسید شده (روز)]]*Main[[#This Row],[مانده در خط سررسید شده (کیلوگرم)]]</f>
        <v>74400</v>
      </c>
    </row>
    <row r="2641" spans="1:32" hidden="1" x14ac:dyDescent="0.35">
      <c r="A2641" s="5">
        <f>ROW()-ROW(INDEX(Main[ردیف],1))+1</f>
        <v>2639</v>
      </c>
      <c r="B2641" s="31">
        <f>SUBTOTAL(2,INDEX(Main[ردیف],1):Main[[#This Row],[ردیف]])</f>
        <v>237</v>
      </c>
      <c r="C2641" s="32" t="s">
        <v>822</v>
      </c>
      <c r="D2641" s="32" t="str">
        <f>_xlfn.CONCAT("14",Main[[#This Row],[تاريخ]])</f>
        <v>1400/10/04</v>
      </c>
      <c r="E2641" s="33">
        <v>44555</v>
      </c>
      <c r="F2641" s="32">
        <v>30081</v>
      </c>
      <c r="G2641" s="5" t="str">
        <f>INDEX(customer[عنوان],MATCH(Main[[#This Row],[کد ردیابی]],customer[کد],0))</f>
        <v xml:space="preserve">شیرآلات بهداشتی راسان </v>
      </c>
      <c r="H2641">
        <v>-2110</v>
      </c>
      <c r="I2641" s="6">
        <f ca="1">-Main[[#This Row],[بدهی تسویه شده (کیلوگرم)]]+Main[[#This Row],[بستانکار (کیلوگرم)]]</f>
        <v>0</v>
      </c>
      <c r="J2641" s="6">
        <f>IF(Main[[#This Row],[مقدار (کیلوگرم)]]&gt;0,Main[[#This Row],[مقدار (کیلوگرم)]],0)</f>
        <v>0</v>
      </c>
      <c r="K2641" s="6">
        <f>-IF(Main[[#This Row],[مقدار (کیلوگرم)]]&lt;0,Main[[#This Row],[مقدار (کیلوگرم)]],0)</f>
        <v>2110</v>
      </c>
      <c r="L26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2110</v>
      </c>
      <c r="M2641" s="7">
        <f>-IF(AND(Main[[#This Row],[مقدار (کیلوگرم)]]&lt;0,Main[[#This Row],[تاريخ میلادی]]&gt;44276),Main[[#This Row],[مقدار (کیلوگرم)]],0)</f>
        <v>2110</v>
      </c>
      <c r="N2641" s="6">
        <f ca="1">Main[[#This Row],[بدهکار (کیلوگرم)]]-Main[[#This Row],[بدهی تسویه نشده (کیلوگرم)]]</f>
        <v>0</v>
      </c>
      <c r="O2641" s="6">
        <f ca="1">Main[[#This Row],[تفکیک]]</f>
        <v>2110</v>
      </c>
      <c r="P2641" s="6">
        <f ca="1">IF(Main[[#This Row],[تاخیر از سررسید]]&gt;0,Main[[#This Row],[بدهی تسویه نشده (کیلوگرم)]],0)</f>
        <v>2110</v>
      </c>
      <c r="Q2641" s="6">
        <f ca="1">IF(Main[[#This Row],[بدهی تسویه نشده (کیلوگرم)]]&gt;0,'گزارش فردی'!$B$7-Main[[#This Row],[تاريخ میلادی]],0)</f>
        <v>907.75374085648218</v>
      </c>
      <c r="R2641" s="6">
        <f ca="1">IF(Main[[#This Row],[بدهی تسویه نشده (کیلوگرم)]]&gt;0,'گزارش فردی'!$B$7-Main[[#This Row],[تاريخ میلادی]]-'گزارش فردی'!$B$8,0)</f>
        <v>892.75374085648218</v>
      </c>
      <c r="S2641" s="6">
        <f ca="1">Main[[#This Row],[روز از ارسال سفارش]]*Main[[#This Row],[بدهی تسویه نشده (کیلوگرم)]]</f>
        <v>1915360.3932071775</v>
      </c>
      <c r="T2641" s="6">
        <f ca="1">Main[[#This Row],[بدهی سررسید شده (کیلوگرم)]]*Main[[#This Row],[روز از ارسال سفارش]]</f>
        <v>1915360.3932071775</v>
      </c>
      <c r="U2641" s="6">
        <f>-SUBTOTAL(9,INDEX(Main[مقدار (کیلوگرم)],1):Main[[#This Row],[مقدار (کیلوگرم)]])</f>
        <v>39886</v>
      </c>
      <c r="V26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1" s="6">
        <f>Main[[#This Row],[تعداد کل روزهای بدهکار (روز)]]*Main[[#This Row],[مانده در خط کل (کیلوگرم)]]</f>
        <v>39886</v>
      </c>
      <c r="X2641" s="6">
        <f ca="1">-SUBTOTAL(9,INDEX(Main[مقدار تسویه شده (کیلوگرم)],1):Main[[#This Row],[مقدار تسویه شده (کیلوگرم)]])</f>
        <v>2686</v>
      </c>
      <c r="Y2641" s="6">
        <f ca="1">IF(Main[[#This Row],[مانده در خط تسویه شده (کیلوگرم)]]&lt;&gt;0,Main[[#This Row],[تعداد کل روزهای بدهکار (روز)]],0)</f>
        <v>1</v>
      </c>
      <c r="Z2641" s="6">
        <f ca="1">Main[[#This Row],[تعداد روزهای بدهکار تسویه شده (روز)]]*Main[[#This Row],[مانده در خط تسویه شده (کیلوگرم)]]</f>
        <v>2686</v>
      </c>
      <c r="AA2641" s="6">
        <f ca="1">SUBTOTAL(9,INDEX(Main[بدهی تسویه نشده (کیلوگرم)],1):Main[[#This Row],[بدهی تسویه نشده (کیلوگرم)]])</f>
        <v>37200</v>
      </c>
      <c r="AB2641" s="6">
        <f ca="1">IF(Main[[#This Row],[مانده در خط تسویه نشده (کیلوگرم)]]&lt;&gt;0,Main[[#This Row],[تعداد کل روزهای بدهکار (روز)]],0)</f>
        <v>1</v>
      </c>
      <c r="AC2641" s="6">
        <f ca="1">Main[[#This Row],[تعداد روزهای بدهکار  تسویه نشده (روز)]]*Main[[#This Row],[مانده در خط تسویه نشده (کیلوگرم)]]</f>
        <v>37200</v>
      </c>
      <c r="AD2641" s="6">
        <f ca="1">SUBTOTAL(9,INDEX(Main[بدهی سررسید شده (کیلوگرم)],1):Main[[#This Row],[بدهی سررسید شده (کیلوگرم)]])</f>
        <v>37200</v>
      </c>
      <c r="AE2641" s="6">
        <f ca="1">IF(Main[[#This Row],[مانده در خط سررسید شده (کیلوگرم)]]&lt;&gt;0,Main[[#This Row],[تعداد کل روزهای بدهکار (روز)]],0)</f>
        <v>1</v>
      </c>
      <c r="AF2641" s="6">
        <f ca="1">Main[[#This Row],[تعداد روزهای بدهکار سررسید شده (روز)]]*Main[[#This Row],[مانده در خط سررسید شده (کیلوگرم)]]</f>
        <v>37200</v>
      </c>
    </row>
    <row r="2642" spans="1:32" hidden="1" x14ac:dyDescent="0.35">
      <c r="A2642" s="5">
        <f>ROW()-ROW(INDEX(Main[ردیف],1))+1</f>
        <v>2640</v>
      </c>
      <c r="B2642" s="31">
        <f>SUBTOTAL(2,INDEX(Main[ردیف],1):Main[[#This Row],[ردیف]])</f>
        <v>237</v>
      </c>
      <c r="C2642" s="32" t="s">
        <v>822</v>
      </c>
      <c r="D2642" s="32" t="str">
        <f>_xlfn.CONCAT("14",Main[[#This Row],[تاريخ]])</f>
        <v>1400/10/04</v>
      </c>
      <c r="E2642" s="33">
        <v>44555</v>
      </c>
      <c r="F2642" s="32">
        <v>10104</v>
      </c>
      <c r="G2642" s="5" t="str">
        <f>INDEX(customer[عنوان],MATCH(Main[[#This Row],[کد ردیابی]],customer[کد],0))</f>
        <v>بهزادی فر اصغر</v>
      </c>
      <c r="H2642">
        <v>320</v>
      </c>
      <c r="I2642" s="6">
        <f ca="1">-Main[[#This Row],[بدهی تسویه شده (کیلوگرم)]]+Main[[#This Row],[بستانکار (کیلوگرم)]]</f>
        <v>320</v>
      </c>
      <c r="J2642" s="6">
        <f>IF(Main[[#This Row],[مقدار (کیلوگرم)]]&gt;0,Main[[#This Row],[مقدار (کیلوگرم)]],0)</f>
        <v>320</v>
      </c>
      <c r="K2642" s="6">
        <f>-IF(Main[[#This Row],[مقدار (کیلوگرم)]]&lt;0,Main[[#This Row],[مقدار (کیلوگرم)]],0)</f>
        <v>0</v>
      </c>
      <c r="L26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2" s="7">
        <f>-IF(AND(Main[[#This Row],[مقدار (کیلوگرم)]]&lt;0,Main[[#This Row],[تاريخ میلادی]]&gt;44276),Main[[#This Row],[مقدار (کیلوگرم)]],0)</f>
        <v>0</v>
      </c>
      <c r="N2642" s="6">
        <f ca="1">Main[[#This Row],[بدهکار (کیلوگرم)]]-Main[[#This Row],[بدهی تسویه نشده (کیلوگرم)]]</f>
        <v>0</v>
      </c>
      <c r="O2642" s="6">
        <f ca="1">Main[[#This Row],[تفکیک]]</f>
        <v>0</v>
      </c>
      <c r="P2642" s="6">
        <f ca="1">IF(Main[[#This Row],[تاخیر از سررسید]]&gt;0,Main[[#This Row],[بدهی تسویه نشده (کیلوگرم)]],0)</f>
        <v>0</v>
      </c>
      <c r="Q2642" s="6">
        <f ca="1">IF(Main[[#This Row],[بدهی تسویه نشده (کیلوگرم)]]&gt;0,'گزارش فردی'!$B$7-Main[[#This Row],[تاريخ میلادی]],0)</f>
        <v>0</v>
      </c>
      <c r="R2642" s="6">
        <f ca="1">IF(Main[[#This Row],[بدهی تسویه نشده (کیلوگرم)]]&gt;0,'گزارش فردی'!$B$7-Main[[#This Row],[تاريخ میلادی]]-'گزارش فردی'!$B$8,0)</f>
        <v>0</v>
      </c>
      <c r="S2642" s="6">
        <f ca="1">Main[[#This Row],[روز از ارسال سفارش]]*Main[[#This Row],[بدهی تسویه نشده (کیلوگرم)]]</f>
        <v>0</v>
      </c>
      <c r="T2642" s="6">
        <f ca="1">Main[[#This Row],[بدهی سررسید شده (کیلوگرم)]]*Main[[#This Row],[روز از ارسال سفارش]]</f>
        <v>0</v>
      </c>
      <c r="U2642" s="6">
        <f>-SUBTOTAL(9,INDEX(Main[مقدار (کیلوگرم)],1):Main[[#This Row],[مقدار (کیلوگرم)]])</f>
        <v>39886</v>
      </c>
      <c r="V26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2" s="6">
        <f>Main[[#This Row],[تعداد کل روزهای بدهکار (روز)]]*Main[[#This Row],[مانده در خط کل (کیلوگرم)]]</f>
        <v>39886</v>
      </c>
      <c r="X2642" s="6">
        <f ca="1">-SUBTOTAL(9,INDEX(Main[مقدار تسویه شده (کیلوگرم)],1):Main[[#This Row],[مقدار تسویه شده (کیلوگرم)]])</f>
        <v>2686</v>
      </c>
      <c r="Y2642" s="6">
        <f ca="1">IF(Main[[#This Row],[مانده در خط تسویه شده (کیلوگرم)]]&lt;&gt;0,Main[[#This Row],[تعداد کل روزهای بدهکار (روز)]],0)</f>
        <v>1</v>
      </c>
      <c r="Z2642" s="6">
        <f ca="1">Main[[#This Row],[تعداد روزهای بدهکار تسویه شده (روز)]]*Main[[#This Row],[مانده در خط تسویه شده (کیلوگرم)]]</f>
        <v>2686</v>
      </c>
      <c r="AA2642" s="6">
        <f ca="1">SUBTOTAL(9,INDEX(Main[بدهی تسویه نشده (کیلوگرم)],1):Main[[#This Row],[بدهی تسویه نشده (کیلوگرم)]])</f>
        <v>37200</v>
      </c>
      <c r="AB2642" s="6">
        <f ca="1">IF(Main[[#This Row],[مانده در خط تسویه نشده (کیلوگرم)]]&lt;&gt;0,Main[[#This Row],[تعداد کل روزهای بدهکار (روز)]],0)</f>
        <v>1</v>
      </c>
      <c r="AC2642" s="6">
        <f ca="1">Main[[#This Row],[تعداد روزهای بدهکار  تسویه نشده (روز)]]*Main[[#This Row],[مانده در خط تسویه نشده (کیلوگرم)]]</f>
        <v>37200</v>
      </c>
      <c r="AD2642" s="6">
        <f ca="1">SUBTOTAL(9,INDEX(Main[بدهی سررسید شده (کیلوگرم)],1):Main[[#This Row],[بدهی سررسید شده (کیلوگرم)]])</f>
        <v>37200</v>
      </c>
      <c r="AE2642" s="6">
        <f ca="1">IF(Main[[#This Row],[مانده در خط سررسید شده (کیلوگرم)]]&lt;&gt;0,Main[[#This Row],[تعداد کل روزهای بدهکار (روز)]],0)</f>
        <v>1</v>
      </c>
      <c r="AF2642" s="6">
        <f ca="1">Main[[#This Row],[تعداد روزهای بدهکار سررسید شده (روز)]]*Main[[#This Row],[مانده در خط سررسید شده (کیلوگرم)]]</f>
        <v>37200</v>
      </c>
    </row>
    <row r="2643" spans="1:32" hidden="1" x14ac:dyDescent="0.35">
      <c r="A2643" s="5">
        <f>ROW()-ROW(INDEX(Main[ردیف],1))+1</f>
        <v>2641</v>
      </c>
      <c r="B2643" s="31">
        <f>SUBTOTAL(2,INDEX(Main[ردیف],1):Main[[#This Row],[ردیف]])</f>
        <v>237</v>
      </c>
      <c r="C2643" s="32" t="s">
        <v>822</v>
      </c>
      <c r="D2643" s="32" t="str">
        <f>_xlfn.CONCAT("14",Main[[#This Row],[تاريخ]])</f>
        <v>1400/10/04</v>
      </c>
      <c r="E2643" s="33">
        <v>44555</v>
      </c>
      <c r="F2643" s="32">
        <v>30014</v>
      </c>
      <c r="G2643" s="5" t="str">
        <f>INDEX(customer[عنوان],MATCH(Main[[#This Row],[کد ردیابی]],customer[کد],0))</f>
        <v>کلون</v>
      </c>
      <c r="H2643">
        <v>-14</v>
      </c>
      <c r="I2643" s="6">
        <f ca="1">-Main[[#This Row],[بدهی تسویه شده (کیلوگرم)]]+Main[[#This Row],[بستانکار (کیلوگرم)]]</f>
        <v>0</v>
      </c>
      <c r="J2643" s="6">
        <f>IF(Main[[#This Row],[مقدار (کیلوگرم)]]&gt;0,Main[[#This Row],[مقدار (کیلوگرم)]],0)</f>
        <v>0</v>
      </c>
      <c r="K2643" s="6">
        <f>-IF(Main[[#This Row],[مقدار (کیلوگرم)]]&lt;0,Main[[#This Row],[مقدار (کیلوگرم)]],0)</f>
        <v>14</v>
      </c>
      <c r="L26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</v>
      </c>
      <c r="M2643" s="7">
        <f>-IF(AND(Main[[#This Row],[مقدار (کیلوگرم)]]&lt;0,Main[[#This Row],[تاريخ میلادی]]&gt;44276),Main[[#This Row],[مقدار (کیلوگرم)]],0)</f>
        <v>14</v>
      </c>
      <c r="N2643" s="6">
        <f ca="1">Main[[#This Row],[بدهکار (کیلوگرم)]]-Main[[#This Row],[بدهی تسویه نشده (کیلوگرم)]]</f>
        <v>0</v>
      </c>
      <c r="O2643" s="6">
        <f ca="1">Main[[#This Row],[تفکیک]]</f>
        <v>14</v>
      </c>
      <c r="P2643" s="6">
        <f ca="1">IF(Main[[#This Row],[تاخیر از سررسید]]&gt;0,Main[[#This Row],[بدهی تسویه نشده (کیلوگرم)]],0)</f>
        <v>14</v>
      </c>
      <c r="Q2643" s="6">
        <f ca="1">IF(Main[[#This Row],[بدهی تسویه نشده (کیلوگرم)]]&gt;0,'گزارش فردی'!$B$7-Main[[#This Row],[تاريخ میلادی]],0)</f>
        <v>907.75374085648218</v>
      </c>
      <c r="R2643" s="6">
        <f ca="1">IF(Main[[#This Row],[بدهی تسویه نشده (کیلوگرم)]]&gt;0,'گزارش فردی'!$B$7-Main[[#This Row],[تاريخ میلادی]]-'گزارش فردی'!$B$8,0)</f>
        <v>892.75374085648218</v>
      </c>
      <c r="S2643" s="6">
        <f ca="1">Main[[#This Row],[روز از ارسال سفارش]]*Main[[#This Row],[بدهی تسویه نشده (کیلوگرم)]]</f>
        <v>12708.552371990751</v>
      </c>
      <c r="T2643" s="6">
        <f ca="1">Main[[#This Row],[بدهی سررسید شده (کیلوگرم)]]*Main[[#This Row],[روز از ارسال سفارش]]</f>
        <v>12708.552371990751</v>
      </c>
      <c r="U2643" s="6">
        <f>-SUBTOTAL(9,INDEX(Main[مقدار (کیلوگرم)],1):Main[[#This Row],[مقدار (کیلوگرم)]])</f>
        <v>39886</v>
      </c>
      <c r="V26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3" s="6">
        <f>Main[[#This Row],[تعداد کل روزهای بدهکار (روز)]]*Main[[#This Row],[مانده در خط کل (کیلوگرم)]]</f>
        <v>39886</v>
      </c>
      <c r="X2643" s="6">
        <f ca="1">-SUBTOTAL(9,INDEX(Main[مقدار تسویه شده (کیلوگرم)],1):Main[[#This Row],[مقدار تسویه شده (کیلوگرم)]])</f>
        <v>2686</v>
      </c>
      <c r="Y2643" s="6">
        <f ca="1">IF(Main[[#This Row],[مانده در خط تسویه شده (کیلوگرم)]]&lt;&gt;0,Main[[#This Row],[تعداد کل روزهای بدهکار (روز)]],0)</f>
        <v>1</v>
      </c>
      <c r="Z2643" s="6">
        <f ca="1">Main[[#This Row],[تعداد روزهای بدهکار تسویه شده (روز)]]*Main[[#This Row],[مانده در خط تسویه شده (کیلوگرم)]]</f>
        <v>2686</v>
      </c>
      <c r="AA2643" s="6">
        <f ca="1">SUBTOTAL(9,INDEX(Main[بدهی تسویه نشده (کیلوگرم)],1):Main[[#This Row],[بدهی تسویه نشده (کیلوگرم)]])</f>
        <v>37200</v>
      </c>
      <c r="AB2643" s="6">
        <f ca="1">IF(Main[[#This Row],[مانده در خط تسویه نشده (کیلوگرم)]]&lt;&gt;0,Main[[#This Row],[تعداد کل روزهای بدهکار (روز)]],0)</f>
        <v>1</v>
      </c>
      <c r="AC2643" s="6">
        <f ca="1">Main[[#This Row],[تعداد روزهای بدهکار  تسویه نشده (روز)]]*Main[[#This Row],[مانده در خط تسویه نشده (کیلوگرم)]]</f>
        <v>37200</v>
      </c>
      <c r="AD2643" s="6">
        <f ca="1">SUBTOTAL(9,INDEX(Main[بدهی سررسید شده (کیلوگرم)],1):Main[[#This Row],[بدهی سررسید شده (کیلوگرم)]])</f>
        <v>37200</v>
      </c>
      <c r="AE2643" s="6">
        <f ca="1">IF(Main[[#This Row],[مانده در خط سررسید شده (کیلوگرم)]]&lt;&gt;0,Main[[#This Row],[تعداد کل روزهای بدهکار (روز)]],0)</f>
        <v>1</v>
      </c>
      <c r="AF2643" s="6">
        <f ca="1">Main[[#This Row],[تعداد روزهای بدهکار سررسید شده (روز)]]*Main[[#This Row],[مانده در خط سررسید شده (کیلوگرم)]]</f>
        <v>37200</v>
      </c>
    </row>
    <row r="2644" spans="1:32" hidden="1" x14ac:dyDescent="0.35">
      <c r="A2644" s="5">
        <f>ROW()-ROW(INDEX(Main[ردیف],1))+1</f>
        <v>2642</v>
      </c>
      <c r="B2644" s="31">
        <f>SUBTOTAL(2,INDEX(Main[ردیف],1):Main[[#This Row],[ردیف]])</f>
        <v>237</v>
      </c>
      <c r="C2644" s="32" t="s">
        <v>822</v>
      </c>
      <c r="D2644" s="32" t="str">
        <f>_xlfn.CONCAT("14",Main[[#This Row],[تاريخ]])</f>
        <v>1400/10/04</v>
      </c>
      <c r="E2644" s="33">
        <v>44555</v>
      </c>
      <c r="F2644" s="32">
        <v>10104</v>
      </c>
      <c r="G2644" s="5" t="str">
        <f>INDEX(customer[عنوان],MATCH(Main[[#This Row],[کد ردیابی]],customer[کد],0))</f>
        <v>بهزادی فر اصغر</v>
      </c>
      <c r="H2644">
        <v>264</v>
      </c>
      <c r="I2644" s="6">
        <f ca="1">-Main[[#This Row],[بدهی تسویه شده (کیلوگرم)]]+Main[[#This Row],[بستانکار (کیلوگرم)]]</f>
        <v>264</v>
      </c>
      <c r="J2644" s="6">
        <f>IF(Main[[#This Row],[مقدار (کیلوگرم)]]&gt;0,Main[[#This Row],[مقدار (کیلوگرم)]],0)</f>
        <v>264</v>
      </c>
      <c r="K2644" s="6">
        <f>-IF(Main[[#This Row],[مقدار (کیلوگرم)]]&lt;0,Main[[#This Row],[مقدار (کیلوگرم)]],0)</f>
        <v>0</v>
      </c>
      <c r="L26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4" s="7">
        <f>-IF(AND(Main[[#This Row],[مقدار (کیلوگرم)]]&lt;0,Main[[#This Row],[تاريخ میلادی]]&gt;44276),Main[[#This Row],[مقدار (کیلوگرم)]],0)</f>
        <v>0</v>
      </c>
      <c r="N2644" s="6">
        <f ca="1">Main[[#This Row],[بدهکار (کیلوگرم)]]-Main[[#This Row],[بدهی تسویه نشده (کیلوگرم)]]</f>
        <v>0</v>
      </c>
      <c r="O2644" s="6">
        <f ca="1">Main[[#This Row],[تفکیک]]</f>
        <v>0</v>
      </c>
      <c r="P2644" s="6">
        <f ca="1">IF(Main[[#This Row],[تاخیر از سررسید]]&gt;0,Main[[#This Row],[بدهی تسویه نشده (کیلوگرم)]],0)</f>
        <v>0</v>
      </c>
      <c r="Q2644" s="6">
        <f ca="1">IF(Main[[#This Row],[بدهی تسویه نشده (کیلوگرم)]]&gt;0,'گزارش فردی'!$B$7-Main[[#This Row],[تاريخ میلادی]],0)</f>
        <v>0</v>
      </c>
      <c r="R2644" s="6">
        <f ca="1">IF(Main[[#This Row],[بدهی تسویه نشده (کیلوگرم)]]&gt;0,'گزارش فردی'!$B$7-Main[[#This Row],[تاريخ میلادی]]-'گزارش فردی'!$B$8,0)</f>
        <v>0</v>
      </c>
      <c r="S2644" s="6">
        <f ca="1">Main[[#This Row],[روز از ارسال سفارش]]*Main[[#This Row],[بدهی تسویه نشده (کیلوگرم)]]</f>
        <v>0</v>
      </c>
      <c r="T2644" s="6">
        <f ca="1">Main[[#This Row],[بدهی سررسید شده (کیلوگرم)]]*Main[[#This Row],[روز از ارسال سفارش]]</f>
        <v>0</v>
      </c>
      <c r="U2644" s="6">
        <f>-SUBTOTAL(9,INDEX(Main[مقدار (کیلوگرم)],1):Main[[#This Row],[مقدار (کیلوگرم)]])</f>
        <v>39886</v>
      </c>
      <c r="V26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4" s="6">
        <f>Main[[#This Row],[تعداد کل روزهای بدهکار (روز)]]*Main[[#This Row],[مانده در خط کل (کیلوگرم)]]</f>
        <v>39886</v>
      </c>
      <c r="X2644" s="6">
        <f ca="1">-SUBTOTAL(9,INDEX(Main[مقدار تسویه شده (کیلوگرم)],1):Main[[#This Row],[مقدار تسویه شده (کیلوگرم)]])</f>
        <v>2686</v>
      </c>
      <c r="Y2644" s="6">
        <f ca="1">IF(Main[[#This Row],[مانده در خط تسویه شده (کیلوگرم)]]&lt;&gt;0,Main[[#This Row],[تعداد کل روزهای بدهکار (روز)]],0)</f>
        <v>1</v>
      </c>
      <c r="Z2644" s="6">
        <f ca="1">Main[[#This Row],[تعداد روزهای بدهکار تسویه شده (روز)]]*Main[[#This Row],[مانده در خط تسویه شده (کیلوگرم)]]</f>
        <v>2686</v>
      </c>
      <c r="AA2644" s="6">
        <f ca="1">SUBTOTAL(9,INDEX(Main[بدهی تسویه نشده (کیلوگرم)],1):Main[[#This Row],[بدهی تسویه نشده (کیلوگرم)]])</f>
        <v>37200</v>
      </c>
      <c r="AB2644" s="6">
        <f ca="1">IF(Main[[#This Row],[مانده در خط تسویه نشده (کیلوگرم)]]&lt;&gt;0,Main[[#This Row],[تعداد کل روزهای بدهکار (روز)]],0)</f>
        <v>1</v>
      </c>
      <c r="AC2644" s="6">
        <f ca="1">Main[[#This Row],[تعداد روزهای بدهکار  تسویه نشده (روز)]]*Main[[#This Row],[مانده در خط تسویه نشده (کیلوگرم)]]</f>
        <v>37200</v>
      </c>
      <c r="AD2644" s="6">
        <f ca="1">SUBTOTAL(9,INDEX(Main[بدهی سررسید شده (کیلوگرم)],1):Main[[#This Row],[بدهی سررسید شده (کیلوگرم)]])</f>
        <v>37200</v>
      </c>
      <c r="AE2644" s="6">
        <f ca="1">IF(Main[[#This Row],[مانده در خط سررسید شده (کیلوگرم)]]&lt;&gt;0,Main[[#This Row],[تعداد کل روزهای بدهکار (روز)]],0)</f>
        <v>1</v>
      </c>
      <c r="AF2644" s="6">
        <f ca="1">Main[[#This Row],[تعداد روزهای بدهکار سررسید شده (روز)]]*Main[[#This Row],[مانده در خط سررسید شده (کیلوگرم)]]</f>
        <v>37200</v>
      </c>
    </row>
    <row r="2645" spans="1:32" hidden="1" x14ac:dyDescent="0.35">
      <c r="A2645" s="5">
        <f>ROW()-ROW(INDEX(Main[ردیف],1))+1</f>
        <v>2643</v>
      </c>
      <c r="B2645" s="31">
        <f>SUBTOTAL(2,INDEX(Main[ردیف],1):Main[[#This Row],[ردیف]])</f>
        <v>237</v>
      </c>
      <c r="C2645" s="32" t="s">
        <v>822</v>
      </c>
      <c r="D2645" s="32" t="str">
        <f>_xlfn.CONCAT("14",Main[[#This Row],[تاريخ]])</f>
        <v>1400/10/04</v>
      </c>
      <c r="E2645" s="33">
        <v>44555</v>
      </c>
      <c r="F2645" s="32">
        <v>10070</v>
      </c>
      <c r="G2645" s="5" t="str">
        <f>INDEX(customer[عنوان],MATCH(Main[[#This Row],[کد ردیابی]],customer[کد],0))</f>
        <v xml:space="preserve">حمیدرضا شفیعی </v>
      </c>
      <c r="H2645">
        <v>-900</v>
      </c>
      <c r="I2645" s="6">
        <f ca="1">-Main[[#This Row],[بدهی تسویه شده (کیلوگرم)]]+Main[[#This Row],[بستانکار (کیلوگرم)]]</f>
        <v>0</v>
      </c>
      <c r="J2645" s="6">
        <f>IF(Main[[#This Row],[مقدار (کیلوگرم)]]&gt;0,Main[[#This Row],[مقدار (کیلوگرم)]],0)</f>
        <v>0</v>
      </c>
      <c r="K2645" s="6">
        <f>-IF(Main[[#This Row],[مقدار (کیلوگرم)]]&lt;0,Main[[#This Row],[مقدار (کیلوگرم)]],0)</f>
        <v>900</v>
      </c>
      <c r="L26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900</v>
      </c>
      <c r="M2645" s="7">
        <f>-IF(AND(Main[[#This Row],[مقدار (کیلوگرم)]]&lt;0,Main[[#This Row],[تاريخ میلادی]]&gt;44276),Main[[#This Row],[مقدار (کیلوگرم)]],0)</f>
        <v>900</v>
      </c>
      <c r="N2645" s="6">
        <f ca="1">Main[[#This Row],[بدهکار (کیلوگرم)]]-Main[[#This Row],[بدهی تسویه نشده (کیلوگرم)]]</f>
        <v>0</v>
      </c>
      <c r="O2645" s="6">
        <f ca="1">Main[[#This Row],[تفکیک]]</f>
        <v>900</v>
      </c>
      <c r="P2645" s="6">
        <f ca="1">IF(Main[[#This Row],[تاخیر از سررسید]]&gt;0,Main[[#This Row],[بدهی تسویه نشده (کیلوگرم)]],0)</f>
        <v>900</v>
      </c>
      <c r="Q2645" s="6">
        <f ca="1">IF(Main[[#This Row],[بدهی تسویه نشده (کیلوگرم)]]&gt;0,'گزارش فردی'!$B$7-Main[[#This Row],[تاريخ میلادی]],0)</f>
        <v>907.75374085648218</v>
      </c>
      <c r="R2645" s="6">
        <f ca="1">IF(Main[[#This Row],[بدهی تسویه نشده (کیلوگرم)]]&gt;0,'گزارش فردی'!$B$7-Main[[#This Row],[تاريخ میلادی]]-'گزارش فردی'!$B$8,0)</f>
        <v>892.75374085648218</v>
      </c>
      <c r="S2645" s="6">
        <f ca="1">Main[[#This Row],[روز از ارسال سفارش]]*Main[[#This Row],[بدهی تسویه نشده (کیلوگرم)]]</f>
        <v>816978.36677083396</v>
      </c>
      <c r="T2645" s="6">
        <f ca="1">Main[[#This Row],[بدهی سررسید شده (کیلوگرم)]]*Main[[#This Row],[روز از ارسال سفارش]]</f>
        <v>816978.36677083396</v>
      </c>
      <c r="U2645" s="6">
        <f>-SUBTOTAL(9,INDEX(Main[مقدار (کیلوگرم)],1):Main[[#This Row],[مقدار (کیلوگرم)]])</f>
        <v>39886</v>
      </c>
      <c r="V26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5" s="6">
        <f>Main[[#This Row],[تعداد کل روزهای بدهکار (روز)]]*Main[[#This Row],[مانده در خط کل (کیلوگرم)]]</f>
        <v>39886</v>
      </c>
      <c r="X2645" s="6">
        <f ca="1">-SUBTOTAL(9,INDEX(Main[مقدار تسویه شده (کیلوگرم)],1):Main[[#This Row],[مقدار تسویه شده (کیلوگرم)]])</f>
        <v>2686</v>
      </c>
      <c r="Y2645" s="6">
        <f ca="1">IF(Main[[#This Row],[مانده در خط تسویه شده (کیلوگرم)]]&lt;&gt;0,Main[[#This Row],[تعداد کل روزهای بدهکار (روز)]],0)</f>
        <v>1</v>
      </c>
      <c r="Z2645" s="6">
        <f ca="1">Main[[#This Row],[تعداد روزهای بدهکار تسویه شده (روز)]]*Main[[#This Row],[مانده در خط تسویه شده (کیلوگرم)]]</f>
        <v>2686</v>
      </c>
      <c r="AA2645" s="6">
        <f ca="1">SUBTOTAL(9,INDEX(Main[بدهی تسویه نشده (کیلوگرم)],1):Main[[#This Row],[بدهی تسویه نشده (کیلوگرم)]])</f>
        <v>37200</v>
      </c>
      <c r="AB2645" s="6">
        <f ca="1">IF(Main[[#This Row],[مانده در خط تسویه نشده (کیلوگرم)]]&lt;&gt;0,Main[[#This Row],[تعداد کل روزهای بدهکار (روز)]],0)</f>
        <v>1</v>
      </c>
      <c r="AC2645" s="6">
        <f ca="1">Main[[#This Row],[تعداد روزهای بدهکار  تسویه نشده (روز)]]*Main[[#This Row],[مانده در خط تسویه نشده (کیلوگرم)]]</f>
        <v>37200</v>
      </c>
      <c r="AD2645" s="6">
        <f ca="1">SUBTOTAL(9,INDEX(Main[بدهی سررسید شده (کیلوگرم)],1):Main[[#This Row],[بدهی سررسید شده (کیلوگرم)]])</f>
        <v>37200</v>
      </c>
      <c r="AE2645" s="6">
        <f ca="1">IF(Main[[#This Row],[مانده در خط سررسید شده (کیلوگرم)]]&lt;&gt;0,Main[[#This Row],[تعداد کل روزهای بدهکار (روز)]],0)</f>
        <v>1</v>
      </c>
      <c r="AF2645" s="6">
        <f ca="1">Main[[#This Row],[تعداد روزهای بدهکار سررسید شده (روز)]]*Main[[#This Row],[مانده در خط سررسید شده (کیلوگرم)]]</f>
        <v>37200</v>
      </c>
    </row>
    <row r="2646" spans="1:32" hidden="1" x14ac:dyDescent="0.35">
      <c r="A2646" s="5">
        <f>ROW()-ROW(INDEX(Main[ردیف],1))+1</f>
        <v>2644</v>
      </c>
      <c r="B2646" s="31">
        <f>SUBTOTAL(2,INDEX(Main[ردیف],1):Main[[#This Row],[ردیف]])</f>
        <v>237</v>
      </c>
      <c r="C2646" s="32" t="s">
        <v>822</v>
      </c>
      <c r="D2646" s="32" t="str">
        <f>_xlfn.CONCAT("14",Main[[#This Row],[تاريخ]])</f>
        <v>1400/10/04</v>
      </c>
      <c r="E2646" s="33">
        <v>44555</v>
      </c>
      <c r="F2646" s="32">
        <v>10020</v>
      </c>
      <c r="G2646" s="5" t="str">
        <f>INDEX(customer[عنوان],MATCH(Main[[#This Row],[کد ردیابی]],customer[کد],0))</f>
        <v>فرزاد اسماعیل زاده</v>
      </c>
      <c r="H2646">
        <v>2149</v>
      </c>
      <c r="I2646" s="6">
        <f ca="1">-Main[[#This Row],[بدهی تسویه شده (کیلوگرم)]]+Main[[#This Row],[بستانکار (کیلوگرم)]]</f>
        <v>2149</v>
      </c>
      <c r="J2646" s="6">
        <f>IF(Main[[#This Row],[مقدار (کیلوگرم)]]&gt;0,Main[[#This Row],[مقدار (کیلوگرم)]],0)</f>
        <v>2149</v>
      </c>
      <c r="K2646" s="6">
        <f>-IF(Main[[#This Row],[مقدار (کیلوگرم)]]&lt;0,Main[[#This Row],[مقدار (کیلوگرم)]],0)</f>
        <v>0</v>
      </c>
      <c r="L26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6" s="7">
        <f>-IF(AND(Main[[#This Row],[مقدار (کیلوگرم)]]&lt;0,Main[[#This Row],[تاريخ میلادی]]&gt;44276),Main[[#This Row],[مقدار (کیلوگرم)]],0)</f>
        <v>0</v>
      </c>
      <c r="N2646" s="6">
        <f ca="1">Main[[#This Row],[بدهکار (کیلوگرم)]]-Main[[#This Row],[بدهی تسویه نشده (کیلوگرم)]]</f>
        <v>0</v>
      </c>
      <c r="O2646" s="6">
        <f ca="1">Main[[#This Row],[تفکیک]]</f>
        <v>0</v>
      </c>
      <c r="P2646" s="6">
        <f ca="1">IF(Main[[#This Row],[تاخیر از سررسید]]&gt;0,Main[[#This Row],[بدهی تسویه نشده (کیلوگرم)]],0)</f>
        <v>0</v>
      </c>
      <c r="Q2646" s="6">
        <f ca="1">IF(Main[[#This Row],[بدهی تسویه نشده (کیلوگرم)]]&gt;0,'گزارش فردی'!$B$7-Main[[#This Row],[تاريخ میلادی]],0)</f>
        <v>0</v>
      </c>
      <c r="R2646" s="6">
        <f ca="1">IF(Main[[#This Row],[بدهی تسویه نشده (کیلوگرم)]]&gt;0,'گزارش فردی'!$B$7-Main[[#This Row],[تاريخ میلادی]]-'گزارش فردی'!$B$8,0)</f>
        <v>0</v>
      </c>
      <c r="S2646" s="6">
        <f ca="1">Main[[#This Row],[روز از ارسال سفارش]]*Main[[#This Row],[بدهی تسویه نشده (کیلوگرم)]]</f>
        <v>0</v>
      </c>
      <c r="T2646" s="6">
        <f ca="1">Main[[#This Row],[بدهی سررسید شده (کیلوگرم)]]*Main[[#This Row],[روز از ارسال سفارش]]</f>
        <v>0</v>
      </c>
      <c r="U2646" s="6">
        <f>-SUBTOTAL(9,INDEX(Main[مقدار (کیلوگرم)],1):Main[[#This Row],[مقدار (کیلوگرم)]])</f>
        <v>39886</v>
      </c>
      <c r="V26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6" s="6">
        <f>Main[[#This Row],[تعداد کل روزهای بدهکار (روز)]]*Main[[#This Row],[مانده در خط کل (کیلوگرم)]]</f>
        <v>39886</v>
      </c>
      <c r="X2646" s="6">
        <f ca="1">-SUBTOTAL(9,INDEX(Main[مقدار تسویه شده (کیلوگرم)],1):Main[[#This Row],[مقدار تسویه شده (کیلوگرم)]])</f>
        <v>2686</v>
      </c>
      <c r="Y2646" s="6">
        <f ca="1">IF(Main[[#This Row],[مانده در خط تسویه شده (کیلوگرم)]]&lt;&gt;0,Main[[#This Row],[تعداد کل روزهای بدهکار (روز)]],0)</f>
        <v>1</v>
      </c>
      <c r="Z2646" s="6">
        <f ca="1">Main[[#This Row],[تعداد روزهای بدهکار تسویه شده (روز)]]*Main[[#This Row],[مانده در خط تسویه شده (کیلوگرم)]]</f>
        <v>2686</v>
      </c>
      <c r="AA2646" s="6">
        <f ca="1">SUBTOTAL(9,INDEX(Main[بدهی تسویه نشده (کیلوگرم)],1):Main[[#This Row],[بدهی تسویه نشده (کیلوگرم)]])</f>
        <v>37200</v>
      </c>
      <c r="AB2646" s="6">
        <f ca="1">IF(Main[[#This Row],[مانده در خط تسویه نشده (کیلوگرم)]]&lt;&gt;0,Main[[#This Row],[تعداد کل روزهای بدهکار (روز)]],0)</f>
        <v>1</v>
      </c>
      <c r="AC2646" s="6">
        <f ca="1">Main[[#This Row],[تعداد روزهای بدهکار  تسویه نشده (روز)]]*Main[[#This Row],[مانده در خط تسویه نشده (کیلوگرم)]]</f>
        <v>37200</v>
      </c>
      <c r="AD2646" s="6">
        <f ca="1">SUBTOTAL(9,INDEX(Main[بدهی سررسید شده (کیلوگرم)],1):Main[[#This Row],[بدهی سررسید شده (کیلوگرم)]])</f>
        <v>37200</v>
      </c>
      <c r="AE2646" s="6">
        <f ca="1">IF(Main[[#This Row],[مانده در خط سررسید شده (کیلوگرم)]]&lt;&gt;0,Main[[#This Row],[تعداد کل روزهای بدهکار (روز)]],0)</f>
        <v>1</v>
      </c>
      <c r="AF2646" s="6">
        <f ca="1">Main[[#This Row],[تعداد روزهای بدهکار سررسید شده (روز)]]*Main[[#This Row],[مانده در خط سررسید شده (کیلوگرم)]]</f>
        <v>37200</v>
      </c>
    </row>
    <row r="2647" spans="1:32" hidden="1" x14ac:dyDescent="0.35">
      <c r="A2647" s="5">
        <f>ROW()-ROW(INDEX(Main[ردیف],1))+1</f>
        <v>2645</v>
      </c>
      <c r="B2647" s="31">
        <f>SUBTOTAL(2,INDEX(Main[ردیف],1):Main[[#This Row],[ردیف]])</f>
        <v>237</v>
      </c>
      <c r="C2647" s="32" t="s">
        <v>822</v>
      </c>
      <c r="D2647" s="32" t="str">
        <f>_xlfn.CONCAT("14",Main[[#This Row],[تاريخ]])</f>
        <v>1400/10/04</v>
      </c>
      <c r="E2647" s="33">
        <v>44555</v>
      </c>
      <c r="F2647" s="32">
        <v>50016</v>
      </c>
      <c r="G2647" s="5" t="str">
        <f>INDEX(customer[عنوان],MATCH(Main[[#This Row],[کد ردیابی]],customer[کد],0))</f>
        <v xml:space="preserve">مهدی یوسفی  </v>
      </c>
      <c r="H2647">
        <v>-500</v>
      </c>
      <c r="I2647" s="6">
        <f ca="1">-Main[[#This Row],[بدهی تسویه شده (کیلوگرم)]]+Main[[#This Row],[بستانکار (کیلوگرم)]]</f>
        <v>0</v>
      </c>
      <c r="J2647" s="6">
        <f>IF(Main[[#This Row],[مقدار (کیلوگرم)]]&gt;0,Main[[#This Row],[مقدار (کیلوگرم)]],0)</f>
        <v>0</v>
      </c>
      <c r="K2647" s="6">
        <f>-IF(Main[[#This Row],[مقدار (کیلوگرم)]]&lt;0,Main[[#This Row],[مقدار (کیلوگرم)]],0)</f>
        <v>500</v>
      </c>
      <c r="L26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500</v>
      </c>
      <c r="M2647" s="7">
        <f>-IF(AND(Main[[#This Row],[مقدار (کیلوگرم)]]&lt;0,Main[[#This Row],[تاريخ میلادی]]&gt;44276),Main[[#This Row],[مقدار (کیلوگرم)]],0)</f>
        <v>500</v>
      </c>
      <c r="N2647" s="6">
        <f ca="1">Main[[#This Row],[بدهکار (کیلوگرم)]]-Main[[#This Row],[بدهی تسویه نشده (کیلوگرم)]]</f>
        <v>0</v>
      </c>
      <c r="O2647" s="6">
        <f ca="1">Main[[#This Row],[تفکیک]]</f>
        <v>500</v>
      </c>
      <c r="P2647" s="6">
        <f ca="1">IF(Main[[#This Row],[تاخیر از سررسید]]&gt;0,Main[[#This Row],[بدهی تسویه نشده (کیلوگرم)]],0)</f>
        <v>500</v>
      </c>
      <c r="Q2647" s="6">
        <f ca="1">IF(Main[[#This Row],[بدهی تسویه نشده (کیلوگرم)]]&gt;0,'گزارش فردی'!$B$7-Main[[#This Row],[تاريخ میلادی]],0)</f>
        <v>907.75374085648218</v>
      </c>
      <c r="R2647" s="6">
        <f ca="1">IF(Main[[#This Row],[بدهی تسویه نشده (کیلوگرم)]]&gt;0,'گزارش فردی'!$B$7-Main[[#This Row],[تاريخ میلادی]]-'گزارش فردی'!$B$8,0)</f>
        <v>892.75374085648218</v>
      </c>
      <c r="S2647" s="6">
        <f ca="1">Main[[#This Row],[روز از ارسال سفارش]]*Main[[#This Row],[بدهی تسویه نشده (کیلوگرم)]]</f>
        <v>453876.87042824109</v>
      </c>
      <c r="T2647" s="6">
        <f ca="1">Main[[#This Row],[بدهی سررسید شده (کیلوگرم)]]*Main[[#This Row],[روز از ارسال سفارش]]</f>
        <v>453876.87042824109</v>
      </c>
      <c r="U2647" s="6">
        <f>-SUBTOTAL(9,INDEX(Main[مقدار (کیلوگرم)],1):Main[[#This Row],[مقدار (کیلوگرم)]])</f>
        <v>39886</v>
      </c>
      <c r="V26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7" s="6">
        <f>Main[[#This Row],[تعداد کل روزهای بدهکار (روز)]]*Main[[#This Row],[مانده در خط کل (کیلوگرم)]]</f>
        <v>39886</v>
      </c>
      <c r="X2647" s="6">
        <f ca="1">-SUBTOTAL(9,INDEX(Main[مقدار تسویه شده (کیلوگرم)],1):Main[[#This Row],[مقدار تسویه شده (کیلوگرم)]])</f>
        <v>2686</v>
      </c>
      <c r="Y2647" s="6">
        <f ca="1">IF(Main[[#This Row],[مانده در خط تسویه شده (کیلوگرم)]]&lt;&gt;0,Main[[#This Row],[تعداد کل روزهای بدهکار (روز)]],0)</f>
        <v>1</v>
      </c>
      <c r="Z2647" s="6">
        <f ca="1">Main[[#This Row],[تعداد روزهای بدهکار تسویه شده (روز)]]*Main[[#This Row],[مانده در خط تسویه شده (کیلوگرم)]]</f>
        <v>2686</v>
      </c>
      <c r="AA2647" s="6">
        <f ca="1">SUBTOTAL(9,INDEX(Main[بدهی تسویه نشده (کیلوگرم)],1):Main[[#This Row],[بدهی تسویه نشده (کیلوگرم)]])</f>
        <v>37200</v>
      </c>
      <c r="AB2647" s="6">
        <f ca="1">IF(Main[[#This Row],[مانده در خط تسویه نشده (کیلوگرم)]]&lt;&gt;0,Main[[#This Row],[تعداد کل روزهای بدهکار (روز)]],0)</f>
        <v>1</v>
      </c>
      <c r="AC2647" s="6">
        <f ca="1">Main[[#This Row],[تعداد روزهای بدهکار  تسویه نشده (روز)]]*Main[[#This Row],[مانده در خط تسویه نشده (کیلوگرم)]]</f>
        <v>37200</v>
      </c>
      <c r="AD2647" s="6">
        <f ca="1">SUBTOTAL(9,INDEX(Main[بدهی سررسید شده (کیلوگرم)],1):Main[[#This Row],[بدهی سررسید شده (کیلوگرم)]])</f>
        <v>37200</v>
      </c>
      <c r="AE2647" s="6">
        <f ca="1">IF(Main[[#This Row],[مانده در خط سررسید شده (کیلوگرم)]]&lt;&gt;0,Main[[#This Row],[تعداد کل روزهای بدهکار (روز)]],0)</f>
        <v>1</v>
      </c>
      <c r="AF2647" s="6">
        <f ca="1">Main[[#This Row],[تعداد روزهای بدهکار سررسید شده (روز)]]*Main[[#This Row],[مانده در خط سررسید شده (کیلوگرم)]]</f>
        <v>37200</v>
      </c>
    </row>
    <row r="2648" spans="1:32" hidden="1" x14ac:dyDescent="0.35">
      <c r="A2648" s="5">
        <f>ROW()-ROW(INDEX(Main[ردیف],1))+1</f>
        <v>2646</v>
      </c>
      <c r="B2648" s="31">
        <f>SUBTOTAL(2,INDEX(Main[ردیف],1):Main[[#This Row],[ردیف]])</f>
        <v>237</v>
      </c>
      <c r="C2648" s="32" t="s">
        <v>822</v>
      </c>
      <c r="D2648" s="32" t="str">
        <f>_xlfn.CONCAT("14",Main[[#This Row],[تاريخ]])</f>
        <v>1400/10/04</v>
      </c>
      <c r="E2648" s="33">
        <v>44555</v>
      </c>
      <c r="F2648" s="32">
        <v>30186</v>
      </c>
      <c r="G2648" s="5" t="str">
        <f>INDEX(customer[عنوان],MATCH(Main[[#This Row],[کد ردیابی]],customer[کد],0))</f>
        <v>سارا گاز</v>
      </c>
      <c r="H2648">
        <v>1143</v>
      </c>
      <c r="I2648" s="6">
        <f ca="1">-Main[[#This Row],[بدهی تسویه شده (کیلوگرم)]]+Main[[#This Row],[بستانکار (کیلوگرم)]]</f>
        <v>1143</v>
      </c>
      <c r="J2648" s="6">
        <f>IF(Main[[#This Row],[مقدار (کیلوگرم)]]&gt;0,Main[[#This Row],[مقدار (کیلوگرم)]],0)</f>
        <v>1143</v>
      </c>
      <c r="K2648" s="6">
        <f>-IF(Main[[#This Row],[مقدار (کیلوگرم)]]&lt;0,Main[[#This Row],[مقدار (کیلوگرم)]],0)</f>
        <v>0</v>
      </c>
      <c r="L26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8" s="7">
        <f>-IF(AND(Main[[#This Row],[مقدار (کیلوگرم)]]&lt;0,Main[[#This Row],[تاريخ میلادی]]&gt;44276),Main[[#This Row],[مقدار (کیلوگرم)]],0)</f>
        <v>0</v>
      </c>
      <c r="N2648" s="6">
        <f ca="1">Main[[#This Row],[بدهکار (کیلوگرم)]]-Main[[#This Row],[بدهی تسویه نشده (کیلوگرم)]]</f>
        <v>0</v>
      </c>
      <c r="O2648" s="6">
        <f ca="1">Main[[#This Row],[تفکیک]]</f>
        <v>0</v>
      </c>
      <c r="P2648" s="6">
        <f ca="1">IF(Main[[#This Row],[تاخیر از سررسید]]&gt;0,Main[[#This Row],[بدهی تسویه نشده (کیلوگرم)]],0)</f>
        <v>0</v>
      </c>
      <c r="Q2648" s="6">
        <f ca="1">IF(Main[[#This Row],[بدهی تسویه نشده (کیلوگرم)]]&gt;0,'گزارش فردی'!$B$7-Main[[#This Row],[تاريخ میلادی]],0)</f>
        <v>0</v>
      </c>
      <c r="R2648" s="6">
        <f ca="1">IF(Main[[#This Row],[بدهی تسویه نشده (کیلوگرم)]]&gt;0,'گزارش فردی'!$B$7-Main[[#This Row],[تاريخ میلادی]]-'گزارش فردی'!$B$8,0)</f>
        <v>0</v>
      </c>
      <c r="S2648" s="6">
        <f ca="1">Main[[#This Row],[روز از ارسال سفارش]]*Main[[#This Row],[بدهی تسویه نشده (کیلوگرم)]]</f>
        <v>0</v>
      </c>
      <c r="T2648" s="6">
        <f ca="1">Main[[#This Row],[بدهی سررسید شده (کیلوگرم)]]*Main[[#This Row],[روز از ارسال سفارش]]</f>
        <v>0</v>
      </c>
      <c r="U2648" s="6">
        <f>-SUBTOTAL(9,INDEX(Main[مقدار (کیلوگرم)],1):Main[[#This Row],[مقدار (کیلوگرم)]])</f>
        <v>39886</v>
      </c>
      <c r="V26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8" s="6">
        <f>Main[[#This Row],[تعداد کل روزهای بدهکار (روز)]]*Main[[#This Row],[مانده در خط کل (کیلوگرم)]]</f>
        <v>39886</v>
      </c>
      <c r="X2648" s="6">
        <f ca="1">-SUBTOTAL(9,INDEX(Main[مقدار تسویه شده (کیلوگرم)],1):Main[[#This Row],[مقدار تسویه شده (کیلوگرم)]])</f>
        <v>2686</v>
      </c>
      <c r="Y2648" s="6">
        <f ca="1">IF(Main[[#This Row],[مانده در خط تسویه شده (کیلوگرم)]]&lt;&gt;0,Main[[#This Row],[تعداد کل روزهای بدهکار (روز)]],0)</f>
        <v>1</v>
      </c>
      <c r="Z2648" s="6">
        <f ca="1">Main[[#This Row],[تعداد روزهای بدهکار تسویه شده (روز)]]*Main[[#This Row],[مانده در خط تسویه شده (کیلوگرم)]]</f>
        <v>2686</v>
      </c>
      <c r="AA2648" s="6">
        <f ca="1">SUBTOTAL(9,INDEX(Main[بدهی تسویه نشده (کیلوگرم)],1):Main[[#This Row],[بدهی تسویه نشده (کیلوگرم)]])</f>
        <v>37200</v>
      </c>
      <c r="AB2648" s="6">
        <f ca="1">IF(Main[[#This Row],[مانده در خط تسویه نشده (کیلوگرم)]]&lt;&gt;0,Main[[#This Row],[تعداد کل روزهای بدهکار (روز)]],0)</f>
        <v>1</v>
      </c>
      <c r="AC2648" s="6">
        <f ca="1">Main[[#This Row],[تعداد روزهای بدهکار  تسویه نشده (روز)]]*Main[[#This Row],[مانده در خط تسویه نشده (کیلوگرم)]]</f>
        <v>37200</v>
      </c>
      <c r="AD2648" s="6">
        <f ca="1">SUBTOTAL(9,INDEX(Main[بدهی سررسید شده (کیلوگرم)],1):Main[[#This Row],[بدهی سررسید شده (کیلوگرم)]])</f>
        <v>37200</v>
      </c>
      <c r="AE2648" s="6">
        <f ca="1">IF(Main[[#This Row],[مانده در خط سررسید شده (کیلوگرم)]]&lt;&gt;0,Main[[#This Row],[تعداد کل روزهای بدهکار (روز)]],0)</f>
        <v>1</v>
      </c>
      <c r="AF2648" s="6">
        <f ca="1">Main[[#This Row],[تعداد روزهای بدهکار سررسید شده (روز)]]*Main[[#This Row],[مانده در خط سررسید شده (کیلوگرم)]]</f>
        <v>37200</v>
      </c>
    </row>
    <row r="2649" spans="1:32" hidden="1" x14ac:dyDescent="0.35">
      <c r="A2649" s="5">
        <f>ROW()-ROW(INDEX(Main[ردیف],1))+1</f>
        <v>2647</v>
      </c>
      <c r="B2649" s="31">
        <f>SUBTOTAL(2,INDEX(Main[ردیف],1):Main[[#This Row],[ردیف]])</f>
        <v>237</v>
      </c>
      <c r="C2649" s="32" t="s">
        <v>822</v>
      </c>
      <c r="D2649" s="32" t="str">
        <f>_xlfn.CONCAT("14",Main[[#This Row],[تاريخ]])</f>
        <v>1400/10/04</v>
      </c>
      <c r="E2649" s="33">
        <v>44555</v>
      </c>
      <c r="F2649" s="32">
        <v>30009</v>
      </c>
      <c r="G2649" s="5" t="str">
        <f>INDEX(customer[عنوان],MATCH(Main[[#This Row],[کد ردیابی]],customer[کد],0))</f>
        <v>شرکت ایمن تک پیشرو</v>
      </c>
      <c r="H2649">
        <v>-2640</v>
      </c>
      <c r="I2649" s="6">
        <f ca="1">-Main[[#This Row],[بدهی تسویه شده (کیلوگرم)]]+Main[[#This Row],[بستانکار (کیلوگرم)]]</f>
        <v>0</v>
      </c>
      <c r="J2649" s="6">
        <f>IF(Main[[#This Row],[مقدار (کیلوگرم)]]&gt;0,Main[[#This Row],[مقدار (کیلوگرم)]],0)</f>
        <v>0</v>
      </c>
      <c r="K2649" s="6">
        <f>-IF(Main[[#This Row],[مقدار (کیلوگرم)]]&lt;0,Main[[#This Row],[مقدار (کیلوگرم)]],0)</f>
        <v>2640</v>
      </c>
      <c r="L26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2640</v>
      </c>
      <c r="M2649" s="7">
        <f>-IF(AND(Main[[#This Row],[مقدار (کیلوگرم)]]&lt;0,Main[[#This Row],[تاريخ میلادی]]&gt;44276),Main[[#This Row],[مقدار (کیلوگرم)]],0)</f>
        <v>2640</v>
      </c>
      <c r="N2649" s="6">
        <f ca="1">Main[[#This Row],[بدهکار (کیلوگرم)]]-Main[[#This Row],[بدهی تسویه نشده (کیلوگرم)]]</f>
        <v>0</v>
      </c>
      <c r="O2649" s="6">
        <f ca="1">Main[[#This Row],[تفکیک]]</f>
        <v>2640</v>
      </c>
      <c r="P2649" s="6">
        <f ca="1">IF(Main[[#This Row],[تاخیر از سررسید]]&gt;0,Main[[#This Row],[بدهی تسویه نشده (کیلوگرم)]],0)</f>
        <v>2640</v>
      </c>
      <c r="Q2649" s="6">
        <f ca="1">IF(Main[[#This Row],[بدهی تسویه نشده (کیلوگرم)]]&gt;0,'گزارش فردی'!$B$7-Main[[#This Row],[تاريخ میلادی]],0)</f>
        <v>907.75374085648218</v>
      </c>
      <c r="R2649" s="6">
        <f ca="1">IF(Main[[#This Row],[بدهی تسویه نشده (کیلوگرم)]]&gt;0,'گزارش فردی'!$B$7-Main[[#This Row],[تاريخ میلادی]]-'گزارش فردی'!$B$8,0)</f>
        <v>892.75374085648218</v>
      </c>
      <c r="S2649" s="6">
        <f ca="1">Main[[#This Row],[روز از ارسال سفارش]]*Main[[#This Row],[بدهی تسویه نشده (کیلوگرم)]]</f>
        <v>2396469.875861113</v>
      </c>
      <c r="T2649" s="6">
        <f ca="1">Main[[#This Row],[بدهی سررسید شده (کیلوگرم)]]*Main[[#This Row],[روز از ارسال سفارش]]</f>
        <v>2396469.875861113</v>
      </c>
      <c r="U2649" s="6">
        <f>-SUBTOTAL(9,INDEX(Main[مقدار (کیلوگرم)],1):Main[[#This Row],[مقدار (کیلوگرم)]])</f>
        <v>39886</v>
      </c>
      <c r="V26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9" s="6">
        <f>Main[[#This Row],[تعداد کل روزهای بدهکار (روز)]]*Main[[#This Row],[مانده در خط کل (کیلوگرم)]]</f>
        <v>39886</v>
      </c>
      <c r="X2649" s="6">
        <f ca="1">-SUBTOTAL(9,INDEX(Main[مقدار تسویه شده (کیلوگرم)],1):Main[[#This Row],[مقدار تسویه شده (کیلوگرم)]])</f>
        <v>2686</v>
      </c>
      <c r="Y2649" s="6">
        <f ca="1">IF(Main[[#This Row],[مانده در خط تسویه شده (کیلوگرم)]]&lt;&gt;0,Main[[#This Row],[تعداد کل روزهای بدهکار (روز)]],0)</f>
        <v>1</v>
      </c>
      <c r="Z2649" s="6">
        <f ca="1">Main[[#This Row],[تعداد روزهای بدهکار تسویه شده (روز)]]*Main[[#This Row],[مانده در خط تسویه شده (کیلوگرم)]]</f>
        <v>2686</v>
      </c>
      <c r="AA2649" s="6">
        <f ca="1">SUBTOTAL(9,INDEX(Main[بدهی تسویه نشده (کیلوگرم)],1):Main[[#This Row],[بدهی تسویه نشده (کیلوگرم)]])</f>
        <v>37200</v>
      </c>
      <c r="AB2649" s="6">
        <f ca="1">IF(Main[[#This Row],[مانده در خط تسویه نشده (کیلوگرم)]]&lt;&gt;0,Main[[#This Row],[تعداد کل روزهای بدهکار (روز)]],0)</f>
        <v>1</v>
      </c>
      <c r="AC2649" s="6">
        <f ca="1">Main[[#This Row],[تعداد روزهای بدهکار  تسویه نشده (روز)]]*Main[[#This Row],[مانده در خط تسویه نشده (کیلوگرم)]]</f>
        <v>37200</v>
      </c>
      <c r="AD2649" s="6">
        <f ca="1">SUBTOTAL(9,INDEX(Main[بدهی سررسید شده (کیلوگرم)],1):Main[[#This Row],[بدهی سررسید شده (کیلوگرم)]])</f>
        <v>37200</v>
      </c>
      <c r="AE2649" s="6">
        <f ca="1">IF(Main[[#This Row],[مانده در خط سررسید شده (کیلوگرم)]]&lt;&gt;0,Main[[#This Row],[تعداد کل روزهای بدهکار (روز)]],0)</f>
        <v>1</v>
      </c>
      <c r="AF2649" s="6">
        <f ca="1">Main[[#This Row],[تعداد روزهای بدهکار سررسید شده (روز)]]*Main[[#This Row],[مانده در خط سررسید شده (کیلوگرم)]]</f>
        <v>37200</v>
      </c>
    </row>
    <row r="2650" spans="1:32" hidden="1" x14ac:dyDescent="0.35">
      <c r="A2650" s="5">
        <f>ROW()-ROW(INDEX(Main[ردیف],1))+1</f>
        <v>2648</v>
      </c>
      <c r="B2650" s="31">
        <f>SUBTOTAL(2,INDEX(Main[ردیف],1):Main[[#This Row],[ردیف]])</f>
        <v>237</v>
      </c>
      <c r="C2650" s="32" t="s">
        <v>822</v>
      </c>
      <c r="D2650" s="32" t="str">
        <f>_xlfn.CONCAT("14",Main[[#This Row],[تاريخ]])</f>
        <v>1400/10/04</v>
      </c>
      <c r="E2650" s="33">
        <v>44555</v>
      </c>
      <c r="F2650" s="32">
        <v>10018</v>
      </c>
      <c r="G2650" s="5" t="str">
        <f>INDEX(customer[عنوان],MATCH(Main[[#This Row],[کد ردیابی]],customer[کد],0))</f>
        <v xml:space="preserve">کوهی </v>
      </c>
      <c r="H2650">
        <v>422</v>
      </c>
      <c r="I2650" s="6">
        <f ca="1">-Main[[#This Row],[بدهی تسویه شده (کیلوگرم)]]+Main[[#This Row],[بستانکار (کیلوگرم)]]</f>
        <v>422</v>
      </c>
      <c r="J2650" s="6">
        <f>IF(Main[[#This Row],[مقدار (کیلوگرم)]]&gt;0,Main[[#This Row],[مقدار (کیلوگرم)]],0)</f>
        <v>422</v>
      </c>
      <c r="K2650" s="6">
        <f>-IF(Main[[#This Row],[مقدار (کیلوگرم)]]&lt;0,Main[[#This Row],[مقدار (کیلوگرم)]],0)</f>
        <v>0</v>
      </c>
      <c r="L26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0" s="7">
        <f>-IF(AND(Main[[#This Row],[مقدار (کیلوگرم)]]&lt;0,Main[[#This Row],[تاريخ میلادی]]&gt;44276),Main[[#This Row],[مقدار (کیلوگرم)]],0)</f>
        <v>0</v>
      </c>
      <c r="N2650" s="6">
        <f ca="1">Main[[#This Row],[بدهکار (کیلوگرم)]]-Main[[#This Row],[بدهی تسویه نشده (کیلوگرم)]]</f>
        <v>0</v>
      </c>
      <c r="O2650" s="6">
        <f ca="1">Main[[#This Row],[تفکیک]]</f>
        <v>0</v>
      </c>
      <c r="P2650" s="6">
        <f ca="1">IF(Main[[#This Row],[تاخیر از سررسید]]&gt;0,Main[[#This Row],[بدهی تسویه نشده (کیلوگرم)]],0)</f>
        <v>0</v>
      </c>
      <c r="Q2650" s="6">
        <f ca="1">IF(Main[[#This Row],[بدهی تسویه نشده (کیلوگرم)]]&gt;0,'گزارش فردی'!$B$7-Main[[#This Row],[تاريخ میلادی]],0)</f>
        <v>0</v>
      </c>
      <c r="R2650" s="6">
        <f ca="1">IF(Main[[#This Row],[بدهی تسویه نشده (کیلوگرم)]]&gt;0,'گزارش فردی'!$B$7-Main[[#This Row],[تاريخ میلادی]]-'گزارش فردی'!$B$8,0)</f>
        <v>0</v>
      </c>
      <c r="S2650" s="6">
        <f ca="1">Main[[#This Row],[روز از ارسال سفارش]]*Main[[#This Row],[بدهی تسویه نشده (کیلوگرم)]]</f>
        <v>0</v>
      </c>
      <c r="T2650" s="6">
        <f ca="1">Main[[#This Row],[بدهی سررسید شده (کیلوگرم)]]*Main[[#This Row],[روز از ارسال سفارش]]</f>
        <v>0</v>
      </c>
      <c r="U2650" s="6">
        <f>-SUBTOTAL(9,INDEX(Main[مقدار (کیلوگرم)],1):Main[[#This Row],[مقدار (کیلوگرم)]])</f>
        <v>39886</v>
      </c>
      <c r="V26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0" s="6">
        <f>Main[[#This Row],[تعداد کل روزهای بدهکار (روز)]]*Main[[#This Row],[مانده در خط کل (کیلوگرم)]]</f>
        <v>39886</v>
      </c>
      <c r="X2650" s="6">
        <f ca="1">-SUBTOTAL(9,INDEX(Main[مقدار تسویه شده (کیلوگرم)],1):Main[[#This Row],[مقدار تسویه شده (کیلوگرم)]])</f>
        <v>2686</v>
      </c>
      <c r="Y2650" s="6">
        <f ca="1">IF(Main[[#This Row],[مانده در خط تسویه شده (کیلوگرم)]]&lt;&gt;0,Main[[#This Row],[تعداد کل روزهای بدهکار (روز)]],0)</f>
        <v>1</v>
      </c>
      <c r="Z2650" s="6">
        <f ca="1">Main[[#This Row],[تعداد روزهای بدهکار تسویه شده (روز)]]*Main[[#This Row],[مانده در خط تسویه شده (کیلوگرم)]]</f>
        <v>2686</v>
      </c>
      <c r="AA2650" s="6">
        <f ca="1">SUBTOTAL(9,INDEX(Main[بدهی تسویه نشده (کیلوگرم)],1):Main[[#This Row],[بدهی تسویه نشده (کیلوگرم)]])</f>
        <v>37200</v>
      </c>
      <c r="AB2650" s="6">
        <f ca="1">IF(Main[[#This Row],[مانده در خط تسویه نشده (کیلوگرم)]]&lt;&gt;0,Main[[#This Row],[تعداد کل روزهای بدهکار (روز)]],0)</f>
        <v>1</v>
      </c>
      <c r="AC2650" s="6">
        <f ca="1">Main[[#This Row],[تعداد روزهای بدهکار  تسویه نشده (روز)]]*Main[[#This Row],[مانده در خط تسویه نشده (کیلوگرم)]]</f>
        <v>37200</v>
      </c>
      <c r="AD2650" s="6">
        <f ca="1">SUBTOTAL(9,INDEX(Main[بدهی سررسید شده (کیلوگرم)],1):Main[[#This Row],[بدهی سررسید شده (کیلوگرم)]])</f>
        <v>37200</v>
      </c>
      <c r="AE2650" s="6">
        <f ca="1">IF(Main[[#This Row],[مانده در خط سررسید شده (کیلوگرم)]]&lt;&gt;0,Main[[#This Row],[تعداد کل روزهای بدهکار (روز)]],0)</f>
        <v>1</v>
      </c>
      <c r="AF2650" s="6">
        <f ca="1">Main[[#This Row],[تعداد روزهای بدهکار سررسید شده (روز)]]*Main[[#This Row],[مانده در خط سررسید شده (کیلوگرم)]]</f>
        <v>37200</v>
      </c>
    </row>
    <row r="2651" spans="1:32" hidden="1" x14ac:dyDescent="0.35">
      <c r="A2651" s="5">
        <f>ROW()-ROW(INDEX(Main[ردیف],1))+1</f>
        <v>2649</v>
      </c>
      <c r="B2651" s="31">
        <f>SUBTOTAL(2,INDEX(Main[ردیف],1):Main[[#This Row],[ردیف]])</f>
        <v>237</v>
      </c>
      <c r="C2651" s="32" t="s">
        <v>822</v>
      </c>
      <c r="D2651" s="32" t="str">
        <f>_xlfn.CONCAT("14",Main[[#This Row],[تاريخ]])</f>
        <v>1400/10/04</v>
      </c>
      <c r="E2651" s="33">
        <v>44555</v>
      </c>
      <c r="F2651" s="32">
        <v>10026</v>
      </c>
      <c r="G2651" s="5" t="str">
        <f>INDEX(customer[عنوان],MATCH(Main[[#This Row],[کد ردیابی]],customer[کد],0))</f>
        <v xml:space="preserve">محسن فیاض بخش </v>
      </c>
      <c r="H2651">
        <v>-1625</v>
      </c>
      <c r="I2651" s="6">
        <f ca="1">-Main[[#This Row],[بدهی تسویه شده (کیلوگرم)]]+Main[[#This Row],[بستانکار (کیلوگرم)]]</f>
        <v>0</v>
      </c>
      <c r="J2651" s="6">
        <f>IF(Main[[#This Row],[مقدار (کیلوگرم)]]&gt;0,Main[[#This Row],[مقدار (کیلوگرم)]],0)</f>
        <v>0</v>
      </c>
      <c r="K2651" s="6">
        <f>-IF(Main[[#This Row],[مقدار (کیلوگرم)]]&lt;0,Main[[#This Row],[مقدار (کیلوگرم)]],0)</f>
        <v>1625</v>
      </c>
      <c r="L26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1625</v>
      </c>
      <c r="M2651" s="7">
        <f>-IF(AND(Main[[#This Row],[مقدار (کیلوگرم)]]&lt;0,Main[[#This Row],[تاريخ میلادی]]&gt;44276),Main[[#This Row],[مقدار (کیلوگرم)]],0)</f>
        <v>1625</v>
      </c>
      <c r="N2651" s="6">
        <f ca="1">Main[[#This Row],[بدهکار (کیلوگرم)]]-Main[[#This Row],[بدهی تسویه نشده (کیلوگرم)]]</f>
        <v>0</v>
      </c>
      <c r="O2651" s="6">
        <f ca="1">Main[[#This Row],[تفکیک]]</f>
        <v>1625</v>
      </c>
      <c r="P2651" s="6">
        <f ca="1">IF(Main[[#This Row],[تاخیر از سررسید]]&gt;0,Main[[#This Row],[بدهی تسویه نشده (کیلوگرم)]],0)</f>
        <v>1625</v>
      </c>
      <c r="Q2651" s="6">
        <f ca="1">IF(Main[[#This Row],[بدهی تسویه نشده (کیلوگرم)]]&gt;0,'گزارش فردی'!$B$7-Main[[#This Row],[تاريخ میلادی]],0)</f>
        <v>907.75374085648218</v>
      </c>
      <c r="R2651" s="6">
        <f ca="1">IF(Main[[#This Row],[بدهی تسویه نشده (کیلوگرم)]]&gt;0,'گزارش فردی'!$B$7-Main[[#This Row],[تاريخ میلادی]]-'گزارش فردی'!$B$8,0)</f>
        <v>892.75374085648218</v>
      </c>
      <c r="S2651" s="6">
        <f ca="1">Main[[#This Row],[روز از ارسال سفارش]]*Main[[#This Row],[بدهی تسویه نشده (کیلوگرم)]]</f>
        <v>1475099.8288917835</v>
      </c>
      <c r="T2651" s="6">
        <f ca="1">Main[[#This Row],[بدهی سررسید شده (کیلوگرم)]]*Main[[#This Row],[روز از ارسال سفارش]]</f>
        <v>1475099.8288917835</v>
      </c>
      <c r="U2651" s="6">
        <f>-SUBTOTAL(9,INDEX(Main[مقدار (کیلوگرم)],1):Main[[#This Row],[مقدار (کیلوگرم)]])</f>
        <v>39886</v>
      </c>
      <c r="V26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1" s="6">
        <f>Main[[#This Row],[تعداد کل روزهای بدهکار (روز)]]*Main[[#This Row],[مانده در خط کل (کیلوگرم)]]</f>
        <v>39886</v>
      </c>
      <c r="X2651" s="6">
        <f ca="1">-SUBTOTAL(9,INDEX(Main[مقدار تسویه شده (کیلوگرم)],1):Main[[#This Row],[مقدار تسویه شده (کیلوگرم)]])</f>
        <v>2686</v>
      </c>
      <c r="Y2651" s="6">
        <f ca="1">IF(Main[[#This Row],[مانده در خط تسویه شده (کیلوگرم)]]&lt;&gt;0,Main[[#This Row],[تعداد کل روزهای بدهکار (روز)]],0)</f>
        <v>1</v>
      </c>
      <c r="Z2651" s="6">
        <f ca="1">Main[[#This Row],[تعداد روزهای بدهکار تسویه شده (روز)]]*Main[[#This Row],[مانده در خط تسویه شده (کیلوگرم)]]</f>
        <v>2686</v>
      </c>
      <c r="AA2651" s="6">
        <f ca="1">SUBTOTAL(9,INDEX(Main[بدهی تسویه نشده (کیلوگرم)],1):Main[[#This Row],[بدهی تسویه نشده (کیلوگرم)]])</f>
        <v>37200</v>
      </c>
      <c r="AB2651" s="6">
        <f ca="1">IF(Main[[#This Row],[مانده در خط تسویه نشده (کیلوگرم)]]&lt;&gt;0,Main[[#This Row],[تعداد کل روزهای بدهکار (روز)]],0)</f>
        <v>1</v>
      </c>
      <c r="AC2651" s="6">
        <f ca="1">Main[[#This Row],[تعداد روزهای بدهکار  تسویه نشده (روز)]]*Main[[#This Row],[مانده در خط تسویه نشده (کیلوگرم)]]</f>
        <v>37200</v>
      </c>
      <c r="AD2651" s="6">
        <f ca="1">SUBTOTAL(9,INDEX(Main[بدهی سررسید شده (کیلوگرم)],1):Main[[#This Row],[بدهی سررسید شده (کیلوگرم)]])</f>
        <v>37200</v>
      </c>
      <c r="AE2651" s="6">
        <f ca="1">IF(Main[[#This Row],[مانده در خط سررسید شده (کیلوگرم)]]&lt;&gt;0,Main[[#This Row],[تعداد کل روزهای بدهکار (روز)]],0)</f>
        <v>1</v>
      </c>
      <c r="AF2651" s="6">
        <f ca="1">Main[[#This Row],[تعداد روزهای بدهکار سررسید شده (روز)]]*Main[[#This Row],[مانده در خط سررسید شده (کیلوگرم)]]</f>
        <v>37200</v>
      </c>
    </row>
    <row r="2652" spans="1:32" hidden="1" x14ac:dyDescent="0.35">
      <c r="A2652" s="5">
        <f>ROW()-ROW(INDEX(Main[ردیف],1))+1</f>
        <v>2650</v>
      </c>
      <c r="B2652" s="31">
        <f>SUBTOTAL(2,INDEX(Main[ردیف],1):Main[[#This Row],[ردیف]])</f>
        <v>237</v>
      </c>
      <c r="C2652" s="32" t="s">
        <v>822</v>
      </c>
      <c r="D2652" s="32" t="str">
        <f>_xlfn.CONCAT("14",Main[[#This Row],[تاريخ]])</f>
        <v>1400/10/04</v>
      </c>
      <c r="E2652" s="33">
        <v>44555</v>
      </c>
      <c r="F2652" s="32">
        <v>10018</v>
      </c>
      <c r="G2652" s="5" t="str">
        <f>INDEX(customer[عنوان],MATCH(Main[[#This Row],[کد ردیابی]],customer[کد],0))</f>
        <v xml:space="preserve">کوهی </v>
      </c>
      <c r="H2652">
        <v>18</v>
      </c>
      <c r="I2652" s="6">
        <f ca="1">-Main[[#This Row],[بدهی تسویه شده (کیلوگرم)]]+Main[[#This Row],[بستانکار (کیلوگرم)]]</f>
        <v>18</v>
      </c>
      <c r="J2652" s="6">
        <f>IF(Main[[#This Row],[مقدار (کیلوگرم)]]&gt;0,Main[[#This Row],[مقدار (کیلوگرم)]],0)</f>
        <v>18</v>
      </c>
      <c r="K2652" s="6">
        <f>-IF(Main[[#This Row],[مقدار (کیلوگرم)]]&lt;0,Main[[#This Row],[مقدار (کیلوگرم)]],0)</f>
        <v>0</v>
      </c>
      <c r="L26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2" s="7">
        <f>-IF(AND(Main[[#This Row],[مقدار (کیلوگرم)]]&lt;0,Main[[#This Row],[تاريخ میلادی]]&gt;44276),Main[[#This Row],[مقدار (کیلوگرم)]],0)</f>
        <v>0</v>
      </c>
      <c r="N2652" s="6">
        <f ca="1">Main[[#This Row],[بدهکار (کیلوگرم)]]-Main[[#This Row],[بدهی تسویه نشده (کیلوگرم)]]</f>
        <v>0</v>
      </c>
      <c r="O2652" s="6">
        <f ca="1">Main[[#This Row],[تفکیک]]</f>
        <v>0</v>
      </c>
      <c r="P2652" s="6">
        <f ca="1">IF(Main[[#This Row],[تاخیر از سررسید]]&gt;0,Main[[#This Row],[بدهی تسویه نشده (کیلوگرم)]],0)</f>
        <v>0</v>
      </c>
      <c r="Q2652" s="6">
        <f ca="1">IF(Main[[#This Row],[بدهی تسویه نشده (کیلوگرم)]]&gt;0,'گزارش فردی'!$B$7-Main[[#This Row],[تاريخ میلادی]],0)</f>
        <v>0</v>
      </c>
      <c r="R2652" s="6">
        <f ca="1">IF(Main[[#This Row],[بدهی تسویه نشده (کیلوگرم)]]&gt;0,'گزارش فردی'!$B$7-Main[[#This Row],[تاريخ میلادی]]-'گزارش فردی'!$B$8,0)</f>
        <v>0</v>
      </c>
      <c r="S2652" s="6">
        <f ca="1">Main[[#This Row],[روز از ارسال سفارش]]*Main[[#This Row],[بدهی تسویه نشده (کیلوگرم)]]</f>
        <v>0</v>
      </c>
      <c r="T2652" s="6">
        <f ca="1">Main[[#This Row],[بدهی سررسید شده (کیلوگرم)]]*Main[[#This Row],[روز از ارسال سفارش]]</f>
        <v>0</v>
      </c>
      <c r="U2652" s="6">
        <f>-SUBTOTAL(9,INDEX(Main[مقدار (کیلوگرم)],1):Main[[#This Row],[مقدار (کیلوگرم)]])</f>
        <v>39886</v>
      </c>
      <c r="V26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2" s="6">
        <f>Main[[#This Row],[تعداد کل روزهای بدهکار (روز)]]*Main[[#This Row],[مانده در خط کل (کیلوگرم)]]</f>
        <v>39886</v>
      </c>
      <c r="X2652" s="6">
        <f ca="1">-SUBTOTAL(9,INDEX(Main[مقدار تسویه شده (کیلوگرم)],1):Main[[#This Row],[مقدار تسویه شده (کیلوگرم)]])</f>
        <v>2686</v>
      </c>
      <c r="Y2652" s="6">
        <f ca="1">IF(Main[[#This Row],[مانده در خط تسویه شده (کیلوگرم)]]&lt;&gt;0,Main[[#This Row],[تعداد کل روزهای بدهکار (روز)]],0)</f>
        <v>1</v>
      </c>
      <c r="Z2652" s="6">
        <f ca="1">Main[[#This Row],[تعداد روزهای بدهکار تسویه شده (روز)]]*Main[[#This Row],[مانده در خط تسویه شده (کیلوگرم)]]</f>
        <v>2686</v>
      </c>
      <c r="AA2652" s="6">
        <f ca="1">SUBTOTAL(9,INDEX(Main[بدهی تسویه نشده (کیلوگرم)],1):Main[[#This Row],[بدهی تسویه نشده (کیلوگرم)]])</f>
        <v>37200</v>
      </c>
      <c r="AB2652" s="6">
        <f ca="1">IF(Main[[#This Row],[مانده در خط تسویه نشده (کیلوگرم)]]&lt;&gt;0,Main[[#This Row],[تعداد کل روزهای بدهکار (روز)]],0)</f>
        <v>1</v>
      </c>
      <c r="AC2652" s="6">
        <f ca="1">Main[[#This Row],[تعداد روزهای بدهکار  تسویه نشده (روز)]]*Main[[#This Row],[مانده در خط تسویه نشده (کیلوگرم)]]</f>
        <v>37200</v>
      </c>
      <c r="AD2652" s="6">
        <f ca="1">SUBTOTAL(9,INDEX(Main[بدهی سررسید شده (کیلوگرم)],1):Main[[#This Row],[بدهی سررسید شده (کیلوگرم)]])</f>
        <v>37200</v>
      </c>
      <c r="AE2652" s="6">
        <f ca="1">IF(Main[[#This Row],[مانده در خط سررسید شده (کیلوگرم)]]&lt;&gt;0,Main[[#This Row],[تعداد کل روزهای بدهکار (روز)]],0)</f>
        <v>1</v>
      </c>
      <c r="AF2652" s="6">
        <f ca="1">Main[[#This Row],[تعداد روزهای بدهکار سررسید شده (روز)]]*Main[[#This Row],[مانده در خط سررسید شده (کیلوگرم)]]</f>
        <v>37200</v>
      </c>
    </row>
    <row r="2653" spans="1:32" hidden="1" x14ac:dyDescent="0.35">
      <c r="A2653" s="5">
        <f>ROW()-ROW(INDEX(Main[ردیف],1))+1</f>
        <v>2651</v>
      </c>
      <c r="B2653" s="31">
        <f>SUBTOTAL(2,INDEX(Main[ردیف],1):Main[[#This Row],[ردیف]])</f>
        <v>237</v>
      </c>
      <c r="C2653" s="32" t="s">
        <v>822</v>
      </c>
      <c r="D2653" s="32" t="str">
        <f>_xlfn.CONCAT("14",Main[[#This Row],[تاريخ]])</f>
        <v>1400/10/04</v>
      </c>
      <c r="E2653" s="33">
        <v>44555</v>
      </c>
      <c r="F2653" s="32">
        <v>10018</v>
      </c>
      <c r="G2653" s="5" t="str">
        <f>INDEX(customer[عنوان],MATCH(Main[[#This Row],[کد ردیابی]],customer[کد],0))</f>
        <v xml:space="preserve">کوهی </v>
      </c>
      <c r="H2653">
        <v>-472</v>
      </c>
      <c r="I2653" s="6">
        <f ca="1">-Main[[#This Row],[بدهی تسویه شده (کیلوگرم)]]+Main[[#This Row],[بستانکار (کیلوگرم)]]</f>
        <v>0</v>
      </c>
      <c r="J2653" s="6">
        <f>IF(Main[[#This Row],[مقدار (کیلوگرم)]]&gt;0,Main[[#This Row],[مقدار (کیلوگرم)]],0)</f>
        <v>0</v>
      </c>
      <c r="K2653" s="6">
        <f>-IF(Main[[#This Row],[مقدار (کیلوگرم)]]&lt;0,Main[[#This Row],[مقدار (کیلوگرم)]],0)</f>
        <v>472</v>
      </c>
      <c r="L26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472</v>
      </c>
      <c r="M2653" s="7">
        <f>-IF(AND(Main[[#This Row],[مقدار (کیلوگرم)]]&lt;0,Main[[#This Row],[تاريخ میلادی]]&gt;44276),Main[[#This Row],[مقدار (کیلوگرم)]],0)</f>
        <v>472</v>
      </c>
      <c r="N2653" s="6">
        <f ca="1">Main[[#This Row],[بدهکار (کیلوگرم)]]-Main[[#This Row],[بدهی تسویه نشده (کیلوگرم)]]</f>
        <v>0</v>
      </c>
      <c r="O2653" s="6">
        <f ca="1">Main[[#This Row],[تفکیک]]</f>
        <v>472</v>
      </c>
      <c r="P2653" s="6">
        <f ca="1">IF(Main[[#This Row],[تاخیر از سررسید]]&gt;0,Main[[#This Row],[بدهی تسویه نشده (کیلوگرم)]],0)</f>
        <v>472</v>
      </c>
      <c r="Q2653" s="6">
        <f ca="1">IF(Main[[#This Row],[بدهی تسویه نشده (کیلوگرم)]]&gt;0,'گزارش فردی'!$B$7-Main[[#This Row],[تاريخ میلادی]],0)</f>
        <v>907.75374085648218</v>
      </c>
      <c r="R2653" s="6">
        <f ca="1">IF(Main[[#This Row],[بدهی تسویه نشده (کیلوگرم)]]&gt;0,'گزارش فردی'!$B$7-Main[[#This Row],[تاريخ میلادی]]-'گزارش فردی'!$B$8,0)</f>
        <v>892.75374085648218</v>
      </c>
      <c r="S2653" s="6">
        <f ca="1">Main[[#This Row],[روز از ارسال سفارش]]*Main[[#This Row],[بدهی تسویه نشده (کیلوگرم)]]</f>
        <v>428459.76568425959</v>
      </c>
      <c r="T2653" s="6">
        <f ca="1">Main[[#This Row],[بدهی سررسید شده (کیلوگرم)]]*Main[[#This Row],[روز از ارسال سفارش]]</f>
        <v>428459.76568425959</v>
      </c>
      <c r="U2653" s="6">
        <f>-SUBTOTAL(9,INDEX(Main[مقدار (کیلوگرم)],1):Main[[#This Row],[مقدار (کیلوگرم)]])</f>
        <v>39886</v>
      </c>
      <c r="V26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3" s="6">
        <f>Main[[#This Row],[تعداد کل روزهای بدهکار (روز)]]*Main[[#This Row],[مانده در خط کل (کیلوگرم)]]</f>
        <v>39886</v>
      </c>
      <c r="X2653" s="6">
        <f ca="1">-SUBTOTAL(9,INDEX(Main[مقدار تسویه شده (کیلوگرم)],1):Main[[#This Row],[مقدار تسویه شده (کیلوگرم)]])</f>
        <v>2686</v>
      </c>
      <c r="Y2653" s="6">
        <f ca="1">IF(Main[[#This Row],[مانده در خط تسویه شده (کیلوگرم)]]&lt;&gt;0,Main[[#This Row],[تعداد کل روزهای بدهکار (روز)]],0)</f>
        <v>1</v>
      </c>
      <c r="Z2653" s="6">
        <f ca="1">Main[[#This Row],[تعداد روزهای بدهکار تسویه شده (روز)]]*Main[[#This Row],[مانده در خط تسویه شده (کیلوگرم)]]</f>
        <v>2686</v>
      </c>
      <c r="AA2653" s="6">
        <f ca="1">SUBTOTAL(9,INDEX(Main[بدهی تسویه نشده (کیلوگرم)],1):Main[[#This Row],[بدهی تسویه نشده (کیلوگرم)]])</f>
        <v>37200</v>
      </c>
      <c r="AB2653" s="6">
        <f ca="1">IF(Main[[#This Row],[مانده در خط تسویه نشده (کیلوگرم)]]&lt;&gt;0,Main[[#This Row],[تعداد کل روزهای بدهکار (روز)]],0)</f>
        <v>1</v>
      </c>
      <c r="AC2653" s="6">
        <f ca="1">Main[[#This Row],[تعداد روزهای بدهکار  تسویه نشده (روز)]]*Main[[#This Row],[مانده در خط تسویه نشده (کیلوگرم)]]</f>
        <v>37200</v>
      </c>
      <c r="AD2653" s="6">
        <f ca="1">SUBTOTAL(9,INDEX(Main[بدهی سررسید شده (کیلوگرم)],1):Main[[#This Row],[بدهی سررسید شده (کیلوگرم)]])</f>
        <v>37200</v>
      </c>
      <c r="AE2653" s="6">
        <f ca="1">IF(Main[[#This Row],[مانده در خط سررسید شده (کیلوگرم)]]&lt;&gt;0,Main[[#This Row],[تعداد کل روزهای بدهکار (روز)]],0)</f>
        <v>1</v>
      </c>
      <c r="AF2653" s="6">
        <f ca="1">Main[[#This Row],[تعداد روزهای بدهکار سررسید شده (روز)]]*Main[[#This Row],[مانده در خط سررسید شده (کیلوگرم)]]</f>
        <v>37200</v>
      </c>
    </row>
    <row r="2654" spans="1:32" hidden="1" x14ac:dyDescent="0.35">
      <c r="A2654" s="5">
        <f>ROW()-ROW(INDEX(Main[ردیف],1))+1</f>
        <v>2652</v>
      </c>
      <c r="B2654" s="31">
        <f>SUBTOTAL(2,INDEX(Main[ردیف],1):Main[[#This Row],[ردیف]])</f>
        <v>237</v>
      </c>
      <c r="C2654" s="32" t="s">
        <v>822</v>
      </c>
      <c r="D2654" s="32" t="str">
        <f>_xlfn.CONCAT("14",Main[[#This Row],[تاريخ]])</f>
        <v>1400/10/04</v>
      </c>
      <c r="E2654" s="33">
        <v>44555</v>
      </c>
      <c r="F2654" s="32">
        <v>30004</v>
      </c>
      <c r="G2654" s="5" t="str">
        <f>INDEX(customer[عنوان],MATCH(Main[[#This Row],[کد ردیابی]],customer[کد],0))</f>
        <v>تولیدی صنعتی صفاشیر پارس</v>
      </c>
      <c r="H2654">
        <v>-4237</v>
      </c>
      <c r="I2654" s="6">
        <f ca="1">-Main[[#This Row],[بدهی تسویه شده (کیلوگرم)]]+Main[[#This Row],[بستانکار (کیلوگرم)]]</f>
        <v>0</v>
      </c>
      <c r="J2654" s="6">
        <f>IF(Main[[#This Row],[مقدار (کیلوگرم)]]&gt;0,Main[[#This Row],[مقدار (کیلوگرم)]],0)</f>
        <v>0</v>
      </c>
      <c r="K2654" s="6">
        <f>-IF(Main[[#This Row],[مقدار (کیلوگرم)]]&lt;0,Main[[#This Row],[مقدار (کیلوگرم)]],0)</f>
        <v>4237</v>
      </c>
      <c r="L26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4237</v>
      </c>
      <c r="M2654" s="7">
        <f>-IF(AND(Main[[#This Row],[مقدار (کیلوگرم)]]&lt;0,Main[[#This Row],[تاريخ میلادی]]&gt;44276),Main[[#This Row],[مقدار (کیلوگرم)]],0)</f>
        <v>4237</v>
      </c>
      <c r="N2654" s="6">
        <f ca="1">Main[[#This Row],[بدهکار (کیلوگرم)]]-Main[[#This Row],[بدهی تسویه نشده (کیلوگرم)]]</f>
        <v>0</v>
      </c>
      <c r="O2654" s="6">
        <f ca="1">Main[[#This Row],[تفکیک]]</f>
        <v>4237</v>
      </c>
      <c r="P2654" s="6">
        <f ca="1">IF(Main[[#This Row],[تاخیر از سررسید]]&gt;0,Main[[#This Row],[بدهی تسویه نشده (کیلوگرم)]],0)</f>
        <v>4237</v>
      </c>
      <c r="Q2654" s="6">
        <f ca="1">IF(Main[[#This Row],[بدهی تسویه نشده (کیلوگرم)]]&gt;0,'گزارش فردی'!$B$7-Main[[#This Row],[تاريخ میلادی]],0)</f>
        <v>907.75374085648218</v>
      </c>
      <c r="R2654" s="6">
        <f ca="1">IF(Main[[#This Row],[بدهی تسویه نشده (کیلوگرم)]]&gt;0,'گزارش فردی'!$B$7-Main[[#This Row],[تاريخ میلادی]]-'گزارش فردی'!$B$8,0)</f>
        <v>892.75374085648218</v>
      </c>
      <c r="S2654" s="6">
        <f ca="1">Main[[#This Row],[روز از ارسال سفارش]]*Main[[#This Row],[بدهی تسویه نشده (کیلوگرم)]]</f>
        <v>3846152.6000089152</v>
      </c>
      <c r="T2654" s="6">
        <f ca="1">Main[[#This Row],[بدهی سررسید شده (کیلوگرم)]]*Main[[#This Row],[روز از ارسال سفارش]]</f>
        <v>3846152.6000089152</v>
      </c>
      <c r="U2654" s="6">
        <f>-SUBTOTAL(9,INDEX(Main[مقدار (کیلوگرم)],1):Main[[#This Row],[مقدار (کیلوگرم)]])</f>
        <v>39886</v>
      </c>
      <c r="V26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4" s="6">
        <f>Main[[#This Row],[تعداد کل روزهای بدهکار (روز)]]*Main[[#This Row],[مانده در خط کل (کیلوگرم)]]</f>
        <v>39886</v>
      </c>
      <c r="X2654" s="6">
        <f ca="1">-SUBTOTAL(9,INDEX(Main[مقدار تسویه شده (کیلوگرم)],1):Main[[#This Row],[مقدار تسویه شده (کیلوگرم)]])</f>
        <v>2686</v>
      </c>
      <c r="Y2654" s="6">
        <f ca="1">IF(Main[[#This Row],[مانده در خط تسویه شده (کیلوگرم)]]&lt;&gt;0,Main[[#This Row],[تعداد کل روزهای بدهکار (روز)]],0)</f>
        <v>1</v>
      </c>
      <c r="Z2654" s="6">
        <f ca="1">Main[[#This Row],[تعداد روزهای بدهکار تسویه شده (روز)]]*Main[[#This Row],[مانده در خط تسویه شده (کیلوگرم)]]</f>
        <v>2686</v>
      </c>
      <c r="AA2654" s="6">
        <f ca="1">SUBTOTAL(9,INDEX(Main[بدهی تسویه نشده (کیلوگرم)],1):Main[[#This Row],[بدهی تسویه نشده (کیلوگرم)]])</f>
        <v>37200</v>
      </c>
      <c r="AB2654" s="6">
        <f ca="1">IF(Main[[#This Row],[مانده در خط تسویه نشده (کیلوگرم)]]&lt;&gt;0,Main[[#This Row],[تعداد کل روزهای بدهکار (روز)]],0)</f>
        <v>1</v>
      </c>
      <c r="AC2654" s="6">
        <f ca="1">Main[[#This Row],[تعداد روزهای بدهکار  تسویه نشده (روز)]]*Main[[#This Row],[مانده در خط تسویه نشده (کیلوگرم)]]</f>
        <v>37200</v>
      </c>
      <c r="AD2654" s="6">
        <f ca="1">SUBTOTAL(9,INDEX(Main[بدهی سررسید شده (کیلوگرم)],1):Main[[#This Row],[بدهی سررسید شده (کیلوگرم)]])</f>
        <v>37200</v>
      </c>
      <c r="AE2654" s="6">
        <f ca="1">IF(Main[[#This Row],[مانده در خط سررسید شده (کیلوگرم)]]&lt;&gt;0,Main[[#This Row],[تعداد کل روزهای بدهکار (روز)]],0)</f>
        <v>1</v>
      </c>
      <c r="AF2654" s="6">
        <f ca="1">Main[[#This Row],[تعداد روزهای بدهکار سررسید شده (روز)]]*Main[[#This Row],[مانده در خط سررسید شده (کیلوگرم)]]</f>
        <v>37200</v>
      </c>
    </row>
    <row r="2655" spans="1:32" hidden="1" x14ac:dyDescent="0.35">
      <c r="A2655" s="5">
        <f>ROW()-ROW(INDEX(Main[ردیف],1))+1</f>
        <v>2653</v>
      </c>
      <c r="B2655" s="31">
        <f>SUBTOTAL(2,INDEX(Main[ردیف],1):Main[[#This Row],[ردیف]])</f>
        <v>237</v>
      </c>
      <c r="C2655" s="32" t="s">
        <v>822</v>
      </c>
      <c r="D2655" s="32" t="str">
        <f>_xlfn.CONCAT("14",Main[[#This Row],[تاريخ]])</f>
        <v>1400/10/04</v>
      </c>
      <c r="E2655" s="33">
        <v>44555</v>
      </c>
      <c r="F2655" s="32">
        <v>10055</v>
      </c>
      <c r="G2655" s="5" t="str">
        <f>INDEX(customer[عنوان],MATCH(Main[[#This Row],[کد ردیابی]],customer[کد],0))</f>
        <v xml:space="preserve">مریم فیض آبادی  </v>
      </c>
      <c r="H2655">
        <v>-4724</v>
      </c>
      <c r="I2655" s="6">
        <f ca="1">-Main[[#This Row],[بدهی تسویه شده (کیلوگرم)]]+Main[[#This Row],[بستانکار (کیلوگرم)]]</f>
        <v>0</v>
      </c>
      <c r="J2655" s="6">
        <f>IF(Main[[#This Row],[مقدار (کیلوگرم)]]&gt;0,Main[[#This Row],[مقدار (کیلوگرم)]],0)</f>
        <v>0</v>
      </c>
      <c r="K2655" s="6">
        <f>-IF(Main[[#This Row],[مقدار (کیلوگرم)]]&lt;0,Main[[#This Row],[مقدار (کیلوگرم)]],0)</f>
        <v>4724</v>
      </c>
      <c r="L26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4724</v>
      </c>
      <c r="M2655" s="7">
        <f>-IF(AND(Main[[#This Row],[مقدار (کیلوگرم)]]&lt;0,Main[[#This Row],[تاريخ میلادی]]&gt;44276),Main[[#This Row],[مقدار (کیلوگرم)]],0)</f>
        <v>4724</v>
      </c>
      <c r="N2655" s="6">
        <f ca="1">Main[[#This Row],[بدهکار (کیلوگرم)]]-Main[[#This Row],[بدهی تسویه نشده (کیلوگرم)]]</f>
        <v>0</v>
      </c>
      <c r="O2655" s="6">
        <f ca="1">Main[[#This Row],[تفکیک]]</f>
        <v>4724</v>
      </c>
      <c r="P2655" s="6">
        <f ca="1">IF(Main[[#This Row],[تاخیر از سررسید]]&gt;0,Main[[#This Row],[بدهی تسویه نشده (کیلوگرم)]],0)</f>
        <v>4724</v>
      </c>
      <c r="Q2655" s="6">
        <f ca="1">IF(Main[[#This Row],[بدهی تسویه نشده (کیلوگرم)]]&gt;0,'گزارش فردی'!$B$7-Main[[#This Row],[تاريخ میلادی]],0)</f>
        <v>907.75374085648218</v>
      </c>
      <c r="R2655" s="6">
        <f ca="1">IF(Main[[#This Row],[بدهی تسویه نشده (کیلوگرم)]]&gt;0,'گزارش فردی'!$B$7-Main[[#This Row],[تاريخ میلادی]]-'گزارش فردی'!$B$8,0)</f>
        <v>892.75374085648218</v>
      </c>
      <c r="S2655" s="6">
        <f ca="1">Main[[#This Row],[روز از ارسال سفارش]]*Main[[#This Row],[بدهی تسویه نشده (کیلوگرم)]]</f>
        <v>4288228.6718060216</v>
      </c>
      <c r="T2655" s="6">
        <f ca="1">Main[[#This Row],[بدهی سررسید شده (کیلوگرم)]]*Main[[#This Row],[روز از ارسال سفارش]]</f>
        <v>4288228.6718060216</v>
      </c>
      <c r="U2655" s="6">
        <f>-SUBTOTAL(9,INDEX(Main[مقدار (کیلوگرم)],1):Main[[#This Row],[مقدار (کیلوگرم)]])</f>
        <v>39886</v>
      </c>
      <c r="V26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5" s="6">
        <f>Main[[#This Row],[تعداد کل روزهای بدهکار (روز)]]*Main[[#This Row],[مانده در خط کل (کیلوگرم)]]</f>
        <v>39886</v>
      </c>
      <c r="X2655" s="6">
        <f ca="1">-SUBTOTAL(9,INDEX(Main[مقدار تسویه شده (کیلوگرم)],1):Main[[#This Row],[مقدار تسویه شده (کیلوگرم)]])</f>
        <v>2686</v>
      </c>
      <c r="Y2655" s="6">
        <f ca="1">IF(Main[[#This Row],[مانده در خط تسویه شده (کیلوگرم)]]&lt;&gt;0,Main[[#This Row],[تعداد کل روزهای بدهکار (روز)]],0)</f>
        <v>1</v>
      </c>
      <c r="Z2655" s="6">
        <f ca="1">Main[[#This Row],[تعداد روزهای بدهکار تسویه شده (روز)]]*Main[[#This Row],[مانده در خط تسویه شده (کیلوگرم)]]</f>
        <v>2686</v>
      </c>
      <c r="AA2655" s="6">
        <f ca="1">SUBTOTAL(9,INDEX(Main[بدهی تسویه نشده (کیلوگرم)],1):Main[[#This Row],[بدهی تسویه نشده (کیلوگرم)]])</f>
        <v>37200</v>
      </c>
      <c r="AB2655" s="6">
        <f ca="1">IF(Main[[#This Row],[مانده در خط تسویه نشده (کیلوگرم)]]&lt;&gt;0,Main[[#This Row],[تعداد کل روزهای بدهکار (روز)]],0)</f>
        <v>1</v>
      </c>
      <c r="AC2655" s="6">
        <f ca="1">Main[[#This Row],[تعداد روزهای بدهکار  تسویه نشده (روز)]]*Main[[#This Row],[مانده در خط تسویه نشده (کیلوگرم)]]</f>
        <v>37200</v>
      </c>
      <c r="AD2655" s="6">
        <f ca="1">SUBTOTAL(9,INDEX(Main[بدهی سررسید شده (کیلوگرم)],1):Main[[#This Row],[بدهی سررسید شده (کیلوگرم)]])</f>
        <v>37200</v>
      </c>
      <c r="AE2655" s="6">
        <f ca="1">IF(Main[[#This Row],[مانده در خط سررسید شده (کیلوگرم)]]&lt;&gt;0,Main[[#This Row],[تعداد کل روزهای بدهکار (روز)]],0)</f>
        <v>1</v>
      </c>
      <c r="AF2655" s="6">
        <f ca="1">Main[[#This Row],[تعداد روزهای بدهکار سررسید شده (روز)]]*Main[[#This Row],[مانده در خط سررسید شده (کیلوگرم)]]</f>
        <v>37200</v>
      </c>
    </row>
    <row r="2656" spans="1:32" hidden="1" x14ac:dyDescent="0.35">
      <c r="A2656" s="5">
        <f>ROW()-ROW(INDEX(Main[ردیف],1))+1</f>
        <v>2654</v>
      </c>
      <c r="B2656" s="31">
        <f>SUBTOTAL(2,INDEX(Main[ردیف],1):Main[[#This Row],[ردیف]])</f>
        <v>237</v>
      </c>
      <c r="C2656" s="32" t="s">
        <v>824</v>
      </c>
      <c r="D2656" s="32" t="str">
        <f>_xlfn.CONCAT("14",Main[[#This Row],[تاريخ]])</f>
        <v>1400/10/05</v>
      </c>
      <c r="E2656" s="33">
        <v>44556</v>
      </c>
      <c r="F2656" s="32">
        <v>30003</v>
      </c>
      <c r="G2656" s="5" t="str">
        <f>INDEX(customer[عنوان],MATCH(Main[[#This Row],[کد ردیابی]],customer[کد],0))</f>
        <v xml:space="preserve">شهاب گاز سوز </v>
      </c>
      <c r="H2656">
        <v>289</v>
      </c>
      <c r="I2656" s="6">
        <f ca="1">-Main[[#This Row],[بدهی تسویه شده (کیلوگرم)]]+Main[[#This Row],[بستانکار (کیلوگرم)]]</f>
        <v>289</v>
      </c>
      <c r="J2656" s="6">
        <f>IF(Main[[#This Row],[مقدار (کیلوگرم)]]&gt;0,Main[[#This Row],[مقدار (کیلوگرم)]],0)</f>
        <v>289</v>
      </c>
      <c r="K2656" s="6">
        <f>-IF(Main[[#This Row],[مقدار (کیلوگرم)]]&lt;0,Main[[#This Row],[مقدار (کیلوگرم)]],0)</f>
        <v>0</v>
      </c>
      <c r="L26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6" s="7">
        <f>-IF(AND(Main[[#This Row],[مقدار (کیلوگرم)]]&lt;0,Main[[#This Row],[تاريخ میلادی]]&gt;44276),Main[[#This Row],[مقدار (کیلوگرم)]],0)</f>
        <v>0</v>
      </c>
      <c r="N2656" s="6">
        <f ca="1">Main[[#This Row],[بدهکار (کیلوگرم)]]-Main[[#This Row],[بدهی تسویه نشده (کیلوگرم)]]</f>
        <v>0</v>
      </c>
      <c r="O2656" s="6">
        <f ca="1">Main[[#This Row],[تفکیک]]</f>
        <v>0</v>
      </c>
      <c r="P2656" s="6">
        <f ca="1">IF(Main[[#This Row],[تاخیر از سررسید]]&gt;0,Main[[#This Row],[بدهی تسویه نشده (کیلوگرم)]],0)</f>
        <v>0</v>
      </c>
      <c r="Q2656" s="6">
        <f ca="1">IF(Main[[#This Row],[بدهی تسویه نشده (کیلوگرم)]]&gt;0,'گزارش فردی'!$B$7-Main[[#This Row],[تاريخ میلادی]],0)</f>
        <v>0</v>
      </c>
      <c r="R2656" s="6">
        <f ca="1">IF(Main[[#This Row],[بدهی تسویه نشده (کیلوگرم)]]&gt;0,'گزارش فردی'!$B$7-Main[[#This Row],[تاريخ میلادی]]-'گزارش فردی'!$B$8,0)</f>
        <v>0</v>
      </c>
      <c r="S2656" s="6">
        <f ca="1">Main[[#This Row],[روز از ارسال سفارش]]*Main[[#This Row],[بدهی تسویه نشده (کیلوگرم)]]</f>
        <v>0</v>
      </c>
      <c r="T2656" s="6">
        <f ca="1">Main[[#This Row],[بدهی سررسید شده (کیلوگرم)]]*Main[[#This Row],[روز از ارسال سفارش]]</f>
        <v>0</v>
      </c>
      <c r="U2656" s="6">
        <f>-SUBTOTAL(9,INDEX(Main[مقدار (کیلوگرم)],1):Main[[#This Row],[مقدار (کیلوگرم)]])</f>
        <v>39886</v>
      </c>
      <c r="V26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56" s="6">
        <f>Main[[#This Row],[تعداد کل روزهای بدهکار (روز)]]*Main[[#This Row],[مانده در خط کل (کیلوگرم)]]</f>
        <v>0</v>
      </c>
      <c r="X2656" s="6">
        <f ca="1">-SUBTOTAL(9,INDEX(Main[مقدار تسویه شده (کیلوگرم)],1):Main[[#This Row],[مقدار تسویه شده (کیلوگرم)]])</f>
        <v>2686</v>
      </c>
      <c r="Y2656" s="6">
        <f ca="1">IF(Main[[#This Row],[مانده در خط تسویه شده (کیلوگرم)]]&lt;&gt;0,Main[[#This Row],[تعداد کل روزهای بدهکار (روز)]],0)</f>
        <v>0</v>
      </c>
      <c r="Z2656" s="6">
        <f ca="1">Main[[#This Row],[تعداد روزهای بدهکار تسویه شده (روز)]]*Main[[#This Row],[مانده در خط تسویه شده (کیلوگرم)]]</f>
        <v>0</v>
      </c>
      <c r="AA2656" s="6">
        <f ca="1">SUBTOTAL(9,INDEX(Main[بدهی تسویه نشده (کیلوگرم)],1):Main[[#This Row],[بدهی تسویه نشده (کیلوگرم)]])</f>
        <v>37200</v>
      </c>
      <c r="AB2656" s="6">
        <f ca="1">IF(Main[[#This Row],[مانده در خط تسویه نشده (کیلوگرم)]]&lt;&gt;0,Main[[#This Row],[تعداد کل روزهای بدهکار (روز)]],0)</f>
        <v>0</v>
      </c>
      <c r="AC2656" s="6">
        <f ca="1">Main[[#This Row],[تعداد روزهای بدهکار  تسویه نشده (روز)]]*Main[[#This Row],[مانده در خط تسویه نشده (کیلوگرم)]]</f>
        <v>0</v>
      </c>
      <c r="AD2656" s="6">
        <f ca="1">SUBTOTAL(9,INDEX(Main[بدهی سررسید شده (کیلوگرم)],1):Main[[#This Row],[بدهی سررسید شده (کیلوگرم)]])</f>
        <v>37200</v>
      </c>
      <c r="AE2656" s="6">
        <f ca="1">IF(Main[[#This Row],[مانده در خط سررسید شده (کیلوگرم)]]&lt;&gt;0,Main[[#This Row],[تعداد کل روزهای بدهکار (روز)]],0)</f>
        <v>0</v>
      </c>
      <c r="AF2656" s="6">
        <f ca="1">Main[[#This Row],[تعداد روزهای بدهکار سررسید شده (روز)]]*Main[[#This Row],[مانده در خط سررسید شده (کیلوگرم)]]</f>
        <v>0</v>
      </c>
    </row>
    <row r="2657" spans="1:32" hidden="1" x14ac:dyDescent="0.35">
      <c r="A2657" s="5">
        <f>ROW()-ROW(INDEX(Main[ردیف],1))+1</f>
        <v>2655</v>
      </c>
      <c r="B2657" s="31">
        <f>SUBTOTAL(2,INDEX(Main[ردیف],1):Main[[#This Row],[ردیف]])</f>
        <v>237</v>
      </c>
      <c r="C2657" s="32" t="s">
        <v>824</v>
      </c>
      <c r="D2657" s="32" t="str">
        <f>_xlfn.CONCAT("14",Main[[#This Row],[تاريخ]])</f>
        <v>1400/10/05</v>
      </c>
      <c r="E2657" s="33">
        <v>44556</v>
      </c>
      <c r="F2657" s="32">
        <v>10119</v>
      </c>
      <c r="G2657" s="5" t="str">
        <f>INDEX(customer[عنوان],MATCH(Main[[#This Row],[کد ردیابی]],customer[کد],0))</f>
        <v>سیف الله اکبری</v>
      </c>
      <c r="H2657">
        <v>104</v>
      </c>
      <c r="I2657" s="6">
        <f ca="1">-Main[[#This Row],[بدهی تسویه شده (کیلوگرم)]]+Main[[#This Row],[بستانکار (کیلوگرم)]]</f>
        <v>104</v>
      </c>
      <c r="J2657" s="6">
        <f>IF(Main[[#This Row],[مقدار (کیلوگرم)]]&gt;0,Main[[#This Row],[مقدار (کیلوگرم)]],0)</f>
        <v>104</v>
      </c>
      <c r="K2657" s="6">
        <f>-IF(Main[[#This Row],[مقدار (کیلوگرم)]]&lt;0,Main[[#This Row],[مقدار (کیلوگرم)]],0)</f>
        <v>0</v>
      </c>
      <c r="L26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7" s="7">
        <f>-IF(AND(Main[[#This Row],[مقدار (کیلوگرم)]]&lt;0,Main[[#This Row],[تاريخ میلادی]]&gt;44276),Main[[#This Row],[مقدار (کیلوگرم)]],0)</f>
        <v>0</v>
      </c>
      <c r="N2657" s="6">
        <f ca="1">Main[[#This Row],[بدهکار (کیلوگرم)]]-Main[[#This Row],[بدهی تسویه نشده (کیلوگرم)]]</f>
        <v>0</v>
      </c>
      <c r="O2657" s="6">
        <f ca="1">Main[[#This Row],[تفکیک]]</f>
        <v>0</v>
      </c>
      <c r="P2657" s="6">
        <f ca="1">IF(Main[[#This Row],[تاخیر از سررسید]]&gt;0,Main[[#This Row],[بدهی تسویه نشده (کیلوگرم)]],0)</f>
        <v>0</v>
      </c>
      <c r="Q2657" s="6">
        <f ca="1">IF(Main[[#This Row],[بدهی تسویه نشده (کیلوگرم)]]&gt;0,'گزارش فردی'!$B$7-Main[[#This Row],[تاريخ میلادی]],0)</f>
        <v>0</v>
      </c>
      <c r="R2657" s="6">
        <f ca="1">IF(Main[[#This Row],[بدهی تسویه نشده (کیلوگرم)]]&gt;0,'گزارش فردی'!$B$7-Main[[#This Row],[تاريخ میلادی]]-'گزارش فردی'!$B$8,0)</f>
        <v>0</v>
      </c>
      <c r="S2657" s="6">
        <f ca="1">Main[[#This Row],[روز از ارسال سفارش]]*Main[[#This Row],[بدهی تسویه نشده (کیلوگرم)]]</f>
        <v>0</v>
      </c>
      <c r="T2657" s="6">
        <f ca="1">Main[[#This Row],[بدهی سررسید شده (کیلوگرم)]]*Main[[#This Row],[روز از ارسال سفارش]]</f>
        <v>0</v>
      </c>
      <c r="U2657" s="6">
        <f>-SUBTOTAL(9,INDEX(Main[مقدار (کیلوگرم)],1):Main[[#This Row],[مقدار (کیلوگرم)]])</f>
        <v>39886</v>
      </c>
      <c r="V26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57" s="6">
        <f>Main[[#This Row],[تعداد کل روزهای بدهکار (روز)]]*Main[[#This Row],[مانده در خط کل (کیلوگرم)]]</f>
        <v>0</v>
      </c>
      <c r="X2657" s="6">
        <f ca="1">-SUBTOTAL(9,INDEX(Main[مقدار تسویه شده (کیلوگرم)],1):Main[[#This Row],[مقدار تسویه شده (کیلوگرم)]])</f>
        <v>2686</v>
      </c>
      <c r="Y2657" s="6">
        <f ca="1">IF(Main[[#This Row],[مانده در خط تسویه شده (کیلوگرم)]]&lt;&gt;0,Main[[#This Row],[تعداد کل روزهای بدهکار (روز)]],0)</f>
        <v>0</v>
      </c>
      <c r="Z2657" s="6">
        <f ca="1">Main[[#This Row],[تعداد روزهای بدهکار تسویه شده (روز)]]*Main[[#This Row],[مانده در خط تسویه شده (کیلوگرم)]]</f>
        <v>0</v>
      </c>
      <c r="AA2657" s="6">
        <f ca="1">SUBTOTAL(9,INDEX(Main[بدهی تسویه نشده (کیلوگرم)],1):Main[[#This Row],[بدهی تسویه نشده (کیلوگرم)]])</f>
        <v>37200</v>
      </c>
      <c r="AB2657" s="6">
        <f ca="1">IF(Main[[#This Row],[مانده در خط تسویه نشده (کیلوگرم)]]&lt;&gt;0,Main[[#This Row],[تعداد کل روزهای بدهکار (روز)]],0)</f>
        <v>0</v>
      </c>
      <c r="AC2657" s="6">
        <f ca="1">Main[[#This Row],[تعداد روزهای بدهکار  تسویه نشده (روز)]]*Main[[#This Row],[مانده در خط تسویه نشده (کیلوگرم)]]</f>
        <v>0</v>
      </c>
      <c r="AD2657" s="6">
        <f ca="1">SUBTOTAL(9,INDEX(Main[بدهی سررسید شده (کیلوگرم)],1):Main[[#This Row],[بدهی سررسید شده (کیلوگرم)]])</f>
        <v>37200</v>
      </c>
      <c r="AE2657" s="6">
        <f ca="1">IF(Main[[#This Row],[مانده در خط سررسید شده (کیلوگرم)]]&lt;&gt;0,Main[[#This Row],[تعداد کل روزهای بدهکار (روز)]],0)</f>
        <v>0</v>
      </c>
      <c r="AF2657" s="6">
        <f ca="1">Main[[#This Row],[تعداد روزهای بدهکار سررسید شده (روز)]]*Main[[#This Row],[مانده در خط سررسید شده (کیلوگرم)]]</f>
        <v>0</v>
      </c>
    </row>
    <row r="2658" spans="1:32" hidden="1" x14ac:dyDescent="0.35">
      <c r="A2658" s="5">
        <f>ROW()-ROW(INDEX(Main[ردیف],1))+1</f>
        <v>2656</v>
      </c>
      <c r="B2658" s="31">
        <f>SUBTOTAL(2,INDEX(Main[ردیف],1):Main[[#This Row],[ردیف]])</f>
        <v>237</v>
      </c>
      <c r="C2658" s="32" t="s">
        <v>824</v>
      </c>
      <c r="D2658" s="32" t="str">
        <f>_xlfn.CONCAT("14",Main[[#This Row],[تاريخ]])</f>
        <v>1400/10/05</v>
      </c>
      <c r="E2658" s="33">
        <v>44556</v>
      </c>
      <c r="F2658" s="32">
        <v>10069</v>
      </c>
      <c r="G2658" s="5" t="str">
        <f>INDEX(customer[عنوان],MATCH(Main[[#This Row],[کد ردیابی]],customer[کد],0))</f>
        <v xml:space="preserve">جواد عرب </v>
      </c>
      <c r="H2658">
        <v>1580</v>
      </c>
      <c r="I2658" s="6">
        <f ca="1">-Main[[#This Row],[بدهی تسویه شده (کیلوگرم)]]+Main[[#This Row],[بستانکار (کیلوگرم)]]</f>
        <v>1580</v>
      </c>
      <c r="J2658" s="6">
        <f>IF(Main[[#This Row],[مقدار (کیلوگرم)]]&gt;0,Main[[#This Row],[مقدار (کیلوگرم)]],0)</f>
        <v>1580</v>
      </c>
      <c r="K2658" s="6">
        <f>-IF(Main[[#This Row],[مقدار (کیلوگرم)]]&lt;0,Main[[#This Row],[مقدار (کیلوگرم)]],0)</f>
        <v>0</v>
      </c>
      <c r="L26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8" s="7">
        <f>-IF(AND(Main[[#This Row],[مقدار (کیلوگرم)]]&lt;0,Main[[#This Row],[تاريخ میلادی]]&gt;44276),Main[[#This Row],[مقدار (کیلوگرم)]],0)</f>
        <v>0</v>
      </c>
      <c r="N2658" s="6">
        <f ca="1">Main[[#This Row],[بدهکار (کیلوگرم)]]-Main[[#This Row],[بدهی تسویه نشده (کیلوگرم)]]</f>
        <v>0</v>
      </c>
      <c r="O2658" s="6">
        <f ca="1">Main[[#This Row],[تفکیک]]</f>
        <v>0</v>
      </c>
      <c r="P2658" s="6">
        <f ca="1">IF(Main[[#This Row],[تاخیر از سررسید]]&gt;0,Main[[#This Row],[بدهی تسویه نشده (کیلوگرم)]],0)</f>
        <v>0</v>
      </c>
      <c r="Q2658" s="6">
        <f ca="1">IF(Main[[#This Row],[بدهی تسویه نشده (کیلوگرم)]]&gt;0,'گزارش فردی'!$B$7-Main[[#This Row],[تاريخ میلادی]],0)</f>
        <v>0</v>
      </c>
      <c r="R2658" s="6">
        <f ca="1">IF(Main[[#This Row],[بدهی تسویه نشده (کیلوگرم)]]&gt;0,'گزارش فردی'!$B$7-Main[[#This Row],[تاريخ میلادی]]-'گزارش فردی'!$B$8,0)</f>
        <v>0</v>
      </c>
      <c r="S2658" s="6">
        <f ca="1">Main[[#This Row],[روز از ارسال سفارش]]*Main[[#This Row],[بدهی تسویه نشده (کیلوگرم)]]</f>
        <v>0</v>
      </c>
      <c r="T2658" s="6">
        <f ca="1">Main[[#This Row],[بدهی سررسید شده (کیلوگرم)]]*Main[[#This Row],[روز از ارسال سفارش]]</f>
        <v>0</v>
      </c>
      <c r="U2658" s="6">
        <f>-SUBTOTAL(9,INDEX(Main[مقدار (کیلوگرم)],1):Main[[#This Row],[مقدار (کیلوگرم)]])</f>
        <v>39886</v>
      </c>
      <c r="V26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58" s="6">
        <f>Main[[#This Row],[تعداد کل روزهای بدهکار (روز)]]*Main[[#This Row],[مانده در خط کل (کیلوگرم)]]</f>
        <v>0</v>
      </c>
      <c r="X2658" s="6">
        <f ca="1">-SUBTOTAL(9,INDEX(Main[مقدار تسویه شده (کیلوگرم)],1):Main[[#This Row],[مقدار تسویه شده (کیلوگرم)]])</f>
        <v>2686</v>
      </c>
      <c r="Y2658" s="6">
        <f ca="1">IF(Main[[#This Row],[مانده در خط تسویه شده (کیلوگرم)]]&lt;&gt;0,Main[[#This Row],[تعداد کل روزهای بدهکار (روز)]],0)</f>
        <v>0</v>
      </c>
      <c r="Z2658" s="6">
        <f ca="1">Main[[#This Row],[تعداد روزهای بدهکار تسویه شده (روز)]]*Main[[#This Row],[مانده در خط تسویه شده (کیلوگرم)]]</f>
        <v>0</v>
      </c>
      <c r="AA2658" s="6">
        <f ca="1">SUBTOTAL(9,INDEX(Main[بدهی تسویه نشده (کیلوگرم)],1):Main[[#This Row],[بدهی تسویه نشده (کیلوگرم)]])</f>
        <v>37200</v>
      </c>
      <c r="AB2658" s="6">
        <f ca="1">IF(Main[[#This Row],[مانده در خط تسویه نشده (کیلوگرم)]]&lt;&gt;0,Main[[#This Row],[تعداد کل روزهای بدهکار (روز)]],0)</f>
        <v>0</v>
      </c>
      <c r="AC2658" s="6">
        <f ca="1">Main[[#This Row],[تعداد روزهای بدهکار  تسویه نشده (روز)]]*Main[[#This Row],[مانده در خط تسویه نشده (کیلوگرم)]]</f>
        <v>0</v>
      </c>
      <c r="AD2658" s="6">
        <f ca="1">SUBTOTAL(9,INDEX(Main[بدهی سررسید شده (کیلوگرم)],1):Main[[#This Row],[بدهی سررسید شده (کیلوگرم)]])</f>
        <v>37200</v>
      </c>
      <c r="AE2658" s="6">
        <f ca="1">IF(Main[[#This Row],[مانده در خط سررسید شده (کیلوگرم)]]&lt;&gt;0,Main[[#This Row],[تعداد کل روزهای بدهکار (روز)]],0)</f>
        <v>0</v>
      </c>
      <c r="AF2658" s="6">
        <f ca="1">Main[[#This Row],[تعداد روزهای بدهکار سررسید شده (روز)]]*Main[[#This Row],[مانده در خط سررسید شده (کیلوگرم)]]</f>
        <v>0</v>
      </c>
    </row>
    <row r="2659" spans="1:32" x14ac:dyDescent="0.35">
      <c r="A2659" s="5">
        <f>ROW()-ROW(INDEX(Main[ردیف],1))+1</f>
        <v>2657</v>
      </c>
      <c r="B2659" s="31">
        <f>SUBTOTAL(2,INDEX(Main[ردیف],1):Main[[#This Row],[ردیف]])</f>
        <v>238</v>
      </c>
      <c r="C2659" s="32" t="s">
        <v>824</v>
      </c>
      <c r="D2659" s="32" t="str">
        <f>_xlfn.CONCAT("14",Main[[#This Row],[تاريخ]])</f>
        <v>1400/10/05</v>
      </c>
      <c r="E2659" s="33">
        <v>44556</v>
      </c>
      <c r="F2659" s="32">
        <v>10003</v>
      </c>
      <c r="G2659" s="5" t="str">
        <f>INDEX(customer[عنوان],MATCH(Main[[#This Row],[کد ردیابی]],customer[کد],0))</f>
        <v>اصغر نورعلی</v>
      </c>
      <c r="H2659">
        <v>2686</v>
      </c>
      <c r="I2659" s="6">
        <f ca="1">-Main[[#This Row],[بدهی تسویه شده (کیلوگرم)]]+Main[[#This Row],[بستانکار (کیلوگرم)]]</f>
        <v>2686</v>
      </c>
      <c r="J2659" s="6">
        <f>IF(Main[[#This Row],[مقدار (کیلوگرم)]]&gt;0,Main[[#This Row],[مقدار (کیلوگرم)]],0)</f>
        <v>2686</v>
      </c>
      <c r="K2659" s="6">
        <f>-IF(Main[[#This Row],[مقدار (کیلوگرم)]]&lt;0,Main[[#This Row],[مقدار (کیلوگرم)]],0)</f>
        <v>0</v>
      </c>
      <c r="L26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9" s="7">
        <f>-IF(AND(Main[[#This Row],[مقدار (کیلوگرم)]]&lt;0,Main[[#This Row],[تاريخ میلادی]]&gt;44276),Main[[#This Row],[مقدار (کیلوگرم)]],0)</f>
        <v>0</v>
      </c>
      <c r="N2659" s="6">
        <f ca="1">Main[[#This Row],[بدهکار (کیلوگرم)]]-Main[[#This Row],[بدهی تسویه نشده (کیلوگرم)]]</f>
        <v>0</v>
      </c>
      <c r="O2659" s="6">
        <f ca="1">Main[[#This Row],[تفکیک]]</f>
        <v>0</v>
      </c>
      <c r="P2659" s="6">
        <f ca="1">IF(Main[[#This Row],[تاخیر از سررسید]]&gt;0,Main[[#This Row],[بدهی تسویه نشده (کیلوگرم)]],0)</f>
        <v>0</v>
      </c>
      <c r="Q2659" s="6">
        <f ca="1">IF(Main[[#This Row],[بدهی تسویه نشده (کیلوگرم)]]&gt;0,'گزارش فردی'!$B$7-Main[[#This Row],[تاريخ میلادی]],0)</f>
        <v>0</v>
      </c>
      <c r="R2659" s="6">
        <f ca="1">IF(Main[[#This Row],[بدهی تسویه نشده (کیلوگرم)]]&gt;0,'گزارش فردی'!$B$7-Main[[#This Row],[تاريخ میلادی]]-'گزارش فردی'!$B$8,0)</f>
        <v>0</v>
      </c>
      <c r="S2659" s="6">
        <f ca="1">Main[[#This Row],[روز از ارسال سفارش]]*Main[[#This Row],[بدهی تسویه نشده (کیلوگرم)]]</f>
        <v>0</v>
      </c>
      <c r="T2659" s="6">
        <f ca="1">Main[[#This Row],[بدهی سررسید شده (کیلوگرم)]]*Main[[#This Row],[روز از ارسال سفارش]]</f>
        <v>0</v>
      </c>
      <c r="U2659" s="6">
        <f>-SUBTOTAL(9,INDEX(Main[مقدار (کیلوگرم)],1):Main[[#This Row],[مقدار (کیلوگرم)]])</f>
        <v>37200</v>
      </c>
      <c r="V2659" s="6">
        <f ca="1">IFERROR(INDEX(Main[تاريخ میلادی],MATCH(Main[[#This Row],[شمارش]]+1,Main[شمارش],0))-Main[[#This Row],[تاريخ میلادی]],'گزارش فردی'!$B$7-Main[[#This Row],[تاريخ میلادی]])</f>
        <v>906.75374085648218</v>
      </c>
      <c r="W2659" s="6">
        <f ca="1">Main[[#This Row],[تعداد کل روزهای بدهکار (روز)]]*Main[[#This Row],[مانده در خط کل (کیلوگرم)]]</f>
        <v>33731239.15986114</v>
      </c>
      <c r="X2659" s="6">
        <f ca="1">-SUBTOTAL(9,INDEX(Main[مقدار تسویه شده (کیلوگرم)],1):Main[[#This Row],[مقدار تسویه شده (کیلوگرم)]])</f>
        <v>0</v>
      </c>
      <c r="Y2659" s="6">
        <f ca="1">IF(Main[[#This Row],[مانده در خط تسویه شده (کیلوگرم)]]&lt;&gt;0,Main[[#This Row],[تعداد کل روزهای بدهکار (روز)]],0)</f>
        <v>0</v>
      </c>
      <c r="Z2659" s="6">
        <f ca="1">Main[[#This Row],[تعداد روزهای بدهکار تسویه شده (روز)]]*Main[[#This Row],[مانده در خط تسویه شده (کیلوگرم)]]</f>
        <v>0</v>
      </c>
      <c r="AA2659" s="6">
        <f ca="1">SUBTOTAL(9,INDEX(Main[بدهی تسویه نشده (کیلوگرم)],1):Main[[#This Row],[بدهی تسویه نشده (کیلوگرم)]])</f>
        <v>37200</v>
      </c>
      <c r="AB2659" s="6">
        <f ca="1">IF(Main[[#This Row],[مانده در خط تسویه نشده (کیلوگرم)]]&lt;&gt;0,Main[[#This Row],[تعداد کل روزهای بدهکار (روز)]],0)</f>
        <v>906.75374085648218</v>
      </c>
      <c r="AC2659" s="6">
        <f ca="1">Main[[#This Row],[تعداد روزهای بدهکار  تسویه نشده (روز)]]*Main[[#This Row],[مانده در خط تسویه نشده (کیلوگرم)]]</f>
        <v>33731239.15986114</v>
      </c>
      <c r="AD2659" s="6">
        <f ca="1">SUBTOTAL(9,INDEX(Main[بدهی سررسید شده (کیلوگرم)],1):Main[[#This Row],[بدهی سررسید شده (کیلوگرم)]])</f>
        <v>37200</v>
      </c>
      <c r="AE2659" s="6">
        <f ca="1">IF(Main[[#This Row],[مانده در خط سررسید شده (کیلوگرم)]]&lt;&gt;0,Main[[#This Row],[تعداد کل روزهای بدهکار (روز)]],0)</f>
        <v>906.75374085648218</v>
      </c>
      <c r="AF2659" s="6">
        <f ca="1">Main[[#This Row],[تعداد روزهای بدهکار سررسید شده (روز)]]*Main[[#This Row],[مانده در خط سررسید شده (کیلوگرم)]]</f>
        <v>33731239.15986114</v>
      </c>
    </row>
    <row r="2660" spans="1:32" x14ac:dyDescent="0.35">
      <c r="A2660" s="29"/>
      <c r="B2660" s="34"/>
      <c r="G2660" s="29"/>
      <c r="H2660" s="10">
        <f>SUBTOTAL(109,Main[مقدار (کیلوگرم)])</f>
        <v>-37200</v>
      </c>
      <c r="I2660" s="6">
        <f ca="1">SUBTOTAL(109,Main[مقدار تسویه شده (کیلوگرم)])</f>
        <v>0</v>
      </c>
      <c r="J2660" s="6">
        <f>SUBTOTAL(109,Main[بستانکار (کیلوگرم)])</f>
        <v>336434</v>
      </c>
      <c r="K2660" s="6">
        <f>SUBTOTAL(109,Main[بدهکار (کیلوگرم)])</f>
        <v>373634</v>
      </c>
      <c r="L2660" s="29"/>
      <c r="M2660" s="7">
        <f>SUBTOTAL(109,Main[سفارش ارسال شده (کیلوگرم)])</f>
        <v>355087</v>
      </c>
      <c r="N2660" s="6">
        <f ca="1">SUBTOTAL(109,Main[بدهی تسویه شده (کیلوگرم)])</f>
        <v>336434</v>
      </c>
      <c r="O2660" s="6">
        <f ca="1">SUBTOTAL(109,Main[بدهی تسویه نشده (کیلوگرم)])</f>
        <v>37200</v>
      </c>
      <c r="P2660" s="6">
        <f ca="1">SUBTOTAL(109,Main[بدهی سررسید شده (کیلوگرم)])</f>
        <v>37200</v>
      </c>
      <c r="Q2660" s="29"/>
      <c r="R2660" s="29"/>
      <c r="S2660" s="6">
        <f ca="1">SUBTOTAL(109,Main[تسویه نشده × روز از ارسال])</f>
        <v>34292053.15986114</v>
      </c>
      <c r="T2660" s="6">
        <f ca="1">SUBTOTAL(109,Main[سررسید شده × روز از ارسال])</f>
        <v>34292053.15986114</v>
      </c>
      <c r="U2660" s="6"/>
      <c r="V2660" s="6">
        <f ca="1">SUBTOTAL(109,Main[تعداد کل روزهای بدهکار (روز)])</f>
        <v>1186.7537408564822</v>
      </c>
      <c r="W2660" s="6">
        <f ca="1">SUBTOTAL(109,Main[مانده در خط کل × وزن])</f>
        <v>42545392.15986114</v>
      </c>
      <c r="X2660" s="29"/>
      <c r="Y2660" s="6">
        <f ca="1">SUBTOTAL(109,Main[تعداد روزهای بدهکار تسویه شده (روز)])</f>
        <v>280</v>
      </c>
      <c r="Z2660" s="6">
        <f ca="1">SUBTOTAL(109,Main[مانده در خط تسویه شده × وزن])</f>
        <v>8253339</v>
      </c>
      <c r="AA2660" s="29"/>
      <c r="AB2660" s="6">
        <f ca="1">SUBTOTAL(109,Main[تعداد روزهای بدهکار  تسویه نشده (روز)])</f>
        <v>935.75374085648218</v>
      </c>
      <c r="AC2660" s="6">
        <f ca="1">SUBTOTAL(109,Main[مانده در خط تسویه نشده × وزن])</f>
        <v>34292053.15986114</v>
      </c>
      <c r="AD2660" s="29"/>
      <c r="AE2660" s="6">
        <f ca="1">SUBTOTAL(109,Main[تعداد روزهای بدهکار سررسید شده (روز)])</f>
        <v>935.75374085648218</v>
      </c>
      <c r="AF2660" s="6">
        <f ca="1">SUBTOTAL(109,Main[مانده در خط سررسید شده × وزن])</f>
        <v>34292053.15986114</v>
      </c>
    </row>
  </sheetData>
  <phoneticPr fontId="1" type="noConversion"/>
  <conditionalFormatting sqref="A3:B2659 I3:AF2659 G3:G2659">
    <cfRule type="cellIs" dxfId="141" priority="2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16DDF-1294-4D1A-9DFF-5D594083CB16}">
  <sheetPr codeName="IndReport"/>
  <dimension ref="A1:X389"/>
  <sheetViews>
    <sheetView rightToLeft="1" tabSelected="1" zoomScale="96" workbookViewId="0">
      <selection activeCell="H5" sqref="H5"/>
    </sheetView>
  </sheetViews>
  <sheetFormatPr defaultRowHeight="14.5" x14ac:dyDescent="0.35"/>
  <cols>
    <col min="1" max="1" width="27.453125" customWidth="1"/>
    <col min="2" max="2" width="10.81640625" bestFit="1" customWidth="1"/>
    <col min="3" max="3" width="10.08984375" customWidth="1"/>
    <col min="4" max="4" width="2.7265625" customWidth="1"/>
    <col min="5" max="5" width="17.7265625" customWidth="1"/>
    <col min="6" max="6" width="15.90625" customWidth="1"/>
    <col min="7" max="7" width="12.08984375" customWidth="1"/>
    <col min="8" max="8" width="19" customWidth="1"/>
    <col min="9" max="9" width="15.6328125" customWidth="1"/>
    <col min="10" max="10" width="15.90625" customWidth="1"/>
    <col min="11" max="11" width="2.90625" customWidth="1"/>
    <col min="12" max="12" width="8.7265625" customWidth="1"/>
    <col min="14" max="24" width="10.90625" customWidth="1"/>
  </cols>
  <sheetData>
    <row r="1" spans="1:24" x14ac:dyDescent="0.35">
      <c r="N1" s="22" t="s">
        <v>428</v>
      </c>
      <c r="O1" s="22" t="s">
        <v>427</v>
      </c>
    </row>
    <row r="2" spans="1:24" x14ac:dyDescent="0.35">
      <c r="N2" s="23" t="str">
        <f>INDEX(Main[نام مشتری],MATCH(1,Main[شمارش],0))</f>
        <v>اصغر نورعلی</v>
      </c>
      <c r="O2" s="24">
        <f>INDEX(Main[کد ردیابی],MATCH(1,Main[شمارش],0))</f>
        <v>10003</v>
      </c>
    </row>
    <row r="3" spans="1:24" s="1" customFormat="1" ht="43.5" x14ac:dyDescent="0.35">
      <c r="A3" s="1" t="s">
        <v>1</v>
      </c>
      <c r="B3" s="1" t="s">
        <v>2</v>
      </c>
      <c r="E3" s="1" t="s">
        <v>1</v>
      </c>
      <c r="F3" s="1" t="s">
        <v>31</v>
      </c>
      <c r="G3" s="1" t="s">
        <v>28</v>
      </c>
      <c r="H3" s="1" t="s">
        <v>30</v>
      </c>
      <c r="I3" s="1" t="s">
        <v>29</v>
      </c>
      <c r="J3" s="1" t="s">
        <v>32</v>
      </c>
      <c r="N3" s="1" t="s">
        <v>429</v>
      </c>
      <c r="O3" s="1" t="s">
        <v>428</v>
      </c>
      <c r="P3" s="1" t="s">
        <v>437</v>
      </c>
      <c r="Q3" s="1" t="s">
        <v>30</v>
      </c>
      <c r="R3" s="1" t="s">
        <v>430</v>
      </c>
      <c r="S3" s="1" t="s">
        <v>431</v>
      </c>
      <c r="T3" s="1" t="s">
        <v>432</v>
      </c>
      <c r="U3" s="1" t="s">
        <v>433</v>
      </c>
      <c r="V3" s="1" t="s">
        <v>434</v>
      </c>
      <c r="W3" s="1" t="s">
        <v>436</v>
      </c>
      <c r="X3" s="1" t="s">
        <v>435</v>
      </c>
    </row>
    <row r="4" spans="1:24" x14ac:dyDescent="0.35">
      <c r="A4" s="3" t="s">
        <v>7</v>
      </c>
      <c r="B4" s="2">
        <f>SUBTOTAL(5,Main[تاريخ میلادی])</f>
        <v>44276</v>
      </c>
      <c r="C4" s="2"/>
      <c r="E4" s="15" t="s">
        <v>37</v>
      </c>
      <c r="F4" s="25">
        <f>Main[[#Totals],[بدهکار (کیلوگرم)]]</f>
        <v>373634</v>
      </c>
      <c r="G4" s="25">
        <f ca="1">Main[[#Totals],[تعداد کل روزهای بدهکار (روز)]]</f>
        <v>1186.7537408564822</v>
      </c>
      <c r="H4" s="25">
        <f ca="1">IFERROR(Main[[#Totals],[مانده در خط کل × وزن]]/Main[[#Totals],[تعداد کل روزهای بدهکار (روز)]],"راکد")</f>
        <v>35850.227974976558</v>
      </c>
      <c r="I4" s="25">
        <f ca="1">IFERROR(Main[[#Totals],[مانده در خط کل × وزن]]/Main[[#Totals],[بدهکار (کیلوگرم)]],"راکد")</f>
        <v>113.86916651017076</v>
      </c>
      <c r="J4" s="25">
        <f ca="1">IFERROR(Main[[#Totals],[بدهکار (کیلوگرم)]]/Main[[#Totals],[تعداد کل روزهای بدهکار (روز)]],"راکد")</f>
        <v>314.83701052448146</v>
      </c>
      <c r="N4" s="26">
        <f>O2</f>
        <v>10003</v>
      </c>
      <c r="O4" t="str">
        <f>N2</f>
        <v>اصغر نورعلی</v>
      </c>
      <c r="P4" s="10">
        <f>-Main[[#Totals],[مقدار (کیلوگرم)]]</f>
        <v>37200</v>
      </c>
      <c r="Q4" s="10">
        <f ca="1">H5</f>
        <v>29476.210714285713</v>
      </c>
      <c r="R4" s="10">
        <f ca="1">I5</f>
        <v>24.531821991831979</v>
      </c>
      <c r="S4" s="10">
        <f ca="1">F6</f>
        <v>37200</v>
      </c>
      <c r="T4" s="10">
        <f ca="1">G6</f>
        <v>935.75374085648218</v>
      </c>
      <c r="U4" s="10">
        <f ca="1">I6</f>
        <v>921.82938601777255</v>
      </c>
      <c r="V4" s="10">
        <f ca="1">F7</f>
        <v>37200</v>
      </c>
      <c r="W4" s="10">
        <f ca="1">G7</f>
        <v>935.75374085648218</v>
      </c>
      <c r="X4" s="10">
        <f ca="1">I7</f>
        <v>921.82938601777255</v>
      </c>
    </row>
    <row r="5" spans="1:24" x14ac:dyDescent="0.35">
      <c r="A5" s="3" t="s">
        <v>12</v>
      </c>
      <c r="B5" s="2">
        <f>SUBTOTAL(5,Main[تاريخ میلادی])</f>
        <v>44276</v>
      </c>
      <c r="C5" s="2"/>
      <c r="E5" t="s">
        <v>33</v>
      </c>
      <c r="F5" s="25">
        <f ca="1">Main[[#Totals],[بدهی تسویه شده (کیلوگرم)]]</f>
        <v>336434</v>
      </c>
      <c r="G5" s="25">
        <f ca="1">Main[[#Totals],[تعداد روزهای بدهکار تسویه شده (روز)]]</f>
        <v>280</v>
      </c>
      <c r="H5" s="25">
        <f ca="1">IFERROR(Main[[#Totals],[مانده در خط تسویه شده × وزن]]/Main[[#Totals],[تعداد روزهای بدهکار تسویه شده (روز)]],"راکد")</f>
        <v>29476.210714285713</v>
      </c>
      <c r="I5" s="25">
        <f ca="1">IFERROR(Main[[#Totals],[مانده در خط تسویه شده × وزن]]/Main[[#Totals],[بدهی تسویه شده (کیلوگرم)]],"راکد")</f>
        <v>24.531821991831979</v>
      </c>
      <c r="J5" s="25">
        <f ca="1">IFERROR(Table5[[#This Row],[کل سفارش (کیلوگرم)]]/Table5[[#This Row],[طول دوره]],"راکد")</f>
        <v>1201.55</v>
      </c>
    </row>
    <row r="6" spans="1:24" x14ac:dyDescent="0.35">
      <c r="A6" s="3" t="s">
        <v>9</v>
      </c>
      <c r="B6" s="2">
        <f>SUBTOTAL(4,Main[تاريخ میلادی])</f>
        <v>44556</v>
      </c>
      <c r="C6" s="2"/>
      <c r="E6" t="s">
        <v>34</v>
      </c>
      <c r="F6" s="25">
        <f ca="1">Main[[#Totals],[بدهی تسویه نشده (کیلوگرم)]]</f>
        <v>37200</v>
      </c>
      <c r="G6" s="25">
        <f ca="1">Main[[#Totals],[تعداد روزهای بدهکار  تسویه نشده (روز)]]</f>
        <v>935.75374085648218</v>
      </c>
      <c r="H6" s="25">
        <f ca="1">IFERROR(Main[[#Totals],[مانده در خط تسویه نشده × وزن]]/Main[[#Totals],[تعداد روزهای بدهکار  تسویه نشده (روز)]],"بدون بدهی")</f>
        <v>36646.450516429788</v>
      </c>
      <c r="I6" s="25">
        <f ca="1">IFERROR(Main[[#Totals],[تسویه نشده × روز از ارسال]]/Main[[#Totals],[بدهی تسویه نشده (کیلوگرم)]],"بدون بدهی")</f>
        <v>921.82938601777255</v>
      </c>
      <c r="J6" s="25">
        <f ca="1">IFERROR(Table5[[#This Row],[کل سفارش (کیلوگرم)]]/Table5[[#This Row],[طول دوره]],"بدون بدهی")</f>
        <v>39.754048929530718</v>
      </c>
    </row>
    <row r="7" spans="1:24" x14ac:dyDescent="0.35">
      <c r="A7" s="3" t="s">
        <v>8</v>
      </c>
      <c r="B7" s="2">
        <f ca="1">NOW()</f>
        <v>45462.753740856482</v>
      </c>
      <c r="C7" s="2"/>
      <c r="E7" t="s">
        <v>35</v>
      </c>
      <c r="F7" s="25">
        <f ca="1">Main[[#Totals],[بدهی سررسید شده (کیلوگرم)]]</f>
        <v>37200</v>
      </c>
      <c r="G7" s="25">
        <f ca="1">Main[[#Totals],[تعداد روزهای بدهکار سررسید شده (روز)]]</f>
        <v>935.75374085648218</v>
      </c>
      <c r="H7" s="25">
        <f ca="1">IFERROR(Main[[#Totals],[مانده در خط سررسید شده × وزن]]/Main[[#Totals],[تعداد روزهای بدهکار سررسید شده (روز)]],"بدون بدهی")</f>
        <v>36646.450516429788</v>
      </c>
      <c r="I7" s="25">
        <f ca="1">IFERROR(Main[[#Totals],[سررسید شده × روز از ارسال]]/Main[[#Totals],[بدهی سررسید شده (کیلوگرم)]],"بدون بدهی")</f>
        <v>921.82938601777255</v>
      </c>
      <c r="J7" s="25">
        <f ca="1">IFERROR(Table5[[#This Row],[کل سفارش (کیلوگرم)]]/Table5[[#This Row],[طول دوره]],"بدون بدهی")</f>
        <v>39.754048929530718</v>
      </c>
    </row>
    <row r="8" spans="1:24" x14ac:dyDescent="0.35">
      <c r="A8" s="9" t="s">
        <v>3</v>
      </c>
      <c r="B8" s="10">
        <v>15</v>
      </c>
      <c r="C8" s="10"/>
    </row>
    <row r="9" spans="1:24" x14ac:dyDescent="0.35">
      <c r="A9" s="9" t="s">
        <v>4</v>
      </c>
      <c r="B9" s="10">
        <f>B8</f>
        <v>15</v>
      </c>
      <c r="C9" s="10"/>
    </row>
    <row r="11" spans="1:24" x14ac:dyDescent="0.35">
      <c r="A11" t="s">
        <v>428</v>
      </c>
      <c r="B11" t="s">
        <v>429</v>
      </c>
    </row>
    <row r="12" spans="1:24" hidden="1" x14ac:dyDescent="0.35">
      <c r="A12" t="s">
        <v>49</v>
      </c>
      <c r="B12">
        <v>10001</v>
      </c>
    </row>
    <row r="13" spans="1:24" hidden="1" x14ac:dyDescent="0.35">
      <c r="A13" t="s">
        <v>50</v>
      </c>
      <c r="B13">
        <v>10002</v>
      </c>
    </row>
    <row r="14" spans="1:24" hidden="1" x14ac:dyDescent="0.35">
      <c r="A14" t="s">
        <v>51</v>
      </c>
      <c r="B14">
        <v>10003</v>
      </c>
    </row>
    <row r="15" spans="1:24" hidden="1" x14ac:dyDescent="0.35">
      <c r="A15" t="s">
        <v>52</v>
      </c>
      <c r="B15">
        <v>10004</v>
      </c>
    </row>
    <row r="16" spans="1:24" hidden="1" x14ac:dyDescent="0.35">
      <c r="A16" t="s">
        <v>53</v>
      </c>
      <c r="B16">
        <v>10005</v>
      </c>
    </row>
    <row r="17" spans="1:2" hidden="1" x14ac:dyDescent="0.35">
      <c r="A17" t="s">
        <v>54</v>
      </c>
      <c r="B17">
        <v>10006</v>
      </c>
    </row>
    <row r="18" spans="1:2" hidden="1" x14ac:dyDescent="0.35">
      <c r="A18" t="s">
        <v>55</v>
      </c>
      <c r="B18">
        <v>10007</v>
      </c>
    </row>
    <row r="19" spans="1:2" hidden="1" x14ac:dyDescent="0.35">
      <c r="A19" t="s">
        <v>56</v>
      </c>
      <c r="B19">
        <v>10008</v>
      </c>
    </row>
    <row r="20" spans="1:2" hidden="1" x14ac:dyDescent="0.35">
      <c r="A20" t="s">
        <v>57</v>
      </c>
      <c r="B20">
        <v>10009</v>
      </c>
    </row>
    <row r="21" spans="1:2" hidden="1" x14ac:dyDescent="0.35">
      <c r="A21" t="s">
        <v>58</v>
      </c>
      <c r="B21">
        <v>10010</v>
      </c>
    </row>
    <row r="22" spans="1:2" hidden="1" x14ac:dyDescent="0.35">
      <c r="A22" t="s">
        <v>59</v>
      </c>
      <c r="B22">
        <v>10011</v>
      </c>
    </row>
    <row r="23" spans="1:2" hidden="1" x14ac:dyDescent="0.35">
      <c r="A23" t="s">
        <v>60</v>
      </c>
      <c r="B23">
        <v>10012</v>
      </c>
    </row>
    <row r="24" spans="1:2" hidden="1" x14ac:dyDescent="0.35">
      <c r="A24" t="s">
        <v>61</v>
      </c>
      <c r="B24">
        <v>10013</v>
      </c>
    </row>
    <row r="25" spans="1:2" hidden="1" x14ac:dyDescent="0.35">
      <c r="A25" t="s">
        <v>62</v>
      </c>
      <c r="B25">
        <v>10014</v>
      </c>
    </row>
    <row r="26" spans="1:2" hidden="1" x14ac:dyDescent="0.35">
      <c r="A26" t="s">
        <v>63</v>
      </c>
      <c r="B26">
        <v>10015</v>
      </c>
    </row>
    <row r="27" spans="1:2" hidden="1" x14ac:dyDescent="0.35">
      <c r="A27" t="s">
        <v>64</v>
      </c>
      <c r="B27">
        <v>10016</v>
      </c>
    </row>
    <row r="28" spans="1:2" hidden="1" x14ac:dyDescent="0.35">
      <c r="A28" t="s">
        <v>65</v>
      </c>
      <c r="B28">
        <v>10017</v>
      </c>
    </row>
    <row r="29" spans="1:2" hidden="1" x14ac:dyDescent="0.35">
      <c r="A29" t="s">
        <v>66</v>
      </c>
      <c r="B29">
        <v>10018</v>
      </c>
    </row>
    <row r="30" spans="1:2" hidden="1" x14ac:dyDescent="0.35">
      <c r="A30" t="s">
        <v>67</v>
      </c>
      <c r="B30">
        <v>10019</v>
      </c>
    </row>
    <row r="31" spans="1:2" hidden="1" x14ac:dyDescent="0.35">
      <c r="A31" t="s">
        <v>68</v>
      </c>
      <c r="B31">
        <v>10020</v>
      </c>
    </row>
    <row r="32" spans="1:2" hidden="1" x14ac:dyDescent="0.35">
      <c r="A32" t="s">
        <v>69</v>
      </c>
      <c r="B32">
        <v>10021</v>
      </c>
    </row>
    <row r="33" spans="1:2" hidden="1" x14ac:dyDescent="0.35">
      <c r="A33" t="s">
        <v>70</v>
      </c>
      <c r="B33">
        <v>10022</v>
      </c>
    </row>
    <row r="34" spans="1:2" hidden="1" x14ac:dyDescent="0.35">
      <c r="A34" t="s">
        <v>71</v>
      </c>
      <c r="B34">
        <v>10023</v>
      </c>
    </row>
    <row r="35" spans="1:2" hidden="1" x14ac:dyDescent="0.35">
      <c r="A35" t="s">
        <v>72</v>
      </c>
      <c r="B35">
        <v>10024</v>
      </c>
    </row>
    <row r="36" spans="1:2" hidden="1" x14ac:dyDescent="0.35">
      <c r="A36" t="s">
        <v>73</v>
      </c>
      <c r="B36">
        <v>10025</v>
      </c>
    </row>
    <row r="37" spans="1:2" hidden="1" x14ac:dyDescent="0.35">
      <c r="A37" t="s">
        <v>74</v>
      </c>
      <c r="B37">
        <v>10026</v>
      </c>
    </row>
    <row r="38" spans="1:2" hidden="1" x14ac:dyDescent="0.35">
      <c r="A38" t="s">
        <v>75</v>
      </c>
      <c r="B38">
        <v>10027</v>
      </c>
    </row>
    <row r="39" spans="1:2" hidden="1" x14ac:dyDescent="0.35">
      <c r="A39" t="s">
        <v>76</v>
      </c>
      <c r="B39">
        <v>10028</v>
      </c>
    </row>
    <row r="40" spans="1:2" hidden="1" x14ac:dyDescent="0.35">
      <c r="A40" t="s">
        <v>77</v>
      </c>
      <c r="B40">
        <v>10029</v>
      </c>
    </row>
    <row r="41" spans="1:2" hidden="1" x14ac:dyDescent="0.35">
      <c r="A41" t="s">
        <v>78</v>
      </c>
      <c r="B41">
        <v>10030</v>
      </c>
    </row>
    <row r="42" spans="1:2" hidden="1" x14ac:dyDescent="0.35">
      <c r="A42" t="s">
        <v>79</v>
      </c>
      <c r="B42">
        <v>10031</v>
      </c>
    </row>
    <row r="43" spans="1:2" hidden="1" x14ac:dyDescent="0.35">
      <c r="A43" t="s">
        <v>80</v>
      </c>
      <c r="B43">
        <v>10032</v>
      </c>
    </row>
    <row r="44" spans="1:2" hidden="1" x14ac:dyDescent="0.35">
      <c r="A44" t="s">
        <v>81</v>
      </c>
      <c r="B44">
        <v>10033</v>
      </c>
    </row>
    <row r="45" spans="1:2" hidden="1" x14ac:dyDescent="0.35">
      <c r="A45" t="s">
        <v>82</v>
      </c>
      <c r="B45">
        <v>10034</v>
      </c>
    </row>
    <row r="46" spans="1:2" hidden="1" x14ac:dyDescent="0.35">
      <c r="A46" t="s">
        <v>83</v>
      </c>
      <c r="B46">
        <v>10035</v>
      </c>
    </row>
    <row r="47" spans="1:2" hidden="1" x14ac:dyDescent="0.35">
      <c r="A47" t="s">
        <v>84</v>
      </c>
      <c r="B47">
        <v>10036</v>
      </c>
    </row>
    <row r="48" spans="1:2" hidden="1" x14ac:dyDescent="0.35">
      <c r="A48" t="s">
        <v>85</v>
      </c>
      <c r="B48">
        <v>10037</v>
      </c>
    </row>
    <row r="49" spans="1:2" hidden="1" x14ac:dyDescent="0.35">
      <c r="A49" t="s">
        <v>86</v>
      </c>
      <c r="B49">
        <v>10038</v>
      </c>
    </row>
    <row r="50" spans="1:2" hidden="1" x14ac:dyDescent="0.35">
      <c r="A50" t="s">
        <v>87</v>
      </c>
      <c r="B50">
        <v>10039</v>
      </c>
    </row>
    <row r="51" spans="1:2" hidden="1" x14ac:dyDescent="0.35">
      <c r="A51" t="s">
        <v>88</v>
      </c>
      <c r="B51">
        <v>10040</v>
      </c>
    </row>
    <row r="52" spans="1:2" hidden="1" x14ac:dyDescent="0.35">
      <c r="A52" t="s">
        <v>89</v>
      </c>
      <c r="B52">
        <v>10041</v>
      </c>
    </row>
    <row r="53" spans="1:2" hidden="1" x14ac:dyDescent="0.35">
      <c r="A53" t="s">
        <v>90</v>
      </c>
      <c r="B53">
        <v>10042</v>
      </c>
    </row>
    <row r="54" spans="1:2" hidden="1" x14ac:dyDescent="0.35">
      <c r="A54" t="s">
        <v>91</v>
      </c>
      <c r="B54">
        <v>10043</v>
      </c>
    </row>
    <row r="55" spans="1:2" hidden="1" x14ac:dyDescent="0.35">
      <c r="A55" t="s">
        <v>92</v>
      </c>
      <c r="B55">
        <v>10044</v>
      </c>
    </row>
    <row r="56" spans="1:2" hidden="1" x14ac:dyDescent="0.35">
      <c r="A56" t="s">
        <v>93</v>
      </c>
      <c r="B56">
        <v>10045</v>
      </c>
    </row>
    <row r="57" spans="1:2" hidden="1" x14ac:dyDescent="0.35">
      <c r="A57" t="s">
        <v>94</v>
      </c>
      <c r="B57">
        <v>10046</v>
      </c>
    </row>
    <row r="58" spans="1:2" hidden="1" x14ac:dyDescent="0.35">
      <c r="A58" t="s">
        <v>95</v>
      </c>
      <c r="B58">
        <v>10047</v>
      </c>
    </row>
    <row r="59" spans="1:2" hidden="1" x14ac:dyDescent="0.35">
      <c r="A59" t="s">
        <v>96</v>
      </c>
      <c r="B59">
        <v>10048</v>
      </c>
    </row>
    <row r="60" spans="1:2" hidden="1" x14ac:dyDescent="0.35">
      <c r="A60" t="s">
        <v>97</v>
      </c>
      <c r="B60">
        <v>10049</v>
      </c>
    </row>
    <row r="61" spans="1:2" hidden="1" x14ac:dyDescent="0.35">
      <c r="A61" t="s">
        <v>98</v>
      </c>
      <c r="B61">
        <v>10050</v>
      </c>
    </row>
    <row r="62" spans="1:2" hidden="1" x14ac:dyDescent="0.35">
      <c r="A62" t="s">
        <v>99</v>
      </c>
      <c r="B62">
        <v>10051</v>
      </c>
    </row>
    <row r="63" spans="1:2" hidden="1" x14ac:dyDescent="0.35">
      <c r="A63" t="s">
        <v>100</v>
      </c>
      <c r="B63">
        <v>10052</v>
      </c>
    </row>
    <row r="64" spans="1:2" hidden="1" x14ac:dyDescent="0.35">
      <c r="A64" t="s">
        <v>101</v>
      </c>
      <c r="B64">
        <v>10053</v>
      </c>
    </row>
    <row r="65" spans="1:2" hidden="1" x14ac:dyDescent="0.35">
      <c r="A65" t="s">
        <v>102</v>
      </c>
      <c r="B65">
        <v>10054</v>
      </c>
    </row>
    <row r="66" spans="1:2" hidden="1" x14ac:dyDescent="0.35">
      <c r="A66" t="s">
        <v>103</v>
      </c>
      <c r="B66">
        <v>10055</v>
      </c>
    </row>
    <row r="67" spans="1:2" hidden="1" x14ac:dyDescent="0.35">
      <c r="A67" t="s">
        <v>104</v>
      </c>
      <c r="B67">
        <v>10056</v>
      </c>
    </row>
    <row r="68" spans="1:2" hidden="1" x14ac:dyDescent="0.35">
      <c r="A68" t="s">
        <v>105</v>
      </c>
      <c r="B68">
        <v>10057</v>
      </c>
    </row>
    <row r="69" spans="1:2" hidden="1" x14ac:dyDescent="0.35">
      <c r="A69" t="s">
        <v>106</v>
      </c>
      <c r="B69">
        <v>10058</v>
      </c>
    </row>
    <row r="70" spans="1:2" hidden="1" x14ac:dyDescent="0.35">
      <c r="A70" t="s">
        <v>107</v>
      </c>
      <c r="B70">
        <v>10059</v>
      </c>
    </row>
    <row r="71" spans="1:2" hidden="1" x14ac:dyDescent="0.35">
      <c r="A71" t="s">
        <v>108</v>
      </c>
      <c r="B71">
        <v>10060</v>
      </c>
    </row>
    <row r="72" spans="1:2" hidden="1" x14ac:dyDescent="0.35">
      <c r="A72" t="s">
        <v>109</v>
      </c>
      <c r="B72">
        <v>10061</v>
      </c>
    </row>
    <row r="73" spans="1:2" hidden="1" x14ac:dyDescent="0.35">
      <c r="A73" t="s">
        <v>110</v>
      </c>
      <c r="B73">
        <v>10062</v>
      </c>
    </row>
    <row r="74" spans="1:2" hidden="1" x14ac:dyDescent="0.35">
      <c r="A74" t="s">
        <v>111</v>
      </c>
      <c r="B74">
        <v>10063</v>
      </c>
    </row>
    <row r="75" spans="1:2" hidden="1" x14ac:dyDescent="0.35">
      <c r="A75" t="s">
        <v>112</v>
      </c>
      <c r="B75">
        <v>10064</v>
      </c>
    </row>
    <row r="76" spans="1:2" hidden="1" x14ac:dyDescent="0.35">
      <c r="A76" t="s">
        <v>113</v>
      </c>
      <c r="B76">
        <v>10065</v>
      </c>
    </row>
    <row r="77" spans="1:2" hidden="1" x14ac:dyDescent="0.35">
      <c r="A77" t="s">
        <v>114</v>
      </c>
      <c r="B77">
        <v>10066</v>
      </c>
    </row>
    <row r="78" spans="1:2" hidden="1" x14ac:dyDescent="0.35">
      <c r="A78" t="s">
        <v>115</v>
      </c>
      <c r="B78">
        <v>10067</v>
      </c>
    </row>
    <row r="79" spans="1:2" hidden="1" x14ac:dyDescent="0.35">
      <c r="A79" t="s">
        <v>116</v>
      </c>
      <c r="B79">
        <v>10068</v>
      </c>
    </row>
    <row r="80" spans="1:2" hidden="1" x14ac:dyDescent="0.35">
      <c r="A80" t="s">
        <v>117</v>
      </c>
      <c r="B80">
        <v>10069</v>
      </c>
    </row>
    <row r="81" spans="1:2" hidden="1" x14ac:dyDescent="0.35">
      <c r="A81" t="s">
        <v>118</v>
      </c>
      <c r="B81">
        <v>10070</v>
      </c>
    </row>
    <row r="82" spans="1:2" hidden="1" x14ac:dyDescent="0.35">
      <c r="A82" t="s">
        <v>119</v>
      </c>
      <c r="B82">
        <v>10071</v>
      </c>
    </row>
    <row r="83" spans="1:2" hidden="1" x14ac:dyDescent="0.35">
      <c r="A83" t="s">
        <v>120</v>
      </c>
      <c r="B83">
        <v>10072</v>
      </c>
    </row>
    <row r="84" spans="1:2" hidden="1" x14ac:dyDescent="0.35">
      <c r="A84" t="s">
        <v>121</v>
      </c>
      <c r="B84">
        <v>10073</v>
      </c>
    </row>
    <row r="85" spans="1:2" hidden="1" x14ac:dyDescent="0.35">
      <c r="A85" t="s">
        <v>122</v>
      </c>
      <c r="B85">
        <v>10074</v>
      </c>
    </row>
    <row r="86" spans="1:2" hidden="1" x14ac:dyDescent="0.35">
      <c r="A86" t="s">
        <v>123</v>
      </c>
      <c r="B86">
        <v>10075</v>
      </c>
    </row>
    <row r="87" spans="1:2" hidden="1" x14ac:dyDescent="0.35">
      <c r="A87" t="s">
        <v>124</v>
      </c>
      <c r="B87">
        <v>10076</v>
      </c>
    </row>
    <row r="88" spans="1:2" hidden="1" x14ac:dyDescent="0.35">
      <c r="A88" t="s">
        <v>125</v>
      </c>
      <c r="B88">
        <v>10077</v>
      </c>
    </row>
    <row r="89" spans="1:2" hidden="1" x14ac:dyDescent="0.35">
      <c r="A89" t="s">
        <v>126</v>
      </c>
      <c r="B89">
        <v>10078</v>
      </c>
    </row>
    <row r="90" spans="1:2" hidden="1" x14ac:dyDescent="0.35">
      <c r="A90" t="s">
        <v>127</v>
      </c>
      <c r="B90">
        <v>10079</v>
      </c>
    </row>
    <row r="91" spans="1:2" hidden="1" x14ac:dyDescent="0.35">
      <c r="A91" t="s">
        <v>128</v>
      </c>
      <c r="B91">
        <v>10080</v>
      </c>
    </row>
    <row r="92" spans="1:2" hidden="1" x14ac:dyDescent="0.35">
      <c r="A92" t="s">
        <v>129</v>
      </c>
      <c r="B92">
        <v>10081</v>
      </c>
    </row>
    <row r="93" spans="1:2" hidden="1" x14ac:dyDescent="0.35">
      <c r="A93" t="s">
        <v>130</v>
      </c>
      <c r="B93">
        <v>10082</v>
      </c>
    </row>
    <row r="94" spans="1:2" hidden="1" x14ac:dyDescent="0.35">
      <c r="A94" t="s">
        <v>131</v>
      </c>
      <c r="B94">
        <v>10083</v>
      </c>
    </row>
    <row r="95" spans="1:2" hidden="1" x14ac:dyDescent="0.35">
      <c r="A95" t="s">
        <v>132</v>
      </c>
      <c r="B95">
        <v>10084</v>
      </c>
    </row>
    <row r="96" spans="1:2" hidden="1" x14ac:dyDescent="0.35">
      <c r="A96" t="s">
        <v>133</v>
      </c>
      <c r="B96">
        <v>10085</v>
      </c>
    </row>
    <row r="97" spans="1:2" hidden="1" x14ac:dyDescent="0.35">
      <c r="A97" t="s">
        <v>134</v>
      </c>
      <c r="B97">
        <v>10086</v>
      </c>
    </row>
    <row r="98" spans="1:2" hidden="1" x14ac:dyDescent="0.35">
      <c r="A98" t="s">
        <v>135</v>
      </c>
      <c r="B98">
        <v>10087</v>
      </c>
    </row>
    <row r="99" spans="1:2" hidden="1" x14ac:dyDescent="0.35">
      <c r="A99" t="s">
        <v>136</v>
      </c>
      <c r="B99">
        <v>10088</v>
      </c>
    </row>
    <row r="100" spans="1:2" hidden="1" x14ac:dyDescent="0.35">
      <c r="A100" t="s">
        <v>137</v>
      </c>
      <c r="B100">
        <v>10089</v>
      </c>
    </row>
    <row r="101" spans="1:2" hidden="1" x14ac:dyDescent="0.35">
      <c r="A101" t="s">
        <v>138</v>
      </c>
      <c r="B101">
        <v>10090</v>
      </c>
    </row>
    <row r="102" spans="1:2" hidden="1" x14ac:dyDescent="0.35">
      <c r="A102" t="s">
        <v>139</v>
      </c>
      <c r="B102">
        <v>10091</v>
      </c>
    </row>
    <row r="103" spans="1:2" hidden="1" x14ac:dyDescent="0.35">
      <c r="A103" t="s">
        <v>140</v>
      </c>
      <c r="B103">
        <v>10092</v>
      </c>
    </row>
    <row r="104" spans="1:2" hidden="1" x14ac:dyDescent="0.35">
      <c r="A104" t="s">
        <v>141</v>
      </c>
      <c r="B104">
        <v>10093</v>
      </c>
    </row>
    <row r="105" spans="1:2" hidden="1" x14ac:dyDescent="0.35">
      <c r="A105" t="s">
        <v>142</v>
      </c>
      <c r="B105">
        <v>10094</v>
      </c>
    </row>
    <row r="106" spans="1:2" hidden="1" x14ac:dyDescent="0.35">
      <c r="A106" t="s">
        <v>143</v>
      </c>
      <c r="B106">
        <v>10095</v>
      </c>
    </row>
    <row r="107" spans="1:2" hidden="1" x14ac:dyDescent="0.35">
      <c r="A107" t="s">
        <v>144</v>
      </c>
      <c r="B107">
        <v>10096</v>
      </c>
    </row>
    <row r="108" spans="1:2" hidden="1" x14ac:dyDescent="0.35">
      <c r="A108" t="s">
        <v>145</v>
      </c>
      <c r="B108">
        <v>10097</v>
      </c>
    </row>
    <row r="109" spans="1:2" hidden="1" x14ac:dyDescent="0.35">
      <c r="A109" t="s">
        <v>146</v>
      </c>
      <c r="B109">
        <v>10098</v>
      </c>
    </row>
    <row r="110" spans="1:2" hidden="1" x14ac:dyDescent="0.35">
      <c r="A110" t="s">
        <v>147</v>
      </c>
      <c r="B110">
        <v>10099</v>
      </c>
    </row>
    <row r="111" spans="1:2" hidden="1" x14ac:dyDescent="0.35">
      <c r="A111" t="s">
        <v>148</v>
      </c>
      <c r="B111">
        <v>10100</v>
      </c>
    </row>
    <row r="112" spans="1:2" hidden="1" x14ac:dyDescent="0.35">
      <c r="A112" t="s">
        <v>149</v>
      </c>
      <c r="B112">
        <v>10101</v>
      </c>
    </row>
    <row r="113" spans="1:2" hidden="1" x14ac:dyDescent="0.35">
      <c r="A113" t="s">
        <v>150</v>
      </c>
      <c r="B113">
        <v>10102</v>
      </c>
    </row>
    <row r="114" spans="1:2" hidden="1" x14ac:dyDescent="0.35">
      <c r="A114" t="s">
        <v>151</v>
      </c>
      <c r="B114">
        <v>10103</v>
      </c>
    </row>
    <row r="115" spans="1:2" hidden="1" x14ac:dyDescent="0.35">
      <c r="A115" t="s">
        <v>152</v>
      </c>
      <c r="B115">
        <v>10104</v>
      </c>
    </row>
    <row r="116" spans="1:2" hidden="1" x14ac:dyDescent="0.35">
      <c r="A116" t="s">
        <v>153</v>
      </c>
      <c r="B116">
        <v>10105</v>
      </c>
    </row>
    <row r="117" spans="1:2" hidden="1" x14ac:dyDescent="0.35">
      <c r="A117" t="s">
        <v>154</v>
      </c>
      <c r="B117">
        <v>10106</v>
      </c>
    </row>
    <row r="118" spans="1:2" hidden="1" x14ac:dyDescent="0.35">
      <c r="A118" t="s">
        <v>155</v>
      </c>
      <c r="B118">
        <v>10107</v>
      </c>
    </row>
    <row r="119" spans="1:2" hidden="1" x14ac:dyDescent="0.35">
      <c r="A119" t="s">
        <v>156</v>
      </c>
      <c r="B119">
        <v>10108</v>
      </c>
    </row>
    <row r="120" spans="1:2" hidden="1" x14ac:dyDescent="0.35">
      <c r="A120" t="s">
        <v>157</v>
      </c>
      <c r="B120">
        <v>10109</v>
      </c>
    </row>
    <row r="121" spans="1:2" hidden="1" x14ac:dyDescent="0.35">
      <c r="A121" t="s">
        <v>158</v>
      </c>
      <c r="B121">
        <v>10110</v>
      </c>
    </row>
    <row r="122" spans="1:2" hidden="1" x14ac:dyDescent="0.35">
      <c r="A122" t="s">
        <v>159</v>
      </c>
      <c r="B122">
        <v>10111</v>
      </c>
    </row>
    <row r="123" spans="1:2" hidden="1" x14ac:dyDescent="0.35">
      <c r="A123" t="s">
        <v>160</v>
      </c>
      <c r="B123">
        <v>10112</v>
      </c>
    </row>
    <row r="124" spans="1:2" hidden="1" x14ac:dyDescent="0.35">
      <c r="A124" t="s">
        <v>161</v>
      </c>
      <c r="B124">
        <v>10113</v>
      </c>
    </row>
    <row r="125" spans="1:2" hidden="1" x14ac:dyDescent="0.35">
      <c r="A125" t="s">
        <v>162</v>
      </c>
      <c r="B125">
        <v>10114</v>
      </c>
    </row>
    <row r="126" spans="1:2" hidden="1" x14ac:dyDescent="0.35">
      <c r="A126" t="s">
        <v>163</v>
      </c>
      <c r="B126">
        <v>10115</v>
      </c>
    </row>
    <row r="127" spans="1:2" hidden="1" x14ac:dyDescent="0.35">
      <c r="A127" t="s">
        <v>164</v>
      </c>
      <c r="B127">
        <v>10116</v>
      </c>
    </row>
    <row r="128" spans="1:2" hidden="1" x14ac:dyDescent="0.35">
      <c r="A128" t="s">
        <v>165</v>
      </c>
      <c r="B128">
        <v>10117</v>
      </c>
    </row>
    <row r="129" spans="1:2" hidden="1" x14ac:dyDescent="0.35">
      <c r="A129" t="s">
        <v>166</v>
      </c>
      <c r="B129">
        <v>10118</v>
      </c>
    </row>
    <row r="130" spans="1:2" hidden="1" x14ac:dyDescent="0.35">
      <c r="A130" t="s">
        <v>167</v>
      </c>
      <c r="B130">
        <v>10119</v>
      </c>
    </row>
    <row r="131" spans="1:2" hidden="1" x14ac:dyDescent="0.35">
      <c r="A131" t="s">
        <v>168</v>
      </c>
      <c r="B131">
        <v>10120</v>
      </c>
    </row>
    <row r="132" spans="1:2" hidden="1" x14ac:dyDescent="0.35">
      <c r="A132" t="s">
        <v>169</v>
      </c>
      <c r="B132">
        <v>10121</v>
      </c>
    </row>
    <row r="133" spans="1:2" hidden="1" x14ac:dyDescent="0.35">
      <c r="A133" t="s">
        <v>170</v>
      </c>
      <c r="B133">
        <v>10122</v>
      </c>
    </row>
    <row r="134" spans="1:2" hidden="1" x14ac:dyDescent="0.35">
      <c r="A134" t="s">
        <v>171</v>
      </c>
      <c r="B134">
        <v>10123</v>
      </c>
    </row>
    <row r="135" spans="1:2" hidden="1" x14ac:dyDescent="0.35">
      <c r="A135" t="s">
        <v>172</v>
      </c>
      <c r="B135">
        <v>10124</v>
      </c>
    </row>
    <row r="136" spans="1:2" hidden="1" x14ac:dyDescent="0.35">
      <c r="A136" t="s">
        <v>173</v>
      </c>
      <c r="B136">
        <v>10125</v>
      </c>
    </row>
    <row r="137" spans="1:2" hidden="1" x14ac:dyDescent="0.35">
      <c r="A137" t="s">
        <v>174</v>
      </c>
      <c r="B137">
        <v>10126</v>
      </c>
    </row>
    <row r="138" spans="1:2" hidden="1" x14ac:dyDescent="0.35">
      <c r="A138" t="s">
        <v>175</v>
      </c>
      <c r="B138">
        <v>10127</v>
      </c>
    </row>
    <row r="139" spans="1:2" hidden="1" x14ac:dyDescent="0.35">
      <c r="A139" t="s">
        <v>177</v>
      </c>
      <c r="B139">
        <v>10128</v>
      </c>
    </row>
    <row r="140" spans="1:2" hidden="1" x14ac:dyDescent="0.35">
      <c r="A140" t="s">
        <v>178</v>
      </c>
      <c r="B140">
        <v>10129</v>
      </c>
    </row>
    <row r="141" spans="1:2" hidden="1" x14ac:dyDescent="0.35">
      <c r="A141" t="s">
        <v>179</v>
      </c>
      <c r="B141">
        <v>30000</v>
      </c>
    </row>
    <row r="142" spans="1:2" hidden="1" x14ac:dyDescent="0.35">
      <c r="A142" t="s">
        <v>180</v>
      </c>
      <c r="B142">
        <v>30001</v>
      </c>
    </row>
    <row r="143" spans="1:2" hidden="1" x14ac:dyDescent="0.35">
      <c r="A143" t="s">
        <v>181</v>
      </c>
      <c r="B143">
        <v>30002</v>
      </c>
    </row>
    <row r="144" spans="1:2" hidden="1" x14ac:dyDescent="0.35">
      <c r="A144" t="s">
        <v>182</v>
      </c>
      <c r="B144">
        <v>30003</v>
      </c>
    </row>
    <row r="145" spans="1:2" hidden="1" x14ac:dyDescent="0.35">
      <c r="A145" t="s">
        <v>183</v>
      </c>
      <c r="B145">
        <v>30004</v>
      </c>
    </row>
    <row r="146" spans="1:2" hidden="1" x14ac:dyDescent="0.35">
      <c r="A146" t="s">
        <v>184</v>
      </c>
      <c r="B146">
        <v>30005</v>
      </c>
    </row>
    <row r="147" spans="1:2" hidden="1" x14ac:dyDescent="0.35">
      <c r="A147" t="s">
        <v>185</v>
      </c>
      <c r="B147">
        <v>30006</v>
      </c>
    </row>
    <row r="148" spans="1:2" hidden="1" x14ac:dyDescent="0.35">
      <c r="A148" t="s">
        <v>186</v>
      </c>
      <c r="B148">
        <v>30007</v>
      </c>
    </row>
    <row r="149" spans="1:2" hidden="1" x14ac:dyDescent="0.35">
      <c r="A149" t="s">
        <v>187</v>
      </c>
      <c r="B149">
        <v>30008</v>
      </c>
    </row>
    <row r="150" spans="1:2" hidden="1" x14ac:dyDescent="0.35">
      <c r="A150" t="s">
        <v>188</v>
      </c>
      <c r="B150">
        <v>30009</v>
      </c>
    </row>
    <row r="151" spans="1:2" hidden="1" x14ac:dyDescent="0.35">
      <c r="A151" t="s">
        <v>189</v>
      </c>
      <c r="B151">
        <v>30010</v>
      </c>
    </row>
    <row r="152" spans="1:2" hidden="1" x14ac:dyDescent="0.35">
      <c r="A152" t="s">
        <v>190</v>
      </c>
      <c r="B152">
        <v>30011</v>
      </c>
    </row>
    <row r="153" spans="1:2" hidden="1" x14ac:dyDescent="0.35">
      <c r="A153" t="s">
        <v>191</v>
      </c>
      <c r="B153">
        <v>30012</v>
      </c>
    </row>
    <row r="154" spans="1:2" hidden="1" x14ac:dyDescent="0.35">
      <c r="A154" t="s">
        <v>192</v>
      </c>
      <c r="B154">
        <v>30013</v>
      </c>
    </row>
    <row r="155" spans="1:2" hidden="1" x14ac:dyDescent="0.35">
      <c r="A155" t="s">
        <v>193</v>
      </c>
      <c r="B155">
        <v>30014</v>
      </c>
    </row>
    <row r="156" spans="1:2" hidden="1" x14ac:dyDescent="0.35">
      <c r="A156" t="s">
        <v>194</v>
      </c>
      <c r="B156">
        <v>30015</v>
      </c>
    </row>
    <row r="157" spans="1:2" hidden="1" x14ac:dyDescent="0.35">
      <c r="A157" t="s">
        <v>195</v>
      </c>
      <c r="B157">
        <v>30016</v>
      </c>
    </row>
    <row r="158" spans="1:2" hidden="1" x14ac:dyDescent="0.35">
      <c r="A158" t="s">
        <v>196</v>
      </c>
      <c r="B158">
        <v>30017</v>
      </c>
    </row>
    <row r="159" spans="1:2" hidden="1" x14ac:dyDescent="0.35">
      <c r="A159" t="s">
        <v>197</v>
      </c>
      <c r="B159">
        <v>30018</v>
      </c>
    </row>
    <row r="160" spans="1:2" hidden="1" x14ac:dyDescent="0.35">
      <c r="A160" t="s">
        <v>198</v>
      </c>
      <c r="B160">
        <v>30019</v>
      </c>
    </row>
    <row r="161" spans="1:2" hidden="1" x14ac:dyDescent="0.35">
      <c r="A161" t="s">
        <v>199</v>
      </c>
      <c r="B161">
        <v>30020</v>
      </c>
    </row>
    <row r="162" spans="1:2" hidden="1" x14ac:dyDescent="0.35">
      <c r="A162" t="s">
        <v>200</v>
      </c>
      <c r="B162">
        <v>30021</v>
      </c>
    </row>
    <row r="163" spans="1:2" hidden="1" x14ac:dyDescent="0.35">
      <c r="A163" t="s">
        <v>201</v>
      </c>
      <c r="B163">
        <v>30022</v>
      </c>
    </row>
    <row r="164" spans="1:2" hidden="1" x14ac:dyDescent="0.35">
      <c r="A164" t="s">
        <v>202</v>
      </c>
      <c r="B164">
        <v>30023</v>
      </c>
    </row>
    <row r="165" spans="1:2" hidden="1" x14ac:dyDescent="0.35">
      <c r="A165" t="s">
        <v>203</v>
      </c>
      <c r="B165">
        <v>30024</v>
      </c>
    </row>
    <row r="166" spans="1:2" hidden="1" x14ac:dyDescent="0.35">
      <c r="A166" t="s">
        <v>204</v>
      </c>
      <c r="B166">
        <v>30025</v>
      </c>
    </row>
    <row r="167" spans="1:2" hidden="1" x14ac:dyDescent="0.35">
      <c r="A167" t="s">
        <v>205</v>
      </c>
      <c r="B167">
        <v>30026</v>
      </c>
    </row>
    <row r="168" spans="1:2" hidden="1" x14ac:dyDescent="0.35">
      <c r="A168" t="s">
        <v>206</v>
      </c>
      <c r="B168">
        <v>30027</v>
      </c>
    </row>
    <row r="169" spans="1:2" hidden="1" x14ac:dyDescent="0.35">
      <c r="A169" t="s">
        <v>207</v>
      </c>
      <c r="B169">
        <v>30028</v>
      </c>
    </row>
    <row r="170" spans="1:2" hidden="1" x14ac:dyDescent="0.35">
      <c r="A170" t="s">
        <v>208</v>
      </c>
      <c r="B170">
        <v>30029</v>
      </c>
    </row>
    <row r="171" spans="1:2" hidden="1" x14ac:dyDescent="0.35">
      <c r="A171" t="s">
        <v>209</v>
      </c>
      <c r="B171">
        <v>30030</v>
      </c>
    </row>
    <row r="172" spans="1:2" hidden="1" x14ac:dyDescent="0.35">
      <c r="A172" t="s">
        <v>210</v>
      </c>
      <c r="B172">
        <v>30031</v>
      </c>
    </row>
    <row r="173" spans="1:2" hidden="1" x14ac:dyDescent="0.35">
      <c r="A173" t="s">
        <v>211</v>
      </c>
      <c r="B173">
        <v>30032</v>
      </c>
    </row>
    <row r="174" spans="1:2" hidden="1" x14ac:dyDescent="0.35">
      <c r="A174" t="s">
        <v>212</v>
      </c>
      <c r="B174">
        <v>30033</v>
      </c>
    </row>
    <row r="175" spans="1:2" hidden="1" x14ac:dyDescent="0.35">
      <c r="A175" t="s">
        <v>213</v>
      </c>
      <c r="B175">
        <v>30034</v>
      </c>
    </row>
    <row r="176" spans="1:2" hidden="1" x14ac:dyDescent="0.35">
      <c r="A176" t="s">
        <v>214</v>
      </c>
      <c r="B176">
        <v>30035</v>
      </c>
    </row>
    <row r="177" spans="1:2" hidden="1" x14ac:dyDescent="0.35">
      <c r="A177" t="s">
        <v>215</v>
      </c>
      <c r="B177">
        <v>30036</v>
      </c>
    </row>
    <row r="178" spans="1:2" hidden="1" x14ac:dyDescent="0.35">
      <c r="A178" t="s">
        <v>216</v>
      </c>
      <c r="B178">
        <v>30037</v>
      </c>
    </row>
    <row r="179" spans="1:2" hidden="1" x14ac:dyDescent="0.35">
      <c r="A179" t="s">
        <v>217</v>
      </c>
      <c r="B179">
        <v>30038</v>
      </c>
    </row>
    <row r="180" spans="1:2" hidden="1" x14ac:dyDescent="0.35">
      <c r="A180" t="s">
        <v>218</v>
      </c>
      <c r="B180">
        <v>30039</v>
      </c>
    </row>
    <row r="181" spans="1:2" hidden="1" x14ac:dyDescent="0.35">
      <c r="A181" t="s">
        <v>219</v>
      </c>
      <c r="B181">
        <v>30040</v>
      </c>
    </row>
    <row r="182" spans="1:2" hidden="1" x14ac:dyDescent="0.35">
      <c r="A182" t="s">
        <v>220</v>
      </c>
      <c r="B182">
        <v>30041</v>
      </c>
    </row>
    <row r="183" spans="1:2" hidden="1" x14ac:dyDescent="0.35">
      <c r="A183" t="s">
        <v>221</v>
      </c>
      <c r="B183">
        <v>30042</v>
      </c>
    </row>
    <row r="184" spans="1:2" hidden="1" x14ac:dyDescent="0.35">
      <c r="A184" t="s">
        <v>222</v>
      </c>
      <c r="B184">
        <v>30043</v>
      </c>
    </row>
    <row r="185" spans="1:2" hidden="1" x14ac:dyDescent="0.35">
      <c r="A185" t="s">
        <v>223</v>
      </c>
      <c r="B185">
        <v>30044</v>
      </c>
    </row>
    <row r="186" spans="1:2" hidden="1" x14ac:dyDescent="0.35">
      <c r="A186" t="s">
        <v>224</v>
      </c>
      <c r="B186">
        <v>30045</v>
      </c>
    </row>
    <row r="187" spans="1:2" hidden="1" x14ac:dyDescent="0.35">
      <c r="A187" t="s">
        <v>225</v>
      </c>
      <c r="B187">
        <v>30046</v>
      </c>
    </row>
    <row r="188" spans="1:2" hidden="1" x14ac:dyDescent="0.35">
      <c r="A188" t="s">
        <v>226</v>
      </c>
      <c r="B188">
        <v>30047</v>
      </c>
    </row>
    <row r="189" spans="1:2" hidden="1" x14ac:dyDescent="0.35">
      <c r="A189" t="s">
        <v>227</v>
      </c>
      <c r="B189">
        <v>30048</v>
      </c>
    </row>
    <row r="190" spans="1:2" hidden="1" x14ac:dyDescent="0.35">
      <c r="A190" t="s">
        <v>228</v>
      </c>
      <c r="B190">
        <v>30049</v>
      </c>
    </row>
    <row r="191" spans="1:2" hidden="1" x14ac:dyDescent="0.35">
      <c r="A191" t="s">
        <v>229</v>
      </c>
      <c r="B191">
        <v>30050</v>
      </c>
    </row>
    <row r="192" spans="1:2" hidden="1" x14ac:dyDescent="0.35">
      <c r="A192" t="s">
        <v>230</v>
      </c>
      <c r="B192">
        <v>30051</v>
      </c>
    </row>
    <row r="193" spans="1:2" hidden="1" x14ac:dyDescent="0.35">
      <c r="A193" t="s">
        <v>231</v>
      </c>
      <c r="B193">
        <v>30052</v>
      </c>
    </row>
    <row r="194" spans="1:2" hidden="1" x14ac:dyDescent="0.35">
      <c r="A194" t="s">
        <v>232</v>
      </c>
      <c r="B194">
        <v>30054</v>
      </c>
    </row>
    <row r="195" spans="1:2" hidden="1" x14ac:dyDescent="0.35">
      <c r="A195" t="s">
        <v>233</v>
      </c>
      <c r="B195">
        <v>30055</v>
      </c>
    </row>
    <row r="196" spans="1:2" hidden="1" x14ac:dyDescent="0.35">
      <c r="A196" t="s">
        <v>234</v>
      </c>
      <c r="B196">
        <v>30056</v>
      </c>
    </row>
    <row r="197" spans="1:2" hidden="1" x14ac:dyDescent="0.35">
      <c r="A197" t="s">
        <v>235</v>
      </c>
      <c r="B197">
        <v>30057</v>
      </c>
    </row>
    <row r="198" spans="1:2" hidden="1" x14ac:dyDescent="0.35">
      <c r="A198" t="s">
        <v>236</v>
      </c>
      <c r="B198">
        <v>30058</v>
      </c>
    </row>
    <row r="199" spans="1:2" hidden="1" x14ac:dyDescent="0.35">
      <c r="A199" t="s">
        <v>237</v>
      </c>
      <c r="B199">
        <v>30059</v>
      </c>
    </row>
    <row r="200" spans="1:2" hidden="1" x14ac:dyDescent="0.35">
      <c r="A200" t="s">
        <v>238</v>
      </c>
      <c r="B200">
        <v>30060</v>
      </c>
    </row>
    <row r="201" spans="1:2" hidden="1" x14ac:dyDescent="0.35">
      <c r="A201" t="s">
        <v>239</v>
      </c>
      <c r="B201">
        <v>30061</v>
      </c>
    </row>
    <row r="202" spans="1:2" hidden="1" x14ac:dyDescent="0.35">
      <c r="A202" t="s">
        <v>240</v>
      </c>
      <c r="B202">
        <v>30062</v>
      </c>
    </row>
    <row r="203" spans="1:2" hidden="1" x14ac:dyDescent="0.35">
      <c r="A203" t="s">
        <v>241</v>
      </c>
      <c r="B203">
        <v>30063</v>
      </c>
    </row>
    <row r="204" spans="1:2" hidden="1" x14ac:dyDescent="0.35">
      <c r="A204" t="s">
        <v>242</v>
      </c>
      <c r="B204">
        <v>30064</v>
      </c>
    </row>
    <row r="205" spans="1:2" hidden="1" x14ac:dyDescent="0.35">
      <c r="A205" t="s">
        <v>243</v>
      </c>
      <c r="B205">
        <v>30065</v>
      </c>
    </row>
    <row r="206" spans="1:2" hidden="1" x14ac:dyDescent="0.35">
      <c r="A206" t="s">
        <v>244</v>
      </c>
      <c r="B206">
        <v>30066</v>
      </c>
    </row>
    <row r="207" spans="1:2" hidden="1" x14ac:dyDescent="0.35">
      <c r="A207" t="s">
        <v>245</v>
      </c>
      <c r="B207">
        <v>30067</v>
      </c>
    </row>
    <row r="208" spans="1:2" hidden="1" x14ac:dyDescent="0.35">
      <c r="A208" t="s">
        <v>246</v>
      </c>
      <c r="B208">
        <v>30068</v>
      </c>
    </row>
    <row r="209" spans="1:2" hidden="1" x14ac:dyDescent="0.35">
      <c r="A209" t="s">
        <v>247</v>
      </c>
      <c r="B209">
        <v>30069</v>
      </c>
    </row>
    <row r="210" spans="1:2" hidden="1" x14ac:dyDescent="0.35">
      <c r="A210" t="s">
        <v>248</v>
      </c>
      <c r="B210">
        <v>30070</v>
      </c>
    </row>
    <row r="211" spans="1:2" hidden="1" x14ac:dyDescent="0.35">
      <c r="A211" t="s">
        <v>249</v>
      </c>
      <c r="B211">
        <v>30071</v>
      </c>
    </row>
    <row r="212" spans="1:2" hidden="1" x14ac:dyDescent="0.35">
      <c r="A212" t="s">
        <v>250</v>
      </c>
      <c r="B212">
        <v>30072</v>
      </c>
    </row>
    <row r="213" spans="1:2" hidden="1" x14ac:dyDescent="0.35">
      <c r="A213" t="s">
        <v>251</v>
      </c>
      <c r="B213">
        <v>30073</v>
      </c>
    </row>
    <row r="214" spans="1:2" hidden="1" x14ac:dyDescent="0.35">
      <c r="A214" t="s">
        <v>252</v>
      </c>
      <c r="B214">
        <v>30074</v>
      </c>
    </row>
    <row r="215" spans="1:2" hidden="1" x14ac:dyDescent="0.35">
      <c r="A215" t="s">
        <v>253</v>
      </c>
      <c r="B215">
        <v>30075</v>
      </c>
    </row>
    <row r="216" spans="1:2" hidden="1" x14ac:dyDescent="0.35">
      <c r="A216" t="s">
        <v>254</v>
      </c>
      <c r="B216">
        <v>30076</v>
      </c>
    </row>
    <row r="217" spans="1:2" hidden="1" x14ac:dyDescent="0.35">
      <c r="A217" t="s">
        <v>255</v>
      </c>
      <c r="B217">
        <v>30077</v>
      </c>
    </row>
    <row r="218" spans="1:2" hidden="1" x14ac:dyDescent="0.35">
      <c r="A218" t="s">
        <v>256</v>
      </c>
      <c r="B218">
        <v>30078</v>
      </c>
    </row>
    <row r="219" spans="1:2" hidden="1" x14ac:dyDescent="0.35">
      <c r="A219" t="s">
        <v>257</v>
      </c>
      <c r="B219">
        <v>30079</v>
      </c>
    </row>
    <row r="220" spans="1:2" hidden="1" x14ac:dyDescent="0.35">
      <c r="A220" t="s">
        <v>258</v>
      </c>
      <c r="B220">
        <v>30080</v>
      </c>
    </row>
    <row r="221" spans="1:2" hidden="1" x14ac:dyDescent="0.35">
      <c r="A221" t="s">
        <v>259</v>
      </c>
      <c r="B221">
        <v>30081</v>
      </c>
    </row>
    <row r="222" spans="1:2" hidden="1" x14ac:dyDescent="0.35">
      <c r="A222" t="s">
        <v>260</v>
      </c>
      <c r="B222">
        <v>30082</v>
      </c>
    </row>
    <row r="223" spans="1:2" hidden="1" x14ac:dyDescent="0.35">
      <c r="A223" t="s">
        <v>261</v>
      </c>
      <c r="B223">
        <v>30084</v>
      </c>
    </row>
    <row r="224" spans="1:2" hidden="1" x14ac:dyDescent="0.35">
      <c r="A224" t="s">
        <v>262</v>
      </c>
      <c r="B224">
        <v>30085</v>
      </c>
    </row>
    <row r="225" spans="1:2" hidden="1" x14ac:dyDescent="0.35">
      <c r="A225" t="s">
        <v>263</v>
      </c>
      <c r="B225">
        <v>30086</v>
      </c>
    </row>
    <row r="226" spans="1:2" hidden="1" x14ac:dyDescent="0.35">
      <c r="A226" t="s">
        <v>264</v>
      </c>
      <c r="B226">
        <v>30087</v>
      </c>
    </row>
    <row r="227" spans="1:2" hidden="1" x14ac:dyDescent="0.35">
      <c r="A227" t="s">
        <v>265</v>
      </c>
      <c r="B227">
        <v>30088</v>
      </c>
    </row>
    <row r="228" spans="1:2" hidden="1" x14ac:dyDescent="0.35">
      <c r="A228" t="s">
        <v>266</v>
      </c>
      <c r="B228">
        <v>30089</v>
      </c>
    </row>
    <row r="229" spans="1:2" hidden="1" x14ac:dyDescent="0.35">
      <c r="A229" t="s">
        <v>267</v>
      </c>
      <c r="B229">
        <v>30090</v>
      </c>
    </row>
    <row r="230" spans="1:2" hidden="1" x14ac:dyDescent="0.35">
      <c r="A230" t="s">
        <v>268</v>
      </c>
      <c r="B230">
        <v>30091</v>
      </c>
    </row>
    <row r="231" spans="1:2" hidden="1" x14ac:dyDescent="0.35">
      <c r="A231" t="s">
        <v>269</v>
      </c>
      <c r="B231">
        <v>30092</v>
      </c>
    </row>
    <row r="232" spans="1:2" hidden="1" x14ac:dyDescent="0.35">
      <c r="A232" t="s">
        <v>270</v>
      </c>
      <c r="B232">
        <v>30093</v>
      </c>
    </row>
    <row r="233" spans="1:2" hidden="1" x14ac:dyDescent="0.35">
      <c r="A233" t="s">
        <v>271</v>
      </c>
      <c r="B233">
        <v>30094</v>
      </c>
    </row>
    <row r="234" spans="1:2" hidden="1" x14ac:dyDescent="0.35">
      <c r="A234" t="s">
        <v>272</v>
      </c>
      <c r="B234">
        <v>30095</v>
      </c>
    </row>
    <row r="235" spans="1:2" hidden="1" x14ac:dyDescent="0.35">
      <c r="A235" t="s">
        <v>273</v>
      </c>
      <c r="B235">
        <v>30096</v>
      </c>
    </row>
    <row r="236" spans="1:2" hidden="1" x14ac:dyDescent="0.35">
      <c r="A236" t="s">
        <v>274</v>
      </c>
      <c r="B236">
        <v>30097</v>
      </c>
    </row>
    <row r="237" spans="1:2" hidden="1" x14ac:dyDescent="0.35">
      <c r="A237" t="s">
        <v>275</v>
      </c>
      <c r="B237">
        <v>30098</v>
      </c>
    </row>
    <row r="238" spans="1:2" hidden="1" x14ac:dyDescent="0.35">
      <c r="A238" t="s">
        <v>276</v>
      </c>
      <c r="B238">
        <v>30099</v>
      </c>
    </row>
    <row r="239" spans="1:2" hidden="1" x14ac:dyDescent="0.35">
      <c r="A239" t="s">
        <v>277</v>
      </c>
      <c r="B239">
        <v>30100</v>
      </c>
    </row>
    <row r="240" spans="1:2" hidden="1" x14ac:dyDescent="0.35">
      <c r="A240" t="s">
        <v>278</v>
      </c>
      <c r="B240">
        <v>30101</v>
      </c>
    </row>
    <row r="241" spans="1:2" hidden="1" x14ac:dyDescent="0.35">
      <c r="A241" t="s">
        <v>279</v>
      </c>
      <c r="B241">
        <v>30102</v>
      </c>
    </row>
    <row r="242" spans="1:2" hidden="1" x14ac:dyDescent="0.35">
      <c r="A242" t="s">
        <v>280</v>
      </c>
      <c r="B242">
        <v>30103</v>
      </c>
    </row>
    <row r="243" spans="1:2" hidden="1" x14ac:dyDescent="0.35">
      <c r="A243" t="s">
        <v>281</v>
      </c>
      <c r="B243">
        <v>30104</v>
      </c>
    </row>
    <row r="244" spans="1:2" hidden="1" x14ac:dyDescent="0.35">
      <c r="A244" t="s">
        <v>282</v>
      </c>
      <c r="B244">
        <v>30105</v>
      </c>
    </row>
    <row r="245" spans="1:2" hidden="1" x14ac:dyDescent="0.35">
      <c r="A245" t="s">
        <v>283</v>
      </c>
      <c r="B245">
        <v>30106</v>
      </c>
    </row>
    <row r="246" spans="1:2" hidden="1" x14ac:dyDescent="0.35">
      <c r="A246" t="s">
        <v>284</v>
      </c>
      <c r="B246">
        <v>30107</v>
      </c>
    </row>
    <row r="247" spans="1:2" hidden="1" x14ac:dyDescent="0.35">
      <c r="A247" t="s">
        <v>285</v>
      </c>
      <c r="B247">
        <v>30108</v>
      </c>
    </row>
    <row r="248" spans="1:2" hidden="1" x14ac:dyDescent="0.35">
      <c r="A248" t="s">
        <v>286</v>
      </c>
      <c r="B248">
        <v>30109</v>
      </c>
    </row>
    <row r="249" spans="1:2" hidden="1" x14ac:dyDescent="0.35">
      <c r="A249" t="s">
        <v>287</v>
      </c>
      <c r="B249">
        <v>30110</v>
      </c>
    </row>
    <row r="250" spans="1:2" hidden="1" x14ac:dyDescent="0.35">
      <c r="A250" t="s">
        <v>288</v>
      </c>
      <c r="B250">
        <v>30111</v>
      </c>
    </row>
    <row r="251" spans="1:2" hidden="1" x14ac:dyDescent="0.35">
      <c r="A251" t="s">
        <v>289</v>
      </c>
      <c r="B251">
        <v>30112</v>
      </c>
    </row>
    <row r="252" spans="1:2" hidden="1" x14ac:dyDescent="0.35">
      <c r="A252" t="s">
        <v>290</v>
      </c>
      <c r="B252">
        <v>30113</v>
      </c>
    </row>
    <row r="253" spans="1:2" hidden="1" x14ac:dyDescent="0.35">
      <c r="A253" t="s">
        <v>291</v>
      </c>
      <c r="B253">
        <v>30114</v>
      </c>
    </row>
    <row r="254" spans="1:2" hidden="1" x14ac:dyDescent="0.35">
      <c r="A254" t="s">
        <v>292</v>
      </c>
      <c r="B254">
        <v>30115</v>
      </c>
    </row>
    <row r="255" spans="1:2" hidden="1" x14ac:dyDescent="0.35">
      <c r="A255" t="s">
        <v>293</v>
      </c>
      <c r="B255">
        <v>30116</v>
      </c>
    </row>
    <row r="256" spans="1:2" hidden="1" x14ac:dyDescent="0.35">
      <c r="A256" t="s">
        <v>294</v>
      </c>
      <c r="B256">
        <v>30117</v>
      </c>
    </row>
    <row r="257" spans="1:2" hidden="1" x14ac:dyDescent="0.35">
      <c r="A257" t="s">
        <v>295</v>
      </c>
      <c r="B257">
        <v>30118</v>
      </c>
    </row>
    <row r="258" spans="1:2" hidden="1" x14ac:dyDescent="0.35">
      <c r="A258" t="s">
        <v>296</v>
      </c>
      <c r="B258">
        <v>30119</v>
      </c>
    </row>
    <row r="259" spans="1:2" hidden="1" x14ac:dyDescent="0.35">
      <c r="A259" t="s">
        <v>297</v>
      </c>
      <c r="B259">
        <v>30120</v>
      </c>
    </row>
    <row r="260" spans="1:2" hidden="1" x14ac:dyDescent="0.35">
      <c r="A260" t="s">
        <v>298</v>
      </c>
      <c r="B260">
        <v>30121</v>
      </c>
    </row>
    <row r="261" spans="1:2" hidden="1" x14ac:dyDescent="0.35">
      <c r="A261" t="s">
        <v>299</v>
      </c>
      <c r="B261">
        <v>30122</v>
      </c>
    </row>
    <row r="262" spans="1:2" hidden="1" x14ac:dyDescent="0.35">
      <c r="A262" t="s">
        <v>300</v>
      </c>
      <c r="B262">
        <v>30123</v>
      </c>
    </row>
    <row r="263" spans="1:2" hidden="1" x14ac:dyDescent="0.35">
      <c r="A263" t="s">
        <v>301</v>
      </c>
      <c r="B263">
        <v>30124</v>
      </c>
    </row>
    <row r="264" spans="1:2" hidden="1" x14ac:dyDescent="0.35">
      <c r="A264" t="s">
        <v>302</v>
      </c>
      <c r="B264">
        <v>30125</v>
      </c>
    </row>
    <row r="265" spans="1:2" hidden="1" x14ac:dyDescent="0.35">
      <c r="A265" t="s">
        <v>303</v>
      </c>
      <c r="B265">
        <v>30126</v>
      </c>
    </row>
    <row r="266" spans="1:2" x14ac:dyDescent="0.35">
      <c r="A266" t="s">
        <v>304</v>
      </c>
      <c r="B266">
        <v>30127</v>
      </c>
    </row>
    <row r="267" spans="1:2" hidden="1" x14ac:dyDescent="0.35">
      <c r="A267" t="s">
        <v>305</v>
      </c>
      <c r="B267">
        <v>30128</v>
      </c>
    </row>
    <row r="268" spans="1:2" hidden="1" x14ac:dyDescent="0.35">
      <c r="A268" t="s">
        <v>306</v>
      </c>
      <c r="B268">
        <v>30129</v>
      </c>
    </row>
    <row r="269" spans="1:2" hidden="1" x14ac:dyDescent="0.35">
      <c r="A269" t="s">
        <v>307</v>
      </c>
      <c r="B269">
        <v>30130</v>
      </c>
    </row>
    <row r="270" spans="1:2" hidden="1" x14ac:dyDescent="0.35">
      <c r="A270" t="s">
        <v>308</v>
      </c>
      <c r="B270">
        <v>30131</v>
      </c>
    </row>
    <row r="271" spans="1:2" hidden="1" x14ac:dyDescent="0.35">
      <c r="A271" t="s">
        <v>309</v>
      </c>
      <c r="B271">
        <v>30132</v>
      </c>
    </row>
    <row r="272" spans="1:2" hidden="1" x14ac:dyDescent="0.35">
      <c r="A272" t="s">
        <v>310</v>
      </c>
      <c r="B272">
        <v>30133</v>
      </c>
    </row>
    <row r="273" spans="1:2" hidden="1" x14ac:dyDescent="0.35">
      <c r="A273" t="s">
        <v>311</v>
      </c>
      <c r="B273">
        <v>30134</v>
      </c>
    </row>
    <row r="274" spans="1:2" hidden="1" x14ac:dyDescent="0.35">
      <c r="A274" t="s">
        <v>312</v>
      </c>
      <c r="B274">
        <v>30135</v>
      </c>
    </row>
    <row r="275" spans="1:2" hidden="1" x14ac:dyDescent="0.35">
      <c r="A275" t="s">
        <v>313</v>
      </c>
      <c r="B275">
        <v>30136</v>
      </c>
    </row>
    <row r="276" spans="1:2" hidden="1" x14ac:dyDescent="0.35">
      <c r="A276" t="s">
        <v>314</v>
      </c>
      <c r="B276">
        <v>30137</v>
      </c>
    </row>
    <row r="277" spans="1:2" hidden="1" x14ac:dyDescent="0.35">
      <c r="A277" t="s">
        <v>315</v>
      </c>
      <c r="B277">
        <v>30138</v>
      </c>
    </row>
    <row r="278" spans="1:2" hidden="1" x14ac:dyDescent="0.35">
      <c r="A278" t="s">
        <v>316</v>
      </c>
      <c r="B278">
        <v>30139</v>
      </c>
    </row>
    <row r="279" spans="1:2" hidden="1" x14ac:dyDescent="0.35">
      <c r="A279" t="s">
        <v>317</v>
      </c>
      <c r="B279">
        <v>30140</v>
      </c>
    </row>
    <row r="280" spans="1:2" hidden="1" x14ac:dyDescent="0.35">
      <c r="A280" t="s">
        <v>318</v>
      </c>
      <c r="B280">
        <v>30141</v>
      </c>
    </row>
    <row r="281" spans="1:2" hidden="1" x14ac:dyDescent="0.35">
      <c r="A281" t="s">
        <v>319</v>
      </c>
      <c r="B281">
        <v>30142</v>
      </c>
    </row>
    <row r="282" spans="1:2" hidden="1" x14ac:dyDescent="0.35">
      <c r="A282" t="s">
        <v>320</v>
      </c>
      <c r="B282">
        <v>30143</v>
      </c>
    </row>
    <row r="283" spans="1:2" hidden="1" x14ac:dyDescent="0.35">
      <c r="A283" t="s">
        <v>321</v>
      </c>
      <c r="B283">
        <v>30144</v>
      </c>
    </row>
    <row r="284" spans="1:2" hidden="1" x14ac:dyDescent="0.35">
      <c r="A284" t="s">
        <v>322</v>
      </c>
      <c r="B284">
        <v>30145</v>
      </c>
    </row>
    <row r="285" spans="1:2" hidden="1" x14ac:dyDescent="0.35">
      <c r="A285" t="s">
        <v>323</v>
      </c>
      <c r="B285">
        <v>30146</v>
      </c>
    </row>
    <row r="286" spans="1:2" hidden="1" x14ac:dyDescent="0.35">
      <c r="A286" t="s">
        <v>324</v>
      </c>
      <c r="B286">
        <v>30147</v>
      </c>
    </row>
    <row r="287" spans="1:2" hidden="1" x14ac:dyDescent="0.35">
      <c r="A287" t="s">
        <v>325</v>
      </c>
      <c r="B287">
        <v>30148</v>
      </c>
    </row>
    <row r="288" spans="1:2" hidden="1" x14ac:dyDescent="0.35">
      <c r="A288" t="s">
        <v>326</v>
      </c>
      <c r="B288">
        <v>30149</v>
      </c>
    </row>
    <row r="289" spans="1:2" hidden="1" x14ac:dyDescent="0.35">
      <c r="A289" t="s">
        <v>327</v>
      </c>
      <c r="B289">
        <v>30150</v>
      </c>
    </row>
    <row r="290" spans="1:2" hidden="1" x14ac:dyDescent="0.35">
      <c r="A290" t="s">
        <v>328</v>
      </c>
      <c r="B290">
        <v>30151</v>
      </c>
    </row>
    <row r="291" spans="1:2" hidden="1" x14ac:dyDescent="0.35">
      <c r="A291" t="s">
        <v>329</v>
      </c>
      <c r="B291">
        <v>30152</v>
      </c>
    </row>
    <row r="292" spans="1:2" hidden="1" x14ac:dyDescent="0.35">
      <c r="A292" t="s">
        <v>330</v>
      </c>
      <c r="B292">
        <v>30153</v>
      </c>
    </row>
    <row r="293" spans="1:2" hidden="1" x14ac:dyDescent="0.35">
      <c r="A293" t="s">
        <v>331</v>
      </c>
      <c r="B293">
        <v>30154</v>
      </c>
    </row>
    <row r="294" spans="1:2" hidden="1" x14ac:dyDescent="0.35">
      <c r="A294" t="s">
        <v>332</v>
      </c>
      <c r="B294">
        <v>30155</v>
      </c>
    </row>
    <row r="295" spans="1:2" hidden="1" x14ac:dyDescent="0.35">
      <c r="A295" t="s">
        <v>333</v>
      </c>
      <c r="B295">
        <v>30156</v>
      </c>
    </row>
    <row r="296" spans="1:2" hidden="1" x14ac:dyDescent="0.35">
      <c r="A296" t="s">
        <v>334</v>
      </c>
      <c r="B296">
        <v>30157</v>
      </c>
    </row>
    <row r="297" spans="1:2" hidden="1" x14ac:dyDescent="0.35">
      <c r="A297" t="s">
        <v>335</v>
      </c>
      <c r="B297">
        <v>30158</v>
      </c>
    </row>
    <row r="298" spans="1:2" hidden="1" x14ac:dyDescent="0.35">
      <c r="A298" t="s">
        <v>336</v>
      </c>
      <c r="B298">
        <v>30159</v>
      </c>
    </row>
    <row r="299" spans="1:2" hidden="1" x14ac:dyDescent="0.35">
      <c r="A299" t="s">
        <v>337</v>
      </c>
      <c r="B299">
        <v>30160</v>
      </c>
    </row>
    <row r="300" spans="1:2" hidden="1" x14ac:dyDescent="0.35">
      <c r="A300" t="s">
        <v>338</v>
      </c>
      <c r="B300">
        <v>30161</v>
      </c>
    </row>
    <row r="301" spans="1:2" hidden="1" x14ac:dyDescent="0.35">
      <c r="A301" t="s">
        <v>339</v>
      </c>
      <c r="B301">
        <v>30162</v>
      </c>
    </row>
    <row r="302" spans="1:2" hidden="1" x14ac:dyDescent="0.35">
      <c r="A302" t="s">
        <v>340</v>
      </c>
      <c r="B302">
        <v>30163</v>
      </c>
    </row>
    <row r="303" spans="1:2" hidden="1" x14ac:dyDescent="0.35">
      <c r="A303" t="s">
        <v>341</v>
      </c>
      <c r="B303">
        <v>30164</v>
      </c>
    </row>
    <row r="304" spans="1:2" hidden="1" x14ac:dyDescent="0.35">
      <c r="A304" t="s">
        <v>342</v>
      </c>
      <c r="B304">
        <v>30165</v>
      </c>
    </row>
    <row r="305" spans="1:2" hidden="1" x14ac:dyDescent="0.35">
      <c r="A305" t="s">
        <v>343</v>
      </c>
      <c r="B305">
        <v>30166</v>
      </c>
    </row>
    <row r="306" spans="1:2" hidden="1" x14ac:dyDescent="0.35">
      <c r="A306" t="s">
        <v>344</v>
      </c>
      <c r="B306">
        <v>30167</v>
      </c>
    </row>
    <row r="307" spans="1:2" hidden="1" x14ac:dyDescent="0.35">
      <c r="A307" t="s">
        <v>345</v>
      </c>
      <c r="B307">
        <v>30168</v>
      </c>
    </row>
    <row r="308" spans="1:2" hidden="1" x14ac:dyDescent="0.35">
      <c r="A308" t="s">
        <v>346</v>
      </c>
      <c r="B308">
        <v>30169</v>
      </c>
    </row>
    <row r="309" spans="1:2" hidden="1" x14ac:dyDescent="0.35">
      <c r="A309" t="s">
        <v>347</v>
      </c>
      <c r="B309">
        <v>30170</v>
      </c>
    </row>
    <row r="310" spans="1:2" hidden="1" x14ac:dyDescent="0.35">
      <c r="A310" t="s">
        <v>348</v>
      </c>
      <c r="B310">
        <v>30171</v>
      </c>
    </row>
    <row r="311" spans="1:2" hidden="1" x14ac:dyDescent="0.35">
      <c r="A311" t="s">
        <v>349</v>
      </c>
      <c r="B311">
        <v>30172</v>
      </c>
    </row>
    <row r="312" spans="1:2" hidden="1" x14ac:dyDescent="0.35">
      <c r="A312" t="s">
        <v>350</v>
      </c>
      <c r="B312">
        <v>30173</v>
      </c>
    </row>
    <row r="313" spans="1:2" hidden="1" x14ac:dyDescent="0.35">
      <c r="A313" t="s">
        <v>351</v>
      </c>
      <c r="B313">
        <v>30174</v>
      </c>
    </row>
    <row r="314" spans="1:2" hidden="1" x14ac:dyDescent="0.35">
      <c r="A314" t="s">
        <v>352</v>
      </c>
      <c r="B314">
        <v>30175</v>
      </c>
    </row>
    <row r="315" spans="1:2" hidden="1" x14ac:dyDescent="0.35">
      <c r="A315" t="s">
        <v>353</v>
      </c>
      <c r="B315">
        <v>30176</v>
      </c>
    </row>
    <row r="316" spans="1:2" hidden="1" x14ac:dyDescent="0.35">
      <c r="A316" t="s">
        <v>354</v>
      </c>
      <c r="B316">
        <v>30177</v>
      </c>
    </row>
    <row r="317" spans="1:2" hidden="1" x14ac:dyDescent="0.35">
      <c r="A317" t="s">
        <v>355</v>
      </c>
      <c r="B317">
        <v>30178</v>
      </c>
    </row>
    <row r="318" spans="1:2" hidden="1" x14ac:dyDescent="0.35">
      <c r="A318" t="s">
        <v>356</v>
      </c>
      <c r="B318">
        <v>30179</v>
      </c>
    </row>
    <row r="319" spans="1:2" hidden="1" x14ac:dyDescent="0.35">
      <c r="A319" t="s">
        <v>357</v>
      </c>
      <c r="B319">
        <v>30180</v>
      </c>
    </row>
    <row r="320" spans="1:2" hidden="1" x14ac:dyDescent="0.35">
      <c r="A320" t="s">
        <v>358</v>
      </c>
      <c r="B320">
        <v>30181</v>
      </c>
    </row>
    <row r="321" spans="1:2" hidden="1" x14ac:dyDescent="0.35">
      <c r="A321" t="s">
        <v>359</v>
      </c>
      <c r="B321">
        <v>30182</v>
      </c>
    </row>
    <row r="322" spans="1:2" hidden="1" x14ac:dyDescent="0.35">
      <c r="A322" t="s">
        <v>360</v>
      </c>
      <c r="B322">
        <v>30183</v>
      </c>
    </row>
    <row r="323" spans="1:2" hidden="1" x14ac:dyDescent="0.35">
      <c r="A323" t="s">
        <v>361</v>
      </c>
      <c r="B323">
        <v>30184</v>
      </c>
    </row>
    <row r="324" spans="1:2" hidden="1" x14ac:dyDescent="0.35">
      <c r="A324" t="s">
        <v>362</v>
      </c>
      <c r="B324">
        <v>30185</v>
      </c>
    </row>
    <row r="325" spans="1:2" hidden="1" x14ac:dyDescent="0.35">
      <c r="A325" t="s">
        <v>363</v>
      </c>
      <c r="B325">
        <v>30186</v>
      </c>
    </row>
    <row r="326" spans="1:2" hidden="1" x14ac:dyDescent="0.35">
      <c r="A326" t="s">
        <v>364</v>
      </c>
      <c r="B326">
        <v>30187</v>
      </c>
    </row>
    <row r="327" spans="1:2" hidden="1" x14ac:dyDescent="0.35">
      <c r="A327" t="s">
        <v>365</v>
      </c>
      <c r="B327">
        <v>30188</v>
      </c>
    </row>
    <row r="328" spans="1:2" hidden="1" x14ac:dyDescent="0.35">
      <c r="A328" t="s">
        <v>366</v>
      </c>
      <c r="B328">
        <v>50000</v>
      </c>
    </row>
    <row r="329" spans="1:2" hidden="1" x14ac:dyDescent="0.35">
      <c r="A329" t="s">
        <v>367</v>
      </c>
      <c r="B329">
        <v>50001</v>
      </c>
    </row>
    <row r="330" spans="1:2" hidden="1" x14ac:dyDescent="0.35">
      <c r="A330" t="s">
        <v>368</v>
      </c>
      <c r="B330">
        <v>50002</v>
      </c>
    </row>
    <row r="331" spans="1:2" hidden="1" x14ac:dyDescent="0.35">
      <c r="A331" t="s">
        <v>369</v>
      </c>
      <c r="B331">
        <v>50003</v>
      </c>
    </row>
    <row r="332" spans="1:2" hidden="1" x14ac:dyDescent="0.35">
      <c r="A332" t="s">
        <v>370</v>
      </c>
      <c r="B332">
        <v>50004</v>
      </c>
    </row>
    <row r="333" spans="1:2" hidden="1" x14ac:dyDescent="0.35">
      <c r="A333" t="s">
        <v>371</v>
      </c>
      <c r="B333">
        <v>50005</v>
      </c>
    </row>
    <row r="334" spans="1:2" hidden="1" x14ac:dyDescent="0.35">
      <c r="A334" t="s">
        <v>372</v>
      </c>
      <c r="B334">
        <v>50006</v>
      </c>
    </row>
    <row r="335" spans="1:2" hidden="1" x14ac:dyDescent="0.35">
      <c r="A335" t="s">
        <v>373</v>
      </c>
      <c r="B335">
        <v>50007</v>
      </c>
    </row>
    <row r="336" spans="1:2" hidden="1" x14ac:dyDescent="0.35">
      <c r="A336" t="s">
        <v>374</v>
      </c>
      <c r="B336">
        <v>50008</v>
      </c>
    </row>
    <row r="337" spans="1:2" hidden="1" x14ac:dyDescent="0.35">
      <c r="A337" t="s">
        <v>375</v>
      </c>
      <c r="B337">
        <v>50009</v>
      </c>
    </row>
    <row r="338" spans="1:2" hidden="1" x14ac:dyDescent="0.35">
      <c r="A338" t="s">
        <v>376</v>
      </c>
      <c r="B338">
        <v>50010</v>
      </c>
    </row>
    <row r="339" spans="1:2" hidden="1" x14ac:dyDescent="0.35">
      <c r="A339" t="s">
        <v>377</v>
      </c>
      <c r="B339">
        <v>50011</v>
      </c>
    </row>
    <row r="340" spans="1:2" hidden="1" x14ac:dyDescent="0.35">
      <c r="A340" t="s">
        <v>378</v>
      </c>
      <c r="B340">
        <v>50012</v>
      </c>
    </row>
    <row r="341" spans="1:2" hidden="1" x14ac:dyDescent="0.35">
      <c r="A341" t="s">
        <v>379</v>
      </c>
      <c r="B341">
        <v>50013</v>
      </c>
    </row>
    <row r="342" spans="1:2" hidden="1" x14ac:dyDescent="0.35">
      <c r="A342" t="s">
        <v>380</v>
      </c>
      <c r="B342">
        <v>50014</v>
      </c>
    </row>
    <row r="343" spans="1:2" hidden="1" x14ac:dyDescent="0.35">
      <c r="A343" t="s">
        <v>381</v>
      </c>
      <c r="B343">
        <v>50015</v>
      </c>
    </row>
    <row r="344" spans="1:2" hidden="1" x14ac:dyDescent="0.35">
      <c r="A344" t="s">
        <v>382</v>
      </c>
      <c r="B344">
        <v>50016</v>
      </c>
    </row>
    <row r="345" spans="1:2" hidden="1" x14ac:dyDescent="0.35">
      <c r="A345" t="s">
        <v>383</v>
      </c>
      <c r="B345">
        <v>50017</v>
      </c>
    </row>
    <row r="346" spans="1:2" hidden="1" x14ac:dyDescent="0.35">
      <c r="A346" t="s">
        <v>384</v>
      </c>
      <c r="B346">
        <v>50018</v>
      </c>
    </row>
    <row r="347" spans="1:2" hidden="1" x14ac:dyDescent="0.35">
      <c r="A347" t="s">
        <v>385</v>
      </c>
      <c r="B347">
        <v>50019</v>
      </c>
    </row>
    <row r="348" spans="1:2" hidden="1" x14ac:dyDescent="0.35">
      <c r="A348" t="s">
        <v>386</v>
      </c>
      <c r="B348">
        <v>50020</v>
      </c>
    </row>
    <row r="349" spans="1:2" hidden="1" x14ac:dyDescent="0.35">
      <c r="A349" t="s">
        <v>387</v>
      </c>
      <c r="B349">
        <v>50021</v>
      </c>
    </row>
    <row r="350" spans="1:2" hidden="1" x14ac:dyDescent="0.35">
      <c r="A350" t="s">
        <v>388</v>
      </c>
      <c r="B350">
        <v>50022</v>
      </c>
    </row>
    <row r="351" spans="1:2" hidden="1" x14ac:dyDescent="0.35">
      <c r="A351" t="s">
        <v>389</v>
      </c>
      <c r="B351">
        <v>50023</v>
      </c>
    </row>
    <row r="352" spans="1:2" hidden="1" x14ac:dyDescent="0.35">
      <c r="A352" t="s">
        <v>390</v>
      </c>
      <c r="B352">
        <v>50024</v>
      </c>
    </row>
    <row r="353" spans="1:2" hidden="1" x14ac:dyDescent="0.35">
      <c r="A353" t="s">
        <v>391</v>
      </c>
      <c r="B353">
        <v>50025</v>
      </c>
    </row>
    <row r="354" spans="1:2" hidden="1" x14ac:dyDescent="0.35">
      <c r="A354" t="s">
        <v>392</v>
      </c>
      <c r="B354">
        <v>50026</v>
      </c>
    </row>
    <row r="355" spans="1:2" hidden="1" x14ac:dyDescent="0.35">
      <c r="A355" t="s">
        <v>393</v>
      </c>
      <c r="B355">
        <v>50027</v>
      </c>
    </row>
    <row r="356" spans="1:2" hidden="1" x14ac:dyDescent="0.35">
      <c r="A356" t="s">
        <v>394</v>
      </c>
      <c r="B356">
        <v>50028</v>
      </c>
    </row>
    <row r="357" spans="1:2" hidden="1" x14ac:dyDescent="0.35">
      <c r="A357" t="s">
        <v>395</v>
      </c>
      <c r="B357">
        <v>50029</v>
      </c>
    </row>
    <row r="358" spans="1:2" hidden="1" x14ac:dyDescent="0.35">
      <c r="A358" t="s">
        <v>396</v>
      </c>
      <c r="B358">
        <v>50030</v>
      </c>
    </row>
    <row r="359" spans="1:2" hidden="1" x14ac:dyDescent="0.35">
      <c r="A359" t="s">
        <v>397</v>
      </c>
      <c r="B359">
        <v>50031</v>
      </c>
    </row>
    <row r="360" spans="1:2" hidden="1" x14ac:dyDescent="0.35">
      <c r="A360" t="s">
        <v>398</v>
      </c>
      <c r="B360">
        <v>50032</v>
      </c>
    </row>
    <row r="361" spans="1:2" hidden="1" x14ac:dyDescent="0.35">
      <c r="A361" t="s">
        <v>399</v>
      </c>
      <c r="B361">
        <v>50033</v>
      </c>
    </row>
    <row r="362" spans="1:2" hidden="1" x14ac:dyDescent="0.35">
      <c r="A362" t="s">
        <v>400</v>
      </c>
      <c r="B362">
        <v>50034</v>
      </c>
    </row>
    <row r="363" spans="1:2" hidden="1" x14ac:dyDescent="0.35">
      <c r="A363" t="s">
        <v>401</v>
      </c>
      <c r="B363">
        <v>50035</v>
      </c>
    </row>
    <row r="364" spans="1:2" hidden="1" x14ac:dyDescent="0.35">
      <c r="A364" t="s">
        <v>402</v>
      </c>
      <c r="B364">
        <v>50036</v>
      </c>
    </row>
    <row r="365" spans="1:2" hidden="1" x14ac:dyDescent="0.35">
      <c r="A365" t="s">
        <v>403</v>
      </c>
      <c r="B365">
        <v>50037</v>
      </c>
    </row>
    <row r="366" spans="1:2" hidden="1" x14ac:dyDescent="0.35">
      <c r="A366" t="s">
        <v>404</v>
      </c>
      <c r="B366">
        <v>50038</v>
      </c>
    </row>
    <row r="367" spans="1:2" hidden="1" x14ac:dyDescent="0.35">
      <c r="A367" t="s">
        <v>405</v>
      </c>
      <c r="B367">
        <v>50039</v>
      </c>
    </row>
    <row r="368" spans="1:2" hidden="1" x14ac:dyDescent="0.35">
      <c r="A368" t="s">
        <v>406</v>
      </c>
      <c r="B368">
        <v>50040</v>
      </c>
    </row>
    <row r="369" spans="1:2" hidden="1" x14ac:dyDescent="0.35">
      <c r="A369" t="s">
        <v>407</v>
      </c>
      <c r="B369">
        <v>50041</v>
      </c>
    </row>
    <row r="370" spans="1:2" hidden="1" x14ac:dyDescent="0.35">
      <c r="A370" t="s">
        <v>408</v>
      </c>
      <c r="B370">
        <v>50042</v>
      </c>
    </row>
    <row r="371" spans="1:2" hidden="1" x14ac:dyDescent="0.35">
      <c r="A371" t="s">
        <v>409</v>
      </c>
      <c r="B371">
        <v>50043</v>
      </c>
    </row>
    <row r="372" spans="1:2" hidden="1" x14ac:dyDescent="0.35">
      <c r="A372" t="s">
        <v>410</v>
      </c>
      <c r="B372">
        <v>50044</v>
      </c>
    </row>
    <row r="373" spans="1:2" hidden="1" x14ac:dyDescent="0.35">
      <c r="A373" t="s">
        <v>411</v>
      </c>
      <c r="B373">
        <v>50045</v>
      </c>
    </row>
    <row r="374" spans="1:2" hidden="1" x14ac:dyDescent="0.35">
      <c r="A374" t="s">
        <v>412</v>
      </c>
      <c r="B374">
        <v>50046</v>
      </c>
    </row>
    <row r="375" spans="1:2" hidden="1" x14ac:dyDescent="0.35">
      <c r="A375" t="s">
        <v>413</v>
      </c>
      <c r="B375">
        <v>79008</v>
      </c>
    </row>
    <row r="376" spans="1:2" hidden="1" x14ac:dyDescent="0.35">
      <c r="A376" t="s">
        <v>414</v>
      </c>
      <c r="B376">
        <v>79010</v>
      </c>
    </row>
    <row r="377" spans="1:2" hidden="1" x14ac:dyDescent="0.35">
      <c r="A377" t="s">
        <v>415</v>
      </c>
      <c r="B377">
        <v>79043</v>
      </c>
    </row>
    <row r="378" spans="1:2" hidden="1" x14ac:dyDescent="0.35">
      <c r="A378" t="s">
        <v>416</v>
      </c>
      <c r="B378">
        <v>79055</v>
      </c>
    </row>
    <row r="379" spans="1:2" hidden="1" x14ac:dyDescent="0.35">
      <c r="A379" t="s">
        <v>417</v>
      </c>
      <c r="B379">
        <v>79107</v>
      </c>
    </row>
    <row r="380" spans="1:2" hidden="1" x14ac:dyDescent="0.35">
      <c r="A380" t="s">
        <v>418</v>
      </c>
      <c r="B380">
        <v>79120</v>
      </c>
    </row>
    <row r="381" spans="1:2" hidden="1" x14ac:dyDescent="0.35">
      <c r="A381" t="s">
        <v>419</v>
      </c>
      <c r="B381">
        <v>10133</v>
      </c>
    </row>
    <row r="382" spans="1:2" hidden="1" x14ac:dyDescent="0.35">
      <c r="A382" t="s">
        <v>420</v>
      </c>
      <c r="B382">
        <v>30191</v>
      </c>
    </row>
    <row r="383" spans="1:2" hidden="1" x14ac:dyDescent="0.35">
      <c r="A383" t="s">
        <v>176</v>
      </c>
      <c r="B383">
        <v>30190</v>
      </c>
    </row>
    <row r="384" spans="1:2" hidden="1" x14ac:dyDescent="0.35">
      <c r="A384" t="s">
        <v>421</v>
      </c>
      <c r="B384">
        <v>10131</v>
      </c>
    </row>
    <row r="385" spans="1:2" hidden="1" x14ac:dyDescent="0.35">
      <c r="A385" t="s">
        <v>422</v>
      </c>
      <c r="B385">
        <v>30189</v>
      </c>
    </row>
    <row r="386" spans="1:2" hidden="1" x14ac:dyDescent="0.35">
      <c r="A386" t="s">
        <v>423</v>
      </c>
      <c r="B386">
        <v>30196</v>
      </c>
    </row>
    <row r="387" spans="1:2" hidden="1" x14ac:dyDescent="0.35">
      <c r="A387" t="s">
        <v>424</v>
      </c>
      <c r="B387">
        <v>30194</v>
      </c>
    </row>
    <row r="388" spans="1:2" hidden="1" x14ac:dyDescent="0.35">
      <c r="A388" t="s">
        <v>425</v>
      </c>
      <c r="B388">
        <v>30195</v>
      </c>
    </row>
    <row r="389" spans="1:2" hidden="1" x14ac:dyDescent="0.35">
      <c r="A389" t="s">
        <v>426</v>
      </c>
      <c r="B389">
        <v>10136</v>
      </c>
    </row>
  </sheetData>
  <dataValidations count="1">
    <dataValidation allowBlank="1" showInputMessage="1" sqref="N2" xr:uid="{DAFF3DC1-984A-42FF-B8BA-B15D50BA918B}"/>
  </dataValidations>
  <pageMargins left="0.7" right="0.7" top="0.75" bottom="0.75" header="0.3" footer="0.3"/>
  <pageSetup orientation="landscape" horizontalDpi="1200" verticalDpi="1200" r:id="rId1"/>
  <ignoredErrors>
    <ignoredError sqref="F4:J7" calculatedColumn="1"/>
  </ignoredErrors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B53-8AA9-4FDD-AE72-8522EA1AC83C}">
  <sheetPr codeName="CollReport">
    <pageSetUpPr fitToPage="1"/>
  </sheetPr>
  <dimension ref="A2:N186"/>
  <sheetViews>
    <sheetView rightToLeft="1" topLeftCell="B1" workbookViewId="0">
      <selection activeCell="F83" sqref="F83"/>
    </sheetView>
  </sheetViews>
  <sheetFormatPr defaultRowHeight="14.5" x14ac:dyDescent="0.35"/>
  <cols>
    <col min="1" max="1" width="24.453125" bestFit="1" customWidth="1"/>
    <col min="4" max="4" width="13" bestFit="1" customWidth="1"/>
    <col min="5" max="5" width="26.36328125" bestFit="1" customWidth="1"/>
    <col min="6" max="6" width="11.81640625" customWidth="1"/>
    <col min="7" max="9" width="11.6328125" hidden="1" customWidth="1"/>
    <col min="10" max="10" width="12.90625" customWidth="1"/>
    <col min="11" max="11" width="16.6328125" customWidth="1"/>
    <col min="12" max="14" width="15.54296875" customWidth="1"/>
  </cols>
  <sheetData>
    <row r="2" spans="1:14" x14ac:dyDescent="0.35">
      <c r="D2" s="43" t="s">
        <v>725</v>
      </c>
      <c r="E2" s="44">
        <f ca="1">NOW()</f>
        <v>45462.753740972221</v>
      </c>
    </row>
    <row r="3" spans="1:14" ht="29" x14ac:dyDescent="0.35">
      <c r="C3" s="1" t="s">
        <v>6</v>
      </c>
      <c r="D3" s="1" t="s">
        <v>429</v>
      </c>
      <c r="E3" s="1" t="s">
        <v>428</v>
      </c>
      <c r="F3" s="35" t="s">
        <v>437</v>
      </c>
      <c r="G3" s="35" t="s">
        <v>30</v>
      </c>
      <c r="H3" s="35" t="s">
        <v>430</v>
      </c>
      <c r="I3" s="35" t="s">
        <v>431</v>
      </c>
      <c r="J3" s="35" t="s">
        <v>432</v>
      </c>
      <c r="K3" s="35" t="s">
        <v>433</v>
      </c>
      <c r="L3" s="35" t="s">
        <v>694</v>
      </c>
      <c r="M3" s="35" t="s">
        <v>436</v>
      </c>
      <c r="N3" s="35" t="s">
        <v>435</v>
      </c>
    </row>
    <row r="4" spans="1:14" hidden="1" x14ac:dyDescent="0.35">
      <c r="A4" t="s">
        <v>304</v>
      </c>
      <c r="C4" s="27">
        <f>SUBTOTAL(2,INDEX(CollReport[کد تفصیلی],1):CollReport[[#This Row],[کد تفصیلی]])</f>
        <v>0</v>
      </c>
      <c r="D4" s="26">
        <v>30127</v>
      </c>
      <c r="E4" s="10" t="str">
        <f>INDEX(customer[عنوان],MATCH(CollReport[[#This Row],[کد تفصیلی]],customer[کد],0))</f>
        <v>شیر گاز آذران</v>
      </c>
      <c r="F4" s="37">
        <v>18472</v>
      </c>
      <c r="G4" s="37">
        <v>46389.70416666667</v>
      </c>
      <c r="H4" s="37">
        <v>22.435910663654663</v>
      </c>
      <c r="I4" s="37">
        <v>18472</v>
      </c>
      <c r="J4" s="37">
        <v>32.633050115742662</v>
      </c>
      <c r="K4" s="37">
        <v>7.0115689550670455</v>
      </c>
      <c r="L4" s="45">
        <v>2696</v>
      </c>
      <c r="M4" s="38">
        <v>32.633050115742662</v>
      </c>
      <c r="N4" s="46">
        <v>32.633050115742662</v>
      </c>
    </row>
    <row r="5" spans="1:14" hidden="1" x14ac:dyDescent="0.35">
      <c r="A5" t="s">
        <v>51</v>
      </c>
      <c r="C5" s="27">
        <f>SUBTOTAL(2,INDEX(CollReport[کد تفصیلی],1):CollReport[[#This Row],[کد تفصیلی]])</f>
        <v>0</v>
      </c>
      <c r="D5" s="26">
        <v>30068</v>
      </c>
      <c r="E5" s="10" t="str">
        <f>INDEX(customer[عنوان],MATCH(CollReport[[#This Row],[کد تفصیلی]],customer[کد],0))</f>
        <v xml:space="preserve">شیرگاز ایران </v>
      </c>
      <c r="F5" s="37">
        <v>0</v>
      </c>
      <c r="G5" s="37" t="s">
        <v>711</v>
      </c>
      <c r="H5" s="37" t="s">
        <v>711</v>
      </c>
      <c r="I5" s="37">
        <v>0</v>
      </c>
      <c r="J5" s="37">
        <v>0</v>
      </c>
      <c r="K5" s="37" t="s">
        <v>710</v>
      </c>
      <c r="L5" s="45">
        <v>0</v>
      </c>
      <c r="M5" s="38">
        <v>0</v>
      </c>
      <c r="N5" s="46" t="s">
        <v>710</v>
      </c>
    </row>
    <row r="6" spans="1:14" hidden="1" x14ac:dyDescent="0.35">
      <c r="A6" t="s">
        <v>188</v>
      </c>
      <c r="C6" s="27">
        <f>SUBTOTAL(2,INDEX(CollReport[کد تفصیلی],1):CollReport[[#This Row],[کد تفصیلی]])</f>
        <v>0</v>
      </c>
      <c r="D6" s="26">
        <v>10003</v>
      </c>
      <c r="E6" s="10" t="str">
        <f>INDEX(customer[عنوان],MATCH(CollReport[[#This Row],[کد تفصیلی]],customer[کد],0))</f>
        <v>اصغر نورعلی</v>
      </c>
      <c r="F6" s="37">
        <v>37200</v>
      </c>
      <c r="G6" s="37">
        <v>29476.210714285713</v>
      </c>
      <c r="H6" s="37">
        <v>24.531821991831979</v>
      </c>
      <c r="I6" s="37">
        <v>37200</v>
      </c>
      <c r="J6" s="37">
        <v>29.633062384258665</v>
      </c>
      <c r="K6" s="37">
        <v>15.70870754554899</v>
      </c>
      <c r="L6" s="45">
        <v>16877</v>
      </c>
      <c r="M6" s="38">
        <v>29.633062384258665</v>
      </c>
      <c r="N6" s="46">
        <v>22.348947908937223</v>
      </c>
    </row>
    <row r="7" spans="1:14" hidden="1" x14ac:dyDescent="0.35">
      <c r="A7" t="s">
        <v>103</v>
      </c>
      <c r="C7" s="27">
        <f>SUBTOTAL(2,INDEX(CollReport[کد تفصیلی],1):CollReport[[#This Row],[کد تفصیلی]])</f>
        <v>0</v>
      </c>
      <c r="D7" s="26">
        <v>10055</v>
      </c>
      <c r="E7" s="10" t="str">
        <f>INDEX(customer[عنوان],MATCH(CollReport[[#This Row],[کد تفصیلی]],customer[کد],0))</f>
        <v xml:space="preserve">مریم فیض آبادی  </v>
      </c>
      <c r="F7" s="37">
        <v>12714</v>
      </c>
      <c r="G7" s="37">
        <v>17310.888086642601</v>
      </c>
      <c r="H7" s="37">
        <v>17.359017058125055</v>
      </c>
      <c r="I7" s="37">
        <v>12714</v>
      </c>
      <c r="J7" s="37">
        <v>18.633069560186414</v>
      </c>
      <c r="K7" s="37">
        <v>10.315624224336171</v>
      </c>
      <c r="L7" s="45">
        <v>2196</v>
      </c>
      <c r="M7" s="38">
        <v>18.633069560186414</v>
      </c>
      <c r="N7" s="46">
        <v>18.633069560186414</v>
      </c>
    </row>
    <row r="8" spans="1:14" hidden="1" x14ac:dyDescent="0.35">
      <c r="A8" t="s">
        <v>183</v>
      </c>
      <c r="C8" s="27">
        <f>SUBTOTAL(2,INDEX(CollReport[کد تفصیلی],1):CollReport[[#This Row],[کد تفصیلی]])</f>
        <v>0</v>
      </c>
      <c r="D8" s="26">
        <v>30009</v>
      </c>
      <c r="E8" s="10" t="str">
        <f>INDEX(customer[عنوان],MATCH(CollReport[[#This Row],[کد تفصیلی]],customer[کد],0))</f>
        <v>شرکت ایمن تک پیشرو</v>
      </c>
      <c r="F8" s="37">
        <v>11452</v>
      </c>
      <c r="G8" s="37">
        <v>7489.945652173913</v>
      </c>
      <c r="H8" s="37">
        <v>10.821241245013976</v>
      </c>
      <c r="I8" s="37">
        <v>11452</v>
      </c>
      <c r="J8" s="37">
        <v>4.633076504629571</v>
      </c>
      <c r="K8" s="37">
        <v>3.7628354986917434</v>
      </c>
      <c r="L8" s="45">
        <v>0</v>
      </c>
      <c r="M8" s="38">
        <v>0</v>
      </c>
      <c r="N8" s="46" t="s">
        <v>710</v>
      </c>
    </row>
    <row r="9" spans="1:14" hidden="1" x14ac:dyDescent="0.35">
      <c r="A9" t="s">
        <v>244</v>
      </c>
      <c r="C9" s="27">
        <f>SUBTOTAL(2,INDEX(CollReport[کد تفصیلی],1):CollReport[[#This Row],[کد تفصیلی]])</f>
        <v>0</v>
      </c>
      <c r="D9" s="26">
        <v>30004</v>
      </c>
      <c r="E9" s="10" t="str">
        <f>INDEX(customer[عنوان],MATCH(CollReport[[#This Row],[کد تفصیلی]],customer[کد],0))</f>
        <v>تولیدی صنعتی صفاشیر پارس</v>
      </c>
      <c r="F9" s="37">
        <v>4237</v>
      </c>
      <c r="G9" s="37">
        <v>7365.3590733590736</v>
      </c>
      <c r="H9" s="37">
        <v>7.5279511929472864</v>
      </c>
      <c r="I9" s="37">
        <v>4237</v>
      </c>
      <c r="J9" s="37">
        <v>1.6330836805573199</v>
      </c>
      <c r="K9" s="37">
        <v>1.6330836805573199</v>
      </c>
      <c r="L9" s="45">
        <v>0</v>
      </c>
      <c r="M9" s="38">
        <v>0</v>
      </c>
      <c r="N9" s="46" t="s">
        <v>710</v>
      </c>
    </row>
    <row r="10" spans="1:14" hidden="1" x14ac:dyDescent="0.35">
      <c r="A10" t="s">
        <v>382</v>
      </c>
      <c r="C10" s="27">
        <f>SUBTOTAL(2,INDEX(CollReport[کد تفصیلی],1):CollReport[[#This Row],[کد تفصیلی]])</f>
        <v>0</v>
      </c>
      <c r="D10" s="26">
        <v>30066</v>
      </c>
      <c r="E10" s="10" t="str">
        <f>INDEX(customer[عنوان],MATCH(CollReport[[#This Row],[کد تفصیلی]],customer[کد],0))</f>
        <v xml:space="preserve">شیر آلات بهداشتی قهرمان </v>
      </c>
      <c r="F10" s="37">
        <v>1320</v>
      </c>
      <c r="G10" s="37">
        <v>-11187.674273858922</v>
      </c>
      <c r="H10" s="37">
        <v>-9.6092973443032523</v>
      </c>
      <c r="I10" s="37">
        <v>1320</v>
      </c>
      <c r="J10" s="37">
        <v>49.633090393515886</v>
      </c>
      <c r="K10" s="37">
        <v>44.758847969273461</v>
      </c>
      <c r="L10" s="45">
        <v>1320</v>
      </c>
      <c r="M10" s="38">
        <v>49.633090393515886</v>
      </c>
      <c r="N10" s="46">
        <v>44.758847969273461</v>
      </c>
    </row>
    <row r="11" spans="1:14" hidden="1" x14ac:dyDescent="0.35">
      <c r="A11" t="s">
        <v>145</v>
      </c>
      <c r="C11" s="27">
        <f>SUBTOTAL(2,INDEX(CollReport[کد تفصیلی],1):CollReport[[#This Row],[کد تفصیلی]])</f>
        <v>0</v>
      </c>
      <c r="D11" s="26">
        <v>50016</v>
      </c>
      <c r="E11" s="10" t="str">
        <f>INDEX(customer[عنوان],MATCH(CollReport[[#This Row],[کد تفصیلی]],customer[کد],0))</f>
        <v xml:space="preserve">مهدی یوسفی  </v>
      </c>
      <c r="F11" s="37">
        <v>-5508</v>
      </c>
      <c r="G11" s="37">
        <v>-3889.0997168221852</v>
      </c>
      <c r="H11" s="37">
        <v>-27.606872504362933</v>
      </c>
      <c r="I11" s="37">
        <v>0</v>
      </c>
      <c r="J11" s="37">
        <v>0</v>
      </c>
      <c r="K11" s="37" t="s">
        <v>710</v>
      </c>
      <c r="L11" s="45">
        <v>0</v>
      </c>
      <c r="M11" s="38">
        <v>0</v>
      </c>
      <c r="N11" s="46" t="s">
        <v>710</v>
      </c>
    </row>
    <row r="12" spans="1:14" hidden="1" x14ac:dyDescent="0.35">
      <c r="A12" t="s">
        <v>74</v>
      </c>
      <c r="C12" s="27">
        <f>SUBTOTAL(2,INDEX(CollReport[کد تفصیلی],1):CollReport[[#This Row],[کد تفصیلی]])</f>
        <v>0</v>
      </c>
      <c r="D12" s="26">
        <v>10026</v>
      </c>
      <c r="E12" s="10" t="str">
        <f>INDEX(customer[عنوان],MATCH(CollReport[[#This Row],[کد تفصیلی]],customer[کد],0))</f>
        <v xml:space="preserve">محسن فیاض بخش </v>
      </c>
      <c r="F12" s="37">
        <v>12543</v>
      </c>
      <c r="G12" s="37">
        <v>9578.1195652173919</v>
      </c>
      <c r="H12" s="37">
        <v>13.942611667536905</v>
      </c>
      <c r="I12" s="37">
        <v>12543</v>
      </c>
      <c r="J12" s="37">
        <v>15.633103240739729</v>
      </c>
      <c r="K12" s="37">
        <v>6.3591655862711001</v>
      </c>
      <c r="L12" s="45">
        <v>535</v>
      </c>
      <c r="M12" s="38">
        <v>15.633103240739729</v>
      </c>
      <c r="N12" s="46">
        <v>15.633103240739729</v>
      </c>
    </row>
    <row r="13" spans="1:14" hidden="1" x14ac:dyDescent="0.35">
      <c r="A13" t="s">
        <v>363</v>
      </c>
      <c r="C13" s="27">
        <f>SUBTOTAL(2,INDEX(CollReport[کد تفصیلی],1):CollReport[[#This Row],[کد تفصیلی]])</f>
        <v>0</v>
      </c>
      <c r="D13" s="26">
        <v>30196</v>
      </c>
      <c r="E13" s="10" t="str">
        <f>INDEX(customer[عنوان],MATCH(CollReport[[#This Row],[کد تفصیلی]],customer[کد],0))</f>
        <v>شرکت فردوس</v>
      </c>
      <c r="F13" s="37">
        <v>8965</v>
      </c>
      <c r="G13" s="37">
        <v>6836</v>
      </c>
      <c r="H13" s="37">
        <v>24.940873484279429</v>
      </c>
      <c r="I13" s="37">
        <v>8965</v>
      </c>
      <c r="J13" s="37">
        <v>28.633110185182886</v>
      </c>
      <c r="K13" s="37">
        <v>15.180907173470672</v>
      </c>
      <c r="L13" s="45">
        <v>4419</v>
      </c>
      <c r="M13" s="38">
        <v>28.633110185182886</v>
      </c>
      <c r="N13" s="46">
        <v>23.974363862485443</v>
      </c>
    </row>
    <row r="14" spans="1:14" hidden="1" x14ac:dyDescent="0.35">
      <c r="A14" t="s">
        <v>317</v>
      </c>
      <c r="C14" s="27">
        <f>SUBTOTAL(2,INDEX(CollReport[کد تفصیلی],1):CollReport[[#This Row],[کد تفصیلی]])</f>
        <v>0</v>
      </c>
      <c r="D14" s="26">
        <v>30022</v>
      </c>
      <c r="E14" s="10" t="str">
        <f>INDEX(customer[عنوان],MATCH(CollReport[[#This Row],[کد تفصیلی]],customer[کد],0))</f>
        <v xml:space="preserve">کلار پویا </v>
      </c>
      <c r="F14" s="37">
        <v>14747</v>
      </c>
      <c r="G14" s="37">
        <v>10373.184115523465</v>
      </c>
      <c r="H14" s="37">
        <v>32.390255999819637</v>
      </c>
      <c r="I14" s="37">
        <v>14747</v>
      </c>
      <c r="J14" s="37">
        <v>25.633116666664137</v>
      </c>
      <c r="K14" s="37">
        <v>11.403781886708892</v>
      </c>
      <c r="L14" s="45">
        <v>4978</v>
      </c>
      <c r="M14" s="38">
        <v>25.633116666664137</v>
      </c>
      <c r="N14" s="46">
        <v>15.775744227933723</v>
      </c>
    </row>
    <row r="15" spans="1:14" hidden="1" x14ac:dyDescent="0.35">
      <c r="A15" t="s">
        <v>423</v>
      </c>
      <c r="C15" s="27">
        <f>SUBTOTAL(2,INDEX(CollReport[کد تفصیلی],1):CollReport[[#This Row],[کد تفصیلی]])</f>
        <v>0</v>
      </c>
      <c r="D15" s="26">
        <v>30070</v>
      </c>
      <c r="E15" s="10" t="str">
        <f>INDEX(customer[عنوان],MATCH(CollReport[[#This Row],[کد تفصیلی]],customer[کد],0))</f>
        <v xml:space="preserve">تکنو تراش یادگار </v>
      </c>
      <c r="F15" s="37">
        <v>-4378</v>
      </c>
      <c r="G15" s="37">
        <v>167.46486438374686</v>
      </c>
      <c r="H15" s="37">
        <v>3.8991278412699897</v>
      </c>
      <c r="I15" s="37">
        <v>0</v>
      </c>
      <c r="J15" s="37">
        <v>0</v>
      </c>
      <c r="K15" s="37" t="s">
        <v>710</v>
      </c>
      <c r="L15" s="45">
        <v>0</v>
      </c>
      <c r="M15" s="38">
        <v>0</v>
      </c>
      <c r="N15" s="46" t="s">
        <v>710</v>
      </c>
    </row>
    <row r="16" spans="1:14" hidden="1" x14ac:dyDescent="0.35">
      <c r="A16" t="s">
        <v>308</v>
      </c>
      <c r="C16" s="27">
        <f>SUBTOTAL(2,INDEX(CollReport[کد تفصیلی],1):CollReport[[#This Row],[کد تفصیلی]])</f>
        <v>0</v>
      </c>
      <c r="D16" s="26">
        <v>30018</v>
      </c>
      <c r="E16" s="10" t="str">
        <f>INDEX(customer[عنوان],MATCH(CollReport[[#This Row],[کد تفصیلی]],customer[کد],0))</f>
        <v xml:space="preserve">تولیدی شیر سازی غریب پویا </v>
      </c>
      <c r="F16" s="37">
        <v>3024</v>
      </c>
      <c r="G16" s="37">
        <v>2253.1861313868612</v>
      </c>
      <c r="H16" s="37">
        <v>38.877392947103274</v>
      </c>
      <c r="I16" s="37">
        <v>3024</v>
      </c>
      <c r="J16" s="37">
        <v>12.633129050926073</v>
      </c>
      <c r="K16" s="37">
        <v>9.4370311673281897</v>
      </c>
      <c r="L16" s="45">
        <v>0</v>
      </c>
      <c r="M16" s="38">
        <v>0</v>
      </c>
      <c r="N16" s="46" t="s">
        <v>710</v>
      </c>
    </row>
    <row r="17" spans="1:14" hidden="1" x14ac:dyDescent="0.35">
      <c r="A17" t="s">
        <v>259</v>
      </c>
      <c r="C17" s="27">
        <f>SUBTOTAL(2,INDEX(CollReport[کد تفصیلی],1):CollReport[[#This Row],[کد تفصیلی]])</f>
        <v>0</v>
      </c>
      <c r="D17" s="26">
        <v>30014</v>
      </c>
      <c r="E17" s="10" t="str">
        <f>INDEX(customer[عنوان],MATCH(CollReport[[#This Row],[کد تفصیلی]],customer[کد],0))</f>
        <v>کلون</v>
      </c>
      <c r="F17" s="37">
        <v>1368</v>
      </c>
      <c r="G17" s="37">
        <v>3024.8509090909092</v>
      </c>
      <c r="H17" s="37">
        <v>35.691839011413371</v>
      </c>
      <c r="I17" s="37">
        <v>1368</v>
      </c>
      <c r="J17" s="37">
        <v>27.633135300922731</v>
      </c>
      <c r="K17" s="37">
        <v>16.446000797998753</v>
      </c>
      <c r="L17" s="45">
        <v>358</v>
      </c>
      <c r="M17" s="38">
        <v>27.633135300922731</v>
      </c>
      <c r="N17" s="46">
        <v>27.633135300922731</v>
      </c>
    </row>
    <row r="18" spans="1:14" hidden="1" x14ac:dyDescent="0.35">
      <c r="A18" t="s">
        <v>104</v>
      </c>
      <c r="C18" s="27">
        <f>SUBTOTAL(2,INDEX(CollReport[کد تفصیلی],1):CollReport[[#This Row],[کد تفصیلی]])</f>
        <v>0</v>
      </c>
      <c r="D18" s="26">
        <v>30058</v>
      </c>
      <c r="E18" s="10" t="str">
        <f>INDEX(customer[عنوان],MATCH(CollReport[[#This Row],[کد تفصیلی]],customer[کد],0))</f>
        <v xml:space="preserve">پارس شیر </v>
      </c>
      <c r="F18" s="37">
        <v>225</v>
      </c>
      <c r="G18" s="37">
        <v>5133.596958174905</v>
      </c>
      <c r="H18" s="37">
        <v>31.486380597014925</v>
      </c>
      <c r="I18" s="37">
        <v>225</v>
      </c>
      <c r="J18" s="37">
        <v>27.633141435188008</v>
      </c>
      <c r="K18" s="37">
        <v>27.633141435188008</v>
      </c>
      <c r="L18" s="45">
        <v>225</v>
      </c>
      <c r="M18" s="38">
        <v>27.633141435188008</v>
      </c>
      <c r="N18" s="46">
        <v>27.633141435188008</v>
      </c>
    </row>
    <row r="19" spans="1:14" hidden="1" x14ac:dyDescent="0.35">
      <c r="A19" t="s">
        <v>201</v>
      </c>
      <c r="C19" s="27">
        <f>SUBTOTAL(2,INDEX(CollReport[کد تفصیلی],1):CollReport[[#This Row],[کد تفصیلی]])</f>
        <v>0</v>
      </c>
      <c r="D19" s="26">
        <v>30099</v>
      </c>
      <c r="E19" s="10" t="str">
        <f>INDEX(customer[عنوان],MATCH(CollReport[[#This Row],[کد تفصیلی]],customer[کد],0))</f>
        <v>ایران شرق نیشابور</v>
      </c>
      <c r="F19" s="37">
        <v>332</v>
      </c>
      <c r="G19" s="37">
        <v>-3541.3079847908743</v>
      </c>
      <c r="H19" s="37">
        <v>-18.932471439606456</v>
      </c>
      <c r="I19" s="37">
        <v>332</v>
      </c>
      <c r="J19" s="37">
        <v>17.633147453700076</v>
      </c>
      <c r="K19" s="37">
        <v>17.633147453700076</v>
      </c>
      <c r="L19" s="45">
        <v>332</v>
      </c>
      <c r="M19" s="38">
        <v>17.633147453700076</v>
      </c>
      <c r="N19" s="46">
        <v>17.633147453700076</v>
      </c>
    </row>
    <row r="20" spans="1:14" hidden="1" x14ac:dyDescent="0.35">
      <c r="A20" t="s">
        <v>236</v>
      </c>
      <c r="C20" s="27">
        <f>SUBTOTAL(2,INDEX(CollReport[کد تفصیلی],1):CollReport[[#This Row],[کد تفصیلی]])</f>
        <v>0</v>
      </c>
      <c r="D20" s="26">
        <v>10057</v>
      </c>
      <c r="E20" s="10" t="str">
        <f>INDEX(customer[عنوان],MATCH(CollReport[[#This Row],[کد تفصیلی]],customer[کد],0))</f>
        <v xml:space="preserve">عبدالله یادگار </v>
      </c>
      <c r="F20" s="37">
        <v>2044</v>
      </c>
      <c r="G20" s="37">
        <v>1993.2758620689656</v>
      </c>
      <c r="H20" s="37">
        <v>28.641543712838583</v>
      </c>
      <c r="I20" s="37">
        <v>2044</v>
      </c>
      <c r="J20" s="37">
        <v>48.633153587965353</v>
      </c>
      <c r="K20" s="37">
        <v>23.818574331605273</v>
      </c>
      <c r="L20" s="45">
        <v>2044</v>
      </c>
      <c r="M20" s="38">
        <v>48.633153587965353</v>
      </c>
      <c r="N20" s="46">
        <v>23.818574331605273</v>
      </c>
    </row>
    <row r="21" spans="1:14" hidden="1" x14ac:dyDescent="0.35">
      <c r="A21" t="s">
        <v>75</v>
      </c>
      <c r="C21" s="27">
        <f>SUBTOTAL(2,INDEX(CollReport[کد تفصیلی],1):CollReport[[#This Row],[کد تفصیلی]])</f>
        <v>0</v>
      </c>
      <c r="D21" s="26">
        <v>30081</v>
      </c>
      <c r="E21" s="10" t="str">
        <f>INDEX(customer[عنوان],MATCH(CollReport[[#This Row],[کد تفصیلی]],customer[کد],0))</f>
        <v xml:space="preserve">شیرآلات بهداشتی راسان </v>
      </c>
      <c r="F21" s="37">
        <v>6924</v>
      </c>
      <c r="G21" s="37">
        <v>8650.3076923076915</v>
      </c>
      <c r="H21" s="37">
        <v>30.406278165477815</v>
      </c>
      <c r="I21" s="37">
        <v>6924</v>
      </c>
      <c r="J21" s="37">
        <v>49.63315995370067</v>
      </c>
      <c r="K21" s="37">
        <v>20.088388145497316</v>
      </c>
      <c r="L21" s="45">
        <v>4814</v>
      </c>
      <c r="M21" s="38">
        <v>49.63315995370067</v>
      </c>
      <c r="N21" s="46">
        <v>28.177405903015167</v>
      </c>
    </row>
    <row r="22" spans="1:14" hidden="1" x14ac:dyDescent="0.35">
      <c r="A22" t="s">
        <v>193</v>
      </c>
      <c r="C22" s="27">
        <f>SUBTOTAL(2,INDEX(CollReport[کد تفصیلی],1):CollReport[[#This Row],[کد تفصیلی]])</f>
        <v>0</v>
      </c>
      <c r="D22" s="26">
        <v>30186</v>
      </c>
      <c r="E22" s="10" t="str">
        <f>INDEX(customer[عنوان],MATCH(CollReport[[#This Row],[کد تفصیلی]],customer[کد],0))</f>
        <v>سارا گاز</v>
      </c>
      <c r="F22" s="37">
        <v>7388</v>
      </c>
      <c r="G22" s="37">
        <v>-525.9367088607595</v>
      </c>
      <c r="H22" s="37">
        <v>-1.8606251492715549</v>
      </c>
      <c r="I22" s="37">
        <v>7388</v>
      </c>
      <c r="J22" s="37">
        <v>21.633166319443262</v>
      </c>
      <c r="K22" s="37">
        <v>12.699354733087009</v>
      </c>
      <c r="L22" s="45">
        <v>2315</v>
      </c>
      <c r="M22" s="38">
        <v>21.633166319443262</v>
      </c>
      <c r="N22" s="46">
        <v>18.267291589421664</v>
      </c>
    </row>
    <row r="23" spans="1:14" hidden="1" x14ac:dyDescent="0.35">
      <c r="A23" t="s">
        <v>197</v>
      </c>
      <c r="C23" s="27">
        <f>SUBTOTAL(2,INDEX(CollReport[کد تفصیلی],1):CollReport[[#This Row],[کد تفصیلی]])</f>
        <v>0</v>
      </c>
      <c r="D23" s="26">
        <v>30017</v>
      </c>
      <c r="E23" s="10" t="str">
        <f>INDEX(customer[عنوان],MATCH(CollReport[[#This Row],[کد تفصیلی]],customer[کد],0))</f>
        <v xml:space="preserve">البرز یدک </v>
      </c>
      <c r="F23" s="37">
        <v>2186</v>
      </c>
      <c r="G23" s="37">
        <v>5323.6227272727274</v>
      </c>
      <c r="H23" s="37">
        <v>24.84665973651272</v>
      </c>
      <c r="I23" s="37">
        <v>2186</v>
      </c>
      <c r="J23" s="37">
        <v>77.633172685185855</v>
      </c>
      <c r="K23" s="37">
        <v>74.133630141727494</v>
      </c>
      <c r="L23" s="45">
        <v>2186</v>
      </c>
      <c r="M23" s="38">
        <v>77.633172685185855</v>
      </c>
      <c r="N23" s="46">
        <v>74.133630141727494</v>
      </c>
    </row>
    <row r="24" spans="1:14" hidden="1" x14ac:dyDescent="0.35">
      <c r="A24" t="s">
        <v>276</v>
      </c>
      <c r="C24" s="27">
        <f>SUBTOTAL(2,INDEX(CollReport[کد تفصیلی],1):CollReport[[#This Row],[کد تفصیلی]])</f>
        <v>0</v>
      </c>
      <c r="D24" s="26">
        <v>30184</v>
      </c>
      <c r="E24" s="10" t="str">
        <f>INDEX(customer[عنوان],MATCH(CollReport[[#This Row],[کد تفصیلی]],customer[کد],0))</f>
        <v>شرکت هوم کو (هوشمند مبین کوشا)</v>
      </c>
      <c r="F24" s="37">
        <v>100</v>
      </c>
      <c r="G24" s="37">
        <v>-1101.2056074766356</v>
      </c>
      <c r="H24" s="37">
        <v>-7.3906416609170167</v>
      </c>
      <c r="I24" s="37">
        <v>100</v>
      </c>
      <c r="J24" s="37">
        <v>34.633178703705198</v>
      </c>
      <c r="K24" s="37">
        <v>34.633178703705198</v>
      </c>
      <c r="L24" s="45">
        <v>100</v>
      </c>
      <c r="M24" s="38">
        <v>34.633178703705198</v>
      </c>
      <c r="N24" s="46">
        <v>34.633178703705198</v>
      </c>
    </row>
    <row r="25" spans="1:14" hidden="1" x14ac:dyDescent="0.35">
      <c r="A25" t="s">
        <v>105</v>
      </c>
      <c r="C25" s="27">
        <f>SUBTOTAL(2,INDEX(CollReport[کد تفصیلی],1):CollReport[[#This Row],[کد تفصیلی]])</f>
        <v>0</v>
      </c>
      <c r="D25" s="26">
        <v>50011</v>
      </c>
      <c r="E25" s="10" t="str">
        <f>INDEX(customer[عنوان],MATCH(CollReport[[#This Row],[کد تفصیلی]],customer[کد],0))</f>
        <v xml:space="preserve">جعفر هوشمند </v>
      </c>
      <c r="F25" s="37">
        <v>-30</v>
      </c>
      <c r="G25" s="37">
        <v>1492.7600414504982</v>
      </c>
      <c r="H25" s="37">
        <v>29.976243610614187</v>
      </c>
      <c r="I25" s="37">
        <v>0</v>
      </c>
      <c r="J25" s="37">
        <v>0</v>
      </c>
      <c r="K25" s="37" t="s">
        <v>710</v>
      </c>
      <c r="L25" s="45">
        <v>0</v>
      </c>
      <c r="M25" s="38">
        <v>0</v>
      </c>
      <c r="N25" s="46" t="s">
        <v>710</v>
      </c>
    </row>
    <row r="26" spans="1:14" hidden="1" x14ac:dyDescent="0.35">
      <c r="A26" t="s">
        <v>182</v>
      </c>
      <c r="C26" s="27">
        <f>SUBTOTAL(2,INDEX(CollReport[کد تفصیلی],1):CollReport[[#This Row],[کد تفصیلی]])</f>
        <v>0</v>
      </c>
      <c r="D26" s="26">
        <v>30019</v>
      </c>
      <c r="E26" s="10" t="str">
        <f>INDEX(customer[عنوان],MATCH(CollReport[[#This Row],[کد تفصیلی]],customer[کد],0))</f>
        <v xml:space="preserve">گسترش ارتباطات بهداد </v>
      </c>
      <c r="F26" s="37">
        <v>-612</v>
      </c>
      <c r="G26" s="37">
        <v>40.163837222333626</v>
      </c>
      <c r="H26" s="37">
        <v>1.8072479052615478</v>
      </c>
      <c r="I26" s="37">
        <v>0</v>
      </c>
      <c r="J26" s="37">
        <v>0</v>
      </c>
      <c r="K26" s="37" t="s">
        <v>710</v>
      </c>
      <c r="L26" s="45">
        <v>0</v>
      </c>
      <c r="M26" s="38">
        <v>0</v>
      </c>
      <c r="N26" s="46" t="s">
        <v>710</v>
      </c>
    </row>
    <row r="27" spans="1:14" hidden="1" x14ac:dyDescent="0.35">
      <c r="A27" t="s">
        <v>196</v>
      </c>
      <c r="C27" s="27">
        <f>SUBTOTAL(2,INDEX(CollReport[کد تفصیلی],1):CollReport[[#This Row],[کد تفصیلی]])</f>
        <v>0</v>
      </c>
      <c r="D27" s="26">
        <v>10056</v>
      </c>
      <c r="E27" s="10" t="str">
        <f>INDEX(customer[عنوان],MATCH(CollReport[[#This Row],[کد تفصیلی]],customer[کد],0))</f>
        <v xml:space="preserve">محمد شاهسوار </v>
      </c>
      <c r="F27" s="37">
        <v>0</v>
      </c>
      <c r="G27" s="37" t="s">
        <v>711</v>
      </c>
      <c r="H27" s="37" t="s">
        <v>711</v>
      </c>
      <c r="I27" s="37">
        <v>0</v>
      </c>
      <c r="J27" s="37">
        <v>0</v>
      </c>
      <c r="K27" s="37" t="s">
        <v>710</v>
      </c>
      <c r="L27" s="45">
        <v>0</v>
      </c>
      <c r="M27" s="38">
        <v>0</v>
      </c>
      <c r="N27" s="46" t="s">
        <v>710</v>
      </c>
    </row>
    <row r="28" spans="1:14" hidden="1" x14ac:dyDescent="0.35">
      <c r="A28" t="s">
        <v>346</v>
      </c>
      <c r="C28" s="27">
        <f>SUBTOTAL(2,INDEX(CollReport[کد تفصیلی],1):CollReport[[#This Row],[کد تفصیلی]])</f>
        <v>0</v>
      </c>
      <c r="D28" s="26">
        <v>10127</v>
      </c>
      <c r="E28" s="10" t="str">
        <f>INDEX(customer[عنوان],MATCH(CollReport[[#This Row],[کد تفصیلی]],customer[کد],0))</f>
        <v xml:space="preserve">عماد هاشمی </v>
      </c>
      <c r="F28" s="37">
        <v>1469</v>
      </c>
      <c r="G28" s="37">
        <v>474.77777777777777</v>
      </c>
      <c r="H28" s="37">
        <v>4.4668099192752191</v>
      </c>
      <c r="I28" s="37">
        <v>1469</v>
      </c>
      <c r="J28" s="37">
        <v>18.633201736112824</v>
      </c>
      <c r="K28" s="37">
        <v>15.539941014533518</v>
      </c>
      <c r="L28" s="45">
        <v>333</v>
      </c>
      <c r="M28" s="38">
        <v>18.633201736112824</v>
      </c>
      <c r="N28" s="46">
        <v>18.633201736112824</v>
      </c>
    </row>
    <row r="29" spans="1:14" hidden="1" x14ac:dyDescent="0.35">
      <c r="A29" t="s">
        <v>377</v>
      </c>
      <c r="C29" s="27">
        <f>SUBTOTAL(2,INDEX(CollReport[کد تفصیلی],1):CollReport[[#This Row],[کد تفصیلی]])</f>
        <v>0</v>
      </c>
      <c r="D29" s="26">
        <v>30191</v>
      </c>
      <c r="E29" s="10" t="str">
        <f>INDEX(customer[عنوان],MATCH(CollReport[[#This Row],[کد تفصیلی]],customer[کد],0))</f>
        <v>ایران گرما</v>
      </c>
      <c r="F29" s="37">
        <v>-134</v>
      </c>
      <c r="G29" s="37">
        <v>2522.3332762213777</v>
      </c>
      <c r="H29" s="37">
        <v>23.497721435493823</v>
      </c>
      <c r="I29" s="37">
        <v>0</v>
      </c>
      <c r="J29" s="37">
        <v>0</v>
      </c>
      <c r="K29" s="37" t="s">
        <v>710</v>
      </c>
      <c r="L29" s="45">
        <v>0</v>
      </c>
      <c r="M29" s="38">
        <v>0</v>
      </c>
      <c r="N29" s="46" t="s">
        <v>710</v>
      </c>
    </row>
    <row r="30" spans="1:14" hidden="1" x14ac:dyDescent="0.35">
      <c r="A30" t="s">
        <v>198</v>
      </c>
      <c r="C30" s="27">
        <f>SUBTOTAL(2,INDEX(CollReport[کد تفصیلی],1):CollReport[[#This Row],[کد تفصیلی]])</f>
        <v>0</v>
      </c>
      <c r="D30" s="26">
        <v>30003</v>
      </c>
      <c r="E30" s="10" t="str">
        <f>INDEX(customer[عنوان],MATCH(CollReport[[#This Row],[کد تفصیلی]],customer[کد],0))</f>
        <v xml:space="preserve">شهاب گاز سوز </v>
      </c>
      <c r="F30" s="37">
        <v>3249</v>
      </c>
      <c r="G30" s="37">
        <v>3526.7785714285715</v>
      </c>
      <c r="H30" s="37">
        <v>39.421077844311377</v>
      </c>
      <c r="I30" s="37">
        <v>3249</v>
      </c>
      <c r="J30" s="37">
        <v>36.633214236113417</v>
      </c>
      <c r="K30" s="37">
        <v>23.017948000348568</v>
      </c>
      <c r="L30" s="45">
        <v>2069</v>
      </c>
      <c r="M30" s="38">
        <v>36.633214236113417</v>
      </c>
      <c r="N30" s="46">
        <v>28.391551597157399</v>
      </c>
    </row>
    <row r="31" spans="1:14" x14ac:dyDescent="0.35">
      <c r="A31" t="s">
        <v>68</v>
      </c>
      <c r="C31" s="27">
        <f>SUBTOTAL(2,INDEX(CollReport[کد تفصیلی],1):CollReport[[#This Row],[کد تفصیلی]])</f>
        <v>1</v>
      </c>
      <c r="D31" s="26">
        <v>10008</v>
      </c>
      <c r="E31" s="10" t="str">
        <f>INDEX(customer[عنوان],MATCH(CollReport[[#This Row],[کد تفصیلی]],customer[کد],0))</f>
        <v xml:space="preserve">بهزاد چرخیان </v>
      </c>
      <c r="F31" s="37">
        <v>578</v>
      </c>
      <c r="G31" s="37" t="s">
        <v>711</v>
      </c>
      <c r="H31" s="37" t="s">
        <v>711</v>
      </c>
      <c r="I31" s="37">
        <v>578</v>
      </c>
      <c r="J31" s="37">
        <v>280.63322037037142</v>
      </c>
      <c r="K31" s="37">
        <v>280.63322037037142</v>
      </c>
      <c r="L31" s="45">
        <v>578</v>
      </c>
      <c r="M31" s="38">
        <v>280.63322037037142</v>
      </c>
      <c r="N31" s="46">
        <v>280.63322037037142</v>
      </c>
    </row>
    <row r="32" spans="1:14" hidden="1" x14ac:dyDescent="0.35">
      <c r="A32" t="s">
        <v>176</v>
      </c>
      <c r="C32" s="27">
        <f>SUBTOTAL(2,INDEX(CollReport[کد تفصیلی],1):CollReport[[#This Row],[کد تفصیلی]])</f>
        <v>1</v>
      </c>
      <c r="D32" s="26">
        <v>30140</v>
      </c>
      <c r="E32" s="10" t="str">
        <f>INDEX(customer[عنوان],MATCH(CollReport[[#This Row],[کد تفصیلی]],customer[کد],0))</f>
        <v>شرکت سیتکو</v>
      </c>
      <c r="F32" s="37">
        <v>12630</v>
      </c>
      <c r="G32" s="37">
        <v>1718.6639004149379</v>
      </c>
      <c r="H32" s="37">
        <v>37.75045570543201</v>
      </c>
      <c r="I32" s="37">
        <v>12630</v>
      </c>
      <c r="J32" s="37">
        <v>64.633226273144828</v>
      </c>
      <c r="K32" s="37">
        <v>46.196725877262011</v>
      </c>
      <c r="L32" s="45">
        <v>12630</v>
      </c>
      <c r="M32" s="38">
        <v>64.633226273144828</v>
      </c>
      <c r="N32" s="46">
        <v>46.196725877262011</v>
      </c>
    </row>
    <row r="33" spans="1:14" hidden="1" x14ac:dyDescent="0.35">
      <c r="A33" t="s">
        <v>191</v>
      </c>
      <c r="C33" s="27">
        <f>SUBTOTAL(2,INDEX(CollReport[کد تفصیلی],1):CollReport[[#This Row],[کد تفصیلی]])</f>
        <v>1</v>
      </c>
      <c r="D33" s="26">
        <v>10070</v>
      </c>
      <c r="E33" s="10" t="str">
        <f>INDEX(customer[عنوان],MATCH(CollReport[[#This Row],[کد تفصیلی]],customer[کد],0))</f>
        <v xml:space="preserve">حمیدرضا شفیعی </v>
      </c>
      <c r="F33" s="37">
        <v>3170</v>
      </c>
      <c r="G33" s="37">
        <v>221.38403041825094</v>
      </c>
      <c r="H33" s="37">
        <v>3.0044893957376542</v>
      </c>
      <c r="I33" s="37">
        <v>3170</v>
      </c>
      <c r="J33" s="37">
        <v>34.633232407410105</v>
      </c>
      <c r="K33" s="37">
        <v>19.813043132962157</v>
      </c>
      <c r="L33" s="45">
        <v>2000</v>
      </c>
      <c r="M33" s="38">
        <v>34.633232407410105</v>
      </c>
      <c r="N33" s="46">
        <v>28.828232407410106</v>
      </c>
    </row>
    <row r="34" spans="1:14" hidden="1" x14ac:dyDescent="0.35">
      <c r="A34" t="s">
        <v>56</v>
      </c>
      <c r="C34" s="27">
        <f>SUBTOTAL(2,INDEX(CollReport[کد تفصیلی],1):CollReport[[#This Row],[کد تفصیلی]])</f>
        <v>1</v>
      </c>
      <c r="D34" s="26">
        <v>30034</v>
      </c>
      <c r="E34" s="10" t="str">
        <f>INDEX(customer[عنوان],MATCH(CollReport[[#This Row],[کد تفصیلی]],customer[کد],0))</f>
        <v xml:space="preserve">پیک افروز </v>
      </c>
      <c r="F34" s="37">
        <v>-2886</v>
      </c>
      <c r="G34" s="37">
        <v>-1644.7856593404297</v>
      </c>
      <c r="H34" s="37">
        <v>-230.10046166362531</v>
      </c>
      <c r="I34" s="37">
        <v>0</v>
      </c>
      <c r="J34" s="37">
        <v>0</v>
      </c>
      <c r="K34" s="37" t="s">
        <v>710</v>
      </c>
      <c r="L34" s="45">
        <v>0</v>
      </c>
      <c r="M34" s="38">
        <v>0</v>
      </c>
      <c r="N34" s="46" t="s">
        <v>710</v>
      </c>
    </row>
    <row r="35" spans="1:14" hidden="1" x14ac:dyDescent="0.35">
      <c r="A35" t="s">
        <v>120</v>
      </c>
      <c r="C35" s="27">
        <f>SUBTOTAL(2,INDEX(CollReport[کد تفصیلی],1):CollReport[[#This Row],[کد تفصیلی]])</f>
        <v>1</v>
      </c>
      <c r="D35" s="26">
        <v>30069</v>
      </c>
      <c r="E35" s="10" t="str">
        <f>INDEX(customer[عنوان],MATCH(CollReport[[#This Row],[کد تفصیلی]],customer[کد],0))</f>
        <v xml:space="preserve"> تراشکاری ایلخانی </v>
      </c>
      <c r="F35" s="37">
        <v>-66</v>
      </c>
      <c r="G35" s="37">
        <v>-66</v>
      </c>
      <c r="H35" s="37" t="s">
        <v>711</v>
      </c>
      <c r="I35" s="37">
        <v>0</v>
      </c>
      <c r="J35" s="37">
        <v>0</v>
      </c>
      <c r="K35" s="37" t="s">
        <v>710</v>
      </c>
      <c r="L35" s="45">
        <v>0</v>
      </c>
      <c r="M35" s="38">
        <v>0</v>
      </c>
      <c r="N35" s="46" t="s">
        <v>710</v>
      </c>
    </row>
    <row r="36" spans="1:14" hidden="1" x14ac:dyDescent="0.35">
      <c r="A36" t="s">
        <v>132</v>
      </c>
      <c r="C36" s="27">
        <f>SUBTOTAL(2,INDEX(CollReport[کد تفصیلی],1):CollReport[[#This Row],[کد تفصیلی]])</f>
        <v>1</v>
      </c>
      <c r="D36" s="26">
        <v>10084</v>
      </c>
      <c r="E36" s="10" t="str">
        <f>INDEX(customer[عنوان],MATCH(CollReport[[#This Row],[کد تفصیلی]],customer[کد],0))</f>
        <v xml:space="preserve">سیدحمید کاظمی </v>
      </c>
      <c r="F36" s="37">
        <v>1656</v>
      </c>
      <c r="G36" s="37">
        <v>1622.4779411764705</v>
      </c>
      <c r="H36" s="37">
        <v>32.728715514684069</v>
      </c>
      <c r="I36" s="37">
        <v>1656</v>
      </c>
      <c r="J36" s="37">
        <v>26.633249999998952</v>
      </c>
      <c r="K36" s="37">
        <v>10.437597826085909</v>
      </c>
      <c r="L36" s="45">
        <v>166</v>
      </c>
      <c r="M36" s="38">
        <v>26.633249999998952</v>
      </c>
      <c r="N36" s="46">
        <v>26.633249999998952</v>
      </c>
    </row>
    <row r="37" spans="1:14" hidden="1" x14ac:dyDescent="0.35">
      <c r="A37" t="s">
        <v>96</v>
      </c>
      <c r="C37" s="27">
        <f>SUBTOTAL(2,INDEX(CollReport[کد تفصیلی],1):CollReport[[#This Row],[کد تفصیلی]])</f>
        <v>1</v>
      </c>
      <c r="D37" s="26">
        <v>30187</v>
      </c>
      <c r="E37" s="10" t="str">
        <f>INDEX(customer[عنوان],MATCH(CollReport[[#This Row],[کد تفصیلی]],customer[کد],0))</f>
        <v>شرکت جام جم</v>
      </c>
      <c r="F37" s="37">
        <v>108</v>
      </c>
      <c r="G37" s="37">
        <v>-645.75903614457832</v>
      </c>
      <c r="H37" s="37">
        <v>-7.8199591479428072</v>
      </c>
      <c r="I37" s="37">
        <v>108</v>
      </c>
      <c r="J37" s="37">
        <v>25.633255902779638</v>
      </c>
      <c r="K37" s="37">
        <v>25.633255902779638</v>
      </c>
      <c r="L37" s="45">
        <v>108</v>
      </c>
      <c r="M37" s="38">
        <v>25.633255902779638</v>
      </c>
      <c r="N37" s="46">
        <v>25.633255902779638</v>
      </c>
    </row>
    <row r="38" spans="1:14" hidden="1" x14ac:dyDescent="0.35">
      <c r="A38" t="s">
        <v>420</v>
      </c>
      <c r="C38" s="27">
        <f>SUBTOTAL(2,INDEX(CollReport[کد تفصیلی],1):CollReport[[#This Row],[کد تفصیلی]])</f>
        <v>1</v>
      </c>
      <c r="D38" s="26">
        <v>30190</v>
      </c>
      <c r="E38" s="10" t="str">
        <f>INDEX(customer[عنوان],MATCH(CollReport[[#This Row],[کد تفصیلی]],customer[کد],0))</f>
        <v>ایران طلق</v>
      </c>
      <c r="F38" s="37">
        <v>-1790</v>
      </c>
      <c r="G38" s="37">
        <v>371.51858760018939</v>
      </c>
      <c r="H38" s="37">
        <v>4.4092098621853184</v>
      </c>
      <c r="I38" s="37">
        <v>0</v>
      </c>
      <c r="J38" s="37">
        <v>0</v>
      </c>
      <c r="K38" s="37" t="s">
        <v>710</v>
      </c>
      <c r="L38" s="45">
        <v>0</v>
      </c>
      <c r="M38" s="38">
        <v>0</v>
      </c>
      <c r="N38" s="46" t="s">
        <v>710</v>
      </c>
    </row>
    <row r="39" spans="1:14" hidden="1" x14ac:dyDescent="0.35">
      <c r="A39" t="s">
        <v>247</v>
      </c>
      <c r="C39" s="27">
        <f>SUBTOTAL(2,INDEX(CollReport[کد تفصیلی],1):CollReport[[#This Row],[کد تفصیلی]])</f>
        <v>1</v>
      </c>
      <c r="D39" s="26">
        <v>10097</v>
      </c>
      <c r="E39" s="10" t="str">
        <f>INDEX(customer[عنوان],MATCH(CollReport[[#This Row],[کد تفصیلی]],customer[کد],0))</f>
        <v>قورچیان مینا</v>
      </c>
      <c r="F39" s="37">
        <v>0</v>
      </c>
      <c r="G39" s="37">
        <v>-998</v>
      </c>
      <c r="H39" s="37">
        <v>-2.8139097744360901</v>
      </c>
      <c r="I39" s="37">
        <v>0</v>
      </c>
      <c r="J39" s="37">
        <v>0</v>
      </c>
      <c r="K39" s="37" t="s">
        <v>710</v>
      </c>
      <c r="L39" s="45">
        <v>0</v>
      </c>
      <c r="M39" s="38">
        <v>0</v>
      </c>
      <c r="N39" s="46" t="s">
        <v>710</v>
      </c>
    </row>
    <row r="40" spans="1:14" x14ac:dyDescent="0.35">
      <c r="A40" t="s">
        <v>175</v>
      </c>
      <c r="C40" s="27">
        <f>SUBTOTAL(2,INDEX(CollReport[کد تفصیلی],1):CollReport[[#This Row],[کد تفصیلی]])</f>
        <v>2</v>
      </c>
      <c r="D40" s="26">
        <v>30162</v>
      </c>
      <c r="E40" s="10" t="str">
        <f>INDEX(customer[عنوان],MATCH(CollReport[[#This Row],[کد تفصیلی]],customer[کد],0))</f>
        <v>شرکت الماس آریا</v>
      </c>
      <c r="F40" s="37">
        <v>251</v>
      </c>
      <c r="G40" s="37">
        <v>1634.6666666666667</v>
      </c>
      <c r="H40" s="37">
        <v>18.426853707414828</v>
      </c>
      <c r="I40" s="37">
        <v>251</v>
      </c>
      <c r="J40" s="37">
        <v>228.63327303240658</v>
      </c>
      <c r="K40" s="37">
        <v>217.59343239495638</v>
      </c>
      <c r="L40" s="45">
        <v>251</v>
      </c>
      <c r="M40" s="38">
        <v>228.63327303240658</v>
      </c>
      <c r="N40" s="46">
        <v>217.59343239495638</v>
      </c>
    </row>
    <row r="41" spans="1:14" hidden="1" x14ac:dyDescent="0.35">
      <c r="A41" t="s">
        <v>364</v>
      </c>
      <c r="C41" s="27">
        <f>SUBTOTAL(2,INDEX(CollReport[کد تفصیلی],1):CollReport[[#This Row],[کد تفصیلی]])</f>
        <v>2</v>
      </c>
      <c r="D41" s="26">
        <v>30101</v>
      </c>
      <c r="E41" s="10" t="str">
        <f>INDEX(customer[عنوان],MATCH(CollReport[[#This Row],[کد تفصیلی]],customer[کد],0))</f>
        <v>شرکت قاره سبز</v>
      </c>
      <c r="F41" s="37">
        <v>-15</v>
      </c>
      <c r="G41" s="37">
        <v>-108.75937205554679</v>
      </c>
      <c r="H41" s="37">
        <v>-13.968649511346278</v>
      </c>
      <c r="I41" s="37">
        <v>0</v>
      </c>
      <c r="J41" s="37">
        <v>0</v>
      </c>
      <c r="K41" s="37" t="s">
        <v>710</v>
      </c>
      <c r="L41" s="45">
        <v>0</v>
      </c>
      <c r="M41" s="38">
        <v>0</v>
      </c>
      <c r="N41" s="46" t="s">
        <v>710</v>
      </c>
    </row>
    <row r="42" spans="1:14" hidden="1" x14ac:dyDescent="0.35">
      <c r="A42" t="s">
        <v>52</v>
      </c>
      <c r="C42" s="27">
        <f>SUBTOTAL(2,INDEX(CollReport[کد تفصیلی],1):CollReport[[#This Row],[کد تفصیلی]])</f>
        <v>2</v>
      </c>
      <c r="D42" s="26">
        <v>30086</v>
      </c>
      <c r="E42" s="10" t="str">
        <f>INDEX(customer[عنوان],MATCH(CollReport[[#This Row],[کد تفصیلی]],customer[کد],0))</f>
        <v>سدید سازه پرشیا</v>
      </c>
      <c r="F42" s="37">
        <v>-1549</v>
      </c>
      <c r="G42" s="37">
        <v>-1549</v>
      </c>
      <c r="H42" s="37" t="s">
        <v>711</v>
      </c>
      <c r="I42" s="37">
        <v>0</v>
      </c>
      <c r="J42" s="37">
        <v>0</v>
      </c>
      <c r="K42" s="37" t="s">
        <v>710</v>
      </c>
      <c r="L42" s="45">
        <v>0</v>
      </c>
      <c r="M42" s="38">
        <v>0</v>
      </c>
      <c r="N42" s="46" t="s">
        <v>710</v>
      </c>
    </row>
    <row r="43" spans="1:14" hidden="1" x14ac:dyDescent="0.35">
      <c r="A43" t="s">
        <v>118</v>
      </c>
      <c r="C43" s="27">
        <f>SUBTOTAL(2,INDEX(CollReport[کد تفصیلی],1):CollReport[[#This Row],[کد تفصیلی]])</f>
        <v>2</v>
      </c>
      <c r="D43" s="26">
        <v>30164</v>
      </c>
      <c r="E43" s="10" t="str">
        <f>INDEX(customer[عنوان],MATCH(CollReport[[#This Row],[کد تفصیلی]],customer[کد],0))</f>
        <v xml:space="preserve">پارت الکتریک </v>
      </c>
      <c r="F43" s="37">
        <v>-561</v>
      </c>
      <c r="G43" s="37">
        <v>-255.37695737922317</v>
      </c>
      <c r="H43" s="37">
        <v>-16.990819293717593</v>
      </c>
      <c r="I43" s="37">
        <v>0</v>
      </c>
      <c r="J43" s="37">
        <v>0</v>
      </c>
      <c r="K43" s="37" t="s">
        <v>710</v>
      </c>
      <c r="L43" s="45">
        <v>0</v>
      </c>
      <c r="M43" s="38">
        <v>0</v>
      </c>
      <c r="N43" s="46" t="s">
        <v>710</v>
      </c>
    </row>
    <row r="44" spans="1:14" hidden="1" x14ac:dyDescent="0.35">
      <c r="A44" t="s">
        <v>248</v>
      </c>
      <c r="C44" s="27">
        <f>SUBTOTAL(2,INDEX(CollReport[کد تفصیلی],1):CollReport[[#This Row],[کد تفصیلی]])</f>
        <v>2</v>
      </c>
      <c r="D44" s="26">
        <v>30001</v>
      </c>
      <c r="E44" s="10" t="str">
        <f>INDEX(customer[عنوان],MATCH(CollReport[[#This Row],[کد تفصیلی]],customer[کد],0))</f>
        <v xml:space="preserve">شرکت صنایع گاز ایران </v>
      </c>
      <c r="F44" s="37">
        <v>-123</v>
      </c>
      <c r="G44" s="37">
        <v>-92.408476741983407</v>
      </c>
      <c r="H44" s="37">
        <v>-119.50643042274788</v>
      </c>
      <c r="I44" s="37">
        <v>0</v>
      </c>
      <c r="J44" s="37">
        <v>0</v>
      </c>
      <c r="K44" s="37" t="s">
        <v>710</v>
      </c>
      <c r="L44" s="45">
        <v>0</v>
      </c>
      <c r="M44" s="38">
        <v>0</v>
      </c>
      <c r="N44" s="46" t="s">
        <v>710</v>
      </c>
    </row>
    <row r="45" spans="1:14" hidden="1" x14ac:dyDescent="0.35">
      <c r="A45" t="s">
        <v>339</v>
      </c>
      <c r="C45" s="27">
        <f>SUBTOTAL(2,INDEX(CollReport[کد تفصیلی],1):CollReport[[#This Row],[کد تفصیلی]])</f>
        <v>2</v>
      </c>
      <c r="D45" s="26">
        <v>10141</v>
      </c>
      <c r="E45" s="10" t="str">
        <f>INDEX(customer[عنوان],MATCH(CollReport[[#This Row],[کد تفصیلی]],customer[کد],0))</f>
        <v>حسین ریاحی</v>
      </c>
      <c r="F45" s="37">
        <v>0</v>
      </c>
      <c r="G45" s="37">
        <v>-122.5</v>
      </c>
      <c r="H45" s="37">
        <v>-2.3333333333333335</v>
      </c>
      <c r="I45" s="37">
        <v>0</v>
      </c>
      <c r="J45" s="37">
        <v>0</v>
      </c>
      <c r="K45" s="37" t="s">
        <v>710</v>
      </c>
      <c r="L45" s="45">
        <v>0</v>
      </c>
      <c r="M45" s="38">
        <v>0</v>
      </c>
      <c r="N45" s="46" t="s">
        <v>710</v>
      </c>
    </row>
    <row r="46" spans="1:14" hidden="1" x14ac:dyDescent="0.35">
      <c r="A46" t="s">
        <v>314</v>
      </c>
      <c r="C46" s="27">
        <f>SUBTOTAL(2,INDEX(CollReport[کد تفصیلی],1):CollReport[[#This Row],[کد تفصیلی]])</f>
        <v>2</v>
      </c>
      <c r="D46" s="26">
        <v>10018</v>
      </c>
      <c r="E46" s="10" t="str">
        <f>INDEX(customer[عنوان],MATCH(CollReport[[#This Row],[کد تفصیلی]],customer[کد],0))</f>
        <v xml:space="preserve">کوهی </v>
      </c>
      <c r="F46" s="37">
        <v>32</v>
      </c>
      <c r="G46" s="37">
        <v>-108.44973544973546</v>
      </c>
      <c r="H46" s="37">
        <v>-3.2324554486674026</v>
      </c>
      <c r="I46" s="37">
        <v>32</v>
      </c>
      <c r="J46" s="37">
        <v>1.6333074074063916</v>
      </c>
      <c r="K46" s="37">
        <v>1.6333074074063916</v>
      </c>
      <c r="L46" s="45">
        <v>0</v>
      </c>
      <c r="M46" s="38">
        <v>0</v>
      </c>
      <c r="N46" s="46" t="s">
        <v>710</v>
      </c>
    </row>
    <row r="47" spans="1:14" hidden="1" x14ac:dyDescent="0.35">
      <c r="A47" t="s">
        <v>263</v>
      </c>
      <c r="C47" s="27">
        <f>SUBTOTAL(2,INDEX(CollReport[کد تفصیلی],1):CollReport[[#This Row],[کد تفصیلی]])</f>
        <v>2</v>
      </c>
      <c r="D47" s="26">
        <v>10091</v>
      </c>
      <c r="E47" s="10" t="str">
        <f>INDEX(customer[عنوان],MATCH(CollReport[[#This Row],[کد تفصیلی]],customer[کد],0))</f>
        <v xml:space="preserve">کارخانه علی </v>
      </c>
      <c r="F47" s="37">
        <v>0</v>
      </c>
      <c r="G47" s="37" t="s">
        <v>711</v>
      </c>
      <c r="H47" s="37" t="s">
        <v>711</v>
      </c>
      <c r="I47" s="37">
        <v>0</v>
      </c>
      <c r="J47" s="37">
        <v>0</v>
      </c>
      <c r="K47" s="37" t="s">
        <v>710</v>
      </c>
      <c r="L47" s="45">
        <v>0</v>
      </c>
      <c r="M47" s="38">
        <v>0</v>
      </c>
      <c r="N47" s="46" t="s">
        <v>710</v>
      </c>
    </row>
    <row r="48" spans="1:14" hidden="1" x14ac:dyDescent="0.35">
      <c r="A48" t="s">
        <v>771</v>
      </c>
      <c r="C48" s="27">
        <f>SUBTOTAL(2,INDEX(CollReport[کد تفصیلی],1):CollReport[[#This Row],[کد تفصیلی]])</f>
        <v>2</v>
      </c>
      <c r="D48" s="26">
        <v>10020</v>
      </c>
      <c r="E48" s="10" t="str">
        <f>INDEX(customer[عنوان],MATCH(CollReport[[#This Row],[کد تفصیلی]],customer[کد],0))</f>
        <v>فرزاد اسماعیل زاده</v>
      </c>
      <c r="F48" s="37">
        <v>1031</v>
      </c>
      <c r="G48" s="37">
        <v>944.66308243727599</v>
      </c>
      <c r="H48" s="37">
        <v>12.792360335873417</v>
      </c>
      <c r="I48" s="37">
        <v>1031</v>
      </c>
      <c r="J48" s="37">
        <v>4.6333187499985797</v>
      </c>
      <c r="K48" s="37">
        <v>4.6333187499985797</v>
      </c>
      <c r="L48" s="45">
        <v>0</v>
      </c>
      <c r="M48" s="38">
        <v>0</v>
      </c>
      <c r="N48" s="46" t="s">
        <v>710</v>
      </c>
    </row>
    <row r="49" spans="1:14" hidden="1" x14ac:dyDescent="0.35">
      <c r="A49" t="s">
        <v>180</v>
      </c>
      <c r="C49" s="27">
        <f>SUBTOTAL(2,INDEX(CollReport[کد تفصیلی],1):CollReport[[#This Row],[کد تفصیلی]])</f>
        <v>2</v>
      </c>
      <c r="D49" s="26">
        <v>10096</v>
      </c>
      <c r="E49" s="10" t="str">
        <f>INDEX(customer[عنوان],MATCH(CollReport[[#This Row],[کد تفصیلی]],customer[کد],0))</f>
        <v>خسروآبادی محمد</v>
      </c>
      <c r="F49" s="37">
        <v>0</v>
      </c>
      <c r="G49" s="37" t="s">
        <v>711</v>
      </c>
      <c r="H49" s="37" t="s">
        <v>711</v>
      </c>
      <c r="I49" s="37">
        <v>0</v>
      </c>
      <c r="J49" s="37">
        <v>0</v>
      </c>
      <c r="K49" s="37" t="s">
        <v>710</v>
      </c>
      <c r="L49" s="45">
        <v>0</v>
      </c>
      <c r="M49" s="38">
        <v>0</v>
      </c>
      <c r="N49" s="46" t="s">
        <v>710</v>
      </c>
    </row>
    <row r="50" spans="1:14" x14ac:dyDescent="0.35">
      <c r="A50" t="s">
        <v>278</v>
      </c>
      <c r="C50" s="27">
        <f>SUBTOTAL(2,INDEX(CollReport[کد تفصیلی],1):CollReport[[#This Row],[کد تفصیلی]])</f>
        <v>3</v>
      </c>
      <c r="D50" s="26">
        <v>30025</v>
      </c>
      <c r="E50" s="10" t="str">
        <f>INDEX(customer[عنوان],MATCH(CollReport[[#This Row],[کد تفصیلی]],customer[کد],0))</f>
        <v xml:space="preserve">تکادو صنعت </v>
      </c>
      <c r="F50" s="37">
        <v>165</v>
      </c>
      <c r="G50" s="37" t="s">
        <v>711</v>
      </c>
      <c r="H50" s="37" t="s">
        <v>711</v>
      </c>
      <c r="I50" s="37">
        <v>165</v>
      </c>
      <c r="J50" s="37">
        <v>280.63332974536752</v>
      </c>
      <c r="K50" s="37">
        <v>280.63332974536752</v>
      </c>
      <c r="L50" s="45">
        <v>165</v>
      </c>
      <c r="M50" s="38">
        <v>280.63332974536752</v>
      </c>
      <c r="N50" s="46">
        <v>280.63332974536752</v>
      </c>
    </row>
    <row r="51" spans="1:14" hidden="1" x14ac:dyDescent="0.35">
      <c r="A51" t="s">
        <v>773</v>
      </c>
      <c r="C51" s="27">
        <f>SUBTOTAL(2,INDEX(CollReport[کد تفصیلی],1):CollReport[[#This Row],[کد تفصیلی]])</f>
        <v>3</v>
      </c>
      <c r="D51" s="26">
        <v>30005</v>
      </c>
      <c r="E51" s="10" t="str">
        <f>INDEX(customer[عنوان],MATCH(CollReport[[#This Row],[کد تفصیلی]],customer[کد],0))</f>
        <v xml:space="preserve">سامفر </v>
      </c>
      <c r="F51" s="37">
        <v>-61</v>
      </c>
      <c r="G51" s="37">
        <v>-61</v>
      </c>
      <c r="H51" s="37" t="s">
        <v>711</v>
      </c>
      <c r="I51" s="37">
        <v>0</v>
      </c>
      <c r="J51" s="37">
        <v>0</v>
      </c>
      <c r="K51" s="37" t="s">
        <v>710</v>
      </c>
      <c r="L51" s="45">
        <v>0</v>
      </c>
      <c r="M51" s="38">
        <v>0</v>
      </c>
      <c r="N51" s="46" t="s">
        <v>710</v>
      </c>
    </row>
    <row r="52" spans="1:14" hidden="1" x14ac:dyDescent="0.35">
      <c r="A52" t="s">
        <v>419</v>
      </c>
      <c r="C52" s="27">
        <f>SUBTOTAL(2,INDEX(CollReport[کد تفصیلی],1):CollReport[[#This Row],[کد تفصیلی]])</f>
        <v>3</v>
      </c>
      <c r="D52" s="26">
        <v>10027</v>
      </c>
      <c r="E52" s="10" t="str">
        <f>INDEX(customer[عنوان],MATCH(CollReport[[#This Row],[کد تفصیلی]],customer[کد],0))</f>
        <v xml:space="preserve">مصطفی نورعلی </v>
      </c>
      <c r="F52" s="37">
        <v>647</v>
      </c>
      <c r="G52" s="37">
        <v>-2274.2124542124543</v>
      </c>
      <c r="H52" s="37">
        <v>-8.7562231154361463</v>
      </c>
      <c r="I52" s="37">
        <v>647</v>
      </c>
      <c r="J52" s="37">
        <v>40.63334155092889</v>
      </c>
      <c r="K52" s="37">
        <v>40.63334155092889</v>
      </c>
      <c r="L52" s="45">
        <v>647</v>
      </c>
      <c r="M52" s="38">
        <v>40.63334155092889</v>
      </c>
      <c r="N52" s="46">
        <v>40.63334155092889</v>
      </c>
    </row>
    <row r="53" spans="1:14" hidden="1" x14ac:dyDescent="0.35">
      <c r="A53" t="s">
        <v>761</v>
      </c>
      <c r="C53" s="27">
        <f>SUBTOTAL(2,INDEX(CollReport[کد تفصیلی],1):CollReport[[#This Row],[کد تفصیلی]])</f>
        <v>3</v>
      </c>
      <c r="D53" s="26">
        <v>30189</v>
      </c>
      <c r="E53" s="10" t="str">
        <f>INDEX(customer[عنوان],MATCH(CollReport[[#This Row],[کد تفصیلی]],customer[کد],0))</f>
        <v>شرکت بهین صنعت دانا</v>
      </c>
      <c r="F53" s="37">
        <v>0</v>
      </c>
      <c r="G53" s="37" t="s">
        <v>711</v>
      </c>
      <c r="H53" s="37" t="s">
        <v>711</v>
      </c>
      <c r="I53" s="37">
        <v>0</v>
      </c>
      <c r="J53" s="37">
        <v>0</v>
      </c>
      <c r="K53" s="37" t="s">
        <v>710</v>
      </c>
      <c r="L53" s="45">
        <v>0</v>
      </c>
      <c r="M53" s="38">
        <v>0</v>
      </c>
      <c r="N53" s="46" t="s">
        <v>710</v>
      </c>
    </row>
    <row r="54" spans="1:14" hidden="1" x14ac:dyDescent="0.35">
      <c r="A54" t="s">
        <v>139</v>
      </c>
      <c r="C54" s="27">
        <f>SUBTOTAL(2,INDEX(CollReport[کد تفصیلی],1):CollReport[[#This Row],[کد تفصیلی]])</f>
        <v>3</v>
      </c>
      <c r="D54" s="26">
        <v>30024</v>
      </c>
      <c r="E54" s="10" t="str">
        <f>INDEX(customer[عنوان],MATCH(CollReport[[#This Row],[کد تفصیلی]],customer[کد],0))</f>
        <v xml:space="preserve">یراق گستر شبکه </v>
      </c>
      <c r="F54" s="37">
        <v>0</v>
      </c>
      <c r="G54" s="37" t="s">
        <v>711</v>
      </c>
      <c r="H54" s="37">
        <v>0</v>
      </c>
      <c r="I54" s="37">
        <v>0</v>
      </c>
      <c r="J54" s="37">
        <v>0</v>
      </c>
      <c r="K54" s="37" t="s">
        <v>710</v>
      </c>
      <c r="L54" s="45">
        <v>0</v>
      </c>
      <c r="M54" s="38">
        <v>0</v>
      </c>
      <c r="N54" s="46" t="s">
        <v>710</v>
      </c>
    </row>
    <row r="55" spans="1:14" hidden="1" x14ac:dyDescent="0.35">
      <c r="A55" t="s">
        <v>152</v>
      </c>
      <c r="C55" s="27">
        <f>SUBTOTAL(2,INDEX(CollReport[کد تفصیلی],1):CollReport[[#This Row],[کد تفصیلی]])</f>
        <v>3</v>
      </c>
      <c r="D55" s="26">
        <v>30008</v>
      </c>
      <c r="E55" s="10" t="str">
        <f>INDEX(customer[عنوان],MATCH(CollReport[[#This Row],[کد تفصیلی]],customer[کد],0))</f>
        <v>آرین کالا تک قومس</v>
      </c>
      <c r="F55" s="37">
        <v>0</v>
      </c>
      <c r="G55" s="37" t="s">
        <v>711</v>
      </c>
      <c r="H55" s="37" t="s">
        <v>711</v>
      </c>
      <c r="I55" s="37">
        <v>0</v>
      </c>
      <c r="J55" s="37">
        <v>0</v>
      </c>
      <c r="K55" s="37" t="s">
        <v>710</v>
      </c>
      <c r="L55" s="45">
        <v>0</v>
      </c>
      <c r="M55" s="38">
        <v>0</v>
      </c>
      <c r="N55" s="46" t="s">
        <v>710</v>
      </c>
    </row>
    <row r="56" spans="1:14" x14ac:dyDescent="0.35">
      <c r="A56" t="s">
        <v>144</v>
      </c>
      <c r="C56" s="27">
        <f>SUBTOTAL(2,INDEX(CollReport[کد تفصیلی],1):CollReport[[#This Row],[کد تفصیلی]])</f>
        <v>4</v>
      </c>
      <c r="D56" s="26">
        <v>10007</v>
      </c>
      <c r="E56" s="10" t="str">
        <f>INDEX(customer[عنوان],MATCH(CollReport[[#This Row],[کد تفصیلی]],customer[کد],0))</f>
        <v xml:space="preserve">محمدرضا شمسایی </v>
      </c>
      <c r="F56" s="37">
        <v>52.5</v>
      </c>
      <c r="G56" s="37" t="s">
        <v>711</v>
      </c>
      <c r="H56" s="37" t="s">
        <v>711</v>
      </c>
      <c r="I56" s="37">
        <v>52.5</v>
      </c>
      <c r="J56" s="37">
        <v>280.63336342592811</v>
      </c>
      <c r="K56" s="37">
        <v>280.63336342592811</v>
      </c>
      <c r="L56" s="45">
        <v>52.5</v>
      </c>
      <c r="M56" s="38">
        <v>280.63336342592811</v>
      </c>
      <c r="N56" s="46">
        <v>280.63336342592811</v>
      </c>
    </row>
    <row r="57" spans="1:14" hidden="1" x14ac:dyDescent="0.35">
      <c r="A57" t="s">
        <v>204</v>
      </c>
      <c r="C57" s="27">
        <f>SUBTOTAL(2,INDEX(CollReport[کد تفصیلی],1):CollReport[[#This Row],[کد تفصیلی]])</f>
        <v>4</v>
      </c>
      <c r="D57" s="26">
        <v>10126</v>
      </c>
      <c r="E57" s="10" t="str">
        <f>INDEX(customer[عنوان],MATCH(CollReport[[#This Row],[کد تفصیلی]],customer[کد],0))</f>
        <v xml:space="preserve">کریم اسمعیلی </v>
      </c>
      <c r="F57" s="37">
        <v>0</v>
      </c>
      <c r="G57" s="37">
        <v>-383.71186440677968</v>
      </c>
      <c r="H57" s="37">
        <v>-9.9395580272208406</v>
      </c>
      <c r="I57" s="37">
        <v>0</v>
      </c>
      <c r="J57" s="37">
        <v>0</v>
      </c>
      <c r="K57" s="37" t="s">
        <v>710</v>
      </c>
      <c r="L57" s="45">
        <v>0</v>
      </c>
      <c r="M57" s="38">
        <v>0</v>
      </c>
      <c r="N57" s="46" t="s">
        <v>710</v>
      </c>
    </row>
    <row r="58" spans="1:14" hidden="1" x14ac:dyDescent="0.35">
      <c r="A58" t="s">
        <v>184</v>
      </c>
      <c r="C58" s="27">
        <f>SUBTOTAL(2,INDEX(CollReport[کد تفصیلی],1):CollReport[[#This Row],[کد تفصیلی]])</f>
        <v>4</v>
      </c>
      <c r="D58" s="26">
        <v>10105</v>
      </c>
      <c r="E58" s="10" t="str">
        <f>INDEX(customer[عنوان],MATCH(CollReport[[#This Row],[کد تفصیلی]],customer[کد],0))</f>
        <v>خدیو زاد نادر</v>
      </c>
      <c r="F58" s="37">
        <v>0</v>
      </c>
      <c r="G58" s="37" t="s">
        <v>711</v>
      </c>
      <c r="H58" s="37" t="s">
        <v>711</v>
      </c>
      <c r="I58" s="37">
        <v>0</v>
      </c>
      <c r="J58" s="37">
        <v>0</v>
      </c>
      <c r="K58" s="37" t="s">
        <v>710</v>
      </c>
      <c r="L58" s="45">
        <v>0</v>
      </c>
      <c r="M58" s="38">
        <v>0</v>
      </c>
      <c r="N58" s="46" t="s">
        <v>710</v>
      </c>
    </row>
    <row r="59" spans="1:14" hidden="1" x14ac:dyDescent="0.35">
      <c r="A59" t="s">
        <v>203</v>
      </c>
      <c r="C59" s="27">
        <f>SUBTOTAL(2,INDEX(CollReport[کد تفصیلی],1):CollReport[[#This Row],[کد تفصیلی]])</f>
        <v>4</v>
      </c>
      <c r="D59" s="26">
        <v>30145</v>
      </c>
      <c r="E59" s="10" t="str">
        <f>INDEX(customer[عنوان],MATCH(CollReport[[#This Row],[کد تفصیلی]],customer[کد],0))</f>
        <v>شرکت سنادرب البرز</v>
      </c>
      <c r="F59" s="37">
        <v>0</v>
      </c>
      <c r="G59" s="37" t="s">
        <v>711</v>
      </c>
      <c r="H59" s="37" t="s">
        <v>711</v>
      </c>
      <c r="I59" s="37">
        <v>0</v>
      </c>
      <c r="J59" s="37">
        <v>0</v>
      </c>
      <c r="K59" s="37" t="s">
        <v>710</v>
      </c>
      <c r="L59" s="45">
        <v>0</v>
      </c>
      <c r="M59" s="38">
        <v>0</v>
      </c>
      <c r="N59" s="46" t="s">
        <v>710</v>
      </c>
    </row>
    <row r="60" spans="1:14" x14ac:dyDescent="0.35">
      <c r="A60" t="s">
        <v>187</v>
      </c>
      <c r="C60" s="27">
        <f>SUBTOTAL(2,INDEX(CollReport[کد تفصیلی],1):CollReport[[#This Row],[کد تفصیلی]])</f>
        <v>5</v>
      </c>
      <c r="D60" s="26">
        <v>30047</v>
      </c>
      <c r="E60" s="10" t="str">
        <f>INDEX(customer[عنوان],MATCH(CollReport[[#This Row],[کد تفصیلی]],customer[کد],0))</f>
        <v xml:space="preserve">نیران شیر </v>
      </c>
      <c r="F60" s="37">
        <v>630</v>
      </c>
      <c r="G60" s="37" t="s">
        <v>711</v>
      </c>
      <c r="H60" s="37" t="s">
        <v>711</v>
      </c>
      <c r="I60" s="37">
        <v>630</v>
      </c>
      <c r="J60" s="37">
        <v>280.63338576388924</v>
      </c>
      <c r="K60" s="37">
        <v>280.63338576388924</v>
      </c>
      <c r="L60" s="45">
        <v>630</v>
      </c>
      <c r="M60" s="38">
        <v>280.63338576388924</v>
      </c>
      <c r="N60" s="46">
        <v>280.63338576388924</v>
      </c>
    </row>
    <row r="61" spans="1:14" hidden="1" x14ac:dyDescent="0.35">
      <c r="A61" t="s">
        <v>55</v>
      </c>
      <c r="C61" s="27">
        <f>SUBTOTAL(2,INDEX(CollReport[کد تفصیلی],1):CollReport[[#This Row],[کد تفصیلی]])</f>
        <v>5</v>
      </c>
      <c r="D61" s="26">
        <v>30026</v>
      </c>
      <c r="E61" s="10" t="str">
        <f>INDEX(customer[عنوان],MATCH(CollReport[[#This Row],[کد تفصیلی]],customer[کد],0))</f>
        <v>آبکامه</v>
      </c>
      <c r="F61" s="37">
        <v>-764</v>
      </c>
      <c r="G61" s="37">
        <v>-174.18066636605485</v>
      </c>
      <c r="H61" s="37">
        <v>-31.638130190877622</v>
      </c>
      <c r="I61" s="37">
        <v>0</v>
      </c>
      <c r="J61" s="37">
        <v>0</v>
      </c>
      <c r="K61" s="37" t="s">
        <v>710</v>
      </c>
      <c r="L61" s="45">
        <v>0</v>
      </c>
      <c r="M61" s="38">
        <v>0</v>
      </c>
      <c r="N61" s="46" t="s">
        <v>710</v>
      </c>
    </row>
    <row r="62" spans="1:14" x14ac:dyDescent="0.35">
      <c r="A62" t="s">
        <v>322</v>
      </c>
      <c r="C62" s="27">
        <f>SUBTOTAL(2,INDEX(CollReport[کد تفصیلی],1):CollReport[[#This Row],[کد تفصیلی]])</f>
        <v>6</v>
      </c>
      <c r="D62" s="26">
        <v>30011</v>
      </c>
      <c r="E62" s="10" t="str">
        <f>INDEX(customer[عنوان],MATCH(CollReport[[#This Row],[کد تفصیلی]],customer[کد],0))</f>
        <v xml:space="preserve">پارسیان تراش صنعت </v>
      </c>
      <c r="F62" s="37">
        <v>5</v>
      </c>
      <c r="G62" s="37" t="s">
        <v>711</v>
      </c>
      <c r="H62" s="37" t="s">
        <v>711</v>
      </c>
      <c r="I62" s="37">
        <v>5</v>
      </c>
      <c r="J62" s="37">
        <v>280.63339756944333</v>
      </c>
      <c r="K62" s="37">
        <v>280.63339756944333</v>
      </c>
      <c r="L62" s="45">
        <v>5</v>
      </c>
      <c r="M62" s="38">
        <v>280.63339756944333</v>
      </c>
      <c r="N62" s="46">
        <v>280.63339756944333</v>
      </c>
    </row>
    <row r="63" spans="1:14" hidden="1" x14ac:dyDescent="0.35">
      <c r="A63" t="s">
        <v>226</v>
      </c>
      <c r="C63" s="27">
        <f>SUBTOTAL(2,INDEX(CollReport[کد تفصیلی],1):CollReport[[#This Row],[کد تفصیلی]])</f>
        <v>6</v>
      </c>
      <c r="D63" s="26">
        <v>10080</v>
      </c>
      <c r="E63" s="10" t="str">
        <f>INDEX(customer[عنوان],MATCH(CollReport[[#This Row],[کد تفصیلی]],customer[کد],0))</f>
        <v>افشین سرخابی</v>
      </c>
      <c r="F63" s="37">
        <v>0</v>
      </c>
      <c r="G63" s="37" t="s">
        <v>711</v>
      </c>
      <c r="H63" s="37" t="s">
        <v>711</v>
      </c>
      <c r="I63" s="37">
        <v>0</v>
      </c>
      <c r="J63" s="37">
        <v>0</v>
      </c>
      <c r="K63" s="37" t="s">
        <v>710</v>
      </c>
      <c r="L63" s="45">
        <v>0</v>
      </c>
      <c r="M63" s="38">
        <v>0</v>
      </c>
      <c r="N63" s="46" t="s">
        <v>710</v>
      </c>
    </row>
    <row r="64" spans="1:14" hidden="1" x14ac:dyDescent="0.35">
      <c r="A64" t="s">
        <v>205</v>
      </c>
      <c r="C64" s="27">
        <f>SUBTOTAL(2,INDEX(CollReport[کد تفصیلی],1):CollReport[[#This Row],[کد تفصیلی]])</f>
        <v>6</v>
      </c>
      <c r="D64" s="26">
        <v>30114</v>
      </c>
      <c r="E64" s="10" t="str">
        <f>INDEX(customer[عنوان],MATCH(CollReport[[#This Row],[کد تفصیلی]],customer[کد],0))</f>
        <v>قفل میلاک</v>
      </c>
      <c r="F64" s="37">
        <v>0</v>
      </c>
      <c r="G64" s="37" t="s">
        <v>711</v>
      </c>
      <c r="H64" s="37" t="s">
        <v>711</v>
      </c>
      <c r="I64" s="37">
        <v>0</v>
      </c>
      <c r="J64" s="37">
        <v>0</v>
      </c>
      <c r="K64" s="37" t="s">
        <v>710</v>
      </c>
      <c r="L64" s="45">
        <v>0</v>
      </c>
      <c r="M64" s="38">
        <v>0</v>
      </c>
      <c r="N64" s="46" t="s">
        <v>710</v>
      </c>
    </row>
    <row r="65" spans="1:14" x14ac:dyDescent="0.35">
      <c r="A65" t="s">
        <v>190</v>
      </c>
      <c r="C65" s="27">
        <f>SUBTOTAL(2,INDEX(CollReport[کد تفصیلی],1):CollReport[[#This Row],[کد تفصیلی]])</f>
        <v>7</v>
      </c>
      <c r="D65" s="26">
        <v>30123</v>
      </c>
      <c r="E65" s="10" t="str">
        <f>INDEX(customer[عنوان],MATCH(CollReport[[#This Row],[کد تفصیلی]],customer[کد],0))</f>
        <v>قوی ساز نیرو</v>
      </c>
      <c r="F65" s="37">
        <v>20</v>
      </c>
      <c r="G65" s="37" t="s">
        <v>711</v>
      </c>
      <c r="H65" s="37" t="s">
        <v>711</v>
      </c>
      <c r="I65" s="37">
        <v>20</v>
      </c>
      <c r="J65" s="37">
        <v>280.63341412036971</v>
      </c>
      <c r="K65" s="37">
        <v>280.63341412036971</v>
      </c>
      <c r="L65" s="45">
        <v>20</v>
      </c>
      <c r="M65" s="38">
        <v>280.63341412036971</v>
      </c>
      <c r="N65" s="46">
        <v>280.63341412036971</v>
      </c>
    </row>
    <row r="66" spans="1:14" hidden="1" x14ac:dyDescent="0.35">
      <c r="A66" t="s">
        <v>128</v>
      </c>
      <c r="C66" s="27">
        <f>SUBTOTAL(2,INDEX(CollReport[کد تفصیلی],1):CollReport[[#This Row],[کد تفصیلی]])</f>
        <v>7</v>
      </c>
      <c r="D66" s="26">
        <v>10116</v>
      </c>
      <c r="E66" s="10" t="str">
        <f>INDEX(customer[عنوان],MATCH(CollReport[[#This Row],[کد تفصیلی]],customer[کد],0))</f>
        <v>آقای ایمانی</v>
      </c>
      <c r="F66" s="37">
        <v>0</v>
      </c>
      <c r="G66" s="37" t="s">
        <v>711</v>
      </c>
      <c r="H66" s="37" t="s">
        <v>711</v>
      </c>
      <c r="I66" s="37">
        <v>0</v>
      </c>
      <c r="J66" s="37">
        <v>0</v>
      </c>
      <c r="K66" s="37" t="s">
        <v>710</v>
      </c>
      <c r="L66" s="45">
        <v>0</v>
      </c>
      <c r="M66" s="38">
        <v>0</v>
      </c>
      <c r="N66" s="46" t="s">
        <v>710</v>
      </c>
    </row>
    <row r="67" spans="1:14" hidden="1" x14ac:dyDescent="0.35">
      <c r="A67" t="s">
        <v>291</v>
      </c>
      <c r="C67" s="27">
        <f>SUBTOTAL(2,INDEX(CollReport[کد تفصیلی],1):CollReport[[#This Row],[کد تفصیلی]])</f>
        <v>7</v>
      </c>
      <c r="D67" s="26">
        <v>10142</v>
      </c>
      <c r="E67" s="10" t="str">
        <f>INDEX(customer[عنوان],MATCH(CollReport[[#This Row],[کد تفصیلی]],customer[کد],0))</f>
        <v>محمد کریمی</v>
      </c>
      <c r="F67" s="37">
        <v>0</v>
      </c>
      <c r="G67" s="37" t="s">
        <v>711</v>
      </c>
      <c r="H67" s="37" t="s">
        <v>711</v>
      </c>
      <c r="I67" s="37">
        <v>0</v>
      </c>
      <c r="J67" s="37">
        <v>0</v>
      </c>
      <c r="K67" s="37" t="s">
        <v>710</v>
      </c>
      <c r="L67" s="45">
        <v>0</v>
      </c>
      <c r="M67" s="38">
        <v>0</v>
      </c>
      <c r="N67" s="46" t="s">
        <v>710</v>
      </c>
    </row>
    <row r="68" spans="1:14" hidden="1" x14ac:dyDescent="0.35">
      <c r="A68" t="s">
        <v>300</v>
      </c>
      <c r="C68" s="27">
        <f>SUBTOTAL(2,INDEX(CollReport[کد تفصیلی],1):CollReport[[#This Row],[کد تفصیلی]])</f>
        <v>7</v>
      </c>
      <c r="D68" s="26">
        <v>10122</v>
      </c>
      <c r="E68" s="10" t="str">
        <f>INDEX(customer[عنوان],MATCH(CollReport[[#This Row],[کد تفصیلی]],customer[کد],0))</f>
        <v xml:space="preserve">محمد کاوک پور </v>
      </c>
      <c r="F68" s="37">
        <v>0</v>
      </c>
      <c r="G68" s="37" t="s">
        <v>711</v>
      </c>
      <c r="H68" s="37" t="s">
        <v>711</v>
      </c>
      <c r="I68" s="37">
        <v>0</v>
      </c>
      <c r="J68" s="37">
        <v>0</v>
      </c>
      <c r="K68" s="37" t="s">
        <v>710</v>
      </c>
      <c r="L68" s="45">
        <v>0</v>
      </c>
      <c r="M68" s="38">
        <v>0</v>
      </c>
      <c r="N68" s="46" t="s">
        <v>710</v>
      </c>
    </row>
    <row r="69" spans="1:14" x14ac:dyDescent="0.35">
      <c r="A69" t="s">
        <v>164</v>
      </c>
      <c r="C69" s="27">
        <f>SUBTOTAL(2,INDEX(CollReport[کد تفصیلی],1):CollReport[[#This Row],[کد تفصیلی]])</f>
        <v>8</v>
      </c>
      <c r="D69" s="26">
        <v>10030</v>
      </c>
      <c r="E69" s="10" t="str">
        <f>INDEX(customer[عنوان],MATCH(CollReport[[#This Row],[کد تفصیلی]],customer[کد],0))</f>
        <v>حسن منصفی راد</v>
      </c>
      <c r="F69" s="37">
        <v>222</v>
      </c>
      <c r="G69" s="37" t="s">
        <v>711</v>
      </c>
      <c r="H69" s="37" t="s">
        <v>711</v>
      </c>
      <c r="I69" s="37">
        <v>222</v>
      </c>
      <c r="J69" s="37">
        <v>280.63343657407677</v>
      </c>
      <c r="K69" s="37">
        <v>280.63343657407677</v>
      </c>
      <c r="L69" s="45">
        <v>222</v>
      </c>
      <c r="M69" s="38">
        <v>280.63343657407677</v>
      </c>
      <c r="N69" s="46">
        <v>280.63343657407677</v>
      </c>
    </row>
    <row r="70" spans="1:14" hidden="1" x14ac:dyDescent="0.35">
      <c r="A70" t="s">
        <v>170</v>
      </c>
      <c r="C70" s="27">
        <f>SUBTOTAL(2,INDEX(CollReport[کد تفصیلی],1):CollReport[[#This Row],[کد تفصیلی]])</f>
        <v>8</v>
      </c>
      <c r="D70" s="26">
        <v>30178</v>
      </c>
      <c r="E70" s="10" t="str">
        <f>INDEX(customer[عنوان],MATCH(CollReport[[#This Row],[کد تفصیلی]],customer[کد],0))</f>
        <v>شیرآلات آتریسا</v>
      </c>
      <c r="F70" s="37">
        <v>0</v>
      </c>
      <c r="G70" s="37" t="s">
        <v>711</v>
      </c>
      <c r="H70" s="37" t="s">
        <v>711</v>
      </c>
      <c r="I70" s="37">
        <v>0</v>
      </c>
      <c r="J70" s="37">
        <v>0</v>
      </c>
      <c r="K70" s="37" t="s">
        <v>710</v>
      </c>
      <c r="L70" s="45">
        <v>0</v>
      </c>
      <c r="M70" s="38">
        <v>0</v>
      </c>
      <c r="N70" s="46" t="s">
        <v>710</v>
      </c>
    </row>
    <row r="71" spans="1:14" hidden="1" x14ac:dyDescent="0.35">
      <c r="A71" t="s">
        <v>78</v>
      </c>
      <c r="C71" s="27">
        <f>SUBTOTAL(2,INDEX(CollReport[کد تفصیلی],1):CollReport[[#This Row],[کد تفصیلی]])</f>
        <v>8</v>
      </c>
      <c r="D71" s="26">
        <v>30020</v>
      </c>
      <c r="E71" s="10" t="str">
        <f>INDEX(customer[عنوان],MATCH(CollReport[[#This Row],[کد تفصیلی]],customer[کد],0))</f>
        <v>شیرگاز لاله</v>
      </c>
      <c r="F71" s="37">
        <v>-4</v>
      </c>
      <c r="G71" s="37">
        <v>-4</v>
      </c>
      <c r="H71" s="37" t="s">
        <v>711</v>
      </c>
      <c r="I71" s="37">
        <v>0</v>
      </c>
      <c r="J71" s="37">
        <v>0</v>
      </c>
      <c r="K71" s="37" t="s">
        <v>710</v>
      </c>
      <c r="L71" s="45">
        <v>0</v>
      </c>
      <c r="M71" s="38">
        <v>0</v>
      </c>
      <c r="N71" s="46" t="s">
        <v>710</v>
      </c>
    </row>
    <row r="72" spans="1:14" hidden="1" x14ac:dyDescent="0.35">
      <c r="A72" t="s">
        <v>355</v>
      </c>
      <c r="C72" s="27">
        <f>SUBTOTAL(2,INDEX(CollReport[کد تفصیلی],1):CollReport[[#This Row],[کد تفصیلی]])</f>
        <v>8</v>
      </c>
      <c r="D72" s="26">
        <v>30084</v>
      </c>
      <c r="E72" s="10" t="str">
        <f>INDEX(customer[عنوان],MATCH(CollReport[[#This Row],[کد تفصیلی]],customer[کد],0))</f>
        <v>لوله سبز چابهار</v>
      </c>
      <c r="F72" s="37">
        <v>0</v>
      </c>
      <c r="G72" s="37" t="s">
        <v>711</v>
      </c>
      <c r="H72" s="37" t="s">
        <v>711</v>
      </c>
      <c r="I72" s="37">
        <v>0</v>
      </c>
      <c r="J72" s="37">
        <v>0</v>
      </c>
      <c r="K72" s="37" t="s">
        <v>710</v>
      </c>
      <c r="L72" s="45">
        <v>0</v>
      </c>
      <c r="M72" s="38">
        <v>0</v>
      </c>
      <c r="N72" s="46" t="s">
        <v>710</v>
      </c>
    </row>
    <row r="73" spans="1:14" hidden="1" x14ac:dyDescent="0.35">
      <c r="A73" t="s">
        <v>199</v>
      </c>
      <c r="C73" s="27">
        <f>SUBTOTAL(2,INDEX(CollReport[کد تفصیلی],1):CollReport[[#This Row],[کد تفصیلی]])</f>
        <v>8</v>
      </c>
      <c r="D73" s="26">
        <v>10069</v>
      </c>
      <c r="E73" s="10" t="str">
        <f>INDEX(customer[عنوان],MATCH(CollReport[[#This Row],[کد تفصیلی]],customer[کد],0))</f>
        <v xml:space="preserve">جواد عرب </v>
      </c>
      <c r="F73" s="37">
        <v>-1919</v>
      </c>
      <c r="G73" s="37">
        <v>-211.87443670010876</v>
      </c>
      <c r="H73" s="37">
        <v>-2.0358926124142025</v>
      </c>
      <c r="I73" s="37">
        <v>0</v>
      </c>
      <c r="J73" s="37">
        <v>0</v>
      </c>
      <c r="K73" s="37" t="s">
        <v>710</v>
      </c>
      <c r="L73" s="45">
        <v>0</v>
      </c>
      <c r="M73" s="38">
        <v>0</v>
      </c>
      <c r="N73" s="46" t="s">
        <v>710</v>
      </c>
    </row>
    <row r="74" spans="1:14" hidden="1" x14ac:dyDescent="0.35">
      <c r="A74" t="s">
        <v>261</v>
      </c>
      <c r="C74" s="27">
        <f>SUBTOTAL(2,INDEX(CollReport[کد تفصیلی],1):CollReport[[#This Row],[کد تفصیلی]])</f>
        <v>8</v>
      </c>
      <c r="D74" s="26">
        <v>79055</v>
      </c>
      <c r="E74" s="10" t="str">
        <f>INDEX(customer[عنوان],MATCH(CollReport[[#This Row],[کد تفصیلی]],customer[کد],0))</f>
        <v xml:space="preserve">گروه تولیدی صنعتی فدرال </v>
      </c>
      <c r="F74" s="37">
        <v>0</v>
      </c>
      <c r="G74" s="37" t="s">
        <v>711</v>
      </c>
      <c r="H74" s="37" t="s">
        <v>711</v>
      </c>
      <c r="I74" s="37">
        <v>0</v>
      </c>
      <c r="J74" s="37">
        <v>0</v>
      </c>
      <c r="K74" s="37" t="s">
        <v>710</v>
      </c>
      <c r="L74" s="45">
        <v>0</v>
      </c>
      <c r="M74" s="38">
        <v>0</v>
      </c>
      <c r="N74" s="46" t="s">
        <v>710</v>
      </c>
    </row>
    <row r="75" spans="1:14" hidden="1" x14ac:dyDescent="0.35">
      <c r="A75" t="s">
        <v>416</v>
      </c>
      <c r="C75" s="27">
        <f>SUBTOTAL(2,INDEX(CollReport[کد تفصیلی],1):CollReport[[#This Row],[کد تفصیلی]])</f>
        <v>8</v>
      </c>
      <c r="D75" s="26">
        <v>10004</v>
      </c>
      <c r="E75" s="10" t="str">
        <f>INDEX(customer[عنوان],MATCH(CollReport[[#This Row],[کد تفصیلی]],customer[کد],0))</f>
        <v xml:space="preserve">محمد عباسی </v>
      </c>
      <c r="F75" s="37">
        <v>12</v>
      </c>
      <c r="G75" s="37">
        <v>66.231343283582092</v>
      </c>
      <c r="H75" s="37">
        <v>3.2202467343976777</v>
      </c>
      <c r="I75" s="37">
        <v>12</v>
      </c>
      <c r="J75" s="37">
        <v>22.633470833330648</v>
      </c>
      <c r="K75" s="37">
        <v>22.633470833330648</v>
      </c>
      <c r="L75" s="45">
        <v>12</v>
      </c>
      <c r="M75" s="38">
        <v>22.633470833330648</v>
      </c>
      <c r="N75" s="46">
        <v>22.633470833330648</v>
      </c>
    </row>
    <row r="76" spans="1:14" x14ac:dyDescent="0.35">
      <c r="A76" t="s">
        <v>209</v>
      </c>
      <c r="C76" s="27">
        <f>SUBTOTAL(2,INDEX(CollReport[کد تفصیلی],1):CollReport[[#This Row],[کد تفصیلی]])</f>
        <v>9</v>
      </c>
      <c r="D76" s="26">
        <v>30030</v>
      </c>
      <c r="E76" s="10" t="str">
        <f>INDEX(customer[عنوان],MATCH(CollReport[[#This Row],[کد تفصیلی]],customer[کد],0))</f>
        <v xml:space="preserve">تراش پارس </v>
      </c>
      <c r="F76" s="37">
        <v>49</v>
      </c>
      <c r="G76" s="37">
        <v>1.0153846153846153</v>
      </c>
      <c r="H76" s="37">
        <v>2.1052631578947368E-2</v>
      </c>
      <c r="I76" s="37">
        <v>49</v>
      </c>
      <c r="J76" s="37">
        <v>215.63347708333458</v>
      </c>
      <c r="K76" s="37">
        <v>215.63347708333458</v>
      </c>
      <c r="L76" s="45">
        <v>49</v>
      </c>
      <c r="M76" s="38">
        <v>215.63347708333458</v>
      </c>
      <c r="N76" s="46">
        <v>215.63347708333458</v>
      </c>
    </row>
    <row r="77" spans="1:14" hidden="1" x14ac:dyDescent="0.35">
      <c r="A77" t="s">
        <v>306</v>
      </c>
      <c r="C77" s="27">
        <f>SUBTOTAL(2,INDEX(CollReport[کد تفصیلی],1):CollReport[[#This Row],[کد تفصیلی]])</f>
        <v>9</v>
      </c>
      <c r="D77" s="26">
        <v>30129</v>
      </c>
      <c r="E77" s="10" t="str">
        <f>INDEX(customer[عنوان],MATCH(CollReport[[#This Row],[کد تفصیلی]],customer[کد],0))</f>
        <v>بایا سیلندر</v>
      </c>
      <c r="F77" s="37">
        <v>0</v>
      </c>
      <c r="G77" s="37" t="s">
        <v>711</v>
      </c>
      <c r="H77" s="37" t="s">
        <v>711</v>
      </c>
      <c r="I77" s="37">
        <v>0</v>
      </c>
      <c r="J77" s="37">
        <v>0</v>
      </c>
      <c r="K77" s="37" t="s">
        <v>710</v>
      </c>
      <c r="L77" s="45">
        <v>0</v>
      </c>
      <c r="M77" s="38">
        <v>0</v>
      </c>
      <c r="N77" s="46" t="s">
        <v>710</v>
      </c>
    </row>
    <row r="78" spans="1:14" hidden="1" x14ac:dyDescent="0.35">
      <c r="A78" t="s">
        <v>267</v>
      </c>
      <c r="C78" s="27">
        <f>SUBTOTAL(2,INDEX(CollReport[کد تفصیلی],1):CollReport[[#This Row],[کد تفصیلی]])</f>
        <v>9</v>
      </c>
      <c r="D78" s="26">
        <v>30090</v>
      </c>
      <c r="E78" s="10" t="str">
        <f>INDEX(customer[عنوان],MATCH(CollReport[[#This Row],[کد تفصیلی]],customer[کد],0))</f>
        <v xml:space="preserve">سری تراشی شهران </v>
      </c>
      <c r="F78" s="37">
        <v>0</v>
      </c>
      <c r="G78" s="37" t="s">
        <v>711</v>
      </c>
      <c r="H78" s="37" t="s">
        <v>711</v>
      </c>
      <c r="I78" s="37">
        <v>0</v>
      </c>
      <c r="J78" s="37">
        <v>0</v>
      </c>
      <c r="K78" s="37" t="s">
        <v>710</v>
      </c>
      <c r="L78" s="45">
        <v>0</v>
      </c>
      <c r="M78" s="38">
        <v>0</v>
      </c>
      <c r="N78" s="46" t="s">
        <v>710</v>
      </c>
    </row>
    <row r="79" spans="1:14" hidden="1" x14ac:dyDescent="0.35">
      <c r="A79" t="s">
        <v>286</v>
      </c>
      <c r="C79" s="27">
        <f>SUBTOTAL(2,INDEX(CollReport[کد تفصیلی],1):CollReport[[#This Row],[کد تفصیلی]])</f>
        <v>9</v>
      </c>
      <c r="D79" s="26">
        <v>30109</v>
      </c>
      <c r="E79" s="10" t="str">
        <f>INDEX(customer[عنوان],MATCH(CollReport[[#This Row],[کد تفصیلی]],customer[کد],0))</f>
        <v>شیرآلات ایرانیان</v>
      </c>
      <c r="F79" s="37">
        <v>0</v>
      </c>
      <c r="G79" s="37" t="s">
        <v>711</v>
      </c>
      <c r="H79" s="37" t="s">
        <v>711</v>
      </c>
      <c r="I79" s="37">
        <v>0</v>
      </c>
      <c r="J79" s="37">
        <v>0</v>
      </c>
      <c r="K79" s="37" t="s">
        <v>710</v>
      </c>
      <c r="L79" s="45">
        <v>0</v>
      </c>
      <c r="M79" s="38">
        <v>0</v>
      </c>
      <c r="N79" s="46" t="s">
        <v>710</v>
      </c>
    </row>
    <row r="80" spans="1:14" hidden="1" x14ac:dyDescent="0.35">
      <c r="A80" t="s">
        <v>189</v>
      </c>
      <c r="C80" s="27">
        <f>SUBTOTAL(2,INDEX(CollReport[کد تفصیلی],1):CollReport[[#This Row],[کد تفصیلی]])</f>
        <v>9</v>
      </c>
      <c r="D80" s="26">
        <v>30010</v>
      </c>
      <c r="E80" s="10" t="str">
        <f>INDEX(customer[عنوان],MATCH(CollReport[[#This Row],[کد تفصیلی]],customer[کد],0))</f>
        <v xml:space="preserve">صنایع یکتا تهویه اروند </v>
      </c>
      <c r="F80" s="37">
        <v>-8</v>
      </c>
      <c r="G80" s="37">
        <v>-8</v>
      </c>
      <c r="H80" s="37" t="s">
        <v>711</v>
      </c>
      <c r="I80" s="37">
        <v>0</v>
      </c>
      <c r="J80" s="37">
        <v>0</v>
      </c>
      <c r="K80" s="37" t="s">
        <v>710</v>
      </c>
      <c r="L80" s="45">
        <v>0</v>
      </c>
      <c r="M80" s="38">
        <v>0</v>
      </c>
      <c r="N80" s="46" t="s">
        <v>710</v>
      </c>
    </row>
    <row r="81" spans="1:14" x14ac:dyDescent="0.35">
      <c r="A81" t="s">
        <v>255</v>
      </c>
      <c r="C81" s="27">
        <f>SUBTOTAL(2,INDEX(CollReport[کد تفصیلی],1):CollReport[[#This Row],[کد تفصیلی]])</f>
        <v>10</v>
      </c>
      <c r="D81" s="26">
        <v>30077</v>
      </c>
      <c r="E81" s="10" t="str">
        <f>INDEX(customer[عنوان],MATCH(CollReport[[#This Row],[کد تفصیلی]],customer[کد],0))</f>
        <v>تولیدی و صنعتی تهرانچیان</v>
      </c>
      <c r="F81" s="37">
        <v>32</v>
      </c>
      <c r="G81" s="37">
        <v>-22.548672566371682</v>
      </c>
      <c r="H81" s="37">
        <v>-5.0960000000000001</v>
      </c>
      <c r="I81" s="37">
        <v>32</v>
      </c>
      <c r="J81" s="37">
        <v>167.63350706018537</v>
      </c>
      <c r="K81" s="37">
        <v>167.63350706018537</v>
      </c>
      <c r="L81" s="45">
        <v>32</v>
      </c>
      <c r="M81" s="38">
        <v>167.63350706018537</v>
      </c>
      <c r="N81" s="46">
        <v>167.63350706018537</v>
      </c>
    </row>
    <row r="82" spans="1:14" hidden="1" x14ac:dyDescent="0.35">
      <c r="A82" t="s">
        <v>206</v>
      </c>
      <c r="C82" s="27">
        <f>SUBTOTAL(2,INDEX(CollReport[کد تفصیلی],1):CollReport[[#This Row],[کد تفصیلی]])</f>
        <v>10</v>
      </c>
      <c r="D82" s="26">
        <v>30027</v>
      </c>
      <c r="E82" s="10" t="str">
        <f>INDEX(customer[عنوان],MATCH(CollReport[[#This Row],[کد تفصیلی]],customer[کد],0))</f>
        <v xml:space="preserve">سینا سازه </v>
      </c>
      <c r="F82" s="37">
        <v>0</v>
      </c>
      <c r="G82" s="37" t="s">
        <v>711</v>
      </c>
      <c r="H82" s="37" t="s">
        <v>711</v>
      </c>
      <c r="I82" s="37">
        <v>0</v>
      </c>
      <c r="J82" s="37">
        <v>0</v>
      </c>
      <c r="K82" s="37" t="s">
        <v>710</v>
      </c>
      <c r="L82" s="45">
        <v>0</v>
      </c>
      <c r="M82" s="38">
        <v>0</v>
      </c>
      <c r="N82" s="46" t="s">
        <v>710</v>
      </c>
    </row>
    <row r="83" spans="1:14" x14ac:dyDescent="0.35">
      <c r="A83" t="s">
        <v>312</v>
      </c>
      <c r="C83" s="27">
        <f>SUBTOTAL(2,INDEX(CollReport[کد تفصیلی],1):CollReport[[#This Row],[کد تفصیلی]])</f>
        <v>11</v>
      </c>
      <c r="D83" s="26">
        <v>30135</v>
      </c>
      <c r="E83" s="10" t="str">
        <f>INDEX(customer[عنوان],MATCH(CollReport[[#This Row],[کد تفصیلی]],customer[کد],0))</f>
        <v xml:space="preserve">شیرآلات اترس </v>
      </c>
      <c r="F83" s="37">
        <v>5</v>
      </c>
      <c r="G83" s="37" t="s">
        <v>711</v>
      </c>
      <c r="H83" s="37" t="s">
        <v>711</v>
      </c>
      <c r="I83" s="37">
        <v>5</v>
      </c>
      <c r="J83" s="37">
        <v>280.63351898147812</v>
      </c>
      <c r="K83" s="37">
        <v>280.63351898147812</v>
      </c>
      <c r="L83" s="45">
        <v>5</v>
      </c>
      <c r="M83" s="38">
        <v>280.63351898147812</v>
      </c>
      <c r="N83" s="46">
        <v>280.63351898147812</v>
      </c>
    </row>
    <row r="84" spans="1:14" hidden="1" x14ac:dyDescent="0.35">
      <c r="A84" t="s">
        <v>136</v>
      </c>
      <c r="C84" s="27">
        <f>SUBTOTAL(2,INDEX(CollReport[کد تفصیلی],1):CollReport[[#This Row],[کد تفصیلی]])</f>
        <v>11</v>
      </c>
      <c r="D84" s="26">
        <v>10048</v>
      </c>
      <c r="E84" s="10" t="str">
        <f>INDEX(customer[عنوان],MATCH(CollReport[[#This Row],[کد تفصیلی]],customer[کد],0))</f>
        <v xml:space="preserve">حسام کریمان  </v>
      </c>
      <c r="F84" s="37">
        <v>1097</v>
      </c>
      <c r="G84" s="37">
        <v>824.23791821561338</v>
      </c>
      <c r="H84" s="37">
        <v>15.026770586241952</v>
      </c>
      <c r="I84" s="37">
        <v>1097</v>
      </c>
      <c r="J84" s="37">
        <v>12.633525115743396</v>
      </c>
      <c r="K84" s="37">
        <v>12.633525115743396</v>
      </c>
      <c r="L84" s="45">
        <v>0</v>
      </c>
      <c r="M84" s="38">
        <v>0</v>
      </c>
      <c r="N84" s="46" t="s">
        <v>710</v>
      </c>
    </row>
    <row r="85" spans="1:14" hidden="1" x14ac:dyDescent="0.35">
      <c r="A85" t="s">
        <v>140</v>
      </c>
      <c r="C85" s="27">
        <f>SUBTOTAL(2,INDEX(CollReport[کد تفصیلی],1):CollReport[[#This Row],[کد تفصیلی]])</f>
        <v>11</v>
      </c>
      <c r="D85" s="26">
        <v>30160</v>
      </c>
      <c r="E85" s="10" t="str">
        <f>INDEX(customer[عنوان],MATCH(CollReport[[#This Row],[کد تفصیلی]],customer[کد],0))</f>
        <v>کیان صنعت</v>
      </c>
      <c r="F85" s="37">
        <v>425</v>
      </c>
      <c r="G85" s="37">
        <v>279.29739776951675</v>
      </c>
      <c r="H85" s="37">
        <v>67.503144654088047</v>
      </c>
      <c r="I85" s="37">
        <v>425</v>
      </c>
      <c r="J85" s="37">
        <v>57.633531712963304</v>
      </c>
      <c r="K85" s="37">
        <v>28.193531712963303</v>
      </c>
      <c r="L85" s="45">
        <v>153</v>
      </c>
      <c r="M85" s="38">
        <v>57.633531712963304</v>
      </c>
      <c r="N85" s="46">
        <v>57.633531712963304</v>
      </c>
    </row>
    <row r="86" spans="1:14" x14ac:dyDescent="0.35">
      <c r="A86" t="s">
        <v>58</v>
      </c>
      <c r="C86" s="27">
        <f>SUBTOTAL(2,INDEX(CollReport[کد تفصیلی],1):CollReport[[#This Row],[کد تفصیلی]])</f>
        <v>12</v>
      </c>
      <c r="D86" s="26">
        <v>79010</v>
      </c>
      <c r="E86" s="10" t="str">
        <f>INDEX(customer[عنوان],MATCH(CollReport[[#This Row],[کد تفصیلی]],customer[کد],0))</f>
        <v xml:space="preserve">شرکت بتا </v>
      </c>
      <c r="F86" s="37">
        <v>110</v>
      </c>
      <c r="G86" s="37" t="s">
        <v>711</v>
      </c>
      <c r="H86" s="37" t="s">
        <v>711</v>
      </c>
      <c r="I86" s="37">
        <v>110</v>
      </c>
      <c r="J86" s="37">
        <v>280.63353888889105</v>
      </c>
      <c r="K86" s="37">
        <v>280.63353888889105</v>
      </c>
      <c r="L86" s="45">
        <v>110</v>
      </c>
      <c r="M86" s="38">
        <v>280.63353888889105</v>
      </c>
      <c r="N86" s="46">
        <v>280.63353888889105</v>
      </c>
    </row>
    <row r="87" spans="1:14" x14ac:dyDescent="0.35">
      <c r="A87" t="s">
        <v>62</v>
      </c>
      <c r="C87" s="27">
        <f>SUBTOTAL(2,INDEX(CollReport[کد تفصیلی],1):CollReport[[#This Row],[کد تفصیلی]])</f>
        <v>13</v>
      </c>
      <c r="D87" s="26">
        <v>30079</v>
      </c>
      <c r="E87" s="10" t="str">
        <f>INDEX(customer[عنوان],MATCH(CollReport[[#This Row],[کد تفصیلی]],customer[کد],0))</f>
        <v>آریا صنعت</v>
      </c>
      <c r="F87" s="37">
        <v>85</v>
      </c>
      <c r="G87" s="37" t="s">
        <v>711</v>
      </c>
      <c r="H87" s="37" t="s">
        <v>711</v>
      </c>
      <c r="I87" s="37">
        <v>85</v>
      </c>
      <c r="J87" s="37">
        <v>280.63354560184962</v>
      </c>
      <c r="K87" s="37">
        <v>280.63354560184962</v>
      </c>
      <c r="L87" s="45">
        <v>85</v>
      </c>
      <c r="M87" s="38">
        <v>280.63354560184962</v>
      </c>
      <c r="N87" s="46">
        <v>280.63354560184962</v>
      </c>
    </row>
    <row r="88" spans="1:14" x14ac:dyDescent="0.35">
      <c r="A88" t="s">
        <v>67</v>
      </c>
      <c r="C88" s="27">
        <f>SUBTOTAL(2,INDEX(CollReport[کد تفصیلی],1):CollReport[[#This Row],[کد تفصیلی]])</f>
        <v>14</v>
      </c>
      <c r="D88" s="26">
        <v>30097</v>
      </c>
      <c r="E88" s="10" t="str">
        <f>INDEX(customer[عنوان],MATCH(CollReport[[#This Row],[کد تفصیلی]],customer[کد],0))</f>
        <v>شرکت صنعتی پیش آهنگ</v>
      </c>
      <c r="F88" s="37">
        <v>82</v>
      </c>
      <c r="G88" s="37" t="s">
        <v>711</v>
      </c>
      <c r="H88" s="37" t="s">
        <v>711</v>
      </c>
      <c r="I88" s="37">
        <v>82</v>
      </c>
      <c r="J88" s="37">
        <v>280.63355185185355</v>
      </c>
      <c r="K88" s="37">
        <v>280.63355185185355</v>
      </c>
      <c r="L88" s="45">
        <v>82</v>
      </c>
      <c r="M88" s="38">
        <v>280.63355185185355</v>
      </c>
      <c r="N88" s="46">
        <v>280.63355185185355</v>
      </c>
    </row>
    <row r="89" spans="1:14" x14ac:dyDescent="0.35">
      <c r="A89" t="s">
        <v>71</v>
      </c>
      <c r="C89" s="27">
        <f>SUBTOTAL(2,INDEX(CollReport[کد تفصیلی],1):CollReport[[#This Row],[کد تفصیلی]])</f>
        <v>15</v>
      </c>
      <c r="D89" s="26">
        <v>30141</v>
      </c>
      <c r="E89" s="10" t="str">
        <f>INDEX(customer[عنوان],MATCH(CollReport[[#This Row],[کد تفصیلی]],customer[کد],0))</f>
        <v>شرکت به تراش</v>
      </c>
      <c r="F89" s="37">
        <v>42</v>
      </c>
      <c r="G89" s="37" t="s">
        <v>711</v>
      </c>
      <c r="H89" s="37" t="s">
        <v>711</v>
      </c>
      <c r="I89" s="37">
        <v>42</v>
      </c>
      <c r="J89" s="37">
        <v>280.63355856481212</v>
      </c>
      <c r="K89" s="37">
        <v>280.63355856481212</v>
      </c>
      <c r="L89" s="45">
        <v>42</v>
      </c>
      <c r="M89" s="38">
        <v>280.63355856481212</v>
      </c>
      <c r="N89" s="46">
        <v>280.63355856481212</v>
      </c>
    </row>
    <row r="90" spans="1:14" x14ac:dyDescent="0.35">
      <c r="A90" t="s">
        <v>87</v>
      </c>
      <c r="C90" s="27">
        <f>SUBTOTAL(2,INDEX(CollReport[کد تفصیلی],1):CollReport[[#This Row],[کد تفصیلی]])</f>
        <v>16</v>
      </c>
      <c r="D90" s="26">
        <v>30118</v>
      </c>
      <c r="E90" s="10" t="str">
        <f>INDEX(customer[عنوان],MATCH(CollReport[[#This Row],[کد تفصیلی]],customer[کد],0))</f>
        <v>عمارت</v>
      </c>
      <c r="F90" s="37">
        <v>20</v>
      </c>
      <c r="G90" s="37" t="s">
        <v>711</v>
      </c>
      <c r="H90" s="37" t="s">
        <v>711</v>
      </c>
      <c r="I90" s="37">
        <v>20</v>
      </c>
      <c r="J90" s="37">
        <v>280.6335646990774</v>
      </c>
      <c r="K90" s="37">
        <v>280.6335646990774</v>
      </c>
      <c r="L90" s="45">
        <v>20</v>
      </c>
      <c r="M90" s="38">
        <v>280.6335646990774</v>
      </c>
      <c r="N90" s="46">
        <v>280.6335646990774</v>
      </c>
    </row>
    <row r="91" spans="1:14" x14ac:dyDescent="0.35">
      <c r="A91" t="s">
        <v>94</v>
      </c>
      <c r="C91" s="27">
        <f>SUBTOTAL(2,INDEX(CollReport[کد تفصیلی],1):CollReport[[#This Row],[کد تفصیلی]])</f>
        <v>17</v>
      </c>
      <c r="D91" s="26">
        <v>10076</v>
      </c>
      <c r="E91" s="10" t="str">
        <f>INDEX(customer[عنوان],MATCH(CollReport[[#This Row],[کد تفصیلی]],customer[کد],0))</f>
        <v xml:space="preserve">چپر ایلخانی </v>
      </c>
      <c r="F91" s="37">
        <v>13</v>
      </c>
      <c r="G91" s="37" t="s">
        <v>711</v>
      </c>
      <c r="H91" s="37" t="s">
        <v>711</v>
      </c>
      <c r="I91" s="37">
        <v>13</v>
      </c>
      <c r="J91" s="37">
        <v>280.63357118055865</v>
      </c>
      <c r="K91" s="37">
        <v>280.63357118055865</v>
      </c>
      <c r="L91" s="45">
        <v>13</v>
      </c>
      <c r="M91" s="38">
        <v>280.63357118055865</v>
      </c>
      <c r="N91" s="46">
        <v>280.63357118055865</v>
      </c>
    </row>
    <row r="92" spans="1:14" x14ac:dyDescent="0.35">
      <c r="A92" t="s">
        <v>113</v>
      </c>
      <c r="C92" s="27">
        <f>SUBTOTAL(2,INDEX(CollReport[کد تفصیلی],1):CollReport[[#This Row],[کد تفصیلی]])</f>
        <v>18</v>
      </c>
      <c r="D92" s="26">
        <v>30031</v>
      </c>
      <c r="E92" s="10" t="str">
        <f>INDEX(customer[عنوان],MATCH(CollReport[[#This Row],[کد تفصیلی]],customer[کد],0))</f>
        <v xml:space="preserve">پارت سازان شرق </v>
      </c>
      <c r="F92" s="37">
        <v>1</v>
      </c>
      <c r="G92" s="37" t="s">
        <v>711</v>
      </c>
      <c r="H92" s="37" t="s">
        <v>711</v>
      </c>
      <c r="I92" s="37">
        <v>1</v>
      </c>
      <c r="J92" s="37">
        <v>280.63357743055531</v>
      </c>
      <c r="K92" s="37">
        <v>280.63357743055531</v>
      </c>
      <c r="L92" s="45">
        <v>1</v>
      </c>
      <c r="M92" s="38">
        <v>280.63357743055531</v>
      </c>
      <c r="N92" s="46">
        <v>280.63357743055531</v>
      </c>
    </row>
    <row r="93" spans="1:14" hidden="1" x14ac:dyDescent="0.35">
      <c r="A93" t="s">
        <v>124</v>
      </c>
      <c r="C93" s="27">
        <f>SUBTOTAL(2,INDEX(CollReport[کد تفصیلی],1):CollReport[[#This Row],[کد تفصیلی]])</f>
        <v>18</v>
      </c>
      <c r="D93" s="26">
        <v>30202</v>
      </c>
      <c r="E93" s="10" t="str">
        <f>INDEX(customer[عنوان],MATCH(CollReport[[#This Row],[کد تفصیلی]],customer[کد],0))</f>
        <v>شرکت بهین تولید</v>
      </c>
      <c r="F93" s="37">
        <v>-1</v>
      </c>
      <c r="G93" s="37">
        <v>-1</v>
      </c>
      <c r="H93" s="37">
        <v>-0.11362986868293902</v>
      </c>
      <c r="I93" s="37">
        <v>0</v>
      </c>
      <c r="J93" s="37">
        <v>0</v>
      </c>
      <c r="K93" s="37" t="s">
        <v>710</v>
      </c>
      <c r="L93" s="45">
        <v>0</v>
      </c>
      <c r="M93" s="38">
        <v>0</v>
      </c>
      <c r="N93" s="46" t="s">
        <v>710</v>
      </c>
    </row>
    <row r="94" spans="1:14" hidden="1" x14ac:dyDescent="0.35">
      <c r="A94" t="s">
        <v>210</v>
      </c>
      <c r="C94" s="27">
        <f>SUBTOTAL(2,INDEX(CollReport[کد تفصیلی],1):CollReport[[#This Row],[کد تفصیلی]])</f>
        <v>18</v>
      </c>
      <c r="D94" s="26">
        <v>30062</v>
      </c>
      <c r="E94" s="10" t="str">
        <f>INDEX(customer[عنوان],MATCH(CollReport[[#This Row],[کد تفصیلی]],customer[کد],0))</f>
        <v xml:space="preserve">شیر آلات نوین </v>
      </c>
      <c r="F94" s="37">
        <v>-1</v>
      </c>
      <c r="G94" s="37">
        <v>-1</v>
      </c>
      <c r="H94" s="37" t="s">
        <v>711</v>
      </c>
      <c r="I94" s="37">
        <v>0</v>
      </c>
      <c r="J94" s="37">
        <v>0</v>
      </c>
      <c r="K94" s="37" t="s">
        <v>710</v>
      </c>
      <c r="L94" s="45">
        <v>0</v>
      </c>
      <c r="M94" s="38">
        <v>0</v>
      </c>
      <c r="N94" s="46" t="s">
        <v>710</v>
      </c>
    </row>
    <row r="95" spans="1:14" hidden="1" x14ac:dyDescent="0.35">
      <c r="A95" t="s">
        <v>233</v>
      </c>
      <c r="C95" s="27">
        <f>SUBTOTAL(2,INDEX(CollReport[کد تفصیلی],1):CollReport[[#This Row],[کد تفصیلی]])</f>
        <v>18</v>
      </c>
      <c r="D95" s="26">
        <v>30071</v>
      </c>
      <c r="E95" s="10" t="str">
        <f>INDEX(customer[عنوان],MATCH(CollReport[[#This Row],[کد تفصیلی]],customer[کد],0))</f>
        <v xml:space="preserve">راک جاه  </v>
      </c>
      <c r="F95" s="37">
        <v>-3</v>
      </c>
      <c r="G95" s="37">
        <v>-3</v>
      </c>
      <c r="H95" s="37" t="s">
        <v>711</v>
      </c>
      <c r="I95" s="37">
        <v>0</v>
      </c>
      <c r="J95" s="37">
        <v>0</v>
      </c>
      <c r="K95" s="37" t="s">
        <v>710</v>
      </c>
      <c r="L95" s="45">
        <v>0</v>
      </c>
      <c r="M95" s="38">
        <v>0</v>
      </c>
      <c r="N95" s="46" t="s">
        <v>710</v>
      </c>
    </row>
    <row r="96" spans="1:14" hidden="1" x14ac:dyDescent="0.35">
      <c r="A96" t="s">
        <v>243</v>
      </c>
      <c r="C96" s="27">
        <f>SUBTOTAL(2,INDEX(CollReport[کد تفصیلی],1):CollReport[[#This Row],[کد تفصیلی]])</f>
        <v>18</v>
      </c>
      <c r="D96" s="26">
        <v>10039</v>
      </c>
      <c r="E96" s="10" t="str">
        <f>INDEX(customer[عنوان],MATCH(CollReport[[#This Row],[کد تفصیلی]],customer[کد],0))</f>
        <v>محمدی علی</v>
      </c>
      <c r="F96" s="37">
        <v>-4</v>
      </c>
      <c r="G96" s="37">
        <v>-4</v>
      </c>
      <c r="H96" s="37" t="s">
        <v>711</v>
      </c>
      <c r="I96" s="37">
        <v>0</v>
      </c>
      <c r="J96" s="37">
        <v>0</v>
      </c>
      <c r="K96" s="37" t="s">
        <v>710</v>
      </c>
      <c r="L96" s="45">
        <v>0</v>
      </c>
      <c r="M96" s="38">
        <v>0</v>
      </c>
      <c r="N96" s="46" t="s">
        <v>710</v>
      </c>
    </row>
    <row r="97" spans="1:14" hidden="1" x14ac:dyDescent="0.35">
      <c r="A97" t="s">
        <v>249</v>
      </c>
      <c r="C97" s="27">
        <f>SUBTOTAL(2,INDEX(CollReport[کد تفصیلی],1):CollReport[[#This Row],[کد تفصیلی]])</f>
        <v>18</v>
      </c>
      <c r="D97" s="26">
        <v>10023</v>
      </c>
      <c r="E97" s="10" t="str">
        <f>INDEX(customer[عنوان],MATCH(CollReport[[#This Row],[کد تفصیلی]],customer[کد],0))</f>
        <v>علی شهریاری</v>
      </c>
      <c r="F97" s="37">
        <v>-6</v>
      </c>
      <c r="G97" s="37">
        <v>-6</v>
      </c>
      <c r="H97" s="37" t="s">
        <v>711</v>
      </c>
      <c r="I97" s="37">
        <v>0</v>
      </c>
      <c r="J97" s="37">
        <v>0</v>
      </c>
      <c r="K97" s="37" t="s">
        <v>710</v>
      </c>
      <c r="L97" s="45">
        <v>0</v>
      </c>
      <c r="M97" s="38">
        <v>0</v>
      </c>
      <c r="N97" s="46" t="s">
        <v>710</v>
      </c>
    </row>
    <row r="98" spans="1:14" hidden="1" x14ac:dyDescent="0.35">
      <c r="A98" t="s">
        <v>257</v>
      </c>
      <c r="C98" s="27">
        <f>SUBTOTAL(2,INDEX(CollReport[کد تفصیلی],1):CollReport[[#This Row],[کد تفصیلی]])</f>
        <v>18</v>
      </c>
      <c r="D98" s="26">
        <v>10010</v>
      </c>
      <c r="E98" s="10" t="str">
        <f>INDEX(customer[عنوان],MATCH(CollReport[[#This Row],[کد تفصیلی]],customer[کد],0))</f>
        <v xml:space="preserve">فرید لواسانی  </v>
      </c>
      <c r="F98" s="37">
        <v>-8</v>
      </c>
      <c r="G98" s="37">
        <v>-8</v>
      </c>
      <c r="H98" s="37" t="s">
        <v>711</v>
      </c>
      <c r="I98" s="37">
        <v>0</v>
      </c>
      <c r="J98" s="37">
        <v>0</v>
      </c>
      <c r="K98" s="37" t="s">
        <v>710</v>
      </c>
      <c r="L98" s="45">
        <v>0</v>
      </c>
      <c r="M98" s="38">
        <v>0</v>
      </c>
      <c r="N98" s="46" t="s">
        <v>710</v>
      </c>
    </row>
    <row r="99" spans="1:14" hidden="1" x14ac:dyDescent="0.35">
      <c r="A99" t="s">
        <v>274</v>
      </c>
      <c r="C99" s="27">
        <f>SUBTOTAL(2,INDEX(CollReport[کد تفصیلی],1):CollReport[[#This Row],[کد تفصیلی]])</f>
        <v>18</v>
      </c>
      <c r="D99" s="26">
        <v>30142</v>
      </c>
      <c r="E99" s="10" t="str">
        <f>INDEX(customer[عنوان],MATCH(CollReport[[#This Row],[کد تفصیلی]],customer[کد],0))</f>
        <v>شرکت آوند امیرآب</v>
      </c>
      <c r="F99" s="37">
        <v>-13</v>
      </c>
      <c r="G99" s="37">
        <v>-13</v>
      </c>
      <c r="H99" s="37" t="s">
        <v>711</v>
      </c>
      <c r="I99" s="37">
        <v>0</v>
      </c>
      <c r="J99" s="37">
        <v>0</v>
      </c>
      <c r="K99" s="37" t="s">
        <v>710</v>
      </c>
      <c r="L99" s="45">
        <v>0</v>
      </c>
      <c r="M99" s="38">
        <v>0</v>
      </c>
      <c r="N99" s="46" t="s">
        <v>710</v>
      </c>
    </row>
    <row r="100" spans="1:14" hidden="1" x14ac:dyDescent="0.35">
      <c r="A100" t="s">
        <v>295</v>
      </c>
      <c r="C100" s="27">
        <f>SUBTOTAL(2,INDEX(CollReport[کد تفصیلی],1):CollReport[[#This Row],[کد تفصیلی]])</f>
        <v>18</v>
      </c>
      <c r="D100" s="26">
        <v>10014</v>
      </c>
      <c r="E100" s="10" t="str">
        <f>INDEX(customer[عنوان],MATCH(CollReport[[#This Row],[کد تفصیلی]],customer[کد],0))</f>
        <v xml:space="preserve">امامی </v>
      </c>
      <c r="F100" s="37">
        <v>-21</v>
      </c>
      <c r="G100" s="37">
        <v>-30.092242253314424</v>
      </c>
      <c r="H100" s="37">
        <v>-3.3096612931034479</v>
      </c>
      <c r="I100" s="37">
        <v>0</v>
      </c>
      <c r="J100" s="37">
        <v>0</v>
      </c>
      <c r="K100" s="37" t="s">
        <v>710</v>
      </c>
      <c r="L100" s="45">
        <v>0</v>
      </c>
      <c r="M100" s="38">
        <v>0</v>
      </c>
      <c r="N100" s="46" t="s">
        <v>710</v>
      </c>
    </row>
    <row r="101" spans="1:14" hidden="1" x14ac:dyDescent="0.35">
      <c r="A101" t="s">
        <v>318</v>
      </c>
      <c r="C101" s="27">
        <f>SUBTOTAL(2,INDEX(CollReport[کد تفصیلی],1):CollReport[[#This Row],[کد تفصیلی]])</f>
        <v>18</v>
      </c>
      <c r="D101" s="26">
        <v>30065</v>
      </c>
      <c r="E101" s="10" t="str">
        <f>INDEX(customer[عنوان],MATCH(CollReport[[#This Row],[کد تفصیلی]],customer[کد],0))</f>
        <v xml:space="preserve">اتحاد </v>
      </c>
      <c r="F101" s="37">
        <v>-33</v>
      </c>
      <c r="G101" s="37">
        <v>-33</v>
      </c>
      <c r="H101" s="37" t="s">
        <v>711</v>
      </c>
      <c r="I101" s="37">
        <v>0</v>
      </c>
      <c r="J101" s="37">
        <v>0</v>
      </c>
      <c r="K101" s="37" t="s">
        <v>710</v>
      </c>
      <c r="L101" s="45">
        <v>0</v>
      </c>
      <c r="M101" s="38">
        <v>0</v>
      </c>
      <c r="N101" s="46" t="s">
        <v>710</v>
      </c>
    </row>
    <row r="102" spans="1:14" hidden="1" x14ac:dyDescent="0.35">
      <c r="A102" t="s">
        <v>337</v>
      </c>
      <c r="C102" s="27">
        <f>SUBTOTAL(2,INDEX(CollReport[کد تفصیلی],1):CollReport[[#This Row],[کد تفصیلی]])</f>
        <v>18</v>
      </c>
      <c r="D102" s="26">
        <v>30055</v>
      </c>
      <c r="E102" s="10" t="str">
        <f>INDEX(customer[عنوان],MATCH(CollReport[[#This Row],[کد تفصیلی]],customer[کد],0))</f>
        <v xml:space="preserve">تکنو کار </v>
      </c>
      <c r="F102" s="37">
        <v>-48</v>
      </c>
      <c r="G102" s="37">
        <v>714.18238264932552</v>
      </c>
      <c r="H102" s="37">
        <v>71.427942301651413</v>
      </c>
      <c r="I102" s="37">
        <v>0</v>
      </c>
      <c r="J102" s="37">
        <v>0</v>
      </c>
      <c r="K102" s="37" t="s">
        <v>710</v>
      </c>
      <c r="L102" s="45">
        <v>0</v>
      </c>
      <c r="M102" s="38">
        <v>0</v>
      </c>
      <c r="N102" s="46" t="s">
        <v>710</v>
      </c>
    </row>
    <row r="103" spans="1:14" hidden="1" x14ac:dyDescent="0.35">
      <c r="A103" t="s">
        <v>414</v>
      </c>
      <c r="C103" s="27">
        <f>SUBTOTAL(2,INDEX(CollReport[کد تفصیلی],1):CollReport[[#This Row],[کد تفصیلی]])</f>
        <v>18</v>
      </c>
      <c r="D103" s="26">
        <v>10046</v>
      </c>
      <c r="E103" s="10" t="str">
        <f>INDEX(customer[عنوان],MATCH(CollReport[[#This Row],[کد تفصیلی]],customer[کد],0))</f>
        <v>سلیمان قاسمی</v>
      </c>
      <c r="F103" s="37">
        <v>-118</v>
      </c>
      <c r="G103" s="37">
        <v>-118</v>
      </c>
      <c r="H103" s="37" t="s">
        <v>711</v>
      </c>
      <c r="I103" s="37">
        <v>0</v>
      </c>
      <c r="J103" s="37">
        <v>0</v>
      </c>
      <c r="K103" s="37" t="s">
        <v>710</v>
      </c>
      <c r="L103" s="45">
        <v>0</v>
      </c>
      <c r="M103" s="38">
        <v>0</v>
      </c>
      <c r="N103" s="46" t="s">
        <v>710</v>
      </c>
    </row>
    <row r="104" spans="1:14" hidden="1" x14ac:dyDescent="0.35">
      <c r="A104" t="s">
        <v>319</v>
      </c>
      <c r="C104" s="27">
        <f>SUBTOTAL(2,INDEX(CollReport[کد تفصیلی],1):CollReport[[#This Row],[کد تفصیلی]])</f>
        <v>18</v>
      </c>
      <c r="D104" s="26">
        <v>10065</v>
      </c>
      <c r="E104" s="10" t="str">
        <f>INDEX(customer[عنوان],MATCH(CollReport[[#This Row],[کد تفصیلی]],customer[کد],0))</f>
        <v xml:space="preserve">رضا احمدآبادی </v>
      </c>
      <c r="F104" s="37">
        <v>-127</v>
      </c>
      <c r="G104" s="37">
        <v>-127</v>
      </c>
      <c r="H104" s="37" t="s">
        <v>711</v>
      </c>
      <c r="I104" s="37">
        <v>0</v>
      </c>
      <c r="J104" s="37">
        <v>0</v>
      </c>
      <c r="K104" s="37" t="s">
        <v>710</v>
      </c>
      <c r="L104" s="45">
        <v>0</v>
      </c>
      <c r="M104" s="38">
        <v>0</v>
      </c>
      <c r="N104" s="46" t="s">
        <v>710</v>
      </c>
    </row>
    <row r="105" spans="1:14" hidden="1" x14ac:dyDescent="0.35">
      <c r="A105" t="s">
        <v>351</v>
      </c>
      <c r="C105" s="27">
        <f>SUBTOTAL(2,INDEX(CollReport[کد تفصیلی],1):CollReport[[#This Row],[کد تفصیلی]])</f>
        <v>18</v>
      </c>
      <c r="D105" s="26">
        <v>10019</v>
      </c>
      <c r="E105" s="10" t="str">
        <f>INDEX(customer[عنوان],MATCH(CollReport[[#This Row],[کد تفصیلی]],customer[کد],0))</f>
        <v>قدرت اله اورنگی</v>
      </c>
      <c r="F105" s="37">
        <v>-285</v>
      </c>
      <c r="G105" s="37">
        <v>-444.83623742931911</v>
      </c>
      <c r="H105" s="37">
        <v>-19.481525041417505</v>
      </c>
      <c r="I105" s="37">
        <v>0</v>
      </c>
      <c r="J105" s="37">
        <v>0</v>
      </c>
      <c r="K105" s="37" t="s">
        <v>710</v>
      </c>
      <c r="L105" s="45">
        <v>0</v>
      </c>
      <c r="M105" s="38">
        <v>0</v>
      </c>
      <c r="N105" s="46" t="s">
        <v>710</v>
      </c>
    </row>
    <row r="106" spans="1:14" hidden="1" x14ac:dyDescent="0.35">
      <c r="A106" t="s">
        <v>425</v>
      </c>
      <c r="C106" s="27">
        <f>SUBTOTAL(2,INDEX(CollReport[کد تفصیلی],1):CollReport[[#This Row],[کد تفصیلی]])</f>
        <v>18</v>
      </c>
      <c r="D106" s="26">
        <v>30124</v>
      </c>
      <c r="E106" s="10" t="str">
        <f>INDEX(customer[عنوان],MATCH(CollReport[[#This Row],[کد تفصیلی]],customer[کد],0))</f>
        <v>شرکت لنگرمرواریدسبز</v>
      </c>
      <c r="F106" s="37">
        <v>-1498</v>
      </c>
      <c r="G106" s="37">
        <v>-460.15563581978364</v>
      </c>
      <c r="H106" s="37">
        <v>-1.3557830282305234</v>
      </c>
      <c r="I106" s="37">
        <v>0</v>
      </c>
      <c r="J106" s="37">
        <v>0</v>
      </c>
      <c r="K106" s="37" t="s">
        <v>710</v>
      </c>
      <c r="L106" s="45">
        <v>0</v>
      </c>
      <c r="M106" s="38">
        <v>0</v>
      </c>
      <c r="N106" s="46" t="s">
        <v>710</v>
      </c>
    </row>
    <row r="107" spans="1:14" hidden="1" x14ac:dyDescent="0.35">
      <c r="A107" t="s">
        <v>177</v>
      </c>
      <c r="C107" s="27">
        <f>SUBTOTAL(2,INDEX(CollReport[کد تفصیلی],1):CollReport[[#This Row],[کد تفصیلی]])</f>
        <v>18</v>
      </c>
      <c r="D107" s="26">
        <v>10104</v>
      </c>
      <c r="E107" s="10" t="str">
        <f>INDEX(customer[عنوان],MATCH(CollReport[[#This Row],[کد تفصیلی]],customer[کد],0))</f>
        <v>بهزادی فر اصغر</v>
      </c>
      <c r="F107" s="37">
        <v>-4065</v>
      </c>
      <c r="G107" s="37">
        <v>-2667.5661674713829</v>
      </c>
      <c r="H107" s="37">
        <v>-47.137703164756381</v>
      </c>
      <c r="I107" s="37">
        <v>0</v>
      </c>
      <c r="J107" s="37">
        <v>0</v>
      </c>
      <c r="K107" s="37" t="s">
        <v>710</v>
      </c>
      <c r="L107" s="45">
        <v>0</v>
      </c>
      <c r="M107" s="38">
        <v>0</v>
      </c>
      <c r="N107" s="46" t="s">
        <v>710</v>
      </c>
    </row>
    <row r="108" spans="1:14" hidden="1" x14ac:dyDescent="0.35">
      <c r="A108" t="s">
        <v>745</v>
      </c>
      <c r="C108" s="27">
        <f>SUBTOTAL(2,INDEX(CollReport[کد تفصیلی],1):CollReport[[#This Row],[کد تفصیلی]])</f>
        <v>18</v>
      </c>
      <c r="D108" s="26">
        <v>10128</v>
      </c>
      <c r="E108" s="10" t="str">
        <f>INDEX(customer[عنوان],MATCH(CollReport[[#This Row],[کد تفصیلی]],customer[کد],0))</f>
        <v xml:space="preserve">رویا اصلانی </v>
      </c>
      <c r="F108" s="37">
        <v>-6</v>
      </c>
      <c r="G108" s="37">
        <v>-64.992146029717517</v>
      </c>
      <c r="H108" s="37">
        <v>-8.1590633232646219</v>
      </c>
      <c r="I108" s="37">
        <v>0</v>
      </c>
      <c r="J108" s="37">
        <v>0</v>
      </c>
      <c r="K108" s="37" t="s">
        <v>710</v>
      </c>
      <c r="L108" s="45">
        <v>0</v>
      </c>
      <c r="M108" s="38">
        <v>0</v>
      </c>
      <c r="N108" s="46" t="s">
        <v>710</v>
      </c>
    </row>
    <row r="109" spans="1:14" hidden="1" x14ac:dyDescent="0.35">
      <c r="A109" t="s">
        <v>200</v>
      </c>
      <c r="C109" s="27">
        <f>SUBTOTAL(2,INDEX(CollReport[کد تفصیلی],1):CollReport[[#This Row],[کد تفصیلی]])</f>
        <v>18</v>
      </c>
      <c r="D109" s="26">
        <v>10066</v>
      </c>
      <c r="E109" s="10" t="str">
        <f>INDEX(customer[عنوان],MATCH(CollReport[[#This Row],[کد تفصیلی]],customer[کد],0))</f>
        <v xml:space="preserve">حمید قشقائی </v>
      </c>
      <c r="F109" s="37">
        <v>-2</v>
      </c>
      <c r="G109" s="37">
        <v>-2</v>
      </c>
      <c r="H109" s="37" t="s">
        <v>711</v>
      </c>
      <c r="I109" s="37">
        <v>0</v>
      </c>
      <c r="J109" s="37">
        <v>0</v>
      </c>
      <c r="K109" s="37" t="s">
        <v>710</v>
      </c>
      <c r="L109" s="45">
        <v>0</v>
      </c>
      <c r="M109" s="38">
        <v>0</v>
      </c>
      <c r="N109" s="46" t="s">
        <v>710</v>
      </c>
    </row>
    <row r="110" spans="1:14" hidden="1" x14ac:dyDescent="0.35">
      <c r="A110" t="s">
        <v>114</v>
      </c>
      <c r="C110" s="27">
        <f>SUBTOTAL(2,INDEX(CollReport[کد تفصیلی],1):CollReport[[#This Row],[کد تفصیلی]])</f>
        <v>18</v>
      </c>
      <c r="D110" s="26">
        <v>30167</v>
      </c>
      <c r="E110" s="10" t="str">
        <f>INDEX(customer[عنوان],MATCH(CollReport[[#This Row],[کد تفصیلی]],customer[کد],0))</f>
        <v>شرکت الیکا صنعت</v>
      </c>
      <c r="F110" s="37">
        <v>-6</v>
      </c>
      <c r="G110" s="37">
        <v>-6</v>
      </c>
      <c r="H110" s="37" t="s">
        <v>711</v>
      </c>
      <c r="I110" s="37">
        <v>0</v>
      </c>
      <c r="J110" s="37">
        <v>0</v>
      </c>
      <c r="K110" s="37" t="s">
        <v>710</v>
      </c>
      <c r="L110" s="45">
        <v>0</v>
      </c>
      <c r="M110" s="38">
        <v>0</v>
      </c>
      <c r="N110" s="46" t="s">
        <v>710</v>
      </c>
    </row>
    <row r="111" spans="1:14" hidden="1" x14ac:dyDescent="0.35">
      <c r="A111" t="s">
        <v>344</v>
      </c>
      <c r="C111" s="27">
        <f>SUBTOTAL(2,INDEX(CollReport[کد تفصیلی],1):CollReport[[#This Row],[کد تفصیلی]])</f>
        <v>18</v>
      </c>
      <c r="D111" s="26">
        <v>10077</v>
      </c>
      <c r="E111" s="10" t="str">
        <f>INDEX(customer[عنوان],MATCH(CollReport[[#This Row],[کد تفصیلی]],customer[کد],0))</f>
        <v xml:space="preserve">علی شریعتی </v>
      </c>
      <c r="F111" s="37">
        <v>0</v>
      </c>
      <c r="G111" s="37" t="s">
        <v>711</v>
      </c>
      <c r="H111" s="37" t="s">
        <v>711</v>
      </c>
      <c r="I111" s="37">
        <v>0</v>
      </c>
      <c r="J111" s="37">
        <v>0</v>
      </c>
      <c r="K111" s="37" t="s">
        <v>710</v>
      </c>
      <c r="L111" s="45">
        <v>0</v>
      </c>
      <c r="M111" s="38">
        <v>0</v>
      </c>
      <c r="N111" s="46" t="s">
        <v>710</v>
      </c>
    </row>
    <row r="112" spans="1:14" hidden="1" x14ac:dyDescent="0.35">
      <c r="A112" t="s">
        <v>125</v>
      </c>
      <c r="C112" s="27">
        <f>SUBTOTAL(2,INDEX(CollReport[کد تفصیلی],1):CollReport[[#This Row],[کد تفصیلی]])</f>
        <v>18</v>
      </c>
      <c r="D112" s="26">
        <v>10012</v>
      </c>
      <c r="E112" s="10" t="str">
        <f>INDEX(customer[عنوان],MATCH(CollReport[[#This Row],[کد تفصیلی]],customer[کد],0))</f>
        <v>فدوی</v>
      </c>
      <c r="F112" s="37">
        <v>0</v>
      </c>
      <c r="G112" s="37" t="s">
        <v>711</v>
      </c>
      <c r="H112" s="37" t="s">
        <v>711</v>
      </c>
      <c r="I112" s="37">
        <v>0</v>
      </c>
      <c r="J112" s="37">
        <v>0</v>
      </c>
      <c r="K112" s="37" t="s">
        <v>710</v>
      </c>
      <c r="L112" s="45">
        <v>0</v>
      </c>
      <c r="M112" s="38">
        <v>0</v>
      </c>
      <c r="N112" s="46" t="s">
        <v>710</v>
      </c>
    </row>
    <row r="113" spans="1:14" hidden="1" x14ac:dyDescent="0.35">
      <c r="A113" t="s">
        <v>60</v>
      </c>
      <c r="C113" s="27">
        <f>SUBTOTAL(2,INDEX(CollReport[کد تفصیلی],1):CollReport[[#This Row],[کد تفصیلی]])</f>
        <v>18</v>
      </c>
      <c r="D113" s="26">
        <v>30088</v>
      </c>
      <c r="E113" s="10" t="str">
        <f>INDEX(customer[عنوان],MATCH(CollReport[[#This Row],[کد تفصیلی]],customer[کد],0))</f>
        <v>شرکت درسا هود</v>
      </c>
      <c r="F113" s="37">
        <v>0</v>
      </c>
      <c r="G113" s="37" t="s">
        <v>711</v>
      </c>
      <c r="H113" s="37" t="s">
        <v>711</v>
      </c>
      <c r="I113" s="37">
        <v>0</v>
      </c>
      <c r="J113" s="37">
        <v>0</v>
      </c>
      <c r="K113" s="37" t="s">
        <v>710</v>
      </c>
      <c r="L113" s="45">
        <v>0</v>
      </c>
      <c r="M113" s="38">
        <v>0</v>
      </c>
      <c r="N113" s="46" t="s">
        <v>710</v>
      </c>
    </row>
    <row r="114" spans="1:14" x14ac:dyDescent="0.35">
      <c r="A114" t="s">
        <v>265</v>
      </c>
      <c r="C114" s="27">
        <f>SUBTOTAL(2,INDEX(CollReport[کد تفصیلی],1):CollReport[[#This Row],[کد تفصیلی]])</f>
        <v>19</v>
      </c>
      <c r="D114" s="26">
        <v>10045</v>
      </c>
      <c r="E114" s="10" t="str">
        <f>INDEX(customer[عنوان],MATCH(CollReport[[#This Row],[کد تفصیلی]],customer[کد],0))</f>
        <v xml:space="preserve">علی خدمتکار </v>
      </c>
      <c r="F114" s="37">
        <v>30</v>
      </c>
      <c r="G114" s="37" t="s">
        <v>711</v>
      </c>
      <c r="H114" s="37" t="s">
        <v>711</v>
      </c>
      <c r="I114" s="37">
        <v>30</v>
      </c>
      <c r="J114" s="37">
        <v>280.63371851851844</v>
      </c>
      <c r="K114" s="37">
        <v>280.63371851851844</v>
      </c>
      <c r="L114" s="45">
        <v>30</v>
      </c>
      <c r="M114" s="38">
        <v>280.63371851851844</v>
      </c>
      <c r="N114" s="46">
        <v>280.63371851851844</v>
      </c>
    </row>
    <row r="115" spans="1:14" hidden="1" x14ac:dyDescent="0.35">
      <c r="A115" t="s">
        <v>93</v>
      </c>
      <c r="C115" s="27">
        <f>SUBTOTAL(2,INDEX(CollReport[کد تفصیلی],1):CollReport[[#This Row],[کد تفصیلی]])</f>
        <v>19</v>
      </c>
      <c r="D115" s="26">
        <v>30051</v>
      </c>
      <c r="E115" s="10" t="str">
        <f>INDEX(customer[عنوان],MATCH(CollReport[[#This Row],[کد تفصیلی]],customer[کد],0))</f>
        <v xml:space="preserve">ستاره جوش </v>
      </c>
      <c r="F115" s="37">
        <v>0</v>
      </c>
      <c r="G115" s="37" t="s">
        <v>711</v>
      </c>
      <c r="H115" s="37" t="s">
        <v>711</v>
      </c>
      <c r="I115" s="37">
        <v>0</v>
      </c>
      <c r="J115" s="37">
        <v>0</v>
      </c>
      <c r="K115" s="37" t="s">
        <v>710</v>
      </c>
      <c r="L115" s="45">
        <v>0</v>
      </c>
      <c r="M115" s="38">
        <v>0</v>
      </c>
      <c r="N115" s="46" t="s">
        <v>710</v>
      </c>
    </row>
    <row r="116" spans="1:14" hidden="1" x14ac:dyDescent="0.35">
      <c r="A116" t="s">
        <v>230</v>
      </c>
      <c r="C116" s="27">
        <f>SUBTOTAL(2,INDEX(CollReport[کد تفصیلی],1):CollReport[[#This Row],[کد تفصیلی]])</f>
        <v>19</v>
      </c>
      <c r="D116" s="26">
        <v>30044</v>
      </c>
      <c r="E116" s="10" t="str">
        <f>INDEX(customer[عنوان],MATCH(CollReport[[#This Row],[کد تفصیلی]],customer[کد],0))</f>
        <v>شیرآلات ماعون</v>
      </c>
      <c r="F116" s="37">
        <v>-2</v>
      </c>
      <c r="G116" s="37">
        <v>-2</v>
      </c>
      <c r="H116" s="37" t="s">
        <v>711</v>
      </c>
      <c r="I116" s="37">
        <v>0</v>
      </c>
      <c r="J116" s="37">
        <v>0</v>
      </c>
      <c r="K116" s="37" t="s">
        <v>710</v>
      </c>
      <c r="L116" s="45">
        <v>0</v>
      </c>
      <c r="M116" s="38">
        <v>0</v>
      </c>
      <c r="N116" s="46" t="s">
        <v>710</v>
      </c>
    </row>
    <row r="117" spans="1:14" hidden="1" x14ac:dyDescent="0.35">
      <c r="A117" t="s">
        <v>223</v>
      </c>
      <c r="C117" s="27">
        <f>SUBTOTAL(2,INDEX(CollReport[کد تفصیلی],1):CollReport[[#This Row],[کد تفصیلی]])</f>
        <v>19</v>
      </c>
      <c r="D117" s="26">
        <v>10095</v>
      </c>
      <c r="E117" s="10" t="str">
        <f>INDEX(customer[عنوان],MATCH(CollReport[[#This Row],[کد تفصیلی]],customer[کد],0))</f>
        <v xml:space="preserve">شریف موسوی سید مرتضی </v>
      </c>
      <c r="F117" s="37">
        <v>0</v>
      </c>
      <c r="G117" s="37" t="s">
        <v>711</v>
      </c>
      <c r="H117" s="37" t="s">
        <v>711</v>
      </c>
      <c r="I117" s="37">
        <v>0</v>
      </c>
      <c r="J117" s="37">
        <v>0</v>
      </c>
      <c r="K117" s="37" t="s">
        <v>710</v>
      </c>
      <c r="L117" s="45">
        <v>0</v>
      </c>
      <c r="M117" s="38">
        <v>0</v>
      </c>
      <c r="N117" s="46" t="s">
        <v>710</v>
      </c>
    </row>
    <row r="118" spans="1:14" hidden="1" x14ac:dyDescent="0.35">
      <c r="A118" t="s">
        <v>143</v>
      </c>
      <c r="C118" s="27">
        <f>SUBTOTAL(2,INDEX(CollReport[کد تفصیلی],1):CollReport[[#This Row],[کد تفصیلی]])</f>
        <v>19</v>
      </c>
      <c r="D118" s="26">
        <v>30052</v>
      </c>
      <c r="E118" s="10" t="str">
        <f>INDEX(customer[عنوان],MATCH(CollReport[[#This Row],[کد تفصیلی]],customer[کد],0))</f>
        <v xml:space="preserve">کارگاه برادران حسینی  </v>
      </c>
      <c r="F118" s="37">
        <v>0</v>
      </c>
      <c r="G118" s="37" t="s">
        <v>711</v>
      </c>
      <c r="H118" s="37" t="s">
        <v>711</v>
      </c>
      <c r="I118" s="37">
        <v>0</v>
      </c>
      <c r="J118" s="37">
        <v>0</v>
      </c>
      <c r="K118" s="37" t="s">
        <v>710</v>
      </c>
      <c r="L118" s="45">
        <v>0</v>
      </c>
      <c r="M118" s="38">
        <v>0</v>
      </c>
      <c r="N118" s="46" t="s">
        <v>710</v>
      </c>
    </row>
    <row r="119" spans="1:14" hidden="1" x14ac:dyDescent="0.35">
      <c r="A119" t="s">
        <v>231</v>
      </c>
      <c r="C119" s="27">
        <f>SUBTOTAL(2,INDEX(CollReport[کد تفصیلی],1):CollReport[[#This Row],[کد تفصیلی]])</f>
        <v>19</v>
      </c>
      <c r="D119" s="26">
        <v>10061</v>
      </c>
      <c r="E119" s="10" t="str">
        <f>INDEX(customer[عنوان],MATCH(CollReport[[#This Row],[کد تفصیلی]],customer[کد],0))</f>
        <v xml:space="preserve">محمدرضا آفاقی </v>
      </c>
      <c r="F119" s="37">
        <v>0</v>
      </c>
      <c r="G119" s="37" t="s">
        <v>711</v>
      </c>
      <c r="H119" s="37" t="s">
        <v>711</v>
      </c>
      <c r="I119" s="37">
        <v>0</v>
      </c>
      <c r="J119" s="37">
        <v>0</v>
      </c>
      <c r="K119" s="37" t="s">
        <v>710</v>
      </c>
      <c r="L119" s="45">
        <v>0</v>
      </c>
      <c r="M119" s="38">
        <v>0</v>
      </c>
      <c r="N119" s="46" t="s">
        <v>710</v>
      </c>
    </row>
    <row r="120" spans="1:14" hidden="1" x14ac:dyDescent="0.35">
      <c r="A120" t="s">
        <v>109</v>
      </c>
      <c r="C120" s="27">
        <f>SUBTOTAL(2,INDEX(CollReport[کد تفصیلی],1):CollReport[[#This Row],[کد تفصیلی]])</f>
        <v>19</v>
      </c>
      <c r="D120" s="26">
        <v>10118</v>
      </c>
      <c r="E120" s="10" t="str">
        <f>INDEX(customer[عنوان],MATCH(CollReport[[#This Row],[کد تفصیلی]],customer[کد],0))</f>
        <v xml:space="preserve">علی رحیم آبادی </v>
      </c>
      <c r="F120" s="37">
        <v>0</v>
      </c>
      <c r="G120" s="37" t="s">
        <v>711</v>
      </c>
      <c r="H120" s="37" t="s">
        <v>711</v>
      </c>
      <c r="I120" s="37">
        <v>0</v>
      </c>
      <c r="J120" s="37">
        <v>0</v>
      </c>
      <c r="K120" s="37" t="s">
        <v>710</v>
      </c>
      <c r="L120" s="45">
        <v>0</v>
      </c>
      <c r="M120" s="38">
        <v>0</v>
      </c>
      <c r="N120" s="46" t="s">
        <v>710</v>
      </c>
    </row>
    <row r="121" spans="1:14" hidden="1" x14ac:dyDescent="0.35">
      <c r="A121" t="s">
        <v>166</v>
      </c>
      <c r="C121" s="27">
        <f>SUBTOTAL(2,INDEX(CollReport[کد تفصیلی],1):CollReport[[#This Row],[کد تفصیلی]])</f>
        <v>19</v>
      </c>
      <c r="D121" s="26">
        <v>30179</v>
      </c>
      <c r="E121" s="10" t="str">
        <f>INDEX(customer[عنوان],MATCH(CollReport[[#This Row],[کد تفصیلی]],customer[کد],0))</f>
        <v>شیرگاز پاسارگاد</v>
      </c>
      <c r="F121" s="37">
        <v>0</v>
      </c>
      <c r="G121" s="37" t="s">
        <v>711</v>
      </c>
      <c r="H121" s="37" t="s">
        <v>711</v>
      </c>
      <c r="I121" s="37">
        <v>0</v>
      </c>
      <c r="J121" s="37">
        <v>0</v>
      </c>
      <c r="K121" s="37" t="s">
        <v>710</v>
      </c>
      <c r="L121" s="45">
        <v>0</v>
      </c>
      <c r="M121" s="38">
        <v>0</v>
      </c>
      <c r="N121" s="46" t="s">
        <v>710</v>
      </c>
    </row>
    <row r="122" spans="1:14" hidden="1" x14ac:dyDescent="0.35">
      <c r="A122" t="s">
        <v>289</v>
      </c>
      <c r="C122" s="27">
        <f>SUBTOTAL(2,INDEX(CollReport[کد تفصیلی],1):CollReport[[#This Row],[کد تفصیلی]])</f>
        <v>19</v>
      </c>
      <c r="D122" s="26">
        <v>30112</v>
      </c>
      <c r="E122" s="10" t="str">
        <f>INDEX(customer[عنوان],MATCH(CollReport[[#This Row],[کد تفصیلی]],customer[کد],0))</f>
        <v>منیرصنعت</v>
      </c>
      <c r="F122" s="37">
        <v>-36</v>
      </c>
      <c r="G122" s="37">
        <v>-36</v>
      </c>
      <c r="H122" s="37" t="s">
        <v>711</v>
      </c>
      <c r="I122" s="37">
        <v>0</v>
      </c>
      <c r="J122" s="37">
        <v>0</v>
      </c>
      <c r="K122" s="37" t="s">
        <v>710</v>
      </c>
      <c r="L122" s="45">
        <v>0</v>
      </c>
      <c r="M122" s="38">
        <v>0</v>
      </c>
      <c r="N122" s="46" t="s">
        <v>710</v>
      </c>
    </row>
    <row r="123" spans="1:14" hidden="1" x14ac:dyDescent="0.35">
      <c r="A123" t="s">
        <v>61</v>
      </c>
      <c r="C123" s="27">
        <f>SUBTOTAL(2,INDEX(CollReport[کد تفصیلی],1):CollReport[[#This Row],[کد تفصیلی]])</f>
        <v>19</v>
      </c>
      <c r="D123" s="26">
        <v>10013</v>
      </c>
      <c r="E123" s="10" t="str">
        <f>INDEX(customer[عنوان],MATCH(CollReport[[#This Row],[کد تفصیلی]],customer[کد],0))</f>
        <v xml:space="preserve">فرهاد سبحانی </v>
      </c>
      <c r="F123" s="37">
        <v>0</v>
      </c>
      <c r="G123" s="37" t="s">
        <v>711</v>
      </c>
      <c r="H123" s="37" t="s">
        <v>711</v>
      </c>
      <c r="I123" s="37">
        <v>0</v>
      </c>
      <c r="J123" s="37">
        <v>0</v>
      </c>
      <c r="K123" s="37" t="s">
        <v>710</v>
      </c>
      <c r="L123" s="45">
        <v>0</v>
      </c>
      <c r="M123" s="38">
        <v>0</v>
      </c>
      <c r="N123" s="46" t="s">
        <v>710</v>
      </c>
    </row>
    <row r="124" spans="1:14" hidden="1" x14ac:dyDescent="0.35">
      <c r="A124" t="s">
        <v>90</v>
      </c>
      <c r="C124" s="27">
        <f>SUBTOTAL(2,INDEX(CollReport[کد تفصیلی],1):CollReport[[#This Row],[کد تفصیلی]])</f>
        <v>19</v>
      </c>
      <c r="D124" s="26">
        <v>10042</v>
      </c>
      <c r="E124" s="10" t="str">
        <f>INDEX(customer[عنوان],MATCH(CollReport[[#This Row],[کد تفصیلی]],customer[کد],0))</f>
        <v xml:space="preserve">حسین محمودی  </v>
      </c>
      <c r="F124" s="37">
        <v>-2</v>
      </c>
      <c r="G124" s="37">
        <v>-2</v>
      </c>
      <c r="H124" s="37" t="s">
        <v>711</v>
      </c>
      <c r="I124" s="37">
        <v>0</v>
      </c>
      <c r="J124" s="37">
        <v>0</v>
      </c>
      <c r="K124" s="37" t="s">
        <v>710</v>
      </c>
      <c r="L124" s="45">
        <v>0</v>
      </c>
      <c r="M124" s="38">
        <v>0</v>
      </c>
      <c r="N124" s="46" t="s">
        <v>710</v>
      </c>
    </row>
    <row r="125" spans="1:14" hidden="1" x14ac:dyDescent="0.35">
      <c r="A125" t="s">
        <v>421</v>
      </c>
      <c r="C125" s="27">
        <f>SUBTOTAL(2,INDEX(CollReport[کد تفصیلی],1):CollReport[[#This Row],[کد تفصیلی]])</f>
        <v>19</v>
      </c>
      <c r="D125" s="26">
        <v>10131</v>
      </c>
      <c r="E125" s="10" t="str">
        <f>INDEX(customer[عنوان],MATCH(CollReport[[#This Row],[کد تفصیلی]],customer[کد],0))</f>
        <v>بهرام چرخیان</v>
      </c>
      <c r="F125" s="37">
        <v>-1</v>
      </c>
      <c r="G125" s="37">
        <v>-285.78886196973446</v>
      </c>
      <c r="H125" s="37">
        <v>-22.83589860144367</v>
      </c>
      <c r="I125" s="37">
        <v>0</v>
      </c>
      <c r="J125" s="37">
        <v>0</v>
      </c>
      <c r="K125" s="37" t="s">
        <v>710</v>
      </c>
      <c r="L125" s="45">
        <v>0</v>
      </c>
      <c r="M125" s="38">
        <v>0</v>
      </c>
      <c r="N125" s="46" t="s">
        <v>710</v>
      </c>
    </row>
    <row r="126" spans="1:14" hidden="1" x14ac:dyDescent="0.35">
      <c r="A126" t="s">
        <v>211</v>
      </c>
      <c r="C126" s="27">
        <f>SUBTOTAL(2,INDEX(CollReport[کد تفصیلی],1):CollReport[[#This Row],[کد تفصیلی]])</f>
        <v>19</v>
      </c>
      <c r="D126" s="26">
        <v>30032</v>
      </c>
      <c r="E126" s="10" t="str">
        <f>INDEX(customer[عنوان],MATCH(CollReport[[#This Row],[کد تفصیلی]],customer[کد],0))</f>
        <v xml:space="preserve">گاز خودرو صنعت </v>
      </c>
      <c r="F126" s="37">
        <v>0</v>
      </c>
      <c r="G126" s="37">
        <v>-178</v>
      </c>
      <c r="H126" s="37">
        <v>-168</v>
      </c>
      <c r="I126" s="37">
        <v>0</v>
      </c>
      <c r="J126" s="37">
        <v>0</v>
      </c>
      <c r="K126" s="37" t="s">
        <v>710</v>
      </c>
      <c r="L126" s="45">
        <v>0</v>
      </c>
      <c r="M126" s="38">
        <v>0</v>
      </c>
      <c r="N126" s="46" t="s">
        <v>710</v>
      </c>
    </row>
    <row r="127" spans="1:14" hidden="1" x14ac:dyDescent="0.35">
      <c r="A127" t="s">
        <v>348</v>
      </c>
      <c r="C127" s="27">
        <f>SUBTOTAL(2,INDEX(CollReport[کد تفصیلی],1):CollReport[[#This Row],[کد تفصیلی]])</f>
        <v>19</v>
      </c>
      <c r="D127" s="26">
        <v>30171</v>
      </c>
      <c r="E127" s="10" t="str">
        <f>INDEX(customer[عنوان],MATCH(CollReport[[#This Row],[کد تفصیلی]],customer[کد],0))</f>
        <v>شرکت مگا پاور</v>
      </c>
      <c r="F127" s="37">
        <v>0</v>
      </c>
      <c r="G127" s="37" t="s">
        <v>711</v>
      </c>
      <c r="H127" s="37" t="s">
        <v>711</v>
      </c>
      <c r="I127" s="37">
        <v>0</v>
      </c>
      <c r="J127" s="37">
        <v>0</v>
      </c>
      <c r="K127" s="37" t="s">
        <v>710</v>
      </c>
      <c r="L127" s="45">
        <v>0</v>
      </c>
      <c r="M127" s="38">
        <v>0</v>
      </c>
      <c r="N127" s="46" t="s">
        <v>710</v>
      </c>
    </row>
    <row r="128" spans="1:14" hidden="1" x14ac:dyDescent="0.35">
      <c r="A128" t="s">
        <v>151</v>
      </c>
      <c r="C128" s="27">
        <f>SUBTOTAL(2,INDEX(CollReport[کد تفصیلی],1):CollReport[[#This Row],[کد تفصیلی]])</f>
        <v>19</v>
      </c>
      <c r="D128" s="26">
        <v>10103</v>
      </c>
      <c r="E128" s="10" t="str">
        <f>INDEX(customer[عنوان],MATCH(CollReport[[#This Row],[کد تفصیلی]],customer[کد],0))</f>
        <v xml:space="preserve">چاجائی وحید </v>
      </c>
      <c r="F128" s="37">
        <v>0</v>
      </c>
      <c r="G128" s="37" t="s">
        <v>711</v>
      </c>
      <c r="H128" s="37" t="s">
        <v>711</v>
      </c>
      <c r="I128" s="37">
        <v>0</v>
      </c>
      <c r="J128" s="37">
        <v>0</v>
      </c>
      <c r="K128" s="37" t="s">
        <v>710</v>
      </c>
      <c r="L128" s="45">
        <v>0</v>
      </c>
      <c r="M128" s="38">
        <v>0</v>
      </c>
      <c r="N128" s="46" t="s">
        <v>710</v>
      </c>
    </row>
    <row r="129" spans="1:14" hidden="1" x14ac:dyDescent="0.35">
      <c r="A129" t="s">
        <v>173</v>
      </c>
      <c r="C129" s="27">
        <f>SUBTOTAL(2,INDEX(CollReport[کد تفصیلی],1):CollReport[[#This Row],[کد تفصیلی]])</f>
        <v>19</v>
      </c>
      <c r="D129" s="26">
        <v>10125</v>
      </c>
      <c r="E129" s="10" t="str">
        <f>INDEX(customer[عنوان],MATCH(CollReport[[#This Row],[کد تفصیلی]],customer[کد],0))</f>
        <v>علی بهمن آبادی (سری تراشی دقیق)</v>
      </c>
      <c r="F129" s="37">
        <v>0</v>
      </c>
      <c r="G129" s="37" t="s">
        <v>711</v>
      </c>
      <c r="H129" s="37" t="s">
        <v>711</v>
      </c>
      <c r="I129" s="37">
        <v>0</v>
      </c>
      <c r="J129" s="37">
        <v>0</v>
      </c>
      <c r="K129" s="37" t="s">
        <v>710</v>
      </c>
      <c r="L129" s="45">
        <v>0</v>
      </c>
      <c r="M129" s="38">
        <v>0</v>
      </c>
      <c r="N129" s="46" t="s">
        <v>710</v>
      </c>
    </row>
    <row r="130" spans="1:14" hidden="1" x14ac:dyDescent="0.35">
      <c r="A130" t="s">
        <v>158</v>
      </c>
      <c r="C130" s="27">
        <f>SUBTOTAL(2,INDEX(CollReport[کد تفصیلی],1):CollReport[[#This Row],[کد تفصیلی]])</f>
        <v>19</v>
      </c>
      <c r="D130" s="26">
        <v>10110</v>
      </c>
      <c r="E130" s="10" t="str">
        <f>INDEX(customer[عنوان],MATCH(CollReport[[#This Row],[کد تفصیلی]],customer[کد],0))</f>
        <v>محمدی مسعود</v>
      </c>
      <c r="F130" s="37">
        <v>-7</v>
      </c>
      <c r="G130" s="37">
        <v>-72.861380965501041</v>
      </c>
      <c r="H130" s="37">
        <v>-7.6190513145217693</v>
      </c>
      <c r="I130" s="37">
        <v>0</v>
      </c>
      <c r="J130" s="37">
        <v>0</v>
      </c>
      <c r="K130" s="37" t="s">
        <v>710</v>
      </c>
      <c r="L130" s="45">
        <v>0</v>
      </c>
      <c r="M130" s="38">
        <v>0</v>
      </c>
      <c r="N130" s="46" t="s">
        <v>710</v>
      </c>
    </row>
    <row r="131" spans="1:14" hidden="1" x14ac:dyDescent="0.35">
      <c r="A131" t="s">
        <v>280</v>
      </c>
      <c r="C131" s="27">
        <f>SUBTOTAL(2,INDEX(CollReport[کد تفصیلی],1):CollReport[[#This Row],[کد تفصیلی]])</f>
        <v>19</v>
      </c>
      <c r="D131" s="26">
        <v>30103</v>
      </c>
      <c r="E131" s="10" t="str">
        <f>INDEX(customer[عنوان],MATCH(CollReport[[#This Row],[کد تفصیلی]],customer[کد],0))</f>
        <v>رابط صنعت کوشا</v>
      </c>
      <c r="F131" s="37">
        <v>0</v>
      </c>
      <c r="G131" s="37" t="s">
        <v>711</v>
      </c>
      <c r="H131" s="37" t="s">
        <v>711</v>
      </c>
      <c r="I131" s="37">
        <v>0</v>
      </c>
      <c r="J131" s="37">
        <v>0</v>
      </c>
      <c r="K131" s="37" t="s">
        <v>710</v>
      </c>
      <c r="L131" s="45">
        <v>0</v>
      </c>
      <c r="M131" s="38">
        <v>0</v>
      </c>
      <c r="N131" s="46" t="s">
        <v>710</v>
      </c>
    </row>
    <row r="132" spans="1:14" hidden="1" x14ac:dyDescent="0.35">
      <c r="A132" t="s">
        <v>141</v>
      </c>
      <c r="C132" s="27">
        <f>SUBTOTAL(2,INDEX(CollReport[کد تفصیلی],1):CollReport[[#This Row],[کد تفصیلی]])</f>
        <v>19</v>
      </c>
      <c r="D132" s="26">
        <v>30195</v>
      </c>
      <c r="E132" s="10" t="str">
        <f>INDEX(customer[عنوان],MATCH(CollReport[[#This Row],[کد تفصیلی]],customer[کد],0))</f>
        <v>قطعه سازی محراب</v>
      </c>
      <c r="F132" s="37">
        <v>0</v>
      </c>
      <c r="G132" s="37" t="s">
        <v>711</v>
      </c>
      <c r="H132" s="37">
        <v>0</v>
      </c>
      <c r="I132" s="37">
        <v>0</v>
      </c>
      <c r="J132" s="37">
        <v>0</v>
      </c>
      <c r="K132" s="37" t="s">
        <v>710</v>
      </c>
      <c r="L132" s="45">
        <v>0</v>
      </c>
      <c r="M132" s="38">
        <v>0</v>
      </c>
      <c r="N132" s="46" t="s">
        <v>710</v>
      </c>
    </row>
    <row r="133" spans="1:14" hidden="1" x14ac:dyDescent="0.35">
      <c r="A133" t="s">
        <v>305</v>
      </c>
      <c r="C133" s="27">
        <f>SUBTOTAL(2,INDEX(CollReport[کد تفصیلی],1):CollReport[[#This Row],[کد تفصیلی]])</f>
        <v>19</v>
      </c>
      <c r="D133" s="26">
        <v>10093</v>
      </c>
      <c r="E133" s="10" t="str">
        <f>INDEX(customer[عنوان],MATCH(CollReport[[#This Row],[کد تفصیلی]],customer[کد],0))</f>
        <v>مهدوی علیرضا</v>
      </c>
      <c r="F133" s="37">
        <v>0</v>
      </c>
      <c r="G133" s="37">
        <v>-622.28260869565213</v>
      </c>
      <c r="H133" s="37">
        <v>-24.989087734613705</v>
      </c>
      <c r="I133" s="37">
        <v>0</v>
      </c>
      <c r="J133" s="37">
        <v>0</v>
      </c>
      <c r="K133" s="37" t="s">
        <v>710</v>
      </c>
      <c r="L133" s="45">
        <v>0</v>
      </c>
      <c r="M133" s="38">
        <v>0</v>
      </c>
      <c r="N133" s="46" t="s">
        <v>710</v>
      </c>
    </row>
    <row r="134" spans="1:14" hidden="1" x14ac:dyDescent="0.35">
      <c r="A134" t="s">
        <v>167</v>
      </c>
      <c r="C134" s="27">
        <f>SUBTOTAL(2,INDEX(CollReport[کد تفصیلی],1):CollReport[[#This Row],[کد تفصیلی]])</f>
        <v>19</v>
      </c>
      <c r="D134" s="26">
        <v>30128</v>
      </c>
      <c r="E134" s="10" t="str">
        <f>INDEX(customer[عنوان],MATCH(CollReport[[#This Row],[کد تفصیلی]],customer[کد],0))</f>
        <v xml:space="preserve">شرکت تهویه دماوندپارس </v>
      </c>
      <c r="F134" s="37">
        <v>0</v>
      </c>
      <c r="G134" s="37" t="s">
        <v>711</v>
      </c>
      <c r="H134" s="37" t="s">
        <v>711</v>
      </c>
      <c r="I134" s="37">
        <v>0</v>
      </c>
      <c r="J134" s="37">
        <v>0</v>
      </c>
      <c r="K134" s="37" t="s">
        <v>710</v>
      </c>
      <c r="L134" s="45">
        <v>0</v>
      </c>
      <c r="M134" s="38">
        <v>0</v>
      </c>
      <c r="N134" s="46" t="s">
        <v>710</v>
      </c>
    </row>
    <row r="135" spans="1:14" hidden="1" x14ac:dyDescent="0.35">
      <c r="A135" t="s">
        <v>192</v>
      </c>
      <c r="C135" s="27">
        <f>SUBTOTAL(2,INDEX(CollReport[کد تفصیلی],1):CollReport[[#This Row],[کد تفصیلی]])</f>
        <v>19</v>
      </c>
      <c r="D135" s="26">
        <v>10119</v>
      </c>
      <c r="E135" s="10" t="str">
        <f>INDEX(customer[عنوان],MATCH(CollReport[[#This Row],[کد تفصیلی]],customer[کد],0))</f>
        <v>سیف الله اکبری</v>
      </c>
      <c r="F135" s="37">
        <v>-457</v>
      </c>
      <c r="G135" s="37">
        <v>-194.81462662726088</v>
      </c>
      <c r="H135" s="37">
        <v>-13.871143119104348</v>
      </c>
      <c r="I135" s="37">
        <v>0</v>
      </c>
      <c r="J135" s="37">
        <v>0</v>
      </c>
      <c r="K135" s="37" t="s">
        <v>710</v>
      </c>
      <c r="L135" s="45">
        <v>0</v>
      </c>
      <c r="M135" s="38">
        <v>0</v>
      </c>
      <c r="N135" s="46" t="s">
        <v>710</v>
      </c>
    </row>
    <row r="136" spans="1:14" hidden="1" x14ac:dyDescent="0.35">
      <c r="A136" t="s">
        <v>194</v>
      </c>
      <c r="C136" s="27">
        <f>SUBTOTAL(2,INDEX(CollReport[کد تفصیلی],1):CollReport[[#This Row],[کد تفصیلی]])</f>
        <v>19</v>
      </c>
      <c r="D136" s="26">
        <v>30013</v>
      </c>
      <c r="E136" s="10" t="str">
        <f>INDEX(customer[عنوان],MATCH(CollReport[[#This Row],[کد تفصیلی]],customer[کد],0))</f>
        <v xml:space="preserve">پارا صنعت </v>
      </c>
      <c r="F136" s="37">
        <v>0</v>
      </c>
      <c r="G136" s="37">
        <v>-836.16129032258061</v>
      </c>
      <c r="H136" s="37">
        <v>-57.220750551876378</v>
      </c>
      <c r="I136" s="37">
        <v>0</v>
      </c>
      <c r="J136" s="37">
        <v>0</v>
      </c>
      <c r="K136" s="37" t="s">
        <v>710</v>
      </c>
      <c r="L136" s="45">
        <v>0</v>
      </c>
      <c r="M136" s="38">
        <v>0</v>
      </c>
      <c r="N136" s="46" t="s">
        <v>710</v>
      </c>
    </row>
    <row r="137" spans="1:14" hidden="1" x14ac:dyDescent="0.35">
      <c r="A137" t="s">
        <v>287</v>
      </c>
      <c r="C137" s="27">
        <f>SUBTOTAL(2,INDEX(CollReport[کد تفصیلی],1):CollReport[[#This Row],[کد تفصیلی]])</f>
        <v>19</v>
      </c>
      <c r="D137" s="26">
        <v>30015</v>
      </c>
      <c r="E137" s="10" t="str">
        <f>INDEX(customer[عنوان],MATCH(CollReport[[#This Row],[کد تفصیلی]],customer[کد],0))</f>
        <v xml:space="preserve">شیرآلات بهداشتی شایان </v>
      </c>
      <c r="F137" s="37">
        <v>0</v>
      </c>
      <c r="G137" s="37">
        <v>730</v>
      </c>
      <c r="H137" s="37">
        <v>18</v>
      </c>
      <c r="I137" s="37">
        <v>0</v>
      </c>
      <c r="J137" s="37">
        <v>0</v>
      </c>
      <c r="K137" s="37" t="s">
        <v>710</v>
      </c>
      <c r="L137" s="45">
        <v>0</v>
      </c>
      <c r="M137" s="38">
        <v>0</v>
      </c>
      <c r="N137" s="46" t="s">
        <v>710</v>
      </c>
    </row>
    <row r="138" spans="1:14" hidden="1" x14ac:dyDescent="0.35">
      <c r="A138" t="s">
        <v>66</v>
      </c>
      <c r="C138" s="27">
        <f>SUBTOTAL(2,INDEX(CollReport[کد تفصیلی],1):CollReport[[#This Row],[کد تفصیلی]])</f>
        <v>19</v>
      </c>
      <c r="D138" s="26">
        <v>30110</v>
      </c>
      <c r="E138" s="10" t="str">
        <f>INDEX(customer[عنوان],MATCH(CollReport[[#This Row],[کد تفصیلی]],customer[کد],0))</f>
        <v>آب بان صنعتگران</v>
      </c>
      <c r="F138" s="37">
        <v>0</v>
      </c>
      <c r="G138" s="37" t="s">
        <v>711</v>
      </c>
      <c r="H138" s="37" t="s">
        <v>711</v>
      </c>
      <c r="I138" s="37">
        <v>0</v>
      </c>
      <c r="J138" s="37">
        <v>0</v>
      </c>
      <c r="K138" s="37" t="s">
        <v>710</v>
      </c>
      <c r="L138" s="45">
        <v>0</v>
      </c>
      <c r="M138" s="38">
        <v>0</v>
      </c>
      <c r="N138" s="46" t="s">
        <v>710</v>
      </c>
    </row>
    <row r="139" spans="1:14" hidden="1" x14ac:dyDescent="0.35">
      <c r="A139" t="s">
        <v>63</v>
      </c>
      <c r="C139" s="27">
        <f>SUBTOTAL(2,INDEX(CollReport[کد تفصیلی],1):CollReport[[#This Row],[کد تفصیلی]])</f>
        <v>19</v>
      </c>
      <c r="D139" s="26">
        <v>10015</v>
      </c>
      <c r="E139" s="10" t="str">
        <f>INDEX(customer[عنوان],MATCH(CollReport[[#This Row],[کد تفصیلی]],customer[کد],0))</f>
        <v xml:space="preserve">مصدقی </v>
      </c>
      <c r="F139" s="37">
        <v>-12</v>
      </c>
      <c r="G139" s="37">
        <v>151.58681475272004</v>
      </c>
      <c r="H139" s="37">
        <v>42.625644916221333</v>
      </c>
      <c r="I139" s="37">
        <v>0</v>
      </c>
      <c r="J139" s="37">
        <v>0</v>
      </c>
      <c r="K139" s="37" t="s">
        <v>710</v>
      </c>
      <c r="L139" s="45">
        <v>0</v>
      </c>
      <c r="M139" s="38">
        <v>0</v>
      </c>
      <c r="N139" s="46" t="s">
        <v>710</v>
      </c>
    </row>
    <row r="140" spans="1:14" hidden="1" x14ac:dyDescent="0.35">
      <c r="A140" t="s">
        <v>330</v>
      </c>
      <c r="C140" s="27">
        <f>SUBTOTAL(2,INDEX(CollReport[کد تفصیلی],1):CollReport[[#This Row],[کد تفصیلی]])</f>
        <v>19</v>
      </c>
      <c r="D140" s="26">
        <v>30153</v>
      </c>
      <c r="E140" s="10" t="str">
        <f>INDEX(customer[عنوان],MATCH(CollReport[[#This Row],[کد تفصیلی]],customer[کد],0))</f>
        <v>شرکت سبزکوش</v>
      </c>
      <c r="F140" s="37">
        <v>0</v>
      </c>
      <c r="G140" s="37" t="s">
        <v>711</v>
      </c>
      <c r="H140" s="37" t="s">
        <v>711</v>
      </c>
      <c r="I140" s="37">
        <v>0</v>
      </c>
      <c r="J140" s="37">
        <v>0</v>
      </c>
      <c r="K140" s="37" t="s">
        <v>710</v>
      </c>
      <c r="L140" s="45">
        <v>0</v>
      </c>
      <c r="M140" s="38">
        <v>0</v>
      </c>
      <c r="N140" s="46" t="s">
        <v>710</v>
      </c>
    </row>
    <row r="141" spans="1:14" hidden="1" x14ac:dyDescent="0.35">
      <c r="A141" t="s">
        <v>202</v>
      </c>
      <c r="C141" s="27">
        <f>SUBTOTAL(2,INDEX(CollReport[کد تفصیلی],1):CollReport[[#This Row],[کد تفصیلی]])</f>
        <v>19</v>
      </c>
      <c r="D141" s="26">
        <v>30023</v>
      </c>
      <c r="E141" s="10" t="str">
        <f>INDEX(customer[عنوان],MATCH(CollReport[[#This Row],[کد تفصیلی]],customer[کد],0))</f>
        <v xml:space="preserve">بهجوش آریا </v>
      </c>
      <c r="F141" s="37">
        <v>0</v>
      </c>
      <c r="G141" s="37" t="s">
        <v>711</v>
      </c>
      <c r="H141" s="37" t="s">
        <v>711</v>
      </c>
      <c r="I141" s="37">
        <v>0</v>
      </c>
      <c r="J141" s="37">
        <v>0</v>
      </c>
      <c r="K141" s="37" t="s">
        <v>710</v>
      </c>
      <c r="L141" s="45">
        <v>0</v>
      </c>
      <c r="M141" s="38">
        <v>0</v>
      </c>
      <c r="N141" s="46" t="s">
        <v>710</v>
      </c>
    </row>
    <row r="142" spans="1:14" hidden="1" x14ac:dyDescent="0.35">
      <c r="A142" t="s">
        <v>353</v>
      </c>
      <c r="C142" s="27">
        <f>SUBTOTAL(2,INDEX(CollReport[کد تفصیلی],1):CollReport[[#This Row],[کد تفصیلی]])</f>
        <v>19</v>
      </c>
      <c r="D142" s="26">
        <v>30176</v>
      </c>
      <c r="E142" s="10" t="str">
        <f>INDEX(customer[عنوان],MATCH(CollReport[[#This Row],[کد تفصیلی]],customer[کد],0))</f>
        <v>شرکت طوس وم تک</v>
      </c>
      <c r="F142" s="37">
        <v>0</v>
      </c>
      <c r="G142" s="37" t="s">
        <v>711</v>
      </c>
      <c r="H142" s="37" t="s">
        <v>711</v>
      </c>
      <c r="I142" s="37">
        <v>0</v>
      </c>
      <c r="J142" s="37">
        <v>0</v>
      </c>
      <c r="K142" s="37" t="s">
        <v>710</v>
      </c>
      <c r="L142" s="45">
        <v>0</v>
      </c>
      <c r="M142" s="38">
        <v>0</v>
      </c>
      <c r="N142" s="46" t="s">
        <v>710</v>
      </c>
    </row>
    <row r="143" spans="1:14" hidden="1" x14ac:dyDescent="0.35">
      <c r="A143" t="s">
        <v>356</v>
      </c>
      <c r="C143" s="27">
        <f>SUBTOTAL(2,INDEX(CollReport[کد تفصیلی],1):CollReport[[#This Row],[کد تفصیلی]])</f>
        <v>19</v>
      </c>
      <c r="D143" s="26">
        <v>10106</v>
      </c>
      <c r="E143" s="10" t="str">
        <f>INDEX(customer[عنوان],MATCH(CollReport[[#This Row],[کد تفصیلی]],customer[کد],0))</f>
        <v>ملاعلی هادی</v>
      </c>
      <c r="F143" s="37">
        <v>0</v>
      </c>
      <c r="G143" s="37" t="s">
        <v>711</v>
      </c>
      <c r="H143" s="37" t="s">
        <v>711</v>
      </c>
      <c r="I143" s="37">
        <v>0</v>
      </c>
      <c r="J143" s="37">
        <v>0</v>
      </c>
      <c r="K143" s="37" t="s">
        <v>710</v>
      </c>
      <c r="L143" s="45">
        <v>0</v>
      </c>
      <c r="M143" s="38">
        <v>0</v>
      </c>
      <c r="N143" s="46" t="s">
        <v>710</v>
      </c>
    </row>
    <row r="144" spans="1:14" hidden="1" x14ac:dyDescent="0.35">
      <c r="A144" t="s">
        <v>154</v>
      </c>
      <c r="C144" s="27">
        <f>SUBTOTAL(2,INDEX(CollReport[کد تفصیلی],1):CollReport[[#This Row],[کد تفصیلی]])</f>
        <v>19</v>
      </c>
      <c r="D144" s="26">
        <v>10102</v>
      </c>
      <c r="E144" s="10" t="str">
        <f>INDEX(customer[عنوان],MATCH(CollReport[[#This Row],[کد تفصیلی]],customer[کد],0))</f>
        <v>رنجوری حمید</v>
      </c>
      <c r="F144" s="37">
        <v>0</v>
      </c>
      <c r="G144" s="37" t="s">
        <v>711</v>
      </c>
      <c r="H144" s="37" t="s">
        <v>711</v>
      </c>
      <c r="I144" s="37">
        <v>0</v>
      </c>
      <c r="J144" s="37">
        <v>0</v>
      </c>
      <c r="K144" s="37" t="s">
        <v>710</v>
      </c>
      <c r="L144" s="45">
        <v>0</v>
      </c>
      <c r="M144" s="38">
        <v>0</v>
      </c>
      <c r="N144" s="46" t="s">
        <v>710</v>
      </c>
    </row>
    <row r="145" spans="1:14" hidden="1" x14ac:dyDescent="0.35">
      <c r="A145" t="s">
        <v>150</v>
      </c>
      <c r="C145" s="27">
        <f>SUBTOTAL(2,INDEX(CollReport[کد تفصیلی],1):CollReport[[#This Row],[کد تفصیلی]])</f>
        <v>19</v>
      </c>
      <c r="D145" s="26">
        <v>10058</v>
      </c>
      <c r="E145" s="10" t="str">
        <f>INDEX(customer[عنوان],MATCH(CollReport[[#This Row],[کد تفصیلی]],customer[کد],0))</f>
        <v xml:space="preserve">علیرضا نیکپور </v>
      </c>
      <c r="F145" s="37">
        <v>0</v>
      </c>
      <c r="G145" s="37" t="s">
        <v>711</v>
      </c>
      <c r="H145" s="37" t="s">
        <v>711</v>
      </c>
      <c r="I145" s="37">
        <v>0</v>
      </c>
      <c r="J145" s="37">
        <v>0</v>
      </c>
      <c r="K145" s="37" t="s">
        <v>710</v>
      </c>
      <c r="L145" s="45">
        <v>0</v>
      </c>
      <c r="M145" s="38">
        <v>0</v>
      </c>
      <c r="N145" s="46" t="s">
        <v>710</v>
      </c>
    </row>
    <row r="146" spans="1:14" x14ac:dyDescent="0.35">
      <c r="A146" t="s">
        <v>106</v>
      </c>
      <c r="C146" s="27">
        <f>SUBTOTAL(2,INDEX(CollReport[کد تفصیلی],1):CollReport[[#This Row],[کد تفصیلی]])</f>
        <v>20</v>
      </c>
      <c r="D146" s="26">
        <v>30082</v>
      </c>
      <c r="E146" s="10" t="str">
        <f>INDEX(customer[عنوان],MATCH(CollReport[[#This Row],[کد تفصیلی]],customer[کد],0))</f>
        <v>اتومات ابزار</v>
      </c>
      <c r="F146" s="37">
        <v>16</v>
      </c>
      <c r="G146" s="37" t="s">
        <v>711</v>
      </c>
      <c r="H146" s="37" t="s">
        <v>711</v>
      </c>
      <c r="I146" s="37">
        <v>16</v>
      </c>
      <c r="J146" s="37">
        <v>280.6339035879646</v>
      </c>
      <c r="K146" s="37">
        <v>280.6339035879646</v>
      </c>
      <c r="L146" s="45">
        <v>16</v>
      </c>
      <c r="M146" s="38">
        <v>280.6339035879646</v>
      </c>
      <c r="N146" s="46">
        <v>280.6339035879646</v>
      </c>
    </row>
    <row r="147" spans="1:14" hidden="1" x14ac:dyDescent="0.35">
      <c r="A147" t="s">
        <v>174</v>
      </c>
      <c r="C147" s="27">
        <f>SUBTOTAL(2,INDEX(CollReport[کد تفصیلی],1):CollReport[[#This Row],[کد تفصیلی]])</f>
        <v>20</v>
      </c>
      <c r="D147" s="26">
        <v>30042</v>
      </c>
      <c r="E147" s="10" t="str">
        <f>INDEX(customer[عنوان],MATCH(CollReport[[#This Row],[کد تفصیلی]],customer[کد],0))</f>
        <v xml:space="preserve">آب آرا </v>
      </c>
      <c r="F147" s="37">
        <v>0</v>
      </c>
      <c r="G147" s="37" t="s">
        <v>711</v>
      </c>
      <c r="H147" s="37" t="s">
        <v>711</v>
      </c>
      <c r="I147" s="37">
        <v>0</v>
      </c>
      <c r="J147" s="37">
        <v>0</v>
      </c>
      <c r="K147" s="37" t="s">
        <v>710</v>
      </c>
      <c r="L147" s="45">
        <v>0</v>
      </c>
      <c r="M147" s="38">
        <v>0</v>
      </c>
      <c r="N147" s="46" t="s">
        <v>710</v>
      </c>
    </row>
    <row r="148" spans="1:14" hidden="1" x14ac:dyDescent="0.35">
      <c r="A148" t="s">
        <v>260</v>
      </c>
      <c r="C148" s="27">
        <f>SUBTOTAL(2,INDEX(CollReport[کد تفصیلی],1):CollReport[[#This Row],[کد تفصیلی]])</f>
        <v>20</v>
      </c>
      <c r="D148" s="26">
        <v>30028</v>
      </c>
      <c r="E148" s="10" t="str">
        <f>INDEX(customer[عنوان],MATCH(CollReport[[#This Row],[کد تفصیلی]],customer[کد],0))</f>
        <v xml:space="preserve">اوج صنعت </v>
      </c>
      <c r="F148" s="37">
        <v>0</v>
      </c>
      <c r="G148" s="37" t="s">
        <v>711</v>
      </c>
      <c r="H148" s="37" t="s">
        <v>711</v>
      </c>
      <c r="I148" s="37">
        <v>0</v>
      </c>
      <c r="J148" s="37">
        <v>0</v>
      </c>
      <c r="K148" s="37" t="s">
        <v>710</v>
      </c>
      <c r="L148" s="45">
        <v>0</v>
      </c>
      <c r="M148" s="38">
        <v>0</v>
      </c>
      <c r="N148" s="46" t="s">
        <v>710</v>
      </c>
    </row>
    <row r="149" spans="1:14" x14ac:dyDescent="0.35">
      <c r="A149" t="s">
        <v>213</v>
      </c>
      <c r="C149" s="27">
        <f>SUBTOTAL(2,INDEX(CollReport[کد تفصیلی],1):CollReport[[#This Row],[کد تفصیلی]])</f>
        <v>21</v>
      </c>
      <c r="D149" s="26">
        <v>30072</v>
      </c>
      <c r="E149" s="10" t="str">
        <f>INDEX(customer[عنوان],MATCH(CollReport[[#This Row],[کد تفصیلی]],customer[کد],0))</f>
        <v>تولیدی صنعتی صالح</v>
      </c>
      <c r="F149" s="37">
        <v>79</v>
      </c>
      <c r="G149" s="37">
        <v>514</v>
      </c>
      <c r="H149" s="37">
        <v>197</v>
      </c>
      <c r="I149" s="37">
        <v>79</v>
      </c>
      <c r="J149" s="37">
        <v>280.63392060185288</v>
      </c>
      <c r="K149" s="37">
        <v>280.63392060185288</v>
      </c>
      <c r="L149" s="45">
        <v>79</v>
      </c>
      <c r="M149" s="38">
        <v>280.63392060185288</v>
      </c>
      <c r="N149" s="46">
        <v>280.63392060185288</v>
      </c>
    </row>
    <row r="150" spans="1:14" hidden="1" x14ac:dyDescent="0.35">
      <c r="A150" t="s">
        <v>221</v>
      </c>
      <c r="C150" s="27">
        <f>SUBTOTAL(2,INDEX(CollReport[کد تفصیلی],1):CollReport[[#This Row],[کد تفصیلی]])</f>
        <v>21</v>
      </c>
      <c r="D150" s="26">
        <v>10049</v>
      </c>
      <c r="E150" s="10" t="str">
        <f>INDEX(customer[عنوان],MATCH(CollReport[[#This Row],[کد تفصیلی]],customer[کد],0))</f>
        <v>سینا نوربخش</v>
      </c>
      <c r="F150" s="37">
        <v>0</v>
      </c>
      <c r="G150" s="37" t="s">
        <v>711</v>
      </c>
      <c r="H150" s="37" t="s">
        <v>711</v>
      </c>
      <c r="I150" s="37">
        <v>0</v>
      </c>
      <c r="J150" s="37">
        <v>0</v>
      </c>
      <c r="K150" s="37" t="s">
        <v>710</v>
      </c>
      <c r="L150" s="45">
        <v>0</v>
      </c>
      <c r="M150" s="38">
        <v>0</v>
      </c>
      <c r="N150" s="46" t="s">
        <v>710</v>
      </c>
    </row>
    <row r="151" spans="1:14" hidden="1" x14ac:dyDescent="0.35">
      <c r="A151" t="s">
        <v>207</v>
      </c>
      <c r="C151" s="27">
        <f>SUBTOTAL(2,INDEX(CollReport[کد تفصیلی],1):CollReport[[#This Row],[کد تفصیلی]])</f>
        <v>21</v>
      </c>
      <c r="D151" s="26">
        <v>30098</v>
      </c>
      <c r="E151" s="10" t="str">
        <f>INDEX(customer[عنوان],MATCH(CollReport[[#This Row],[کد تفصیلی]],customer[کد],0))</f>
        <v>صنایع شیرسازی ایران گرمافر</v>
      </c>
      <c r="F151" s="37">
        <v>0</v>
      </c>
      <c r="G151" s="37" t="s">
        <v>711</v>
      </c>
      <c r="H151" s="37" t="s">
        <v>711</v>
      </c>
      <c r="I151" s="37">
        <v>0</v>
      </c>
      <c r="J151" s="37">
        <v>0</v>
      </c>
      <c r="K151" s="37" t="s">
        <v>710</v>
      </c>
      <c r="L151" s="45">
        <v>0</v>
      </c>
      <c r="M151" s="38">
        <v>0</v>
      </c>
      <c r="N151" s="46" t="s">
        <v>710</v>
      </c>
    </row>
    <row r="152" spans="1:14" hidden="1" x14ac:dyDescent="0.35">
      <c r="A152" t="s">
        <v>250</v>
      </c>
      <c r="C152" s="27">
        <f>SUBTOTAL(2,INDEX(CollReport[کد تفصیلی],1):CollReport[[#This Row],[کد تفصیلی]])</f>
        <v>21</v>
      </c>
      <c r="D152" s="26">
        <v>30012</v>
      </c>
      <c r="E152" s="10" t="str">
        <f>INDEX(customer[عنوان],MATCH(CollReport[[#This Row],[کد تفصیلی]],customer[کد],0))</f>
        <v xml:space="preserve">پارس قفل </v>
      </c>
      <c r="F152" s="37">
        <v>-141</v>
      </c>
      <c r="G152" s="37">
        <v>632.43104599017477</v>
      </c>
      <c r="H152" s="37">
        <v>15.580863381604894</v>
      </c>
      <c r="I152" s="37">
        <v>0</v>
      </c>
      <c r="J152" s="37">
        <v>0</v>
      </c>
      <c r="K152" s="37" t="s">
        <v>710</v>
      </c>
      <c r="L152" s="45">
        <v>0</v>
      </c>
      <c r="M152" s="38">
        <v>0</v>
      </c>
      <c r="N152" s="46" t="s">
        <v>710</v>
      </c>
    </row>
    <row r="153" spans="1:14" hidden="1" x14ac:dyDescent="0.35">
      <c r="A153" t="s">
        <v>97</v>
      </c>
      <c r="C153" s="27">
        <f>SUBTOTAL(2,INDEX(CollReport[کد تفصیلی],1):CollReport[[#This Row],[کد تفصیلی]])</f>
        <v>21</v>
      </c>
      <c r="D153" s="26">
        <v>30064</v>
      </c>
      <c r="E153" s="10" t="str">
        <f>INDEX(customer[عنوان],MATCH(CollReport[[#This Row],[کد تفصیلی]],customer[کد],0))</f>
        <v>پایپکس</v>
      </c>
      <c r="F153" s="37">
        <v>0</v>
      </c>
      <c r="G153" s="37">
        <v>967.47107438016531</v>
      </c>
      <c r="H153" s="37">
        <v>52.636690647482013</v>
      </c>
      <c r="I153" s="37">
        <v>0</v>
      </c>
      <c r="J153" s="37">
        <v>0</v>
      </c>
      <c r="K153" s="37" t="s">
        <v>710</v>
      </c>
      <c r="L153" s="45">
        <v>0</v>
      </c>
      <c r="M153" s="38">
        <v>0</v>
      </c>
      <c r="N153" s="46" t="s">
        <v>710</v>
      </c>
    </row>
    <row r="154" spans="1:14" hidden="1" x14ac:dyDescent="0.35">
      <c r="A154" t="s">
        <v>275</v>
      </c>
      <c r="C154" s="27">
        <f>SUBTOTAL(2,INDEX(CollReport[کد تفصیلی],1):CollReport[[#This Row],[کد تفصیلی]])</f>
        <v>21</v>
      </c>
      <c r="D154" s="26">
        <v>10123</v>
      </c>
      <c r="E154" s="10" t="str">
        <f>INDEX(customer[عنوان],MATCH(CollReport[[#This Row],[کد تفصیلی]],customer[کد],0))</f>
        <v xml:space="preserve">فرزین اسماعیل زاده </v>
      </c>
      <c r="F154" s="37">
        <v>0</v>
      </c>
      <c r="G154" s="37" t="s">
        <v>711</v>
      </c>
      <c r="H154" s="37" t="s">
        <v>711</v>
      </c>
      <c r="I154" s="37">
        <v>0</v>
      </c>
      <c r="J154" s="37">
        <v>0</v>
      </c>
      <c r="K154" s="37" t="s">
        <v>710</v>
      </c>
      <c r="L154" s="45">
        <v>0</v>
      </c>
      <c r="M154" s="38">
        <v>0</v>
      </c>
      <c r="N154" s="46" t="s">
        <v>710</v>
      </c>
    </row>
    <row r="155" spans="1:14" hidden="1" x14ac:dyDescent="0.35">
      <c r="A155" t="s">
        <v>242</v>
      </c>
      <c r="C155" s="27">
        <f>SUBTOTAL(2,INDEX(CollReport[کد تفصیلی],1):CollReport[[#This Row],[کد تفصیلی]])</f>
        <v>21</v>
      </c>
      <c r="D155" s="26">
        <v>30000</v>
      </c>
      <c r="E155" s="10" t="str">
        <f>INDEX(customer[عنوان],MATCH(CollReport[[#This Row],[کد تفصیلی]],customer[کد],0))</f>
        <v xml:space="preserve">شرکت گسترش تک </v>
      </c>
      <c r="F155" s="37">
        <v>0</v>
      </c>
      <c r="G155" s="37" t="s">
        <v>711</v>
      </c>
      <c r="H155" s="37" t="s">
        <v>711</v>
      </c>
      <c r="I155" s="37">
        <v>0</v>
      </c>
      <c r="J155" s="37">
        <v>0</v>
      </c>
      <c r="K155" s="37" t="s">
        <v>710</v>
      </c>
      <c r="L155" s="45">
        <v>0</v>
      </c>
      <c r="M155" s="38">
        <v>0</v>
      </c>
      <c r="N155" s="46" t="s">
        <v>710</v>
      </c>
    </row>
    <row r="156" spans="1:14" hidden="1" x14ac:dyDescent="0.35">
      <c r="A156" t="s">
        <v>171</v>
      </c>
      <c r="C156" s="27">
        <f>SUBTOTAL(2,INDEX(CollReport[کد تفصیلی],1):CollReport[[#This Row],[کد تفصیلی]])</f>
        <v>21</v>
      </c>
      <c r="D156" s="26">
        <v>30205</v>
      </c>
      <c r="E156" s="10" t="str">
        <f>INDEX(customer[عنوان],MATCH(CollReport[[#This Row],[کد تفصیلی]],customer[کد],0))</f>
        <v>ایران پالاد</v>
      </c>
      <c r="F156" s="37">
        <v>0</v>
      </c>
      <c r="G156" s="37">
        <v>-981.11111111111109</v>
      </c>
      <c r="H156" s="37">
        <v>-3.6837713808927828</v>
      </c>
      <c r="I156" s="37">
        <v>0</v>
      </c>
      <c r="J156" s="37">
        <v>0</v>
      </c>
      <c r="K156" s="37" t="s">
        <v>710</v>
      </c>
      <c r="L156" s="45">
        <v>0</v>
      </c>
      <c r="M156" s="38">
        <v>0</v>
      </c>
      <c r="N156" s="46" t="s">
        <v>710</v>
      </c>
    </row>
    <row r="157" spans="1:14" hidden="1" x14ac:dyDescent="0.35">
      <c r="A157" t="s">
        <v>179</v>
      </c>
      <c r="C157" s="27">
        <f>SUBTOTAL(2,INDEX(CollReport[کد تفصیلی],1):CollReport[[#This Row],[کد تفصیلی]])</f>
        <v>21</v>
      </c>
      <c r="D157" s="26">
        <v>30133</v>
      </c>
      <c r="E157" s="10" t="str">
        <f>INDEX(customer[عنوان],MATCH(CollReport[[#This Row],[کد تفصیلی]],customer[کد],0))</f>
        <v>شرکت آتا بای تبریز</v>
      </c>
      <c r="F157" s="37">
        <v>0</v>
      </c>
      <c r="G157" s="37">
        <v>1986.8235294117646</v>
      </c>
      <c r="H157" s="37">
        <v>12.140905823148813</v>
      </c>
      <c r="I157" s="37">
        <v>0</v>
      </c>
      <c r="J157" s="37">
        <v>0</v>
      </c>
      <c r="K157" s="37" t="s">
        <v>710</v>
      </c>
      <c r="L157" s="45">
        <v>0</v>
      </c>
      <c r="M157" s="38">
        <v>0</v>
      </c>
      <c r="N157" s="46" t="s">
        <v>710</v>
      </c>
    </row>
    <row r="158" spans="1:14" hidden="1" x14ac:dyDescent="0.35">
      <c r="A158" t="s">
        <v>772</v>
      </c>
      <c r="C158" s="27">
        <f>SUBTOTAL(2,INDEX(CollReport[کد تفصیلی],1):CollReport[[#This Row],[کد تفصیلی]])</f>
        <v>21</v>
      </c>
      <c r="D158" s="26">
        <v>30168</v>
      </c>
      <c r="E158" s="10" t="str">
        <f>INDEX(customer[عنوان],MATCH(CollReport[[#This Row],[کد تفصیلی]],customer[کد],0))</f>
        <v>صنایع قفل گیرا</v>
      </c>
      <c r="F158" s="37">
        <v>0</v>
      </c>
      <c r="G158" s="37" t="s">
        <v>711</v>
      </c>
      <c r="H158" s="37" t="s">
        <v>711</v>
      </c>
      <c r="I158" s="37">
        <v>0</v>
      </c>
      <c r="J158" s="37">
        <v>0</v>
      </c>
      <c r="K158" s="37" t="s">
        <v>710</v>
      </c>
      <c r="L158" s="45">
        <v>0</v>
      </c>
      <c r="M158" s="38">
        <v>0</v>
      </c>
      <c r="N158" s="46" t="s">
        <v>710</v>
      </c>
    </row>
    <row r="159" spans="1:14" x14ac:dyDescent="0.35">
      <c r="A159" t="s">
        <v>310</v>
      </c>
      <c r="C159" s="27">
        <f>SUBTOTAL(2,INDEX(CollReport[کد تفصیلی],1):CollReport[[#This Row],[کد تفصیلی]])</f>
        <v>22</v>
      </c>
      <c r="D159" s="26">
        <v>10089</v>
      </c>
      <c r="E159" s="10" t="str">
        <f>INDEX(customer[عنوان],MATCH(CollReport[[#This Row],[کد تفصیلی]],customer[کد],0))</f>
        <v>خسروآبادی مهدی</v>
      </c>
      <c r="F159" s="37">
        <v>948</v>
      </c>
      <c r="G159" s="37">
        <v>861.52702702702697</v>
      </c>
      <c r="H159" s="37">
        <v>53.394472361809044</v>
      </c>
      <c r="I159" s="37">
        <v>948</v>
      </c>
      <c r="J159" s="37">
        <v>223.63397870370682</v>
      </c>
      <c r="K159" s="37">
        <v>216.3238521214283</v>
      </c>
      <c r="L159" s="45">
        <v>948</v>
      </c>
      <c r="M159" s="38">
        <v>223.63397870370682</v>
      </c>
      <c r="N159" s="46">
        <v>216.3238521214283</v>
      </c>
    </row>
    <row r="160" spans="1:14" hidden="1" x14ac:dyDescent="0.35">
      <c r="A160" t="s">
        <v>345</v>
      </c>
      <c r="C160" s="27">
        <f>SUBTOTAL(2,INDEX(CollReport[کد تفصیلی],1):CollReport[[#This Row],[کد تفصیلی]])</f>
        <v>22</v>
      </c>
      <c r="D160" s="26">
        <v>30006</v>
      </c>
      <c r="E160" s="10" t="str">
        <f>INDEX(customer[عنوان],MATCH(CollReport[[#This Row],[کد تفصیلی]],customer[کد],0))</f>
        <v xml:space="preserve">توان جم </v>
      </c>
      <c r="F160" s="37">
        <v>6</v>
      </c>
      <c r="G160" s="37">
        <v>3052.7220077220077</v>
      </c>
      <c r="H160" s="37">
        <v>44.814090574165391</v>
      </c>
      <c r="I160" s="37">
        <v>6</v>
      </c>
      <c r="J160" s="37">
        <v>21.633984837964817</v>
      </c>
      <c r="K160" s="37">
        <v>21.633984837964817</v>
      </c>
      <c r="L160" s="45">
        <v>6</v>
      </c>
      <c r="M160" s="38">
        <v>21.633984837964817</v>
      </c>
      <c r="N160" s="46">
        <v>21.633984837964817</v>
      </c>
    </row>
    <row r="161" spans="1:14" hidden="1" x14ac:dyDescent="0.35">
      <c r="A161" t="s">
        <v>341</v>
      </c>
      <c r="C161" s="27">
        <f>SUBTOTAL(2,INDEX(CollReport[کد تفصیلی],1):CollReport[[#This Row],[کد تفصیلی]])</f>
        <v>22</v>
      </c>
      <c r="D161" s="26">
        <v>30156</v>
      </c>
      <c r="E161" s="10" t="str">
        <f>INDEX(customer[عنوان],MATCH(CollReport[[#This Row],[کد تفصیلی]],customer[کد],0))</f>
        <v>شیرآلات گلپایگان</v>
      </c>
      <c r="F161" s="37">
        <v>0</v>
      </c>
      <c r="G161" s="37" t="s">
        <v>711</v>
      </c>
      <c r="H161" s="37" t="s">
        <v>711</v>
      </c>
      <c r="I161" s="37">
        <v>0</v>
      </c>
      <c r="J161" s="37">
        <v>0</v>
      </c>
      <c r="K161" s="37" t="s">
        <v>710</v>
      </c>
      <c r="L161" s="45">
        <v>0</v>
      </c>
      <c r="M161" s="38">
        <v>0</v>
      </c>
      <c r="N161" s="46" t="s">
        <v>710</v>
      </c>
    </row>
    <row r="162" spans="1:14" hidden="1" x14ac:dyDescent="0.35">
      <c r="A162" t="s">
        <v>137</v>
      </c>
      <c r="C162" s="27">
        <f>SUBTOTAL(2,INDEX(CollReport[کد تفصیلی],1):CollReport[[#This Row],[کد تفصیلی]])</f>
        <v>22</v>
      </c>
      <c r="D162" s="26">
        <v>10079</v>
      </c>
      <c r="E162" s="10" t="str">
        <f>INDEX(customer[عنوان],MATCH(CollReport[[#This Row],[کد تفصیلی]],customer[کد],0))</f>
        <v>حسینی حسن</v>
      </c>
      <c r="F162" s="37">
        <v>0</v>
      </c>
      <c r="G162" s="37">
        <v>-896.33898305084745</v>
      </c>
      <c r="H162" s="37">
        <v>-14.308441558441558</v>
      </c>
      <c r="I162" s="37">
        <v>0</v>
      </c>
      <c r="J162" s="37">
        <v>0</v>
      </c>
      <c r="K162" s="37" t="s">
        <v>710</v>
      </c>
      <c r="L162" s="45">
        <v>0</v>
      </c>
      <c r="M162" s="38">
        <v>0</v>
      </c>
      <c r="N162" s="46" t="s">
        <v>710</v>
      </c>
    </row>
    <row r="163" spans="1:14" hidden="1" x14ac:dyDescent="0.35">
      <c r="A163" t="s">
        <v>333</v>
      </c>
      <c r="C163" s="27">
        <f>SUBTOTAL(2,INDEX(CollReport[کد تفصیلی],1):CollReport[[#This Row],[کد تفصیلی]])</f>
        <v>22</v>
      </c>
      <c r="D163" s="26">
        <v>10139</v>
      </c>
      <c r="E163" s="10" t="str">
        <f>INDEX(customer[عنوان],MATCH(CollReport[[#This Row],[کد تفصیلی]],customer[کد],0))</f>
        <v>صابر عزیزی</v>
      </c>
      <c r="F163" s="37">
        <v>0</v>
      </c>
      <c r="G163" s="37" t="s">
        <v>711</v>
      </c>
      <c r="H163" s="37" t="s">
        <v>711</v>
      </c>
      <c r="I163" s="37">
        <v>0</v>
      </c>
      <c r="J163" s="37">
        <v>0</v>
      </c>
      <c r="K163" s="37" t="s">
        <v>710</v>
      </c>
      <c r="L163" s="45">
        <v>0</v>
      </c>
      <c r="M163" s="38">
        <v>0</v>
      </c>
      <c r="N163" s="46" t="s">
        <v>710</v>
      </c>
    </row>
    <row r="164" spans="1:14" hidden="1" x14ac:dyDescent="0.35">
      <c r="A164" t="s">
        <v>360</v>
      </c>
      <c r="C164" s="27">
        <f>SUBTOTAL(2,INDEX(CollReport[کد تفصیلی],1):CollReport[[#This Row],[کد تفصیلی]])</f>
        <v>22</v>
      </c>
      <c r="D164" s="26">
        <v>50008</v>
      </c>
      <c r="E164" s="10" t="str">
        <f>INDEX(customer[عنوان],MATCH(CollReport[[#This Row],[کد تفصیلی]],customer[کد],0))</f>
        <v xml:space="preserve">علی اکبری </v>
      </c>
      <c r="F164" s="37">
        <v>0</v>
      </c>
      <c r="G164" s="37" t="s">
        <v>711</v>
      </c>
      <c r="H164" s="37" t="s">
        <v>711</v>
      </c>
      <c r="I164" s="37">
        <v>0</v>
      </c>
      <c r="J164" s="37">
        <v>0</v>
      </c>
      <c r="K164" s="37" t="s">
        <v>710</v>
      </c>
      <c r="L164" s="45">
        <v>0</v>
      </c>
      <c r="M164" s="38">
        <v>0</v>
      </c>
      <c r="N164" s="46" t="s">
        <v>710</v>
      </c>
    </row>
    <row r="165" spans="1:14" hidden="1" x14ac:dyDescent="0.35">
      <c r="A165" t="s">
        <v>127</v>
      </c>
      <c r="C165" s="27">
        <f>SUBTOTAL(2,INDEX(CollReport[کد تفصیلی],1):CollReport[[#This Row],[کد تفصیلی]])</f>
        <v>22</v>
      </c>
      <c r="D165" s="26">
        <v>30155</v>
      </c>
      <c r="E165" s="10" t="str">
        <f>INDEX(customer[عنوان],MATCH(CollReport[[#This Row],[کد تفصیلی]],customer[کد],0))</f>
        <v>سری تراشی طاهری</v>
      </c>
      <c r="F165" s="37">
        <v>0</v>
      </c>
      <c r="G165" s="37">
        <v>-55.272727272727273</v>
      </c>
      <c r="H165" s="37">
        <v>-0.17987278733790246</v>
      </c>
      <c r="I165" s="37">
        <v>0</v>
      </c>
      <c r="J165" s="37">
        <v>0</v>
      </c>
      <c r="K165" s="37" t="s">
        <v>710</v>
      </c>
      <c r="L165" s="45">
        <v>0</v>
      </c>
      <c r="M165" s="38">
        <v>0</v>
      </c>
      <c r="N165" s="46" t="s">
        <v>710</v>
      </c>
    </row>
    <row r="166" spans="1:14" hidden="1" x14ac:dyDescent="0.35">
      <c r="A166" t="s">
        <v>149</v>
      </c>
      <c r="C166" s="27">
        <f>SUBTOTAL(2,INDEX(CollReport[کد تفصیلی],1):CollReport[[#This Row],[کد تفصیلی]])</f>
        <v>22</v>
      </c>
      <c r="D166" s="26">
        <v>30182</v>
      </c>
      <c r="E166" s="10" t="str">
        <f>INDEX(customer[عنوان],MATCH(CollReport[[#This Row],[کد تفصیلی]],customer[کد],0))</f>
        <v>شرکت شریف تهران</v>
      </c>
      <c r="F166" s="37">
        <v>0</v>
      </c>
      <c r="G166" s="37" t="s">
        <v>711</v>
      </c>
      <c r="H166" s="37" t="s">
        <v>711</v>
      </c>
      <c r="I166" s="37">
        <v>0</v>
      </c>
      <c r="J166" s="37">
        <v>0</v>
      </c>
      <c r="K166" s="37" t="s">
        <v>710</v>
      </c>
      <c r="L166" s="45">
        <v>0</v>
      </c>
      <c r="M166" s="38">
        <v>0</v>
      </c>
      <c r="N166" s="46" t="s">
        <v>710</v>
      </c>
    </row>
    <row r="167" spans="1:14" hidden="1" x14ac:dyDescent="0.35">
      <c r="A167" t="s">
        <v>374</v>
      </c>
      <c r="C167" s="27">
        <f>SUBTOTAL(2,INDEX(CollReport[کد تفصیلی],1):CollReport[[#This Row],[کد تفصیلی]])</f>
        <v>22</v>
      </c>
      <c r="D167" s="26">
        <v>30169</v>
      </c>
      <c r="E167" s="10" t="str">
        <f>INDEX(customer[عنوان],MATCH(CollReport[[#This Row],[کد تفصیلی]],customer[کد],0))</f>
        <v>شرکت هادرون توان</v>
      </c>
      <c r="F167" s="37">
        <v>0</v>
      </c>
      <c r="G167" s="37" t="s">
        <v>711</v>
      </c>
      <c r="H167" s="37" t="s">
        <v>711</v>
      </c>
      <c r="I167" s="37">
        <v>0</v>
      </c>
      <c r="J167" s="37">
        <v>0</v>
      </c>
      <c r="K167" s="37" t="s">
        <v>710</v>
      </c>
      <c r="L167" s="45">
        <v>0</v>
      </c>
      <c r="M167" s="38">
        <v>0</v>
      </c>
      <c r="N167" s="46" t="s">
        <v>710</v>
      </c>
    </row>
    <row r="168" spans="1:14" hidden="1" x14ac:dyDescent="0.35">
      <c r="A168" t="s">
        <v>359</v>
      </c>
      <c r="C168" s="27">
        <f>SUBTOTAL(2,INDEX(CollReport[کد تفصیلی],1):CollReport[[#This Row],[کد تفصیلی]])</f>
        <v>22</v>
      </c>
      <c r="D168" s="26">
        <v>10029</v>
      </c>
      <c r="E168" s="10" t="str">
        <f>INDEX(customer[عنوان],MATCH(CollReport[[#This Row],[کد تفصیلی]],customer[کد],0))</f>
        <v>رضا شریعتی</v>
      </c>
      <c r="F168" s="37">
        <v>-6603</v>
      </c>
      <c r="G168" s="37">
        <v>-5181.1197119074513</v>
      </c>
      <c r="H168" s="37">
        <v>-51.885898060012991</v>
      </c>
      <c r="I168" s="37">
        <v>0</v>
      </c>
      <c r="J168" s="37">
        <v>0</v>
      </c>
      <c r="K168" s="37" t="s">
        <v>710</v>
      </c>
      <c r="L168" s="45">
        <v>0</v>
      </c>
      <c r="M168" s="38">
        <v>0</v>
      </c>
      <c r="N168" s="46" t="s">
        <v>710</v>
      </c>
    </row>
    <row r="169" spans="1:14" hidden="1" x14ac:dyDescent="0.35">
      <c r="A169" t="s">
        <v>332</v>
      </c>
      <c r="C169" s="27">
        <f>SUBTOTAL(2,INDEX(CollReport[کد تفصیلی],1):CollReport[[#This Row],[کد تفصیلی]])</f>
        <v>22</v>
      </c>
      <c r="D169" s="26">
        <v>10109</v>
      </c>
      <c r="E169" s="10" t="str">
        <f>INDEX(customer[عنوان],MATCH(CollReport[[#This Row],[کد تفصیلی]],customer[کد],0))</f>
        <v>فردی مجتبی</v>
      </c>
      <c r="F169" s="37">
        <v>241</v>
      </c>
      <c r="G169" s="37">
        <v>-173.7925925925926</v>
      </c>
      <c r="H169" s="37">
        <v>-26.525720746184284</v>
      </c>
      <c r="I169" s="37">
        <v>241</v>
      </c>
      <c r="J169" s="37">
        <v>40.634040277778695</v>
      </c>
      <c r="K169" s="37">
        <v>40.634040277778695</v>
      </c>
      <c r="L169" s="45">
        <v>241</v>
      </c>
      <c r="M169" s="38">
        <v>40.634040277778695</v>
      </c>
      <c r="N169" s="46">
        <v>40.634040277778695</v>
      </c>
    </row>
    <row r="170" spans="1:14" hidden="1" x14ac:dyDescent="0.35">
      <c r="A170" t="s">
        <v>185</v>
      </c>
      <c r="C170" s="27">
        <f>SUBTOTAL(2,INDEX(CollReport[کد تفصیلی],1):CollReport[[#This Row],[کد تفصیلی]])</f>
        <v>22</v>
      </c>
      <c r="D170" s="26">
        <v>30165</v>
      </c>
      <c r="E170" s="10" t="str">
        <f>INDEX(customer[عنوان],MATCH(CollReport[[#This Row],[کد تفصیلی]],customer[کد],0))</f>
        <v>تراشکاران صنعت ایل خانی</v>
      </c>
      <c r="F170" s="37">
        <v>0</v>
      </c>
      <c r="G170" s="37" t="s">
        <v>711</v>
      </c>
      <c r="H170" s="37" t="s">
        <v>711</v>
      </c>
      <c r="I170" s="37">
        <v>0</v>
      </c>
      <c r="J170" s="37">
        <v>0</v>
      </c>
      <c r="K170" s="37" t="s">
        <v>710</v>
      </c>
      <c r="L170" s="45">
        <v>0</v>
      </c>
      <c r="M170" s="38">
        <v>0</v>
      </c>
      <c r="N170" s="46" t="s">
        <v>710</v>
      </c>
    </row>
    <row r="171" spans="1:14" hidden="1" x14ac:dyDescent="0.35">
      <c r="A171" t="s">
        <v>219</v>
      </c>
      <c r="C171" s="27">
        <f>SUBTOTAL(2,INDEX(CollReport[کد تفصیلی],1):CollReport[[#This Row],[کد تفصیلی]])</f>
        <v>22</v>
      </c>
      <c r="D171" s="26">
        <v>10133</v>
      </c>
      <c r="E171" s="10" t="str">
        <f>INDEX(customer[عنوان],MATCH(CollReport[[#This Row],[کد تفصیلی]],customer[کد],0))</f>
        <v>حسن پورجهانی</v>
      </c>
      <c r="F171" s="37">
        <v>0</v>
      </c>
      <c r="G171" s="37" t="s">
        <v>711</v>
      </c>
      <c r="H171" s="37" t="s">
        <v>711</v>
      </c>
      <c r="I171" s="37">
        <v>0</v>
      </c>
      <c r="J171" s="37">
        <v>0</v>
      </c>
      <c r="K171" s="37" t="s">
        <v>710</v>
      </c>
      <c r="L171" s="45">
        <v>0</v>
      </c>
      <c r="M171" s="38">
        <v>0</v>
      </c>
      <c r="N171" s="46" t="s">
        <v>710</v>
      </c>
    </row>
    <row r="172" spans="1:14" hidden="1" x14ac:dyDescent="0.35">
      <c r="A172" t="s">
        <v>422</v>
      </c>
      <c r="C172" s="27">
        <f>SUBTOTAL(2,INDEX(CollReport[کد تفصیلی],1):CollReport[[#This Row],[کد تفصیلی]])</f>
        <v>22</v>
      </c>
      <c r="D172" s="26">
        <v>30204</v>
      </c>
      <c r="E172" s="10" t="str">
        <f>INDEX(customer[عنوان],MATCH(CollReport[[#This Row],[کد تفصیلی]],customer[کد],0))</f>
        <v>شرکت G P G</v>
      </c>
      <c r="F172" s="37">
        <v>0</v>
      </c>
      <c r="G172" s="37" t="s">
        <v>711</v>
      </c>
      <c r="H172" s="37" t="s">
        <v>711</v>
      </c>
      <c r="I172" s="37">
        <v>0</v>
      </c>
      <c r="J172" s="37">
        <v>0</v>
      </c>
      <c r="K172" s="37" t="s">
        <v>710</v>
      </c>
      <c r="L172" s="45">
        <v>0</v>
      </c>
      <c r="M172" s="38">
        <v>0</v>
      </c>
      <c r="N172" s="46" t="s">
        <v>710</v>
      </c>
    </row>
    <row r="173" spans="1:14" hidden="1" x14ac:dyDescent="0.35">
      <c r="A173" t="s">
        <v>153</v>
      </c>
      <c r="C173" s="27">
        <f>SUBTOTAL(2,INDEX(CollReport[کد تفصیلی],1):CollReport[[#This Row],[کد تفصیلی]])</f>
        <v>22</v>
      </c>
      <c r="D173" s="26">
        <v>10092</v>
      </c>
      <c r="E173" s="10" t="str">
        <f>INDEX(customer[عنوان],MATCH(CollReport[[#This Row],[کد تفصیلی]],customer[کد],0))</f>
        <v xml:space="preserve">احمدی مهدی </v>
      </c>
      <c r="F173" s="37">
        <v>0</v>
      </c>
      <c r="G173" s="37">
        <v>-90</v>
      </c>
      <c r="H173" s="37">
        <v>-45</v>
      </c>
      <c r="I173" s="37">
        <v>0</v>
      </c>
      <c r="J173" s="37">
        <v>0</v>
      </c>
      <c r="K173" s="37" t="s">
        <v>710</v>
      </c>
      <c r="L173" s="45">
        <v>0</v>
      </c>
      <c r="M173" s="38">
        <v>0</v>
      </c>
      <c r="N173" s="46" t="s">
        <v>710</v>
      </c>
    </row>
    <row r="174" spans="1:14" hidden="1" x14ac:dyDescent="0.35">
      <c r="A174" t="s">
        <v>361</v>
      </c>
      <c r="C174" s="27">
        <f>SUBTOTAL(2,INDEX(CollReport[کد تفصیلی],1):CollReport[[#This Row],[کد تفصیلی]])</f>
        <v>22</v>
      </c>
      <c r="D174" s="26">
        <v>10002</v>
      </c>
      <c r="E174" s="10" t="str">
        <f>INDEX(customer[عنوان],MATCH(CollReport[[#This Row],[کد تفصیلی]],customer[کد],0))</f>
        <v xml:space="preserve">موسوی اصفهان </v>
      </c>
      <c r="F174" s="37">
        <v>0</v>
      </c>
      <c r="G174" s="37" t="s">
        <v>711</v>
      </c>
      <c r="H174" s="37">
        <v>0</v>
      </c>
      <c r="I174" s="37">
        <v>0</v>
      </c>
      <c r="J174" s="37">
        <v>0</v>
      </c>
      <c r="K174" s="37" t="s">
        <v>710</v>
      </c>
      <c r="L174" s="45">
        <v>0</v>
      </c>
      <c r="M174" s="38">
        <v>0</v>
      </c>
      <c r="N174" s="46" t="s">
        <v>710</v>
      </c>
    </row>
    <row r="175" spans="1:14" hidden="1" x14ac:dyDescent="0.35">
      <c r="A175" t="s">
        <v>77</v>
      </c>
      <c r="C175" s="27">
        <f>SUBTOTAL(2,INDEX(CollReport[کد تفصیلی],1):CollReport[[#This Row],[کد تفصیلی]])</f>
        <v>22</v>
      </c>
      <c r="D175" s="26">
        <v>30146</v>
      </c>
      <c r="E175" s="10" t="str">
        <f>INDEX(customer[عنوان],MATCH(CollReport[[#This Row],[کد تفصیلی]],customer[کد],0))</f>
        <v>شرکت آذرپاد</v>
      </c>
      <c r="F175" s="37">
        <v>-2823</v>
      </c>
      <c r="G175" s="37">
        <v>-1744.0333980324156</v>
      </c>
      <c r="H175" s="37">
        <v>-8.2368045589958108</v>
      </c>
      <c r="I175" s="37">
        <v>0</v>
      </c>
      <c r="J175" s="37">
        <v>0</v>
      </c>
      <c r="K175" s="37" t="s">
        <v>710</v>
      </c>
      <c r="L175" s="45">
        <v>0</v>
      </c>
      <c r="M175" s="38">
        <v>0</v>
      </c>
      <c r="N175" s="46" t="s">
        <v>710</v>
      </c>
    </row>
    <row r="176" spans="1:14" hidden="1" x14ac:dyDescent="0.35">
      <c r="A176" t="s">
        <v>92</v>
      </c>
      <c r="C176" s="27">
        <f>SUBTOTAL(2,INDEX(CollReport[کد تفصیلی],1):CollReport[[#This Row],[کد تفصیلی]])</f>
        <v>22</v>
      </c>
      <c r="D176" s="26">
        <v>10009</v>
      </c>
      <c r="E176" s="10" t="str">
        <f>INDEX(customer[عنوان],MATCH(CollReport[[#This Row],[کد تفصیلی]],customer[کد],0))</f>
        <v>محمد نمازی</v>
      </c>
      <c r="F176" s="37">
        <v>-9952</v>
      </c>
      <c r="G176" s="37">
        <v>-3885.2993687481717</v>
      </c>
      <c r="H176" s="37">
        <v>-58.523291595248914</v>
      </c>
      <c r="I176" s="37">
        <v>0</v>
      </c>
      <c r="J176" s="37">
        <v>0</v>
      </c>
      <c r="K176" s="37" t="s">
        <v>710</v>
      </c>
      <c r="L176" s="45">
        <v>0</v>
      </c>
      <c r="M176" s="38">
        <v>0</v>
      </c>
      <c r="N176" s="46" t="s">
        <v>710</v>
      </c>
    </row>
    <row r="177" spans="1:14" hidden="1" x14ac:dyDescent="0.35">
      <c r="A177" t="s">
        <v>342</v>
      </c>
      <c r="C177" s="27">
        <f>SUBTOTAL(2,INDEX(CollReport[کد تفصیلی],1):CollReport[[#This Row],[کد تفصیلی]])</f>
        <v>22</v>
      </c>
      <c r="D177" s="26">
        <v>30131</v>
      </c>
      <c r="E177" s="10" t="str">
        <f>INDEX(customer[عنوان],MATCH(CollReport[[#This Row],[کد تفصیلی]],customer[کد],0))</f>
        <v>ادهم مس تبریز</v>
      </c>
      <c r="F177" s="37">
        <v>-222</v>
      </c>
      <c r="G177" s="37">
        <v>-77.912347011640307</v>
      </c>
      <c r="H177" s="37">
        <v>-0.82110109381106489</v>
      </c>
      <c r="I177" s="37">
        <v>0</v>
      </c>
      <c r="J177" s="37">
        <v>0</v>
      </c>
      <c r="K177" s="37" t="s">
        <v>710</v>
      </c>
      <c r="L177" s="45">
        <v>0</v>
      </c>
      <c r="M177" s="38">
        <v>0</v>
      </c>
      <c r="N177" s="46" t="s">
        <v>710</v>
      </c>
    </row>
    <row r="178" spans="1:14" hidden="1" x14ac:dyDescent="0.35">
      <c r="A178" t="s">
        <v>157</v>
      </c>
      <c r="C178" s="27">
        <f>SUBTOTAL(2,INDEX(CollReport[کد تفصیلی],1):CollReport[[#This Row],[کد تفصیلی]])</f>
        <v>22</v>
      </c>
      <c r="D178" s="26">
        <v>79120</v>
      </c>
      <c r="E178" s="10" t="str">
        <f>INDEX(customer[عنوان],MATCH(CollReport[[#This Row],[کد تفصیلی]],customer[کد],0))</f>
        <v xml:space="preserve">علیرضا باقری </v>
      </c>
      <c r="F178" s="37">
        <v>0</v>
      </c>
      <c r="G178" s="37" t="s">
        <v>711</v>
      </c>
      <c r="H178" s="37" t="s">
        <v>711</v>
      </c>
      <c r="I178" s="37">
        <v>0</v>
      </c>
      <c r="J178" s="37">
        <v>0</v>
      </c>
      <c r="K178" s="37" t="s">
        <v>710</v>
      </c>
      <c r="L178" s="45">
        <v>0</v>
      </c>
      <c r="M178" s="38">
        <v>0</v>
      </c>
      <c r="N178" s="46" t="s">
        <v>710</v>
      </c>
    </row>
    <row r="179" spans="1:14" hidden="1" x14ac:dyDescent="0.35">
      <c r="A179" t="s">
        <v>802</v>
      </c>
      <c r="C179" s="27">
        <f>SUBTOTAL(2,INDEX(CollReport[کد تفصیلی],1):CollReport[[#This Row],[کد تفصیلی]])</f>
        <v>22</v>
      </c>
      <c r="D179" s="26">
        <v>79043</v>
      </c>
      <c r="E179" s="10" t="str">
        <f>INDEX(customer[عنوان],MATCH(CollReport[[#This Row],[کد تفصیلی]],customer[کد],0))</f>
        <v>ناصر شیخی</v>
      </c>
      <c r="F179" s="37">
        <v>0</v>
      </c>
      <c r="G179" s="37" t="s">
        <v>711</v>
      </c>
      <c r="H179" s="37" t="s">
        <v>711</v>
      </c>
      <c r="I179" s="37">
        <v>0</v>
      </c>
      <c r="J179" s="37">
        <v>0</v>
      </c>
      <c r="K179" s="37" t="s">
        <v>710</v>
      </c>
      <c r="L179" s="45">
        <v>0</v>
      </c>
      <c r="M179" s="38">
        <v>0</v>
      </c>
      <c r="N179" s="46" t="s">
        <v>710</v>
      </c>
    </row>
    <row r="180" spans="1:14" x14ac:dyDescent="0.35">
      <c r="C180" t="s">
        <v>693</v>
      </c>
      <c r="F180" s="36">
        <f>SUBTOTAL(109,CollReport[مانده حساب (کیلوگرم)])</f>
        <v>3435.5</v>
      </c>
      <c r="G180" s="36"/>
      <c r="H180" s="36"/>
      <c r="I180" s="36">
        <f>SUBTOTAL(109,CollReport[تسویه نشده (کیلوگرم)])</f>
        <v>3435.5</v>
      </c>
      <c r="J180" s="36"/>
      <c r="K180" s="36"/>
      <c r="L180" s="40">
        <f>SUBTOTAL(109,CollReport[سررسید ۱۵ روزه (کیلوگرم)])</f>
        <v>3435.5</v>
      </c>
      <c r="M180" s="40"/>
      <c r="N180" s="40"/>
    </row>
    <row r="181" spans="1:14" ht="29" x14ac:dyDescent="0.35">
      <c r="A181" t="s">
        <v>117</v>
      </c>
      <c r="C181" s="41"/>
      <c r="D181" s="42" t="s">
        <v>429</v>
      </c>
      <c r="E181" s="42" t="s">
        <v>1</v>
      </c>
      <c r="F181" s="42" t="s">
        <v>437</v>
      </c>
      <c r="G181" s="42" t="s">
        <v>30</v>
      </c>
      <c r="H181" s="42" t="s">
        <v>430</v>
      </c>
      <c r="I181" s="42" t="s">
        <v>431</v>
      </c>
      <c r="J181" s="42" t="s">
        <v>432</v>
      </c>
      <c r="K181" s="42" t="s">
        <v>433</v>
      </c>
      <c r="L181" s="42" t="s">
        <v>434</v>
      </c>
      <c r="M181" s="42" t="s">
        <v>436</v>
      </c>
      <c r="N181" s="42" t="s">
        <v>435</v>
      </c>
    </row>
    <row r="182" spans="1:14" x14ac:dyDescent="0.35">
      <c r="D182" s="36">
        <v>10030</v>
      </c>
      <c r="E182" s="36" t="s">
        <v>695</v>
      </c>
      <c r="F182" s="36">
        <v>116613.5</v>
      </c>
      <c r="G182" s="36">
        <v>97042.421052631573</v>
      </c>
      <c r="H182" s="36">
        <v>23.424613677653227</v>
      </c>
      <c r="I182" s="36">
        <v>116613.5</v>
      </c>
      <c r="J182" s="36">
        <v>29.613651851854229</v>
      </c>
      <c r="K182" s="36">
        <v>13.251421063823686</v>
      </c>
      <c r="L182" s="36">
        <v>48997.5</v>
      </c>
      <c r="M182" s="36">
        <v>29.613651851854229</v>
      </c>
      <c r="N182" s="36">
        <v>19.965037126613144</v>
      </c>
    </row>
    <row r="183" spans="1:14" x14ac:dyDescent="0.35">
      <c r="A183" t="s">
        <v>57</v>
      </c>
      <c r="D183" s="36">
        <v>10030</v>
      </c>
      <c r="E183" s="36" t="s">
        <v>696</v>
      </c>
      <c r="F183" s="36">
        <v>174003.5</v>
      </c>
      <c r="G183" s="36">
        <v>166161.01149425286</v>
      </c>
      <c r="H183" s="36">
        <v>20.43705529000782</v>
      </c>
      <c r="I183" s="36">
        <v>174003.5</v>
      </c>
      <c r="J183" s="36">
        <v>15.626209259258758</v>
      </c>
      <c r="K183" s="36">
        <v>8.5100018266496456</v>
      </c>
      <c r="L183" s="36">
        <v>20092.5</v>
      </c>
      <c r="M183" s="36">
        <v>15.626209259258758</v>
      </c>
      <c r="N183" s="36">
        <v>15.626209259258756</v>
      </c>
    </row>
    <row r="184" spans="1:14" x14ac:dyDescent="0.35">
      <c r="A184" t="s">
        <v>323</v>
      </c>
    </row>
    <row r="185" spans="1:14" x14ac:dyDescent="0.35">
      <c r="A185" t="s">
        <v>418</v>
      </c>
    </row>
    <row r="186" spans="1:14" x14ac:dyDescent="0.35">
      <c r="A186" t="s">
        <v>415</v>
      </c>
    </row>
  </sheetData>
  <printOptions horizontalCentered="1"/>
  <pageMargins left="0.19685039370078741" right="0.19685039370078741" top="0.19685039370078741" bottom="0.19685039370078741" header="0" footer="0"/>
  <pageSetup scale="9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llectiveCalculation">
                <anchor moveWithCells="1" sizeWithCells="1">
                  <from>
                    <xdr:col>2</xdr:col>
                    <xdr:colOff>317500</xdr:colOff>
                    <xdr:row>0</xdr:row>
                    <xdr:rowOff>69850</xdr:rowOff>
                  </from>
                  <to>
                    <xdr:col>3</xdr:col>
                    <xdr:colOff>781050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3FE3-8A19-4F18-8240-48744917D998}">
  <sheetPr codeName="Chart"/>
  <dimension ref="B3:D21"/>
  <sheetViews>
    <sheetView rightToLeft="1" topLeftCell="A4" workbookViewId="0">
      <selection activeCell="B22" sqref="B22"/>
    </sheetView>
  </sheetViews>
  <sheetFormatPr defaultRowHeight="14.5" x14ac:dyDescent="0.35"/>
  <cols>
    <col min="2" max="2" width="10.26953125" bestFit="1" customWidth="1"/>
    <col min="3" max="3" width="19.26953125" bestFit="1" customWidth="1"/>
    <col min="4" max="4" width="19.6328125" bestFit="1" customWidth="1"/>
  </cols>
  <sheetData>
    <row r="3" spans="2:4" x14ac:dyDescent="0.35">
      <c r="B3" t="s">
        <v>39</v>
      </c>
      <c r="C3" t="s">
        <v>40</v>
      </c>
      <c r="D3" t="s">
        <v>41</v>
      </c>
    </row>
    <row r="4" spans="2:4" x14ac:dyDescent="0.35">
      <c r="B4" s="8">
        <v>44276</v>
      </c>
      <c r="C4" s="10">
        <f>INDEX(Main[مانده در خط کل (کیلوگرم)],MATCH(Table4[[#This Row],[تاریخ]],Main[تاريخ میلادی],1))</f>
        <v>18547</v>
      </c>
      <c r="D4" s="10">
        <f ca="1">'گزارش فردی'!$H$5</f>
        <v>29476.210714285713</v>
      </c>
    </row>
    <row r="5" spans="2:4" x14ac:dyDescent="0.35">
      <c r="B5" s="8">
        <v>44290</v>
      </c>
      <c r="C5" s="10">
        <f>INDEX(Main[مانده در خط کل (کیلوگرم)],MATCH(Table4[[#This Row],[تاریخ]],Main[تاريخ میلادی],1))</f>
        <v>20615</v>
      </c>
      <c r="D5" s="10">
        <f ca="1">'گزارش فردی'!$H$5</f>
        <v>29476.210714285713</v>
      </c>
    </row>
    <row r="6" spans="2:4" x14ac:dyDescent="0.35">
      <c r="B6" s="8">
        <v>44306</v>
      </c>
      <c r="C6" s="10">
        <f>INDEX(Main[مانده در خط کل (کیلوگرم)],MATCH(Table4[[#This Row],[تاریخ]],Main[تاريخ میلادی],1))</f>
        <v>39550</v>
      </c>
      <c r="D6" s="10">
        <f ca="1">'گزارش فردی'!$H$5</f>
        <v>29476.210714285713</v>
      </c>
    </row>
    <row r="7" spans="2:4" x14ac:dyDescent="0.35">
      <c r="B7" s="8">
        <v>44321</v>
      </c>
      <c r="C7" s="10">
        <f>INDEX(Main[مانده در خط کل (کیلوگرم)],MATCH(Table4[[#This Row],[تاریخ]],Main[تاريخ میلادی],1))</f>
        <v>39943</v>
      </c>
      <c r="D7" s="10">
        <f ca="1">'گزارش فردی'!$H$5</f>
        <v>29476.210714285713</v>
      </c>
    </row>
    <row r="8" spans="2:4" x14ac:dyDescent="0.35">
      <c r="B8" s="8">
        <v>44337</v>
      </c>
      <c r="C8" s="10">
        <f>INDEX(Main[مانده در خط کل (کیلوگرم)],MATCH(Table4[[#This Row],[تاریخ]],Main[تاريخ میلادی],1))</f>
        <v>19244</v>
      </c>
      <c r="D8" s="10">
        <f ca="1">'گزارش فردی'!$H$5</f>
        <v>29476.210714285713</v>
      </c>
    </row>
    <row r="9" spans="2:4" x14ac:dyDescent="0.35">
      <c r="B9" s="8">
        <v>44352</v>
      </c>
      <c r="C9" s="10">
        <f>INDEX(Main[مانده در خط کل (کیلوگرم)],MATCH(Table4[[#This Row],[تاریخ]],Main[تاريخ میلادی],1))</f>
        <v>30574</v>
      </c>
      <c r="D9" s="10">
        <f ca="1">'گزارش فردی'!$H$5</f>
        <v>29476.210714285713</v>
      </c>
    </row>
    <row r="10" spans="2:4" x14ac:dyDescent="0.35">
      <c r="B10" s="8">
        <v>44368</v>
      </c>
      <c r="C10" s="10">
        <f>INDEX(Main[مانده در خط کل (کیلوگرم)],MATCH(Table4[[#This Row],[تاریخ]],Main[تاريخ میلادی],1))</f>
        <v>29837</v>
      </c>
      <c r="D10" s="10">
        <f ca="1">'گزارش فردی'!$H$5</f>
        <v>29476.210714285713</v>
      </c>
    </row>
    <row r="11" spans="2:4" x14ac:dyDescent="0.35">
      <c r="B11" s="8">
        <v>44383</v>
      </c>
      <c r="C11" s="10">
        <f>INDEX(Main[مانده در خط کل (کیلوگرم)],MATCH(Table4[[#This Row],[تاریخ]],Main[تاريخ میلادی],1))</f>
        <v>17186</v>
      </c>
      <c r="D11" s="10">
        <f ca="1">'گزارش فردی'!$H$5</f>
        <v>29476.210714285713</v>
      </c>
    </row>
    <row r="12" spans="2:4" x14ac:dyDescent="0.35">
      <c r="B12" s="8">
        <v>44399</v>
      </c>
      <c r="C12" s="10">
        <f>INDEX(Main[مانده در خط کل (کیلوگرم)],MATCH(Table4[[#This Row],[تاریخ]],Main[تاريخ میلادی],1))</f>
        <v>34884</v>
      </c>
      <c r="D12" s="10">
        <f ca="1">'گزارش فردی'!$H$5</f>
        <v>29476.210714285713</v>
      </c>
    </row>
    <row r="13" spans="2:4" x14ac:dyDescent="0.35">
      <c r="B13" s="8">
        <v>44414</v>
      </c>
      <c r="C13" s="10">
        <f>INDEX(Main[مانده در خط کل (کیلوگرم)],MATCH(Table4[[#This Row],[تاریخ]],Main[تاريخ میلادی],1))</f>
        <v>41320</v>
      </c>
      <c r="D13" s="10">
        <f ca="1">'گزارش فردی'!$H$5</f>
        <v>29476.210714285713</v>
      </c>
    </row>
    <row r="14" spans="2:4" x14ac:dyDescent="0.35">
      <c r="B14" s="8">
        <v>44430</v>
      </c>
      <c r="C14" s="10">
        <f>INDEX(Main[مانده در خط کل (کیلوگرم)],MATCH(Table4[[#This Row],[تاریخ]],Main[تاريخ میلادی],1))</f>
        <v>32382</v>
      </c>
      <c r="D14" s="10">
        <f ca="1">'گزارش فردی'!$H$5</f>
        <v>29476.210714285713</v>
      </c>
    </row>
    <row r="15" spans="2:4" x14ac:dyDescent="0.35">
      <c r="B15" s="8">
        <v>44445</v>
      </c>
      <c r="C15" s="10">
        <f>INDEX(Main[مانده در خط کل (کیلوگرم)],MATCH(Table4[[#This Row],[تاریخ]],Main[تاريخ میلادی],1))</f>
        <v>31643</v>
      </c>
      <c r="D15" s="10">
        <f ca="1">'گزارش فردی'!$H$5</f>
        <v>29476.210714285713</v>
      </c>
    </row>
    <row r="16" spans="2:4" x14ac:dyDescent="0.35">
      <c r="B16" s="8">
        <v>44461</v>
      </c>
      <c r="C16" s="10">
        <f>INDEX(Main[مانده در خط کل (کیلوگرم)],MATCH(Table4[[#This Row],[تاریخ]],Main[تاريخ میلادی],1))</f>
        <v>18349</v>
      </c>
      <c r="D16" s="10">
        <f ca="1">'گزارش فردی'!$H$5</f>
        <v>29476.210714285713</v>
      </c>
    </row>
    <row r="17" spans="2:4" x14ac:dyDescent="0.35">
      <c r="B17" s="8">
        <v>44476</v>
      </c>
      <c r="C17" s="10">
        <f>INDEX(Main[مانده در خط کل (کیلوگرم)],MATCH(Table4[[#This Row],[تاریخ]],Main[تاريخ میلادی],1))</f>
        <v>20855</v>
      </c>
      <c r="D17" s="10">
        <f ca="1">'گزارش فردی'!$H$5</f>
        <v>29476.210714285713</v>
      </c>
    </row>
    <row r="18" spans="2:4" x14ac:dyDescent="0.35">
      <c r="B18" s="8">
        <v>44491</v>
      </c>
      <c r="C18" s="10">
        <f>INDEX(Main[مانده در خط کل (کیلوگرم)],MATCH(Table4[[#This Row],[تاریخ]],Main[تاريخ میلادی],1))</f>
        <v>31169</v>
      </c>
      <c r="D18" s="10">
        <f ca="1">'گزارش فردی'!$H$5</f>
        <v>29476.210714285713</v>
      </c>
    </row>
    <row r="19" spans="2:4" x14ac:dyDescent="0.35">
      <c r="B19" s="8">
        <v>44506</v>
      </c>
      <c r="C19" s="10">
        <f>INDEX(Main[مانده در خط کل (کیلوگرم)],MATCH(Table4[[#This Row],[تاریخ]],Main[تاريخ میلادی],1))</f>
        <v>43684</v>
      </c>
      <c r="D19" s="10">
        <f ca="1">'گزارش فردی'!$H$5</f>
        <v>29476.210714285713</v>
      </c>
    </row>
    <row r="20" spans="2:4" x14ac:dyDescent="0.35">
      <c r="B20" s="8">
        <v>44521</v>
      </c>
      <c r="C20" s="10">
        <f>INDEX(Main[مانده در خط کل (کیلوگرم)],MATCH(Table4[[#This Row],[تاریخ]],Main[تاريخ میلادی],1))</f>
        <v>37663</v>
      </c>
      <c r="D20" s="10">
        <f ca="1">'گزارش فردی'!$H$5</f>
        <v>29476.210714285713</v>
      </c>
    </row>
    <row r="21" spans="2:4" x14ac:dyDescent="0.35">
      <c r="B21" s="8">
        <v>44527</v>
      </c>
      <c r="C21" s="10">
        <f>INDEX(Main[مانده در خط کل (کیلوگرم)],MATCH(Table4[[#This Row],[تاریخ]],Main[تاريخ میلادی],1))</f>
        <v>33433</v>
      </c>
      <c r="D21" s="10">
        <f ca="1">'گزارش فردی'!$H$5</f>
        <v>29476.210714285713</v>
      </c>
    </row>
  </sheetData>
  <conditionalFormatting sqref="B4:B21">
    <cfRule type="cellIs" dxfId="54" priority="1" operator="equal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F334D-6012-4DCE-B097-A97D4F27D0E2}">
  <dimension ref="A1:B13"/>
  <sheetViews>
    <sheetView rightToLeft="1" workbookViewId="0">
      <selection activeCell="A3" sqref="A3:B13"/>
    </sheetView>
  </sheetViews>
  <sheetFormatPr defaultRowHeight="14.5" x14ac:dyDescent="0.35"/>
  <cols>
    <col min="1" max="1" width="12.6328125" bestFit="1" customWidth="1"/>
    <col min="2" max="2" width="19.1796875" bestFit="1" customWidth="1"/>
  </cols>
  <sheetData>
    <row r="1" spans="1:2" x14ac:dyDescent="0.35">
      <c r="A1" s="48" t="s">
        <v>428</v>
      </c>
      <c r="B1" s="49" t="s">
        <v>304</v>
      </c>
    </row>
    <row r="3" spans="1:2" x14ac:dyDescent="0.35">
      <c r="A3" s="48" t="s">
        <v>779</v>
      </c>
      <c r="B3" t="s">
        <v>781</v>
      </c>
    </row>
    <row r="4" spans="1:2" x14ac:dyDescent="0.35">
      <c r="A4" s="49" t="s">
        <v>782</v>
      </c>
      <c r="B4" s="27">
        <v>0</v>
      </c>
    </row>
    <row r="5" spans="1:2" x14ac:dyDescent="0.35">
      <c r="A5" s="49" t="s">
        <v>783</v>
      </c>
      <c r="B5" s="27">
        <v>111943</v>
      </c>
    </row>
    <row r="6" spans="1:2" x14ac:dyDescent="0.35">
      <c r="A6" s="49" t="s">
        <v>784</v>
      </c>
      <c r="B6" s="27">
        <v>141748</v>
      </c>
    </row>
    <row r="7" spans="1:2" x14ac:dyDescent="0.35">
      <c r="A7" s="49" t="s">
        <v>785</v>
      </c>
      <c r="B7" s="27">
        <v>46570</v>
      </c>
    </row>
    <row r="8" spans="1:2" x14ac:dyDescent="0.35">
      <c r="A8" s="49" t="s">
        <v>786</v>
      </c>
      <c r="B8" s="27">
        <v>2824</v>
      </c>
    </row>
    <row r="9" spans="1:2" x14ac:dyDescent="0.35">
      <c r="A9" s="49" t="s">
        <v>787</v>
      </c>
      <c r="B9" s="27">
        <v>85272</v>
      </c>
    </row>
    <row r="10" spans="1:2" x14ac:dyDescent="0.35">
      <c r="A10" s="49" t="s">
        <v>788</v>
      </c>
      <c r="B10" s="27">
        <v>62432</v>
      </c>
    </row>
    <row r="11" spans="1:2" x14ac:dyDescent="0.35">
      <c r="A11" s="49" t="s">
        <v>789</v>
      </c>
      <c r="B11" s="27">
        <v>31432</v>
      </c>
    </row>
    <row r="12" spans="1:2" x14ac:dyDescent="0.35">
      <c r="A12" s="49" t="s">
        <v>790</v>
      </c>
      <c r="B12" s="27">
        <v>16712</v>
      </c>
    </row>
    <row r="13" spans="1:2" x14ac:dyDescent="0.35">
      <c r="A13" s="49" t="s">
        <v>780</v>
      </c>
      <c r="B13" s="27">
        <v>498933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C959-AE80-4D61-8462-4CDE56140235}">
  <sheetPr codeName="Sheet4"/>
  <dimension ref="B2:B44"/>
  <sheetViews>
    <sheetView rightToLeft="1" topLeftCell="A2" workbookViewId="0">
      <selection activeCell="B2" sqref="B2"/>
    </sheetView>
  </sheetViews>
  <sheetFormatPr defaultRowHeight="14.5" x14ac:dyDescent="0.35"/>
  <cols>
    <col min="2" max="2" width="9" customWidth="1"/>
  </cols>
  <sheetData>
    <row r="2" spans="2:2" x14ac:dyDescent="0.35">
      <c r="B2" s="39" t="s">
        <v>427</v>
      </c>
    </row>
    <row r="3" spans="2:2" x14ac:dyDescent="0.35">
      <c r="B3" s="32">
        <v>30127</v>
      </c>
    </row>
    <row r="4" spans="2:2" x14ac:dyDescent="0.35">
      <c r="B4" s="32">
        <v>10003</v>
      </c>
    </row>
    <row r="5" spans="2:2" x14ac:dyDescent="0.35">
      <c r="B5" s="32">
        <v>10055</v>
      </c>
    </row>
    <row r="6" spans="2:2" x14ac:dyDescent="0.35">
      <c r="B6" s="32">
        <v>30022</v>
      </c>
    </row>
    <row r="7" spans="2:2" x14ac:dyDescent="0.35">
      <c r="B7" s="32">
        <v>10020</v>
      </c>
    </row>
    <row r="8" spans="2:2" x14ac:dyDescent="0.35">
      <c r="B8" s="32">
        <v>30191</v>
      </c>
    </row>
    <row r="9" spans="2:2" x14ac:dyDescent="0.35">
      <c r="B9" s="32">
        <v>10057</v>
      </c>
    </row>
    <row r="10" spans="2:2" x14ac:dyDescent="0.35">
      <c r="B10" s="32">
        <v>10008</v>
      </c>
    </row>
    <row r="11" spans="2:2" x14ac:dyDescent="0.35">
      <c r="B11" s="32">
        <v>30018</v>
      </c>
    </row>
    <row r="12" spans="2:2" x14ac:dyDescent="0.35">
      <c r="B12" s="32">
        <v>50011</v>
      </c>
    </row>
    <row r="13" spans="2:2" x14ac:dyDescent="0.35">
      <c r="B13" s="32">
        <v>10127</v>
      </c>
    </row>
    <row r="14" spans="2:2" x14ac:dyDescent="0.35">
      <c r="B14" s="32">
        <v>10084</v>
      </c>
    </row>
    <row r="15" spans="2:2" x14ac:dyDescent="0.35">
      <c r="B15" s="32">
        <v>30162</v>
      </c>
    </row>
    <row r="16" spans="2:2" x14ac:dyDescent="0.35">
      <c r="B16" s="32">
        <v>30081</v>
      </c>
    </row>
    <row r="17" spans="2:2" x14ac:dyDescent="0.35">
      <c r="B17" s="32">
        <v>30140</v>
      </c>
    </row>
    <row r="18" spans="2:2" x14ac:dyDescent="0.35">
      <c r="B18" s="32">
        <v>30077</v>
      </c>
    </row>
    <row r="19" spans="2:2" x14ac:dyDescent="0.35">
      <c r="B19" s="32">
        <v>30025</v>
      </c>
    </row>
    <row r="20" spans="2:2" x14ac:dyDescent="0.35">
      <c r="B20" s="32">
        <v>10007</v>
      </c>
    </row>
    <row r="21" spans="2:2" x14ac:dyDescent="0.35">
      <c r="B21" s="32">
        <v>30047</v>
      </c>
    </row>
    <row r="22" spans="2:2" x14ac:dyDescent="0.35">
      <c r="B22" s="32">
        <v>30011</v>
      </c>
    </row>
    <row r="23" spans="2:2" x14ac:dyDescent="0.35">
      <c r="B23" s="32">
        <v>30123</v>
      </c>
    </row>
    <row r="24" spans="2:2" x14ac:dyDescent="0.35">
      <c r="B24" s="32">
        <v>10030</v>
      </c>
    </row>
    <row r="25" spans="2:2" x14ac:dyDescent="0.35">
      <c r="B25" s="32">
        <v>30030</v>
      </c>
    </row>
    <row r="26" spans="2:2" x14ac:dyDescent="0.35">
      <c r="B26" s="32">
        <v>30135</v>
      </c>
    </row>
    <row r="27" spans="2:2" x14ac:dyDescent="0.35">
      <c r="B27" s="32">
        <v>10048</v>
      </c>
    </row>
    <row r="28" spans="2:2" x14ac:dyDescent="0.35">
      <c r="B28" s="32">
        <v>10076</v>
      </c>
    </row>
    <row r="29" spans="2:2" x14ac:dyDescent="0.35">
      <c r="B29" s="32">
        <v>30031</v>
      </c>
    </row>
    <row r="30" spans="2:2" x14ac:dyDescent="0.35">
      <c r="B30" s="32">
        <v>30055</v>
      </c>
    </row>
    <row r="31" spans="2:2" x14ac:dyDescent="0.35">
      <c r="B31" s="32">
        <v>30079</v>
      </c>
    </row>
    <row r="32" spans="2:2" x14ac:dyDescent="0.35">
      <c r="B32" s="32">
        <v>30097</v>
      </c>
    </row>
    <row r="33" spans="2:2" x14ac:dyDescent="0.35">
      <c r="B33" s="32">
        <v>30118</v>
      </c>
    </row>
    <row r="34" spans="2:2" x14ac:dyDescent="0.35">
      <c r="B34" s="32">
        <v>30137</v>
      </c>
    </row>
    <row r="35" spans="2:2" x14ac:dyDescent="0.35">
      <c r="B35" s="32">
        <v>30141</v>
      </c>
    </row>
    <row r="36" spans="2:2" x14ac:dyDescent="0.35">
      <c r="B36" s="32">
        <v>30160</v>
      </c>
    </row>
    <row r="37" spans="2:2" x14ac:dyDescent="0.35">
      <c r="B37" s="32">
        <v>79010</v>
      </c>
    </row>
    <row r="38" spans="2:2" x14ac:dyDescent="0.35">
      <c r="B38" s="32">
        <v>10045</v>
      </c>
    </row>
    <row r="39" spans="2:2" x14ac:dyDescent="0.35">
      <c r="B39" s="32">
        <v>30082</v>
      </c>
    </row>
    <row r="40" spans="2:2" x14ac:dyDescent="0.35">
      <c r="B40" s="32">
        <v>30072</v>
      </c>
    </row>
    <row r="41" spans="2:2" x14ac:dyDescent="0.35">
      <c r="B41" s="32">
        <v>30003</v>
      </c>
    </row>
    <row r="42" spans="2:2" x14ac:dyDescent="0.35">
      <c r="B42" s="32">
        <v>10089</v>
      </c>
    </row>
    <row r="43" spans="2:2" x14ac:dyDescent="0.35">
      <c r="B43" s="32">
        <v>30017</v>
      </c>
    </row>
    <row r="44" spans="2:2" x14ac:dyDescent="0.35">
      <c r="B44" s="32">
        <v>30006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C62D0-E661-41D2-A483-B3E6588ABC21}">
  <dimension ref="B1:E34"/>
  <sheetViews>
    <sheetView rightToLeft="1" topLeftCell="C1" workbookViewId="0">
      <selection activeCell="B1" sqref="B1:E34"/>
    </sheetView>
  </sheetViews>
  <sheetFormatPr defaultRowHeight="14.5" x14ac:dyDescent="0.35"/>
  <cols>
    <col min="2" max="2" width="12.26953125" bestFit="1" customWidth="1"/>
    <col min="3" max="3" width="17.90625" style="36" customWidth="1"/>
    <col min="4" max="4" width="22.90625" style="36" customWidth="1"/>
    <col min="5" max="5" width="16.26953125" style="36" customWidth="1"/>
    <col min="7" max="7" width="10.26953125" customWidth="1"/>
  </cols>
  <sheetData>
    <row r="1" spans="2:5" x14ac:dyDescent="0.35">
      <c r="B1" s="43" t="str">
        <f>INDEX(Main[نام مشتری],MATCH(1,Main[شمارش],0))</f>
        <v>اصغر نورعلی</v>
      </c>
      <c r="C1" s="44">
        <f ca="1">NOW()</f>
        <v>45462.753740856482</v>
      </c>
    </row>
    <row r="2" spans="2:5" ht="17.5" customHeight="1" x14ac:dyDescent="0.35">
      <c r="B2" s="52" t="s">
        <v>799</v>
      </c>
      <c r="C2" s="53" t="s">
        <v>800</v>
      </c>
      <c r="D2" s="53" t="s">
        <v>801</v>
      </c>
      <c r="E2" s="53" t="s">
        <v>16</v>
      </c>
    </row>
    <row r="3" spans="2:5" x14ac:dyDescent="0.35">
      <c r="B3" s="32" t="s">
        <v>766</v>
      </c>
      <c r="C3" s="50">
        <v>4388</v>
      </c>
      <c r="D3" s="51">
        <v>2864</v>
      </c>
      <c r="E3" s="51">
        <v>32.619188078700972</v>
      </c>
    </row>
    <row r="4" spans="2:5" hidden="1" x14ac:dyDescent="0.35">
      <c r="B4" s="32" t="s">
        <v>767</v>
      </c>
      <c r="C4" s="50">
        <v>0</v>
      </c>
      <c r="D4" s="51">
        <v>0</v>
      </c>
      <c r="E4" s="51">
        <v>0</v>
      </c>
    </row>
    <row r="5" spans="2:5" x14ac:dyDescent="0.35">
      <c r="B5" s="32" t="s">
        <v>767</v>
      </c>
      <c r="C5" s="50">
        <v>2081</v>
      </c>
      <c r="D5" s="51">
        <v>2081</v>
      </c>
      <c r="E5" s="51">
        <v>31.619188078700972</v>
      </c>
    </row>
    <row r="6" spans="2:5" x14ac:dyDescent="0.35">
      <c r="B6" s="32" t="s">
        <v>768</v>
      </c>
      <c r="C6" s="50">
        <v>3035</v>
      </c>
      <c r="D6" s="51">
        <v>3035</v>
      </c>
      <c r="E6" s="51">
        <v>29.619188078700972</v>
      </c>
    </row>
    <row r="7" spans="2:5" x14ac:dyDescent="0.35">
      <c r="B7" s="32" t="s">
        <v>769</v>
      </c>
      <c r="C7" s="50">
        <v>1136</v>
      </c>
      <c r="D7" s="51">
        <v>1136</v>
      </c>
      <c r="E7" s="51">
        <v>28.619188078700972</v>
      </c>
    </row>
    <row r="8" spans="2:5" hidden="1" x14ac:dyDescent="0.35">
      <c r="B8" s="32" t="s">
        <v>769</v>
      </c>
      <c r="C8" s="50">
        <v>0</v>
      </c>
      <c r="D8" s="51">
        <v>0</v>
      </c>
      <c r="E8" s="51">
        <v>0</v>
      </c>
    </row>
    <row r="9" spans="2:5" x14ac:dyDescent="0.35">
      <c r="B9" s="32" t="s">
        <v>776</v>
      </c>
      <c r="C9" s="50">
        <v>2022</v>
      </c>
      <c r="D9" s="51">
        <v>2022</v>
      </c>
      <c r="E9" s="51">
        <v>26.619188078700972</v>
      </c>
    </row>
    <row r="10" spans="2:5" hidden="1" x14ac:dyDescent="0.35">
      <c r="B10" s="32" t="s">
        <v>777</v>
      </c>
      <c r="C10" s="50">
        <v>0</v>
      </c>
      <c r="D10" s="51">
        <v>0</v>
      </c>
      <c r="E10" s="51">
        <v>0</v>
      </c>
    </row>
    <row r="11" spans="2:5" hidden="1" x14ac:dyDescent="0.35">
      <c r="B11" s="32" t="s">
        <v>777</v>
      </c>
      <c r="C11" s="50">
        <v>0</v>
      </c>
      <c r="D11" s="51">
        <v>0</v>
      </c>
      <c r="E11" s="51">
        <v>0</v>
      </c>
    </row>
    <row r="12" spans="2:5" hidden="1" x14ac:dyDescent="0.35">
      <c r="B12" s="32" t="s">
        <v>778</v>
      </c>
      <c r="C12" s="50">
        <v>0</v>
      </c>
      <c r="D12" s="51">
        <v>0</v>
      </c>
      <c r="E12" s="51">
        <v>0</v>
      </c>
    </row>
    <row r="13" spans="2:5" hidden="1" x14ac:dyDescent="0.35">
      <c r="B13" s="32" t="s">
        <v>778</v>
      </c>
      <c r="C13" s="50">
        <v>0</v>
      </c>
      <c r="D13" s="51">
        <v>0</v>
      </c>
      <c r="E13" s="51">
        <v>0</v>
      </c>
    </row>
    <row r="14" spans="2:5" x14ac:dyDescent="0.35">
      <c r="B14" s="32" t="s">
        <v>778</v>
      </c>
      <c r="C14" s="50">
        <v>2065</v>
      </c>
      <c r="D14" s="51">
        <v>2065</v>
      </c>
      <c r="E14" s="51">
        <v>24.619188078700972</v>
      </c>
    </row>
    <row r="15" spans="2:5" x14ac:dyDescent="0.35">
      <c r="B15" s="32" t="s">
        <v>791</v>
      </c>
      <c r="C15" s="50">
        <v>4098</v>
      </c>
      <c r="D15" s="51">
        <v>4098</v>
      </c>
      <c r="E15" s="51">
        <v>22.619188078700972</v>
      </c>
    </row>
    <row r="16" spans="2:5" hidden="1" x14ac:dyDescent="0.35">
      <c r="B16" s="32" t="s">
        <v>792</v>
      </c>
      <c r="C16" s="50">
        <v>0</v>
      </c>
      <c r="D16" s="51">
        <v>0</v>
      </c>
      <c r="E16" s="51">
        <v>0</v>
      </c>
    </row>
    <row r="17" spans="2:5" x14ac:dyDescent="0.35">
      <c r="B17" s="32" t="s">
        <v>794</v>
      </c>
      <c r="C17" s="50">
        <v>1942</v>
      </c>
      <c r="D17" s="51">
        <v>1942</v>
      </c>
      <c r="E17" s="51">
        <v>19.619188078700972</v>
      </c>
    </row>
    <row r="18" spans="2:5" hidden="1" x14ac:dyDescent="0.35">
      <c r="B18" s="32" t="s">
        <v>797</v>
      </c>
      <c r="C18" s="50">
        <v>0</v>
      </c>
      <c r="D18" s="51">
        <v>0</v>
      </c>
      <c r="E18" s="51">
        <v>0</v>
      </c>
    </row>
    <row r="19" spans="2:5" hidden="1" x14ac:dyDescent="0.35">
      <c r="B19" s="32" t="s">
        <v>798</v>
      </c>
      <c r="C19" s="50">
        <v>0</v>
      </c>
      <c r="D19" s="51">
        <v>0</v>
      </c>
      <c r="E19" s="51">
        <v>0</v>
      </c>
    </row>
    <row r="20" spans="2:5" x14ac:dyDescent="0.35">
      <c r="B20" s="32" t="s">
        <v>798</v>
      </c>
      <c r="C20" s="50">
        <v>2941</v>
      </c>
      <c r="D20" s="51">
        <v>2941</v>
      </c>
      <c r="E20" s="51">
        <v>14.619188078700972</v>
      </c>
    </row>
    <row r="21" spans="2:5" x14ac:dyDescent="0.35">
      <c r="B21" s="32" t="s">
        <v>798</v>
      </c>
      <c r="C21" s="50">
        <v>2892</v>
      </c>
      <c r="D21" s="51">
        <v>2892</v>
      </c>
      <c r="E21" s="51">
        <v>14.619188078700972</v>
      </c>
    </row>
    <row r="22" spans="2:5" x14ac:dyDescent="0.35">
      <c r="B22" s="32" t="s">
        <v>805</v>
      </c>
      <c r="C22" s="50">
        <v>1997</v>
      </c>
      <c r="D22" s="51">
        <v>1997</v>
      </c>
      <c r="E22" s="51">
        <v>12.619188078700972</v>
      </c>
    </row>
    <row r="23" spans="2:5" hidden="1" x14ac:dyDescent="0.35">
      <c r="B23" s="32" t="s">
        <v>806</v>
      </c>
      <c r="C23" s="50">
        <v>0</v>
      </c>
      <c r="D23" s="51">
        <v>0</v>
      </c>
      <c r="E23" s="51">
        <v>0</v>
      </c>
    </row>
    <row r="24" spans="2:5" x14ac:dyDescent="0.35">
      <c r="B24" s="32" t="s">
        <v>806</v>
      </c>
      <c r="C24" s="50">
        <v>2234</v>
      </c>
      <c r="D24" s="51">
        <v>2234</v>
      </c>
      <c r="E24" s="51">
        <v>11.619188078700972</v>
      </c>
    </row>
    <row r="25" spans="2:5" x14ac:dyDescent="0.35">
      <c r="B25" s="32" t="s">
        <v>808</v>
      </c>
      <c r="C25" s="50">
        <v>1850</v>
      </c>
      <c r="D25" s="51">
        <v>1850</v>
      </c>
      <c r="E25" s="51">
        <v>8.6191880787009723</v>
      </c>
    </row>
    <row r="26" spans="2:5" x14ac:dyDescent="0.35">
      <c r="B26" s="32" t="s">
        <v>809</v>
      </c>
      <c r="C26" s="50">
        <v>2303</v>
      </c>
      <c r="D26" s="51">
        <v>2303</v>
      </c>
      <c r="E26" s="51">
        <v>7.6191880787009723</v>
      </c>
    </row>
    <row r="27" spans="2:5" x14ac:dyDescent="0.35">
      <c r="B27" s="32" t="s">
        <v>810</v>
      </c>
      <c r="C27" s="50">
        <v>3107</v>
      </c>
      <c r="D27" s="51">
        <v>3107</v>
      </c>
      <c r="E27" s="51">
        <v>6.6191880787009723</v>
      </c>
    </row>
    <row r="28" spans="2:5" hidden="1" x14ac:dyDescent="0.35">
      <c r="B28" s="32" t="s">
        <v>810</v>
      </c>
      <c r="C28" s="50">
        <v>0</v>
      </c>
      <c r="D28" s="51">
        <v>0</v>
      </c>
      <c r="E28" s="51">
        <v>0</v>
      </c>
    </row>
    <row r="29" spans="2:5" x14ac:dyDescent="0.35">
      <c r="B29" s="32" t="s">
        <v>811</v>
      </c>
      <c r="C29" s="50">
        <v>2194</v>
      </c>
      <c r="D29" s="51">
        <v>2194</v>
      </c>
      <c r="E29" s="51">
        <v>5.6191880787009723</v>
      </c>
    </row>
    <row r="30" spans="2:5" hidden="1" x14ac:dyDescent="0.35">
      <c r="B30" s="32" t="s">
        <v>812</v>
      </c>
      <c r="C30" s="50">
        <v>0</v>
      </c>
      <c r="D30" s="51">
        <v>0</v>
      </c>
      <c r="E30" s="51">
        <v>0</v>
      </c>
    </row>
    <row r="31" spans="2:5" hidden="1" x14ac:dyDescent="0.35">
      <c r="B31" s="32" t="s">
        <v>812</v>
      </c>
      <c r="C31" s="50">
        <v>0</v>
      </c>
      <c r="D31" s="51">
        <v>0</v>
      </c>
      <c r="E31" s="51">
        <v>0</v>
      </c>
    </row>
    <row r="32" spans="2:5" x14ac:dyDescent="0.35">
      <c r="B32" s="32" t="s">
        <v>812</v>
      </c>
      <c r="C32" s="50">
        <v>3030</v>
      </c>
      <c r="D32" s="51">
        <v>3030</v>
      </c>
      <c r="E32" s="51">
        <v>4.6191880787009723</v>
      </c>
    </row>
    <row r="33" spans="2:5" x14ac:dyDescent="0.35">
      <c r="B33" s="32" t="s">
        <v>815</v>
      </c>
      <c r="C33" s="50">
        <v>2990</v>
      </c>
      <c r="D33" s="51">
        <v>2990</v>
      </c>
      <c r="E33" s="51">
        <v>1.6191880787009723</v>
      </c>
    </row>
    <row r="34" spans="2:5" x14ac:dyDescent="0.35">
      <c r="B34" s="32" t="s">
        <v>693</v>
      </c>
      <c r="C34" s="36">
        <f>SUBTOTAL(109,Table16[وزن سفارس (کیلوگرم)])</f>
        <v>46305</v>
      </c>
      <c r="D34" s="36">
        <f>SUBTOTAL(109,Table16[سفاله تسویه نشده (کیلوگرم)])</f>
        <v>44781</v>
      </c>
    </row>
  </sheetData>
  <conditionalFormatting sqref="C3:C33">
    <cfRule type="cellIs" dxfId="45" priority="3" operator="equal">
      <formula>0</formula>
    </cfRule>
  </conditionalFormatting>
  <conditionalFormatting sqref="D3:D33">
    <cfRule type="cellIs" dxfId="44" priority="2" operator="equal">
      <formula>0</formula>
    </cfRule>
  </conditionalFormatting>
  <conditionalFormatting sqref="E3:E33">
    <cfRule type="cellIs" dxfId="4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8944C7-9D86-4BB5-9B71-37ED4EFACC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Receipt</vt:lpstr>
      <vt:lpstr>Delivery</vt:lpstr>
      <vt:lpstr>کد</vt:lpstr>
      <vt:lpstr>تجمیع</vt:lpstr>
      <vt:lpstr>گزارش فردی</vt:lpstr>
      <vt:lpstr>گزارش جمعی</vt:lpstr>
      <vt:lpstr>نمودار</vt:lpstr>
      <vt:lpstr>Pivot</vt:lpstr>
      <vt:lpstr>Filter</vt:lpstr>
      <vt:lpstr>صورت حساب مشتری</vt:lpstr>
      <vt:lpstr>'صورت حساب مشتری'!Print_Area</vt:lpstr>
      <vt:lpstr>'گزارش جمعی'!Print_Area</vt:lpstr>
      <vt:lpstr>'گزارش فردی'!Print_Area</vt:lpstr>
      <vt:lpstr>'صورت حساب مشتری'!Print_Titles</vt:lpstr>
      <vt:lpstr>'گزارش جمعی'!Print_Titles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Sahand</dc:creator>
  <cp:lastModifiedBy>sahand sabahi</cp:lastModifiedBy>
  <cp:lastPrinted>2021-12-26T11:53:13Z</cp:lastPrinted>
  <dcterms:created xsi:type="dcterms:W3CDTF">2021-06-28T05:28:30Z</dcterms:created>
  <dcterms:modified xsi:type="dcterms:W3CDTF">2024-06-19T16:05:23Z</dcterms:modified>
</cp:coreProperties>
</file>